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her Products 2013" sheetId="1" r:id="rId4"/>
    <sheet state="hidden" name="Other Products 2014" sheetId="2" r:id="rId5"/>
    <sheet state="hidden" name="Other Products 2015" sheetId="3" r:id="rId6"/>
    <sheet state="hidden" name="Tiger Balm 2017" sheetId="4" r:id="rId7"/>
    <sheet state="hidden" name="Extended Gate Fee 2017" sheetId="5" r:id="rId8"/>
    <sheet state="hidden" name="Extended Gate Fee 2018" sheetId="6" r:id="rId9"/>
    <sheet state="hidden" name="Tiger Balm 2019" sheetId="7" r:id="rId10"/>
    <sheet state="hidden" name="Other Products 2019" sheetId="8" r:id="rId11"/>
    <sheet state="hidden" name="Tiger Balm 2020" sheetId="9" r:id="rId12"/>
    <sheet state="hidden" name="Other Products 2020" sheetId="10" r:id="rId13"/>
    <sheet state="hidden" name="Other Products 2021" sheetId="11" r:id="rId14"/>
    <sheet state="hidden" name="Extended Gate Fee 2020" sheetId="12" r:id="rId15"/>
    <sheet state="hidden" name="Tiger Balm 2021" sheetId="13" r:id="rId16"/>
    <sheet state="hidden" name="#Tiger Balm 2022" sheetId="14" r:id="rId17"/>
    <sheet state="hidden" name="#Other Products 2022" sheetId="15" r:id="rId18"/>
    <sheet state="visible" name="#Other Products 2023" sheetId="16" r:id="rId19"/>
    <sheet state="visible" name="#Tiger Balm 2023" sheetId="17" r:id="rId20"/>
    <sheet state="hidden" name="Other Products 2016" sheetId="18" r:id="rId21"/>
    <sheet state="hidden" name="Summary_TB 2022" sheetId="19" r:id="rId22"/>
    <sheet state="visible" name="#Ginger Chews 2024" sheetId="20" r:id="rId23"/>
    <sheet state="visible" name="#Other Products 2024" sheetId="21" r:id="rId24"/>
    <sheet state="visible" name="#Tiger Balm 2024" sheetId="22" r:id="rId25"/>
    <sheet state="visible" name="#Other Products 2025" sheetId="23" r:id="rId26"/>
    <sheet state="visible" name="#Tiger Balm 2025" sheetId="24" r:id="rId27"/>
    <sheet state="visible" name="#Other Products 2026" sheetId="25" r:id="rId28"/>
    <sheet state="visible" name="#Tiger Balm 2026" sheetId="26" r:id="rId29"/>
    <sheet state="visible" name="Extended Gate Fee" sheetId="27" r:id="rId30"/>
    <sheet state="visible" name="Container Count" sheetId="28" r:id="rId31"/>
    <sheet state="visible" name="Summary" sheetId="29" r:id="rId32"/>
    <sheet state="hidden" name="Extended Gate Fee 2019" sheetId="30" r:id="rId33"/>
    <sheet state="hidden" name="Other Products 2018" sheetId="31" r:id="rId34"/>
    <sheet state="hidden" name="Tiger Balm 2018" sheetId="32" r:id="rId35"/>
    <sheet state="hidden" name="Other Products 2017" sheetId="33" r:id="rId36"/>
    <sheet state="hidden" name="Tiger Balm 2016" sheetId="34" r:id="rId37"/>
    <sheet state="hidden" name="Extended Gate Fee 2016" sheetId="35" r:id="rId38"/>
    <sheet state="hidden" name="Tiger Balm 2013" sheetId="36" r:id="rId39"/>
    <sheet state="hidden" name="Tiger Balm 2014" sheetId="37" r:id="rId40"/>
    <sheet state="hidden" name="Tiger Balm 2015" sheetId="38" r:id="rId41"/>
    <sheet state="hidden" name="Archive (Tiger Balm 2012)" sheetId="39" r:id="rId42"/>
    <sheet state="hidden" name="Archive (Other Products 2012)" sheetId="40" r:id="rId43"/>
    <sheet state="hidden" name="Archive (Tiger Balm 2011)" sheetId="41" r:id="rId44"/>
    <sheet state="hidden" name="Archive (Other Products 2011)" sheetId="42" r:id="rId45"/>
    <sheet state="hidden" name="Archive (Tiger Balm 2010)" sheetId="43" r:id="rId46"/>
    <sheet state="hidden" name="Archive (Other Products 2010)" sheetId="44" r:id="rId47"/>
    <sheet state="hidden" name="Archive (Tiger Balm 2009)" sheetId="45" r:id="rId48"/>
    <sheet state="hidden" name="Archive (Other Products 2009)" sheetId="46" r:id="rId49"/>
  </sheets>
  <definedNames>
    <definedName hidden="1" localSheetId="0" name="_xlnm._FilterDatabase">'Other Products 2013'!$A$3:$I$170</definedName>
    <definedName hidden="1" localSheetId="1" name="_xlnm._FilterDatabase">'Other Products 2014'!$A$3:$J$194</definedName>
    <definedName hidden="1" localSheetId="2" name="_xlnm._FilterDatabase">'Other Products 2015'!$A$3:$M$226</definedName>
    <definedName hidden="1" localSheetId="3" name="_xlnm._FilterDatabase">'Tiger Balm 2017'!$A$3:$I$105</definedName>
    <definedName hidden="1" localSheetId="6" name="_xlnm._FilterDatabase">'Tiger Balm 2019'!$A$2:$AB$118</definedName>
    <definedName hidden="1" localSheetId="7" name="_xlnm._FilterDatabase">'Other Products 2019'!$A$2:$O$291</definedName>
    <definedName hidden="1" localSheetId="8" name="_xlnm._FilterDatabase">'Tiger Balm 2020'!$A$2:$K$102</definedName>
    <definedName hidden="1" localSheetId="9" name="_xlnm._FilterDatabase">'Other Products 2020'!$A$2:$Z$299</definedName>
    <definedName hidden="1" localSheetId="10" name="_xlnm._FilterDatabase">'Other Products 2021'!$A$2:$Z$316</definedName>
    <definedName hidden="1" localSheetId="11" name="_xlnm._FilterDatabase">'Extended Gate Fee 2020'!$A$5:$D$88</definedName>
    <definedName hidden="1" localSheetId="12" name="_xlnm._FilterDatabase">'Tiger Balm 2021'!$A$2:$K$119</definedName>
    <definedName hidden="1" localSheetId="13" name="_xlnm._FilterDatabase">'#Tiger Balm 2022'!$A$2:$L$131</definedName>
    <definedName hidden="1" localSheetId="14" name="_xlnm._FilterDatabase">'#Other Products 2022'!$A$2:$AA$400</definedName>
    <definedName hidden="1" localSheetId="15" name="_xlnm._FilterDatabase">'#Other Products 2023'!$A$2:$AA$305</definedName>
    <definedName hidden="1" localSheetId="16" name="_xlnm._FilterDatabase">'#Tiger Balm 2023'!$A$2:$L$208</definedName>
    <definedName hidden="1" localSheetId="17" name="_xlnm._FilterDatabase">'Other Products 2016'!$A$3:$N$263</definedName>
    <definedName hidden="1" localSheetId="19" name="_xlnm._FilterDatabase">'#Ginger Chews 2024'!$A$2:$R$367</definedName>
    <definedName hidden="1" localSheetId="21" name="_xlnm._FilterDatabase">'#Tiger Balm 2024'!$A$2:$Y$136</definedName>
    <definedName hidden="1" localSheetId="22" name="_xlnm._FilterDatabase">'#Other Products 2025'!$A$2:$Z$397</definedName>
    <definedName hidden="1" localSheetId="23" name="_xlnm._FilterDatabase">'#Tiger Balm 2025'!$A$2:$Y$149</definedName>
    <definedName hidden="1" localSheetId="24" name="_xlnm._FilterDatabase">'#Other Products 2026'!$A$2:$Z$461</definedName>
    <definedName hidden="1" localSheetId="25" name="_xlnm._FilterDatabase">'#Tiger Balm 2026'!$A$2:$Y$178</definedName>
    <definedName hidden="1" localSheetId="26" name="_xlnm._FilterDatabase">'Extended Gate Fee'!$A$4:$D$761</definedName>
    <definedName hidden="1" localSheetId="30" name="_xlnm._FilterDatabase">'Other Products 2018'!$A$3:$O$250</definedName>
    <definedName hidden="1" localSheetId="31" name="_xlnm._FilterDatabase">'Tiger Balm 2018'!$A$3:$Z$108</definedName>
    <definedName hidden="1" localSheetId="32" name="_xlnm._FilterDatabase">'Other Products 2017'!$A$3:$O$274</definedName>
    <definedName hidden="1" localSheetId="33" name="_xlnm._FilterDatabase">'Tiger Balm 2016'!$A$3:$I$92</definedName>
    <definedName hidden="1" localSheetId="35" name="_xlnm._FilterDatabase">'Tiger Balm 2013'!$A$2:$I$49</definedName>
    <definedName hidden="1" localSheetId="36" name="_xlnm._FilterDatabase">'Tiger Balm 2014'!$A$2:$I$93</definedName>
    <definedName hidden="1" localSheetId="37" name="_xlnm._FilterDatabase">'Tiger Balm 2015'!$A$3:$I$60</definedName>
    <definedName hidden="1" localSheetId="10" name="Z_D323515A_3346_4B3A_AC6E_D498D2CE12A3_.wvu.FilterData">'Other Products 2021'!$A$2:$Z$316</definedName>
    <definedName hidden="1" localSheetId="14" name="Z_D323515A_3346_4B3A_AC6E_D498D2CE12A3_.wvu.FilterData">'#Other Products 2022'!$A$2:$AA$393</definedName>
    <definedName hidden="1" localSheetId="15" name="Z_D323515A_3346_4B3A_AC6E_D498D2CE12A3_.wvu.FilterData">'#Other Products 2023'!$A$2:$AA$505</definedName>
    <definedName hidden="1" localSheetId="20" name="Z_D323515A_3346_4B3A_AC6E_D498D2CE12A3_.wvu.FilterData">'#Other Products 2024'!$A$2:$Z$733</definedName>
    <definedName hidden="1" localSheetId="22" name="Z_D323515A_3346_4B3A_AC6E_D498D2CE12A3_.wvu.FilterData">'#Other Products 2025'!$A$2:$Z$397</definedName>
    <definedName hidden="1" localSheetId="24" name="Z_D323515A_3346_4B3A_AC6E_D498D2CE12A3_.wvu.FilterData">'#Other Products 2026'!$A$2:$Z$330</definedName>
    <definedName hidden="1" localSheetId="10" name="Z_20EEC496_0D08_4E73_A8E0_60C165BF345B_.wvu.FilterData">'Other Products 2021'!$A$2:$Z$316</definedName>
    <definedName hidden="1" localSheetId="14" name="Z_20EEC496_0D08_4E73_A8E0_60C165BF345B_.wvu.FilterData">'#Other Products 2022'!$A$2:$AA$400</definedName>
    <definedName hidden="1" localSheetId="15" name="Z_20EEC496_0D08_4E73_A8E0_60C165BF345B_.wvu.FilterData">'#Other Products 2023'!$A$2:$AA$505</definedName>
    <definedName hidden="1" localSheetId="20" name="Z_20EEC496_0D08_4E73_A8E0_60C165BF345B_.wvu.FilterData">'#Other Products 2024'!$A$2:$Z$740</definedName>
    <definedName hidden="1" localSheetId="22" name="Z_20EEC496_0D08_4E73_A8E0_60C165BF345B_.wvu.FilterData">'#Other Products 2025'!$A$2:$Z$397</definedName>
    <definedName hidden="1" localSheetId="24" name="Z_20EEC496_0D08_4E73_A8E0_60C165BF345B_.wvu.FilterData">'#Other Products 2026'!$A$2:$Z$330</definedName>
    <definedName hidden="1" localSheetId="10" name="Z_7D5F711D_5A8F_448B_80F8_7ED115B7D700_.wvu.FilterData">'Other Products 2021'!$A$2:$Z$316</definedName>
    <definedName hidden="1" localSheetId="14" name="Z_7D5F711D_5A8F_448B_80F8_7ED115B7D700_.wvu.FilterData">'#Other Products 2022'!$A$2:$AA$393</definedName>
    <definedName hidden="1" localSheetId="15" name="Z_7D5F711D_5A8F_448B_80F8_7ED115B7D700_.wvu.FilterData">'#Other Products 2023'!$A$2:$AA$505</definedName>
    <definedName hidden="1" localSheetId="20" name="Z_7D5F711D_5A8F_448B_80F8_7ED115B7D700_.wvu.FilterData">'#Other Products 2024'!$A$2:$Z$733</definedName>
    <definedName hidden="1" localSheetId="22" name="Z_7D5F711D_5A8F_448B_80F8_7ED115B7D700_.wvu.FilterData">'#Other Products 2025'!$A$2:$Z$397</definedName>
    <definedName hidden="1" localSheetId="24" name="Z_7D5F711D_5A8F_448B_80F8_7ED115B7D700_.wvu.FilterData">'#Other Products 2026'!$A$2:$Z$330</definedName>
    <definedName hidden="1" localSheetId="10" name="Z_95BBA70E_041C_4252_8140_8C60EDD1FE61_.wvu.FilterData">'Other Products 2021'!$A$2:$Z$316</definedName>
    <definedName hidden="1" localSheetId="14" name="Z_95BBA70E_041C_4252_8140_8C60EDD1FE61_.wvu.FilterData">'#Other Products 2022'!$A$2:$AA$393</definedName>
    <definedName hidden="1" localSheetId="15" name="Z_95BBA70E_041C_4252_8140_8C60EDD1FE61_.wvu.FilterData">'#Other Products 2023'!$A$2:$AA$505</definedName>
    <definedName hidden="1" localSheetId="20" name="Z_95BBA70E_041C_4252_8140_8C60EDD1FE61_.wvu.FilterData">'#Other Products 2024'!$A$2:$Z$733</definedName>
    <definedName hidden="1" localSheetId="22" name="Z_95BBA70E_041C_4252_8140_8C60EDD1FE61_.wvu.FilterData">'#Other Products 2025'!$A$2:$Z$397</definedName>
    <definedName hidden="1" localSheetId="24" name="Z_95BBA70E_041C_4252_8140_8C60EDD1FE61_.wvu.FilterData">'#Other Products 2026'!$A$2:$Z$330</definedName>
    <definedName hidden="1" localSheetId="9" name="Z_00B2829D_B7E0_4616_9A59_3B9A6276FFD8_.wvu.FilterData">'Other Products 2020'!$B$1:$B$299</definedName>
    <definedName hidden="1" localSheetId="10" name="Z_00B2829D_B7E0_4616_9A59_3B9A6276FFD8_.wvu.FilterData">'Other Products 2021'!$A$2:$Z$316</definedName>
    <definedName hidden="1" localSheetId="14" name="Z_00B2829D_B7E0_4616_9A59_3B9A6276FFD8_.wvu.FilterData">'#Other Products 2022'!$A$2:$AA$393</definedName>
    <definedName hidden="1" localSheetId="15" name="Z_00B2829D_B7E0_4616_9A59_3B9A6276FFD8_.wvu.FilterData">'#Other Products 2023'!$A$2:$AA$505</definedName>
    <definedName hidden="1" localSheetId="20" name="Z_00B2829D_B7E0_4616_9A59_3B9A6276FFD8_.wvu.FilterData">'#Other Products 2024'!$A$2:$Z$733</definedName>
    <definedName hidden="1" localSheetId="22" name="Z_00B2829D_B7E0_4616_9A59_3B9A6276FFD8_.wvu.FilterData">'#Other Products 2025'!$A$2:$Z$397</definedName>
    <definedName hidden="1" localSheetId="24" name="Z_00B2829D_B7E0_4616_9A59_3B9A6276FFD8_.wvu.FilterData">'#Other Products 2026'!$A$2:$Z$330</definedName>
    <definedName hidden="1" localSheetId="39" name="Z_00B2829D_B7E0_4616_9A59_3B9A6276FFD8_.wvu.FilterData">'Archive (Other Products 2012)'!$A$3:$I$209</definedName>
    <definedName hidden="1" localSheetId="10" name="Z_A68C8BD8_0AC8_4474_A1AC_D148C94E75F1_.wvu.FilterData">'Other Products 2021'!$A$2:$Z$316</definedName>
    <definedName hidden="1" localSheetId="14" name="Z_A68C8BD8_0AC8_4474_A1AC_D148C94E75F1_.wvu.FilterData">'#Other Products 2022'!$A$2:$AA$393</definedName>
    <definedName hidden="1" localSheetId="15" name="Z_A68C8BD8_0AC8_4474_A1AC_D148C94E75F1_.wvu.FilterData">'#Other Products 2023'!$A$2:$AA$505</definedName>
    <definedName hidden="1" localSheetId="20" name="Z_A68C8BD8_0AC8_4474_A1AC_D148C94E75F1_.wvu.FilterData">'#Other Products 2024'!$A$2:$Z$733</definedName>
    <definedName hidden="1" localSheetId="22" name="Z_A68C8BD8_0AC8_4474_A1AC_D148C94E75F1_.wvu.FilterData">'#Other Products 2025'!$A$2:$Z$397</definedName>
    <definedName hidden="1" localSheetId="24" name="Z_A68C8BD8_0AC8_4474_A1AC_D148C94E75F1_.wvu.FilterData">'#Other Products 2026'!$A$2:$Z$330</definedName>
  </definedNames>
  <calcPr/>
  <customWorkbookViews>
    <customWorkbookView activeSheetId="0" maximized="1" windowHeight="0" windowWidth="0" guid="{D323515A-3346-4B3A-AC6E-D498D2CE12A3}" name="Filter 6"/>
    <customWorkbookView activeSheetId="0" maximized="1" windowHeight="0" windowWidth="0" guid="{A68C8BD8-0AC8-4474-A1AC-D148C94E75F1}" name="Filter 4"/>
    <customWorkbookView activeSheetId="0" maximized="1" windowHeight="0" windowWidth="0" guid="{7D5F711D-5A8F-448B-80F8-7ED115B7D700}" name="Filter 5"/>
    <customWorkbookView activeSheetId="0" maximized="1" windowHeight="0" windowWidth="0" guid="{20EEC496-0D08-4E73-A8E0-60C165BF345B}" name="Filter 2"/>
    <customWorkbookView activeSheetId="0" maximized="1" windowHeight="0" windowWidth="0" guid="{95BBA70E-041C-4252-8140-8C60EDD1FE61}" name="Filter 3"/>
    <customWorkbookView activeSheetId="0" maximized="1" windowHeight="0" windowWidth="0" guid="{00B2829D-B7E0-4616-9A59-3B9A6276FFD8}" name="Filter 1"/>
  </customWorkbookViews>
  <pivotCaches>
    <pivotCache cacheId="0" r:id="rId50"/>
    <pivotCache cacheId="1" r:id="rId51"/>
    <pivotCache cacheId="2" r:id="rId52"/>
    <pivotCache cacheId="3" r:id="rId53"/>
  </pivotCaches>
  <extLst>
    <ext uri="GoogleSheetsCustomDataVersion2">
      <go:sheetsCustomData xmlns:go="http://customooxmlschemas.google.com/" r:id="rId54" roundtripDataChecksum="7sPOHMpF8m/oYfRkqi5UgNva/JkuzjM5JEECibhZOiY="/>
    </ext>
  </extLst>
</workbook>
</file>

<file path=xl/sharedStrings.xml><?xml version="1.0" encoding="utf-8"?>
<sst xmlns="http://schemas.openxmlformats.org/spreadsheetml/2006/main" count="41087" uniqueCount="16355">
  <si>
    <t>Sheet Last updated: SDH 12/24/2013</t>
  </si>
  <si>
    <t xml:space="preserve">
</t>
  </si>
  <si>
    <t>Designation Location</t>
  </si>
  <si>
    <t>OTHER PRODUCTS</t>
  </si>
  <si>
    <t>ETA</t>
  </si>
  <si>
    <t xml:space="preserve">Received FDA release notification </t>
  </si>
  <si>
    <t>Arrived at warehouse</t>
  </si>
  <si>
    <t>PO#</t>
  </si>
  <si>
    <t>Port</t>
  </si>
  <si>
    <t># of ctns</t>
  </si>
  <si>
    <t>Container #</t>
  </si>
  <si>
    <t>Product Description</t>
  </si>
  <si>
    <t>Date</t>
  </si>
  <si>
    <t>Remarks (eg submitted paperwork,FDA action, etc)</t>
  </si>
  <si>
    <t>NJ</t>
  </si>
  <si>
    <t>TCNU6156207</t>
  </si>
  <si>
    <t>Ginger Candy 124g</t>
  </si>
  <si>
    <t>EN#2009760-7.  12/6: Send OBL</t>
  </si>
  <si>
    <t>UESU2100727</t>
  </si>
  <si>
    <t>Gullon</t>
  </si>
  <si>
    <t>EN#2010176-3.  TLX released.</t>
  </si>
  <si>
    <t>OAK</t>
  </si>
  <si>
    <t>FCIU3757425</t>
  </si>
  <si>
    <t>Loc Maria: Plain Crispy Crepes 1.25kg, ET Gal Cara Vanille 120g, ET Gal Choc Orange 120g</t>
  </si>
  <si>
    <t>EN#2009761-5.  TLX released.</t>
  </si>
  <si>
    <t>LA</t>
  </si>
  <si>
    <t>HJCU6107302</t>
  </si>
  <si>
    <t>AM GSG RT: Alum Foil, Tag to Sun Ten</t>
  </si>
  <si>
    <t>N/A</t>
  </si>
  <si>
    <t xml:space="preserve">EN#2010221-7.  TLX released.  </t>
  </si>
  <si>
    <t>GLDU7680702</t>
  </si>
  <si>
    <t>Green Tea 100's/J-Green Tea 100's/Jas-Green Tea100's/OL Tea 100's/Wht Tea 100's</t>
  </si>
  <si>
    <t>EN#2009415-8.  YD13-T07. 11/25: Send OBL.</t>
  </si>
  <si>
    <t>Many</t>
  </si>
  <si>
    <t>MSCU5615072</t>
  </si>
  <si>
    <t>Paper Box, Glass Bottle, Injket Machine, Printed Matter, Banner, Plastic Bag, Bak Foong Pills, Garlic POwder</t>
  </si>
  <si>
    <t>EN#2009815-9.  TLX released. There are 100ctns of Garlic Powder to Global Marketing, bill OF and all charges to GMA after arrival.  One of printed matter is KEN stuff. Please help to pass it to him.  12/17/13: container is being transferred to Bobac for examination.  12/23: container needs to be examed by FDA, SDH will notify GW once container arrives POPSF.  12/26: transfer to BOBAC on 12/27 or 12/30 By Bentz.  1/6: 1560 boxes EYS Bak Foong Yun belongs to POP SF, 1570 boxes Bak Foong Yun belongs to SANUS. 1/7/14: FDA came inspect and will have response in 10 business days.</t>
  </si>
  <si>
    <t>CMAU4280809</t>
  </si>
  <si>
    <t>Ginger Honey Crystals 10's/30's</t>
  </si>
  <si>
    <t>Add chassis fee.  unloading fee: $191.40  EN#2009892-8.  SH-&gt;HK-&gt;LA.  Contract #13NSS0908</t>
  </si>
  <si>
    <t>SEGU9055600</t>
  </si>
  <si>
    <t>Delacre:Prince Collection 6x700g, Tea Time 6x1kg, Roules d or 6x1kg, Delichoc Lait 150g, Delichoc Noir 150g, Biarritz 12x175g, Marquisettes 12x175g</t>
  </si>
  <si>
    <t xml:space="preserve">EN#2010344-7.  TLX released.  total delivery charge: $841.75
</t>
  </si>
  <si>
    <t>HDMU6441047</t>
  </si>
  <si>
    <t>POP Loquat Pastilles 130g</t>
  </si>
  <si>
    <t>EN#2009661-7.  TLX released.</t>
  </si>
  <si>
    <t>TCNU9130525</t>
  </si>
  <si>
    <t xml:space="preserve">EN#2009813-4.  BP13NSS0906.  12/10: Mail OBL.  15 cs x1400 for AM sample pack project.  </t>
  </si>
  <si>
    <t>MRKU4004878</t>
  </si>
  <si>
    <t>ORG Grn Tea 100's/ORG JAS Tea 100's/ Dragon Well 250g/Pearl Jasmin 150g/Ti Guan Yin 250g/Pu-erh 200g</t>
  </si>
  <si>
    <t>EN#2009426.  13TM030.  12/9: Mailed OBL.  12/10: The cont was transferred to BOBAC yesterday 12/9.  Right now BOBAC system shows unloaded, Waiting for customs exam.  12/12: Customs cleared.  LFD: 12/18.</t>
  </si>
  <si>
    <t>FCIU8926662</t>
  </si>
  <si>
    <t>Delacre: Ensemble RED 6x300g, Royal Belgian Collection 4x700g, Prince Collection 6x700g, Tea Time 6x1kg, Roles d or 6x1kg</t>
  </si>
  <si>
    <t>EN#2007873-0. TLX Released.</t>
  </si>
  <si>
    <t>MRKU3481259</t>
  </si>
  <si>
    <t>EN#2008345-8.  11/5: Send OBL</t>
  </si>
  <si>
    <t>GVCU5312776</t>
  </si>
  <si>
    <t>EN#2009190-7.  Unloading fee $138.00.  Contract#13NSS0905.  SH-&gt;HK-&gt;NJ.  TLX Released.</t>
  </si>
  <si>
    <t>HDMU2296510</t>
  </si>
  <si>
    <t>Facial Mask 10's, Display, Flyer</t>
  </si>
  <si>
    <t>EN#2009568-4.  12/4: Mailed OBL.  LFD: 12/9</t>
  </si>
  <si>
    <t>HLXU1056264</t>
  </si>
  <si>
    <t>McVities Digestive 400g</t>
  </si>
  <si>
    <t>EN#2008279-9.  TLX Released. LFD 12/9</t>
  </si>
  <si>
    <t>MSKU0543894</t>
  </si>
  <si>
    <t>Delacre: Belgian Collection 4x700g, Prince Collection 6x700g, Tea Time 6x1kg, Roules d or 6x1kg, Ensemble Red 6x300g</t>
  </si>
  <si>
    <t>EN#2007337-6.  TLX Released</t>
  </si>
  <si>
    <t>WHLU4298297</t>
  </si>
  <si>
    <t>American GSG Inst Tea, Ins WD AM GSG Tea 100'/60'/20'</t>
  </si>
  <si>
    <t>EN#2009999.  Inv#2006012-13.  11/27: Mailed OBL.</t>
  </si>
  <si>
    <t>MSKU6271089</t>
  </si>
  <si>
    <t>Organic Green/White/Jasmine Tea 1.8gx100, Organic White Tea 1.8gx20</t>
  </si>
  <si>
    <t xml:space="preserve">EN#2008732-7.  13TM033.  11/27: Mailed OBL.  </t>
  </si>
  <si>
    <t>TCLU5512651</t>
  </si>
  <si>
    <t>Delacre</t>
  </si>
  <si>
    <t>EN#2007294-9.  TLX Released</t>
  </si>
  <si>
    <t>KKTU7297146</t>
  </si>
  <si>
    <t>Panax Ginseng Extractum Oral Liquid 10ccx10/30, Red Ginseng Royal Jelly 10ccX10/30</t>
  </si>
  <si>
    <t>EN#2008765-7.  2013TAT03.  LFD: 12/2.  11/27: freight not available for pickup from terminal.  11/27: Mailed OBL.  Add $120 demurrage fee.</t>
  </si>
  <si>
    <t>NYKU4006222</t>
  </si>
  <si>
    <t>EN#2007015-8.  TLX Released. LFD 12/9</t>
  </si>
  <si>
    <t>MRKU8681049</t>
  </si>
  <si>
    <t>Panax GSG Extm</t>
  </si>
  <si>
    <t>EN#2008207-0. Inv#2013TAT02.  11/12: Send OBL.</t>
  </si>
  <si>
    <t>MEDU4086432</t>
  </si>
  <si>
    <t>AM GSG Hard Candy 8/4.78 oz</t>
  </si>
  <si>
    <t>EN#2008895-2.  TLX released.</t>
  </si>
  <si>
    <t>27448 NS1267</t>
  </si>
  <si>
    <t>HDMU5522606</t>
  </si>
  <si>
    <t>Paper Box, Flag &amp; Flagpole</t>
  </si>
  <si>
    <t>EN#2008894-5.  TLX released.</t>
  </si>
  <si>
    <t>CBHU9112148</t>
  </si>
  <si>
    <t xml:space="preserve">Green Tea 20/100's, JPN Grn Tea/Jasmine Tea/Oolong Tea/White TeaX100's, Organic Oolong Tea 20/100's </t>
  </si>
  <si>
    <t>Add chassis fee. EN#2008482-9.  YD13-T06.  10/28: Send OBL.</t>
  </si>
  <si>
    <t>MORU075589</t>
  </si>
  <si>
    <t>Lambertz: Composition Red 1kg, Exquisit 750g Gold/Red, Coco Fleur 125g, Balena 125g, Mandola 125g.</t>
  </si>
  <si>
    <t>EN#2009100-6</t>
  </si>
  <si>
    <t>TCNU8563921</t>
  </si>
  <si>
    <t>Seirogan Toi A</t>
  </si>
  <si>
    <t>EN#2008277-3. 10/31: Send OBL.  11/13: FDA Hold for Exam.  11/25 FDA released.</t>
  </si>
  <si>
    <t>27520 27521</t>
  </si>
  <si>
    <t>CBHU8184652 FCIU9559978</t>
  </si>
  <si>
    <t>Ginger Honey Crystal 10's/30's</t>
  </si>
  <si>
    <t>EN#2008267-4.  Contract#13NSS0903 and 13NSS0904.  SH-&gt;HK-&gt;NJ.</t>
  </si>
  <si>
    <t>DFSU6752082</t>
  </si>
  <si>
    <t>Corrugated Carton, Plastic Bag, Printed matter, Paper Cup/Box, Plastic Lid</t>
  </si>
  <si>
    <t>EN#2008597-4.  TLX Released.  There have one parcel in the 600pcs of plastic bag. Please help to pass it to Maria.</t>
  </si>
  <si>
    <t>EMCU3703067</t>
  </si>
  <si>
    <t>Panax GSG Extm, Green Tea Ext, Goji on the go</t>
  </si>
  <si>
    <t>EN#2008206-2.  Inv#2013TAT01.  11/12: Mailed OBL. 11/14: FDA Docs Review.  11/20: FDA detained Panax GSG Extm, Green Tea Ext.  Will proceed lab test with Anresco.  11/26: Samples picked up by Anresco.  12/6: Kenneth will request extension from FDA.  Lab reports expect to be complete in 12/9.  12/12: Lab reports received and sent to FDA.  12/19: FDA reviewer required additional information to be addressed by Anresco.  12/20: Anresco replied FDA on requested info.  12/23: FDA released!</t>
  </si>
  <si>
    <t>TCNU7194310</t>
  </si>
  <si>
    <t>Macadamia Nougat: Original, Cranberry, Green Tea</t>
  </si>
  <si>
    <t>EN#2008435-7.  TLX released.</t>
  </si>
  <si>
    <t>MSCU9285410</t>
  </si>
  <si>
    <t>Green Tea 20's/100's, Organic Green Tea 100's, Organic Oolong Tea 20's/100's</t>
  </si>
  <si>
    <t>EN#2007523-1.  YD13-T05.  10/11: Send OBL. LFD 11/13</t>
  </si>
  <si>
    <t>SEGU1373081</t>
  </si>
  <si>
    <t>Pally: Rich Tea, Digestive</t>
  </si>
  <si>
    <t xml:space="preserve">EN#2008269-0.  TLX released. </t>
  </si>
  <si>
    <t>CBHU6225388</t>
  </si>
  <si>
    <t xml:space="preserve">EN#2007872-2.  SH-&gt;HK-&gt;OAK.  Contract #13BE12010/13NSS0902.  TLX released. </t>
  </si>
  <si>
    <t>APZU3105200</t>
  </si>
  <si>
    <t>Gavottes Biscuits</t>
  </si>
  <si>
    <t xml:space="preserve">EN#2007728-6.  </t>
  </si>
  <si>
    <t>NS1234</t>
  </si>
  <si>
    <t>HDMU5542393</t>
  </si>
  <si>
    <t>Envelope, Calendars</t>
  </si>
  <si>
    <t xml:space="preserve">EN#2007955-5.  TLX Released.  11/5/13: hold by Customs。  11/7: x-ray exam.  11/11: Customs released. </t>
  </si>
  <si>
    <t>APZU4712743</t>
  </si>
  <si>
    <t>GSG Hard Candy 1 lb</t>
  </si>
  <si>
    <t xml:space="preserve">add chassis fee and a Global Terminal surcharge. EN#2007366-5. TLX released. </t>
  </si>
  <si>
    <t>OOLU1761629</t>
  </si>
  <si>
    <t xml:space="preserve">EN#2008280-7. </t>
  </si>
  <si>
    <t>MSCU4650150</t>
  </si>
  <si>
    <t xml:space="preserve">EN#2007521-5.  TLX released. </t>
  </si>
  <si>
    <t>FCIU8930852</t>
  </si>
  <si>
    <t>Paper box, sticker, calendars</t>
  </si>
  <si>
    <t>EN#2007250-1.  There have 2 boxes of Calenders for Gospel Operation. Please help to pass its to Maisie when arrival. TLX released.</t>
  </si>
  <si>
    <t>HJCU4454621</t>
  </si>
  <si>
    <t>Seirogan 100/400</t>
  </si>
  <si>
    <t>EN#2007370-7.  10/10: Send OBL.  10/17: under a Customs document review.  10/21: customs released.</t>
  </si>
  <si>
    <t>EN#2007370-7.</t>
  </si>
  <si>
    <t>NYKU7105168</t>
  </si>
  <si>
    <t>Delacre: Ensemble 6x300g, Ensemble Red 6x300g POPV13, Royal Belgian Collection 4x700g, Prince Collection 6x700g, Tea Time 6x1kg, Roules d or 6x1kg, Marquisettes 12x175g</t>
  </si>
  <si>
    <t>EN#2004024-3. TLX Released. LFD:10/17/13</t>
  </si>
  <si>
    <t>NYKU7125694</t>
  </si>
  <si>
    <t>Delacre: Ensemble 6x300g, Ensemble RED 6x300g POP V13, Grand Gala 6x500g, Royal Belgian Collection 4x700g, Tea Time 6x1kg, Roules d or 6x1kg, Prince Collection 6x700g</t>
  </si>
  <si>
    <t>EN#2004025-0. TLX Released</t>
  </si>
  <si>
    <t>CGMU9317046</t>
  </si>
  <si>
    <t>Delacre: Ensemble 6x300g, Ensemble Red 6x300g, Grand Gala 6x500g, Royal Belgian Collection 4x700g, Prince Collection 6x700g, Tea Time 6x1kg, Roules d or 6x1kg</t>
  </si>
  <si>
    <t>EN#2006882-2.  TLX Released</t>
  </si>
  <si>
    <t>KKTU7026381</t>
  </si>
  <si>
    <t>Coldaid, Fluaid</t>
  </si>
  <si>
    <t xml:space="preserve"> Add 5 days chassis fee charge due to port trucker strike.  EN#2007016-6.  Inv#2006008. Mailed OBL 10/10. LFD 10/18/13</t>
  </si>
  <si>
    <t>TCLU5889368</t>
  </si>
  <si>
    <t>EN#2006262-7. 9/24: Send OBL</t>
  </si>
  <si>
    <t>TCNU6916130</t>
  </si>
  <si>
    <t>Ginger Honey Crystal 10's/30's, Dark Brown Sugar Ginger Honey Crystals</t>
  </si>
  <si>
    <t xml:space="preserve">add chassis fee. EN#: 2007194-1.  SH-&gt;HK-&gt;LA. Contract #:13BE12009/13NSS0901/22092013LA.  TLX released. </t>
  </si>
  <si>
    <t>YMLU5355579</t>
  </si>
  <si>
    <t>Korean Red Ginseng Powder (5kgx36bags)</t>
  </si>
  <si>
    <t>EN#2006798-0.  9/19: Send OBL</t>
  </si>
  <si>
    <t>TRIU8957352</t>
  </si>
  <si>
    <t>Cheezheng Plaster</t>
  </si>
  <si>
    <t>EN#2006545-5.  TLX Released.</t>
  </si>
  <si>
    <t>CBHU6133620</t>
  </si>
  <si>
    <t>EN#2006492-0.  Inv# 2006011-13. 9/27: Mailed OBL</t>
  </si>
  <si>
    <t>MSKU1457980</t>
  </si>
  <si>
    <t>Ginger Honey Crystals 10's/ 30's</t>
  </si>
  <si>
    <t xml:space="preserve">add chassis fee. EN#2005916-9. Inv# BP13BE12008. 9/23: Intensive Exam Hold.  9/25: Mail OBL.  9/26: DO dispatch, Intensive Exam Hold Released. </t>
  </si>
  <si>
    <t>FSCU5656500</t>
  </si>
  <si>
    <t>Lambertz: Gebaeckdose composition, Coco-Fleur, Balena, Exquisit Red tin</t>
  </si>
  <si>
    <t>EN#2007258-4</t>
  </si>
  <si>
    <t>TGHU9943804</t>
  </si>
  <si>
    <t xml:space="preserve">EN#2006211-4.  9/16: Mailed OBL. 9/20: FDA doc review.  9/23: some items need FDA exam: MS HYALURONAN FACIAL MASK Total: 630 Box (630 Box, 10 Pieces)
MS CAMELLIA FACIAL MASK Total: 546 Box (546 Box, 10 Pieces)
MS Q10 COLLAGEN FACIAL MASK Total: 546 Box (546 Box, 10 Pieces)
MS SILK 7IN1 FACIAL MASK Total: 1120 Box (1120 Box, 10 Pieces)
MS SILK ASCORBIC ACID FACIAL MASK Total: 200 Pieces (200 Pieces). Others released.  9/30: FDA inspection. </t>
  </si>
  <si>
    <t>MSKU9330077</t>
  </si>
  <si>
    <t>Organic Green/White tea 100's, Org white tea 20's, Dragon Well Green Tea 250g, Po Li Chun Green tea 300g, Jasmine Green tea 300g, Oolong tea 300g, Ti Guan Yin tea 250g, Pu-Erh Black tea 20g</t>
  </si>
  <si>
    <t>add chassis fee. EN#2005988-8. Inv# 13TM026</t>
  </si>
  <si>
    <t>HDMU5486392</t>
  </si>
  <si>
    <t>Paper Box for Prince Choice Cookies, Poster</t>
  </si>
  <si>
    <t>EN#2006363-3.  TLX Released.</t>
  </si>
  <si>
    <t>NYKU3483621</t>
  </si>
  <si>
    <t>POP 3 in 1 Tea Latte</t>
  </si>
  <si>
    <t>EN#2005798-1</t>
  </si>
  <si>
    <t>HLXU6756804</t>
  </si>
  <si>
    <t>EN#2004078-9.  TLX Released</t>
  </si>
  <si>
    <t>TCLU1273965</t>
  </si>
  <si>
    <t>Delacre: Prince collection 6x, tea time 6x1kg, ensemble red 6x300g, roule de or 6x1kg</t>
  </si>
  <si>
    <t>EN#2004077-1. TLX Released</t>
  </si>
  <si>
    <t>MRKU3362157</t>
  </si>
  <si>
    <t>Org Green/Org Jasmine/Org White/Org Blackx100, Org Greenx20, Jasmine Green/Pu-Erh Black 200g box</t>
  </si>
  <si>
    <t>Inv#13TM024, EN#2005712-2.  9/6: Send OBL.</t>
  </si>
  <si>
    <t>MANY</t>
  </si>
  <si>
    <t>HDMU5554199</t>
  </si>
  <si>
    <t>Prince's Choice Cookie tin, paper box, plastic tray, label, plastic bag, Catalog (Goumet/Supplement)</t>
  </si>
  <si>
    <t>EN#2006074-6. 8/22: "There have 1 box of pressing pin (PO#NS1208) inside the AG 4oz NFT Label carton. Please help to pass it to Danny."
TLX released.</t>
  </si>
  <si>
    <t>TRLU8141281</t>
  </si>
  <si>
    <t>Organic Green Tea/Jasmine Tea/Organic Oolong Tea/Oolong Tea/Ti Kuan Yin X 100's, Green tea/Organic Oolong Tea x 20's</t>
  </si>
  <si>
    <t>EN#2005707-2, Inv#YD13-T-04. 8/20: Send OBL. LFD 9/9</t>
  </si>
  <si>
    <t>GESU9194107</t>
  </si>
  <si>
    <t>Delacre: Ensemble 300g, Belgian Collect'n 700g, Tea Time 1k, Roules d'Or 1k, Delichoc Milk/Dark 150g, Milk/Dark Chocolate Biscuits 150g</t>
  </si>
  <si>
    <t>EN#2003937-7. LFD 9/6</t>
  </si>
  <si>
    <t>NYKU7943556</t>
  </si>
  <si>
    <t>Delacre: Belgian Collection 799g, Prince Collection 700g, Tea Time 1kg, Roules d or 1kg, Ensemble RED 300g</t>
  </si>
  <si>
    <t>EN#2004076-3. TXL Released</t>
  </si>
  <si>
    <t>006-37570960</t>
  </si>
  <si>
    <t>Cheezheng Pain Relieving Plaster (By Air)</t>
  </si>
  <si>
    <t>Inv#CZ135025. EN#9001722-0</t>
  </si>
  <si>
    <t>HDMU6980706</t>
  </si>
  <si>
    <t>Paper box, plastic lid/bottle</t>
  </si>
  <si>
    <t>n/a</t>
  </si>
  <si>
    <t>EN#2005244-6。 PO#27243, 27244, 27281. 8/1: There have a sample of Mac Nut Dark Chocolate box inside the white bottle cap(1575pcs) carton. Please help to pass it to Maria.</t>
  </si>
  <si>
    <t>EMCU1412951</t>
  </si>
  <si>
    <t>American Ginseng Instant Tea 20's/100's, Instant WAG Tea 20's/100's</t>
  </si>
  <si>
    <t xml:space="preserve">Inv#2006009-13, EN#2004740-4. 8/2: 这个货柜的后面装有4箱塑料插头共11万个，请收货时注意。8/16: Mailed OBL. 8/20: LFD 8/26. </t>
  </si>
  <si>
    <t>OOLU3868982</t>
  </si>
  <si>
    <t>EN#2003835-3. TLX release. 8/15: Need updated FDA Registration # from vendor. LFD: 8/22</t>
  </si>
  <si>
    <t>SZLU9637950</t>
  </si>
  <si>
    <t>Delacre: Ensemble 300g, Belgian Collect'n 700g, Tea Time 1k, Roules d'Or 1k</t>
  </si>
  <si>
    <t>EN#2003938-5. TLX released.</t>
  </si>
  <si>
    <t>APHU7169508</t>
  </si>
  <si>
    <t>add chassis fee. EN#2004258-7. 7/29: Send OBL. LFD 8/20</t>
  </si>
  <si>
    <t>MORU5808977</t>
  </si>
  <si>
    <t>POP Honey Loquat Pastilles 130g</t>
  </si>
  <si>
    <t>EN#2004195-1. TLX released.</t>
  </si>
  <si>
    <t>Ultimate</t>
  </si>
  <si>
    <t>CBHU3711806</t>
  </si>
  <si>
    <t>Wu-Long Tea 60's</t>
  </si>
  <si>
    <t>add chassis fee. Inv#YD13-T02, EN#2004570-5, 7/22: Send OBL. LFD 8/13</t>
  </si>
  <si>
    <t>FCIU8802126</t>
  </si>
  <si>
    <t>Inv#BP13BE12007, EN#20036936, 7/22: Send OBL.</t>
  </si>
  <si>
    <t>ECMU9730497</t>
  </si>
  <si>
    <t>NZ Honey</t>
  </si>
  <si>
    <t>EN#2004079-7. TXL Released</t>
  </si>
  <si>
    <t>HDMU5492965</t>
  </si>
  <si>
    <t>Paper box, printed matter, stickers</t>
  </si>
  <si>
    <t>EN#2004334-6. TLX Released. DO Dispatched 7/29.</t>
  </si>
  <si>
    <t>TCNU7268731</t>
  </si>
  <si>
    <t>Macadamia Nut (Original/Cranberry/Green Tea)</t>
  </si>
  <si>
    <t>EN#2003544-1. TLX Released</t>
  </si>
  <si>
    <t>APZU3910929</t>
  </si>
  <si>
    <t>Soup Bags, Cup, Paper Box, Blades</t>
  </si>
  <si>
    <t>EN#: 2004011-0. PO# 27024, 27050, 27106, 27077, NS1133. TLX Released. 7/26: under FDA docs review and also USDA hold. 7/31: cup released, soup bag:pending FDA review.  8/2: FDA detained soup bags. Asked Greatworld to contact Anresco.  8/6: Anresco picked up samples. 8/8: Lab results tentatively available by 8/27.  8/30: Report available. 首烏 failed. Anresco sent complete report to FDA by FedEx. 9/10: FDA released ALL soup bags</t>
  </si>
  <si>
    <t>MSKU9922224</t>
  </si>
  <si>
    <t>Organic Jasmin/White/Black Tea X 100's, Organic White tea x 20's</t>
  </si>
  <si>
    <t>EN#2003592-0. Inv#13TM011. 7/18: Send OBL. LFD 7/26. (pull out by 7/26 and drop off on 7/29)</t>
  </si>
  <si>
    <t>CAIU8699581</t>
  </si>
  <si>
    <t>Organic Jasmin/White Tea x 100's, Organic White Tea x 20's, Pi Lo Chun Green Tea 300g</t>
  </si>
  <si>
    <t xml:space="preserve">EN#20038395, Inv#13TM012. 7/18: Send OBL. LFD 7/30.  </t>
  </si>
  <si>
    <t>CLHU4668617</t>
  </si>
  <si>
    <t>Digestive 400g</t>
  </si>
  <si>
    <t>add chassis fee. EN#2002667-1. TLX Released. LFD is 7/26/13</t>
  </si>
  <si>
    <t>OCGU2018715</t>
  </si>
  <si>
    <t>POP 3 in 1 Express Coffee</t>
  </si>
  <si>
    <t>EN#2003333-9. 7/8: Send OBL. 7/19: Greatworld Kenneth says $50 overpayment to EverGreen (PO27179) will be applied to this shipment. LFD 7/26</t>
  </si>
  <si>
    <t>KKFU6667690</t>
  </si>
  <si>
    <t>Moon Cakes</t>
  </si>
  <si>
    <t>EN#2003430-3. Inv# MC-0-2013003. 7/10: Mailed OBL. LFD 7/23. SPECIAL NOTE: This container not delivered by ETRANS as they cannot handle refer container.  7/22: $150 will be added for genset. 7/23: Trucker got stuck at terminal, too late to go to POPNJ. Will deliver on 7/24. 7/25: under FDA hold. 7/31: Roselle requests FDA to send status update.  8/1: FDA released.</t>
  </si>
  <si>
    <t>CMAU9109960</t>
  </si>
  <si>
    <t>Korean Ginseng Tea (K-80024, K-80027)</t>
  </si>
  <si>
    <t>EN#2003706-6, 7/10:Send OBL; Cont needs chassis fee. LFD:8/2</t>
  </si>
  <si>
    <t>BSIU9144156</t>
  </si>
  <si>
    <t>Tu Chung Tea, Young Ji Tea</t>
  </si>
  <si>
    <t>EN#2003726-4 7/11: Send OBL</t>
  </si>
  <si>
    <t>TEMU9179700</t>
  </si>
  <si>
    <t>AM GSG RT Alum Foil, Tag</t>
  </si>
  <si>
    <t>EN#2003534-2. TLX Released.</t>
  </si>
  <si>
    <t>SZLU9809684</t>
  </si>
  <si>
    <t>Add chassis fee. (special note per Winnie: $55 to pick up chassis at separate port, then maybe another $55 at return if chassis needs to go back to the port where chassis was picked up)  EN#2004164-7. Inv# MC-0-2013002. 7/10: Mailed OBL.</t>
  </si>
  <si>
    <t>CBHU9065257</t>
  </si>
  <si>
    <t>Green tea 100's, Organic Green tea 100's, Jasmine tea 100's, white tea 100's</t>
  </si>
  <si>
    <t xml:space="preserve">Add chassis rental fee.  EN#2003007-9, Inv#YD13-T03.  7/1 Send OBL.  LFD: 7/15. 7/15: Winnie called Edmund at 4:57pm and said driver still in terminal. POP's gate already locked. 7/16: Container delivered in morning. </t>
  </si>
  <si>
    <t>HDMU5471999</t>
  </si>
  <si>
    <t>Paper box, poster</t>
  </si>
  <si>
    <t>2003140-8, TLX Release.</t>
  </si>
  <si>
    <t>EMCU1334566</t>
  </si>
  <si>
    <t>Han's Honey Loquat, AM GSG Ins Tea(100/20/20x3), Ins Wild AM GSG(100)</t>
  </si>
  <si>
    <t>EN#2002665-5. Inv#2006006-13. 6/4: Per Lianqi, 这个货柜里放进了薄荷晶和薄荷姜王晶各4公斤，还有10条西洋参磨粉机的120目筛网(invoice, 人民幣800，Danny要的) 6/28: Mail OBL. LFD 7/10. (per BensonHu@evergreen-shipping.us)</t>
  </si>
  <si>
    <t>MAGU2216992</t>
  </si>
  <si>
    <t>Ginger Candy 150g</t>
  </si>
  <si>
    <t>EN#2002446-0. 6/26: Send OBL.  LFD: 7/9</t>
  </si>
  <si>
    <t>FSCU4975966</t>
  </si>
  <si>
    <t>Red Panax GSG Ext 10's/30's, Ginkgo Biloba &amp; Red PNX Ext 10's, Ult Ginkgo + w/Eleuthero&amp;Tibetan Rhodiola 30's, AM GSG w/Royal Jelly&amp;Bee Pollen 10', Ult Joint Health Liquid Ext 30's</t>
  </si>
  <si>
    <t xml:space="preserve">add additional charge of $60.00+19% for heavy weight.             EN#: 2002565-7. Inv#2006005-13. 5/31: 该货柜的后面装进了人参精10B空纸箱148个和银杏人参精10B空纸箱133个，没有报关，请收货时注意. NOTE: Need Vet Certificate for this shipment. Edmund will provide further instructions to Shirley/Junie. 6/19:SEND OBL. 6/23: on customs hold. 6/28: customs hold removed. 7/1: Red Panax Ginseng Extractum (ALL) - Pending Review by Compliance. Ginkgo Biloba &amp; Red Panax Ginseng Extract - Pending Review by Compliance. Ultra Ginkgo plus with eleuthero &amp; tibetan rhodiola - May Proceed. American Ginseng with royal jelly &amp; bee pollen - May Proceed. 
Ultra Joint Health Liquid Extract - May Proceed.  7/2: Received FDA Notice #1.  LFD: 7/9. 7/3: This is 40’ cont and the weight is 47,641 lb.,add an additional charge of $60.00+19%. 7/10: Greatworld Kenneths says he recd a revised arrival notice, freight charges should be $740 (vs original arrival notice $790.Will apply $50 overpayment to our next shipment with Evergreen Line.
</t>
  </si>
  <si>
    <t>TRIU8156332</t>
  </si>
  <si>
    <t>EN#2002673-9, Inv#JST-13007. 6/14: Send OBL. 6/21: customs X-Ray exam hold.  6/26: Still on x-ray exam hold.  7/1:Container is still on hold by Customs and is being transferred to PCC for further examination.7/5: Customs is still on hold for CET physical exam. 7/8: Customs released.</t>
  </si>
  <si>
    <t>NS1069</t>
  </si>
  <si>
    <t>APRU5790413</t>
  </si>
  <si>
    <t>Shrink Wrap Machine</t>
  </si>
  <si>
    <t>EN#2002394-2, 6/12: Express release. 6/19: Shipment held 
for X-Ray Exam. 6/25: Customs released the shipment</t>
  </si>
  <si>
    <t>TCNU8388011</t>
  </si>
  <si>
    <t>Paper box, label, flyer, box-inner tray, Plastic tray, leaflet, desiccant, paper bag</t>
  </si>
  <si>
    <t>EN#2002673-9, Inv#JST-13007. 6/14: Send OBL. 6/21: customs X-Ray exam hold.  6/26: Still on x-ray exam hold.  7/1:Container is still on hold by Customs and is being transferred to PCC for further examination.</t>
  </si>
  <si>
    <t>TGHU7396987</t>
  </si>
  <si>
    <t>Ginger Candy 125g</t>
  </si>
  <si>
    <t>Add chassis fee. EN#2001504-7. 5/28: Send BOL.  LFD 6/18.</t>
  </si>
  <si>
    <t>CARU9895414</t>
  </si>
  <si>
    <t>POP Green/Jasmine/Oolong/White tea 100's, POP Green/White tea 20's</t>
  </si>
  <si>
    <t xml:space="preserve">INV# YD13-T01, EN#2000943. 4/29: Send OBL. 5/10: STARTING THIS SHIPMENT, BILLED BY ETRANS DIRECTLY. LFD 6/4 </t>
  </si>
  <si>
    <t>SLSU7006001</t>
  </si>
  <si>
    <t>Seirogan 36/100/400</t>
  </si>
  <si>
    <t xml:space="preserve">EN#2001019. 5/7: Send OBL.  5/22: rejection notice from FDA for an invalid FDA Registration number.  5/23: Edmund sent GW FDA registration for Taiko. 5/29: FDA is released but shipment is on intensive exam. 5/31: LFD was on the 29th. As of today, there's already demurrage charges. 6/3: The total charges we had to pay St. George was $1,196.42: $721.42 - whse
 fees, $425 demurrage charges (5 days, $85/day), and $50 STG bank fee for wire transfers. 6/10: Per Joyce, the trucking charge includes a $100 wating time fee (2 hrs X $50) as POP/NJ had the driver wait at the warehouse while they were looking at the freight for any damages (they only have an hour of free time).
</t>
  </si>
  <si>
    <t>HDMU4659169</t>
  </si>
  <si>
    <t>Paper Box, Banner, Plastic Lid, Blades, Plastic Bag,Bak Foong Pill</t>
  </si>
  <si>
    <t>Add chassis fee. LFD 5/22. EN#2001142. TLX. 1 each of Battery inside the blade carton. Please pass it to Kitty Li (POPNY). 4 pcs of Am Gsg Candy 4.2oz box to MW &amp; 1 set of Grocery Magazine to BP inside the sample box. Please help to give it to them.PO#26969, 26943, 26951, 26987, 26942, 26970, 26650, 27010, NS1113, S1107, 26880.</t>
  </si>
  <si>
    <t>HJCU6085348</t>
  </si>
  <si>
    <t>EN#2001057. 4/30: Send OBL. 5/14: No FDA status yet</t>
  </si>
  <si>
    <t>TCLU2936240</t>
  </si>
  <si>
    <t>Rich Tea, Digestive biscuits</t>
  </si>
  <si>
    <t>EN#2000367.</t>
  </si>
  <si>
    <t>FSCU4212223</t>
  </si>
  <si>
    <t>American Ginseng Hard Candy 4.78/8oz</t>
  </si>
  <si>
    <t>Add chassis fee. EN#2000388.TLX, no need OBL. LFD 5/2</t>
  </si>
  <si>
    <t>CBHU3865036</t>
  </si>
  <si>
    <t>Red Panax Ginseng Ext 30's</t>
  </si>
  <si>
    <t>Inv#2012TAT14, EN#2000348. 4/23: Mail OBL.  LFD: 4/25.  5/8: FDA detained shipment. 5/9: Anresco took 40 boxes of samples for analysis. 5/23: Anresco submitted report to FDA.  5/24: Received FDA notice.  Extension has been granted for the red panax ginseng.  New respond by date is 7/3. 5/28: FDA Released shipment</t>
  </si>
  <si>
    <t>CBHU6131062</t>
  </si>
  <si>
    <t>Add chassis fee. TJ Inv#2006004-13, EN#2000311. 4/11: Send OBL. LFD: 4/25</t>
  </si>
  <si>
    <t>GLDU9664758</t>
  </si>
  <si>
    <t xml:space="preserve">Digestive </t>
  </si>
  <si>
    <t>Add chassis fee.  EN#1025230. TLX release. LFD 4/25</t>
  </si>
  <si>
    <t>CBHU8213848</t>
  </si>
  <si>
    <t>Ginger Honey Crystals 10's/30's,  Jujube Longan Honey Crystal 10's</t>
  </si>
  <si>
    <t>partial release (Ginger Honey Crystal released; Jujube Longan Detained)</t>
  </si>
  <si>
    <t>EN#2000312. Inv# BP13BE12006. Per Lianiqi, 该批红枣桂圆茶最后纸盒不够了，其中一箱少装了6盒，该箱的纸箱外贴了小标签注明“内装30盒”，请收货时注意。这6盒的金额，我已在发票中扣除。 4/12: Mailed OBL. 4/16: Roselle sent Customs ingredients list (to see if it passes anti-dumping). 4/17: Customs released, but FDA Exam Hold. Joyce will notify FDA on 4/19 after goods are available. 4/26: Edmund asked Joyce to notify FDA again.  4/30: Worker from FDA pick up the sample. 5/13: FDA Detained Jujube Longan Honey.  6/10: FDA Notice 4, in 90 days (Sep 09, 2013) either destroy or export Jujube Longan. 6/24:  Ken &amp; Maria's discussion result: decided to destroy the shipment at site.7/3: FDA does not allow destruction to take place at the Importer's facility. 7/11: GreatWorld locates FDA approved destruction site. POPLA should be contacted by first week of August to schedule destruction appointment. 7/19: Destruction appointment set for 7/24 9am. 7/24: Roselle confirmed destruction complete</t>
  </si>
  <si>
    <t>MRKU3914030</t>
  </si>
  <si>
    <t>POP Organic Green Tea/Jasmine 100's, POP Organic Oolong Tea 20's, POP Organic White Tea 20's/100's, Pu-Erh Tea 100's</t>
  </si>
  <si>
    <t>GL Inv# 13TM002. EN#1025198. 4/3: Send BOL; LFD: 4/15. Pull out by 4/15 and drop and pick on 4/17.</t>
  </si>
  <si>
    <t>TCNU9860020</t>
  </si>
  <si>
    <t>EN#1025060. 3/26 Send OBL. LFD 4/12. Pull out by 4/12 and drop and pick on 4/16</t>
  </si>
  <si>
    <t>CBHU8194985</t>
  </si>
  <si>
    <t>Ginger Honey Crystals</t>
  </si>
  <si>
    <t>Inv# BP13BE12005. EN#1025035. 4/3: Send BOL. 4/9: LFD 4/11. Pull out this one by 4/11 and Drop and Pick on 4/15</t>
  </si>
  <si>
    <t>MEDU4179730</t>
  </si>
  <si>
    <t>FOB. EN#1024925. LFD 4/11</t>
  </si>
  <si>
    <t>HDMU5508423</t>
  </si>
  <si>
    <t>(LCL) Paper Box, Banner, Labels, Printed Matter</t>
  </si>
  <si>
    <t>FOB. EN#1025308. PO#26843, 26907, NS1048, NS1068, NS1061. Instruction from Phoebe: 900pcs of Ken’s business card in this shipment, please pass to Maisie or Ken</t>
  </si>
  <si>
    <t>TCLU2874852</t>
  </si>
  <si>
    <t>EN#1025197. 3/27: Freight Released. LFD 4/4. (pull out by 4/4)</t>
  </si>
  <si>
    <t>LVNU1453712</t>
  </si>
  <si>
    <t>American Ginseng Instant Tea 20's/100's, Instant WAG Tea 100's</t>
  </si>
  <si>
    <t>Add chassis fee. TJ#2006003. EN#1024833. 3/22: Send OBL. 3/25:Freight Released.LFD 4/5</t>
  </si>
  <si>
    <t>TCNU6298475</t>
  </si>
  <si>
    <t xml:space="preserve">Ginger Honey Crystals </t>
  </si>
  <si>
    <t>Inv# BP13BE02003. EN#1024267. 3/6:  Send OBL.3/26: Freight Released. LFD 4/2</t>
  </si>
  <si>
    <t>TCLU2200156</t>
  </si>
  <si>
    <t>POP Milk Tea</t>
  </si>
  <si>
    <t>Add chassis fee. FOB. EN#1024718. 3/25: Freight Released. LFD 4/2</t>
  </si>
  <si>
    <t>UESU4626140</t>
  </si>
  <si>
    <t>Inv# BP13BE12004. EN#1024900. 3/20: Mail out OBL. 3/21: Freight hold by overseas agent. Informed Lianqi to release shipment. 3/22: Freight released. LFD 3/29</t>
  </si>
  <si>
    <t>MSKU0089734</t>
  </si>
  <si>
    <t>POP Organic Green 20's/100's, Organic Jamine Oolong/Oolong/White Tea 100's</t>
  </si>
  <si>
    <t>GL Inv# 13TM005. EN#1024162. 3/6: Send OBL. LFD 3/15.</t>
  </si>
  <si>
    <t>CLHU8572431</t>
  </si>
  <si>
    <t>AMG Instant Tea/Instant WAG Tea 20's/100's, Bulk Scholartree Fruit Tree.</t>
  </si>
  <si>
    <t>Add Chassis Fee.  TJ Inv# 2006002-13. EN#1024164. 随这个货柜还装去花旗参速溶茶和野山茶100茶包、20茶包纸盒各50个，10茶包小纸盒各300个，请收货时注意。  2/27: Send OBL. 3/1: placed on customs Vacis exam and Customs trade hold. Additional X-ray charges. 3/5: Customs &amp; Trade exam released. LFD: 3/8.</t>
  </si>
  <si>
    <t>OOLU8718500</t>
  </si>
  <si>
    <t>Add chassis fee. Inv# BP13BE02002.  EN#1024266. 2/27:  Send OBL. 3/1: USCBP (Custom &amp; Borders Protection) Agency hold for Intensive Exam. LFD 3/8</t>
  </si>
  <si>
    <t>APZU4514286</t>
  </si>
  <si>
    <t>Red Panax Ginseng Ext 10's/30's, Ginkgo Biloba &amp; Red Panax Ext 30's, Ult Ginkgo plus w/Eleuthero &amp; Tibetan Rhodiola 30's</t>
  </si>
  <si>
    <t>TJ Inv# 2006001-13. EN#1023899. 2/14: Send OBL. 3/6:  FDA exam needed. 3/7: The Ultra Ginkgo Plus will need to be examined by FDA, other three items have been detained and will require a private lab test.  3/11:  Carroll notified Kenneth container ready for FDA exam. Edmund talked to Kenneth about private lab test arrangements. 3/20: Kenneth contacted FDA again. 3/22: Kenneth requested FDA officer to come again. 3/25: Anresco Kyle collected 100 boxes of C-70121, 40 boxes of C-70123, 40 boxes of C-70430. Kenneth got collection report and request FDA to extend respond deadline. 3/26: FDA officer Marissa Chan came to take pics of Ult Ginkgo plus. Called back and verbal ok. Keep an eye for FDA release message.  4/2:pending private lab results and FDA review. 4/8: Kenneth sent another reminder to FDA. 4/9: Lab analysis completed. Lab will send report to FDA today. 4/10: Kenneth at Greatworld says may take up to 15 days for FDA to respond. 4/11: Only Ultra Ginkgo Plus released. 4/29: Kenneth requested update from FDA.</t>
  </si>
  <si>
    <t>TGHU4776854</t>
  </si>
  <si>
    <t>American Ginseng Hard Candy 1lb</t>
  </si>
  <si>
    <t>FOB. EN#1024078. LFD 3/8</t>
  </si>
  <si>
    <t>TRLU7098431</t>
  </si>
  <si>
    <t>Green Tea 100's, Organic Green Tea 100's/20's, Oolong Tea 100's</t>
  </si>
  <si>
    <t>Inv# HBG12-33. EN#1023732. 1/28: Send OBL. 3/4: Per Jimmy, container pull out on 3/7 and delivery on 3/8. LFD 3/7.</t>
  </si>
  <si>
    <t>APHU6609860</t>
  </si>
  <si>
    <t>EN#1023937. 2/20: Need to email Packing list to Greatworld. 2/27: Toll Global pick up OBL.</t>
  </si>
  <si>
    <t>FSCU9788850</t>
  </si>
  <si>
    <t>AMG RT Tag/Alum Foil  (Sun Ten)</t>
  </si>
  <si>
    <t xml:space="preserve">FOB.  EN#1024387. </t>
  </si>
  <si>
    <t>GESU5352333</t>
  </si>
  <si>
    <t>EN#1023412. 2/6: Send OBL. LFD: 3/6.</t>
  </si>
  <si>
    <t>TCLU5691881</t>
  </si>
  <si>
    <t>Honey Loquat Pastilles</t>
  </si>
  <si>
    <t xml:space="preserve">EN#1024105. Express release. </t>
  </si>
  <si>
    <t>OOLU8881550</t>
  </si>
  <si>
    <t xml:space="preserve">POP Organic Green/Jasmine 100's, Organic Oolong/White 20's/100's, Pu-Erh 100's </t>
  </si>
  <si>
    <t>Add Chassis Fee. GL Inv# 13TM001. EN#1024229. 2/25: Mail out OBL. LFD: 3/5.</t>
  </si>
  <si>
    <t>MAGU2213859</t>
  </si>
  <si>
    <t>EN#1023918. 2/21:  Mail out OBL. LFD: 3/1.</t>
  </si>
  <si>
    <t>GLDU3909703</t>
  </si>
  <si>
    <t>POP Coffee</t>
  </si>
  <si>
    <t>EN#1023736. 2/11: Send OBL.  LFD: 3/1.</t>
  </si>
  <si>
    <t>TRLU4880914</t>
  </si>
  <si>
    <t>Red Panax Ginseng Ext 10's/30's, Ginkgo Biloba &amp; Red Panax Ginseng Ext 30's, Ult Ginkgo plus w/ Eleuthero &amp; Tibetan Rhodiola 30's, Ult Joint Health Liquid Ext 30's</t>
  </si>
  <si>
    <t>TJ Inv# 2006026-12.  EN#1022887. Need to prepare Vet cert when docs arrive. 2/14: Send OBL.  2/21:  FDA exam needed.  2/25:  Carroll notify Joyce, container is ready for FDA exam. 2/26: Joyce notified FDA for exam.</t>
  </si>
  <si>
    <t>OOLU1881706</t>
  </si>
  <si>
    <t>Dong Quai &amp; Red Date Tea, Dark Brown Sugar Ginger Honey Crystal, Goji Berry Chrysanthemum Honey Crystal.</t>
  </si>
  <si>
    <t>partial release (Dong Quai, Dark Brown Sugar released; Goji Berry detained)</t>
  </si>
  <si>
    <t>Add rental chassis fee.   Inv# BP13BE02001. EN#1023936. 2/21:  Mail out OBL. LFD: 3/1.   2/25:  Per Kenneth, still on FDA hold. 2/26:  FDA requested pictures for all items labelling include all sides and must be legible. Carroll sent pics to Greatworld. 2/28:  Need FDA exam. Kenneth notified FDA, shipment ready to examine. 3/4: FDA officer Josephine Chavez (510)4551362 took 2 boxes of Goji Berry for sample. 3/6: Dong Quai and Dark Brown Sugar released. 3/20: FDA estimated completion date was 3/19. 3/26: Kenneth asked for an update. 4/2: Kenneth sent another reminder to FDA.  4/8: Kenneth sent another reminder to FDA. 4/10: FDA has detained Goji Berry Chrysanthemum Honey Crystals.  4/12: Goji Berry Chrysanthemum Honey Crystals detention notice received. 5/31: POPHK received shipment</t>
  </si>
  <si>
    <t>HJCU7684021</t>
  </si>
  <si>
    <t>EN#1024087.   2/11: Send OBL. 2/25:  Per Kenneth,  still on FDA hold. 2/26:  FDA exam needed. Kenneth notified FDA, container is ready to exam. 3/4: FDA officer Josephine Chavez (510)4551362 came to take pictures of product.</t>
  </si>
  <si>
    <t>MSCU9740684</t>
  </si>
  <si>
    <t>Organic Tea (Green, Oolong, White)</t>
  </si>
  <si>
    <t>Inv# 12TM095.  EN#1023853. 2/14: Send OBL. LFD: 2/26.</t>
  </si>
  <si>
    <t>HDMU2586762</t>
  </si>
  <si>
    <t>Paper Box, Plastic Tray, Label, Oxygen Absorber, Banner, Carpet, Books (SOBEM), Packaging Material (Plastic Bag/Flyer)</t>
  </si>
  <si>
    <t>Add rental Chassis Fee.  PO#26843, 26738, 26844, 26879, NS1043, 26882, NS1015, NS1032.  EN#1024021. * Fwd Carpet to Alicia. 7 cs of SOBEM books to Maisie, 1 parcel to Ken and 1 to Billy. 2/20: Container ready to pick up but no LFD yet.</t>
  </si>
  <si>
    <t>CBHU8509700</t>
  </si>
  <si>
    <t>Inv# 12BE02055. EN#1023108. 2/8: Send OBL. 2/11: Intensive Exam Hold. LFD 2/20</t>
  </si>
  <si>
    <t>MSCU7100203</t>
  </si>
  <si>
    <t>Green, Oolong Tea 100's</t>
  </si>
  <si>
    <t>WH Inv# HBG12-31.  EN#1023103. 1/22: Send OBL. LFD: 2/12.</t>
  </si>
  <si>
    <t>MSKU0351660</t>
  </si>
  <si>
    <t>POP Organic Green/Jasmine/Oolong/White 100's &amp; Organic White 20's</t>
  </si>
  <si>
    <t>GL Inv# 12TM097. EN#1023102. 2/4:  Mail out OBL. LFD: 2/8. Container will pull out on 2/8 and deliver on 2/11 per Jimmy.</t>
  </si>
  <si>
    <t>MRKU8905581</t>
  </si>
  <si>
    <t>Panax Ginseng Ext Oral Liquid / Red Ginseng RJ 30's</t>
  </si>
  <si>
    <t>Inv# 2012TAT15.  Per vendor, short shipped 1 case of Red Ginseng RJ.  Requested vendor to revise shipping doc details. EN#1022872. 1/24: Send OBL. 2/5: Customs intensive exam hold.  2/6: Custom released. Container will pull out on 2/8 and deliver on 2/11.  FDA exam needed. 2/6: LFD changed from 2/8 to 2/11. 2/11: Edmund asked Joyce to notify FDA. 2/19:FDA Investigator Tiffany examined captined shipment this morning and verbal ok.</t>
  </si>
  <si>
    <t>TCNU6210376</t>
  </si>
  <si>
    <t>POP Organic Jasmine/Oolong/White 100's, Organic White 20's</t>
  </si>
  <si>
    <t>GL inv# 12TM092. EN#1023356.  2/4:  Mail out OBL. LFD: 2/11.</t>
  </si>
  <si>
    <t>CBHU8601972</t>
  </si>
  <si>
    <t>Green Tea 20's/100's, Oolong Tea 100's</t>
  </si>
  <si>
    <t>WH Inv# HBG12-32. EN#1023399. 1/22: Send OBL. LFD: 2/8.</t>
  </si>
  <si>
    <t>OOLU7512460</t>
  </si>
  <si>
    <t>Korean Ginseng Tea (K-80027)</t>
  </si>
  <si>
    <t xml:space="preserve">EN#1023358. 1/24: Send OBL.  2/5: Kenneth sends reminder to FDA.  LFD: 2/8.  </t>
  </si>
  <si>
    <t>26304 (2 of 2)</t>
  </si>
  <si>
    <t>HDMU5500736</t>
  </si>
  <si>
    <t>YNBY (Plaster, Capsules)</t>
  </si>
  <si>
    <t>EN#1023703. 1/23: Goods left port on 1/14. Late ISF.  1/31: Mail out OBL. 2/4:  Per Kenneth, customs just released shipment. Will deliver in next few days. 2/5: Kenneth sends reminder to FDA. 2/6:  FDA inspection needed.  Kenneth notified FDA, goods ready for inpection. FDA officer, Jossie will come tomorrow 2/7 between 10:30 -12:00 Tel: 510 337 6768, Cell: 510 455 1362. 2/7: Plaster released per FDA notice#1; officer checked label only. Received full released notice from Greatworld.</t>
  </si>
  <si>
    <t>CBHU5876148</t>
  </si>
  <si>
    <t>Red Ginseng RJ / UltS Red Panax Ginseng Ext 30's</t>
  </si>
  <si>
    <t>Inv# 2012TAT16.  12/27: Per Vendor, shipped additional 1 case Red Ginseng RJ.  Requested vendor to revise shipping doc details. EN#1022871.  1/21:  Haven't received OBL still, Grace email Vendor to do telex releaese.  Vendor replied OBL already sent out.  LFD: 1/28. 1/22: Lolita said banks received docs, will UPS to us on 1/23.  1/24: Mail out OBL. 1/25: Container released.</t>
  </si>
  <si>
    <t>CBHU1875879</t>
  </si>
  <si>
    <t>AMG Instant Tea, Instant WAMG Tea</t>
  </si>
  <si>
    <t>Inv# 2006027-12. EN#1022605.  1/17:  Mail out OBL. LFD: 1/28.</t>
  </si>
  <si>
    <t>CBHU9152897</t>
  </si>
  <si>
    <t>Inv# 12BE02054.  EN#1022491.  1/17:  Mail out OBL. LFD: 1/28.</t>
  </si>
  <si>
    <t>MSCU4733189</t>
  </si>
  <si>
    <t>American Ginseng Hard Candy (8oz, 4.78oz)</t>
  </si>
  <si>
    <t>FOB. EN#1022500.  LFD: 1/28.</t>
  </si>
  <si>
    <t>OOLU8893817</t>
  </si>
  <si>
    <t>POP Organic Green Tea 20's/100's, Organic Oolong Tea 20's, Pu-Erh Tea 100's</t>
  </si>
  <si>
    <t>GL Inv# 12TM086. EN#1022606. 1/17: Mail out OBL. LFD: 1/24.</t>
  </si>
  <si>
    <t>WLNU9906626</t>
  </si>
  <si>
    <t xml:space="preserve">EN#1021543. 12/18: Send OBL. </t>
  </si>
  <si>
    <t>TEMU2451570</t>
  </si>
  <si>
    <t>Panax Ginseng Ext 10's/30's, Green Tea Ext w/Panax Ginseng, Goji on the go</t>
  </si>
  <si>
    <t>Inv# 2012TAT13.  EN#1021635.  12/24:  Send OBL. 1/11: Customs Hold. Transfer for exam. 1/16: FDA Exam Notify. 1/18: Carroll informed Joyce to notify FDA. LFD 1/18.</t>
  </si>
  <si>
    <t>CGMU9329643</t>
  </si>
  <si>
    <t>Cheezheng Pain Relieving Plaster</t>
  </si>
  <si>
    <t>EN#1021772.  1/2/13: container is still in LA, stacked underneath multiple other containers, Greatworld trying to get the container out and moved to OAK. 1/7/13:  Forwarder will try to move the container in LA today, ETA: 1/14 to OAK. 1/8/13: Per forwarder, container pulled out and on its way to OAK. 1/14: Greatworld asked FDA for status update</t>
  </si>
  <si>
    <t>MRKU4540870</t>
  </si>
  <si>
    <t>POP Organic Green Tea 20's/100's, Organic Oolong Tea 20's/100's, Organic White Tea 100's, Pu-Erh Tea 100's</t>
  </si>
  <si>
    <t>GL Inv# 12TM085. EN#1021989. 1/7: Carroll mailed OBL. LFD 1/11</t>
  </si>
  <si>
    <t>HDMU5497308</t>
  </si>
  <si>
    <t>Paper Box, Plastic Box, Labels, Dehumidifier Machine, Inkjet Printer, Powder Machine, Envelope, Oxygen Absorber</t>
  </si>
  <si>
    <t xml:space="preserve">FOB.  EN#1022497. PO# 26753, 26752, 26781, 26775, NS1000, NS993, NN211, NS996, NN212, NN210 </t>
  </si>
  <si>
    <t>TGHU4327241</t>
  </si>
  <si>
    <t>Ginkgo Biloba &amp; Red Panax Ginseng Ext, BJ RJ w/Bee Pollen, Ult Ginkgo Plus w/Eleuthero &amp; Tibetan Rhodiola, Ult Joint Health Liquid Ext</t>
  </si>
  <si>
    <t>Inv# 2006025-12. EN#1022061.  Need to prepare Vet Certificate when docs arrive.  12/31: Send OBL with vet cert. 1/4/13: USDA hold shipment. 1/7: Container available to pick up, LFD: 1/11.</t>
  </si>
  <si>
    <t>TGHU4177455</t>
  </si>
  <si>
    <t>Red Panax Ginseng Ext 30's, Ginkgo Biloba &amp; Red Panax Ginseng Ext 10's/30's, Ultra Ginkgo Plus w/Eleuthero &amp; Tibetan Rhodiola, Ultra Joint Health Liquid Ext.</t>
  </si>
  <si>
    <t>Inv# 2006022-12.  EN#1021015.  Need to prepare Vet Certificate when docs arrive. 12/24: Send OBL with vet cert.  1/7:  USDA hold shipment. 1/10: Released by Customs/USDA. LFD 1/10. Trucker can only pull out container on 1/11.</t>
  </si>
  <si>
    <t>CBHU8428039</t>
  </si>
  <si>
    <t>D-13112 &amp; D-15112 Green Tea 100's, Oolong Tea 100's, Ti Kuan Yin Tea 100's)</t>
  </si>
  <si>
    <t>WH Inv# HBG12-30. EN#1022395. 12/26: Send OBL. LFD: 1/10. 1/14: Sherry said container was pulled out on 1/10, but delivered on 1/11 late afternoon. Unload should be complete by noon and container can be returned without penalty (which will start if returned after 1/15)</t>
  </si>
  <si>
    <t>MRKU3410105</t>
  </si>
  <si>
    <t>Organic Tea (Oolong, White, Black)</t>
  </si>
  <si>
    <t xml:space="preserve">Inv# 12TM078.  EN#1021735.  1/7:  Carroll mailed OBL.  LFD: 1/9/13. </t>
  </si>
  <si>
    <t>26304 (1 of 2)</t>
  </si>
  <si>
    <t>180-77568805</t>
  </si>
  <si>
    <t>YNBY Plaster &amp; Capsule (Air Shipment)</t>
  </si>
  <si>
    <t xml:space="preserve">EN#7068152.  LFD 1/8. 1/7: FDA Exam needed. Carroll notified Roselle goods are available. 1/9: FDA Investigator Mark Nakano (650)2444732 came. </t>
  </si>
  <si>
    <t>MSCU4641101</t>
  </si>
  <si>
    <t>FOB.  EN#1021737.   1/4:  USDA hold shipment. 1/10: Released by Customs/USDA. LFD 1/10. Trucker can only pull out container on 1/11</t>
  </si>
  <si>
    <t>MSCU8304243</t>
  </si>
  <si>
    <t>Green Tea 100's, Oolong Tea 100's</t>
  </si>
  <si>
    <t>WH Inv# HBG12-28.  EN#1021673.  12/18: Send OBL.</t>
  </si>
  <si>
    <t>GATU8562955</t>
  </si>
  <si>
    <t>Inv# 12BE02049.   EN#1021736.  12/24:  Send OBL.</t>
  </si>
  <si>
    <t>HLXU5124731</t>
  </si>
  <si>
    <t>Add Chassis fee.  LFD: 1/8/13.</t>
  </si>
  <si>
    <t>180-77568794</t>
  </si>
  <si>
    <t>YNBY Plaster (Free Order, air shipment)</t>
  </si>
  <si>
    <t>CAXU9597360</t>
  </si>
  <si>
    <t>Green Tea 20's/100's, Jasmine Tea 100's, White Tea 20's.</t>
  </si>
  <si>
    <t>WH Inv# HBG12-27. 11/26: Send OBL. 11/29: May have late ISF.  LFD: 1/7</t>
  </si>
  <si>
    <t>GVCU5136424</t>
  </si>
  <si>
    <t>Japanese Green Tea/Jasmine Tea 100's, White Tea 20's</t>
  </si>
  <si>
    <t>add chassis fee, LFD 1/4/13. WH Inv# HBG12-29. 12/18: Send OBL</t>
  </si>
  <si>
    <t>TTNU1752593</t>
  </si>
  <si>
    <t>Panax Ginseng Ext 10's/30's, Reg Ginseng RJ 10's/30's</t>
  </si>
  <si>
    <t>Inv# 2012TAT12. 12/21: We mail OBL. 12/31:  FDA Exam needed. Notify Greatworld when goods arrived.  LFD: 1/7/13.  1/3/13:  Per Sherry, trucker will pull the container out on 1/7/13 and deliver on 1/8/13.  1/8:  Carroll notified Joyce shipment available for FDA exam. 1/15: FDA officer examined goods and have verbal release</t>
  </si>
  <si>
    <t>OOLU8761699</t>
  </si>
  <si>
    <t>add chassis fee, LFD 1/3/13. Inv# 12BE02045. 12/21: We mail OBL.</t>
  </si>
  <si>
    <t xml:space="preserve">Updated: JPC 1/13/15 </t>
  </si>
  <si>
    <t xml:space="preserve">                                                                       </t>
  </si>
  <si>
    <t>Terms</t>
  </si>
  <si>
    <t>TCLU2309023</t>
  </si>
  <si>
    <t>Gavottes Crepes</t>
  </si>
  <si>
    <t>EN#2025781-3.T/R</t>
  </si>
  <si>
    <t>FOB</t>
  </si>
  <si>
    <t>HLXU6135237</t>
  </si>
  <si>
    <t>Organic green tea100's/20's, organic jasmine 100's, organic white tea 100's/20's, Gift tea Bulks: dragon well, pi lo chun, oolong, ti kuan yin, jasmine, pu-erh</t>
  </si>
  <si>
    <t>EN#2024022-3. Inv#14TM040 OBL send: 11/24. LFD:12/26</t>
  </si>
  <si>
    <t>DFSU4285754</t>
  </si>
  <si>
    <t>Red ginseng royal jelly (C-70050, C-70052)</t>
  </si>
  <si>
    <t xml:space="preserve">EN#2024616-2 Inv#2014TAT04. 12/9: UPS OBL. </t>
  </si>
  <si>
    <t>CBHU3903455</t>
  </si>
  <si>
    <t>Delacre biscuits</t>
  </si>
  <si>
    <t>EN#2023161-0</t>
  </si>
  <si>
    <t>HDMU2644998</t>
  </si>
  <si>
    <t>EN#2023162-8</t>
  </si>
  <si>
    <t>TGHU8863788</t>
  </si>
  <si>
    <t>EN#2022945-7. Note: "the delivery for $1250 plus chassis fee."</t>
  </si>
  <si>
    <t>CARU2688225</t>
  </si>
  <si>
    <t>POP Instant Tea Latte</t>
  </si>
  <si>
    <t>EN#2023454-9 T/R. 12/17: "Pier waiting additional 4hrs $ 220.00. "</t>
  </si>
  <si>
    <t>MSKU6872135</t>
  </si>
  <si>
    <t xml:space="preserve">AM. GSG. candy </t>
  </si>
  <si>
    <t>EN#2023735-1 T/R</t>
  </si>
  <si>
    <t>TCKU1444588</t>
  </si>
  <si>
    <t>Gavottes Crepes/cookies</t>
  </si>
  <si>
    <t>EN#2024839-0 T/R</t>
  </si>
  <si>
    <t>MAXU4479596</t>
  </si>
  <si>
    <t>AM GSG inst Tea 100's/60's/20's, Wild AM GSG Inst Tea 100's/60's</t>
  </si>
  <si>
    <t xml:space="preserve">EN#2023365-7. Inv#2006016-14/14A-10-1016 OBL send: 11/4. 12/12: Pier waiting additional 1hr $ 55.00.  </t>
  </si>
  <si>
    <t>YMLU3348483</t>
  </si>
  <si>
    <t>Ginger Honey Crystals w/ Plum, Lemon, AM GSG</t>
  </si>
  <si>
    <t>EN#2023907-6.Inv#14NSS0335 T/R.</t>
  </si>
  <si>
    <t>BSIU9221695</t>
  </si>
  <si>
    <t>Organic green tea 100's/ 20's</t>
  </si>
  <si>
    <t>EN#2023909-2. Inv#YD14-T11 OBL send: 11/3. "Pier waiting additional ½ $ 27.50".</t>
  </si>
  <si>
    <t>UNIU4033138</t>
  </si>
  <si>
    <t>Generic Tin, Gift tea box</t>
  </si>
  <si>
    <t>EN#2023776-5 T/R</t>
  </si>
  <si>
    <t>GESU5100202</t>
  </si>
  <si>
    <t xml:space="preserve">Honey Loquat Candy </t>
  </si>
  <si>
    <t>EN#2023734-4 T/R</t>
  </si>
  <si>
    <t>MORU1100090</t>
  </si>
  <si>
    <t>Lambertz Biscuits</t>
  </si>
  <si>
    <t>EN#2023908-4 T/R</t>
  </si>
  <si>
    <t>MRKU6505518</t>
  </si>
  <si>
    <t>Red Panax Ginseng Extractum C-70113</t>
  </si>
  <si>
    <t xml:space="preserve">EN#2023115-6 Inv#2006013-14 / 14A-10-1013 OBL send: 10/31.  </t>
  </si>
  <si>
    <t>FCIU9903002</t>
  </si>
  <si>
    <t>Instant Tea - Chinese Herbal Tea F / C</t>
  </si>
  <si>
    <t>EN#2023116-4 T/R</t>
  </si>
  <si>
    <t>MSKU8864648</t>
  </si>
  <si>
    <t>Ginger Honey Crystals 30's</t>
  </si>
  <si>
    <t>EN#2023038-0 Inv#14NSS0331 T/R</t>
  </si>
  <si>
    <t>NS1519</t>
  </si>
  <si>
    <t>HMMU9065276</t>
  </si>
  <si>
    <t>Boxes, Outer cartons, calendars, cap calendars, envelopes, inner sheets</t>
  </si>
  <si>
    <t>EN#2022917-6 T/R</t>
  </si>
  <si>
    <t>HDMU5514508</t>
  </si>
  <si>
    <t>EN#2023113-1 T/R</t>
  </si>
  <si>
    <t>ITAU4199784</t>
  </si>
  <si>
    <t>EN#2022264-3 T/R. Pier waiting additional 4hrs $220.00</t>
  </si>
  <si>
    <t xml:space="preserve">TTNU8103765 </t>
  </si>
  <si>
    <t>Delacre Biscuits</t>
  </si>
  <si>
    <t>EN#2021047-3 T/R</t>
  </si>
  <si>
    <t>CARU5784937</t>
  </si>
  <si>
    <t>Wing Wah sweeten roll 1lb/2lb, black sesame sweeten roll 1lb, phoenix roll 1lb, sauffle roll 350g, walnut cookies 600g, almond cookies 900g</t>
  </si>
  <si>
    <t>EN#2023114-9 T/R</t>
  </si>
  <si>
    <t>ECMU2007151</t>
  </si>
  <si>
    <t>Red panax ginseng extractum (C-70113), Goji on the go (C-70730)</t>
  </si>
  <si>
    <t>EN#2022668-5 Inv#2014TAT03 OBL send: 10/31</t>
  </si>
  <si>
    <t>EITU0405532</t>
  </si>
  <si>
    <t>POP Intstant cappucino 3 in 1</t>
  </si>
  <si>
    <t>EN#2022549-7 OBL send: 10/2. pier waiting additional 2hrs ½ $ 137.50</t>
  </si>
  <si>
    <t>28398 28400</t>
  </si>
  <si>
    <t>CBHU3684423</t>
  </si>
  <si>
    <t>MS Silk Facial Mask</t>
  </si>
  <si>
    <t>EN#2022821-0 OBL send: 10/24</t>
  </si>
  <si>
    <t>CLHU4651506</t>
  </si>
  <si>
    <t xml:space="preserve">Ginger Honey Crystals 10's </t>
  </si>
  <si>
    <t>EN#2021123-2 14NSS0329 OBL send: 9/18 LFD: 11/5</t>
  </si>
  <si>
    <t>GATU4236586</t>
  </si>
  <si>
    <t>Panax GSG Extract(Pine) 10's/ 30's, Green tea extract</t>
  </si>
  <si>
    <t>EN#2021593-6. Inv#2014TAT02.  OBL send: 10/28</t>
  </si>
  <si>
    <t>APHU7348798</t>
  </si>
  <si>
    <t>Ginger candy 124g/bulk</t>
  </si>
  <si>
    <t>EN#2021781-7 OBL send: 10/8</t>
  </si>
  <si>
    <t>PONU8067407</t>
  </si>
  <si>
    <t>POP Organic green tea 20's/100's, Organic Jasmine tea, Organic White tea 20's/100's</t>
  </si>
  <si>
    <t>EN#2022372-4 Inv#14TM035/TM140211F OBLsend: 10/22</t>
  </si>
  <si>
    <t>MSCU9437786</t>
  </si>
  <si>
    <t>Organic Oolong tea100's, Oolong tea 100's/12's, Ti Kuan Yin Tea, Jasmine tea</t>
  </si>
  <si>
    <t>EN#2022314-6 YD14-T12 OBL send: 9/29 URGENT</t>
  </si>
  <si>
    <t>MRKU4589361</t>
  </si>
  <si>
    <t>AM. GSG. candy 6 oz / 1 lb</t>
  </si>
  <si>
    <t>EN#2022654-5 T/R. additional Pier waiting chargel $27.50 (½ hour )</t>
  </si>
  <si>
    <t>SEGU4986826</t>
  </si>
  <si>
    <t>EN#2021685-0 OBL send: 10/8</t>
  </si>
  <si>
    <t>OOLU3580900</t>
  </si>
  <si>
    <t>EN#2021336-0 T/R</t>
  </si>
  <si>
    <t>XINU4032250</t>
  </si>
  <si>
    <t>AM GSG candy 8oz / 4.78oz</t>
  </si>
  <si>
    <t>EN#2021982-1 T/R</t>
  </si>
  <si>
    <t>TEMU3401846</t>
  </si>
  <si>
    <t>Ginger honey crystal 10g</t>
  </si>
  <si>
    <t>EN#2022144-7 Inv#14NSS0334 OBL send:10/9</t>
  </si>
  <si>
    <t>MAGU2402180</t>
  </si>
  <si>
    <t xml:space="preserve">Red panax ginseng extractum 10's/30's, AM GSG W/ Royal jell &amp;bee pollen, Ultra joint health </t>
  </si>
  <si>
    <t>EN#2021986-2, Inv#2006010-14 / 14A-10-1010 OBL send: 9/29</t>
  </si>
  <si>
    <t>EITU1217231</t>
  </si>
  <si>
    <t>Macadamia Nougat Original, Cranberry,Green</t>
  </si>
  <si>
    <t>EN#2022012-6 T/R</t>
  </si>
  <si>
    <t>MSKU1592928</t>
  </si>
  <si>
    <t>Organic green tea 100's/20's, Organic jasmine tea 100's, Organic white tea 100's/20's</t>
  </si>
  <si>
    <t>EN#2020987-1. Inv#14TM030/TM140211E. OBL send: 9/19</t>
  </si>
  <si>
    <t>HNSU4005658</t>
  </si>
  <si>
    <t>AM GSG inst Tea 100's/60's, Wild AM GSG Inst Tea 100's/60's</t>
  </si>
  <si>
    <t>EN#2020233-0. Inv#14NSS0333. OBL send: 8/27. Under USDA exam:9/23. off USDA hold on 10/13, but not available for pick up yet. there will be additional exam fee and per diem charge</t>
  </si>
  <si>
    <t>NYKU7933964</t>
  </si>
  <si>
    <t>Delacre Ensemble, Delacre Fingers, Royal Belgian Collection</t>
  </si>
  <si>
    <t>EN#2022011-8 T/R</t>
  </si>
  <si>
    <t>MRKU0961892</t>
  </si>
  <si>
    <t xml:space="preserve">EN#2020180-3 Inv#2014TAT01. OBL send: 9/4. </t>
  </si>
  <si>
    <t>28285 NS1468</t>
  </si>
  <si>
    <t>MRKU9217984/ MRKU9545938</t>
  </si>
  <si>
    <t>Box&amp;Sleeve -Ginseng root tea bag, box&amp;sleeve - gsg chry tea bag, box&amp;sleeve - gsg honey tea bag, box - gsg rose tea bag, POP Generic Chinese tea tin, Manuka tag, calenda(non-POP items)</t>
  </si>
  <si>
    <t>EN#2021036-6 T/R. LFD: 9/25</t>
  </si>
  <si>
    <t>PCIU8213532</t>
  </si>
  <si>
    <t>Green Tea D-13100, Jasmine Tea D-14100</t>
  </si>
  <si>
    <t>EN#2021299-0 YD14-T09. OBL send: 9/8</t>
  </si>
  <si>
    <t>MSCU5595377</t>
  </si>
  <si>
    <t>AM GSG Hard Candy 8oz/4.78oz</t>
  </si>
  <si>
    <t>EN#2021335-2 T/R</t>
  </si>
  <si>
    <t>DRYU9081602</t>
  </si>
  <si>
    <t>Green tea D-13112, Oolong tea D-15112</t>
  </si>
  <si>
    <t>EN#2021300-6 YD14-T10 OBL send: 9/8</t>
  </si>
  <si>
    <t>TCNU8333488</t>
  </si>
  <si>
    <t>EN#2020150-6. Send OBL: 8/25. LFD: 9/25. pier waiting  3hrs ½ additional $ 192.50.</t>
  </si>
  <si>
    <t>TTNU4858275</t>
  </si>
  <si>
    <t>Seirogan 36's / 100's / 400's</t>
  </si>
  <si>
    <t>EN#2020995-4 OBL mailed: 8/29 LFD: 9/18</t>
  </si>
  <si>
    <t>TCNU8094275</t>
  </si>
  <si>
    <t>Gullon cookies</t>
  </si>
  <si>
    <t>EN#2021207-3 T/R</t>
  </si>
  <si>
    <t>EGSU5019561</t>
  </si>
  <si>
    <t>EN#2020626-5 T/R</t>
  </si>
  <si>
    <t>28244 Part</t>
  </si>
  <si>
    <t>CRSU9241751</t>
  </si>
  <si>
    <t>Almond Cookies 900g</t>
  </si>
  <si>
    <t>EN#2020548-1 T/R</t>
  </si>
  <si>
    <t>BSIU9138750</t>
  </si>
  <si>
    <t>EN#2020270-2. OBL8/11</t>
  </si>
  <si>
    <t>TRLU6498161</t>
  </si>
  <si>
    <t>EN#2020476-5 T/R LFD: 9/12</t>
  </si>
  <si>
    <t>GLDU9832701</t>
  </si>
  <si>
    <t>EN#2020149-8. Send OBL: 8/25</t>
  </si>
  <si>
    <t>GESU9144770</t>
  </si>
  <si>
    <t>EN#2019682-1 T/R</t>
  </si>
  <si>
    <t>28352 28229</t>
  </si>
  <si>
    <t>FCIU8948640</t>
  </si>
  <si>
    <t>KR GSG Powder, KR gsg tea bulk</t>
  </si>
  <si>
    <t>EN#2020405-4 OBL send:8/27</t>
  </si>
  <si>
    <t>28328 28329</t>
  </si>
  <si>
    <t>EGSU5000530</t>
  </si>
  <si>
    <t>Tsaio Jimmy</t>
  </si>
  <si>
    <t>EN#2019995-7 OBL:8/13</t>
  </si>
  <si>
    <t>GESU4762586</t>
  </si>
  <si>
    <t>Manuka Honey</t>
  </si>
  <si>
    <t>EN#2019990-8. T/R</t>
  </si>
  <si>
    <t>28267 28265 28286 28247 28264 NS1472 NS1492 28199 NS1445 NS1458</t>
  </si>
  <si>
    <t>MSCU4320858</t>
  </si>
  <si>
    <t>Lables-POP Honey crystals 1.5lbs, Tins(sample from gold loyal), paper boxes-G cardboard w/red plating, desiccant-oxygen absorber, paper trays, plastic bags, Rattan baskets, paper caps, catalogs</t>
  </si>
  <si>
    <t>EN#2020106-8 T/R' LFD 9/4</t>
  </si>
  <si>
    <t>GATU1354630</t>
  </si>
  <si>
    <t xml:space="preserve">EN#2019307-5 T/R. </t>
  </si>
  <si>
    <t xml:space="preserve"> HLXU8742380</t>
  </si>
  <si>
    <t>EN#2019094-9 T/R. LFD: 8/28. pier waiting time  from 12:56pm-3:39pm. additional 1hr $ 55.00</t>
  </si>
  <si>
    <t>APHU6554541</t>
  </si>
  <si>
    <t>EN#2018806-7. send obl: 7/29. LFD: 8/28. Pire waiting 8am-2:31pm additional 4hrs ½ $ 247.50.</t>
  </si>
  <si>
    <t>GESU5680733</t>
  </si>
  <si>
    <t xml:space="preserve">EN#2018310-0. Send OBL: 7/18. </t>
  </si>
  <si>
    <t>BSIU2428947</t>
  </si>
  <si>
    <t>Pally Biscuits</t>
  </si>
  <si>
    <t>EN#2020232-2 T/R There is a waiting time fee for this container</t>
  </si>
  <si>
    <t>PCIU8141068</t>
  </si>
  <si>
    <t>Organic oolong tea 100's/20's, Oolong tea 100's</t>
  </si>
  <si>
    <t>EN#2019991-6. YD14-T08. Send OBL: 8/7</t>
  </si>
  <si>
    <t>EISU3988635</t>
  </si>
  <si>
    <t>Coni</t>
  </si>
  <si>
    <t>EN#2019737-3 T/R</t>
  </si>
  <si>
    <t>MSCU4762886</t>
  </si>
  <si>
    <t>A.M. GSG hard candy 6oz/8oz/1lb</t>
  </si>
  <si>
    <t>EN#2019814-0 T/R</t>
  </si>
  <si>
    <t>TRLU5885633</t>
  </si>
  <si>
    <t>Wing Wah Egg Rolls 1lb/2lb, Black sesame seed egg rolls, Phoenix rolls,sauffee rolls, walnut cookies</t>
  </si>
  <si>
    <t>EN#2019834-8 T/R</t>
  </si>
  <si>
    <t>APRU5064257</t>
  </si>
  <si>
    <t>Loquat Candy</t>
  </si>
  <si>
    <t>EN#2019736-5. T/R</t>
  </si>
  <si>
    <t>YMLU3036633</t>
  </si>
  <si>
    <t>Dong Quai &amp; Red Date Instant Tea</t>
  </si>
  <si>
    <t>EN#2019675-5. Inv#14NSS0332 T/R</t>
  </si>
  <si>
    <t>TRLU5590421</t>
  </si>
  <si>
    <t xml:space="preserve">Ginger Honey Crystals 30's  </t>
  </si>
  <si>
    <t>EN#2018508-9. Inv#14NSS0330. 960cs on documents, acutal receiving: 931 cs. OBL send: 7/14. USDA exam on 8/4, USDA release on 8/27, there will be additional exam charge and diem charge</t>
  </si>
  <si>
    <t>TCNU7536731</t>
  </si>
  <si>
    <t>EN#2018672-3. Send OBL: 7/18</t>
  </si>
  <si>
    <t>DRYU9234996</t>
  </si>
  <si>
    <t>Organic Green tea 100's/20's</t>
  </si>
  <si>
    <t>EN#2018917-2. Inv#YD14-T07. OBL send: 7/16. LFD: 8/25, Pull container on 8/25, deliver on 8/26</t>
  </si>
  <si>
    <t>MORU1111963</t>
  </si>
  <si>
    <t>EN#2020123-3 T/R</t>
  </si>
  <si>
    <t>APHU7126743</t>
  </si>
  <si>
    <t>EN#2018212-8. Send OBL: 7/18. pier waiting 10:22am-1:37pm additional 1hr ½ $82.50</t>
  </si>
  <si>
    <t>APHU7399753</t>
  </si>
  <si>
    <t>EN#2019120-2. Inv#14NSS0328. D-04010 16 cases short. send obl: 7/25. USDA Hold:7/30</t>
  </si>
  <si>
    <t>MRKU7374942</t>
  </si>
  <si>
    <t>Red Panax GSG Extractum 10's/30's, Ginkgo Biloba &amp; red panax gsg extract 10's/30's, AM gsg w/ royal &amp; bee pollen</t>
  </si>
  <si>
    <t>EN#2017884-5  Invoice#2006005-14. Send OBL:7/3</t>
  </si>
  <si>
    <t>CAXU9069085</t>
  </si>
  <si>
    <t>Organic green tea100's/20's, Organic Oolong tea 100's, Ti Kuan Yin Tea 100's</t>
  </si>
  <si>
    <t>EN#2018267-2. Invoice#YD14-T06. Send OBL; 7/8</t>
  </si>
  <si>
    <t>NY</t>
  </si>
  <si>
    <t>BSIU9049652</t>
  </si>
  <si>
    <t>EN#2017071-9. Invoice#14NSS0320. Send OBL:6/24. delay: ETA 7/26. LFD:8/4</t>
  </si>
  <si>
    <t>UACU5617923</t>
  </si>
  <si>
    <t>EN#2018673-1 Invoice#14NSS0326. OBL mail: 7/25. LFD: 7/31</t>
  </si>
  <si>
    <t>MEDU6574919</t>
  </si>
  <si>
    <t>Han's Honey Loquat syrup, Instant Wild AM gsg tea</t>
  </si>
  <si>
    <t>EN#2018213-6 Contract#14A-10-1012 Inv#2006012-14. OBL send:7/16。 LFD: 7/31</t>
  </si>
  <si>
    <t>APHU7203449</t>
  </si>
  <si>
    <t>EN#2017706-0. OBL send:7/8</t>
  </si>
  <si>
    <t>28215 28063 28127 NS1446 28176 28126 NS1403</t>
  </si>
  <si>
    <t>TCNU6227255</t>
  </si>
  <si>
    <t>Labels-KR Red / AM GSG Capsules, chargers, Tins-WW Mooncakes, foams, paper boxes-am gsg, plastic lids-AM GSG, Banner-AM GSG</t>
  </si>
  <si>
    <t>EN#2018424-9. T/R</t>
  </si>
  <si>
    <t>SEGU4376649</t>
  </si>
  <si>
    <t>AM GSG RT-ALUM Foil / bag</t>
  </si>
  <si>
    <t>EN#2018444-7. Sun Ten. T/R</t>
  </si>
  <si>
    <t>MRKU1102377</t>
  </si>
  <si>
    <t>Organic Green Tea 100's, Organic Jasmine tea 100's, Organic White tea 100's</t>
  </si>
  <si>
    <t>EN#2017455-4. 14TM026/TM140211D. OBL mailed: 7/3</t>
  </si>
  <si>
    <t>27987 27988</t>
  </si>
  <si>
    <t>TCNU7999171 TCNU6012030</t>
  </si>
  <si>
    <t>1st container:7/18; 2nd container: 7/21</t>
  </si>
  <si>
    <t>EN#2017392-9. OBL send: 7/8. LFD:7/22</t>
  </si>
  <si>
    <t>HJCU1298572</t>
  </si>
  <si>
    <t>EN#2017764-9 Invoice#14NSS0325. Send OBL: 7/3</t>
  </si>
  <si>
    <t>YMLU8556622</t>
  </si>
  <si>
    <t>EN#2017883-7 Invoice#14NSS0322 T/R, GHC w/ Lemon 11cases short, GHC w/ AM gsg 1 case short. T/R</t>
  </si>
  <si>
    <t>TCLU5929840</t>
  </si>
  <si>
    <t>EN#2017763-1 Invice#14NSS0324. OBL mail: 7/14.</t>
  </si>
  <si>
    <t>SEGU1342521</t>
  </si>
  <si>
    <t>Red Panax GSG Extractum 30's</t>
  </si>
  <si>
    <t>EN#2017767-2 14A-101007 / 2006007-14. Send OBL:7/3</t>
  </si>
  <si>
    <t>EISU1679133</t>
  </si>
  <si>
    <t>Red Panax GSG Extractum 10's/30's, Ginkgo Biloba &amp; Red Panax GSG Extract 10's, Ultra Ginkgo Plus w/ Eleuthero &amp; Tibetan Rhodiola 30's, Beijing Royal Jelly w/ Bee Pollen 10's/30's,  AM GSG w/ Royal Jelly &amp; Bee Pollen</t>
  </si>
  <si>
    <t>EN#2017766-4. 14A-10-1006 / 2006006-14. Send OBL:7/3</t>
  </si>
  <si>
    <t>TCNU8897955</t>
  </si>
  <si>
    <t>Organic Green Tea 100's/20's</t>
  </si>
  <si>
    <t>EN#2017595-7. YD14-T05. Send OBL: 6/24</t>
  </si>
  <si>
    <t>BMOU4937742</t>
  </si>
  <si>
    <t xml:space="preserve">EN#2017504-9. Invoice#14NSS0323. Send OBL:6/24. </t>
  </si>
  <si>
    <t>MSCU4641246</t>
  </si>
  <si>
    <t>AM GSG Hard Candy 1lb</t>
  </si>
  <si>
    <t>EN#2017765-6 T/R</t>
  </si>
  <si>
    <t>HLXU1099857</t>
  </si>
  <si>
    <t>EN#2018155-9 T/R</t>
  </si>
  <si>
    <t>HJCU1945658</t>
  </si>
  <si>
    <t>EN#2017153-5. Invoice#14NSS0321. Send OBL: 6/24</t>
  </si>
  <si>
    <t>Ultimate International</t>
  </si>
  <si>
    <t>AWB# 006-41334764</t>
  </si>
  <si>
    <t>EN#9006346-3. Invoice#YD-14-U01 AIR SHIPMENT</t>
  </si>
  <si>
    <t>CGMU2971414</t>
  </si>
  <si>
    <t>SH Mooncakes</t>
  </si>
  <si>
    <t>EN#2017073-5. Send OBL: 6/24</t>
  </si>
  <si>
    <t>YMLU8454955</t>
  </si>
  <si>
    <t>Korean GSG Tea</t>
  </si>
  <si>
    <t>EN#2017707-8. Send OBL:6/20. The container will need Customs X-Ray Exam.  There will be additional exam charges.</t>
  </si>
  <si>
    <t>27999 28145 28088 NS1408 NS1428</t>
  </si>
  <si>
    <t>HDMU6650849</t>
  </si>
  <si>
    <t xml:space="preserve">plastic tray-seafood box inner, paper box-seafood box, paper box-AM GSG powder, paper box-St.Honore sleeve, Garlic label, AM GSG grade label, slicing machine </t>
  </si>
  <si>
    <t>EN#2017466-1. T/R</t>
  </si>
  <si>
    <t>DFSU6635830</t>
  </si>
  <si>
    <t>EN#2016470-4 Invoice#14NSS0316. Send OBL:6/18. LFD:7/10</t>
  </si>
  <si>
    <t>TCNU9451253</t>
  </si>
  <si>
    <t>EN#2016468-8 Invoice#14NSS0314. Send OBL:6/18. LFD:7/10</t>
  </si>
  <si>
    <t>DRYU9330639</t>
  </si>
  <si>
    <t>EN#2016959-6. Invoice#14NSS0319. Send OBL: 6/24。 LFD:7/2</t>
  </si>
  <si>
    <t>HDMU5578204</t>
  </si>
  <si>
    <t>EN#2017072-7. Mail OBL:6/18. LFD:6/24</t>
  </si>
  <si>
    <t>APHU7351699</t>
  </si>
  <si>
    <t>EN#2016541-2. Send OBL 6/16. LFD:7/3</t>
  </si>
  <si>
    <t>APZU4513377</t>
  </si>
  <si>
    <t>American Ginseng Hard Candy 1 lb</t>
  </si>
  <si>
    <t>EN#2016855-6, T/R.</t>
  </si>
  <si>
    <t>MSCU9329230</t>
  </si>
  <si>
    <t>Green tea, Organic Oolong tea100's</t>
  </si>
  <si>
    <t>EN#2016299-7 Invoice#YD14-T04. 5/27 send OBL</t>
  </si>
  <si>
    <t>28092 28093</t>
  </si>
  <si>
    <t>FSCU8513781</t>
  </si>
  <si>
    <t>MS Facial Mask</t>
  </si>
  <si>
    <t>EN#2016856-4. OBL sent:6/12. LFD:6/24. Pier waiting 10:30am-1:35pm additional 1hr $50.00</t>
  </si>
  <si>
    <t>TGHU9625275</t>
  </si>
  <si>
    <t>EN#2016759-0 Invoice#BP14NSS0318. OBL sent: 6/12. An additional charge of $75+19% for pre-pull.
Pier waiting 2:15pm-4:42pm additional 1hr $50.00</t>
  </si>
  <si>
    <t>CLHU4480337</t>
  </si>
  <si>
    <t>American Ginseng Hard Candy 4.78 oz / 8 oz</t>
  </si>
  <si>
    <t>EN#2016543-8 T/R</t>
  </si>
  <si>
    <t>CBHU2820470</t>
  </si>
  <si>
    <t>EN#2016704-6. 6/4:Send OBL</t>
  </si>
  <si>
    <t>HMMU9066903</t>
  </si>
  <si>
    <t>Biscuit-smal To-So, St Honore Flag, Poster, Tins, Paper Bag, Wing Wah Flag, Tins, Carrougated Carton-Dried Soup Bag</t>
  </si>
  <si>
    <t>EN#2016551-1 5/16:T/R</t>
  </si>
  <si>
    <t>WHLU4218985</t>
  </si>
  <si>
    <t>Coldaid Concentrated Herbal Extract, Ban Lan Gen, American Ginsend Instant Tea, Instant Wild American Ginseng Tea</t>
  </si>
  <si>
    <t>Coldaid Concentrated Herbal Extract re-export to HK. others are released</t>
  </si>
  <si>
    <t>EN#2016297-1. Inv#2006009-14 6/4: Send OBL. LFD: 6/17. Invoice#200600914. pier waiting 7:45am-10:55am additional 1hr ½  $75.00.</t>
  </si>
  <si>
    <t>EISU5685577</t>
  </si>
  <si>
    <t>Wing Wah Mooncakes</t>
  </si>
  <si>
    <t>EN#2016553-7 5/16: T/R.  reefer 40’cont over 42,000lb, Benz will charge additional heavy weight
 EISU5685577-44,403lb. an additional charge of $70+19% for this container</t>
  </si>
  <si>
    <t>TCLU1268130</t>
  </si>
  <si>
    <t>EN#2016552-9 5/16: T/R. reefer 40’cont over 42,000lb, Benz will charge additional heavy weight. TCLU1268130 -46,407lb, an additional charge of $70+19% for this container</t>
  </si>
  <si>
    <t>BSIU9085670</t>
  </si>
  <si>
    <t>Kamahi Honey</t>
  </si>
  <si>
    <t>EN#2016171-8. T/R</t>
  </si>
  <si>
    <t>UACU5344027</t>
  </si>
  <si>
    <t xml:space="preserve">EN#2016471-2 Invoice#14NSS0317. 6/4: send OBL. LFD: 6/11. </t>
  </si>
  <si>
    <t>UACU5122610</t>
  </si>
  <si>
    <t>EN#2016469-6 Invoice#14NSS0315. 6/4: Send OBL. LFD:6/11. pier waiting 1:45pm-4:25pm additional 1hr $50.00</t>
  </si>
  <si>
    <t>HJCU6104068</t>
  </si>
  <si>
    <t>Tibetan Rhubarb Tea</t>
  </si>
  <si>
    <t>EN#2016383-9. 6/10:send OBL. x-ray exam needed</t>
  </si>
  <si>
    <t>TRLU6855171</t>
  </si>
  <si>
    <t>Green tea</t>
  </si>
  <si>
    <t>EN#2015998-5 OBL send:5/12</t>
  </si>
  <si>
    <t>APHU7231287</t>
  </si>
  <si>
    <t>Ti Kuan Yin Tea 250g, Organic Green Tea 100's/20's, Organic Jasmine Tea 100's, organic white tea 100's</t>
  </si>
  <si>
    <t>EN#2016554-5 14TM025/TM140211C. 6/4: send OBL. LFD:6/12</t>
  </si>
  <si>
    <t>UACU5428581</t>
  </si>
  <si>
    <t>EN#2015874-8 Invoice#14NSS0308. 6/2:send OBL</t>
  </si>
  <si>
    <t>FCIU5156568</t>
  </si>
  <si>
    <t>EN#2016479-5 FCW#140057 T/R. There will be additional charge of $337.02 in trucking fee to drop off the container for unloading</t>
  </si>
  <si>
    <t>YMLU2834027</t>
  </si>
  <si>
    <t>Ginger Honey Crystals 30's Dong Quai &amp; Red Date Instant tea</t>
  </si>
  <si>
    <t>EN#2016086-8 INV#14NSS0305 T/R. pier waiting 8am-10:16am.  additional ½ hr $25.00</t>
  </si>
  <si>
    <t>APLU6132459</t>
  </si>
  <si>
    <t>EN#2016081-9 5/19:Send OBL</t>
  </si>
  <si>
    <t>BMDU4341898</t>
  </si>
  <si>
    <t>EN#2015417-6. send OBL:5/15 LFD:6/5</t>
  </si>
  <si>
    <t>TCNU7659680</t>
  </si>
  <si>
    <t>EN#2015616-3 OBL send 5/22</t>
  </si>
  <si>
    <t>GESU5836620</t>
  </si>
  <si>
    <t>EN#2015618-9.Invoice#14NSS0307. send OBL:5/15 LFD:6/2</t>
  </si>
  <si>
    <t>27984 27985</t>
  </si>
  <si>
    <t>EISU1807018</t>
  </si>
  <si>
    <t>Tsaio Mask, Cleanser, Body Wash, Shampoo</t>
  </si>
  <si>
    <t>EN#2015930-8 OBL send: 5/20, DO sent on 5/22</t>
  </si>
  <si>
    <t>UACU5378027</t>
  </si>
  <si>
    <t>EN#2015875-5 Invoice#14NSS0313 LFD :5/23, UPS OBL 5/19</t>
  </si>
  <si>
    <t>27894 28026 28027 28047 NS1403</t>
  </si>
  <si>
    <t>HDMU4442698</t>
  </si>
  <si>
    <t>Biscuit, paper box, plastic tray, AG Banner, label-Chinese red ginseng capsule</t>
  </si>
  <si>
    <t>EN#2015872-2 5/16:OBL surrendered LFD:5/27</t>
  </si>
  <si>
    <t>MSKU1776930</t>
  </si>
  <si>
    <t>Organic green tea 100's/20's, Organic jasmine tea 100's, Organic white tea 100's</t>
  </si>
  <si>
    <t>EN#2015685-8 14TM020 UPS OBL:5/19 LFD:5/27</t>
  </si>
  <si>
    <t>27982
27983</t>
  </si>
  <si>
    <t>EISU1813345</t>
  </si>
  <si>
    <t>Coni facial mask, toner, body wash.</t>
  </si>
  <si>
    <t>EN#2015615-5 5/8: send OBL, LFD 5/23</t>
  </si>
  <si>
    <t>UACU5372121</t>
  </si>
  <si>
    <t xml:space="preserve">EN#2015555-3.Invoice #14NSS0312. 5/12:Send OBL. Per Benz, pier waiting 9:08am-11:28am, there will be additional  $25.00 charge for waiting at the pier for half an hour </t>
  </si>
  <si>
    <t>BMOU9718198</t>
  </si>
  <si>
    <t>EN#2015307-9 T/R</t>
  </si>
  <si>
    <t>APHU7234584</t>
  </si>
  <si>
    <t>EN#2015004-2. 5/6:Send OBL</t>
  </si>
  <si>
    <t>GSTU9869011</t>
  </si>
  <si>
    <t>EN#2015617-1.Invoice#14NSS0309 5/14: UPS OBL LFD:5/19</t>
  </si>
  <si>
    <t>WHLU2769675</t>
  </si>
  <si>
    <t>Coldaid/Fluaid, Empty Boxes</t>
  </si>
  <si>
    <t>Coldaid/Fluaid re-export to HK</t>
  </si>
  <si>
    <t>EN#2015181-8. Invoice #2006008-14. 5/9: UPS OBL</t>
  </si>
  <si>
    <t>UACU5181017</t>
  </si>
  <si>
    <t>EN#2014796-4.Invoice #BP14NSS0311.4/29:send OBL</t>
  </si>
  <si>
    <t>UACU5657398</t>
  </si>
  <si>
    <t>Ginger Honey Crystal 30's</t>
  </si>
  <si>
    <t>EN#2014795-6.nvoice #BP14NSS0310. 4/29:send OBL, additional  exam charges 5/6</t>
  </si>
  <si>
    <t>BOMU4704150</t>
  </si>
  <si>
    <t>EN#2015075-2 T/R</t>
  </si>
  <si>
    <t>27931 
27958 
NS1387</t>
  </si>
  <si>
    <t>APHU7157153</t>
  </si>
  <si>
    <t>Soup bags,paper box, St. Honore banner</t>
  </si>
  <si>
    <t>EN#2015306-1 5/16: there will be additional charge for the lab test. Anresco came and collected sample for J-41214 on 5/16, collected sample for J-41208 on 5/23</t>
  </si>
  <si>
    <t>TRHU1403930</t>
  </si>
  <si>
    <t>AM GSG Tea boxes</t>
  </si>
  <si>
    <t>EN#2015076-0. 4/18: "之前在邮件中讲到的参茶盒及封套的颜色样品册（Sample）1箱和1箱备品（Spares)并不在PACKING LIST的列表中，实际出货装货柜已经装上了。" 4/21: TLX.</t>
  </si>
  <si>
    <t>CBHU8215326</t>
  </si>
  <si>
    <t>Organic Green Tea 20's/100's, Organic Oolong Tea</t>
  </si>
  <si>
    <t>EN#2014909-3.Invoice #YD14-T02.4/15:Send OBL.LFD 5/6</t>
  </si>
  <si>
    <t>TCNU8628200</t>
  </si>
  <si>
    <t>EN#2014355-9. Invoice #BP14NSS0204. 4/18: Send OBL.LFD:5/5</t>
  </si>
  <si>
    <t>CRXU9920271</t>
  </si>
  <si>
    <t>EN#2014701-4.Invoice #BP14NSS0306. 4/21: UPS OBL.</t>
  </si>
  <si>
    <t>TCNU9527873</t>
  </si>
  <si>
    <t>EN#2014121-5. 4/14: Send OBL.</t>
  </si>
  <si>
    <t>BMOU4353862</t>
  </si>
  <si>
    <t>EN#2014122-3. 4/14: Send OBL. 4/23:X-ray exam hold. There will be additional exam charges.4/25: LFD 4/29.</t>
  </si>
  <si>
    <t>INKU6431141</t>
  </si>
  <si>
    <t>Organic Green tea 100's/20's, Organic Oolong tea 100's</t>
  </si>
  <si>
    <t>EN#2014319-5. Invoice # YD14-T01.3/31: Send OBL.</t>
  </si>
  <si>
    <t>WHLU4094400</t>
  </si>
  <si>
    <t>AM GSG inst Tea 100's, Wild AM GSG Inst Tea 100's/20's</t>
  </si>
  <si>
    <t>EN#2014320-7. Invoice #2006003-14. 4/14: Send OBL. 4/24: LFD 4/30</t>
  </si>
  <si>
    <t>GLDU9361710</t>
  </si>
  <si>
    <t>EN#2014415-1. Invoice #14TM008. 4/16: Send OBL.. 4/23: LFD 4/29 Per Benz" Finally cont was out gated at 1:41pm, pier waiting 8:20am-1:41pm.  additional charge of $175.00 for 3hrs ½ waiting“</t>
  </si>
  <si>
    <t>NS1362 
27877 
27889</t>
  </si>
  <si>
    <t>BSIU2543811</t>
  </si>
  <si>
    <t>Envelope, Bak Foong Pills, AG Root Plastic Tray, Used books</t>
  </si>
  <si>
    <t xml:space="preserve">EN#2014464-9. 3/31:"there have 1 pallet of Book in this shipment. Please help to inform Maisie when the goods arrive in warehouse." TLX. </t>
  </si>
  <si>
    <t>MSKU0166954</t>
  </si>
  <si>
    <t>EN#2014243-7. Invoice # BP14NSS0203. 4/11: UPS OBL.</t>
  </si>
  <si>
    <t>27799
 27842 
27843</t>
  </si>
  <si>
    <t>TGHU3232408</t>
  </si>
  <si>
    <t>Clover/Manuka/Manuka 10+/Blue Borage Honey</t>
  </si>
  <si>
    <t>EN#2013902-9.TLX.</t>
  </si>
  <si>
    <t>HLXU5161669</t>
  </si>
  <si>
    <t>EN#2013314-7. 3/27: TLX. 4/8: LFD 4/11. 4/10: Per Benz "Driver was sent and attempted to pick up this container this morning,however, the box is missing at the pier.  An additional charge of $75.00 for attempt /(driver waiting foryour box)will be billed to you. " 4/11: Per Benz, "He was at the pier since 8:30am,and so there will be an  additional charge( $50 ) for waiting at the pier for an hour ."</t>
  </si>
  <si>
    <t>OaK</t>
  </si>
  <si>
    <t>CBHU8479709</t>
  </si>
  <si>
    <t>EN#2013706-4.Invoice#BP14NSS0102.4/2: UPS Express OBL.</t>
  </si>
  <si>
    <t>MRKU2529234</t>
  </si>
  <si>
    <t>EN#2013353-5. Invoice#BP14NSS0101. 3/24: Send OBL.</t>
  </si>
  <si>
    <t>DRYU2297441</t>
  </si>
  <si>
    <t>POP 3 in 1 coffee</t>
  </si>
  <si>
    <t>EN#2013479-8. 3/31: Send OBL.</t>
  </si>
  <si>
    <t>TEMU4814248</t>
  </si>
  <si>
    <t>EN#2013933-4. FCW#140005. 3/27: TLX. drop charges of $384.80</t>
  </si>
  <si>
    <t>FSCU5061815</t>
  </si>
  <si>
    <t>Pi Lo Chun green tea 300g, Oolong tea 300g, Organic Jasmine tea 100's</t>
  </si>
  <si>
    <t>EN#2013933-4. FCW#140005. 3/27: TLX.4/4: Per Benz "out the terminal ,10:45. He started to do this order at 8:15  so there will be ½ hour ($50/hour) waiting time at the terminal ."</t>
  </si>
  <si>
    <t>27860, NS1325,
NS1354</t>
  </si>
  <si>
    <t>TEMU6680235</t>
  </si>
  <si>
    <t>AG product inserts, Business cards, GBW logo, Slicing Machine.</t>
  </si>
  <si>
    <t xml:space="preserve">EN#2013667-8.LCL. </t>
  </si>
  <si>
    <t>NYKU2668174</t>
  </si>
  <si>
    <t>EN#2013316-2.TLX</t>
  </si>
  <si>
    <t>MSCU9031082</t>
  </si>
  <si>
    <t>AM GSG Hard Candy 4.78/8oz/1lb</t>
  </si>
  <si>
    <t>EN#2013534-0. TLX. 3/27: LFD 4/3</t>
  </si>
  <si>
    <t>APZU3022580</t>
  </si>
  <si>
    <t>Loc Maria Gavootes  Crepes1250g tin, Thin Camel 120g, Thin Choco 120g,  Crepes 125g</t>
  </si>
  <si>
    <t>EN#2012997-0.TLX.</t>
  </si>
  <si>
    <t>Honolulu</t>
  </si>
  <si>
    <t>TCNU9704963</t>
  </si>
  <si>
    <t>MacNut Choco. Packaging</t>
  </si>
  <si>
    <t>-</t>
  </si>
  <si>
    <t xml:space="preserve">2/24: to HI directly. No ISF on POP. </t>
  </si>
  <si>
    <t>TRLU6926280</t>
  </si>
  <si>
    <t>EN#2012959-0.Invoice# BP13NSS1102.3/12: Send OBL.</t>
  </si>
  <si>
    <t>CMAU8115103</t>
  </si>
  <si>
    <t>POP K.GSG Tea DLX/RG</t>
  </si>
  <si>
    <t>EN#2013235-4. 3/5: Send OBL.</t>
  </si>
  <si>
    <t>MSKU6881184</t>
  </si>
  <si>
    <t>AM GSG Inst Tea 100's, Wild AM GSG Inst Tea 100's/20's</t>
  </si>
  <si>
    <t>EN#2012305-6.  Invoice# 2006001-14. 3/4: Send OBL.</t>
  </si>
  <si>
    <t>TCNU6403930</t>
  </si>
  <si>
    <t>EN#2012637-2. 2/11: Send OBL.</t>
  </si>
  <si>
    <t>27666 27694</t>
  </si>
  <si>
    <t>MSKU2049140</t>
  </si>
  <si>
    <t xml:space="preserve">Coni Facial Mask </t>
  </si>
  <si>
    <t xml:space="preserve">EN#2011994-8.  2/3: Send OBL. </t>
  </si>
  <si>
    <t>27612 27629</t>
  </si>
  <si>
    <t>CAIU2396401</t>
  </si>
  <si>
    <t>EN#2011589-6.  1/31: Send OBL. 2/25: LFD 2/27.</t>
  </si>
  <si>
    <t>27510 27511</t>
  </si>
  <si>
    <t>MSCU4761391 MEDU4040998</t>
  </si>
  <si>
    <t>AM GSG Hard Candy 8/4.78 oz/ 1 lb</t>
  </si>
  <si>
    <t>2/26 (MSCU4761391)
2/21 (MEDU4040998)</t>
  </si>
  <si>
    <t>EN#2012181-1.  TLX released. LFD: 2/21 (MEDU4040998).2/26(MSCU4761391):driver was at the pier from 8:25am-1:35pm.  there will be an additional charge of $175.00 for 3hrs and 30min waiting. </t>
  </si>
  <si>
    <t>APHU7337896</t>
  </si>
  <si>
    <t>EN#2011257-0. contains 30 cases
F-04000 for AM sample pack project.  1/30: Send OBL. LFD 2/20.</t>
  </si>
  <si>
    <t>CBHU8334691</t>
  </si>
  <si>
    <t>ORG Grn Tea 100's/20's, ORG Oolong 100's, Empty Carton D-13112</t>
  </si>
  <si>
    <t>EN#2012294-2.  Inv# YD13-T08. 2/14: in 11am, out 4:30pm; ctn returned Tue 2/18.</t>
  </si>
  <si>
    <t>GESU6368360</t>
  </si>
  <si>
    <t>Coni Shower Cream</t>
  </si>
  <si>
    <t xml:space="preserve">EN#2011943-5. TLX released. </t>
  </si>
  <si>
    <t>GESU9451777</t>
  </si>
  <si>
    <t>EN#2011973-2.  Inv#CZ135030.  IT shipment, ETA to CFS 02/11</t>
  </si>
  <si>
    <t>GLDU7550313</t>
  </si>
  <si>
    <t>Body Wash, Shampoo</t>
  </si>
  <si>
    <t>EN#2011588-8.  TLX released.</t>
  </si>
  <si>
    <t>DFSU6959526</t>
  </si>
  <si>
    <t>Stew Pot</t>
  </si>
  <si>
    <t>EN#2011850-2</t>
  </si>
  <si>
    <t>TGHU8675029</t>
  </si>
  <si>
    <t>EN#2011537-5.  Cont #: 13NSS1101.  1/22: UPS OBL.  41 cases 1400 sachets for AM sampling project.  LFD 1/31.</t>
  </si>
  <si>
    <t>MSKU623309</t>
  </si>
  <si>
    <t>ORG Grn Tea 100's/20's, ORG BLK Tea 100's, Dragon Well 250g, Pearl Jasmin 150g, Ti Guan Yin 250g/Pu-erh 200g</t>
  </si>
  <si>
    <t>EN#2011088-9.  13TM038.  1/20: UPS OBL.  LFD: 1/29</t>
  </si>
  <si>
    <t>HMMU9051101</t>
  </si>
  <si>
    <t>Paper box, plastic lid, calendar, paper rack</t>
  </si>
  <si>
    <t>EN#2011536-7.  TLX released.</t>
  </si>
  <si>
    <t>WHLU4274145</t>
  </si>
  <si>
    <t>American Ginseng Instant Tea 100's, Instant WAG Tea 20's/100's</t>
  </si>
  <si>
    <t>EN#2010876-8.  Inv. No. 2006013-13.  1/9: Mail OBL</t>
  </si>
  <si>
    <t>DRYU2267278</t>
  </si>
  <si>
    <t xml:space="preserve"> Two items (N-58024,N-58054) are destroyed. Others released. </t>
  </si>
  <si>
    <t xml:space="preserve">EN#2011087-1.  1/9: Mail OBL.  LFD is 1/21. </t>
  </si>
  <si>
    <t>TEMU4134092</t>
  </si>
  <si>
    <t>EN#2009567-6.  12/12: Send OBL.  1/10: container still under yard/vesell operation.  LFD 1/14/14.</t>
  </si>
  <si>
    <t>GLDU0964610</t>
  </si>
  <si>
    <t>$100 surcharge for pre-pull。  EN#2010070-8.  LFD: 1/17。  1/13: customs exam hold at the terminal.  1/16: Custom released, GW is checking why this is still on hold.</t>
  </si>
  <si>
    <t>27641 NS1306</t>
  </si>
  <si>
    <t>SZLU9813278</t>
  </si>
  <si>
    <t>Paper box, red envelopes, banner</t>
  </si>
  <si>
    <t>EN#2010713-3.</t>
  </si>
  <si>
    <t>NYKU3073484</t>
  </si>
  <si>
    <t xml:space="preserve">Delacre: Prince collection 6x 700g, Roules d or 6x1kg, Ensemble Red 6x300g </t>
  </si>
  <si>
    <t>EN#2010345-4.  TLX released.</t>
  </si>
  <si>
    <t>YMLU5371456</t>
  </si>
  <si>
    <t>KRN RED GSG Powder</t>
  </si>
  <si>
    <t>EN#2010175-5.  12/11: Send OBL.  12/30: FDA Docs review.</t>
  </si>
  <si>
    <t>MSCU8282144</t>
  </si>
  <si>
    <t>Poon Goor Soe Pei Pa Lo</t>
  </si>
  <si>
    <t>EN#2010450-2</t>
  </si>
  <si>
    <t>CMAU5516458</t>
  </si>
  <si>
    <t>EN#2009891-0.  SH-&gt;HK-&gt;NJ.  Contract #13NSS0907.  TLX released.</t>
  </si>
  <si>
    <t>ISF:10/10</t>
  </si>
  <si>
    <t>Updated: SYS 12/11/15</t>
  </si>
  <si>
    <t xml:space="preserve"> </t>
  </si>
  <si>
    <t>USDA release notification</t>
  </si>
  <si>
    <t>Port of Origin</t>
  </si>
  <si>
    <t>Total Inv Amt. USD</t>
  </si>
  <si>
    <t>TRLU1605781</t>
  </si>
  <si>
    <t>Delacre UNITED BISCUITS</t>
  </si>
  <si>
    <t>EN# 2036345-4; Inv# 93253554</t>
  </si>
  <si>
    <t>PCIU2612026</t>
  </si>
  <si>
    <t>Soaps: sandalwood, Jasmine, Rosa, Ginseng</t>
  </si>
  <si>
    <t>Released</t>
  </si>
  <si>
    <t>EN# 2040569-3; OBL sent 12/28</t>
  </si>
  <si>
    <t>FSCU8704509</t>
  </si>
  <si>
    <t>Ginger Honey Crystal 30bg (D-04011)</t>
  </si>
  <si>
    <t>EN#2040361-5; INV# 16NSS0302; OBL sent 12/22; additional 1hr $55.00</t>
  </si>
  <si>
    <t>BSIU2947963</t>
  </si>
  <si>
    <t>Pally Biscuit</t>
  </si>
  <si>
    <t>EN# 2040793-9' INV# 150111</t>
  </si>
  <si>
    <t>MSKU1926012</t>
  </si>
  <si>
    <t>Am GSG Candy 6oz, 1lb., 4.78oz. (A-61150, A-61116)</t>
  </si>
  <si>
    <t>EN# 2040163-5; INV# 2054; additional 1hr $55</t>
  </si>
  <si>
    <t>Zhong Shang</t>
  </si>
  <si>
    <t>NS1866/ 29591/ NS1795</t>
  </si>
  <si>
    <t>OOLU9791851</t>
  </si>
  <si>
    <t xml:space="preserve">Soup bags &amp; labels, 2016 caldender </t>
  </si>
  <si>
    <t>EN# 2040277-3</t>
  </si>
  <si>
    <t>Hong Kong</t>
  </si>
  <si>
    <t>GESU5763680</t>
  </si>
  <si>
    <t>Ginger Candy 124g (D-04012)</t>
  </si>
  <si>
    <t>EN# 2039683-5; additional 1hr $55</t>
  </si>
  <si>
    <t>Indonesia</t>
  </si>
  <si>
    <t>EMCU6016953</t>
  </si>
  <si>
    <t>My Kuali White Curry (J-75001), Hokkien Prawn (J-75002), Tom Yum Goong (J-75003)</t>
  </si>
  <si>
    <t>EN# 2039722-1</t>
  </si>
  <si>
    <t>FCIU9018593</t>
  </si>
  <si>
    <t>GT 100 (D-13100N), Jas. (D-14100N), Oolong (D-15100N), TKY 100 (D-16100N), Puerh (D-17100N), White (D-18100N)</t>
  </si>
  <si>
    <t>EN# 2040216-1; YD15-T22</t>
  </si>
  <si>
    <t>GESU9206804</t>
  </si>
  <si>
    <t>Gavottes: F-50149, F-50140, F-50139, F-50143</t>
  </si>
  <si>
    <t>EN# 2039917-7</t>
  </si>
  <si>
    <t>TGHU9454399</t>
  </si>
  <si>
    <t>Ginger Honey Crystal 36boxes, 30 bgs (D-04011, D-04010)</t>
  </si>
  <si>
    <t>EN# 2039861-7; INV# 15NSS0330; OBL sent 12/14</t>
  </si>
  <si>
    <t>Airway</t>
  </si>
  <si>
    <t>Coldaid/ Fluaid packing material</t>
  </si>
  <si>
    <t>INV# 2001023-15</t>
  </si>
  <si>
    <t>SUDU1372104</t>
  </si>
  <si>
    <t>Gavottes (F-50139, F-50140)</t>
  </si>
  <si>
    <t>EN# 2039207-3; INV#11178</t>
  </si>
  <si>
    <t>TRLU1892402</t>
  </si>
  <si>
    <t>Gavottes (F-50140, F-50139)</t>
  </si>
  <si>
    <t>EN# 2039672-8</t>
  </si>
  <si>
    <t>MRKU3110690</t>
  </si>
  <si>
    <t>Am. GSG Candy (A-61116, A-61115, A-61150)</t>
  </si>
  <si>
    <t>EN# 2039203-2; INV# 2053</t>
  </si>
  <si>
    <t>Zhong Shan</t>
  </si>
  <si>
    <t>TGHU9678090</t>
  </si>
  <si>
    <t>Org. Oolong Tea (D-15200N)</t>
  </si>
  <si>
    <t>EN#2039530-8; INV#YD15-T21</t>
  </si>
  <si>
    <t>GESU9558359</t>
  </si>
  <si>
    <t>Gavottes (F-50140. F-50143, F-50144, F-50145, F-50149, F-50139)</t>
  </si>
  <si>
    <t>EN# 2039290-7</t>
  </si>
  <si>
    <t>CBHU5785310</t>
  </si>
  <si>
    <t>United Biscuit (F-19525, F-19606E, F-19603E, F-02460, F-26443)</t>
  </si>
  <si>
    <t>EN# 2039614-0</t>
  </si>
  <si>
    <t>MEDU6542151</t>
  </si>
  <si>
    <t>Amer. Instant Tea (A-62010A), Wild Am. GSG Tea (A-61011); Machinery Parts (20ft)</t>
  </si>
  <si>
    <t>EN# 2039019-2; INV# 2001020-15</t>
  </si>
  <si>
    <t>BMOU9803221</t>
  </si>
  <si>
    <t>Tibetan Rhubarb Tea (D-03112)</t>
  </si>
  <si>
    <t>EN#2039098-6;</t>
  </si>
  <si>
    <t>UACU8099725</t>
  </si>
  <si>
    <t>Wing Wah Cookies (F-96000,F-96001, F-96002, F-96003, F-96004, F-96005. F-96006)</t>
  </si>
  <si>
    <t>EN# 2039199-2;  pierwaiting additional 1hr $55</t>
  </si>
  <si>
    <t>HLXU6443409</t>
  </si>
  <si>
    <t>Digestive Biscuit 21x 400 G</t>
  </si>
  <si>
    <t>EN# 2038953-3; INV# 93275545;  additional 1hr $55.00</t>
  </si>
  <si>
    <t>ECMU9835461</t>
  </si>
  <si>
    <t>Ginger Honey Crystal 36bx, 30bgs (D-04010, D-04011)</t>
  </si>
  <si>
    <t>EN# 2039371-7; INV# 15NSS0329; OBL sent 11/30</t>
  </si>
  <si>
    <t>UACU3173521</t>
  </si>
  <si>
    <t>EN# 2038693-5; INV# SS1509187-N</t>
  </si>
  <si>
    <t>MSKU1731495</t>
  </si>
  <si>
    <t>Ginger Honey Crystal 36box, 30bgs (D-04011, D-04010)</t>
  </si>
  <si>
    <t>EN# 2038611-7; INV# 15NSS0328</t>
  </si>
  <si>
    <t>NS1831/ NS1828</t>
  </si>
  <si>
    <t>TGHU9792586</t>
  </si>
  <si>
    <t xml:space="preserve">Demo paper cups, GSG Cutter, Calendar, Envelope </t>
  </si>
  <si>
    <t>Relased</t>
  </si>
  <si>
    <t>EN# 2039152-1</t>
  </si>
  <si>
    <t>29517/ 29519</t>
  </si>
  <si>
    <t>EISU5706936</t>
  </si>
  <si>
    <t>JSUT: MS facial masks</t>
  </si>
  <si>
    <t>EN# 2039210-7; Inv#JST-15026</t>
  </si>
  <si>
    <t>GLDU7222510</t>
  </si>
  <si>
    <t>Gullon Biscuit</t>
  </si>
  <si>
    <t>EN# 2039100-0; demurrage $145; detention: $100</t>
  </si>
  <si>
    <t>MRKU4204135</t>
  </si>
  <si>
    <t>GT 36s (D-13020N), Org. GT 20/100 (D-13200N, D-13220N), Org. Jasmine (D-14200N), Org. White (D-18200N)</t>
  </si>
  <si>
    <t>EN#2038081-3; INV# YD15-T17</t>
  </si>
  <si>
    <t>NYKU3729741</t>
  </si>
  <si>
    <t>EN# 2038371-8; INV# 1510-00090</t>
  </si>
  <si>
    <t>EMCU5231611</t>
  </si>
  <si>
    <t>Lambertez</t>
  </si>
  <si>
    <t>EN#2039113-3</t>
  </si>
  <si>
    <t>YMLU5002123</t>
  </si>
  <si>
    <t>GHC 36bx (D-04010), w/ Lemon (D-04041), w/ Am. GSG (D-04030), w/ Brown Sugar (D-41986)</t>
  </si>
  <si>
    <t>EN# 2038832-9; INV# 15NSS0326</t>
  </si>
  <si>
    <t>OOLU3872344</t>
  </si>
  <si>
    <t>Gavottes (F-50143, F-50144, F-50149, F-50139)</t>
  </si>
  <si>
    <t>EN# 2037898-1 (reefer); 9:57am-1:44pm additional 4hrs $220.</t>
  </si>
  <si>
    <t>MRKU2013145</t>
  </si>
  <si>
    <t>GT D-13100N, Jap. GT D-13300N, Jasmine D-14100N, Oolong D-15100N, Puerh D-17100N, White D-18100N</t>
  </si>
  <si>
    <t>EN# 2038694-3; INV# YD15-T18</t>
  </si>
  <si>
    <t>MSKU8310040</t>
  </si>
  <si>
    <t>Ginger honey Crystal 36/30 (D-04010, D-04011)</t>
  </si>
  <si>
    <t>EN#2038082-1, INV# 15NSS0325</t>
  </si>
  <si>
    <t>TEMU7456636</t>
  </si>
  <si>
    <t>Org. GT(D-13200N, D-13220N), Org. Oolong (D-15200N), Org. Black Tea (D-19200), Pu Erh (D-17100N), Gift Tea Bulk (D-60011, D-60012, D-60013, D-60014, D-60015, D-60016, D-60017, D-60023)</t>
  </si>
  <si>
    <t>EN# 2038485-6; INV# 15TM036; OBL sent 11/11, 3hrs ½ $192.50</t>
  </si>
  <si>
    <t>TGHU0482023</t>
  </si>
  <si>
    <t>Pally Biscuit (F-94790, F-94791, F-94760)</t>
  </si>
  <si>
    <t>EN# 2038762-8; INV# 150110</t>
  </si>
  <si>
    <t>MRKU5097710</t>
  </si>
  <si>
    <t>EN# 2038233-0; INV# 2052; $75+19% for attempted</t>
  </si>
  <si>
    <t>TCKU3765951</t>
  </si>
  <si>
    <t>Inst. AM. GSG Tea (A-62020F); Int. Wild GSG Tea (A-61011, A-42017F); Coldaid in bulk (D-03001B); Fluaid (D-03002B)</t>
  </si>
  <si>
    <t>11/19/15 20'</t>
  </si>
  <si>
    <t>EN# 2037565-6; INV# 2001011-15; OBL 11/4; additional 2hr $1100.00</t>
  </si>
  <si>
    <t>CMAU4703963</t>
  </si>
  <si>
    <t>EN# 2038484-9; INV# 15NSS0327; OBL sent 11/9; additional 1hr $55.00</t>
  </si>
  <si>
    <t>MRKU3794886</t>
  </si>
  <si>
    <t>Ginger Candy124g D-04012</t>
  </si>
  <si>
    <t>EN#2037899-9</t>
  </si>
  <si>
    <t>CGMU2994214</t>
  </si>
  <si>
    <t>Gavottes (F-50139, F-50149)</t>
  </si>
  <si>
    <t>EN# 2038775-0; INV# 11113</t>
  </si>
  <si>
    <t>NYKU4898031</t>
  </si>
  <si>
    <t>Ginger Candy 124G</t>
  </si>
  <si>
    <t>EN#2038366-8; INV#</t>
  </si>
  <si>
    <t xml:space="preserve">Indonesia </t>
  </si>
  <si>
    <t>MRKU2022091</t>
  </si>
  <si>
    <t>GT 100 (D-13100N), Jap.GT (D-13300N), Oolong (D-15100N), Org. Oolong (D-15200N)</t>
  </si>
  <si>
    <t>EN#2037720-7; INV#YD15-T16</t>
  </si>
  <si>
    <t>EN# 2038366-8; INV# 062; OBL sent 10/30</t>
  </si>
  <si>
    <t>HLXU8768260</t>
  </si>
  <si>
    <t xml:space="preserve">EN# 2038114-2; INV# </t>
  </si>
  <si>
    <t>CCLU4874156</t>
  </si>
  <si>
    <t xml:space="preserve">Panax GSG Ext.(C-70113/ C-70123), Ginkgo &amp; Red GSG Ext (C-70330), Ultra Gingko Plus (C-70430, C-70433), Ultra Joint Health (C-70530) </t>
  </si>
  <si>
    <t>Released 11/13/15</t>
  </si>
  <si>
    <t>EN# 2038256-4; IN# 2001019-15; OBL 11/4; additional 1hr$55.00</t>
  </si>
  <si>
    <t>MRKU7513122</t>
  </si>
  <si>
    <t>EN# 2037102-8; INV# 1509-00074</t>
  </si>
  <si>
    <t>NONE</t>
  </si>
  <si>
    <t>MSKU5108159</t>
  </si>
  <si>
    <t>Wu-Long Tea 60s</t>
  </si>
  <si>
    <t>EN# 2037629-0; INV# YD15-U010; additional 1hr $55</t>
  </si>
  <si>
    <t>FCIU5420789</t>
  </si>
  <si>
    <t>Korean Red GSG Instant Tea (K-80027)</t>
  </si>
  <si>
    <t>EN# 2037966-6; OBL sent 10/21</t>
  </si>
  <si>
    <t>HLBU1113691</t>
  </si>
  <si>
    <t>EN# 2036973-3; INV#93258106; additional ½ $ 27.50</t>
  </si>
  <si>
    <t>NYKU8408913</t>
  </si>
  <si>
    <t>EN# 2037152-3; INV#1509-00075</t>
  </si>
  <si>
    <t>29265/ 29326/ 29379/ 29381/ 29351</t>
  </si>
  <si>
    <t>OOLU6208690</t>
  </si>
  <si>
    <t>Red Korean GSG Labels; Am GSG boxes; bottles; 2016 calenders; T- Shirts</t>
  </si>
  <si>
    <t>EN# 2037566-4;</t>
  </si>
  <si>
    <t>APZU3755015</t>
  </si>
  <si>
    <t>Honey Loquat Candy 76g, 148g, 178g, 40g</t>
  </si>
  <si>
    <t>EN# 2037406-3; additional 3hrs $ 165.00</t>
  </si>
  <si>
    <t>ZhongShan</t>
  </si>
  <si>
    <t>MSKU8292774</t>
  </si>
  <si>
    <t>Org. GT (D-13200N), Org. Jasmine (D-14200N), Org. Oolong (D-15200N), White (D-18100N)</t>
  </si>
  <si>
    <t>EN# 2036934-5; Inv# YD15-T20; OBL 9/29； additional ½ $27.50</t>
  </si>
  <si>
    <t>MSKU0229836</t>
  </si>
  <si>
    <t>GT 12bx (D-13112N); Oolong 12bx (D-15112N)</t>
  </si>
  <si>
    <t>EN# 2036718-2; Inv# YD15-T13; OBL 9/29</t>
  </si>
  <si>
    <t>MRKU0700918</t>
  </si>
  <si>
    <t>Amer. GSG Inst. Tea (A-62020. A-62020F), Inst. Wild Amer. GSG Tea (A-61011, A-42017F)</t>
  </si>
  <si>
    <t>EN# 2036344-7; INV# 2001016-15</t>
  </si>
  <si>
    <t>HJCU8437556</t>
  </si>
  <si>
    <t>Tu Chung Tea(D-02003), Young Ji Tea (D-02004); Korean GSG Tea(K-80027)</t>
  </si>
  <si>
    <t>EN# 2037410-5; OBL 10/14/15； additional 1hr ½ $ 82.50.</t>
  </si>
  <si>
    <t>BMOU9778113</t>
  </si>
  <si>
    <t>EN# 2037320-6; INV# CZ15S016</t>
  </si>
  <si>
    <t>SZLU9668009</t>
  </si>
  <si>
    <t xml:space="preserve">EN# 2035998-1; INV# </t>
  </si>
  <si>
    <t>CMAU5375690</t>
  </si>
  <si>
    <t>GHC 30bg/36bx (D-04010, D-04011); GHC w/ Brown Sugar (D-41986)</t>
  </si>
  <si>
    <t>EN# 2036975-8; INV# 15NSS0323</t>
  </si>
  <si>
    <t>MAGU4861085</t>
  </si>
  <si>
    <t>Ginger Honey Crystal 36box, 30bg (D-04011, D-04010)</t>
  </si>
  <si>
    <t>EN# 2036935-2; Inv# 15NSS0324</t>
  </si>
  <si>
    <t>NYKU4749125</t>
  </si>
  <si>
    <t>Ginger Candy (F-04012)</t>
  </si>
  <si>
    <t>EN# 2036719-0; INV# 059/EXP/PI/IV/2015; OBL 9/29</t>
  </si>
  <si>
    <t>MSKU8608266</t>
  </si>
  <si>
    <t>Ginger Honey Crystal w/ Lemon (D-04043)</t>
  </si>
  <si>
    <t>FDA released 9/29/2015; Custom released 10/6/15</t>
  </si>
  <si>
    <t>EN# 2036206-8;  INV# 15NSS0321</t>
  </si>
  <si>
    <t>GESU2677823</t>
  </si>
  <si>
    <t>EN# 2036974-1; INV#93257239</t>
  </si>
  <si>
    <t>MRKU0615159</t>
  </si>
  <si>
    <t>Ginger Honey Crystal 36s bx (D-04010)</t>
  </si>
  <si>
    <t xml:space="preserve">Released </t>
  </si>
  <si>
    <t>EN# 2035818-1; INV#15NSS0322; OBL 9/2/15</t>
  </si>
  <si>
    <t>HASU4619094</t>
  </si>
  <si>
    <t xml:space="preserve">Gavottes Biscuits (F-50140, F-50143, F-50144, F-50145, F-50149, F-50139) </t>
  </si>
  <si>
    <t>EN# 2035960-1; INV# 1155； 3hrs ½ $ 192.50</t>
  </si>
  <si>
    <t>UACU4095296</t>
  </si>
  <si>
    <t>EN# 2036290-2; INV# SS1508154-N; additional 1hr $ 55.00</t>
  </si>
  <si>
    <t>CPSU5128131</t>
  </si>
  <si>
    <t>DELACRE UNITED BISCUITS</t>
  </si>
  <si>
    <t>EN# 2035765-4; INV#</t>
  </si>
  <si>
    <t>TRLU1664887</t>
  </si>
  <si>
    <t>EN# 2035764-7; INV#; $ 65 for split return chassis</t>
  </si>
  <si>
    <t>MSKU8892594</t>
  </si>
  <si>
    <t xml:space="preserve">GT 20/100 (D-13112N/D-13100N), Oolong 20/100 （D-15100N/D-15112N), White 100 (D-18100N) </t>
  </si>
  <si>
    <t>EN# 2036136-7; INV# YD15-T15; OBL sent 9/1;pre-pull $90+17%</t>
  </si>
  <si>
    <t>EITU1460494</t>
  </si>
  <si>
    <t>AM GSG CANDY 1LB (A-61117)</t>
  </si>
  <si>
    <t>EN# 2035993-2; additional 1hr $55+$75+17% for pre-pull</t>
  </si>
  <si>
    <t>ZHONG SHAN</t>
  </si>
  <si>
    <t>PCIU8246834</t>
  </si>
  <si>
    <t>GT 20 (D-13020N), Org. GT 20/100 (D-13220N/ D-13200N), Org. Oolong (D-15200N) 300cs, Org. White (D-18200N)</t>
  </si>
  <si>
    <t>EN# 2036118-5; INV# YD15-T14; OBL sent 9/1</t>
  </si>
  <si>
    <t>CPSU5127290</t>
  </si>
  <si>
    <t>Delacre United Biscuits</t>
  </si>
  <si>
    <t>EN# 2035312-5; additional 3hrs ½ $192.5</t>
  </si>
  <si>
    <t>SESU4906710</t>
  </si>
  <si>
    <t>Ginger Honey Crystal with Lemon 30bags (D-04043)</t>
  </si>
  <si>
    <t>released 9/4</t>
  </si>
  <si>
    <t>EN# 2035817-3; INV# 15NSS0320;  $ 65.00 for split return chassis; additional 1hr $55   OBL 9/2/15</t>
  </si>
  <si>
    <t>MSKU9171632</t>
  </si>
  <si>
    <t>Org. GT 20/100, Org. Jas.100, Org. Oolong 100, Gift Tea Bulk (D-60011B, D-60013B, D-60014B, D-60015B, D-60022B)</t>
  </si>
  <si>
    <t>EN# 2035766-2; INV# 15TM021; OBL: 9/9; additional ½ $ 27.50</t>
  </si>
  <si>
    <t>OOLU3035590</t>
  </si>
  <si>
    <t>Gavottes Biscuits (F-50140, F-50143, F-50144 &amp; F-50139)</t>
  </si>
  <si>
    <t>EN# 2034519-6; INV# 6942; additional 2hrs $110+$ 75+17% for per-pull; demurrage $300; $100/day</t>
  </si>
  <si>
    <t>APZU4836810</t>
  </si>
  <si>
    <t>Ginger Hny Crystal (D-04010)</t>
  </si>
  <si>
    <t>EN# 2035610-2; INV# 15NSS0319;  7:47am-9:35am additional 1hr $55</t>
  </si>
  <si>
    <t>NYKU7111978</t>
  </si>
  <si>
    <t xml:space="preserve">EN# 2035324-0 </t>
  </si>
  <si>
    <t>APZU4294730</t>
  </si>
  <si>
    <t>Ginger Hny Crystal (D-04010), Brown Sugar Ginger Hny Crystal (D-41986)</t>
  </si>
  <si>
    <t>EN# 2035609-4; INV# 15NSS0318</t>
  </si>
  <si>
    <t>TCNU7683603</t>
  </si>
  <si>
    <t xml:space="preserve">Org. GT (D-13200N/D-13220N), Org. Oolong (D-15200N, D-15220N), Org. White (D-18200N) </t>
  </si>
  <si>
    <t>EN# 2034985-9; YD15-T12; additional 2hr $110.00</t>
  </si>
  <si>
    <t>MSCU7736279</t>
  </si>
  <si>
    <t>EN# 2034984-2; YD15-T19; 7:11am-9:10am additional 1hr $ 55.00</t>
  </si>
  <si>
    <t>MSKU1118185</t>
  </si>
  <si>
    <t>Org. GT (D-13200N/D-13220N), Org. Jasmine (D-14200N), Ti Kuan Yin (D-16100N), White (D-18120N)</t>
  </si>
  <si>
    <t>EN# 2034205-2; INV# YD15-T11; arrived on 8/19/15; LFD 8/25/15; demurrage $270.00</t>
  </si>
  <si>
    <t>MSKU6294253</t>
  </si>
  <si>
    <t>Pine Panax GSG Ext. 30 (C-70021), Goji on the Go (C-70730)</t>
  </si>
  <si>
    <t>Released 9/10</t>
  </si>
  <si>
    <t>EN# 2034369-6; INV# 2015TAT02</t>
  </si>
  <si>
    <t>BMOU4986726</t>
  </si>
  <si>
    <t>Red Panax Extm (C-70113), Panax GSG Extm (C-70020)</t>
  </si>
  <si>
    <t>EN# 2035611-0; INV# 2015TAT03; OBL sent 9/2; additional ½ $ 27.50</t>
  </si>
  <si>
    <t>TCLU1918998</t>
  </si>
  <si>
    <t>Saint Honore Snowy Moon Cakes (F-95836, F-95837. F-95838, F-95839, F-95840, F-95841)</t>
  </si>
  <si>
    <t>EN# 2035437-0; INV# MC02015006; OBL sent 8/25; additional 1hr ½ $ 82.50</t>
  </si>
  <si>
    <t>CBHU5662090</t>
  </si>
  <si>
    <t>EN# 2035959-3; INV# 1152</t>
  </si>
  <si>
    <t>EISU5689844</t>
  </si>
  <si>
    <t>EN# 2034646-6; INV#</t>
  </si>
  <si>
    <t>EMCU5309509</t>
  </si>
  <si>
    <t>EN# 2035242-4; INV#</t>
  </si>
  <si>
    <t>OOLU0456050</t>
  </si>
  <si>
    <t>Gavottes Biscuits (F-50140 &amp; F-50143)</t>
  </si>
  <si>
    <t>EN# 2034214-4 ; INV# 6791</t>
  </si>
  <si>
    <t>MRKU0432435</t>
  </si>
  <si>
    <t>Red Panax GSG Ext (C-70113, C-70121, C-70123), Ginkgo &amp; Panax Ext (C-70310, C-70330), Ultra Ginkgo Plus (C-70433)</t>
  </si>
  <si>
    <t>EN# 2034520-4; INV# 2001012-15; additional 3hrs $165.00+$75+17% for pre-pull</t>
  </si>
  <si>
    <t>MRKU8152810</t>
  </si>
  <si>
    <t>POP 3 in 1 Tea Latte (J-40130n &amp;J-40130B)</t>
  </si>
  <si>
    <t>EN# 2034211-0; INV# 2015200195</t>
  </si>
  <si>
    <t>YMLU8658120</t>
  </si>
  <si>
    <t>Am. GSG Candy 4.75oz/ 8oz. (A-61115/A-61116)</t>
  </si>
  <si>
    <t>EN# 2034913-1; INV#2046</t>
  </si>
  <si>
    <t>29201/ 29232</t>
  </si>
  <si>
    <t>FSCU4930283</t>
  </si>
  <si>
    <t>EN#2034895-0; JST-15010; OBL 8/13/15; additional 4hrs $220.00 + additional 1hr $55.00</t>
  </si>
  <si>
    <t>TCNU5065170</t>
  </si>
  <si>
    <t>St. Honore/ WW mooncake non woven bags</t>
  </si>
  <si>
    <t>EN# 2034914-9</t>
  </si>
  <si>
    <t>29018/ 29129</t>
  </si>
  <si>
    <t>GVCU5006307</t>
  </si>
  <si>
    <t>MANUKA Honey UMF 5+/10+/15+ (J-55504,J-55503, J-55505), Clover (J-55500), Kamahi (J-55502)</t>
  </si>
  <si>
    <t>EN# 2033817-5; INV# 183388</t>
  </si>
  <si>
    <t>29202/ 29203/ 29208</t>
  </si>
  <si>
    <t>TEMU9227731</t>
  </si>
  <si>
    <t>GSG Box 1/2lb bottom box, 1/4lb bottom box, AMG Powder Glass Bottle</t>
  </si>
  <si>
    <t>EN# 2034559-2; INV# 07132015</t>
  </si>
  <si>
    <t>MRKU0915388</t>
  </si>
  <si>
    <t>Red Panax Ext.(C-70113, C-70121, C-70123) Ultra Gingko Plus (C-70430), Ginkgo Red Panax (C-70310), Ultra joing Health (C-70530)</t>
  </si>
  <si>
    <t>EN# 2033354-9; INV# 2001010-15; overweight $225</t>
  </si>
  <si>
    <t>EITU1306405</t>
  </si>
  <si>
    <t xml:space="preserve">Ginger Candy 124g (F-04012)/ 1000G (F-04000) </t>
  </si>
  <si>
    <t>EN# 2033802-7; INV# 056</t>
  </si>
  <si>
    <t>YMLU5150814</t>
  </si>
  <si>
    <t>Ginger Hny Crystl w/ Lemon (D-04041); Ginger Hny crystl w/ Amer. GSG (F-04030)</t>
  </si>
  <si>
    <t>EN# 2033869-6; INV# 15NSS0315</t>
  </si>
  <si>
    <t>NYKU4074607</t>
  </si>
  <si>
    <t>EN# 2033804-3; INV# 057; p/up: 8/7/15</t>
  </si>
  <si>
    <t>MSKU9258711</t>
  </si>
  <si>
    <t>Jap. Tea (D-13300N), Oolong Tea 100 (D-15100N), Org. Oolong Tea 20/100 (D-15200N/D-15220N)</t>
  </si>
  <si>
    <t>EN# 2033356-4; INV# YD15-T10; OBL sent 7/2</t>
  </si>
  <si>
    <t>MRKU4804870</t>
  </si>
  <si>
    <t>PSD Digestive Biscuits (F-52740)</t>
  </si>
  <si>
    <t>EN# 2033426-5; INV#93226682; $55 for split return chassis</t>
  </si>
  <si>
    <t>EMCU9778401</t>
  </si>
  <si>
    <t>Am GSG Candy 1lb. (A-61117); Am GSG Candy 6oz (A-61150)</t>
  </si>
  <si>
    <t>EN# 2034024-7; INV# 2044</t>
  </si>
  <si>
    <t>TEMU6726260</t>
  </si>
  <si>
    <t>Org Jasmin D-14200N, Org. Oolong D-15200N, Org. Black D-19200, Pu-Erh D-17100, Org Tea bags Bulk (GT, Oolong, White, Jasmine)</t>
  </si>
  <si>
    <t>EN# 2033868-8; INV# 15TM014; OBL 7/27</t>
  </si>
  <si>
    <t>EITU1127204</t>
  </si>
  <si>
    <t>Ginger Candy 124g (F-04012)</t>
  </si>
  <si>
    <t>EN# 2034023-9; INV# 089</t>
  </si>
  <si>
    <t>TRLU7578240</t>
  </si>
  <si>
    <t>Ginger Honey Crystal 36bx/ 30bgs (D-04010/D-04011)</t>
  </si>
  <si>
    <t>EN# 2034191-4; INV# 15NSS0316 OBL 7/23</t>
  </si>
  <si>
    <t>TRLU7286017</t>
  </si>
  <si>
    <t>EN# 2034190-6; INV# 15NSS0317; OBL 7/23</t>
  </si>
  <si>
    <t>Cathay Pacific Air CX870</t>
  </si>
  <si>
    <t>Saint Hnore Snowy MoonCakes Samples</t>
  </si>
  <si>
    <t>EN# 9011896; POPSF whse pick up at SFO</t>
  </si>
  <si>
    <t>Air shipment</t>
  </si>
  <si>
    <t>MRKU3215726</t>
  </si>
  <si>
    <t>Org. GT 20/100, Org. Oolong 20/100, Org. White 100; Gift Tea in Bulk (D-60012B, D-60013B, D-60016B, D-60017B, D-60021B, D-60023B)</t>
  </si>
  <si>
    <t>EN# 2033355-6; INV# 15TM010; OBL sent 7/16</t>
  </si>
  <si>
    <t>MORU1105683</t>
  </si>
  <si>
    <t>Seirogan M-96036, M-96100, M-96400</t>
  </si>
  <si>
    <t>EN# 2033286-3; INV# US-150601</t>
  </si>
  <si>
    <t>ANYU2084640</t>
  </si>
  <si>
    <t>Am. GSG Inst Tea 32pk, 30bx (A-62020F, A-62010A) Am. Wild Inst Tea 32pk, 30bx (A-61011 &amp; A-42017F)</t>
  </si>
  <si>
    <t>EN# 2033141-0; INV# 2001014-15; additional 1hr ½ $ 82.50</t>
  </si>
  <si>
    <t>FSCU8552160</t>
  </si>
  <si>
    <t xml:space="preserve">EN#2033637-7; </t>
  </si>
  <si>
    <t xml:space="preserve"> NJ</t>
  </si>
  <si>
    <t>SUDU1181134</t>
  </si>
  <si>
    <t>Saint Honore Moon Cakes</t>
  </si>
  <si>
    <t>EN# 2033105-5; INV# MC-O-2015005; OBL sent 7/2; demurrage:$7332+$45.00 GW Handling; $35 Wire fee</t>
  </si>
  <si>
    <t>HMMU9046493</t>
  </si>
  <si>
    <t>Wing Wah Cookies (F-96001,F-96003, F-96004, F-96005), 2015 Catalog</t>
  </si>
  <si>
    <t>EN# 2033353-1; INV# 06222015</t>
  </si>
  <si>
    <t>UACU3225013</t>
  </si>
  <si>
    <t>EN# 2033228-5; INV# SS1506111-N; additional 1hr ½ $ 82.50</t>
  </si>
  <si>
    <t>CBHU3690215</t>
  </si>
  <si>
    <t>Yunan Baiyao Toothpaste (M-41060)</t>
  </si>
  <si>
    <t>EN# 2033139-4; INV# 2015JKUS002; LFD: 7/20/15</t>
  </si>
  <si>
    <t>MRKU5336394</t>
  </si>
  <si>
    <t>Ginger Candy 124G (F-04012), 1000G (F-04000)</t>
  </si>
  <si>
    <t>EN# 2032751-7; INV# 069 LFD: 7/13</t>
  </si>
  <si>
    <t>NYKU5178972</t>
  </si>
  <si>
    <t>Ginger Candy 124G (F-04012)</t>
  </si>
  <si>
    <t>EN# 2032750-9; INV# 054</t>
  </si>
  <si>
    <t>29120/ 29121</t>
  </si>
  <si>
    <t>MORU1139092 TEMU9169487</t>
  </si>
  <si>
    <t>Tai Wing Wah Moon Cakes</t>
  </si>
  <si>
    <t>EN# 2033093-3; INV# 06152015.01/ 06152015.02; Vet Cert sent 7/2； $55.00 for split return chassis.</t>
  </si>
  <si>
    <t>NYKU7170517</t>
  </si>
  <si>
    <t>EN# 2033104-8; INV# MC-O-2015004; OBL sent 7/2; charge of Genset $45.00;  55.00 for split return chassis</t>
  </si>
  <si>
    <t>28966 29059 29044 28986</t>
  </si>
  <si>
    <t>DRYU4517777</t>
  </si>
  <si>
    <t>Goji Labels; Gift Tea Tins/ Boxes; Am. GSG Trays, boxes</t>
  </si>
  <si>
    <t>EN# 2032978-6; INV# 06032015; 8:47am-11:19am additional ½ $ 27.50</t>
  </si>
  <si>
    <t>UACU8280179</t>
  </si>
  <si>
    <t>GT Extract (C-70630); Red GSG R/ Jelly (C-70052)</t>
  </si>
  <si>
    <t>EN# 2032577-6; INV#2015TAT01; OBL sent 7/7/15; LFD 7/13; additional 1hr ½ $ 82.50</t>
  </si>
  <si>
    <t>MSCU4825290</t>
  </si>
  <si>
    <t>Ginger Hny Crystal 36bx (D-04010); Brown Sugar Ginger Hny Crystal (D-41986)</t>
  </si>
  <si>
    <t>EN# 2032130-4; INV# 15NSS0311;</t>
  </si>
  <si>
    <t>CAIU9451408</t>
  </si>
  <si>
    <t>Ginger Honey Crystal 30bgs (D-04011) &amp; Bulk (D-04010B), GHC w/ Lemon Bulk (D-04041B)</t>
  </si>
  <si>
    <t>EN# 2032725-1; INV# 15NSS0313; OBL sent  6/29/15; additional 1hr ½ $ 82.50; split chassis $55.00; 4x in/out gate charges for spilt return</t>
  </si>
  <si>
    <t>TRLU7618786</t>
  </si>
  <si>
    <t>Am GSG Candy l lb. A-61117</t>
  </si>
  <si>
    <t>EN# 2032459-7; INV# 2043</t>
  </si>
  <si>
    <t>Sanshui, China</t>
  </si>
  <si>
    <t>29028/ 29117</t>
  </si>
  <si>
    <t>TEMU7379680</t>
  </si>
  <si>
    <t>Fish Oil Caps Labels; Mooncake Tins; Printed Matter; Poster Stands</t>
  </si>
  <si>
    <t>EN# 2032752-5; INV# 06032015</t>
  </si>
  <si>
    <t>MSKU6230731</t>
  </si>
  <si>
    <t xml:space="preserve">Red Panax GSG Ext. Ultra Gingo, Beijing jly with Bee, Ultra Joint </t>
  </si>
  <si>
    <t>EN# 2032308-6; INV# 2001009-15; 9:40pm-3:25pm additional 4hrs $ 220.00</t>
  </si>
  <si>
    <t>MRKU8363515</t>
  </si>
  <si>
    <t>Wild GSG Instant Tea 30bx, Am. GSG instant Tea (Value PK)</t>
  </si>
  <si>
    <t>EN# 2031520-7; INV# 2001007-15</t>
  </si>
  <si>
    <t>TCNU8994750</t>
  </si>
  <si>
    <t>Ginger Honey Crystal 30bgs (D-04011), 36bx (D-04010)</t>
  </si>
  <si>
    <t>EN# 2031879-7; INV# 15NSS0314</t>
  </si>
  <si>
    <t>MAEU8371005</t>
  </si>
  <si>
    <t>EN# 2031562-9;INV# 15NSS0312</t>
  </si>
  <si>
    <t>MRKU4583091</t>
  </si>
  <si>
    <t>Org. GT20/100, Org. Oolong 100, Org. Jasmine 100, Org. Black 100, Gift tea packaging material</t>
  </si>
  <si>
    <t>EN# 2031861-5; INV# 15TM007; Pre-Pull</t>
  </si>
  <si>
    <t>MSCU7250625</t>
  </si>
  <si>
    <t>GT 12bx (D-13112); Oolong 12bx (D-15112)</t>
  </si>
  <si>
    <t>EN#2031610-6; INV# YD15-T08</t>
  </si>
  <si>
    <t>WHLU5736715</t>
  </si>
  <si>
    <t>EN#2032017-3; YD15-T09</t>
  </si>
  <si>
    <t>FCIU4940826</t>
  </si>
  <si>
    <t>Pally Biscuits (F-94760, F-94790)</t>
  </si>
  <si>
    <t>EN# 2032307-8; Demurrage $250</t>
  </si>
  <si>
    <t>MRKU9549633</t>
  </si>
  <si>
    <t>EN# 2031066-1; INV# 93207019; additional charge of $55.00 for split pick up chassis; demurrage $150.00; $ 75.00+17% for 6/17 attempted</t>
  </si>
  <si>
    <t>28967/ 29047/ 29057</t>
  </si>
  <si>
    <t>CRXU1916589</t>
  </si>
  <si>
    <t>Plastic Trays/lids, Labels, mooncake tins, Banners, stickers</t>
  </si>
  <si>
    <t>EN#2031977-9; INV# 05182015</t>
  </si>
  <si>
    <t>CRLU386809</t>
  </si>
  <si>
    <t>Am GSG Alum Foil &amp; Am GSG Rt-Tag</t>
  </si>
  <si>
    <t>EN# 2028014-6; $420 delivery + fuel charges</t>
  </si>
  <si>
    <t>Taiwan</t>
  </si>
  <si>
    <t>CARU9455035</t>
  </si>
  <si>
    <t>EN# 2031611-4; INV# PI027; additional 1hr ½ $ 82.50</t>
  </si>
  <si>
    <t>29002/ 29080</t>
  </si>
  <si>
    <t>TRLU8623961</t>
  </si>
  <si>
    <t>Korean Instant Tea K-80027/80024; Red GSG Powder</t>
  </si>
  <si>
    <t xml:space="preserve">EN# 2032018-1; </t>
  </si>
  <si>
    <t>CCLU5166315</t>
  </si>
  <si>
    <t>Red Panax GSG ext. (70121&amp;70123); Ginkgo &amp; GSG ext 10s/30s; Ultra Ginkgo Plus; Ultra Joint Health</t>
  </si>
  <si>
    <t>EN# 2031064-6; INV# 2001008-15</t>
  </si>
  <si>
    <t>TCLU8853163</t>
  </si>
  <si>
    <t>EN# 2031338-4; INV#026/EXP/INV/IV/2015</t>
  </si>
  <si>
    <t>NYKU5152427</t>
  </si>
  <si>
    <t>Ginger Candy 124g （F-04012)/ 1000g (F-04000)</t>
  </si>
  <si>
    <t>EN# 2031357-4; INV#025/EXP/PI/II2015</t>
  </si>
  <si>
    <t>MRKU4296620</t>
  </si>
  <si>
    <t>Amer. GSG Candy 6oz (A-61150), 1lb (A-61117)</t>
  </si>
  <si>
    <t>EN# 2031336-8; 1h pier waiting time $55.00</t>
  </si>
  <si>
    <t>SanShui, China</t>
  </si>
  <si>
    <t>GESU4070654</t>
  </si>
  <si>
    <t>Green Tea 20's/100's, Jap GT, Jasmine, Oolong, Pu-Erh, White 20's</t>
  </si>
  <si>
    <t>EN# 2030705-5; INV# YD15-T06; OBL resent 5/26/15</t>
  </si>
  <si>
    <t>CXDU2167277</t>
  </si>
  <si>
    <t>GInger Honey Crystal 30bgs (D-04011)</t>
  </si>
  <si>
    <t>EN# 2030660-2; INV# 15NSS0308; OBL sent 5/18/15</t>
  </si>
  <si>
    <t>MRKU3444297</t>
  </si>
  <si>
    <t>Ginger Hny Crystal 30bags (D-04011)</t>
  </si>
  <si>
    <t>EN# 2030929-1; INV# 15NSS0309; OBL 5/18/15</t>
  </si>
  <si>
    <t>TCLU4864323</t>
  </si>
  <si>
    <t>Ginger Candy 124G (F-04012)/ 1000g in Bulk (F-04000)</t>
  </si>
  <si>
    <t>EN# 2030858-2; INV# PI-023</t>
  </si>
  <si>
    <t>EGSU3120583</t>
  </si>
  <si>
    <t>Honey Loquat Candy 78g, 148g, 178g, 40g</t>
  </si>
  <si>
    <t>EN# 2031126-3; INV# MP201528898</t>
  </si>
  <si>
    <t>TCNU8732852</t>
  </si>
  <si>
    <t>Org. GT20/100, Org. Oolong 100, Org. White 100</t>
  </si>
  <si>
    <t>EN# 2031337-6; INV# YD15-T07</t>
  </si>
  <si>
    <t>MEDU8164359</t>
  </si>
  <si>
    <t>Ginger Hny Crytl 30's/36's; Dark Brown Sugar Ginger Hny Crytl</t>
  </si>
  <si>
    <t>EN# 2030449-0; INV# 15NSS0304; sent OBL 5/18/15</t>
  </si>
  <si>
    <t>TCNU8191737</t>
  </si>
  <si>
    <t>EN# 2030862-4; INV# PI-024</t>
  </si>
  <si>
    <t>TCLU8823636</t>
  </si>
  <si>
    <t>EN#:2030739-4; INV# 039/EXP/INV/IV/2015; OBL resent 5/21/15</t>
  </si>
  <si>
    <t>TGHU9538416</t>
  </si>
  <si>
    <t>EN# 2031372-3; INV# 15NSS0310; OBL sent 3/20/15</t>
  </si>
  <si>
    <t>TCKU1842262</t>
  </si>
  <si>
    <t>EN# 2031397-0 INV# 931210466</t>
  </si>
  <si>
    <t>HLBU1009692</t>
  </si>
  <si>
    <t>EN# 2030237-9; INV#3329; additional charge of $ 75.00+17% for attempted.</t>
  </si>
  <si>
    <t>TEMU6029563</t>
  </si>
  <si>
    <t>Jamine Tea 100's, Tikuan Yin Tea 100's, Pu-Erh Tea 100's, White tea 100's</t>
  </si>
  <si>
    <t xml:space="preserve">EN# 2029936-9; INV# YD15-T05  </t>
  </si>
  <si>
    <t>TCLU8835391</t>
  </si>
  <si>
    <t>EN# 2030928-3; INV# PI 1330</t>
  </si>
  <si>
    <t>YMLU5716687</t>
  </si>
  <si>
    <t xml:space="preserve">Ginger Hny Crytl w/ Lemon 36's/ Bulk 14000bgs (D-04041B); Ginger Hny Crytl w/ Amer. GSG </t>
  </si>
  <si>
    <t>EN# 2030516-6; IN# 15NSS0305</t>
  </si>
  <si>
    <t>GLDU9960512</t>
  </si>
  <si>
    <t>Organic Goji Berries 7000kg (M-94300)</t>
  </si>
  <si>
    <t>REFUSED</t>
  </si>
  <si>
    <t>EN# 2030442-5; INV# TRT-2015-001; sent OBL 4/30/15</t>
  </si>
  <si>
    <t>MSCU9556759</t>
  </si>
  <si>
    <t>Ginger Honey Crystal 30' (D-04011)</t>
  </si>
  <si>
    <t>EN# 2029530-0; INV# 15NSS0306</t>
  </si>
  <si>
    <t>MEDU2860977</t>
  </si>
  <si>
    <t>3 in 1 POP Tea latte (J-40130N)</t>
  </si>
  <si>
    <t>EN# 2029774-4; INV#2014200797</t>
  </si>
  <si>
    <t>MRKU5371142</t>
  </si>
  <si>
    <t>Organic GT 20's/100's, Organic Jasmine 100's, Organic White 20's/100's</t>
  </si>
  <si>
    <t>EN# 2029442-8; INV# 15TM003; OBL sent 4/20/15</t>
  </si>
  <si>
    <t>APZU3487231</t>
  </si>
  <si>
    <t>Red Panax GSG Extra (C-70123 &amp; C-70113)</t>
  </si>
  <si>
    <t>EN# 2029743-9; INV# 2001005-15 OBL sent out 4/21/15</t>
  </si>
  <si>
    <t>PCIU2623139</t>
  </si>
  <si>
    <t>Sandlewood, Jasmine, Rose, Ginseng Soap 2.65oz</t>
  </si>
  <si>
    <t xml:space="preserve">EN#2029529-2; INV# SS1503045-N;  8am-10:59am additional 1hr $ 55.00. </t>
  </si>
  <si>
    <t>Shanghai</t>
  </si>
  <si>
    <t>TGHU9514604</t>
  </si>
  <si>
    <t>EN# 2029719-9; INV# 15NSS0307; OBL sent 4/20/15;additional charge of $ 75.00+17% for attempted.</t>
  </si>
  <si>
    <t>EITU1211824</t>
  </si>
  <si>
    <t>EN# 2028782-8; IN# PI 1329</t>
  </si>
  <si>
    <t>CAXU9914870</t>
  </si>
  <si>
    <t>Ginger Honey Crystal 30bags (D-04011)</t>
  </si>
  <si>
    <t>EN# 2028991-5; IN# 15NSS0303</t>
  </si>
  <si>
    <t>TRDU7481411</t>
  </si>
  <si>
    <t>EN# 2028840-4; INV# 2001004-15; an additional charge of $ 75+17% for attempted; additional 2hrs $ 110.00</t>
  </si>
  <si>
    <t>NYKU7157710</t>
  </si>
  <si>
    <t>Soup bags, paper labels, toothpastes, umbrellas, plastic cover lids</t>
  </si>
  <si>
    <t>EN# 2029776-9; Transfer all to POPSF</t>
  </si>
  <si>
    <t>IMTU1079897</t>
  </si>
  <si>
    <t>Red Panax GSG extractum10/30/SS, Ginkgo &amp; Red Panax 30, Ultra Ginkgo 30, Beijing Ryl Jelly 30, Amer. GSG Ryl Jelly, Ultra Joint Health</t>
  </si>
  <si>
    <t>EN#2028910-5; INV# 2006002-15;Pier waiting additional ½ $ 27.50.</t>
  </si>
  <si>
    <t>TCLU6307116</t>
  </si>
  <si>
    <t>EN# 2029741-3; INV# 027/EXP/PL/III/2015</t>
  </si>
  <si>
    <t>FCIU9478937</t>
  </si>
  <si>
    <t>Ginger Honey Crystal 36bx, 30bgs</t>
  </si>
  <si>
    <t>EN# 2029047-5; IN# 15NSS0301</t>
  </si>
  <si>
    <t>MRKU7263450</t>
  </si>
  <si>
    <t xml:space="preserve">McVities digestive Biscuits </t>
  </si>
  <si>
    <t>EN# 2029173-9; INV# 93191978</t>
  </si>
  <si>
    <t>TCNU6240004</t>
  </si>
  <si>
    <t>EN# 2029045-9; IN# YNBYME0000003</t>
  </si>
  <si>
    <t>DFSU2869065</t>
  </si>
  <si>
    <t>POP Vietnamese Coffee 3 in 1</t>
  </si>
  <si>
    <t>EN# 2029011; IN# 2014900715</t>
  </si>
  <si>
    <t>MSKU4822330</t>
  </si>
  <si>
    <t>Am. GSG Candy 4.75oz/ 8oz.</t>
  </si>
  <si>
    <t>EN# 2029046-1; IN# 2036; T/R</t>
  </si>
  <si>
    <t>TRIU5672741</t>
  </si>
  <si>
    <t>Pine Panex GSG Extract. 30's (C-70021)</t>
  </si>
  <si>
    <t>En#2028223-3; INV#2014TAT09</t>
  </si>
  <si>
    <t>MRKU6663175</t>
  </si>
  <si>
    <t>EN#2028654-9; INV# 93186359; additional charge of $ 55.00 for
Split pick up or return chassis; $ 75+17% for pre-pull charge</t>
  </si>
  <si>
    <t>MSCU7698923</t>
  </si>
  <si>
    <t>Green Tea 100's, Organic Green Tea20's/100's, Jasmine Tea 100's, Oolong tea 100's</t>
  </si>
  <si>
    <t>EN# 2028530-1; INV# YD15-T04</t>
  </si>
  <si>
    <t>MSKU6304650</t>
  </si>
  <si>
    <t>Panax GSG Ext (Pine) 10's/30's (70020/70021)</t>
  </si>
  <si>
    <t>EN# 2029340-4; INV# 2014TAT06</t>
  </si>
  <si>
    <t>HDMU6312477</t>
  </si>
  <si>
    <t>PGS color boxes</t>
  </si>
  <si>
    <t>EN#2028014-6</t>
  </si>
  <si>
    <t>GESU2770155</t>
  </si>
  <si>
    <t>EN# 2028295-1; INV #MP201528810</t>
  </si>
  <si>
    <t>Yantian</t>
  </si>
  <si>
    <t>28831/ 28851</t>
  </si>
  <si>
    <t>TCLU3372951</t>
  </si>
  <si>
    <t>Korean GSG Instant Tea (80024/80027), Korean Red GSG Powder</t>
  </si>
  <si>
    <t>EN# 2028781-0</t>
  </si>
  <si>
    <t>MEDU8283532</t>
  </si>
  <si>
    <t>Organic Jasmin Tea 100's, Oolong Tea 100's, Organic Oolong Tea 20's/100's</t>
  </si>
  <si>
    <t>En#2028294-4; INV# YD15-T03</t>
  </si>
  <si>
    <t>SEGU5202868</t>
  </si>
  <si>
    <t>Ginger Honey Crystals 30'</t>
  </si>
  <si>
    <t>EN#2028013-8; INV# 15NSS0302</t>
  </si>
  <si>
    <t>NYKU4821235</t>
  </si>
  <si>
    <t>EN# 2028531-9; INV# PI1328</t>
  </si>
  <si>
    <t>28761/ 28795</t>
  </si>
  <si>
    <t>KKFU1657852</t>
  </si>
  <si>
    <t>MS facial Masks, lip balms, hand creams</t>
  </si>
  <si>
    <t>EN# 2028422-1; INV# JST-15004</t>
  </si>
  <si>
    <t>TCLU3678638</t>
  </si>
  <si>
    <t>Red Panax Ginseng Extractum 30's (C-70113)</t>
  </si>
  <si>
    <t>EN# 2027190-5; inv# 2006001-15</t>
  </si>
  <si>
    <t>TCLU1300612</t>
  </si>
  <si>
    <t>Glass Bottles, ziplocks bags, Ginseng cutter, Plastic Poster Stand</t>
  </si>
  <si>
    <t>EN#2027570-8</t>
  </si>
  <si>
    <t>MRKU4377151</t>
  </si>
  <si>
    <t>Organic green tea 100's, Organic green tea 20's, organic Jasmine tea 100's,  Organic white tea 100's, organic oolong tea 100's, organic oolong tea 20's</t>
  </si>
  <si>
    <t>EN#2028076-5; ISF 2/6; INV#15TM001</t>
  </si>
  <si>
    <t>FCIU4986093</t>
  </si>
  <si>
    <t>EN# 2027767-0, Inv#KI-POP02GT1-14</t>
  </si>
  <si>
    <t>BSIU9410873</t>
  </si>
  <si>
    <t>Organic Green 100's, Organic White Tea 20'/100', Jasmine Tea 100's</t>
  </si>
  <si>
    <t>EN# 2027613-6 .Inv#YD15-T02; 2/6: OBL.</t>
  </si>
  <si>
    <t>TCLU1229258</t>
  </si>
  <si>
    <t>EN#2026823-2. Inv# 20141224</t>
  </si>
  <si>
    <t>Kaohsiung, Taiwan</t>
  </si>
  <si>
    <t>APZU4444260</t>
  </si>
  <si>
    <t>Panax GSG Extract 10's/30's, Ginkgo Biloba&amp;Red Panax GSG Extract, Ultra Ginkgo Plus w/ eleuthero&amp;Tibetan Rhodiola, Beijing Royal Jelly w/ Bee Pollen, Ultra Joint Health Liquid Extract</t>
  </si>
  <si>
    <t>EN#2026445-4. Inv#2006017-14</t>
  </si>
  <si>
    <t>MRKU0666900</t>
  </si>
  <si>
    <t>Ginger Honey Crystal, Dark Brown Sugar Honey Crystals</t>
  </si>
  <si>
    <t>EN# 2027327-3; bsiu9410873</t>
  </si>
  <si>
    <t>TCLU9506868</t>
  </si>
  <si>
    <t>Green Tea(D-13112N), Oolong Tea(D-15112N)</t>
  </si>
  <si>
    <t>EN#2026667-3, Inv#YD15-T01</t>
  </si>
  <si>
    <t>MRKU4593818</t>
  </si>
  <si>
    <t>Organic Tea bags 100's, Organic Jasmine 100's, Organic White 20's/100's, Organic Oolong 100's,  Dragon Well(bulks), Pi Lo Chun(bulks), Oolong(bulks), Ti Kuan Yin(Bulks), Organic Maofeng(bulks), Pu-Erh Black tea(Bulks)</t>
  </si>
  <si>
    <t>EN# 2027121-0; Inv# 14TM052</t>
  </si>
  <si>
    <t>YMLU5059514</t>
  </si>
  <si>
    <t>Ginger Honey Crystal with Plum/Lemon/AM GSG</t>
  </si>
  <si>
    <t>EN#2026776-2. Inv#BP14NSS0338. T/R.</t>
  </si>
  <si>
    <t>SEGU5063485</t>
  </si>
  <si>
    <t>Ginger Candy</t>
  </si>
  <si>
    <t>EN#2026838-0, ISF 1/6/15, INV# 001/EXP/INV/I/2015. Note: "Additional cost of $80 for congestion fee for containers out of Global Terminal."</t>
  </si>
  <si>
    <t>TTNU9194409</t>
  </si>
  <si>
    <t>Green tea 20's/100's,Oolong tea, Ti Kuan Yin tea</t>
  </si>
  <si>
    <t>EN#2026386-0. Inv#YD14-T15</t>
  </si>
  <si>
    <t>TGHU4304380</t>
  </si>
  <si>
    <t>Panax GSG Extract(Pine) 10's/30's</t>
  </si>
  <si>
    <t>EN#2026054-4.Invoice#2014TAT05; OBL:MSCUXT852394</t>
  </si>
  <si>
    <t>GLDU0983902</t>
  </si>
  <si>
    <t>Green Tea Extract 30', Goji On the Go 30'</t>
  </si>
  <si>
    <t>EN#2026285-4. Invoice#2014TAT08</t>
  </si>
  <si>
    <t xml:space="preserve">CMAU4508885 </t>
  </si>
  <si>
    <t>Panax GSG Extract 30', Red GSG Royal Jelly 30'</t>
  </si>
  <si>
    <t>EN#2026778-8. Inv#2014TAT07.2/6: UPS OBL.; split chassis p/up $55.00</t>
  </si>
  <si>
    <t>TRHU2738482</t>
  </si>
  <si>
    <t>EN#2026777-0. Inv#2006003-15. 2/2: OBL.Split chasisp/up fee $55.00</t>
  </si>
  <si>
    <t>28670/
28685</t>
  </si>
  <si>
    <t>MSKU2251675</t>
  </si>
  <si>
    <t>MS Facial Mask, lip balm, hand cream</t>
  </si>
  <si>
    <t>EN#2026191-4. Inv# JST-14025</t>
  </si>
  <si>
    <t>MSKU6760449</t>
  </si>
  <si>
    <t>AM GSG inst tea 100's/60's/20's, Wild AM GSG Inst Tea 100's/60'/20's</t>
  </si>
  <si>
    <t>EN#2025628-6​. Inv#2006018-14.12/26: OBL.</t>
  </si>
  <si>
    <t>MSCU7279790</t>
  </si>
  <si>
    <t>Green Tea 100's Jamine Tea 100's, Pu-erh tea 100's</t>
  </si>
  <si>
    <t>EN#2025780-5. Inv#YD14-T14. 12/23:OBL</t>
  </si>
  <si>
    <t>APZU4659633</t>
  </si>
  <si>
    <t>Red Panax gsg extractum10's/30's, Ginkgo Biloba&amp; Red panax gsg extract, ultra ginkgo plus w/ eleuthero &amp; tibetan rhodiola, beijing royal jelly w/ bee pollen, AM GSG w/ royal jelly&amp;bee pollen, ultra joint health liquid extract</t>
  </si>
  <si>
    <t>EN#2024966-1. Inv#2006015-14/14A-10-1015. 12/26:OBL.</t>
  </si>
  <si>
    <t>GESU6221111</t>
  </si>
  <si>
    <t>Cheezheng Pain Relieving Plaster patches</t>
  </si>
  <si>
    <t>EN#2025594-0. T/R.</t>
  </si>
  <si>
    <t>TCLU1790398</t>
  </si>
  <si>
    <t>Tsaio Mask/hand cream</t>
  </si>
  <si>
    <t>EN#2025637-7. 12/23:OBL.</t>
  </si>
  <si>
    <t>PONU1356732</t>
  </si>
  <si>
    <t>AM GSG Candy 1lb</t>
  </si>
  <si>
    <t>EN#2025718-5. T/R.</t>
  </si>
  <si>
    <t>28312/
28644/
28574/
NS1562</t>
  </si>
  <si>
    <t>HDMU6988630</t>
  </si>
  <si>
    <t>AM GSG candy box,paper box,plastic box, AG small paper bag, EYS paper bag/red envelopes, SOBEM envelopes/9 carton books</t>
  </si>
  <si>
    <t>EN#2025923-1</t>
  </si>
  <si>
    <t>BMOU5058877</t>
  </si>
  <si>
    <t>Organic green tea 100's, green tea 100's, Oolong tea 100's, Ti kuan Yin 100's, Jasmine 100's</t>
  </si>
  <si>
    <t>EN#2025223-6. Inv#YD14-T13. 12/8: OBL.</t>
  </si>
  <si>
    <t>28529 28530</t>
  </si>
  <si>
    <t>ECMU9422175</t>
  </si>
  <si>
    <t>EN#2024917-4. Inv# 183382</t>
  </si>
  <si>
    <t>OOLU7418622</t>
  </si>
  <si>
    <t>EN#2026192-2. Inv# 93164403</t>
  </si>
  <si>
    <t>MSKU6815412</t>
  </si>
  <si>
    <t>Red Panax ginseng extractum, ginkgo biloba&amp;red panax ginseng extract, ultra ginkgo plus w/ eleuthero&amp;tibetan rhodiola, beijing royal jelly w/ bee pollen, AM ginseng w/ royal jelly&amp;bee pollen, ultra joint health liquid extract</t>
  </si>
  <si>
    <t xml:space="preserve">EN#2024447-2. Inv#2006014-14/14A-10-1014. 12/18:OBL. </t>
  </si>
  <si>
    <t>BMOU2765691</t>
  </si>
  <si>
    <t>EN#2025949-6.T/R. Note: drop and bobtail charges are $750.00</t>
  </si>
  <si>
    <t xml:space="preserve">  </t>
  </si>
  <si>
    <t>Last Updated: TS 12/18/17</t>
  </si>
  <si>
    <t>TIGER BALM PRODUCTS</t>
  </si>
  <si>
    <t>Invoice#</t>
  </si>
  <si>
    <t>Oak</t>
  </si>
  <si>
    <t>CMAU8219772</t>
  </si>
  <si>
    <t>USA Tiger Balm Pain Relieving Patch</t>
  </si>
  <si>
    <t>EN#2075101-3; Order#PI17-59; PO#31881; OBL Sent 12/19</t>
  </si>
  <si>
    <t>TCNU9918158</t>
  </si>
  <si>
    <t>Tiger Balm White 18G (Ethnic) / Tiger Balm Red 18G (Ethnic) / Tiger Balm Red 18G / Ultra-Strength Ointment 18G &amp; 50G / Tiger Balm White 4G / Tiger Balm Red 4G</t>
  </si>
  <si>
    <t>EN#2073939-8; Order#PI17-55; PO#31844; OBL Sent 11/30/17</t>
  </si>
  <si>
    <t>CMAU0639193</t>
  </si>
  <si>
    <t>Tiger Balm Red 18G (Ethnic) / Ultra-Strength Tiger Balm Ointment 18G &amp; 50 G / Tiger Balm Red 4G</t>
  </si>
  <si>
    <t>EN#2073940-6; Order#PI17-55; PO#31843; OBL Sent 10/30/17</t>
  </si>
  <si>
    <t>DRYU4187021</t>
  </si>
  <si>
    <t>Tiger Balm Patch / Kwan Loong Oil</t>
  </si>
  <si>
    <t>EN#2074006-5; Order#PI17-52, 17-56; PO#31846; OBL Sent 10/30/17</t>
  </si>
  <si>
    <t>CMAU8354751</t>
  </si>
  <si>
    <t>EN#2073945-5; Order#PI17-55; PO#31842; OBL Sent 10/30/17</t>
  </si>
  <si>
    <t>HDMU4739881</t>
  </si>
  <si>
    <t>EN#2074007-3; Order#PI17-52 &amp; PI17-56; PO#31847; OBL Sent 10/30/17</t>
  </si>
  <si>
    <t>CMAU8141972    APZU4376000</t>
  </si>
  <si>
    <t>Tiger Balm Patch / Kwan Loong OIl / Tiger Liniment</t>
  </si>
  <si>
    <t>12/20/17   12/21/17</t>
  </si>
  <si>
    <t>EN#2073938-0; Order#PI17-52, 17-56, 17-55; PO#31845;  OBL Sent 10/30/17</t>
  </si>
  <si>
    <t>UACU3618176</t>
  </si>
  <si>
    <t>EN#2072745-0; Order#PI17-49; PO#31777; OBL sent 11/6</t>
  </si>
  <si>
    <t>TGHU1334627</t>
  </si>
  <si>
    <t>EN#2072410-1; Order#PI17-51; PO#31786; OBL sent 11/6</t>
  </si>
  <si>
    <t>APZU3302600</t>
  </si>
  <si>
    <t>EN#2072466-3; Order#PI17-51; PO#31785; OBL sent 11/6</t>
  </si>
  <si>
    <t>CMAU9013560</t>
  </si>
  <si>
    <t>EN#2072315-2; Order#PI17-51; PO#31776; OBL Sent 11/6</t>
  </si>
  <si>
    <t>CSNU4003538</t>
  </si>
  <si>
    <t>EN#2072525-6; Order#PI17-48, PI17-51, PI17-53; PO#31787; OBL sent 11/13</t>
  </si>
  <si>
    <t>OOLU7942028</t>
  </si>
  <si>
    <t>EN#2072526-4; Order#PI17-48 &amp; PI17-53; PO#31788; OBL sent 11/6</t>
  </si>
  <si>
    <t>APZU4469525, CMAU8175822</t>
  </si>
  <si>
    <t>EN#2072468-9; Order#PI17-48 &amp; PI17-53; PO#31789; OBL sent 11/6</t>
  </si>
  <si>
    <t>UETU2029330</t>
  </si>
  <si>
    <t>EN#2072744-3; Order#PI17-49; PO#31794</t>
  </si>
  <si>
    <t>FSCU5089900</t>
  </si>
  <si>
    <t>Tiger Balm Muscle Rub / Tiger Balm Neck &amp; Shoulder Rub</t>
  </si>
  <si>
    <t>EN#2071220-5; Order#PI17-43; PO#31729; OBL sent 10/10</t>
  </si>
  <si>
    <t>GIPU4359453</t>
  </si>
  <si>
    <t>Tiger Liniment / Tiger Balm Patch / Kwan Loong Oil</t>
  </si>
  <si>
    <t>EN#2071144-7; Order#PI17-42, PI17-46, PI17-47; PO#31706; OBL sent 10/10</t>
  </si>
  <si>
    <t>OOLU7711815</t>
  </si>
  <si>
    <t>EN#2071145-4; Order#PI17-42, PI17-46, PI17-47; PO#31730; OBL sent 10/10</t>
  </si>
  <si>
    <t>CAIU9091209</t>
  </si>
  <si>
    <t>EN#2071175-1; Order#PI17-46; PO#31705; OBL sent 10/10</t>
  </si>
  <si>
    <t>APZU4744988   ECMU1629530</t>
  </si>
  <si>
    <t>EN#2071069-6; Order#PI17-42, PI17-46 &amp; PI17-47; PO#31704; OBL sent 10/4</t>
  </si>
  <si>
    <t>TRLU8622461</t>
  </si>
  <si>
    <t>EN#2071070-4; Order#PI17-46; PO#31703; OBL sent 10/4</t>
  </si>
  <si>
    <t>TEMU5407313</t>
  </si>
  <si>
    <t>EN#2071071-2; Order#PI17-46; PO#31702; OBL sent 10/4</t>
  </si>
  <si>
    <t>FSCU3645830</t>
  </si>
  <si>
    <t>EN#2069967-5; Order#Pl17-40; PO#31634; OBL sent 9/12</t>
  </si>
  <si>
    <t>CCLU7703310</t>
  </si>
  <si>
    <t>EN#2069385-0; Order#PI17-41; PO#31614; OBL sent 9/8</t>
  </si>
  <si>
    <t>HLBU1373718</t>
  </si>
  <si>
    <t>EN#2069692-9; Order#Pl17-40; PO#31615; OBL sent 9/12</t>
  </si>
  <si>
    <t>FSCU5047057, CBHU6076915</t>
  </si>
  <si>
    <t>Tiger Liniment 57ML / Tiger Balm Patch / Tiger Balm Patch 1's</t>
  </si>
  <si>
    <t>EN#2069591-3; Order#Pl17-41 &amp; Pl17-39; PO#31632; OBL sent 9/8</t>
  </si>
  <si>
    <t>TGBU5008210</t>
  </si>
  <si>
    <t>EN#2069388-4; Order#PI17-41; PO#31631; OBL sent 9/8</t>
  </si>
  <si>
    <t>CSLU1329890</t>
  </si>
  <si>
    <t>EN#2069387-6; Order#PI17-41; PO#31633; OBL sent 9/8</t>
  </si>
  <si>
    <t>OOLU7983053</t>
  </si>
  <si>
    <t xml:space="preserve">Tiger Balm Patch /  Tiger Balm Patch 1'S </t>
  </si>
  <si>
    <t>EN#2069386-8; Order#Pl17-39; PO#31630; OBL sent 9/8</t>
  </si>
  <si>
    <t>CSNU1044261    CCLU5176838</t>
  </si>
  <si>
    <t>Tiger Balm Patch /  Tiger Balm Patch 1'S / Liniment 57 ML</t>
  </si>
  <si>
    <t>released</t>
  </si>
  <si>
    <t>EN#2069384-3; Order#Pl17-39, Pl17-41; PO#31613; OBL sent 9/8</t>
  </si>
  <si>
    <t>TRHU2986880</t>
  </si>
  <si>
    <t>Ultra-Strength Tiger Balm Ointment</t>
  </si>
  <si>
    <t>EN#2067929-7; Order#PI17-38; PO#31550; OBL sent 8/16</t>
  </si>
  <si>
    <t>ECMU4483877</t>
  </si>
  <si>
    <t>9/11/17  NEW Livermore</t>
  </si>
  <si>
    <t>EN#2067887-7; Order#PI17-36; PO#31525; OBL sent 8/10</t>
  </si>
  <si>
    <t>NYKU6326098</t>
  </si>
  <si>
    <t>Tiger Balm Muscle Rub Cream 57G</t>
  </si>
  <si>
    <t>EN#2067615-2; Order#PI17-35; PO#31501; OBL sent 8/4</t>
  </si>
  <si>
    <t>FCIU9724368</t>
  </si>
  <si>
    <t>EN#2067785-3; Order#PI17-36; PO#31529; OBL sent 8/10</t>
  </si>
  <si>
    <t>TGHU3504039</t>
  </si>
  <si>
    <t xml:space="preserve">USA Tiger Balm Pain Relieving Patch </t>
  </si>
  <si>
    <t>EN#2067788-7; Order#PI17-34; PO#31487; OBL sent 8/4</t>
  </si>
  <si>
    <t>HDMU4659370</t>
  </si>
  <si>
    <t>Tiger Balm Patch / Kwan Loong Oil 57ML &amp; 28ML</t>
  </si>
  <si>
    <t>EN#2067786-1; Order#PI17-33 &amp; PI17-37; PO#31527; OBL sent 8/10</t>
  </si>
  <si>
    <t>NyKU4623498</t>
  </si>
  <si>
    <t>EN#2067616-0; Order#PI17-35; PO#31502; OBL sent 8/4</t>
  </si>
  <si>
    <t>HDMU4690586</t>
  </si>
  <si>
    <t>Tiger Balm Patch / Kwan Loong Oil 57ML</t>
  </si>
  <si>
    <t>EN#2067787-9; Order#PI17-33 &amp; PI17-37; PO#31528; OBL sent 8/10</t>
  </si>
  <si>
    <t>GVCU2046646</t>
  </si>
  <si>
    <t xml:space="preserve">Tiger Balm White 18G (Ethnic) / Tiger Balm Red 18G (Ethnic) / Tiger Balm Red 18G / Ultra-Strength Ointment 18G &amp; 50G </t>
  </si>
  <si>
    <t>EN#2067886-9; Order#PI17-36; PO#31524; OBL sent 8/10</t>
  </si>
  <si>
    <t>6 PLT</t>
  </si>
  <si>
    <t>WHSU9004908</t>
  </si>
  <si>
    <t>EN#2067932-1; Order#PI17-38; PO#31549; OBL sent 8/16</t>
  </si>
  <si>
    <t>CMAU9015264    APZU4911745</t>
  </si>
  <si>
    <t>Tiger Liniment 57ML / Tiger Balm Patch / Kwan Loong OIl 57ml</t>
  </si>
  <si>
    <t>EN#2067885-1; Order#PI17-36, PI17-33 &amp; PI17-37; PO#31526; OBL sent 8/10</t>
  </si>
  <si>
    <t>FSCU7802326</t>
  </si>
  <si>
    <t>EN#2067738-9; Order#PI17-34; PO#31484; OBL sent 8/4</t>
  </si>
  <si>
    <t>CSNU1016193</t>
  </si>
  <si>
    <t>EN#2066243-4; Order#PI17-28; PO#31433; OBL sent 7/7</t>
  </si>
  <si>
    <t>CCLU4430681</t>
  </si>
  <si>
    <t>EN#2066010-7; Order#Pl17-31; PO#31430; OBL sent 7/7</t>
  </si>
  <si>
    <t>TEMU0130843</t>
  </si>
  <si>
    <t>Tiger Balm White 18G (Ethnic) / Tiger Balm Red 18G (Ethnic) / Tiger Balm Red 18G / Ultra-Strength Ointment 18G &amp; 50G</t>
  </si>
  <si>
    <t>EN#2066244-2; Order#Pl17-31; PO#31431; OBL sent 7/7</t>
  </si>
  <si>
    <t>TCLU4054209  GESU1050891</t>
  </si>
  <si>
    <t>Tiger Liniment / Tiger Palm Patch / Kwan Loong Oil</t>
  </si>
  <si>
    <t>EN#2066246-7; Order#PI17-31, PI17-27 &amp; PI17-32; PO#31432; OBL sent 7/7</t>
  </si>
  <si>
    <t>AMSU2000386</t>
  </si>
  <si>
    <t>EN#2066245-9; Order#PI17-28; PO#31434; OBL sent 7/7</t>
  </si>
  <si>
    <t>HJMU1947033  GESU1174526</t>
  </si>
  <si>
    <t>RUSH  7/26/17</t>
  </si>
  <si>
    <t>EN#2066242-6; Order#Pl17-31; PO#31429; OBL sent 7/7</t>
  </si>
  <si>
    <t>OOLU4372873</t>
  </si>
  <si>
    <t>EN#2065911-7; Order#PI17-31, PI17-27 &amp; PI17-32; PO#31428; OBL sent 7/6</t>
  </si>
  <si>
    <t>TCLU4195146</t>
  </si>
  <si>
    <t>EN#2065876-2; Order#Pl17-31, Pl17-27 &amp; Pl17-32; PO#31423; OBL sent 7/6</t>
  </si>
  <si>
    <t>NYKU5284871</t>
  </si>
  <si>
    <t>Tiger Balm Muscle Rub Cream</t>
  </si>
  <si>
    <t>EN#2064586-8; Order#Pl17-23; PO#31336; OBL sent 6/7</t>
  </si>
  <si>
    <t>CAIU3236178</t>
  </si>
  <si>
    <t>EN#2064844-1; Order#Pi17-29; PO#31347; OBL sent 6/22</t>
  </si>
  <si>
    <t>NYKU4592993</t>
  </si>
  <si>
    <t>EN#2064587-6; Order#Pl17-23; PO#31337;  OBL sent 6/7</t>
  </si>
  <si>
    <t>FSCU4641906    TCLU4176505</t>
  </si>
  <si>
    <t>EN#2064464-8; Order#Pl17-21, Pl17-25 &amp; Pl17-26; PO#31334; OBL sent 6/7</t>
  </si>
  <si>
    <t>UETU2164561</t>
  </si>
  <si>
    <t>Tiger Balm Red 18G (Ethnic) / Tiger Balm Red 18G / Ultra-Strength Ointment 18G &amp; 50G</t>
  </si>
  <si>
    <t>EN#2064343-4; Order#Pl17-25; PO#31335; OBL sent 6/2</t>
  </si>
  <si>
    <t>ECMU4615572, CAIU4110380</t>
  </si>
  <si>
    <t>7/3/17  7/5/17</t>
  </si>
  <si>
    <t>EN#2064667-6; Order#PI17-25, PI17-21 &amp; PI17-26; PO#31338; OBL sent 6/7</t>
  </si>
  <si>
    <t>CMAU8181321</t>
  </si>
  <si>
    <t>RUSH    7/3/17</t>
  </si>
  <si>
    <t>EN#2064292-3; Order#PI17-25; PO#31330; OBL sent 6/2</t>
  </si>
  <si>
    <t>APZU3522271</t>
  </si>
  <si>
    <t>RUSH  6/29/17</t>
  </si>
  <si>
    <t>EN#2064253-5; Order#Pl17-22; PO#31323; OBL sent 6/7</t>
  </si>
  <si>
    <t>CMAU0684037</t>
  </si>
  <si>
    <t>Tiger Balm Red 18G (Ethnic) / Tiger Balm Red 18G / Ultra-Strength Ointment 18G &amp; 50G /Tiger Balm White 4G</t>
  </si>
  <si>
    <t>EN#2064252-7; Order#Pl17-25; PO#31332; OBL sent 6/2</t>
  </si>
  <si>
    <t>CMAU8091260</t>
  </si>
  <si>
    <t>EN#2064293-1; Order#Pl17-21, Pl17-26; PO#31333; OBL sent 6/7</t>
  </si>
  <si>
    <t>CMAU1873523</t>
  </si>
  <si>
    <t>EN#2064254-3; Order#Pl17-22; PO#31322; OBL sent 6/2</t>
  </si>
  <si>
    <t>CCLU4634730</t>
  </si>
  <si>
    <t>EN#2062898-9; Order#PI17-18, PI17-19 &amp; PI17-20; PO#31262</t>
  </si>
  <si>
    <t>ECMU4402957</t>
  </si>
  <si>
    <t>White18g, Red18g, ointment 18g/50g. White 4g</t>
  </si>
  <si>
    <t>EN#2062507-6; PO#31250; OBL sent 5/3</t>
  </si>
  <si>
    <t>NYKU3769467</t>
  </si>
  <si>
    <t>Tiger Balm Muscle Rub Cream 57g</t>
  </si>
  <si>
    <t>EN#2062759-3; Order#PI17-17; PO#31243;  OBL sent 5/3</t>
  </si>
  <si>
    <t>CMAU0610688 CAIU9673811</t>
  </si>
  <si>
    <t>White18g, Red18g, ointment 18g/50g. Red 4g</t>
  </si>
  <si>
    <t>EN#2062506-8; OBL sent 5/3; PO#31251</t>
  </si>
  <si>
    <t>OOLU4293590</t>
  </si>
  <si>
    <t>EN#2062859-1; Order#PI17-18, PI17-19 &amp; PI17-20; PO#31263</t>
  </si>
  <si>
    <t>TCKU9987093</t>
  </si>
  <si>
    <t>EN#2063055-5; Order#PI17-17; PO#31244; OBL sent 5/3</t>
  </si>
  <si>
    <t>TCLU3730649</t>
  </si>
  <si>
    <t>White 18g / Red 18g / Oinymrny 18g / 50g</t>
  </si>
  <si>
    <t>EN2062614-0; Order#PI17-19; PO#31249; OBL sent 5/3</t>
  </si>
  <si>
    <t>CMAU8163544  APZU4790860</t>
  </si>
  <si>
    <t>EN#2062799-9; Order#PI17-18, PI17-19 &amp; PI17-20; PO#31245; OBL sent 5/3</t>
  </si>
  <si>
    <t>ECMU4528755</t>
  </si>
  <si>
    <t>EN#2061445-0; Order#PI17-15, PI17-12, PI17-16; PO#31217; OBL sent 4/13</t>
  </si>
  <si>
    <t>APZU4508391</t>
  </si>
  <si>
    <t>EN#2061447-6; INV#PI17-15, PI17-12 &amp; PI17-16; PO#31216; OBL sent 4/13</t>
  </si>
  <si>
    <t>CMAU9034480</t>
  </si>
  <si>
    <t>5/5/2017    Rush</t>
  </si>
  <si>
    <t>EN#2061446-8; Order#PI17-13; PO#31162; OBL sent 4/6</t>
  </si>
  <si>
    <t>OOLU7966354</t>
  </si>
  <si>
    <t>Tiger Balm White 18G &amp; 4G/ Tiger Balm Red 18G &amp; 4G / Ultra-Strength Ointment 18G &amp; 50G</t>
  </si>
  <si>
    <t>EN#2061100-1; Order#Pl17-15; PO#31157; OBL sent 4/6</t>
  </si>
  <si>
    <t>OOLU453523  OOLU4297872</t>
  </si>
  <si>
    <t>Tiger Liniment 57 ml / Tiger Balm Patch / Kwan Loong Oil 57 ml &amp; 28 ml</t>
  </si>
  <si>
    <t>EN#2061444-3; Order#PI17-15, PI17-12, PI17-16; PO#31215 ; OBL sent 4/6</t>
  </si>
  <si>
    <t>OOLU4439426</t>
  </si>
  <si>
    <t>EN#2061120-9; Order#Pl17-15; PO#31158; OBL sent 4/6</t>
  </si>
  <si>
    <t>SHCU2208760</t>
  </si>
  <si>
    <t>EN#2061221-5; Order#PI17-08; PO#31161; OBL sent 4/6</t>
  </si>
  <si>
    <t>GLDU5213308</t>
  </si>
  <si>
    <t>EN#2061098-7; Order#Pl17-14; PO#31160; OBL sent 4/6</t>
  </si>
  <si>
    <t>OOLU3753659</t>
  </si>
  <si>
    <t>Tiger Balm White 18G / Tiger Balm Red 18G / Ultra-Strength Ointment 18G &amp; 50G</t>
  </si>
  <si>
    <t>EN#2061099-5; Order#Pl17-15: PO#31159; OBL sent 4/6</t>
  </si>
  <si>
    <t>DRYU4066061</t>
  </si>
  <si>
    <t>Tiger Balm White / Red / Ultra-Strength Tiger Ointment</t>
  </si>
  <si>
    <t>EN#2059955-2; Order#PI17-10 ; OBL sent 3/8; PO#31102</t>
  </si>
  <si>
    <t>NYKU3850429</t>
  </si>
  <si>
    <t>EN#2059957-8; Order#PI17-10; OBL sent 3/8; PO#31103</t>
  </si>
  <si>
    <t>CMAU0815456 APHU6937622</t>
  </si>
  <si>
    <t>EN#2059876-0; Order#PI17-10; PO#31100; OBL sent 3/8</t>
  </si>
  <si>
    <t>CCLU4768067</t>
  </si>
  <si>
    <t>EN#2059956-0; Order#PI17-10, PI17-05 &amp; PI17-11; PO#31101</t>
  </si>
  <si>
    <t>CAIU2362593 CAMU8340444</t>
  </si>
  <si>
    <t>Tiger Balm Patch / Tiger Liniment / Kwan Loong OIl / Active Muscle Spray</t>
  </si>
  <si>
    <t>EN#2059875-2; Order#PI17-10, PI17-05 &amp; PI17-11; PO#31097</t>
  </si>
  <si>
    <t>OOLU7949830 OOLU4445917</t>
  </si>
  <si>
    <t>EN#2059830-7; Order#PI17-10, PI17-05 &amp; PI17-11; OBL sent 3/8; PO#31099</t>
  </si>
  <si>
    <t>OOLU7631788</t>
  </si>
  <si>
    <t>Tiger Balm Muscle Rub Cream / Neck &amp; Shoulder Rub</t>
  </si>
  <si>
    <t>EN#2059829-9; Order#Pl17-06; OBL sent 3/8; PO#31098</t>
  </si>
  <si>
    <t>NYKU8362643</t>
  </si>
  <si>
    <t>EN#2059079-1; Order#Pl17-03; PO#31068; OBL sent 2/10; PO#31068</t>
  </si>
  <si>
    <t>OOLU4377638</t>
  </si>
  <si>
    <t>Tiger Balm White / Red / Tiger Ointment</t>
  </si>
  <si>
    <t>EN#2059020-5; Order#PI17-04; PO#31064; OBL sent 2/10; PO#31064</t>
  </si>
  <si>
    <t>OOLU0124143</t>
  </si>
  <si>
    <t>EN#2058960-3; Order#Pl17-04; PO#31063; OBL sent 2/10; PO#31063</t>
  </si>
  <si>
    <t>TCNU5844191</t>
  </si>
  <si>
    <r>
      <rPr>
        <rFont val="Calibri"/>
        <color rgb="FF000000"/>
        <sz val="11.0"/>
      </rPr>
      <t xml:space="preserve">3/6/17 </t>
    </r>
    <r>
      <rPr>
        <rFont val="Calibri"/>
        <color rgb="FFFF0000"/>
        <sz val="11.0"/>
      </rPr>
      <t>(URGENT)</t>
    </r>
  </si>
  <si>
    <t>EN#2058731-8; Order#Pl17-04; PO#30999; OBL sent 2/10</t>
  </si>
  <si>
    <t>APZU4337540</t>
  </si>
  <si>
    <t>Tiger Liniment / Tiger Balm Patch</t>
  </si>
  <si>
    <t>EN#2058515-5; Order#PI17-04 &amp; PI17-01; PO#30996; OBL sent 2/1</t>
  </si>
  <si>
    <t>OOLU7856001 OOLU7868640</t>
  </si>
  <si>
    <t>Tiger Liniment / Tiger Balm Patch/ Kwan Loong Oil 28/58ML</t>
  </si>
  <si>
    <r>
      <rPr>
        <rFont val="Calibri"/>
        <color rgb="FF000000"/>
        <sz val="11.0"/>
      </rPr>
      <t xml:space="preserve">2/17/17 &amp; 2/21/17 </t>
    </r>
    <r>
      <rPr>
        <rFont val="Calibri"/>
        <color rgb="FFFF0000"/>
        <sz val="11.0"/>
      </rPr>
      <t>(URGENT)</t>
    </r>
  </si>
  <si>
    <t>EN#2058472-9; Order#Pl17-04, Pl17-01, Pl17-07; PO#30998; OBL sent 2/1; FDA Exam/sample 2/13</t>
  </si>
  <si>
    <t>APZU4863729</t>
  </si>
  <si>
    <t>EN#2058514-8; Order#PI17-01 &amp; PI17-07; PO#30997; OBL sent 2/1</t>
  </si>
  <si>
    <t>APZU4656953</t>
  </si>
  <si>
    <t>EN#2058358-0; Order#Pl17-02; PO#30995; OBL sent 2/1</t>
  </si>
  <si>
    <t>OOLU4496977</t>
  </si>
  <si>
    <t>Tiger Balm Red / Ultra-Strength Ointment</t>
  </si>
  <si>
    <t>EN#2057021-5; Order#Pl16-81; OBL sent 1/5; PO#30946</t>
  </si>
  <si>
    <t>OOLU7840140</t>
  </si>
  <si>
    <t>Tiger Balm Red/ Ultra-Strength Ointment</t>
  </si>
  <si>
    <t>EN#2057159-3;Order#Pl 16-81; OBL sent 1/5; PO#30947</t>
  </si>
  <si>
    <t>OOLU0659063</t>
  </si>
  <si>
    <t>EN#2057092-6; Order#Pl16-81; OBL sent 1/5; PO#30948</t>
  </si>
  <si>
    <t>APZU4700280</t>
  </si>
  <si>
    <t>EN#2057093-4; Order#Pl16-81, Pl16-76; OBL sent 1/5; PO#30944</t>
  </si>
  <si>
    <t>OOLU4443160</t>
  </si>
  <si>
    <t>EN#2056839-1; Order#Pl16-79; OBL sent 1/5; PO#30941</t>
  </si>
  <si>
    <t>CIIU5002684</t>
  </si>
  <si>
    <t>EN#2057158-5; Order#Pl 16-71; OBL sent 1/5; PO#30942</t>
  </si>
  <si>
    <t>OOLU0125793</t>
  </si>
  <si>
    <t>Tiger Balm Ultra Strength Ointment</t>
  </si>
  <si>
    <t>EN#2056785-6; Order#Pl16-80; OBL sent 1/6; PO#30940</t>
  </si>
  <si>
    <t>TCKU3336387</t>
  </si>
  <si>
    <t>Tiger Balm Patch</t>
  </si>
  <si>
    <t>EN#2057091-8; Order#Pl16-76; OBL sent 1/5; PO#30943</t>
  </si>
  <si>
    <t>CBHU4264744 CCLU4504315</t>
  </si>
  <si>
    <t>EN#2057022-3; Order#Pl16-81. 16-76, 16-77, 16-72;OBL sent 1/5; PO#30945</t>
  </si>
  <si>
    <t>Extended Gate Fee @ SSA OAKLAND   User name: Admin52291  Password: pop$2016</t>
  </si>
  <si>
    <t>Paid Date</t>
  </si>
  <si>
    <t>Paid by</t>
  </si>
  <si>
    <t>YMMU1018655</t>
  </si>
  <si>
    <t>PONU0582313</t>
  </si>
  <si>
    <t>NYKU8163913</t>
  </si>
  <si>
    <t>MAGU5799168</t>
  </si>
  <si>
    <t>NYKU9758618</t>
  </si>
  <si>
    <t>TCLU9751696</t>
  </si>
  <si>
    <t>WHLU4296930</t>
  </si>
  <si>
    <t>MSKU0417828</t>
  </si>
  <si>
    <t>ACH</t>
  </si>
  <si>
    <t>CAIU9453397</t>
  </si>
  <si>
    <t>CBHU5690826</t>
  </si>
  <si>
    <t>CXDU1137278</t>
  </si>
  <si>
    <t>CAIU2362593</t>
  </si>
  <si>
    <t>CMAU8340444</t>
  </si>
  <si>
    <t>YMLU8792361</t>
  </si>
  <si>
    <t>TCLU2347430</t>
  </si>
  <si>
    <t>TEMU4843652</t>
  </si>
  <si>
    <t>WHLU5448642</t>
  </si>
  <si>
    <t>GESU6159648</t>
  </si>
  <si>
    <t>DFSU7516008</t>
  </si>
  <si>
    <t>TCLU2477006</t>
  </si>
  <si>
    <t>SEGU2006922</t>
  </si>
  <si>
    <t>MRKU5313887</t>
  </si>
  <si>
    <t>NYKU5224640</t>
  </si>
  <si>
    <t>APZU3547182</t>
  </si>
  <si>
    <t>WHLU5767969</t>
  </si>
  <si>
    <t>TTNU3478199</t>
  </si>
  <si>
    <t>MSKU6886967</t>
  </si>
  <si>
    <t>MOFU5845973</t>
  </si>
  <si>
    <t>MRKU4169456</t>
  </si>
  <si>
    <t>OOLU8706449</t>
  </si>
  <si>
    <t>WHLU4274079</t>
  </si>
  <si>
    <t>31213 / 31218</t>
  </si>
  <si>
    <t>BMOU9404197</t>
  </si>
  <si>
    <t>BMOU9405505</t>
  </si>
  <si>
    <t>TCLU4176505</t>
  </si>
  <si>
    <t>FSCU4641906</t>
  </si>
  <si>
    <t>WHSU5146099</t>
  </si>
  <si>
    <t>FCIU3428040</t>
  </si>
  <si>
    <t>APHU6908970</t>
  </si>
  <si>
    <t>MRSU3389320</t>
  </si>
  <si>
    <t>CMAU1168502</t>
  </si>
  <si>
    <t>TRHU2389436</t>
  </si>
  <si>
    <t>WHLU5731478</t>
  </si>
  <si>
    <t>NYKU9824746</t>
  </si>
  <si>
    <t>MRKU5410249</t>
  </si>
  <si>
    <t>ECMU9127863</t>
  </si>
  <si>
    <t>TEMU4122131</t>
  </si>
  <si>
    <t>GESU3307628</t>
  </si>
  <si>
    <t>MRKU0918406</t>
  </si>
  <si>
    <t>CMAU4870148</t>
  </si>
  <si>
    <t>NYKU7136620</t>
  </si>
  <si>
    <t>MRKU6057481</t>
  </si>
  <si>
    <t>CAIU3609266</t>
  </si>
  <si>
    <t>CCLU5176838</t>
  </si>
  <si>
    <t>CSNU1044261</t>
  </si>
  <si>
    <t>PONU0024733</t>
  </si>
  <si>
    <t>HAMU1144732</t>
  </si>
  <si>
    <t>TCLU1464200</t>
  </si>
  <si>
    <t>MRKU0829947</t>
  </si>
  <si>
    <t>PCIU0065589</t>
  </si>
  <si>
    <t>UACU4732347</t>
  </si>
  <si>
    <t>SEGU1959935</t>
  </si>
  <si>
    <t>UAEU1259011</t>
  </si>
  <si>
    <t>CAIU9701493</t>
  </si>
  <si>
    <t>UACU3793944</t>
  </si>
  <si>
    <t>TEXU9538927</t>
  </si>
  <si>
    <t>HAMU1208267</t>
  </si>
  <si>
    <t>MRKU0814994</t>
  </si>
  <si>
    <t>MRKU5394359</t>
  </si>
  <si>
    <t>MRKU5631804</t>
  </si>
  <si>
    <t>MRKU3731018</t>
  </si>
  <si>
    <t>CXRU1206542</t>
  </si>
  <si>
    <t>PONU1396479</t>
  </si>
  <si>
    <t>FCIU5134255</t>
  </si>
  <si>
    <t>OOLU7768298</t>
  </si>
  <si>
    <t>MSKU5971370</t>
  </si>
  <si>
    <t>MRKU6150233</t>
  </si>
  <si>
    <t>BMOU4384204</t>
  </si>
  <si>
    <t>PCIU1681172</t>
  </si>
  <si>
    <t>GLDU9062175</t>
  </si>
  <si>
    <t>TRLU9683538</t>
  </si>
  <si>
    <t>MRKU3260330</t>
  </si>
  <si>
    <t>Extended Gate Fee @ SSA OAKLAND</t>
  </si>
  <si>
    <t>User name: Admin52291          Password: pop$2016</t>
  </si>
  <si>
    <t>PO #</t>
  </si>
  <si>
    <t>KKFU7686138</t>
  </si>
  <si>
    <t>GLDU3201123</t>
  </si>
  <si>
    <t>TRHU3662186</t>
  </si>
  <si>
    <t>CBHU6061833</t>
  </si>
  <si>
    <t>MRSU3219621</t>
  </si>
  <si>
    <t>MRSU3289790</t>
  </si>
  <si>
    <t>PCIU8207210</t>
  </si>
  <si>
    <t>TCNU4158670</t>
  </si>
  <si>
    <t>CMAU9128722</t>
  </si>
  <si>
    <t>MRKU8223283</t>
  </si>
  <si>
    <t>CMAU0810156</t>
  </si>
  <si>
    <t>TCNU5376357</t>
  </si>
  <si>
    <t>MRKU4536280</t>
  </si>
  <si>
    <t>FCIU5079815, CCLU4702347</t>
  </si>
  <si>
    <t>CMAU9131665</t>
  </si>
  <si>
    <t>BEAU4054912</t>
  </si>
  <si>
    <t>MRKU5393727</t>
  </si>
  <si>
    <t>EITU0055964</t>
  </si>
  <si>
    <t>PCIU1932679</t>
  </si>
  <si>
    <t>MRKU3204172</t>
  </si>
  <si>
    <t>CAIU6231170, HDMU4666722</t>
  </si>
  <si>
    <t>CMAU8131927</t>
  </si>
  <si>
    <t>TCNU9388649</t>
  </si>
  <si>
    <t>DRYU4223520</t>
  </si>
  <si>
    <t>MRKU3444194</t>
  </si>
  <si>
    <t>CMAU0796485</t>
  </si>
  <si>
    <t>MSKU5540814</t>
  </si>
  <si>
    <t>PONU0022582</t>
  </si>
  <si>
    <t>TCLU4166620</t>
  </si>
  <si>
    <t>CSLU1768254</t>
  </si>
  <si>
    <t>MRKU0971756</t>
  </si>
  <si>
    <t>OOLU9284707</t>
  </si>
  <si>
    <t>BMOU2433228</t>
  </si>
  <si>
    <t>TCLU8540575</t>
  </si>
  <si>
    <t>TCNU6711784</t>
  </si>
  <si>
    <t>FCIU3991562</t>
  </si>
  <si>
    <t>HDMU2592805</t>
  </si>
  <si>
    <t>HDMU4738674</t>
  </si>
  <si>
    <t>CMAU5990385, FSCU7145052</t>
  </si>
  <si>
    <t>HLBU1459642</t>
  </si>
  <si>
    <t>MRKU5582572</t>
  </si>
  <si>
    <t>APZU3430350</t>
  </si>
  <si>
    <t>MSKU2485333</t>
  </si>
  <si>
    <t>APZU4664460</t>
  </si>
  <si>
    <t>32225 / 32226</t>
  </si>
  <si>
    <t>TCLU1321087      TEMU9229734</t>
  </si>
  <si>
    <t>TCLU2689005     TGBU5192508</t>
  </si>
  <si>
    <t>PCIU9187886</t>
  </si>
  <si>
    <t>HDMU2726000</t>
  </si>
  <si>
    <t>PCIU8806688</t>
  </si>
  <si>
    <t>TLLU4540908</t>
  </si>
  <si>
    <t>TRHU1474750</t>
  </si>
  <si>
    <t>TCLU1220944</t>
  </si>
  <si>
    <t>TCLU1948267</t>
  </si>
  <si>
    <t>HASU1293527</t>
  </si>
  <si>
    <t>MSKU6947044</t>
  </si>
  <si>
    <t>OOCU6875335</t>
  </si>
  <si>
    <t>PCIU8926750</t>
  </si>
  <si>
    <t>TLLU5558244</t>
  </si>
  <si>
    <t>YMMU6264883</t>
  </si>
  <si>
    <t>HASU1193929</t>
  </si>
  <si>
    <t>DRYU4192455</t>
  </si>
  <si>
    <t>TGBU2177290</t>
  </si>
  <si>
    <t>TCLU4311143</t>
  </si>
  <si>
    <t>DFSU6373284</t>
  </si>
  <si>
    <t>OOLU9459240</t>
  </si>
  <si>
    <t>CGMU9353790</t>
  </si>
  <si>
    <t>GIPU2077701</t>
  </si>
  <si>
    <t>TGHU9299820</t>
  </si>
  <si>
    <t>HLXU1065395</t>
  </si>
  <si>
    <t>2018TAT07</t>
  </si>
  <si>
    <t>TCLU7364595</t>
  </si>
  <si>
    <t>TLLU2585708, HDMU4750561</t>
  </si>
  <si>
    <t>TCKU2322780</t>
  </si>
  <si>
    <t>TCLU7322753</t>
  </si>
  <si>
    <t>CCLU4842729, CSLU2231932</t>
  </si>
  <si>
    <t>GLDU9390702</t>
  </si>
  <si>
    <t>TCNU5976599</t>
  </si>
  <si>
    <t>FCIU6501252</t>
  </si>
  <si>
    <t>HDMU6350008</t>
  </si>
  <si>
    <t>FCIU6477310</t>
  </si>
  <si>
    <t>CAIU2233364</t>
  </si>
  <si>
    <t>ONEU7008740</t>
  </si>
  <si>
    <t>TCLU4265789</t>
  </si>
  <si>
    <t>NYKU5124493</t>
  </si>
  <si>
    <t xml:space="preserve">Please Update </t>
  </si>
  <si>
    <t xml:space="preserve">FDA Release Notification </t>
  </si>
  <si>
    <t>Arrived at Warehouse</t>
  </si>
  <si>
    <t>Invoice #</t>
  </si>
  <si>
    <t>Destination Port</t>
  </si>
  <si>
    <t># of Ctns</t>
  </si>
  <si>
    <t>QC Received (Y/N)</t>
  </si>
  <si>
    <t>QC Checked (Initial)</t>
  </si>
  <si>
    <t>Remarks</t>
  </si>
  <si>
    <t>12 PLTS</t>
  </si>
  <si>
    <t>UACU8160194</t>
  </si>
  <si>
    <t>LARGE PATCH</t>
  </si>
  <si>
    <t>----</t>
  </si>
  <si>
    <t>EN#2110072-3; INV.#PI19-83; PO#33874; OBL 12/18</t>
  </si>
  <si>
    <t>24 PLTS</t>
  </si>
  <si>
    <t>ZCSU2673295</t>
  </si>
  <si>
    <r>
      <rPr>
        <rFont val="Calibri"/>
        <color theme="1"/>
        <sz val="11.0"/>
      </rPr>
      <t>RED 4g</t>
    </r>
    <r>
      <rPr>
        <rFont val="Calibri"/>
        <color theme="1"/>
        <sz val="11.0"/>
      </rPr>
      <t>, WHITE 4g, Muscle rub 60g &amp; Ultra Strength Ointment 50g</t>
    </r>
  </si>
  <si>
    <t>EN#2110272-9; INV..#PI19-84 &amp; PI19-89; PO#33890;obl 12/6</t>
  </si>
  <si>
    <t>6 PLTS</t>
  </si>
  <si>
    <t>TCLU1351820 - LCL</t>
  </si>
  <si>
    <t>KLO 57ML &amp; LINIMENT 57 ML</t>
  </si>
  <si>
    <t>EN#2110204-2; INV.# PI19-90 &amp; PI19-91; PO#33887; obl 12/6</t>
  </si>
  <si>
    <t>4 PLTS</t>
  </si>
  <si>
    <t>TCLU1253439 - LCL</t>
  </si>
  <si>
    <t>KLO 28ML &amp; 57ML ; LINIMENT 57 ML</t>
  </si>
  <si>
    <t>EN#2110224-0; INV.#PI19-90 &amp; PI19-91; PO#33888;obl 12/6</t>
  </si>
  <si>
    <t>1429 DZ</t>
  </si>
  <si>
    <t xml:space="preserve">ZIMU1096238 </t>
  </si>
  <si>
    <t>ACTIVE MUSCLE SPRAY</t>
  </si>
  <si>
    <t>EN#2109879-4; INV#PI19-76; PO#33856; obl 12/6</t>
  </si>
  <si>
    <t>31 PLTS</t>
  </si>
  <si>
    <r>
      <rPr>
        <rFont val="Arial"/>
        <color theme="1"/>
        <sz val="11.0"/>
      </rPr>
      <t xml:space="preserve">ONEU0199563 </t>
    </r>
    <r>
      <rPr>
        <rFont val="Arial"/>
        <color theme="1"/>
        <sz val="11.0"/>
      </rPr>
      <t>TEMU7239501</t>
    </r>
  </si>
  <si>
    <r>
      <rPr>
        <rFont val="Calibri"/>
        <color theme="1"/>
        <sz val="11.0"/>
      </rPr>
      <t>TB RED 18g</t>
    </r>
    <r>
      <rPr>
        <rFont val="Calibri"/>
        <color theme="1"/>
        <sz val="11.0"/>
      </rPr>
      <t>; ULTRA-STRENGTH TB OINTMENT 50g</t>
    </r>
  </si>
  <si>
    <t>12/11/19 12/10/19</t>
  </si>
  <si>
    <t>EN#2109267-2; INV.#PI19-78; PO#33839; obl 11/29</t>
  </si>
  <si>
    <t>110 PLTS</t>
  </si>
  <si>
    <t>ZCSU2734805, ZCSU2759830, ZCSU2610147</t>
  </si>
  <si>
    <t>TB PATCH, PATCH 1'S, KLO 28 ml &amp; 57 ml, TIGER LINIMENT 57 ml</t>
  </si>
  <si>
    <t>12/5/19, 12/4/19 12/4/19</t>
  </si>
  <si>
    <t>EN#2109407-4; INV.#PI19-75, PI19-80, PI19-81 &amp; PI19-82; PO#33838; obl 11/21</t>
  </si>
  <si>
    <t>8 PLTS</t>
  </si>
  <si>
    <t>TCKU2571571</t>
  </si>
  <si>
    <r>
      <rPr>
        <rFont val="Calibri"/>
        <color theme="1"/>
        <sz val="11.0"/>
      </rPr>
      <t xml:space="preserve">RED 18 G &amp; </t>
    </r>
    <r>
      <rPr>
        <rFont val="Calibri"/>
        <color theme="1"/>
        <sz val="11.0"/>
      </rPr>
      <t>ULTRA 18 G</t>
    </r>
  </si>
  <si>
    <t>EN#2110203-4; INV.#PI19-88;obl 12/2; PO#33886</t>
  </si>
  <si>
    <t>71 PLTS</t>
  </si>
  <si>
    <t>GLDU4139633 MSCU4663287</t>
  </si>
  <si>
    <t>TIGER BALM PATCH, PATCH 1'S, 
LINIMENT 57 ml</t>
  </si>
  <si>
    <t>12/4/19 12/5/19</t>
  </si>
  <si>
    <t>Yes</t>
  </si>
  <si>
    <t>ES</t>
  </si>
  <si>
    <t>EN#2109248-2; INV.# PI19-75, PI19-80, PI19-82; PO#33837;obl 11/21;gate fee 11/27/19</t>
  </si>
  <si>
    <t>16 PLTS</t>
  </si>
  <si>
    <t>TGBU2530659</t>
  </si>
  <si>
    <r>
      <rPr>
        <rFont val="Calibri"/>
        <color theme="1"/>
        <sz val="11.0"/>
      </rPr>
      <t xml:space="preserve">TB RED 4g; WHITE 4g.; </t>
    </r>
    <r>
      <rPr>
        <rFont val="Calibri"/>
        <color theme="1"/>
        <sz val="11.0"/>
      </rPr>
      <t>ULTRA-STRENGTH TB OINTMENT 50g</t>
    </r>
  </si>
  <si>
    <t>EN#2109284-7; INV.# PI19-72 &amp; PI19-79; PO#33811</t>
  </si>
  <si>
    <t>50 PLTS</t>
  </si>
  <si>
    <t>OOLU7833243 OOLU4408847</t>
  </si>
  <si>
    <t>PATCH, PATCH'S 1,  LINIMENT 57ml, KLO 57ml</t>
  </si>
  <si>
    <t>EN#2109017-1; INV.#PI19-75, PI19-80, PI19-81, PI19-82; PO#33812; obl 11/21</t>
  </si>
  <si>
    <t>5 PLTS - CFS</t>
  </si>
  <si>
    <t>TTNU8133651</t>
  </si>
  <si>
    <t>TB RED, WHITE 4g.; ULTRA-STRENGTH TB OINTMENT 50g</t>
  </si>
  <si>
    <t>EN#2109250-8; INV.# PI19-72 &amp; PI19-79; PO#33810; obl 11/21</t>
  </si>
  <si>
    <t>7 PLTS</t>
  </si>
  <si>
    <t>FCIU5687374</t>
  </si>
  <si>
    <t>TIGER BALM NECK AND SHOULDER RUB</t>
  </si>
  <si>
    <t>11/27 PL#5365408</t>
  </si>
  <si>
    <t>EN#2109016-3; INV.# PI19-77; PO#33809;obl 11/8; gate fee 11/17</t>
  </si>
  <si>
    <t>TRHU3776039</t>
  </si>
  <si>
    <t>TB RED 18g. ; ULTRA-STRENGTH TB OINTMENT 18g</t>
  </si>
  <si>
    <t>EN# 2109249-0; INV.# PI19-78; PO#33836</t>
  </si>
  <si>
    <t>15 PLTS</t>
  </si>
  <si>
    <t>TGCU0204560</t>
  </si>
  <si>
    <t>TB ULTRA-STRENGTH OINTMENT 10g &amp; 18g, TB RED 18 g.</t>
  </si>
  <si>
    <t>11/19 PL#5363041</t>
  </si>
  <si>
    <t>EN#2108980-1; INV.#PI19-78; PO#33808;GATE FEE 11/7;obl 11/8</t>
  </si>
  <si>
    <t>HLBU1126364</t>
  </si>
  <si>
    <t>TIGER BALM PATCH</t>
  </si>
  <si>
    <t>EN#2108254-1; PI19-65; PO#33781;obl 10/18</t>
  </si>
  <si>
    <t>TRLU9700065</t>
  </si>
  <si>
    <t>TB RED, WHITE 4g.; ULTRA-STRENGTH TB OINTMENT 50g; MUSCLE RUB 60g</t>
  </si>
  <si>
    <t>11/11 PL#5362973</t>
  </si>
  <si>
    <t>EN#2108208-7; PI19-61, PI19-66 &amp; PI19-72; PO#33780;obl 10/18; gate fee 11/1</t>
  </si>
  <si>
    <t>37 PLTS</t>
  </si>
  <si>
    <t>MSCU5015545</t>
  </si>
  <si>
    <t>PATCH, LINIMENT 57ml, KLO28 ml &amp; 57ml</t>
  </si>
  <si>
    <t>11/11 PL#5362970</t>
  </si>
  <si>
    <t>EN#2108013-1; PI19-64, PI19-73 &amp; PI19-74; PO#33779;obl 10/18; GATE FEE 10/30</t>
  </si>
  <si>
    <t>14 PLTS</t>
  </si>
  <si>
    <t>ZIMU1417180</t>
  </si>
  <si>
    <r>
      <rPr>
        <rFont val="Calibri"/>
        <color theme="1"/>
        <sz val="11.0"/>
      </rPr>
      <t xml:space="preserve">TIGER BALM RED 4 g, WHITE 4 g ; </t>
    </r>
    <r>
      <rPr>
        <rFont val="Calibri"/>
        <color theme="1"/>
        <sz val="11.0"/>
      </rPr>
      <t>ULTRA-STRENGTH TB OINTMENT 50g</t>
    </r>
    <r>
      <rPr>
        <rFont val="Calibri"/>
        <color theme="1"/>
        <sz val="11.0"/>
      </rPr>
      <t xml:space="preserve"> ; Muscle Rub 60 g</t>
    </r>
  </si>
  <si>
    <t>EN#2107957-0; PI19-66, PI19-72; PO#33777;obl 10/18</t>
  </si>
  <si>
    <t>59 PLTS</t>
  </si>
  <si>
    <t>ZCSU2563493 ZCSU2795138</t>
  </si>
  <si>
    <r>
      <rPr>
        <rFont val="Calibri"/>
        <color theme="1"/>
        <sz val="11.0"/>
      </rPr>
      <t xml:space="preserve">PATCH, LINIMENT 57ml, </t>
    </r>
    <r>
      <rPr>
        <rFont val="Calibri"/>
        <color theme="1"/>
        <sz val="11.0"/>
      </rPr>
      <t>KLO 57ml</t>
    </r>
    <r>
      <rPr>
        <rFont val="Calibri"/>
        <color theme="1"/>
        <sz val="11.0"/>
      </rPr>
      <t>, KLO28 ML</t>
    </r>
  </si>
  <si>
    <t>EN#2107999-2; PI19-64, PI19-73 &amp;PI19-74; PO#33764;obl 10/18</t>
  </si>
  <si>
    <t>30 PLTS</t>
  </si>
  <si>
    <t>KKTU7884349, TCLU6449954</t>
  </si>
  <si>
    <r>
      <rPr>
        <rFont val="Calibri"/>
        <color theme="1"/>
        <sz val="11.0"/>
      </rPr>
      <t xml:space="preserve">TIGER BALM RED 18 G; </t>
    </r>
    <r>
      <rPr>
        <rFont val="Calibri"/>
        <color theme="1"/>
        <sz val="11.0"/>
      </rPr>
      <t>ULTRA-STRENGTH TB OINTMENT 10g</t>
    </r>
    <r>
      <rPr>
        <rFont val="Calibri"/>
        <color theme="1"/>
        <sz val="11.0"/>
      </rPr>
      <t xml:space="preserve"> &amp; 18g.</t>
    </r>
  </si>
  <si>
    <t>EN#2107797-0; PI19-71; PO#33763; obl 10/16</t>
  </si>
  <si>
    <t>36 PLTS</t>
  </si>
  <si>
    <t>OOCU4806464</t>
  </si>
  <si>
    <t>PATCH, LINIMENT 57ml, KLO 57ml</t>
  </si>
  <si>
    <t>EN#2107924-0; PI19-64, PI19-73 &amp;PI19-74; PO#33766;obl 10/16</t>
  </si>
  <si>
    <t>KKFU6671112</t>
  </si>
  <si>
    <t>TIGER BALM RED 4 g, WHITE 4 g ; ULTRA-STRENGTH TB OINTMENT 50g ; Muscle Rub 60 g</t>
  </si>
  <si>
    <t>EN#2108012-3; PI19-66, PI19-72; PO#33762; obl 10/18</t>
  </si>
  <si>
    <t>13 PLTS</t>
  </si>
  <si>
    <t>MAGU5464040</t>
  </si>
  <si>
    <t>TIGER BALM RED 18 g, WHITE 18g ; ULTRA-STRENGTH TB OINTMENT 18g.</t>
  </si>
  <si>
    <t>10/18 PL#5360336</t>
  </si>
  <si>
    <t>EN#2107798-8; INV.# PI19-71; PO#33761; OBL 10/8; gate fee 10/9</t>
  </si>
  <si>
    <t>WHSU2196814</t>
  </si>
  <si>
    <t>TIGER BALM RED 18 G; ULTRA-STRENGTH TB OINTMENT 10g &amp; 18 g</t>
  </si>
  <si>
    <t>EN#2107795-4; PI19-71; Banker send OBL directly; PO#33760</t>
  </si>
  <si>
    <t>35 PLTS</t>
  </si>
  <si>
    <t>OOLU7844905</t>
  </si>
  <si>
    <t>TIGER BALM PATCH, PATCH 1'S, KWAN LOONG OIL 28 ML &amp; 57 ML</t>
  </si>
  <si>
    <t>10/9 PL#5359157</t>
  </si>
  <si>
    <t>EN#2106722-9; PI19-56 &amp; PI19-63; PO#33646; OBL SEND 9/17; gate fee 9/30</t>
  </si>
  <si>
    <t>22 PLTS</t>
  </si>
  <si>
    <t>OOLU7553582</t>
  </si>
  <si>
    <r>
      <rPr>
        <rFont val="Calibri"/>
        <color theme="1"/>
        <sz val="11.0"/>
      </rPr>
      <t xml:space="preserve">TIGER BALM PATCH, PATCH 1'S, </t>
    </r>
    <r>
      <rPr>
        <rFont val="Calibri"/>
        <color theme="1"/>
        <sz val="11.0"/>
      </rPr>
      <t>KWAN LOONG OIL 57 ML</t>
    </r>
    <r>
      <rPr>
        <rFont val="Calibri"/>
        <color theme="1"/>
        <sz val="11.0"/>
      </rPr>
      <t>, LINIMENT 57 ML</t>
    </r>
  </si>
  <si>
    <t>EN#2106723-7; PI19-56, PI19-62 &amp; PI19-63; PO#33649; OBL 9/17</t>
  </si>
  <si>
    <t>HCIU2069760</t>
  </si>
  <si>
    <r>
      <rPr>
        <rFont val="Calibri"/>
        <color theme="1"/>
        <sz val="11.0"/>
      </rPr>
      <t xml:space="preserve">TB ACTIVE MUSCLE RUB 60G / </t>
    </r>
    <r>
      <rPr>
        <rFont val="Calibri"/>
        <color theme="1"/>
        <sz val="11.0"/>
      </rPr>
      <t>ULTRA OINTMENT 50G</t>
    </r>
  </si>
  <si>
    <t>EN#2106933-2; PI19-58, PI19-61 &amp; PI19-69; PO#33652; OBL 9/17</t>
  </si>
  <si>
    <t>61 PLTS</t>
  </si>
  <si>
    <t>ZCSU2760949 CAXU7397803</t>
  </si>
  <si>
    <t>TIGER BALM PATCH, PATCH 1'S, KWAN LOONG OIL 57 ML, LINIMENT 57 ML</t>
  </si>
  <si>
    <t>10/1/19 10/1/19</t>
  </si>
  <si>
    <t>EN#2106819-3; PI19-56, PI19-62 &amp; PI19-63; PO#33651; OBL 9/17</t>
  </si>
  <si>
    <t>5 PLTS</t>
  </si>
  <si>
    <t>SZLU9238287</t>
  </si>
  <si>
    <t xml:space="preserve">TB ACTIVE MUSCLE RUB 60g / RED 4g / WHITE 4g </t>
  </si>
  <si>
    <t>EN#2106695-7PI19-58, PI19-61 &amp; PI19-69; PO#33648; OBL 9/17</t>
  </si>
  <si>
    <t>21 PLTS</t>
  </si>
  <si>
    <t>KKTU7926070 NYKU4386272</t>
  </si>
  <si>
    <t>TIGER BALM RED 18 G; ULTRA-STRENGTH TB OINTMENT 18 G.</t>
  </si>
  <si>
    <t>10/3/19 10/4/19</t>
  </si>
  <si>
    <t>EN#2106575-1; PI19-60; PO#33650; OBL 9/17</t>
  </si>
  <si>
    <r>
      <rPr>
        <rFont val="Calibri"/>
        <color theme="1"/>
        <sz val="11.0"/>
      </rPr>
      <t xml:space="preserve">TB ACTIVE MUSCLE RUB 60g / </t>
    </r>
    <r>
      <rPr>
        <rFont val="Calibri"/>
        <color theme="1"/>
        <sz val="11.0"/>
      </rPr>
      <t>RED 4g</t>
    </r>
  </si>
  <si>
    <t>10/18 PL#5360329</t>
  </si>
  <si>
    <t>EN#2106820-1; PI19-58 &amp; PI19-61; PO#33645; OBL 9/17</t>
  </si>
  <si>
    <t>TCLU4166678</t>
  </si>
  <si>
    <t>TIGER BALM RELIEVING PATCH,</t>
  </si>
  <si>
    <t>10/9 PL#5359156</t>
  </si>
  <si>
    <t>EN#2106637-9; INV.#PI19-57; PO#33644; OBL 8/29; GATE FEE 9/12</t>
  </si>
  <si>
    <t>18 PLTS</t>
  </si>
  <si>
    <t>WHSU5308991</t>
  </si>
  <si>
    <t>TIGER BALM RED 18 G; ULTRA-STRENGTH TB OINTMENT  18 G.</t>
  </si>
  <si>
    <t>10/9 PL#5359154</t>
  </si>
  <si>
    <t>EN#2106573-6; PI19-60; PO#33643; OBL 9/11; GATE FEE 9/11</t>
  </si>
  <si>
    <t>TCKU3584613</t>
  </si>
  <si>
    <t>EN#2106574-4; PI19-60; PO#33647; OBL 9/11</t>
  </si>
  <si>
    <t>NYKU5911349</t>
  </si>
  <si>
    <r>
      <rPr>
        <rFont val="Calibri"/>
        <color theme="1"/>
        <sz val="11.0"/>
      </rPr>
      <t xml:space="preserve">TIGER BALM RED 18G, ULTRA-STRENGTH 18G (RFID), </t>
    </r>
    <r>
      <rPr>
        <rFont val="Calibri"/>
        <color theme="1"/>
        <sz val="11.0"/>
      </rPr>
      <t>TB OINTMENT 10G</t>
    </r>
  </si>
  <si>
    <t>EN# 2104067-1; INV.#PI19-53; PO#33592; OBL 8/23</t>
  </si>
  <si>
    <t>TRLU6582694</t>
  </si>
  <si>
    <t>EN#2104880-7; PI19-50; 33552; OBL 8/22</t>
  </si>
  <si>
    <t>63 PLTS</t>
  </si>
  <si>
    <t>ZCSU2647491 ZCSU2636990</t>
  </si>
  <si>
    <t xml:space="preserve">TIGER BALM PATCH, PATCH 1'S, LINIMENT 57 ML, KLO 28ml </t>
  </si>
  <si>
    <t>8/27/19 8/27/19</t>
  </si>
  <si>
    <t>EN#2105238-7; INV.# PI19-40, PI19-49, PI19-54 &amp; PI19-55; PO#33564; OBL 8/15</t>
  </si>
  <si>
    <t>38 PLTS</t>
  </si>
  <si>
    <t>OOLU4419688 OOLU0163350</t>
  </si>
  <si>
    <t>TIGER BALM PATCH, PATCH 1'S, LINIMENT 57ML, KLO 57ML &amp; 28ML</t>
  </si>
  <si>
    <t>EN#2105067-0; PI19-40, PI19-49, PI19-54 &amp; PI19-55; PO#33565; OBL 8/15</t>
  </si>
  <si>
    <t>29 PLTS</t>
  </si>
  <si>
    <t>TRLU6548489</t>
  </si>
  <si>
    <t>TIGER BALM PATCH, PATCH 1'S, LINIMENT 57 ML, klo 28ml &amp; 57 ml</t>
  </si>
  <si>
    <t>9/10 PL#5355243</t>
  </si>
  <si>
    <t>EN#2104932-6; PI19-40, PI19-49, PI19-54 &amp; PI19-55; 33551; OBL 8/15;GATE FEE 8/21</t>
  </si>
  <si>
    <t>HJLU1380440</t>
  </si>
  <si>
    <t>TIGER BALM RED 18 G; ULTRA-STRENGTH TB OINTMENT 10G &amp; 18 G.</t>
  </si>
  <si>
    <t>8/21/19</t>
  </si>
  <si>
    <t>9/10 PL#5355231</t>
  </si>
  <si>
    <t>EN#2105401-1; INV.#PI19-53; PO#33591;gate fee 8/14/19; OBL 8/14</t>
  </si>
  <si>
    <t>NYKU3412628</t>
  </si>
  <si>
    <t>EN# 2105315-3; INV.#PI19-53; PO#33590; OBL 8/14</t>
  </si>
  <si>
    <t>19 PLTS</t>
  </si>
  <si>
    <t>KKFU7871389</t>
  </si>
  <si>
    <t>EN#2104002-8; PI19-45 &amp; PI19-51; PO#33519; OBL 7/30</t>
  </si>
  <si>
    <t>CSNU1540024</t>
  </si>
  <si>
    <r>
      <rPr>
        <rFont val="Calibri"/>
        <color theme="1"/>
        <sz val="11.0"/>
      </rPr>
      <t xml:space="preserve">TIGER BALM PATCH, PATCH 1'S
</t>
    </r>
    <r>
      <rPr>
        <rFont val="Calibri"/>
        <color theme="1"/>
        <sz val="11.0"/>
      </rPr>
      <t>KLO 28ML</t>
    </r>
    <r>
      <rPr>
        <rFont val="Calibri"/>
        <color theme="1"/>
        <sz val="11.0"/>
      </rPr>
      <t xml:space="preserve"> &amp; </t>
    </r>
    <r>
      <rPr>
        <rFont val="Calibri"/>
        <color theme="1"/>
        <sz val="11.0"/>
      </rPr>
      <t>KLO 57ML</t>
    </r>
  </si>
  <si>
    <t>8/14 PL#5352309</t>
  </si>
  <si>
    <t>EN#2103925-1; PI19-40 &amp; PI19-48; PO#33488; OBL 7/30; GATE FEE 7/30</t>
  </si>
  <si>
    <t>48 PLTS</t>
  </si>
  <si>
    <t>BMOU1142608, YMMU4161850</t>
  </si>
  <si>
    <r>
      <rPr>
        <rFont val="Calibri"/>
        <color theme="1"/>
        <sz val="11.0"/>
      </rPr>
      <t xml:space="preserve">TIGER BALM PATCH, PATCH 1'S, 
</t>
    </r>
    <r>
      <rPr>
        <rFont val="Calibri"/>
        <color theme="1"/>
        <sz val="11.0"/>
      </rPr>
      <t>LINIMENT 57ML</t>
    </r>
    <r>
      <rPr>
        <rFont val="Calibri"/>
        <color theme="1"/>
        <sz val="11.0"/>
      </rPr>
      <t>, KLO 28 ML</t>
    </r>
  </si>
  <si>
    <t>8/9/19
8/7/19</t>
  </si>
  <si>
    <t>EN#2104001-0; PI19-40, PI19-47 &amp; PI19-48; PO#33487</t>
  </si>
  <si>
    <t>MRSU0055484</t>
  </si>
  <si>
    <t>TB NECK AND SHOULDER RUB 50g</t>
  </si>
  <si>
    <t>EN#2103297-5; PI19-42; PO#33447; OBL 7/10</t>
  </si>
  <si>
    <t>28 PLTS</t>
  </si>
  <si>
    <t>OOLU7777622</t>
  </si>
  <si>
    <r>
      <rPr>
        <rFont val="Calibri"/>
        <color theme="1"/>
        <sz val="11.0"/>
      </rPr>
      <t xml:space="preserve">TIGER BALM PATCH, PATCH 1'S
</t>
    </r>
    <r>
      <rPr>
        <rFont val="Calibri"/>
        <color theme="1"/>
        <sz val="11.0"/>
      </rPr>
      <t>KLO 28ML</t>
    </r>
    <r>
      <rPr>
        <rFont val="Calibri"/>
        <color theme="1"/>
        <sz val="11.0"/>
      </rPr>
      <t xml:space="preserve"> &amp; </t>
    </r>
    <r>
      <rPr>
        <rFont val="Calibri"/>
        <color theme="1"/>
        <sz val="11.0"/>
      </rPr>
      <t>KLO 57ML</t>
    </r>
  </si>
  <si>
    <t>EN#2103926-9; PI19-40 &amp; PI19-48; PO#33484; OBL 7/18</t>
  </si>
  <si>
    <t>BMOU9751977</t>
  </si>
  <si>
    <t>TIGER BALM WHITE 4 G; ULTRA-STRENGTH TB OINTMENT 50 G.</t>
  </si>
  <si>
    <t>EN#2103924-4; PI19-46 (CFS); PO#33483; OBL 7/18</t>
  </si>
  <si>
    <t>TIGER BALM WHITE &amp; RED 4 G; ULTRA-STRENGTH TB OINTMENT 50 G.</t>
  </si>
  <si>
    <t>8/19 PL#5352662</t>
  </si>
  <si>
    <t>EN#2103923-6; PI19-46 &amp; PI19-52 (CFS); PO#33485; OBL 7/11</t>
  </si>
  <si>
    <t>9 PLTS</t>
  </si>
  <si>
    <t>TLLU5510560</t>
  </si>
  <si>
    <r>
      <rPr>
        <rFont val="Calibri"/>
        <color theme="1"/>
        <sz val="11.0"/>
      </rPr>
      <t xml:space="preserve">TIGER BALM RED 4G / ULTRA-STRENGTH TB OINTMENT 50G </t>
    </r>
    <r>
      <rPr>
        <rFont val="Calibri"/>
        <color theme="1"/>
        <sz val="11.0"/>
      </rPr>
      <t>(EXTRA 32 TINS ULTRA 50G FOR PO #33300)</t>
    </r>
  </si>
  <si>
    <t>EN#2104000-2; PI19-46 &amp; PI19-52 (CFS); PO#33486; OBL 7/11</t>
  </si>
  <si>
    <t>MSDU7441841</t>
  </si>
  <si>
    <t>EN#2103797-4; PI19-45; PO#33482; gate fee 7/16; obl 7/16</t>
  </si>
  <si>
    <t>TGHU5068103</t>
  </si>
  <si>
    <t>TB Active Muscle Rub 60g, Active Muscle Gel 60g, White 4g, Red 4g</t>
  </si>
  <si>
    <t>EN#2102661-3 ; PI19-32 &amp; PI19-37; PO#33386; OBL 6/18; gate fee 7/11</t>
  </si>
  <si>
    <t>MEDU1532253</t>
  </si>
  <si>
    <t>EN#2103798-2; PI19-45 &amp; PI19-51; PO#33481; OBL 7/9</t>
  </si>
  <si>
    <t>20 PLTS</t>
  </si>
  <si>
    <t>CLHU4730668</t>
  </si>
  <si>
    <t>USA TB PAIN RELIEVING PATCH</t>
  </si>
  <si>
    <t>EN#2102724-9; PI19-31; PO#33385; OBL 7/11</t>
  </si>
  <si>
    <t>1 plt</t>
  </si>
  <si>
    <t>DRYU6075015</t>
  </si>
  <si>
    <t>TIGER BALM RED 4 G</t>
  </si>
  <si>
    <t>EN#2102781-9; PI19-37; PO#33383; OBL 6/18</t>
  </si>
  <si>
    <t>TEMU4320142</t>
  </si>
  <si>
    <t>ULTRA-STRENGTH TB OINTMENT 50G</t>
  </si>
  <si>
    <t>EN#2102660-5; PI19-37; PO#33384; OBL 6/18</t>
  </si>
  <si>
    <t>131 PLTS</t>
  </si>
  <si>
    <r>
      <rPr>
        <rFont val="Arial"/>
        <color theme="1"/>
        <sz val="11.0"/>
      </rPr>
      <t xml:space="preserve">ZCSU8533623 ZCSU8496812 </t>
    </r>
    <r>
      <rPr>
        <rFont val="Arial"/>
        <color theme="1"/>
        <sz val="11.0"/>
      </rPr>
      <t>ZCSU8927226</t>
    </r>
    <r>
      <rPr>
        <rFont val="Arial"/>
        <color theme="1"/>
        <sz val="11.0"/>
      </rPr>
      <t xml:space="preserve"> FSCU8085410</t>
    </r>
  </si>
  <si>
    <r>
      <rPr>
        <rFont val="Arial"/>
        <color theme="1"/>
        <sz val="11.0"/>
      </rPr>
      <t xml:space="preserve">TB Patch &amp; Patch 1's, KLO 28 ml &amp; 57 ml, </t>
    </r>
    <r>
      <rPr>
        <rFont val="Arial"/>
        <color theme="1"/>
        <sz val="11.0"/>
      </rPr>
      <t>Liniment 57 ml</t>
    </r>
  </si>
  <si>
    <t>7/3/19 
7/3/19 
7/2/19 
7/3/19</t>
  </si>
  <si>
    <t>EN#2102725-6; PI19-30, PI19-38 &amp; PI19-39; PO#33382;OBL 6/18</t>
  </si>
  <si>
    <t>33 PLTS</t>
  </si>
  <si>
    <t>KKFU7629164 NYKU4100516</t>
  </si>
  <si>
    <t>TB Red 18g / Ultra-Strength Ointment 10g &amp;18g</t>
  </si>
  <si>
    <t>7/5/19 
7/5/19</t>
  </si>
  <si>
    <t>EN#2102568-0; PI19-36; PO#33381; OBL 6/18</t>
  </si>
  <si>
    <t>11 PLTS</t>
  </si>
  <si>
    <t>OOLU1211622</t>
  </si>
  <si>
    <r>
      <rPr>
        <rFont val="Arial"/>
        <color theme="1"/>
        <sz val="11.0"/>
      </rPr>
      <t xml:space="preserve">Tiger Balm Patch 1's, </t>
    </r>
    <r>
      <rPr>
        <rFont val="Arial"/>
        <color theme="1"/>
        <sz val="11.0"/>
      </rPr>
      <t>KLO 28 ml</t>
    </r>
    <r>
      <rPr>
        <rFont val="Arial"/>
        <color theme="1"/>
        <sz val="11.0"/>
      </rPr>
      <t xml:space="preserve"> &amp; </t>
    </r>
    <r>
      <rPr>
        <rFont val="Arial"/>
        <color theme="1"/>
        <sz val="11.0"/>
      </rPr>
      <t>57 ml</t>
    </r>
  </si>
  <si>
    <t>EN#2102372-7; Inv.# PI19-30 &amp; PI19-39; PO#33361; OBL 6/11; gate fee 6/24</t>
  </si>
  <si>
    <t>OOLU0634996</t>
  </si>
  <si>
    <r>
      <rPr>
        <rFont val="Arial"/>
        <color theme="1"/>
        <sz val="11.0"/>
      </rPr>
      <t xml:space="preserve">Tiger Balm Patch 1's, </t>
    </r>
    <r>
      <rPr>
        <rFont val="Arial"/>
        <color theme="1"/>
        <sz val="11.0"/>
      </rPr>
      <t>KLO 28 ml</t>
    </r>
    <r>
      <rPr>
        <rFont val="Arial"/>
        <color theme="1"/>
        <sz val="11.0"/>
      </rPr>
      <t>,</t>
    </r>
    <r>
      <rPr>
        <rFont val="Arial"/>
        <color theme="1"/>
        <sz val="11.0"/>
      </rPr>
      <t xml:space="preserve"> Liniment 57ml</t>
    </r>
  </si>
  <si>
    <t>EN#2102371-9; Inv.# PI19-30, PI19-38 &amp; PI19-39; PO#33360</t>
  </si>
  <si>
    <t>32 PLTS</t>
  </si>
  <si>
    <t>NYKU4294920 NYKU5831881</t>
  </si>
  <si>
    <r>
      <rPr>
        <rFont val="Arial"/>
        <color theme="1"/>
        <sz val="11.0"/>
      </rPr>
      <t xml:space="preserve">TB Red 18g / </t>
    </r>
    <r>
      <rPr>
        <rFont val="Arial"/>
        <color theme="1"/>
        <sz val="11.0"/>
      </rPr>
      <t>Ultra-Strength Ointment 10g</t>
    </r>
    <r>
      <rPr>
        <rFont val="Arial"/>
        <color theme="1"/>
        <sz val="11.0"/>
      </rPr>
      <t xml:space="preserve"> &amp;18g</t>
    </r>
  </si>
  <si>
    <t>6/13/19 6/12/19</t>
  </si>
  <si>
    <t>EN#2101352-0; PI19-26, PI19-35; PO#33302; OBL 5/20</t>
  </si>
  <si>
    <t>WHSU5663390</t>
  </si>
  <si>
    <t>TB Red 18g / Ultra-Strength Ointment  18g</t>
  </si>
  <si>
    <t>EN#2102180-4; INV.# PI19-36; PO#33358; OBL 6/4</t>
  </si>
  <si>
    <t>PCIU9301751</t>
  </si>
  <si>
    <t>Ultra-Strength Ointment 10g</t>
  </si>
  <si>
    <t>EN#2102181-2; INV.# PI19-36 (CFS/CFS); PO#33359; OBL 6/4</t>
  </si>
  <si>
    <r>
      <rPr>
        <rFont val="Arial"/>
        <color theme="1"/>
        <sz val="11.0"/>
      </rPr>
      <t xml:space="preserve">CCLU5232778 </t>
    </r>
    <r>
      <rPr>
        <rFont val="Arial"/>
        <color theme="1"/>
        <sz val="11.0"/>
      </rPr>
      <t>CSNU1215641</t>
    </r>
  </si>
  <si>
    <r>
      <rPr>
        <rFont val="Arial"/>
        <color theme="1"/>
        <sz val="11.0"/>
      </rPr>
      <t xml:space="preserve">TIGER BALM PATCH, PATCH 1'S, </t>
    </r>
    <r>
      <rPr>
        <rFont val="Arial"/>
        <color theme="1"/>
        <sz val="11.0"/>
      </rPr>
      <t>KLO 57ML</t>
    </r>
  </si>
  <si>
    <t>40' - 6/5/19  20' - 6/4/19</t>
  </si>
  <si>
    <t>EN#2101088-0; PI19-25 &amp; PI19-29; PO#33287; gate fee 5/22</t>
  </si>
  <si>
    <t>TTNU8159830</t>
  </si>
  <si>
    <t>TB Red 4g / TB White 4g / Ultra-Strength Ointment 50g</t>
  </si>
  <si>
    <t>EN#2101351-2; PI19-27 (CFS); PO#33300; OBL 5/16</t>
  </si>
  <si>
    <t>TCNU8778350 ZCSU8480400</t>
  </si>
  <si>
    <r>
      <rPr>
        <rFont val="Arial"/>
        <color theme="1"/>
        <sz val="11.0"/>
      </rPr>
      <t xml:space="preserve">TIGER BALM PATCH, PATCH 1'S, </t>
    </r>
    <r>
      <rPr>
        <rFont val="Arial"/>
        <color theme="1"/>
        <sz val="11.0"/>
      </rPr>
      <t>KLO 28ml</t>
    </r>
    <r>
      <rPr>
        <rFont val="Arial"/>
        <color theme="1"/>
        <sz val="11.0"/>
      </rPr>
      <t xml:space="preserve">, </t>
    </r>
    <r>
      <rPr>
        <rFont val="Arial"/>
        <color theme="1"/>
        <sz val="11.0"/>
      </rPr>
      <t>Liniment</t>
    </r>
  </si>
  <si>
    <t>EN#2101201-9; PI19-25, PI19-28 &amp; PI19-29; PO#33286; obl 5/9</t>
  </si>
  <si>
    <t>OOCU4879012</t>
  </si>
  <si>
    <r>
      <rPr>
        <rFont val="Arial"/>
        <color theme="1"/>
        <sz val="11.0"/>
      </rPr>
      <t xml:space="preserve">TIGER BALM PATCH, </t>
    </r>
    <r>
      <rPr>
        <rFont val="Arial"/>
        <color theme="1"/>
        <sz val="11.0"/>
      </rPr>
      <t>TIGER BALM PATCH 1'S</t>
    </r>
  </si>
  <si>
    <t>EN#2101089-8; PI19-25; PO#33285;OBL 5/9</t>
  </si>
  <si>
    <t>CXRU1131470</t>
  </si>
  <si>
    <r>
      <rPr>
        <rFont val="Arial"/>
        <color theme="1"/>
        <sz val="11.0"/>
      </rPr>
      <t xml:space="preserve">TB White 4g / </t>
    </r>
    <r>
      <rPr>
        <rFont val="Arial"/>
        <color theme="1"/>
        <sz val="11.0"/>
      </rPr>
      <t>Ultra-Strength Ointment 50g</t>
    </r>
  </si>
  <si>
    <t>EN#2101266-2; PI19-27 (CFS); PO#33299; OBL 5/16</t>
  </si>
  <si>
    <t>TB White 4g / Ultra-Strength Ointment 50g</t>
  </si>
  <si>
    <t>EN#2101265-4; PI19-27 (CFS); PO#33301; OBL 5/16</t>
  </si>
  <si>
    <t>17 PLTS</t>
  </si>
  <si>
    <t>TRLU6625707</t>
  </si>
  <si>
    <t>EN#2101267-0; PI19-26 &amp; PI19-35; PO#33298; OBL 5/20</t>
  </si>
  <si>
    <t>NYKU3403837</t>
  </si>
  <si>
    <t>TB Red 18g / Ultra-Strength Ointment 10g &amp; 18g</t>
  </si>
  <si>
    <t>EN#2100948-6 ; Order# PI19-26; PO#33283 ; OBL 5/6</t>
  </si>
  <si>
    <t>TEMU5046592</t>
  </si>
  <si>
    <r>
      <rPr>
        <rFont val="Arial"/>
        <color theme="1"/>
        <sz val="11.0"/>
      </rPr>
      <t xml:space="preserve">TB Red 4g / TB White 4G / </t>
    </r>
    <r>
      <rPr>
        <rFont val="Arial"/>
        <color theme="1"/>
        <sz val="11.0"/>
      </rPr>
      <t>Ultra-Strength Ointment 50g</t>
    </r>
  </si>
  <si>
    <t>EN#2099922-4 ; ORDER# PI19-23; PO#33204;OBL 4/12</t>
  </si>
  <si>
    <t>26 PLTS</t>
  </si>
  <si>
    <t>NYKU3427401 NYKU4252571</t>
  </si>
  <si>
    <t>TB Red 18g / TB White 18g / Ultra-Strength Ointment 18g</t>
  </si>
  <si>
    <t>EN#2099806-9; Order# PI19-22;PO#33203;OBL 4/12</t>
  </si>
  <si>
    <t>TLLU2483100</t>
  </si>
  <si>
    <t>EN#2100116-0; Order# PI19-119; PO#33202;OBL 4/12; GATE FEE 4/22</t>
  </si>
  <si>
    <t>BMOU4257880 ZIMU1372737</t>
  </si>
  <si>
    <t>EN#2099982-8; ORDER# PI19-18;PO#33205;OBL 4/12</t>
  </si>
  <si>
    <t>APZU4852869</t>
  </si>
  <si>
    <t>TIGER BALM PATCH, TIGER LINIMENT</t>
  </si>
  <si>
    <t>EN#2099592-5; Order# PI19-18 &amp; PI19-24; PO#33184; OBL 4/5; GATE FEE 4/24</t>
  </si>
  <si>
    <t>OOCU4803357</t>
  </si>
  <si>
    <t>TIGER BALM PATCH.</t>
  </si>
  <si>
    <t>EN#2099675-8; Order# PI19-18; PO#33183; OBL 4/5; PORT CONGESTED ON 4/22</t>
  </si>
  <si>
    <t>TRIU8028115</t>
  </si>
  <si>
    <t>EN#2099807-7; Order# PI19-23; PO#33181; CFS; OBL 4/10</t>
  </si>
  <si>
    <t>EN#2099808-5; Order# PI19-23; PO#33182; CFS; OBL 4/10</t>
  </si>
  <si>
    <t>WHLU5607657</t>
  </si>
  <si>
    <r>
      <rPr>
        <rFont val="Arial"/>
        <color theme="1"/>
        <sz val="11.0"/>
      </rPr>
      <t>TB Red 18g /</t>
    </r>
    <r>
      <rPr>
        <rFont val="Arial"/>
        <color theme="1"/>
        <sz val="11.0"/>
      </rPr>
      <t xml:space="preserve"> TB White 18g</t>
    </r>
    <r>
      <rPr>
        <rFont val="Arial"/>
        <color theme="1"/>
        <sz val="11.0"/>
      </rPr>
      <t xml:space="preserve"> / Ultra-Strength Ointment 18g</t>
    </r>
  </si>
  <si>
    <t>EN#2099887-9; ORDER# PI19-22;PO#33201;GATE FEE 4/9; OBL 4/10</t>
  </si>
  <si>
    <t>TCNU5370385</t>
  </si>
  <si>
    <t>TB PATCH 1'S</t>
  </si>
  <si>
    <t>EN#2099362-3; ORDER#19-18 &amp; PI19-25; PO#33162; OBL 3/29</t>
  </si>
  <si>
    <t>EGHU3460337</t>
  </si>
  <si>
    <t>EN#2099110-6; ORDER# PI19-18; PO#33137; OBL 3/29</t>
  </si>
  <si>
    <t>GESU3997349</t>
  </si>
  <si>
    <t>TBA Muscle Rub 60g / White 4g / Ultra-Strength Ointment 50g</t>
  </si>
  <si>
    <t>EN#2098802-9; ORDER P19-12 &amp; PI19-15; PO#33107;OBL 3/18; gate fee 4/1</t>
  </si>
  <si>
    <t>IPXU3840910</t>
  </si>
  <si>
    <r>
      <rPr>
        <rFont val="Arial"/>
        <color theme="1"/>
        <sz val="11.0"/>
      </rPr>
      <t xml:space="preserve">TBA Muscle Rub 60g / Red 4g / White 4g / </t>
    </r>
    <r>
      <rPr>
        <rFont val="Arial"/>
        <color theme="1"/>
        <sz val="11.0"/>
      </rPr>
      <t>Ultra-Strength Ointment 50g</t>
    </r>
  </si>
  <si>
    <t>EN#2098801-1; ORDER P19-12 &amp; PI19-15; PO#33106; OBL 3/18</t>
  </si>
  <si>
    <t>10 PLTS</t>
  </si>
  <si>
    <t>HJLU1399487</t>
  </si>
  <si>
    <t>TB Red 18g / Ultra-Strength Ointment 18g</t>
  </si>
  <si>
    <t>EN#2099529-7; Order# PI19-22; PO#33180; OBL 4/1; GATE FEE 4/5</t>
  </si>
  <si>
    <t>40 PLTS</t>
  </si>
  <si>
    <t>TCLU1684009 TLLU5480974</t>
  </si>
  <si>
    <r>
      <rPr>
        <rFont val="Arial"/>
        <color theme="1"/>
        <sz val="11.0"/>
      </rPr>
      <t xml:space="preserve">TB Red 18g / </t>
    </r>
    <r>
      <rPr>
        <rFont val="Arial"/>
        <color theme="1"/>
        <sz val="11.0"/>
      </rPr>
      <t>TB White 18g</t>
    </r>
    <r>
      <rPr>
        <rFont val="Arial"/>
        <color theme="1"/>
        <sz val="11.0"/>
      </rPr>
      <t xml:space="preserve"> / Ultra-Strength Ointment 18g</t>
    </r>
  </si>
  <si>
    <t>EN#2098593-4; ORDER PI19-14; PO#33105; OBL 3/18</t>
  </si>
  <si>
    <t>CHIU9004929</t>
  </si>
  <si>
    <t>TBA Muscle Rub 60g / Red 4g / Ultra-Strength Ointment 50g (Data Logger)</t>
  </si>
  <si>
    <t>EN#2098929-0; ORDER P19-12 &amp; PI19-15; PO#33104; OBL 3/18</t>
  </si>
  <si>
    <t>EGHU8002960</t>
  </si>
  <si>
    <t>EN# 2098773-2; ORDER P19-22; PO#33053; OBL 3/28</t>
  </si>
  <si>
    <t>MAGU4883398</t>
  </si>
  <si>
    <r>
      <rPr>
        <rFont val="Arial"/>
        <color theme="1"/>
        <sz val="11.0"/>
      </rPr>
      <t xml:space="preserve">TB PATCH, LINIMENT 57ML, </t>
    </r>
    <r>
      <rPr>
        <rFont val="Arial"/>
        <color theme="1"/>
        <sz val="11.0"/>
      </rPr>
      <t>KLO 28ML</t>
    </r>
    <r>
      <rPr>
        <rFont val="Arial"/>
        <color theme="1"/>
        <sz val="11.0"/>
      </rPr>
      <t xml:space="preserve"> &amp; 57ML</t>
    </r>
  </si>
  <si>
    <t>EN#2098538-9;ORDER PI19-10, PI19-16 &amp; PI19-17; PO#33086; OBL 3/8</t>
  </si>
  <si>
    <t>OOLU7952495</t>
  </si>
  <si>
    <t>TB PATCH, LINIMENT 57ML, 
KLO 28ML &amp;  57ML</t>
  </si>
  <si>
    <t>EN#2098442-4; ORDER PI19-10, PI19-16 &amp; PI19-17; PO#33085; OBL 3/8</t>
  </si>
  <si>
    <t>ZCSU2650582
ZCSU2576680</t>
  </si>
  <si>
    <t>TB PATCH, LINIMENT 57ML, KLO 57ML</t>
  </si>
  <si>
    <t>EN#2098441-6; ORDER PI19-10, PI19-16 &amp; PI19-17; PO#33084; OBL 3/7</t>
  </si>
  <si>
    <t>WHLU0683973</t>
  </si>
  <si>
    <t>EN#2098774-0; ORDER P19-14; PO#33103; OBL 3/13</t>
  </si>
  <si>
    <t>WHLU5641950
WHSU2497870</t>
  </si>
  <si>
    <r>
      <rPr>
        <rFont val="Arial"/>
        <color theme="1"/>
        <sz val="11.0"/>
      </rPr>
      <t xml:space="preserve">TB Red 18g / </t>
    </r>
    <r>
      <rPr>
        <rFont val="Arial"/>
        <color theme="1"/>
        <sz val="11.0"/>
      </rPr>
      <t xml:space="preserve">TB White 18g </t>
    </r>
    <r>
      <rPr>
        <rFont val="Arial"/>
        <color theme="1"/>
        <sz val="11.0"/>
      </rPr>
      <t>/ Ultra-Strength Ointment 18g</t>
    </r>
  </si>
  <si>
    <t>40' - 4/1/19 
20' - 3/26/19</t>
  </si>
  <si>
    <t>EN#2098755-9; ORDER P19-14; PO#33102; OBL 3/13</t>
  </si>
  <si>
    <t>MSCU6730661</t>
  </si>
  <si>
    <r>
      <rPr>
        <rFont val="Arial"/>
        <color theme="1"/>
        <sz val="11.0"/>
      </rPr>
      <t xml:space="preserve">TBA Muscle Rub 60g / </t>
    </r>
    <r>
      <rPr>
        <rFont val="Arial"/>
        <color theme="1"/>
        <sz val="11.0"/>
      </rPr>
      <t>White 4g</t>
    </r>
    <r>
      <rPr>
        <rFont val="Arial"/>
        <color theme="1"/>
        <sz val="11.0"/>
      </rPr>
      <t xml:space="preserve"> / </t>
    </r>
    <r>
      <rPr>
        <rFont val="Arial"/>
        <color theme="1"/>
        <sz val="11.0"/>
      </rPr>
      <t>Ultra-Strength Ointment 50g</t>
    </r>
  </si>
  <si>
    <t>EN# 2097674-3; Order #PI19-03 &amp; PI19-07; PO#33036; OBL 2/13; gate fee 2/22</t>
  </si>
  <si>
    <t>TCLU4023960</t>
  </si>
  <si>
    <t>TB Patch 1's</t>
  </si>
  <si>
    <t>EN#2098055-4; Order#PI19-10 &amp; PI19-20; PO#33048; OBL 2/22</t>
  </si>
  <si>
    <t>UETU5630540</t>
  </si>
  <si>
    <t xml:space="preserve">TB Pain Relieving Patch </t>
  </si>
  <si>
    <t>EN#2098022-4; Order# PI19-11; PO#33037;OBL 2/20</t>
  </si>
  <si>
    <t>MORU1327633</t>
  </si>
  <si>
    <r>
      <rPr>
        <rFont val="Arial"/>
        <color theme="1"/>
        <sz val="11.0"/>
      </rPr>
      <t xml:space="preserve">TBA Muscle Rub 60g / White 4g / </t>
    </r>
    <r>
      <rPr>
        <rFont val="Arial"/>
        <color theme="1"/>
        <sz val="11.0"/>
      </rPr>
      <t>Ultra-Strength Ointment 50g</t>
    </r>
  </si>
  <si>
    <t>EN#2097673-5; Order #PI19-03 &amp; PI19-07; PO#33034; OBL 2/13</t>
  </si>
  <si>
    <t>SEGU5964610</t>
  </si>
  <si>
    <r>
      <rPr>
        <rFont val="Arial"/>
        <color theme="1"/>
        <sz val="11.0"/>
      </rPr>
      <t xml:space="preserve">TB Patch / Liniment 57ml / </t>
    </r>
    <r>
      <rPr>
        <rFont val="Arial"/>
        <color theme="1"/>
        <sz val="11.0"/>
      </rPr>
      <t>KLO 57ml</t>
    </r>
  </si>
  <si>
    <t>EN#2097560-4; PI19-01, PI19-08 &amp; PI19-09; PO#33035; OBL 2/13</t>
  </si>
  <si>
    <t>MSKU4006065</t>
  </si>
  <si>
    <t>TBA Muscle Spray 75ml</t>
  </si>
  <si>
    <t>EN#2097279-1; Order#PI19-04; PO#33009; OBL 2/6/19; Gate Fee paid 2/12/19</t>
  </si>
  <si>
    <t>FSCU5025000, CSLU5170424</t>
  </si>
  <si>
    <r>
      <rPr>
        <rFont val="Arial"/>
        <color theme="1"/>
        <sz val="11.0"/>
      </rPr>
      <t xml:space="preserve">TB Patch / </t>
    </r>
    <r>
      <rPr>
        <rFont val="Arial"/>
        <color theme="1"/>
        <sz val="11.0"/>
      </rPr>
      <t>Patch 1'S</t>
    </r>
    <r>
      <rPr>
        <rFont val="Arial"/>
        <color theme="1"/>
        <sz val="11.0"/>
      </rPr>
      <t xml:space="preserve"> / Liniment 57ml / KLO 28ml</t>
    </r>
  </si>
  <si>
    <t>3/1/19 2/27/19</t>
  </si>
  <si>
    <t>EN#2097070-4; Order#PI19-01, PI19-08 &amp; PI19-09; PO#33010 Gate fee 2/11 OBL 2/12</t>
  </si>
  <si>
    <t>NYKU4004934, TRHU2701246</t>
  </si>
  <si>
    <t>TB Red 18g / Ultra-Strength Ointment 18g / Ultra-Strength Ointment 10g</t>
  </si>
  <si>
    <t>2/20/19 2/22/19</t>
  </si>
  <si>
    <t>EN#2097214-8; Order#PI19-06 &amp; PI19-13; PO#33033; OBL 2/12/19; Gate Fee paid 2/12</t>
  </si>
  <si>
    <t>BMOU2022042</t>
  </si>
  <si>
    <t>TBA Muscle Rub 60g / White 4g / Red 4g / Ultra-Strength Ointment 50g</t>
  </si>
  <si>
    <t>EN#2097278-3; Order#PI19-03 &amp; PI19-07; PO#33007; OBL 2/6/19</t>
  </si>
  <si>
    <t>TGHU6469559, TGHU9246918</t>
  </si>
  <si>
    <r>
      <rPr>
        <rFont val="Arial"/>
        <color theme="1"/>
        <sz val="11.0"/>
      </rPr>
      <t xml:space="preserve">TB Red 18g / Ultra-Strength Ointment 18g / </t>
    </r>
    <r>
      <rPr>
        <rFont val="Arial"/>
        <color theme="1"/>
        <sz val="11.0"/>
      </rPr>
      <t>Ultra-Strength Ointment 10g</t>
    </r>
  </si>
  <si>
    <t>EN#2096988-8; Order#PI19-06 &amp; PI19-13; PO#33006; OBL 2/6/19</t>
  </si>
  <si>
    <t>ZCSU2622430, ZCSU2649215, UESU4177224</t>
  </si>
  <si>
    <r>
      <rPr>
        <rFont val="Arial"/>
        <color theme="1"/>
        <sz val="11.0"/>
      </rPr>
      <t xml:space="preserve">TB Patch / </t>
    </r>
    <r>
      <rPr>
        <rFont val="Arial"/>
        <color theme="1"/>
        <sz val="11.0"/>
      </rPr>
      <t>Patch 1'S</t>
    </r>
    <r>
      <rPr>
        <rFont val="Arial"/>
        <color theme="1"/>
        <sz val="11.0"/>
      </rPr>
      <t xml:space="preserve"> / Liniment 57ml / KLO 57ml / 28ml</t>
    </r>
  </si>
  <si>
    <t>2/20 &amp; 2/21</t>
  </si>
  <si>
    <t>EN#2097067-0; Order#PI19-01, PI19-08 &amp; PI19-09; PO#33008; OBL 2/6/19</t>
  </si>
  <si>
    <t>TCLU4150202</t>
  </si>
  <si>
    <t>TB Pain Relieving Patch (Large)</t>
  </si>
  <si>
    <t>EN#2096831-0; Order#PI19-02; PO#32965 OBL 2/6/19</t>
  </si>
  <si>
    <t>TCNU6671866</t>
  </si>
  <si>
    <r>
      <rPr>
        <rFont val="Arial"/>
        <color theme="1"/>
        <sz val="11.0"/>
      </rPr>
      <t xml:space="preserve">TB White 18g / Red 18g / Ultra-Strength Ointment 18g / </t>
    </r>
    <r>
      <rPr>
        <rFont val="Arial"/>
        <color theme="1"/>
        <sz val="11.0"/>
      </rPr>
      <t>Ultra-Strength Ointment 10g</t>
    </r>
  </si>
  <si>
    <t>EN#2097215-5; Order#PI19-05, PI19-06 &amp; PI19-13; PO#33019; OBL 2/1</t>
  </si>
  <si>
    <t xml:space="preserve">OAK </t>
  </si>
  <si>
    <t>12,000dz</t>
  </si>
  <si>
    <t>AF257 / AF084 (AIR CARGO)</t>
  </si>
  <si>
    <t>Tiger Balm Single Patch</t>
  </si>
  <si>
    <t>Order# PI19-10; PO#33014</t>
  </si>
  <si>
    <t>GESU6721349,
TCLU9471714</t>
  </si>
  <si>
    <t>TB White 18g / Red 18g / Ultra-Strength Ointment 18g</t>
  </si>
  <si>
    <t>EN#2096250-3; Order#PI18-90; PO#32956; Bank Doc Sent 1/11, OBL 1/21</t>
  </si>
  <si>
    <t>CSLU2432198</t>
  </si>
  <si>
    <t>EN#2096063-0; Order#PI18-87; PO#32941; OBL 1/7</t>
  </si>
  <si>
    <t>TCLU4202965</t>
  </si>
  <si>
    <r>
      <rPr>
        <rFont val="Arial"/>
        <color theme="1"/>
        <sz val="11.0"/>
      </rPr>
      <t xml:space="preserve">TB Patch / Liniment 57ml / </t>
    </r>
    <r>
      <rPr>
        <rFont val="Arial"/>
        <color theme="1"/>
        <sz val="11.0"/>
      </rPr>
      <t>KLO 28ml</t>
    </r>
  </si>
  <si>
    <t>EN#2095803-0; Order#PI18-84, PI18-92 &amp; PI18-93; PO#32927; OBL 1/9</t>
  </si>
  <si>
    <t>MEDU5806080</t>
  </si>
  <si>
    <r>
      <rPr>
        <rFont val="Arial"/>
        <color theme="1"/>
        <sz val="11.0"/>
      </rPr>
      <t xml:space="preserve">TBA Muscle Rub 60g / Gel 60g / TB Red 4g / </t>
    </r>
    <r>
      <rPr>
        <rFont val="Arial"/>
        <color theme="1"/>
        <sz val="11.0"/>
      </rPr>
      <t>Ultra-Strength Ointment 50g</t>
    </r>
  </si>
  <si>
    <t>EN#2095687-7; Order#PI18-86 &amp; PI18-91; PO#32924; OBL 1/7</t>
  </si>
  <si>
    <t>ZIMU1405039</t>
  </si>
  <si>
    <t>TBA Muscle Rub 60g / Gel 60g / TB Red 4g / Ultra-Strength Ointment 50g</t>
  </si>
  <si>
    <t>EN#2095704-0; Order#PI18-86 &amp; PI18-91; PO#32926; OBL 1/9</t>
  </si>
  <si>
    <t>OOLU0301681</t>
  </si>
  <si>
    <t>Tiger Balm Patch / Tiger Liniment 57 ml / KLO 28ml</t>
  </si>
  <si>
    <t>EN#2095686-9; Order#PI18-84, PI18-92 &amp; PI18-93; PO#32925; OBL 1/9</t>
  </si>
  <si>
    <t>NYKU0744249</t>
  </si>
  <si>
    <t>TB Red 18g / Ultra-Strength Ointment 18G</t>
  </si>
  <si>
    <t>EN#2095798-2; Order#PI18-90; PO#32940; OBL 1/9</t>
  </si>
  <si>
    <t xml:space="preserve"> ECMU1702380, TCLU4090802</t>
  </si>
  <si>
    <t>TB Patch / Liniment 57ml / KLO 57ml / 28ml</t>
  </si>
  <si>
    <t>1/18/19 &amp; 1/23/19</t>
  </si>
  <si>
    <t>EN#2095919-4; Order#PI18-84, PI18-92 &amp; PI18-93; PO#32923; OBL 1/7</t>
  </si>
  <si>
    <t>8 PLT</t>
  </si>
  <si>
    <t>CAIU3463700</t>
  </si>
  <si>
    <t xml:space="preserve">Tiger Balm White 18g (Ethnic) / Red 18g / Ultra-Strength Ointment 18G </t>
  </si>
  <si>
    <t>EN#2083725-9; Order#PI18-90; PO#32911; OBL 1/3</t>
  </si>
  <si>
    <t>USDA Custom Release Notification</t>
  </si>
  <si>
    <t>Total Inv Amt</t>
  </si>
  <si>
    <t>MRKU0706644</t>
  </si>
  <si>
    <r>
      <rPr>
        <rFont val="Arial"/>
        <color theme="1"/>
        <sz val="11.0"/>
      </rPr>
      <t>RED PANAX GINSENG EXTRACTUM/</t>
    </r>
    <r>
      <rPr>
        <rFont val="Arial"/>
        <color theme="1"/>
        <sz val="11.0"/>
      </rPr>
      <t>D-02030B</t>
    </r>
  </si>
  <si>
    <t>YYL</t>
  </si>
  <si>
    <t>EN#2110397-4; DL-AIT19008; OBL 12/18; GATE FEE 12/20</t>
  </si>
  <si>
    <t>161 cs</t>
  </si>
  <si>
    <t>OOLU3277296</t>
  </si>
  <si>
    <t>SEIROGAN PILLS</t>
  </si>
  <si>
    <t>SNK</t>
  </si>
  <si>
    <t>EN#2110457-2; INV.# US-191101;OBL 12/12</t>
  </si>
  <si>
    <t>EMCU5395235</t>
  </si>
  <si>
    <t>Aluminium Foil</t>
  </si>
  <si>
    <t>-----</t>
  </si>
  <si>
    <t>EN#2110827-0; INV.# LFE-1128/19</t>
  </si>
  <si>
    <t xml:space="preserve">FOB </t>
  </si>
  <si>
    <t>TAIWAN</t>
  </si>
  <si>
    <t>SEGU5990461</t>
  </si>
  <si>
    <t>GINGER HONEY CRYSTAL - to RC</t>
  </si>
  <si>
    <t>EN#2110239-8 ; INV.#19NSS0338; obl 12/6</t>
  </si>
  <si>
    <t>GSXU2283860</t>
  </si>
  <si>
    <t>LOC MARIA - BAKERY</t>
  </si>
  <si>
    <t>EN#2109833-1; INV.#1ME792666; GATE FEE 12/18</t>
  </si>
  <si>
    <t>Ex-warehouse</t>
  </si>
  <si>
    <t>France</t>
  </si>
  <si>
    <t>EITU1236355</t>
  </si>
  <si>
    <t>GINGER ORIGINAL CHEWS 113g.</t>
  </si>
  <si>
    <t>EN#2109614-5; INV.#226/EXP/INV/XI/2019</t>
  </si>
  <si>
    <t xml:space="preserve">INDONESIA </t>
  </si>
  <si>
    <t>BEAU4371861</t>
  </si>
  <si>
    <t>GINGER CHEWS - 4 FLAVOR</t>
  </si>
  <si>
    <t>EN#2110232-3; INV.#EXP/POP33682/094/19XII05</t>
  </si>
  <si>
    <t>INDONESIA</t>
  </si>
  <si>
    <t>EITU3011614</t>
  </si>
  <si>
    <t>Ginseng Instant tea and Instant Wild American Ginseng tea</t>
  </si>
  <si>
    <t>EN#2109488-4; INV.#2001013-19; OBL 12/6</t>
  </si>
  <si>
    <t>OOLU9272413</t>
  </si>
  <si>
    <t>GINGER HONEY CRYSTAL</t>
  </si>
  <si>
    <t>EN#2109703-6; INV.#19NSS0335</t>
  </si>
  <si>
    <t>EMCU5455421</t>
  </si>
  <si>
    <t>EN#2110191; INV.# LFE-1114/19</t>
  </si>
  <si>
    <t>CXDU2123176</t>
  </si>
  <si>
    <t>Premium Tea- Green tea, Japanese style G-tea,Jasmine, Oolong, Ti Kuan Yin, Pu-Erh, White tea</t>
  </si>
  <si>
    <t>EN#2109561-8; Inv.# YD19-T13;gate fee 12/2</t>
  </si>
  <si>
    <t>TLLU5042200</t>
  </si>
  <si>
    <t>GINGER ORIGINAL CHEWS 
40 bags x 113gr.</t>
  </si>
  <si>
    <t>EN#2109405-8; INV.#215/EXP/INV/X/2019</t>
  </si>
  <si>
    <t>EITU1468411</t>
  </si>
  <si>
    <t xml:space="preserve">GINGER ORIGINAL CHEWS
 6db x 12 pouch x 113 gr. </t>
  </si>
  <si>
    <t>EN#2109406-6; INV.#218/EXP/INV/X/2019</t>
  </si>
  <si>
    <t>HI</t>
  </si>
  <si>
    <t>TCLU6755492</t>
  </si>
  <si>
    <t>2109487-6; EXP/POP33767/086/19X100</t>
  </si>
  <si>
    <t>GINGER CHEWS</t>
  </si>
  <si>
    <t>EN#2109487-6; INV.#214/EXP/INV/X/2019</t>
  </si>
  <si>
    <t>1 PLT</t>
  </si>
  <si>
    <t>AIR - L102/21</t>
  </si>
  <si>
    <t>POP TAGS, 1 COLOR IN GLOSSY PAPER</t>
  </si>
  <si>
    <t>EN# 9032090.; 
INV.# 08250-00004290</t>
  </si>
  <si>
    <t>ARGENTINA</t>
  </si>
  <si>
    <t>EGHU9186218</t>
  </si>
  <si>
    <t>POP HONEY LOQUAT PASTILLES-cfs</t>
  </si>
  <si>
    <t>EN#2109085-8</t>
  </si>
  <si>
    <t>$16,309.00 
(HKD 125580.09)</t>
  </si>
  <si>
    <t>HMMU6001576</t>
  </si>
  <si>
    <t>KOREAN RED GINSENG POWDER- cfs</t>
  </si>
  <si>
    <t>EN#2109832-3; INV.# KI-POP04-19</t>
  </si>
  <si>
    <t>TCNU3914113</t>
  </si>
  <si>
    <t>GINGER CHEWS - Lemon F04112 (4 oz. x12 x 6) &amp; Lemon F-04026 (4 oz. x 40)</t>
  </si>
  <si>
    <t>EN#2108696-3; INV.#EXP/POP33607/082/19X93</t>
  </si>
  <si>
    <t>BY AIR</t>
  </si>
  <si>
    <t>PLAIN ALUM FOIL - delivery to Sun Ten</t>
  </si>
  <si>
    <t>EN#9032093; LFE-1120/19</t>
  </si>
  <si>
    <t>TCLU7988729</t>
  </si>
  <si>
    <t>EN#2108938-9 INV.# 1ME774609</t>
  </si>
  <si>
    <t>MSKU6928023</t>
  </si>
  <si>
    <t>Red Panax Ginseng Extractum</t>
  </si>
  <si>
    <t>11/27 PL#5365407</t>
  </si>
  <si>
    <t>EN#2109056-9; INV.#DL-AIT19007; gate fee 11/15</t>
  </si>
  <si>
    <t>EISU2177504</t>
  </si>
  <si>
    <t>MyKuali White Curry Noodle / Spicy Prawn Noodle / Tom Yum Goong Noodle / Spicy Fried Noodle</t>
  </si>
  <si>
    <t>EN#2108785-4; INV.#1910-00044</t>
  </si>
  <si>
    <t>MALAYSIA</t>
  </si>
  <si>
    <t>EITU1562897</t>
  </si>
  <si>
    <t>GINGER CHEWS 113 gr.</t>
  </si>
  <si>
    <t>EN#2108630-2; INV.#201/EXP/INV/X/2019</t>
  </si>
  <si>
    <t>TCLU6728692</t>
  </si>
  <si>
    <t>GHC, GHC W/American Ginseng</t>
  </si>
  <si>
    <t>EN#2109065-0; INV.#19NSS0333; obl 11/8</t>
  </si>
  <si>
    <t>GESU5744360</t>
  </si>
  <si>
    <t>GHC w/Lemon, Dong Quai Red Date tea</t>
  </si>
  <si>
    <t>EN#2109064-3; INV.#19NSS0332; obl 11/8</t>
  </si>
  <si>
    <t>CNSU2074763</t>
  </si>
  <si>
    <t>Panax Ginseng Extractum Oral Liquid (10cc*30)</t>
  </si>
  <si>
    <t>11/27 PL#5365406</t>
  </si>
  <si>
    <t>EN#2109066-8; INV.#2019TAT06</t>
  </si>
  <si>
    <t>OOCU7997404</t>
  </si>
  <si>
    <t>GINGER HONEY CRYSTAL, 
GHC W/LEMON</t>
  </si>
  <si>
    <t>EN#2109305-0; INV.#19NSS0334;obl 11/8</t>
  </si>
  <si>
    <t>CHINA</t>
  </si>
  <si>
    <t>KKFU7940140</t>
  </si>
  <si>
    <t>EN#2108745-8 INV.#19NSS0331; obl 11/8</t>
  </si>
  <si>
    <t>TRIU8064642</t>
  </si>
  <si>
    <t>DRIED SOUP MIX</t>
  </si>
  <si>
    <t>11/27 PL#5365405</t>
  </si>
  <si>
    <t>EN#2108881-1; INV.#11102019</t>
  </si>
  <si>
    <t>HONG KONG</t>
  </si>
  <si>
    <t>$1,410.00
(HKD10,858.80)</t>
  </si>
  <si>
    <t>SEGU2679522</t>
  </si>
  <si>
    <t>GINSENG INSTANT TEA</t>
  </si>
  <si>
    <t>11/27 PL#5364937</t>
  </si>
  <si>
    <t>EN#2108744-1; gate fee 11/7
INV.# 2001012-19; obl 11/8</t>
  </si>
  <si>
    <t>EGHU9491910</t>
  </si>
  <si>
    <t>EN#2108253-3; INV.#194/EXP/INV/X/2019;obl 10/18</t>
  </si>
  <si>
    <t>TCNU6427757</t>
  </si>
  <si>
    <t>EN#2108718-5; INV.#1ME774608; gate fee 11/7</t>
  </si>
  <si>
    <t>EITU1669416</t>
  </si>
  <si>
    <t>GINGER CHEWS - Orange (F-04113) &amp; Mango (F-04114)</t>
  </si>
  <si>
    <t>EN#2107794-7; INV.#071/EXP-POP/IX/19</t>
  </si>
  <si>
    <t>TCNU3136378</t>
  </si>
  <si>
    <t>EN#2107956-2; INV.#178/EXP/INV/IX/2019; obl 10/18</t>
  </si>
  <si>
    <t>EGSU5004324</t>
  </si>
  <si>
    <t>ALUMINIUM FOIL (HERBAL TEA) - deliver to SunTen</t>
  </si>
  <si>
    <t>EN#2109202 INV.#LFE-1017/19</t>
  </si>
  <si>
    <t>EITU1218407</t>
  </si>
  <si>
    <t>Ginger Lemon chews - F-04026 (4oz x 40) &amp; F-04112 (4oz x 12 x6)</t>
  </si>
  <si>
    <t>EN#2108015-6; INV.#EXP/POP33500/075/19IX88</t>
  </si>
  <si>
    <t>EITU9079571</t>
  </si>
  <si>
    <t>GINGER CHEWS F-04056 to F-04059</t>
  </si>
  <si>
    <t>EN#2108207-9; INV.#EXP/POP33606/076/19IX89</t>
  </si>
  <si>
    <t>TCLU8368722</t>
  </si>
  <si>
    <t>Ginger Lemon chews 8 oz
 (8 bagsx227gr.).</t>
  </si>
  <si>
    <t>EN#2108002-4; INV.#171/EXP/INV/IX/2019; OBL 9/27</t>
  </si>
  <si>
    <t>TCLU3329765</t>
  </si>
  <si>
    <t>PALLY BISCUITS</t>
  </si>
  <si>
    <t>EN#2108644-3; INV.#190078</t>
  </si>
  <si>
    <t>CMAU4139600</t>
  </si>
  <si>
    <t>EN#2108547-8; INV.#19NSS0330; obl 10/27</t>
  </si>
  <si>
    <t>TGBU7144936</t>
  </si>
  <si>
    <t>GINGER CHEWS-original 12x6 (printed displays started to use)</t>
  </si>
  <si>
    <t>11/8 PL#5362827</t>
  </si>
  <si>
    <t>EN#2108215-2 ; INV.# 190/EXP/INV/IX/2019; obl 10/18</t>
  </si>
  <si>
    <t>EMCU3957159</t>
  </si>
  <si>
    <t>AM GSG CANDY - 8oz./gold, 4.78oz/gold, 1lb/bag, 6oz./bag</t>
  </si>
  <si>
    <t>EN#2108555-1; INV.# 2126-1</t>
  </si>
  <si>
    <t>HONGKONG</t>
  </si>
  <si>
    <t>MRKU3466995</t>
  </si>
  <si>
    <t>Organic:- Oolong Tea, White Tea / Jasmine Tea / Green tea</t>
  </si>
  <si>
    <t>EN#2107799; INV.# YD19-T10; OBL 10/18</t>
  </si>
  <si>
    <t>GESU5597022</t>
  </si>
  <si>
    <r>
      <rPr>
        <rFont val="Arial"/>
        <color theme="1"/>
        <sz val="11.0"/>
      </rPr>
      <t xml:space="preserve">Red Panax Ginseng Extractum, </t>
    </r>
    <r>
      <rPr>
        <rFont val="Arial"/>
        <color theme="1"/>
        <sz val="11.0"/>
      </rPr>
      <t>Royal Jelly w/Bee Pollen</t>
    </r>
  </si>
  <si>
    <t>EN#2107800-2; INV.#DL-AIT19006; OBL 10/18</t>
  </si>
  <si>
    <t>CAIU8547193</t>
  </si>
  <si>
    <t>EN#2107884-6; INV.# 19NSS0329; OBL 10/8</t>
  </si>
  <si>
    <t>EITU1924424</t>
  </si>
  <si>
    <t>GINGER CHEW - Lemon (F-04026) &amp; Lemon (F-04112)</t>
  </si>
  <si>
    <t>EN#2107816-8; INV.#EXP/POP33499/072/19IX86</t>
  </si>
  <si>
    <t>KKTU6048257</t>
  </si>
  <si>
    <t>10/24 PL#5361090</t>
  </si>
  <si>
    <t>EN#2107594-1; gate fee 10/18, INV.# 1ME774603</t>
  </si>
  <si>
    <t>GLDU9987827</t>
  </si>
  <si>
    <t>EN#2107596-6; 
INV.# 1ME774605</t>
  </si>
  <si>
    <t>FXLU9090280</t>
  </si>
  <si>
    <t>Dk. brown sugar GHC, GHC, W/plum, Dong quai red date tea, ghc w/ginseng</t>
  </si>
  <si>
    <t>11/4 PL#5361672</t>
  </si>
  <si>
    <t>EN#2107885-3; INV.#19NSS0327; OBL 10/8;gate fee 10/18</t>
  </si>
  <si>
    <t>OOLU1518331</t>
  </si>
  <si>
    <t>American Ginseng Instant Tea, Wild American Ginseng Tea</t>
  </si>
  <si>
    <t>EN#2107354-0; INV.#2001011-19; OBL 10/3/19</t>
  </si>
  <si>
    <t>FXLU9090188</t>
  </si>
  <si>
    <t>11/4 PL#5361671</t>
  </si>
  <si>
    <t>EN#2107627-9; INV.#19NSS0328; OBL 10/8;GATE FEE 10/16</t>
  </si>
  <si>
    <t>TEMU6269857</t>
  </si>
  <si>
    <t>Ginger chews (40 bags x 113gr.)</t>
  </si>
  <si>
    <t>EN#2108001-6; INV.#172/EXP/INV/IX/2019; OBL 9/27</t>
  </si>
  <si>
    <t>UACU5215360</t>
  </si>
  <si>
    <t>Ginger Honey Crystals, w/Ginseng, Dong Quai Red Date tea</t>
  </si>
  <si>
    <t>EN#2107582-6; OBL 10/3/19
INV.# 19NSS0326</t>
  </si>
  <si>
    <t>HLXU8069134</t>
  </si>
  <si>
    <t>EN#2107583-4; INV.#19NSS0325A; OBL 10/3/19</t>
  </si>
  <si>
    <t>DRYU9309797</t>
  </si>
  <si>
    <t>Ginger Original chews  40BAGS X 113 GR.</t>
  </si>
  <si>
    <t>EN#2107549-5; INV.#168/EXP/INV/IX/2019; OBL 9/27</t>
  </si>
  <si>
    <t>TCLU4952070</t>
  </si>
  <si>
    <t>Ginger lemon chews  F-04112</t>
  </si>
  <si>
    <t>EN#2107554-5
 INV.#066/EXP-POP/IX/2019</t>
  </si>
  <si>
    <t>GAOU6153800</t>
  </si>
  <si>
    <t>Ginger Original chews 40BAGS X 113 GR.</t>
  </si>
  <si>
    <t>11/4 PL#5361669</t>
  </si>
  <si>
    <t>EN#2107891-1; INV.#166/EXP/INV/IX/2019; OBL 9/27</t>
  </si>
  <si>
    <t>TLLU4181367</t>
  </si>
  <si>
    <t>Ginger chews (F-04056, F-04057, F-04058 &amp; F-04059)</t>
  </si>
  <si>
    <t>11/4 PL#5361673</t>
  </si>
  <si>
    <t>EN#2107244-3
 INV.#066/EXP-POP/IX/2019</t>
  </si>
  <si>
    <t>FDCU0513301</t>
  </si>
  <si>
    <t>KJELDSENS COOKIES</t>
  </si>
  <si>
    <t>10/17 PL#5360228</t>
  </si>
  <si>
    <t>Door delivery service by Kelsen</t>
  </si>
  <si>
    <t>EGHU9141682</t>
  </si>
  <si>
    <t>Ginger Original chews 
6db x 12 pouch x 113gr.</t>
  </si>
  <si>
    <t>EN#2106656; INV.#158/EXP/INV/VIII/2019; OBL 9/27</t>
  </si>
  <si>
    <t>EGHU9185905</t>
  </si>
  <si>
    <t>Ginger Original chews
40 bags x 113 gr.</t>
  </si>
  <si>
    <t>EN#2106657; INV.#157/EXP/INV/VIII/2019; OBL 9/27</t>
  </si>
  <si>
    <t>MRSU0081781</t>
  </si>
  <si>
    <t>KOREAN TEA</t>
  </si>
  <si>
    <t>EN#2107276-5; INV.# KB190830; obl 9/27</t>
  </si>
  <si>
    <t>EITU9078908</t>
  </si>
  <si>
    <t>Ginger Original chews 
6db x 12 pouch x 113 g.</t>
  </si>
  <si>
    <t>EN#2107032-2; INV.#165/EXP/INV/IX/2019; OBL 9/27</t>
  </si>
  <si>
    <t>PCIU8988936</t>
  </si>
  <si>
    <t>Organic:- Oolong Tea, White Tea / Jasmine Tea/ regular Jasmine Tea/ Pu-erh tea</t>
  </si>
  <si>
    <t>10/24 PL#5361086</t>
  </si>
  <si>
    <t>EN#2107143-7; INV.#YD19-T09; GATE FEE 10/4/19</t>
  </si>
  <si>
    <t>OOLU0788836</t>
  </si>
  <si>
    <t>10/24 PL#5361088</t>
  </si>
  <si>
    <t>EN#2107230-2; INV.# 2001010-19; obl 9/27; GATE FEE 10/7</t>
  </si>
  <si>
    <t>OOCU6903484</t>
  </si>
  <si>
    <t>Ginger Honey Crystals, and w/lemon</t>
  </si>
  <si>
    <t>EN#2107042-1; INV.# 19NSS0325; obl 9/27</t>
  </si>
  <si>
    <t>TRLU7170808</t>
  </si>
  <si>
    <t xml:space="preserve">SEIROGAN PILLS </t>
  </si>
  <si>
    <t>EN#2106923-3; INV# US-190901BL 9/24/19</t>
  </si>
  <si>
    <t>KKFU6774105</t>
  </si>
  <si>
    <t>PRINTED MATTER</t>
  </si>
  <si>
    <t>EN#2107127-0; INV.#9042019</t>
  </si>
  <si>
    <t>EITU1251935</t>
  </si>
  <si>
    <t>EN#2107603-0; INV.#LFE-0901/19</t>
  </si>
  <si>
    <t>CMAU7100372</t>
  </si>
  <si>
    <t>AM GSG CANDY</t>
  </si>
  <si>
    <t>EN#2106805-; INV.# 2124-1</t>
  </si>
  <si>
    <t>MSKU6896712</t>
  </si>
  <si>
    <t>10/9 PL#5359153</t>
  </si>
  <si>
    <t>MW</t>
  </si>
  <si>
    <t>EN#2106937-3; DL-AIT19005; OBL 9/17; gate fee 9/30</t>
  </si>
  <si>
    <t>EITU1882099</t>
  </si>
  <si>
    <t>Ginger chews F-04112</t>
  </si>
  <si>
    <t>10/18 PL#5360320</t>
  </si>
  <si>
    <t>EN#2106694;  INV.# 061/19VIII75</t>
  </si>
  <si>
    <t>CAIU4551750</t>
  </si>
  <si>
    <t>Cheezheng plaster</t>
  </si>
  <si>
    <t>10/18 PL#5360327</t>
  </si>
  <si>
    <t>EN#2106978-7; CZ195014;</t>
  </si>
  <si>
    <t>CPSU5145102</t>
  </si>
  <si>
    <t>EN#2106547-0; 1ME774591</t>
  </si>
  <si>
    <t>TRIU9106450</t>
  </si>
  <si>
    <t>EN#2106580-1; INV.#YD19-T07;  OBL 9/6/19</t>
  </si>
  <si>
    <t>SZLU9097379</t>
  </si>
  <si>
    <t>ALUMINIUM FOIL/TAG (AM GSG RT) - deliver to SunTen</t>
  </si>
  <si>
    <t>EN#2107215; INV.LFE0904/19</t>
  </si>
  <si>
    <t>NYKU4915801</t>
  </si>
  <si>
    <t>EN#2106071-1; INV.# 19NSS0323; OBL 9/13</t>
  </si>
  <si>
    <t>TGBU6946808</t>
  </si>
  <si>
    <t>Ginger Original chews 
6db x 12pouch x 113 gr.</t>
  </si>
  <si>
    <t>EN# 2105815-2; INV.#127/EXP/INV/VIII/2019; OBL 8/19</t>
  </si>
  <si>
    <t>TEMU0634823</t>
  </si>
  <si>
    <t>POP CAPPUCCINO</t>
  </si>
  <si>
    <t>10/9 PL#5359151</t>
  </si>
  <si>
    <t>EN#2106582-7; gate fee 9/12; obl 9/20/19</t>
  </si>
  <si>
    <t>EGHU3384453</t>
  </si>
  <si>
    <t>POP INSTANT TEA LATTE</t>
  </si>
  <si>
    <t>10/9 PL#5359113</t>
  </si>
  <si>
    <t>EN#2106437-4;
 Inv.# 2019200074</t>
  </si>
  <si>
    <t>MAGU5303410</t>
  </si>
  <si>
    <t>GINGER ORIGINAL CHEWS - 8 bags x 227gr</t>
  </si>
  <si>
    <t>10/9 PL#5359149</t>
  </si>
  <si>
    <t>EN#2106296-4; Inv.#117/EXP/INV/VIII/2019; OBL - 9/6</t>
  </si>
  <si>
    <t>TCLU6165789</t>
  </si>
  <si>
    <t>GINGER HONEY CRYSTALS, W/LEMON</t>
  </si>
  <si>
    <t>EN#2106719-5; INV.# 19NSS0324; OBL - 9/11</t>
  </si>
  <si>
    <t>EITU1405780</t>
  </si>
  <si>
    <t>Ginger Original chews, Orange, Lychee,Mango &amp; Peanut</t>
  </si>
  <si>
    <t>EN# 2105619-8; 
INV.# 052/EXP-POP/VII/19</t>
  </si>
  <si>
    <t>GAOU6453350</t>
  </si>
  <si>
    <t>EN#2106140-4; INV.# 058/EXP-POP/VIII/19</t>
  </si>
  <si>
    <t>EGHU9466667</t>
  </si>
  <si>
    <t>EN#2105893-9; 
INV.# 055/EXP-POP/VIII/19</t>
  </si>
  <si>
    <t>FSCU8636240</t>
  </si>
  <si>
    <t>EN#2106289-9; Inv.#059/EXP-POP/VIII/19</t>
  </si>
  <si>
    <t>EGSU9037624</t>
  </si>
  <si>
    <t>Ginger chews ( 40 bags X 113GR.)</t>
  </si>
  <si>
    <t>EN#2106008-3; INV.#149/EXP/INV/VIII/2019;</t>
  </si>
  <si>
    <t>GESU9491907</t>
  </si>
  <si>
    <t>EN#2106821-9; IME774600</t>
  </si>
  <si>
    <t>TGBU6628319</t>
  </si>
  <si>
    <t>Ginger Original chews -40 bags x 113 gr.</t>
  </si>
  <si>
    <t>EN#2105533-1; INV.#140/EXP/INV/VII/2019; OBL 8/19</t>
  </si>
  <si>
    <t>MAGU5399048</t>
  </si>
  <si>
    <t>10/9 PL#5359150</t>
  </si>
  <si>
    <t>EN# 2105814-5; INV.#126/EXP/PI/VIII/2019; OBL 8/19</t>
  </si>
  <si>
    <t>UACU4739151</t>
  </si>
  <si>
    <t>EN#2105662-8; 1ME774096</t>
  </si>
  <si>
    <t>TGBU6595236</t>
  </si>
  <si>
    <t>EN#2105824-4; OBL 8/13
INV.#134/EXP/INV/VII/2019</t>
  </si>
  <si>
    <t>EITU1851668</t>
  </si>
  <si>
    <t>Ginger Original chews
6db x 12pouch x 113 gr.</t>
  </si>
  <si>
    <t>EN#2105823-6; OBL 8/13
INV.# 131/EXP/INV/VII/2019</t>
  </si>
  <si>
    <t>BMOU5306335</t>
  </si>
  <si>
    <t>EN#2104878-1; INV.#126/EXP/INV/VII/2019; OBL 8/13</t>
  </si>
  <si>
    <t>PCIU9027281</t>
  </si>
  <si>
    <t>EN#2105948-1; 
INV.#YD19-T06; OBL 8/23</t>
  </si>
  <si>
    <t xml:space="preserve">KKFU1807084 </t>
  </si>
  <si>
    <t>GINGER HONEY CRYSTALS, W/LEMON &amp; W/GINSENG</t>
  </si>
  <si>
    <t>10/9 PL#5359147</t>
  </si>
  <si>
    <t>EN#2105820-2; OBL 8/20
INV.# 19NSS0321</t>
  </si>
  <si>
    <t>BMOU9205528</t>
  </si>
  <si>
    <t>DELACRE  - 4 ITEMS</t>
  </si>
  <si>
    <t>10/9 PL#5359148</t>
  </si>
  <si>
    <t>EN# 2105818-6;
 INV.# 19553109 RI</t>
  </si>
  <si>
    <t>HDMU2846427</t>
  </si>
  <si>
    <t>KOREAN GINSENG TEA</t>
  </si>
  <si>
    <t>10/9 PL#5359144</t>
  </si>
  <si>
    <t>EN#2106114-9; KB190810; OBL 8/23; gate fee 8/28</t>
  </si>
  <si>
    <t>SEGU9353435</t>
  </si>
  <si>
    <t>DELACRE - 4 ITEMS</t>
  </si>
  <si>
    <t>EN# 2105817-8;
 INV.# 19553110 RI</t>
  </si>
  <si>
    <t>BMOU9213354</t>
  </si>
  <si>
    <t>DELACRE - 2 ITEMS</t>
  </si>
  <si>
    <t>EN# 2105816-0;
 INV.# 19553108 RI</t>
  </si>
  <si>
    <t>UESU4608276</t>
  </si>
  <si>
    <t>EN#2105326; INV.#YD19-T05; OBL 8/13</t>
  </si>
  <si>
    <t>NYKU5901567</t>
  </si>
  <si>
    <t>Red Panax Ginseng Extractum,</t>
  </si>
  <si>
    <t>EN# 2105003-5; INV.#DL-AIT19004; OBL 8/13</t>
  </si>
  <si>
    <t>BEAU4389686</t>
  </si>
  <si>
    <t>EN#2105532-3;INV.#138/EXP/INV/VII/2019; OBL 8/19</t>
  </si>
  <si>
    <t>FDCU0571231</t>
  </si>
  <si>
    <t>GINGER HONEY CRYSTALS</t>
  </si>
  <si>
    <t>EN#2105819-4; OBL 8/20
 INV.# 19NSS0322</t>
  </si>
  <si>
    <t>NYKU4396645</t>
  </si>
  <si>
    <t>GHC w/ Lemon</t>
  </si>
  <si>
    <t>EN#2105454-0; INV#19NSS0320; OBL 8/15</t>
  </si>
  <si>
    <t>TEMU8685318</t>
  </si>
  <si>
    <t>EN#2104480-6; INV.#115/EXP/INV/VI/2019; OBL 8/13</t>
  </si>
  <si>
    <t>GESU9586474</t>
  </si>
  <si>
    <t>DELACRE - THREE ITEMS</t>
  </si>
  <si>
    <t>EN#2106081-0; 
INV.# 19553199 RI</t>
  </si>
  <si>
    <t>OOLU1909130</t>
  </si>
  <si>
    <t>EN#2104977-1; INV#2001009-19; OBL 8/15</t>
  </si>
  <si>
    <t>TEMU7836934</t>
  </si>
  <si>
    <t>Ginger chews F-04112 &amp; F04026</t>
  </si>
  <si>
    <t>EN#2105134-8; INV.# 051/EXP-POP/VII/19</t>
  </si>
  <si>
    <t>TCLU7923306</t>
  </si>
  <si>
    <t>9/5 PL#5354671</t>
  </si>
  <si>
    <t>EN#2105825-1; OBL 8/13
INV.#133/EXP/INV/VII/2019</t>
  </si>
  <si>
    <t>TGBU6493384</t>
  </si>
  <si>
    <t>Ginger chews :-Lemon/ Orange / Mango / Lychee / Peanut (F-04112 to F-04116)</t>
  </si>
  <si>
    <t>9/5 PL#5354668</t>
  </si>
  <si>
    <t>EN#2104647-0; Inv.#046/EXP-POP/VII/19</t>
  </si>
  <si>
    <t>713 CS +
 662 PCS.</t>
  </si>
  <si>
    <t>OOCU7162318</t>
  </si>
  <si>
    <t>9/10 PL#5355229</t>
  </si>
  <si>
    <t>EN#2105419-3; OBL 8/20
INV.# 19TM036; gate fee 8/21</t>
  </si>
  <si>
    <t>KKTU7102394</t>
  </si>
  <si>
    <t>MCVITIES COOKIES</t>
  </si>
  <si>
    <t>EN#2104753-6; INV# 150133471 (LIVSX689817); gate fee 8/23</t>
  </si>
  <si>
    <t>CX872</t>
  </si>
  <si>
    <t>SH EGG CUSTARD &amp; SH LAVA CUSTARD</t>
  </si>
  <si>
    <t>8/29 PL#5354041</t>
  </si>
  <si>
    <t>EN#9031742-2; MC-O-2019005</t>
  </si>
  <si>
    <t>TLLU4178830</t>
  </si>
  <si>
    <t>EN#2103800-6; INV.#109/EXP/INV/VI/2019; OBL 7/30</t>
  </si>
  <si>
    <t>EISU9443102</t>
  </si>
  <si>
    <t>EN#2103799-0; INV.#108/EXP/INV/VI/2019; OBL 7/30</t>
  </si>
  <si>
    <t>SUDU7932567</t>
  </si>
  <si>
    <t>EN#2105413-6; INV.# 150133883 (LIVSX689949)</t>
  </si>
  <si>
    <t>TEMU8521654</t>
  </si>
  <si>
    <t>EN#2104475-6; INV.#122/EXP/INV/VII/2019; OBL 7/30</t>
  </si>
  <si>
    <t>TGBU6611384</t>
  </si>
  <si>
    <t>9/5 PL#5354664</t>
  </si>
  <si>
    <t>EN#2104879-9; INV.#127/EXP/INV/VII/2019;OBL 7/30</t>
  </si>
  <si>
    <t>FDCU0250632</t>
  </si>
  <si>
    <t>Ginger chews :-Lemon
 (F-04112 &amp; F-04026)</t>
  </si>
  <si>
    <t>9/5 PL#5354667</t>
  </si>
  <si>
    <t>EN#2104648; Inv.#048/EXP-POP/VII/19</t>
  </si>
  <si>
    <t>SKYU8809437</t>
  </si>
  <si>
    <t>GINGER HONEY CRYSTALS, &amp; W/LEMON</t>
  </si>
  <si>
    <t>9/5 PL#5354660</t>
  </si>
  <si>
    <t xml:space="preserve">EN#2105240-3; 19NSS0319; gate fee </t>
  </si>
  <si>
    <t>EGSU9183568</t>
  </si>
  <si>
    <t>EN#2104476-0; INV.#123/EXP/INV/VII/2019;OBL 7/30</t>
  </si>
  <si>
    <t>TEMU8418986</t>
  </si>
  <si>
    <t>9/5 PL#5354654</t>
  </si>
  <si>
    <t>EN#2104477-2; INV.#121/EXP/INV/VII/2019;OBL 7/30</t>
  </si>
  <si>
    <t>EMCU9864644</t>
  </si>
  <si>
    <t>9/5 PL#5354657</t>
  </si>
  <si>
    <t>EN#2104478-0; INV.#120/EXP/INV/VII/2019; OBL 7/30</t>
  </si>
  <si>
    <t>CMAU4605817</t>
  </si>
  <si>
    <t>EN#2105239-5; 19NSS0318</t>
  </si>
  <si>
    <t>TCKU9871816</t>
  </si>
  <si>
    <t>9/5 PL#5354658</t>
  </si>
  <si>
    <t>EN#2105301-3; INV# 2122-1; gate fee 8/21</t>
  </si>
  <si>
    <t>KKFU7869191</t>
  </si>
  <si>
    <t>EN#2104102-6; INV.#043/EXP-POP/VI/19</t>
  </si>
  <si>
    <t>EN#2104102-6; INV.#113/EXP/INV/VI2019; OBL 7/30</t>
  </si>
  <si>
    <t>NYKU7940990</t>
  </si>
  <si>
    <t>Wu-long  D-15060N - need inform customer pick up once in our warehouse</t>
  </si>
  <si>
    <t>EN#2104752-9; INV.#YD19-U01; OBL 7/31</t>
  </si>
  <si>
    <t>MRSU3410941</t>
  </si>
  <si>
    <t>EN#2104319-6; INV.#YD19-T04; OBL 7/30</t>
  </si>
  <si>
    <t>SEGU5958686</t>
  </si>
  <si>
    <t>EN#2104447-5; 
INV.# 19NSS0317; OBL 7/31</t>
  </si>
  <si>
    <t>EGHU9465892</t>
  </si>
  <si>
    <t>Ginger Orignal chews 
6db x 12pouch x 113 gr.</t>
  </si>
  <si>
    <t>8/14 PL#5352308</t>
  </si>
  <si>
    <t>NM</t>
  </si>
  <si>
    <t>EN#2104479-8; INV.#114/EXP/INV/VI/2019; OBL 7/30</t>
  </si>
  <si>
    <t>822cs +460 pcs</t>
  </si>
  <si>
    <t>OOCU7672029</t>
  </si>
  <si>
    <t>Organic:- Oolong Tea, White Tea / Jasmine Tea/ Green Tea/ Pu-erh tea</t>
  </si>
  <si>
    <t>8/14 PL#5352305</t>
  </si>
  <si>
    <t>EN#2104581-1,
 INV.# 19TM035; gate fee 8/1; OBL 8/2</t>
  </si>
  <si>
    <t>TTNU1958141</t>
  </si>
  <si>
    <t>8/19 PL#5352683</t>
  </si>
  <si>
    <t>EN#2104239-6; INV.#2001008-19; OBL 7/31;gate fee 8/1/19</t>
  </si>
  <si>
    <t>OOLU2934101</t>
  </si>
  <si>
    <t>Ginseng Instant tea, Wild American Ginseng instant tea</t>
  </si>
  <si>
    <t>EN#2103966-5; INV.#2001007-19</t>
  </si>
  <si>
    <t>TLLU5966550</t>
  </si>
  <si>
    <t>Organic:- Oolong Tea, White Tea / Jasmine Tea/ regular Jasmine Tea/ Green tea</t>
  </si>
  <si>
    <t>EN#2103922-8; 
Inv.# YD19-T08; OBL 7/10</t>
  </si>
  <si>
    <t>TTNU8610944</t>
  </si>
  <si>
    <t xml:space="preserve">BAK FOONG PILLS </t>
  </si>
  <si>
    <t>8/20 PL#5352975</t>
  </si>
  <si>
    <t>EN#2104409-5; INV.#03072019</t>
  </si>
  <si>
    <t>PONU1839350</t>
  </si>
  <si>
    <t xml:space="preserve">Red Panax Ginseng Extractum, </t>
  </si>
  <si>
    <t>8/9 PL#5351692</t>
  </si>
  <si>
    <t>EN#2103860-0 ; INV.#DL-AIT19003; OBL 7/10</t>
  </si>
  <si>
    <t>SZLU9651407</t>
  </si>
  <si>
    <t>KOREAN RED GINSENG POWDER</t>
  </si>
  <si>
    <t>EN#2104495-4; OAK19070682 - LCL</t>
  </si>
  <si>
    <t>CAIU5536071</t>
  </si>
  <si>
    <t>SH MOON CAKE</t>
  </si>
  <si>
    <t>EN#2103646;SH Moon cake</t>
  </si>
  <si>
    <t>DRYU4112660</t>
  </si>
  <si>
    <t>GHC, GHC w/Lemon, GHC w/American ginseng</t>
  </si>
  <si>
    <t>8/5 PL#5351046</t>
  </si>
  <si>
    <t>EN#2103967-3; INV.#19NSS0315; BOL 7/18; gate fee 7/19</t>
  </si>
  <si>
    <t>TCLU1830551</t>
  </si>
  <si>
    <t>Ginger lemon chews 8 bags x 227gr.</t>
  </si>
  <si>
    <t>7/26 PL#5349800</t>
  </si>
  <si>
    <t>EN#2103473-2; INV.#105/EXP/INV/VI/2019; OBL 7/10</t>
  </si>
  <si>
    <t>TCNU9547611</t>
  </si>
  <si>
    <t>EN#2104235-4; 
INV.# 19NSS0316; OBL 7/18</t>
  </si>
  <si>
    <t>SEGU5220840</t>
  </si>
  <si>
    <t>8/5 PL#5351045</t>
  </si>
  <si>
    <t>EN#2104236-2; 
INV.# 19NSS0316A; OBL 7/18; gate fee 7/22</t>
  </si>
  <si>
    <t>EISU9211149</t>
  </si>
  <si>
    <t>Ginger chews (6 dbX 12 pouch X 113GR.)</t>
  </si>
  <si>
    <t>7/26 PL#5349796</t>
  </si>
  <si>
    <t>EN#2103472-4; INV.#104/EXP/INV/VI/2019; OBL 7/10</t>
  </si>
  <si>
    <t>BMOU5461352</t>
  </si>
  <si>
    <t>Ginger chews :-Orange / Mango / Lychee / Peanut (F-04113 to F-04116)</t>
  </si>
  <si>
    <t>EN#2103503-6; Inv.#041/EXP-POP/VI/19</t>
  </si>
  <si>
    <t>FCIU8794864</t>
  </si>
  <si>
    <t>EN# 2103471-6; INV.#19NSS0314</t>
  </si>
  <si>
    <t>TLLU4954826</t>
  </si>
  <si>
    <t>GHC, GHC W/Lemon, Dong Quai &amp; Red Date Tea, Dk brown GHC</t>
  </si>
  <si>
    <t>EN# 2103470-8; INV.#19NSS0313</t>
  </si>
  <si>
    <t>EMCU5388576</t>
  </si>
  <si>
    <t>7/29 PL#5349935</t>
  </si>
  <si>
    <t>EN#2103647-1; Ref.# MC-O-2019002</t>
  </si>
  <si>
    <t>OOLU1134418</t>
  </si>
  <si>
    <t>SEIROGAN PILLS (LCL)</t>
  </si>
  <si>
    <t>7/26 PL#5349793</t>
  </si>
  <si>
    <t>EN#2103747-9; INV.#US-190601; OBL 7/11</t>
  </si>
  <si>
    <t>SEGU2308671</t>
  </si>
  <si>
    <t>EN#2103084-7 ; LIVSX689230 - 150133475</t>
  </si>
  <si>
    <t>CSLU2336996</t>
  </si>
  <si>
    <t>EN#2102969-0;INV.#2001005-19; OBL 6/18</t>
  </si>
  <si>
    <t>EGSU5018077</t>
  </si>
  <si>
    <t>EN#2103645-5; Ref.# MC-O-2019003</t>
  </si>
  <si>
    <t>SZLU9094261</t>
  </si>
  <si>
    <t xml:space="preserve">ALUMINIUM FOIL - deliver to SunTen </t>
  </si>
  <si>
    <t>EN#2103255-3</t>
  </si>
  <si>
    <t>TEMU6125736</t>
  </si>
  <si>
    <t xml:space="preserve">Ginger Lemon chews 4oz (12x6) </t>
  </si>
  <si>
    <t>7/16 PL#5348371</t>
  </si>
  <si>
    <t>EN#2102780-1; INV.#038/EXP-POP/V/19</t>
  </si>
  <si>
    <t>855 CS +884 PCS</t>
  </si>
  <si>
    <t>DFSU7046141</t>
  </si>
  <si>
    <t>Organic:-Black/ Green/ Jasmine; Gift Tea Bulks</t>
  </si>
  <si>
    <t>7/19 PL#5348798</t>
  </si>
  <si>
    <t>EN#2103083-9; INV.#19TM020; gate fee 7/3</t>
  </si>
  <si>
    <t>PCIU8532118</t>
  </si>
  <si>
    <t>7/19 PL#5348799</t>
  </si>
  <si>
    <t>EN#2103216-5; INV.#YD19-T03; gate fee 7/8</t>
  </si>
  <si>
    <t>TCNU7308310</t>
  </si>
  <si>
    <t>EN#2103136-5; INV.#19NSS0312</t>
  </si>
  <si>
    <t>MRKU9898614</t>
  </si>
  <si>
    <t>RED GINSENG ROYAL JELLY</t>
  </si>
  <si>
    <t>EN#2102747-0; Inv.#2019TAT04</t>
  </si>
  <si>
    <t>EITU0398921</t>
  </si>
  <si>
    <t>EN#2102662-1; INV.#1905-00213</t>
  </si>
  <si>
    <t>TRHU1201101</t>
  </si>
  <si>
    <r>
      <rPr>
        <rFont val="Arial"/>
        <color theme="1"/>
        <sz val="11.0"/>
      </rPr>
      <t xml:space="preserve">MyKuali </t>
    </r>
    <r>
      <rPr>
        <rFont val="Arial"/>
        <color theme="1"/>
        <sz val="11.0"/>
      </rPr>
      <t>White Curry Noodle</t>
    </r>
    <r>
      <rPr>
        <rFont val="Arial"/>
        <color theme="1"/>
        <sz val="11.0"/>
      </rPr>
      <t xml:space="preserve"> / Spicy Prawn Noodle / Tom Yum Goong Noodle / Spicy Fried Noodle</t>
    </r>
  </si>
  <si>
    <t>EN#2102569-8; INV.#1905-00195</t>
  </si>
  <si>
    <t>BMOU4898369</t>
  </si>
  <si>
    <t>Ginger chews original (6DB x 12 pouch X 113gr.)</t>
  </si>
  <si>
    <t>EN#2102492-3; INV.095/EXP/INV/V/2019; OBL 6/6</t>
  </si>
  <si>
    <t>EITU0570964</t>
  </si>
  <si>
    <t>EN#2103296-7; Inv.# SI-1903574</t>
  </si>
  <si>
    <t>PCIU8462833</t>
  </si>
  <si>
    <t>7/16 PL#5347795</t>
  </si>
  <si>
    <t>EN#2102659-7; INV.#YD19-T01; OBL 6/18</t>
  </si>
  <si>
    <t>EITU1375900</t>
  </si>
  <si>
    <t>Ginger Lemon chews 4oz (12x6) and Peanut chews(40ct)</t>
  </si>
  <si>
    <t>EN#2102654-8; INV.#EXP/POP33251/036/19V43</t>
  </si>
  <si>
    <t>PCIU1201313</t>
  </si>
  <si>
    <t>7/11 PL#5347794</t>
  </si>
  <si>
    <t>EN#2102770-2; Inv.#2019TAT05</t>
  </si>
  <si>
    <t>EISU5702550</t>
  </si>
  <si>
    <t>Display Shelf (Paper)</t>
  </si>
  <si>
    <t>EN#2102796-7; S/O: B732</t>
  </si>
  <si>
    <t>FCIU8793410</t>
  </si>
  <si>
    <t>7/11 PL#5347793</t>
  </si>
  <si>
    <t>EN#2102970-8; INV.#19NSS0311; GATE FEE 6/25; OBL 6/26</t>
  </si>
  <si>
    <t>TCNU2089570</t>
  </si>
  <si>
    <t>7/11 PL#5347789</t>
  </si>
  <si>
    <t>EN#2102571-4; INV.#064/EXP/PI/III/2019; OBL 6/18</t>
  </si>
  <si>
    <t>HMCU9227309</t>
  </si>
  <si>
    <t>Ginger Original chews - 40 bags x 113gr.</t>
  </si>
  <si>
    <t>7/11 PL#5347792</t>
  </si>
  <si>
    <t>EN#2102570-8; INV.#062/EXP/PI/III/2019; OBL 6/18</t>
  </si>
  <si>
    <t>UA862</t>
  </si>
  <si>
    <t>TWW FLOW HEART MOON CAKES</t>
  </si>
  <si>
    <t>7/19 PL#5348794</t>
  </si>
  <si>
    <t>EN# 9031441-1</t>
  </si>
  <si>
    <t>TCLU6516179</t>
  </si>
  <si>
    <t>EN#2102416-2; INV.#CZ19S013</t>
  </si>
  <si>
    <t>FCIU9955650</t>
  </si>
  <si>
    <t>Ginger chews (6 dbX 12 pouch  X 113GR.)</t>
  </si>
  <si>
    <t>EN#2102262-0; INV.#079/EXP/INV/IV/2019; OBL 5/21</t>
  </si>
  <si>
    <t>PONU7945405</t>
  </si>
  <si>
    <t>EN#2102195-2 / INV.#YD19-T02; OBL 6/6</t>
  </si>
  <si>
    <t>ITXU4032092</t>
  </si>
  <si>
    <t>GINGER HONEY CRYSTALS and GHC w/Lemon</t>
  </si>
  <si>
    <t>EN#2102271-1; INV.#19NSS0308A; OBL - 6/11</t>
  </si>
  <si>
    <t>CMAU4818480</t>
  </si>
  <si>
    <t>EN#2102270-3; INV.#19NSS0310; OBL 6/11</t>
  </si>
  <si>
    <t>TGBU6627415</t>
  </si>
  <si>
    <t>Ginger lemon chews 40 bags x 124gr.</t>
  </si>
  <si>
    <t>EN#2102118-4; INV.#089/EXP/INV/IV/2019; OBL - 6/6</t>
  </si>
  <si>
    <t>HMCU9182462</t>
  </si>
  <si>
    <t>Ginger chews :-Orange / Mango / Lychee / Peanut （4oz; 12x6) + F04059 (Peanut)</t>
  </si>
  <si>
    <t>EN#2102174-7; INV. 032/EXP-POP/IV/19</t>
  </si>
  <si>
    <t>FXLU1750069</t>
  </si>
  <si>
    <t>6/27 PL#5346238</t>
  </si>
  <si>
    <t>EN#2102119-2; INV.#2001004-19; OBL 6/6; gate fee 6/11</t>
  </si>
  <si>
    <t>TEMU6224889</t>
  </si>
  <si>
    <t>Ginger lemon chews 4.4oz</t>
  </si>
  <si>
    <t>6/25 PL#5344287</t>
  </si>
  <si>
    <t>EN#2101874-3;Inv.# 088; OBL 6/6</t>
  </si>
  <si>
    <t>TLLU1064367 BMOU9847364</t>
  </si>
  <si>
    <t>TWW MOON CAKE</t>
  </si>
  <si>
    <t>6/19/19 6/18/19</t>
  </si>
  <si>
    <t>7/2 PL#5346696</t>
  </si>
  <si>
    <t>EN#2102595-3, gate fee 6/11/19</t>
  </si>
  <si>
    <t>EN#9031353 inv.# EXP-POP-AIR-03919V148</t>
  </si>
  <si>
    <t>EITU1060477</t>
  </si>
  <si>
    <t>Ginger Original chews - 
6DB x 12 pouch x 113gr.</t>
  </si>
  <si>
    <t>EN#2101743-0; 084/EXP-POP/IV/2019; OBL 5/21</t>
  </si>
  <si>
    <t>EITU1887819</t>
  </si>
  <si>
    <t xml:space="preserve">Ginger chews - Orange &amp; Mango </t>
  </si>
  <si>
    <t>EN#2101692-9; 029/EXP-POP/IV/19</t>
  </si>
  <si>
    <t>TLLU2266845</t>
  </si>
  <si>
    <t>EN#2102366-9; INV.#150132493</t>
  </si>
  <si>
    <t>TLLU4053772</t>
  </si>
  <si>
    <t>Ginger chews - Orange, Mango, Lychee &amp; Peanut butter (40ct)</t>
  </si>
  <si>
    <t>6/11 PL#5344290</t>
  </si>
  <si>
    <t>EN#2101693-7; 030/EXP-POP/IV/19</t>
  </si>
  <si>
    <t>TLLU1105255</t>
  </si>
  <si>
    <t>GINSENG MACHINE</t>
  </si>
  <si>
    <t>EN#2101849-5</t>
  </si>
  <si>
    <t>GESU5701712</t>
  </si>
  <si>
    <t>Yunnan Baiyao toothpaste</t>
  </si>
  <si>
    <t>6/25 PL#5345980</t>
  </si>
  <si>
    <t>EN#2101848-7; Inv.#YNBYHP0000024; OBL 5/29</t>
  </si>
  <si>
    <t>KKFU7533735</t>
  </si>
  <si>
    <t>EN#2101853-7; INV.# 19NS00307; OBL 5/21</t>
  </si>
  <si>
    <t>TCLU1685052</t>
  </si>
  <si>
    <t>EN#2101809-9;INV.#19NSS0309; OBL 5/21</t>
  </si>
  <si>
    <t>GCXU5022670</t>
  </si>
  <si>
    <t>EN#2101200-1; INV.#2120</t>
  </si>
  <si>
    <t>MSKU1892231</t>
  </si>
  <si>
    <t>6/5 PL#5343114</t>
  </si>
  <si>
    <t>EN#2101491-6; YD18-T22; OBL 5/16; gate fee 5/22</t>
  </si>
  <si>
    <t>TLLU4964038</t>
  </si>
  <si>
    <t>GINGER HONEY CRYSTALS, GHC W/LEMON, GHC w/GINSENG.</t>
  </si>
  <si>
    <t>6/11 PL#5344288</t>
  </si>
  <si>
    <t>EN#2101797-6; INV.#19NS0308; OBL 5/21</t>
  </si>
  <si>
    <t>CMAU0733070</t>
  </si>
  <si>
    <t>Red Panax Ginseng Extractum, GOJI on the Go</t>
  </si>
  <si>
    <t>EN#2101313-2;  2019TAT03;gate fee 5/22</t>
  </si>
  <si>
    <t>TRHU3788066</t>
  </si>
  <si>
    <t>MCVITIES DIGESTIVE (only receives 681 ctns)</t>
  </si>
  <si>
    <t>EN#2101208-4; INV#93725368(order#150132554); gate fee 5/22</t>
  </si>
  <si>
    <t>A858</t>
  </si>
  <si>
    <t>TEA TAG</t>
  </si>
  <si>
    <t>EN#9031177; Inv. 082500000422</t>
  </si>
  <si>
    <t>FCIU5851127</t>
  </si>
  <si>
    <t>EN#2101002-1; INV.#2001001-19; OBL 5/9</t>
  </si>
  <si>
    <t>CAIU7473990</t>
  </si>
  <si>
    <t>GINGER HONEY CRYSTALS, GHC W/LEMON.</t>
  </si>
  <si>
    <r>
      <rPr>
        <rFont val="Arial"/>
        <color theme="1"/>
        <sz val="11.0"/>
      </rPr>
      <t xml:space="preserve">EN#2101054-2; INV.#19NSS0306A; OBL 5/9 ; </t>
    </r>
    <r>
      <rPr>
        <rFont val="Arial"/>
        <color theme="1"/>
        <sz val="11.0"/>
      </rPr>
      <t>DEL. TO RC COMMERCE</t>
    </r>
  </si>
  <si>
    <t>GAOU6243950</t>
  </si>
  <si>
    <t>Ginger chews original (4oz; 12x6)</t>
  </si>
  <si>
    <t>EN#2100407-3; INV.061/EXP/INV/IVI/2019; OBL 5/9</t>
  </si>
  <si>
    <t>TCLU8773263</t>
  </si>
  <si>
    <t>Ginger original chews  6 db x 12 pouch x 113gr. w/lemon chews 40 bags x 124gr.</t>
  </si>
  <si>
    <t>6/11 PL#5344284</t>
  </si>
  <si>
    <t>EN#2101087-2; INV.# 054/EXP/PI/III/2019; OBL 5/9</t>
  </si>
  <si>
    <t>TCKU1711350</t>
  </si>
  <si>
    <t>EN#2100713-4; INV.150132553</t>
  </si>
  <si>
    <t>SEGU1779321</t>
  </si>
  <si>
    <t>POP 3 in1 coffee (Empire Int'l)</t>
  </si>
  <si>
    <t>EN#2100856-1; INV.#EII190000298; OBL 5/14/19</t>
  </si>
  <si>
    <t>MSKU6824965</t>
  </si>
  <si>
    <t>Red Panax Ginseng Extractum, Ultra Ginkgo plus, Ultra Joint health liquid</t>
  </si>
  <si>
    <t>EN#2100242-4; INV. 026/EXP-POP/IV/19 INV#DL-AIT19002</t>
  </si>
  <si>
    <t>DFSU1163346</t>
  </si>
  <si>
    <t>EN#2100531-0; INV.2019TAT02; GATE FEE 5/9/19</t>
  </si>
  <si>
    <t>FCIU7057630</t>
  </si>
  <si>
    <t>Ginger chews :-
Orange / Mango / Lychee / Peanut （4oz; 12x6)</t>
  </si>
  <si>
    <t>EN#2100408-1; INV. 026/EXP-POP/IV/19; LFD 5/21/19</t>
  </si>
  <si>
    <t>TGHU9742013</t>
  </si>
  <si>
    <t>Organic tea</t>
  </si>
  <si>
    <t>EN#2100383-6; INV.#YD18-T21; OBL 4/23</t>
  </si>
  <si>
    <t>TGBU5242872</t>
  </si>
  <si>
    <t xml:space="preserve">GINGER HONEY CRYSTAL w/LEMON </t>
  </si>
  <si>
    <t>EN#2101001-3; 19NSS0305A; OBL 5/6; GATE FEE 5/7</t>
  </si>
  <si>
    <t>HMCU3076566</t>
  </si>
  <si>
    <t>EN#2101203-5; PO#180062</t>
  </si>
  <si>
    <t>MRKU9016526</t>
  </si>
  <si>
    <t>EN#2101487-4; INV.#968612699</t>
  </si>
  <si>
    <t>NYKU3783110</t>
  </si>
  <si>
    <t>EN#2100292-9; INV#93718299(order#150132550); gate fee 5/6</t>
  </si>
  <si>
    <t>KKTU8199397</t>
  </si>
  <si>
    <t>EN#2100409-9; INV#93718300(order#150132552)</t>
  </si>
  <si>
    <t>EITU1803947</t>
  </si>
  <si>
    <t>GINGER ORIGINAL CHEWS 113g/4oz (12x6)</t>
  </si>
  <si>
    <t>EN#2100090-7; Inv.#058/EXP/INV/III/2019; OBL 4/23</t>
  </si>
  <si>
    <t>SEGU6043164</t>
  </si>
  <si>
    <t>GINGER CHEWS - ORIGINAL (4oz; 12x6)</t>
  </si>
  <si>
    <t>EN#2099588-3;INV#048/EXP/PL/III/2019; OBL 4/12</t>
  </si>
  <si>
    <t>PONU0916236</t>
  </si>
  <si>
    <t>HONEY LOQUAT CANDY</t>
  </si>
  <si>
    <t>EN#2100285-3; T/R</t>
  </si>
  <si>
    <t>ZHONGSHAN</t>
  </si>
  <si>
    <t>HDMU6852480</t>
  </si>
  <si>
    <t>GINGER HONEY CRYSTALS,</t>
  </si>
  <si>
    <t>EN#2100252-3; 19NSS0304A; OBL 4/23</t>
  </si>
  <si>
    <t>MSKU1944145</t>
  </si>
  <si>
    <t>EN#2100284-6; INV#2119</t>
  </si>
  <si>
    <t>EGHU9010595</t>
  </si>
  <si>
    <t>Ginger original chews 113GR/4oz (12x6). Lemon chews 124GR/4.4 oz.(40ct)</t>
  </si>
  <si>
    <t>EN#2100019-6; 056/EXP/PL/III/2019; OBL 4/23</t>
  </si>
  <si>
    <t>TCLU4189610</t>
  </si>
  <si>
    <r>
      <rPr>
        <rFont val="Arial"/>
        <color rgb="FF202124"/>
        <sz val="11.0"/>
      </rPr>
      <t xml:space="preserve">EN#2099794-7; DL-AIT19001;OBL 4/10; gate fee 4/23; </t>
    </r>
    <r>
      <rPr>
        <rFont val="Arial"/>
        <color rgb="FF000000"/>
        <sz val="11.0"/>
      </rPr>
      <t>FDA exam/sample required</t>
    </r>
  </si>
  <si>
    <t>SEGU3139051</t>
  </si>
  <si>
    <t>EN#2001002-19; OBL 4/19; GATE FEE 4/24; FDA exam/sample required on 5/10</t>
  </si>
  <si>
    <t>BMOU4710949</t>
  </si>
  <si>
    <t>EN#2100530-2; INV.#KI-POP02-19; OBL 4/22</t>
  </si>
  <si>
    <t>FCIU5358213</t>
  </si>
  <si>
    <t>Korean Ginseng Tea</t>
  </si>
  <si>
    <t>EN#2100518-7; OBL 4/19
INV. KB190405; gate fee 4/19</t>
  </si>
  <si>
    <t>TGBU6557067</t>
  </si>
  <si>
    <t>EN#2100089-9; 19NSS0304; OBL 4/17</t>
  </si>
  <si>
    <t>DFSU2803807</t>
  </si>
  <si>
    <t>EN#2099349-0; 2001003-19; OBL 3/29</t>
  </si>
  <si>
    <t>AIR - LH8431</t>
  </si>
  <si>
    <t>5/6 PL#5340251</t>
  </si>
  <si>
    <t>EN#9030907-2; Inv# CZ19S012</t>
  </si>
  <si>
    <t>MSKU0043944</t>
  </si>
  <si>
    <t>TS</t>
  </si>
  <si>
    <t>EN#2099693-1; INV.#YD18-T20; OBL 4/10; GATE FEE 4/12</t>
  </si>
  <si>
    <t>TEMU1508352</t>
  </si>
  <si>
    <t>EN#2100410-7; Order#150132551(LIVSX6879756)</t>
  </si>
  <si>
    <t>HMCU9062359</t>
  </si>
  <si>
    <t>Ginger chew :-
Orange / Mango / Lychee / Peanut (4oz; 12x6)</t>
  </si>
  <si>
    <t>EN#2099361-5; 
INV. 019/EXP-POP/III/19; shipment released on 4/22</t>
  </si>
  <si>
    <t>EGHU3427370</t>
  </si>
  <si>
    <t>EN#2099555-2; 
PI# 2018200494; OBL 3/29</t>
  </si>
  <si>
    <t>CXDU2394162</t>
  </si>
  <si>
    <t>EN#2099306-0; 19NSS0303; OBL 3/29</t>
  </si>
  <si>
    <t>MSKU7444070</t>
  </si>
  <si>
    <t>Panax Ginseng Extractum Oral Liquid</t>
  </si>
  <si>
    <t>EN#2099026-4; 2019TAT01; T/R; LFD 4/16</t>
  </si>
  <si>
    <t>CAIU8246796</t>
  </si>
  <si>
    <t>EN#2099598-2; 19NSS0305;OBL direct send from banker 4/4/19;gate fee 4/10/19</t>
  </si>
  <si>
    <t>DRYU9441479</t>
  </si>
  <si>
    <t xml:space="preserve">Ginger chews :- 
Orange / Mango / Lychee / Peanut(4oz;12x6) </t>
  </si>
  <si>
    <t>EN# 2099336-7;
INV. 017/EXP-POP/III/19</t>
  </si>
  <si>
    <t>MNBU0178362</t>
  </si>
  <si>
    <t>Loacker</t>
  </si>
  <si>
    <t>Kuehne + Nagel (To Door )</t>
  </si>
  <si>
    <t>MRKU0056390</t>
  </si>
  <si>
    <t>EN#2099300-3; INV. 2117</t>
  </si>
  <si>
    <t>KKFU7698566</t>
  </si>
  <si>
    <t>EN#2099036-3; 19NSS0306; OBL 3/29</t>
  </si>
  <si>
    <t>CSLU1900550</t>
  </si>
  <si>
    <t>EN#2098936-5; 2001030-18; OBL 3/18; gate fee 4/2</t>
  </si>
  <si>
    <t>EMCU5251515</t>
  </si>
  <si>
    <t>AM GSG RT-ALUM FOIL &amp; TAG</t>
  </si>
  <si>
    <t>EN#2099485-2; 
CFS - BOL SURRENDERED</t>
  </si>
  <si>
    <t>EMCU9848751</t>
  </si>
  <si>
    <t>EN#2098365-7; INV#30;       OBL 3/7</t>
  </si>
  <si>
    <t>MRKU2283599</t>
  </si>
  <si>
    <t>EN#2098754-2; INVOICE#2115</t>
  </si>
  <si>
    <t>MAGU5490332</t>
  </si>
  <si>
    <t>Ginger original chews 4oz, Ginger lemon chews 4.4oz</t>
  </si>
  <si>
    <t>EN#2098188-3; INV#024;     OBL 2/27</t>
  </si>
  <si>
    <t>EITU1000349</t>
  </si>
  <si>
    <t>Ginger original chews 8oz</t>
  </si>
  <si>
    <t>EN#2098366-5; INV#31; OBL 3/7</t>
  </si>
  <si>
    <t>BMOU9229936</t>
  </si>
  <si>
    <t>AM GSG Extracts</t>
  </si>
  <si>
    <t>EN#2098956-3;  inv.# 2116</t>
  </si>
  <si>
    <t>TGBU6337252</t>
  </si>
  <si>
    <t>Red Panax Ginseng, Ultra Ginkgo Plus, American Ginseng with Royal JellY, Ultra Joint Health liquid</t>
  </si>
  <si>
    <t>EN#2098103-2; 2001029-18 (D/A); OBL 3/8;gate fee 3/14</t>
  </si>
  <si>
    <t>APHU6804002</t>
  </si>
  <si>
    <t>EN#2098771-6; INV#19NSS0301; OBL 3/14</t>
  </si>
  <si>
    <t>TTNU4885901</t>
  </si>
  <si>
    <t>GINGER HONEY CRYSTALS, W/LEMON &amp; W/PLUM</t>
  </si>
  <si>
    <t>EN#2098440-8; INV#18NSS0334; OBL 3/8</t>
  </si>
  <si>
    <t>FBIU0310914</t>
  </si>
  <si>
    <t>4/2 PL#5336011</t>
  </si>
  <si>
    <t>EN#2098329-3; INV#93699225; gate fee 3/13</t>
  </si>
  <si>
    <t>TCLU1229710</t>
  </si>
  <si>
    <t>HONEY LOQUAT PASTILLES</t>
  </si>
  <si>
    <t>EN#2098753-4; CUSTOMS X-RAY EXAM</t>
  </si>
  <si>
    <t>BMOU5793758</t>
  </si>
  <si>
    <t>Ginger original chews 4oz, 
Lemon chews 4.4oz</t>
  </si>
  <si>
    <t>EN# 2098189-1; INV# 026; OBL 2/27</t>
  </si>
  <si>
    <t>SUDU8531070</t>
  </si>
  <si>
    <t>Organic Green Tea / Organic Oolong Tea / Green Tea / Jasmine Tea</t>
  </si>
  <si>
    <t>EN#2097817-8; YD18-T19; OBL 2/27</t>
  </si>
  <si>
    <t>UETU2163858</t>
  </si>
  <si>
    <t>EN# 2098052-1; 2001027-18; OBL 2/21</t>
  </si>
  <si>
    <t>HDMU6503200</t>
  </si>
  <si>
    <t xml:space="preserve">EN# 2098331-9; Customs released </t>
  </si>
  <si>
    <t>HLXU6570764</t>
  </si>
  <si>
    <t>Kuehne + Nagel  (To Door )</t>
  </si>
  <si>
    <t>UAEU1237265</t>
  </si>
  <si>
    <t>MRKU0195230</t>
  </si>
  <si>
    <t xml:space="preserve">Red Panax Ginseng, Ultra Ginkgo Plus, American Ginseng with Royal JellY, Ultra Joint Health liquid </t>
  </si>
  <si>
    <t>EN#2097452-4; 2001028-18; OBL 2/12/19</t>
  </si>
  <si>
    <t>BEAU2132596</t>
  </si>
  <si>
    <t>EN#2098136-2; PO#180103</t>
  </si>
  <si>
    <t>TRLU7525868</t>
  </si>
  <si>
    <t>SOUP BAGS / BOOKS / EVA FOAM</t>
  </si>
  <si>
    <t>EN#2098049-7; gate fee 2/20</t>
  </si>
  <si>
    <t>CAIU6028769</t>
  </si>
  <si>
    <t>Instant Tea Chinese Herbal Formula (Bulk) / AM Gsg Instant Tea / Instant Wild AM Gsg Tea</t>
  </si>
  <si>
    <t>EN#2097250-2; 2001026-18; OBL 2/12/19; gate fee 2/19</t>
  </si>
  <si>
    <t>TCLU7819570</t>
  </si>
  <si>
    <t>Ginger Honey crystals</t>
  </si>
  <si>
    <t>3/4 PL#5332226</t>
  </si>
  <si>
    <t>EN#2097754-3; 19NSS0302; OBL 2/15; gate fee 2/19</t>
  </si>
  <si>
    <t>EITU1700553</t>
  </si>
  <si>
    <t>Ginger original chews 4.4oz, Ginger lemon chews 4.4oz</t>
  </si>
  <si>
    <t>EN#2095800-6; OBL 2/7/19</t>
  </si>
  <si>
    <t>MSKU7538539</t>
  </si>
  <si>
    <t>MCVITICS COOKIES</t>
  </si>
  <si>
    <t>EN#2098328-5;                      INV# 93698356</t>
  </si>
  <si>
    <t>HDMU6868173</t>
  </si>
  <si>
    <t>EN#2096999-5; OBL 2/12/19</t>
  </si>
  <si>
    <t>OOLU6821103</t>
  </si>
  <si>
    <t xml:space="preserve">Organic - Green tea, Jasmine tea, Black tea. </t>
  </si>
  <si>
    <t>EN#2097013-4; 18TM055; OBL 2/5/19</t>
  </si>
  <si>
    <t>TEMU0235150</t>
  </si>
  <si>
    <t>EN#2097323-7, OBL 2/7/19</t>
  </si>
  <si>
    <t>NYKU4872823</t>
  </si>
  <si>
    <t>EN#2097014-2; 18NSS0333; OBL 1/31</t>
  </si>
  <si>
    <t>BMOU4871727</t>
  </si>
  <si>
    <t>Ginger chews-orange and mango 3 oz</t>
  </si>
  <si>
    <t>EN#2096360-0; T/R</t>
  </si>
  <si>
    <t>CBHU4479423</t>
  </si>
  <si>
    <t>EN#2096356-8, 2001025-18; OBL 1/21</t>
  </si>
  <si>
    <t>BMOU5011186</t>
  </si>
  <si>
    <t>Ginger original chews 4.4 oz, Ginger lemon chews 4.4oz</t>
  </si>
  <si>
    <t>EN#2095801-4; OBL 1/9</t>
  </si>
  <si>
    <t>FDCU0554110</t>
  </si>
  <si>
    <t>EN#2096633-0; 18NSS0332; OBL 1/31</t>
  </si>
  <si>
    <t>TCNU1682322</t>
  </si>
  <si>
    <t>Ginger chews - orange and mango 3 oz</t>
  </si>
  <si>
    <t xml:space="preserve">EN#2096359-2; T/R,  </t>
  </si>
  <si>
    <t>HDMU4643727</t>
  </si>
  <si>
    <t>Red Panax Ginseng Extractum, Ultra Ginkgo Plus with Eleuthero &amp; Tibetan Rhodiola, American Ginseng with Royal Jelly &amp; Bee Pollen, Ultra Joint Health liquid Extract</t>
  </si>
  <si>
    <t>EN#2095745-3, 2001023-18; OBL 1/17;gate fee paid 1/24</t>
  </si>
  <si>
    <t>TRHU2164105</t>
  </si>
  <si>
    <t>Red GSG Royal Jelly</t>
  </si>
  <si>
    <t>EN#2096107-5; 2018TAT09 gate fee paid 1/24</t>
  </si>
  <si>
    <t>TLLU5477190</t>
  </si>
  <si>
    <t>EN#2096355-0; 18NSS0331; Bank Doc Sent 1/11; OBL 1/21</t>
  </si>
  <si>
    <t>99 ctns + 646 pcs. (TL 7 PLTS)</t>
  </si>
  <si>
    <t>GEMC180281 (FCIU9358886)</t>
  </si>
  <si>
    <t>Dragon Well Green Tea / Pi Lunchun Green Tea / Jasmine Green Tea / Pearl Jasmine Green Tea / Oolong Tea / Ti Kuan Yin Tea / Pu-Erh Black Tea BULK</t>
  </si>
  <si>
    <t>EN#2096825-2; 18TM058; OBL 1/30</t>
  </si>
  <si>
    <t>SUDU8621826</t>
  </si>
  <si>
    <t xml:space="preserve">Organic Green Tea / Organic Oolong Tea / Ti Kuan Yin Tea / Pu-Erh Tea </t>
  </si>
  <si>
    <t>EN#2096066-3; YD18-T17; OBL 1/17</t>
  </si>
  <si>
    <t>FCIU9319811</t>
  </si>
  <si>
    <t>Ginger original chews, ginger lemon chews</t>
  </si>
  <si>
    <t>EN#2095799-0; OBL 1/9</t>
  </si>
  <si>
    <t>CSNU1021219</t>
  </si>
  <si>
    <t xml:space="preserve">Am Ginseng Instant Tea / Instant Wild Am Ginseng Tea/P-BLG-B </t>
  </si>
  <si>
    <t>2/14 PL#5330429</t>
  </si>
  <si>
    <t>EN#2096065-5; 2001024-18; OBL 1/21;gate fee paid 1/24</t>
  </si>
  <si>
    <t>HMMU2024059</t>
  </si>
  <si>
    <t>Korean Ginseng Tea, Young Ji Tea</t>
  </si>
  <si>
    <t>EN#2096677-7 OBL 1/21</t>
  </si>
  <si>
    <t>TTNU8540404</t>
  </si>
  <si>
    <t>Cheezheng</t>
  </si>
  <si>
    <t>EN#2096056-4; Express Release</t>
  </si>
  <si>
    <t>NYKU0722912</t>
  </si>
  <si>
    <t>Ginger Honey Crystals, Ginger Honey crystals with lemon, Ginger honey crystals with American ginseng</t>
  </si>
  <si>
    <t>EN#2095979-8; 18NSS0330; OBL 1/9</t>
  </si>
  <si>
    <t>MSKU6395351</t>
  </si>
  <si>
    <t>Red Panax Ginseng Extractum, Ultra Ginkgo Plus with Eleuthero &amp; Tibetan Rhodiola, American Ginseng with Royal Jelly &amp; Bee Pollen</t>
  </si>
  <si>
    <t>EN# 2095296-7; 2001022-18 OBL 1/11</t>
  </si>
  <si>
    <t>MRKU5014844</t>
  </si>
  <si>
    <t xml:space="preserve">Organic Green Tea / Organic Oolong Tea / Green Tea / White Tea </t>
  </si>
  <si>
    <t>EN#2095198-5; YD18-T15; OBL 12/18</t>
  </si>
  <si>
    <t>OOLU6469693</t>
  </si>
  <si>
    <t>Seirogan pills</t>
  </si>
  <si>
    <t>EN#2095596-0; OBL 1/9</t>
  </si>
  <si>
    <t>HDMU2734685</t>
  </si>
  <si>
    <t>Korean Ginseng, Young Ji Tea</t>
  </si>
  <si>
    <t xml:space="preserve">EN#2095802-2; OBL 1/9; $150 surcharge due to serve congestion </t>
  </si>
  <si>
    <t>TLLU5674481</t>
  </si>
  <si>
    <t xml:space="preserve">EN#2095599-4;18NSS0326A; OBL 1/9 ;APM terminal Termal Congestion </t>
  </si>
  <si>
    <t>GLDU9995519</t>
  </si>
  <si>
    <t>EN#2095703-2, 18NSS0330A; OBL 1/9</t>
  </si>
  <si>
    <t>EISU9273238</t>
  </si>
  <si>
    <t>Ginger Chews / Lemon Chews</t>
  </si>
  <si>
    <t>EN#2094860-1, OBL 12/18</t>
  </si>
  <si>
    <t>TCNU5064615</t>
  </si>
  <si>
    <t>Organic Green Tea/Organic Oolong Tea/Organic White Tea/Green Tea/Pu-Erh Tea/</t>
  </si>
  <si>
    <t>EN#2095595-2, YD18-T16, OBL 1/2/19</t>
  </si>
  <si>
    <t>KKTU8169828</t>
  </si>
  <si>
    <t>Am Ginseng Instant Tea / Instant Wild Am Ginseng Tea</t>
  </si>
  <si>
    <t>EN#2094367-7; 2001020-18; OBL 12/18</t>
  </si>
  <si>
    <t>6PLTS</t>
  </si>
  <si>
    <t>FBIU0043130</t>
  </si>
  <si>
    <t>Ultra-strength Ointment 18 g &amp; Ultra-Strength Ointment 10g</t>
  </si>
  <si>
    <t>YES</t>
  </si>
  <si>
    <t>EN#2125203,INV#PI20-84; PO#35029,OBL12/10，GATEFEE PAID 12/22</t>
  </si>
  <si>
    <t>19PLTS</t>
  </si>
  <si>
    <t>NYKU4107280</t>
  </si>
  <si>
    <r>
      <rPr>
        <rFont val="Arial"/>
        <color theme="1"/>
        <sz val="11.0"/>
      </rPr>
      <t xml:space="preserve">RED 18g,  WHT 18g,Ultra-strength Ointment 18 g &amp; </t>
    </r>
    <r>
      <rPr>
        <rFont val="Arial"/>
        <color theme="1"/>
        <sz val="11.0"/>
      </rPr>
      <t>Ultra-Strength Ointment 10g</t>
    </r>
  </si>
  <si>
    <t>EN#2124282, INV#PI20-75 &amp; PI20-92; PO#34950,OBL11/17</t>
  </si>
  <si>
    <t>14PLTS</t>
  </si>
  <si>
    <t>BSIU3117528</t>
  </si>
  <si>
    <r>
      <rPr>
        <rFont val="Arial"/>
        <color theme="1"/>
        <sz val="11.0"/>
      </rPr>
      <t xml:space="preserve">PATCH, </t>
    </r>
    <r>
      <rPr>
        <rFont val="Arial"/>
        <color theme="1"/>
        <sz val="11.0"/>
      </rPr>
      <t>PATCH 1s</t>
    </r>
    <r>
      <rPr>
        <rFont val="Arial"/>
        <color theme="1"/>
        <sz val="11.0"/>
      </rPr>
      <t>,</t>
    </r>
    <r>
      <rPr>
        <rFont val="Arial"/>
        <color theme="1"/>
        <sz val="11.0"/>
      </rPr>
      <t xml:space="preserve"> KLO 57ML</t>
    </r>
  </si>
  <si>
    <t>EN#2124281, INV#PI20-72 &amp; PI20-77; PO#34952,OBL11/16,,GATEFEE 12/9</t>
  </si>
  <si>
    <t>7PLTS</t>
  </si>
  <si>
    <t>CICU1683103</t>
  </si>
  <si>
    <t>WHT 18g,Ultra-strength Ointment 18 g &amp; Ultra-Strength Ointment 10g</t>
  </si>
  <si>
    <t>EN#2125202,INV#PI20-84; PO#35028,OBL12/7</t>
  </si>
  <si>
    <t>OOCU4863720</t>
  </si>
  <si>
    <t>EN#2124378, INV#PI20-79; PO#34944; T/R</t>
  </si>
  <si>
    <t>9PLTS</t>
  </si>
  <si>
    <t>OOLU0209024</t>
  </si>
  <si>
    <r>
      <rPr>
        <rFont val="Arial"/>
        <color theme="1"/>
        <sz val="11.0"/>
      </rPr>
      <t>LINIMENT 57 ML</t>
    </r>
    <r>
      <rPr>
        <rFont val="Arial"/>
        <color theme="1"/>
        <sz val="11.0"/>
      </rPr>
      <t xml:space="preserve"> &amp; </t>
    </r>
    <r>
      <rPr>
        <rFont val="Arial"/>
        <color theme="1"/>
        <sz val="11.0"/>
      </rPr>
      <t>KLO 57ML</t>
    </r>
  </si>
  <si>
    <t>EN#2124210, INV# PI20-76 &amp; PI20-77; PO#34951,OBL11/17</t>
  </si>
  <si>
    <t>8PLTS</t>
  </si>
  <si>
    <t>CMAU7612527</t>
  </si>
  <si>
    <t xml:space="preserve">Ultra-Strength Ointment 10g </t>
  </si>
  <si>
    <t>EN#2124375, INV# PI20-90 &amp; PI20-92; PO#34972, document arriaved 11/13 vis DHL,OBL11/16</t>
  </si>
  <si>
    <t>65 PLTS</t>
  </si>
  <si>
    <t>BMOU3092471 CMAU9139100</t>
  </si>
  <si>
    <t>PATCH, PATCH 1s, LINIMENT 57ML, KLO 57ML</t>
  </si>
  <si>
    <t>EN#2124154  , INV#PI20-72, PI20-76 &amp; PI20-77; PO#34949,OBL 11/16</t>
  </si>
  <si>
    <t>CICU1686740</t>
  </si>
  <si>
    <r>
      <rPr>
        <rFont val="Arial"/>
        <color theme="1"/>
        <sz val="11.0"/>
      </rPr>
      <t xml:space="preserve">Ultra-strength Ointment 18 g &amp; </t>
    </r>
    <r>
      <rPr>
        <rFont val="Arial"/>
        <color theme="1"/>
        <sz val="11.0"/>
      </rPr>
      <t>Ultra-Strength Ointment 10g</t>
    </r>
  </si>
  <si>
    <t>EN#2124377,INV#PI20-75; PO#34979,OBL11/20,GATEFEE 12/1</t>
  </si>
  <si>
    <t>11PLTS</t>
  </si>
  <si>
    <t>GVTU2419832</t>
  </si>
  <si>
    <t>EN#2123059. INV#PI20-89; PO#34862; T/R</t>
  </si>
  <si>
    <t>15PLTS</t>
  </si>
  <si>
    <t>TCKU7354727</t>
  </si>
  <si>
    <r>
      <rPr>
        <rFont val="Arial"/>
        <color theme="1"/>
        <sz val="11.0"/>
      </rPr>
      <t xml:space="preserve">Red 18g, White 18g, Ultra-strength Ointment 18 g &amp; </t>
    </r>
    <r>
      <rPr>
        <rFont val="Arial"/>
        <color theme="1"/>
        <sz val="11.0"/>
      </rPr>
      <t>Ultra-Strength Ointment 10g</t>
    </r>
  </si>
  <si>
    <t>EN#2122563,INV#PI20-68; PO#34832,OBL10/13</t>
  </si>
  <si>
    <t>7PLTS (LCL)</t>
  </si>
  <si>
    <t>NYKU4632099</t>
  </si>
  <si>
    <r>
      <rPr>
        <rFont val="Arial"/>
        <color theme="1"/>
        <sz val="11.0"/>
      </rPr>
      <t>LINIMENT 57 ML,</t>
    </r>
    <r>
      <rPr>
        <rFont val="Arial"/>
        <color theme="1"/>
        <sz val="11.0"/>
      </rPr>
      <t xml:space="preserve"> KLO 57ML,</t>
    </r>
    <r>
      <rPr>
        <rFont val="Arial"/>
        <color theme="1"/>
        <sz val="11.0"/>
      </rPr>
      <t xml:space="preserve">  KLO 28ML</t>
    </r>
  </si>
  <si>
    <t>EN#2122428,INV#PI20-70 &amp; PI20-71; PO#34824,OBL 10/6</t>
  </si>
  <si>
    <t>13PLTS</t>
  </si>
  <si>
    <t>CMAU2021856</t>
  </si>
  <si>
    <r>
      <rPr>
        <rFont val="Arial"/>
        <color theme="1"/>
        <sz val="11.0"/>
      </rPr>
      <t xml:space="preserve"> LINIMENT 57 ML,KLO 57 ML, </t>
    </r>
    <r>
      <rPr>
        <rFont val="Arial"/>
        <color theme="1"/>
        <sz val="11.0"/>
      </rPr>
      <t>KLO 28ML</t>
    </r>
  </si>
  <si>
    <t>EN#2122529,INV#PI20-70 &amp; PI20-71; PO#34844,OBL10/13</t>
  </si>
  <si>
    <t>5PLTS</t>
  </si>
  <si>
    <t>FCIU7555628</t>
  </si>
  <si>
    <t>RED 4g, Ultra-strength Ointment 50g</t>
  </si>
  <si>
    <t>EN#2122555,INV#PI20-69; PO#34821,OBL10/6</t>
  </si>
  <si>
    <t>12PLTS</t>
  </si>
  <si>
    <t>FCIU9290467</t>
  </si>
  <si>
    <t>EN#2122059  ,INV# PI20-65; PO#34797; T/R</t>
  </si>
  <si>
    <t>5PLTS
(LCL)</t>
  </si>
  <si>
    <t xml:space="preserve">TTNU8442898 </t>
  </si>
  <si>
    <r>
      <rPr>
        <rFont val="Arial"/>
        <color theme="1"/>
        <sz val="11.0"/>
      </rPr>
      <t xml:space="preserve">RED 4g, WHT 4g, </t>
    </r>
    <r>
      <rPr>
        <rFont val="Arial"/>
        <color theme="1"/>
        <sz val="11.0"/>
      </rPr>
      <t>Ultra-strength Ointment 50g</t>
    </r>
  </si>
  <si>
    <t>EN#2122556 ,INV#PI20-69 &amp; PI20-73; PO#34822,OBL10/6</t>
  </si>
  <si>
    <t>OOLU1451731</t>
  </si>
  <si>
    <r>
      <rPr>
        <rFont val="Arial"/>
        <color theme="1"/>
        <sz val="11.0"/>
      </rPr>
      <t xml:space="preserve"> LINIMENT 57 ML,</t>
    </r>
    <r>
      <rPr>
        <rFont val="Arial"/>
        <color theme="1"/>
        <sz val="11.0"/>
      </rPr>
      <t>KLO 57 ML</t>
    </r>
    <r>
      <rPr>
        <rFont val="Arial"/>
        <color theme="1"/>
        <sz val="11.0"/>
      </rPr>
      <t>, KLO 28ML</t>
    </r>
  </si>
  <si>
    <t>EN#2122394,INV#PI20-70 &amp; PI20-71; PO#34800,OBL10/6，due to port congestion 10/22didnot pickup</t>
  </si>
  <si>
    <t>3PLTS
(LCL)</t>
  </si>
  <si>
    <t>TGHU9949090</t>
  </si>
  <si>
    <t>RED 18g, Ultra-strength Ointment 18 g</t>
  </si>
  <si>
    <t>EN#2122562,INV#PI20-68; PO#34831,OBL10/7</t>
  </si>
  <si>
    <r>
      <rPr>
        <rFont val="Arial"/>
        <color theme="1"/>
        <sz val="11.0"/>
      </rPr>
      <t xml:space="preserve">RED 18g,  Ultra-strength Ointment 18 g &amp; </t>
    </r>
    <r>
      <rPr>
        <rFont val="Arial"/>
        <color theme="1"/>
        <sz val="11.0"/>
      </rPr>
      <t>Ultra-Strength Ointment 10g</t>
    </r>
  </si>
  <si>
    <t>EN#2122564,INV#PI20-68; PO#34830,OBL10/7</t>
  </si>
  <si>
    <t>18PLTS</t>
  </si>
  <si>
    <t>CAIU9523684</t>
  </si>
  <si>
    <r>
      <rPr>
        <rFont val="Arial"/>
        <color theme="1"/>
        <sz val="11.0"/>
      </rPr>
      <t xml:space="preserve">RED 18g,  Ultra-strength Ointment 18g (Reg &amp; RFID), </t>
    </r>
    <r>
      <rPr>
        <rFont val="Arial"/>
        <color theme="1"/>
        <sz val="11.0"/>
      </rPr>
      <t>Ultra-Strength Ointment 10g</t>
    </r>
  </si>
  <si>
    <t>EN#2121381, INV#PI20-61; PO#34730,OBL9/23</t>
  </si>
  <si>
    <t xml:space="preserve">CAIU5511999 </t>
  </si>
  <si>
    <r>
      <rPr>
        <rFont val="Arial"/>
        <color theme="1"/>
        <sz val="11.0"/>
      </rPr>
      <t xml:space="preserve">RED 4g, WHT 4g, </t>
    </r>
    <r>
      <rPr>
        <rFont val="Arial"/>
        <color theme="1"/>
        <sz val="11.0"/>
      </rPr>
      <t>Ultra-strength Ointment 50g</t>
    </r>
  </si>
  <si>
    <t>EN#2121319,INV#PI20-62; PO#34724,OBL9/9</t>
  </si>
  <si>
    <r>
      <rPr>
        <rFont val="Arial"/>
        <color theme="1"/>
        <sz val="11.0"/>
      </rPr>
      <t>RED 4g,</t>
    </r>
    <r>
      <rPr>
        <rFont val="Arial"/>
        <color theme="1"/>
        <sz val="11.0"/>
      </rPr>
      <t xml:space="preserve"> WHT 4g, Ultra-strength Ointment 50g</t>
    </r>
  </si>
  <si>
    <t>EN#2121320,INV#PI20-62; PO#34725,OBL9/9</t>
  </si>
  <si>
    <t>93PLTS</t>
  </si>
  <si>
    <t>TGHU4224454, TTNU5614118, TRLU6541360</t>
  </si>
  <si>
    <t>PATCH, KLO 28ML</t>
  </si>
  <si>
    <t>EN#2121797-2,INV#PI20-52, PI20-59 &amp; PI20-64; PO#34742,OBL9/23</t>
  </si>
  <si>
    <t>TRHU1728601</t>
  </si>
  <si>
    <t>EN#2121612,INV#PI20-61; PO#34741，OBL9/16.GATEFEE9/21</t>
  </si>
  <si>
    <t>OOLU0671829</t>
  </si>
  <si>
    <t>NECK &amp; SHOULDER RUB</t>
  </si>
  <si>
    <t>EN#2121069-6,INV#PI20-60; PO#34729,OBL9/9</t>
  </si>
  <si>
    <t>30PLTS</t>
  </si>
  <si>
    <t>MSCU5970478</t>
  </si>
  <si>
    <r>
      <rPr>
        <rFont val="Arial"/>
        <color theme="1"/>
        <sz val="11.0"/>
      </rPr>
      <t xml:space="preserve">PATCH, </t>
    </r>
    <r>
      <rPr>
        <rFont val="Arial"/>
        <color theme="1"/>
        <sz val="11.0"/>
      </rPr>
      <t>LINIMENT 57 ML</t>
    </r>
  </si>
  <si>
    <t>EN#2121317 , INV# PI20-59 &amp; PI20-63; PO#34726,OBL9/9</t>
  </si>
  <si>
    <t>TCNU1904348</t>
  </si>
  <si>
    <t>Ointment 50 g</t>
  </si>
  <si>
    <t>EN#2121318 ,INV#PI20-62; PO#34728,OBL9/9</t>
  </si>
  <si>
    <t>TCNU5992898</t>
  </si>
  <si>
    <r>
      <rPr>
        <rFont val="Arial"/>
        <color theme="1"/>
        <sz val="11.0"/>
      </rPr>
      <t xml:space="preserve">RED 18g, WHITE 18g. Ultra-strength Ointment 18g, </t>
    </r>
    <r>
      <rPr>
        <rFont val="Arial"/>
        <color theme="1"/>
        <sz val="11.0"/>
      </rPr>
      <t>Ultra-strength Ointment 10g</t>
    </r>
  </si>
  <si>
    <t>EN#2121615 ,INV# PI20-61; PO#34740.OBL9/16</t>
  </si>
  <si>
    <t>KKFU8057470, NYKU0724957</t>
  </si>
  <si>
    <t>RED 18g, WHITE 18g. Ultra-strength Ointment 18 g</t>
  </si>
  <si>
    <t>EN#2120215-6,INV#PI20-50 &amp; PI20-55; PO#34658,OBL8/19</t>
  </si>
  <si>
    <t>28PLTS</t>
  </si>
  <si>
    <t>CCLU4891662, CCLU5262181</t>
  </si>
  <si>
    <r>
      <rPr>
        <rFont val="Arial"/>
        <color theme="1"/>
        <sz val="11.0"/>
      </rPr>
      <t xml:space="preserve">KLO 28ML,57ML,PATCH, </t>
    </r>
    <r>
      <rPr>
        <rFont val="Arial"/>
        <color theme="1"/>
        <sz val="11.0"/>
      </rPr>
      <t>LINIMENT 57 ML</t>
    </r>
  </si>
  <si>
    <t>EN#2120309-7,INV#PI20-42, PI20-49 &amp; PI20-58; PO#34634,OBL8/14,GATEFEE8/31</t>
  </si>
  <si>
    <t>20PLTS</t>
  </si>
  <si>
    <t>GCXU5027476</t>
  </si>
  <si>
    <t>RED 4g, WHT 4g, Ultra-strength Ointment 50 g, ACTIVE RUB</t>
  </si>
  <si>
    <t>EN#2120091,INV#PI20-46, PI20-51 &amp; PI20-56; PO#34633,OBL8/14</t>
  </si>
  <si>
    <t>53PLTS</t>
  </si>
  <si>
    <t>OOCU5018472, CCLU4776680</t>
  </si>
  <si>
    <r>
      <rPr>
        <rFont val="Arial"/>
        <color theme="1"/>
        <sz val="11.0"/>
      </rPr>
      <t xml:space="preserve">KLO 28ML,57ML,PATCH, PATCH 1'S, </t>
    </r>
    <r>
      <rPr>
        <rFont val="Arial"/>
        <color theme="1"/>
        <sz val="11.0"/>
      </rPr>
      <t>LINIMENT 57 ML</t>
    </r>
  </si>
  <si>
    <t>EN#2120224-8,INV#PI20-44, PI20-49, PI20-57 &amp; PI20-58; PO#34657，OBL8/19</t>
  </si>
  <si>
    <t>138PLTS</t>
  </si>
  <si>
    <t>AXIU4331744, APZU4447233, APZU4390462, CMAU8164432, CMAU9105028</t>
  </si>
  <si>
    <t>KLO 28ML, KLO 57ML, PATCH, PATCH 1'S, LINIMENT 57ML</t>
  </si>
  <si>
    <t>9/4/2020
9/3/2020</t>
  </si>
  <si>
    <t>EN#2120146-3,INV#PI20-34, PI20-43, PI20-44 &amp; PI20-58; PO#34632,OBL8/14</t>
  </si>
  <si>
    <t>4PLTS
(LCL)</t>
  </si>
  <si>
    <t>BMOU6186764</t>
  </si>
  <si>
    <t xml:space="preserve"> Ultra-strength Ointment 50 g</t>
  </si>
  <si>
    <t>Yes(M200285)</t>
  </si>
  <si>
    <t>EN#2120086,INV# PI20-51; PO#34609,OBL 8/11</t>
  </si>
  <si>
    <t>UACU8340679</t>
  </si>
  <si>
    <t>EN#2119725 ;INV#PI20-45; PO#34572; T/R</t>
  </si>
  <si>
    <t>NYKU5808900</t>
  </si>
  <si>
    <t>EN#2120026-7;INV#PI20-50 &amp; PI20-55; PO#34656,GATEFEE8/11,OBL8/11</t>
  </si>
  <si>
    <t>TCLU6941861</t>
  </si>
  <si>
    <t>EN#2120089 ,INV#PI20-50 &amp; PI20-55; PO#34655,OBL8/10</t>
  </si>
  <si>
    <t>KOCU2075598</t>
  </si>
  <si>
    <t>EN#2119538 ;INV#PI20-38; PO#34558,OBL7/30,GATEFEE8/7</t>
  </si>
  <si>
    <t>54 PLTS</t>
  </si>
  <si>
    <t>FDCU0385622, FFAU1474326, KKFU7769166</t>
  </si>
  <si>
    <t>8/14/20
8/13/20
8/13/20</t>
  </si>
  <si>
    <t>EN#2119045 ,INV#PI20-40 &amp; PI20-47; PO#34529,OBL 7/30</t>
  </si>
  <si>
    <t>HDMU4776139</t>
  </si>
  <si>
    <r>
      <rPr>
        <rFont val="Arial"/>
        <color theme="1"/>
        <sz val="11.0"/>
      </rPr>
      <t xml:space="preserve">RED 4g, WHT 4g. </t>
    </r>
    <r>
      <rPr>
        <rFont val="Arial"/>
        <color theme="1"/>
        <sz val="11.0"/>
      </rPr>
      <t xml:space="preserve">Ultra-strength Ointment 50g </t>
    </r>
  </si>
  <si>
    <t>EN#2118989,INV#PI20-41 &amp; PI20-48; PO#34525,OBL7/15</t>
  </si>
  <si>
    <t>42 PLTS</t>
  </si>
  <si>
    <t>HDMU4739080
BSIU2700119</t>
  </si>
  <si>
    <r>
      <rPr>
        <rFont val="Arial"/>
        <color theme="1"/>
        <sz val="11.0"/>
      </rPr>
      <t xml:space="preserve">PATCH , KLO 28 ML &amp; </t>
    </r>
    <r>
      <rPr>
        <rFont val="Arial"/>
        <color theme="1"/>
        <sz val="11.0"/>
      </rPr>
      <t>KLO 57ML</t>
    </r>
  </si>
  <si>
    <t>8/6/20 
8/7/20</t>
  </si>
  <si>
    <t>EN#2119044 ,INV#PI20-27, PI20-28 &amp; PI20-35; PO#34526,OBL 7/15,GATEFEE 7/31</t>
  </si>
  <si>
    <t>172 PLTS</t>
  </si>
  <si>
    <t>CLHU4766022, CMAU8276812, ECMU4711998, ECMU4688922, DRYU4035728, APZU74533856</t>
  </si>
  <si>
    <t>KLO 57ML,PATCH, PATCH 1'S,LINIMENT 57 ML</t>
  </si>
  <si>
    <t>8/6/20 
8/5/20</t>
  </si>
  <si>
    <t>EN#2119161-5, INV#PI20-27, PI20-28, PI20-34, PI20-35, PI20-36 &amp; PI20-43; PO#34524,OBL7/15</t>
  </si>
  <si>
    <t>UACU8426659</t>
  </si>
  <si>
    <t>EN#2118519; INV.#PI20-37; PO#34482; T/R</t>
  </si>
  <si>
    <t>43 PLTS</t>
  </si>
  <si>
    <t>OOLU7664945 OOLU0275520</t>
  </si>
  <si>
    <r>
      <rPr>
        <rFont val="Arial"/>
        <color theme="1"/>
        <sz val="11.0"/>
      </rPr>
      <t xml:space="preserve">PATCH, PATCH 1'S, </t>
    </r>
    <r>
      <rPr>
        <rFont val="Arial"/>
        <color theme="1"/>
        <sz val="11.0"/>
      </rPr>
      <t>KLO 28ML</t>
    </r>
  </si>
  <si>
    <t>7/31/20
7/30/20</t>
  </si>
  <si>
    <t>EN#2118801;INV#PI20-28 &amp; PI20-35; PO#34511,OBL7/15</t>
  </si>
  <si>
    <t>5 PLTS
(LCL)</t>
  </si>
  <si>
    <t xml:space="preserve"> TLLU1072228</t>
  </si>
  <si>
    <r>
      <rPr>
        <rFont val="Arial"/>
        <color theme="1"/>
        <sz val="11.0"/>
      </rPr>
      <t>RED 4g, WHT 4g.</t>
    </r>
    <r>
      <rPr>
        <rFont val="Arial"/>
        <color theme="1"/>
        <sz val="11.0"/>
      </rPr>
      <t xml:space="preserve"> Ultra-strength Ointment 50 g </t>
    </r>
  </si>
  <si>
    <t>EN#2118933 ;INV#PI20-41; PO#34522,OBL7/15</t>
  </si>
  <si>
    <t>7 PLTS
(LCL)</t>
  </si>
  <si>
    <t>TLLU1072228</t>
  </si>
  <si>
    <t>RED 4g, WHITE 4g.
Ultra-strength Ointment 50 g</t>
  </si>
  <si>
    <t>EN#2118747;INV#PI20-41; PO#34523,OBL7/15</t>
  </si>
  <si>
    <t>NYKU4405958</t>
  </si>
  <si>
    <t>EN#2118881  ;INV#PI20-40 &amp; PI20-47; PO#34539,OBL7/17</t>
  </si>
  <si>
    <t>TCLU6270613</t>
  </si>
  <si>
    <t>EN#2118612; INV.#PI20-40 &amp; PI20-47; PO#34510,OBL7/8,GATE FEE 7/10</t>
  </si>
  <si>
    <t>CCLU5260928 CSNU1781850</t>
  </si>
  <si>
    <t>PATCH, KLO 57 ML, LINIMENT 57 ML</t>
  </si>
  <si>
    <t>7/10/20
7/9/20</t>
  </si>
  <si>
    <t>EN#2117616 ; INV.#PO20-22, PI20-26, PI20-27 &amp; PI20-28; PO#34428,OBL6/15,GATEFEE-1 7/3</t>
  </si>
  <si>
    <t>BEAU4594417 KKFU7798056</t>
  </si>
  <si>
    <t>EN#2117472-8; INV.#PI20-32; PO#34427,OBL6/17</t>
  </si>
  <si>
    <t>72 PLTS</t>
  </si>
  <si>
    <t>ZCSU2745501 TGHU5206373</t>
  </si>
  <si>
    <r>
      <rPr>
        <rFont val="Arial"/>
        <color theme="1"/>
        <sz val="11.0"/>
      </rPr>
      <t>PATCH</t>
    </r>
    <r>
      <rPr>
        <rFont val="Arial"/>
        <color theme="1"/>
        <sz val="11.0"/>
      </rPr>
      <t>, PATCH 1'S LINIMENT 57 ML, KLO 57ML, KLO 28ML</t>
    </r>
  </si>
  <si>
    <t>7/2/20
7/1/20</t>
  </si>
  <si>
    <t>EN#2117774  ; INV. # PI20-22,  PI20-26, PI20-27 &amp; PI20-28; PO#34431,OBL 6/17</t>
  </si>
  <si>
    <t>OOLU7803845</t>
  </si>
  <si>
    <r>
      <rPr>
        <rFont val="Arial"/>
        <color theme="1"/>
        <sz val="11.0"/>
      </rPr>
      <t>PATCH</t>
    </r>
    <r>
      <rPr>
        <rFont val="Arial"/>
        <color theme="1"/>
        <sz val="11.0"/>
      </rPr>
      <t>, PATCH 1'S, KLO</t>
    </r>
  </si>
  <si>
    <t>EN#2117571-7; INV.#PI20-22, PI20-27 &amp; PI20-28, PO#34426</t>
  </si>
  <si>
    <t>TCNU8329723</t>
  </si>
  <si>
    <r>
      <rPr>
        <rFont val="Calibri"/>
        <color theme="1"/>
        <sz val="11.0"/>
      </rPr>
      <t xml:space="preserve">RED 18g, </t>
    </r>
    <r>
      <rPr>
        <rFont val="Calibri"/>
        <color theme="1"/>
        <sz val="11.0"/>
      </rPr>
      <t>WHITE 18g</t>
    </r>
    <r>
      <rPr>
        <rFont val="Calibri"/>
        <color theme="1"/>
        <sz val="11.0"/>
      </rPr>
      <t>. Ultra-strength Ointment 18 g</t>
    </r>
  </si>
  <si>
    <t>EN#2117617 ; INV.#PI20-32; PO#34464,OBL 6/23</t>
  </si>
  <si>
    <t>3 PLTS
(LCL)</t>
  </si>
  <si>
    <t>SEGU4251934</t>
  </si>
  <si>
    <r>
      <rPr>
        <rFont val="Arial"/>
        <color theme="1"/>
        <sz val="11.0"/>
      </rPr>
      <t xml:space="preserve">RED 4 G, </t>
    </r>
    <r>
      <rPr>
        <rFont val="Arial"/>
        <color theme="1"/>
        <sz val="11.0"/>
      </rPr>
      <t>WHITE 4 G</t>
    </r>
  </si>
  <si>
    <t>EN#2117270; INV.#PI20-33; PO#34418,OBL 6/8</t>
  </si>
  <si>
    <t>KKFU9139124</t>
  </si>
  <si>
    <r>
      <rPr>
        <rFont val="Arial"/>
        <color theme="1"/>
        <sz val="11.0"/>
      </rPr>
      <t>RED 4g</t>
    </r>
    <r>
      <rPr>
        <rFont val="Arial"/>
        <color theme="1"/>
        <sz val="11.0"/>
      </rPr>
      <t xml:space="preserve">, </t>
    </r>
    <r>
      <rPr>
        <rFont val="Arial"/>
        <color theme="1"/>
        <sz val="11.0"/>
      </rPr>
      <t>WHITE 4g</t>
    </r>
    <r>
      <rPr>
        <rFont val="Arial"/>
        <color theme="1"/>
        <sz val="11.0"/>
      </rPr>
      <t>. Ultra-strength Ointment 50 g (CFS)</t>
    </r>
  </si>
  <si>
    <t>EN#2117391-0; INV.#PI20-33; PO#34419,OBL6/8</t>
  </si>
  <si>
    <t>CAIU7302133</t>
  </si>
  <si>
    <t>EN#2117392-8; INV.#PI20-29; PO#34405,GATEFEE6/9</t>
  </si>
  <si>
    <t>NYKU5931520 ONEU0215582</t>
  </si>
  <si>
    <t>RED 18 G, ULTRA-STRENTH OINTMENT 18 G</t>
  </si>
  <si>
    <t>6/15/20 6/16/20</t>
  </si>
  <si>
    <t>EN#2116591; INV.#PI20-24; PO#34379,OBL 6/1</t>
  </si>
  <si>
    <t>ONEU0274250</t>
  </si>
  <si>
    <r>
      <rPr>
        <rFont val="Arial"/>
        <color theme="1"/>
        <sz val="11.0"/>
      </rPr>
      <t xml:space="preserve">RED 18g, </t>
    </r>
    <r>
      <rPr>
        <rFont val="Arial"/>
        <color theme="1"/>
        <sz val="11.0"/>
      </rPr>
      <t>WHITE 18g</t>
    </r>
    <r>
      <rPr>
        <rFont val="Arial"/>
        <color theme="1"/>
        <sz val="11.0"/>
      </rPr>
      <t>. Ultra-strength Ointment 18 g</t>
    </r>
  </si>
  <si>
    <t>EN#2117474-4; INV.#PI20-32; PO#34425,OBL 6/8</t>
  </si>
  <si>
    <t>TEMU9073493</t>
  </si>
  <si>
    <r>
      <rPr>
        <rFont val="Arial"/>
        <color theme="1"/>
        <sz val="11.0"/>
      </rPr>
      <t xml:space="preserve">RED 4g, </t>
    </r>
    <r>
      <rPr>
        <rFont val="Arial"/>
        <color theme="1"/>
        <sz val="11.0"/>
      </rPr>
      <t>WHITE 4g</t>
    </r>
    <r>
      <rPr>
        <rFont val="Arial"/>
        <color theme="1"/>
        <sz val="11.0"/>
      </rPr>
      <t>. Ultra-strength Ointment 50 g (CFS)</t>
    </r>
  </si>
  <si>
    <t>EN#2116745-8; INV.# PI20-25; PO#34349; OBL 5/19</t>
  </si>
  <si>
    <t>6 PLTS(LCL)</t>
  </si>
  <si>
    <t>TEMU0643825</t>
  </si>
  <si>
    <r>
      <rPr>
        <rFont val="Arial"/>
        <color theme="1"/>
        <sz val="11.0"/>
      </rPr>
      <t xml:space="preserve">RED 4g, </t>
    </r>
    <r>
      <rPr>
        <rFont val="Arial"/>
        <color theme="1"/>
        <sz val="11.0"/>
      </rPr>
      <t>WHITE 4g.</t>
    </r>
    <r>
      <rPr>
        <rFont val="Arial"/>
        <color theme="1"/>
        <sz val="11.0"/>
      </rPr>
      <t xml:space="preserve"> Ultra-strength Ointment 50 g (CFS)</t>
    </r>
  </si>
  <si>
    <t>EN#2116627-8; INV.# PI20-25; PO#34338; OBL 5/19</t>
  </si>
  <si>
    <t>TRLU8641688</t>
  </si>
  <si>
    <t>EN#2116220; INV.# PI20-23; PO#34307; TELEX RELEASE</t>
  </si>
  <si>
    <t>CMAU5766797</t>
  </si>
  <si>
    <r>
      <rPr>
        <rFont val="Arial"/>
        <color theme="1"/>
        <sz val="11.0"/>
      </rPr>
      <t>RED 18g</t>
    </r>
    <r>
      <rPr>
        <rFont val="Arial"/>
        <color theme="1"/>
        <sz val="11.0"/>
      </rPr>
      <t xml:space="preserve">, </t>
    </r>
    <r>
      <rPr>
        <rFont val="Arial"/>
        <color theme="1"/>
        <sz val="11.0"/>
      </rPr>
      <t>WHITE 18g</t>
    </r>
    <r>
      <rPr>
        <rFont val="Arial"/>
        <color theme="1"/>
        <sz val="11.0"/>
      </rPr>
      <t xml:space="preserve">. Ultra-strength Ointment 18 g, </t>
    </r>
    <r>
      <rPr>
        <rFont val="Arial"/>
        <color theme="1"/>
        <sz val="11.0"/>
      </rPr>
      <t>Ultra 18g (RFID)</t>
    </r>
  </si>
  <si>
    <t>EN#2116526-2; INV.# PI20-24; PO#34378</t>
  </si>
  <si>
    <t>10 PLT</t>
  </si>
  <si>
    <t>TGHU8855653</t>
  </si>
  <si>
    <r>
      <rPr>
        <rFont val="Arial"/>
        <color theme="1"/>
        <sz val="11.0"/>
      </rPr>
      <t xml:space="preserve">RED 18g, </t>
    </r>
    <r>
      <rPr>
        <rFont val="Arial"/>
        <color theme="1"/>
        <sz val="11.0"/>
      </rPr>
      <t>WHITE 18g</t>
    </r>
    <r>
      <rPr>
        <rFont val="Arial"/>
        <color theme="1"/>
        <sz val="11.0"/>
      </rPr>
      <t>. Ultra-strength Ointment 18 g</t>
    </r>
  </si>
  <si>
    <t>EN#2116362-2; INV.# PI20-24; PO#34335; OLB will send on 5/12/20</t>
  </si>
  <si>
    <t>UACU8206171</t>
  </si>
  <si>
    <t>EN#2115331, INV.#PI20-16; PO#34256; OBL 5/8</t>
  </si>
  <si>
    <t>SEGU4918267 XINU8206299</t>
  </si>
  <si>
    <r>
      <rPr>
        <rFont val="Arial"/>
        <color theme="1"/>
        <sz val="11.0"/>
      </rPr>
      <t>WHITE 18 G,</t>
    </r>
    <r>
      <rPr>
        <rFont val="Arial"/>
        <color theme="1"/>
        <sz val="11.0"/>
      </rPr>
      <t xml:space="preserve"> RED 18 G</t>
    </r>
    <r>
      <rPr>
        <rFont val="Arial"/>
        <color theme="1"/>
        <sz val="11.0"/>
      </rPr>
      <t>; ULTRA-STRENGTH OINTMENT 10 G &amp; 18 G (RFID)</t>
    </r>
  </si>
  <si>
    <t>5/13/20 5/13/20</t>
  </si>
  <si>
    <t>EN#2115332, INV.#PI20-18; PO#34292; OBL 5/1/20</t>
  </si>
  <si>
    <t>CCLU5127601</t>
  </si>
  <si>
    <t>PATCH, PATCH 1'S, LINIMENT 57ML</t>
  </si>
  <si>
    <t>EN#2115179-1, INV.#PI20-15, PI20-20; PO#34255; OBL 4/23; GATE FEE 4/28</t>
  </si>
  <si>
    <t>KKFU9144809</t>
  </si>
  <si>
    <r>
      <rPr>
        <rFont val="Arial"/>
        <color theme="1"/>
        <sz val="11.0"/>
      </rPr>
      <t>RED 4 G</t>
    </r>
    <r>
      <rPr>
        <rFont val="Arial"/>
        <color theme="1"/>
        <sz val="11.0"/>
      </rPr>
      <t>; ULTRA-STRENGTH OINTMENT 50 G</t>
    </r>
  </si>
  <si>
    <t>EN#2115061-1; INV.#PI20-19; PO#34241; OBL 4/7</t>
  </si>
  <si>
    <t>OOLU7967617 OOLU1428259</t>
  </si>
  <si>
    <r>
      <rPr>
        <rFont val="Arial"/>
        <color rgb="FF000000"/>
        <sz val="11.0"/>
      </rPr>
      <t xml:space="preserve">PATCH, PATCH 1'S, </t>
    </r>
    <r>
      <rPr>
        <rFont val="Arial"/>
        <color rgb="FF000000"/>
        <sz val="11.0"/>
      </rPr>
      <t>KWAN LOONG OIL 57ML</t>
    </r>
    <r>
      <rPr>
        <rFont val="Arial"/>
        <color rgb="FF000000"/>
        <sz val="11.0"/>
      </rPr>
      <t>, LINIMENT 57ML</t>
    </r>
  </si>
  <si>
    <t>5/1/20 
4/30/20</t>
  </si>
  <si>
    <t>EN#2115180-9; INV.# PI20-15, PI20-20 &amp; PI20-21; PO#34254</t>
  </si>
  <si>
    <t>69 PLTS</t>
  </si>
  <si>
    <t>BMOU3063257 ZCSU2661313</t>
  </si>
  <si>
    <r>
      <rPr>
        <rFont val="Arial"/>
        <color theme="1"/>
        <sz val="11.0"/>
      </rPr>
      <t xml:space="preserve">PATCH, PATCH 1'S, </t>
    </r>
    <r>
      <rPr>
        <rFont val="Arial"/>
        <color theme="1"/>
        <sz val="11.0"/>
      </rPr>
      <t>KWAN LOONG OIL 28ML</t>
    </r>
    <r>
      <rPr>
        <rFont val="Arial"/>
        <color theme="1"/>
        <sz val="11.0"/>
      </rPr>
      <t>, LINIMENT 57ML</t>
    </r>
  </si>
  <si>
    <t>4/29/20 4/29/20</t>
  </si>
  <si>
    <t>EN#2115181-7, INV.#PI20-15, PI20-20 &amp; PI20-21; PO#34253; OBL 4/16</t>
  </si>
  <si>
    <t>43 PLT</t>
  </si>
  <si>
    <t>SEGU5196240
TRLU7311362</t>
  </si>
  <si>
    <r>
      <rPr>
        <rFont val="Arial"/>
        <color rgb="FF000000"/>
        <sz val="11.0"/>
      </rPr>
      <t xml:space="preserve">WHITE 18 G, </t>
    </r>
    <r>
      <rPr>
        <rFont val="Arial"/>
        <color rgb="FF000000"/>
        <sz val="11.0"/>
      </rPr>
      <t>RED 18 G</t>
    </r>
    <r>
      <rPr>
        <rFont val="Arial"/>
        <color rgb="FF000000"/>
        <sz val="11.0"/>
      </rPr>
      <t>; ULTRA-STRENGTH OINTMENT 10 G &amp;18 G (RFID)</t>
    </r>
  </si>
  <si>
    <t>4/24/20 4/22/20</t>
  </si>
  <si>
    <t>EN#2114526-4;INV. PI20-11, PO#34192; OBL 4/7</t>
  </si>
  <si>
    <t>TRHU1368193</t>
  </si>
  <si>
    <t>RED 4 G; ULTRA-STRENGTH OINTMENT 50 G</t>
  </si>
  <si>
    <t>EN#2115005-8; INV.#PI20-19; PO#34242; OBL 4/7</t>
  </si>
  <si>
    <t>CAAU5049580</t>
  </si>
  <si>
    <r>
      <rPr>
        <rFont val="Arial"/>
        <color theme="1"/>
        <sz val="11.0"/>
      </rPr>
      <t>WHITE 18 G</t>
    </r>
    <r>
      <rPr>
        <rFont val="Arial"/>
        <color theme="1"/>
        <sz val="11.0"/>
      </rPr>
      <t>, RED 18 G; ULTRA-STRENGTH OINTMENT 10 G &amp;18 G</t>
    </r>
  </si>
  <si>
    <t>EN#2115006-6; INV. PO#PI20-18; PO#34235;OBL 4/8 banker direct to shipping co.,</t>
  </si>
  <si>
    <t>WHSU2807174</t>
  </si>
  <si>
    <r>
      <rPr>
        <rFont val="Arial"/>
        <color theme="1"/>
        <sz val="11.0"/>
      </rPr>
      <t>WHITE 18 G</t>
    </r>
    <r>
      <rPr>
        <rFont val="Arial"/>
        <color theme="1"/>
        <sz val="11.0"/>
      </rPr>
      <t>, RED 18 G; ULTRA-STRENGTH OINTMENT 10 G &amp;18 G</t>
    </r>
  </si>
  <si>
    <t xml:space="preserve">EN#2115007-4; INV.PO#PI20-18; PO#34234; OBL 4/8 banker direct to shipping co., </t>
  </si>
  <si>
    <t>CSLU1609400</t>
  </si>
  <si>
    <r>
      <rPr>
        <rFont val="Arial"/>
        <color rgb="FF000000"/>
        <sz val="11.0"/>
      </rPr>
      <t>PATCH 1's</t>
    </r>
    <r>
      <rPr>
        <rFont val="Arial"/>
        <color rgb="FF000000"/>
        <sz val="11.0"/>
      </rPr>
      <t>, KLO 28 ML &amp; 57ML</t>
    </r>
  </si>
  <si>
    <t>EN#2114130-5;INV.#PI20-08 &amp; PI20-14 , PO#34183; GATE FEE 3/30</t>
  </si>
  <si>
    <t>4PLTS</t>
  </si>
  <si>
    <t>MRKU8299355</t>
  </si>
  <si>
    <t>EN#2114273-3;INV.#PI20-10 , PO#34204; GATE FEE 3/26</t>
  </si>
  <si>
    <t>BMOU3050898</t>
  </si>
  <si>
    <r>
      <rPr>
        <rFont val="Arial"/>
        <color theme="1"/>
        <sz val="11.0"/>
      </rPr>
      <t xml:space="preserve">TB PATCH, PATCH 1'S, </t>
    </r>
    <r>
      <rPr>
        <rFont val="Arial"/>
        <color theme="1"/>
        <sz val="11.0"/>
      </rPr>
      <t>LINIMENT 57ML</t>
    </r>
    <r>
      <rPr>
        <rFont val="Arial"/>
        <color theme="1"/>
        <sz val="11.0"/>
      </rPr>
      <t xml:space="preserve">, </t>
    </r>
    <r>
      <rPr>
        <rFont val="Arial"/>
        <color theme="1"/>
        <sz val="11.0"/>
      </rPr>
      <t>KLO 57ML</t>
    </r>
    <r>
      <rPr>
        <rFont val="Arial"/>
        <color theme="1"/>
        <sz val="11.0"/>
      </rPr>
      <t xml:space="preserve"> &amp; </t>
    </r>
    <r>
      <rPr>
        <rFont val="Arial"/>
        <color theme="1"/>
        <sz val="11.0"/>
      </rPr>
      <t>28 ML</t>
    </r>
  </si>
  <si>
    <t>EN#2114217-0;INV.#PI20-08, PI20-13 &amp; PI20-14 , PO#34203</t>
  </si>
  <si>
    <t>TCLU6517283 
(LCL)</t>
  </si>
  <si>
    <t>MUSCLE RUB 60G, WHITE 4G, RED 4G</t>
  </si>
  <si>
    <t>EN#2113993-7;INV.#PI20-09 &amp; PI20-12, PO#34164, OBL 3/9</t>
  </si>
  <si>
    <t>109 PLTS</t>
  </si>
  <si>
    <t>TLLU5882802
ZCSU8528191
TCNU7253428</t>
  </si>
  <si>
    <t>TB PATCH, PATCH 1'S, TIGER LINIMENT 57ML, KLO 57ML</t>
  </si>
  <si>
    <t>3/25/20
3/26/20
3/26/20</t>
  </si>
  <si>
    <t>EN#2113921-8;INV.#PI20-08,PI20-13,PI20-14, PO#34165, OBL 3/9</t>
  </si>
  <si>
    <t>NYKU4632782</t>
  </si>
  <si>
    <t>WHITE 18 G, RED 18 G; ULTRA-STRENGTH OINTMENT 10 G &amp;18 G.</t>
  </si>
  <si>
    <t>EN#2114218-8;INV.#PI20-11, PO#34202, OBL 3/16</t>
  </si>
  <si>
    <t>TCKU1246160</t>
  </si>
  <si>
    <t>MUSCLE RUB 60G, WHITE 4G, RED 4G; ULTRA-STRENGTH OINTMENT 50G</t>
  </si>
  <si>
    <t>EN#2113920-0;INV.#PI20-09 &amp; PI20-12, PO#34166, OBL 3/9</t>
  </si>
  <si>
    <t>CCLU7976660
(LCL)</t>
  </si>
  <si>
    <t>ULTRA-STRENGTH OINTMENT 10G &amp; 18 G, WHITE 18G</t>
  </si>
  <si>
    <t>EN#2114024-0;INV.#PI20-11, PO#34184, OBL 3/16</t>
  </si>
  <si>
    <t>1440 DZ.</t>
  </si>
  <si>
    <t>MRKU6894868</t>
  </si>
  <si>
    <t>EN#2113689-1;INV.#PI20-03, PO#34127,OBL 3/5 from Bank,Gate fee 3/10</t>
  </si>
  <si>
    <t>16PLTS</t>
  </si>
  <si>
    <t>UACU8265678</t>
  </si>
  <si>
    <t>RELIEVING PATCH</t>
  </si>
  <si>
    <t>EN#2113848-3;INV.#PI20-02, PO#34126,OBL2/25,GATE FEE 2/26</t>
  </si>
  <si>
    <t>34 PLTS</t>
  </si>
  <si>
    <t>MOTU0710291 NYKU5931134</t>
  </si>
  <si>
    <t>WHITE 18G, ULTRA-STRENGTH OINTMENT 10G &amp; 18 G (RFID)</t>
  </si>
  <si>
    <t>EN#2113155-3; INV.#PI20-04; PO#34120,OBL 2/27</t>
  </si>
  <si>
    <t>KKFU6732901</t>
  </si>
  <si>
    <r>
      <rPr>
        <rFont val="Arial"/>
        <color theme="1"/>
        <sz val="11.0"/>
      </rPr>
      <t>KWAN LOONG OIL 28 ML</t>
    </r>
    <r>
      <rPr>
        <rFont val="Arial"/>
        <color theme="1"/>
        <sz val="11.0"/>
      </rPr>
      <t xml:space="preserve"> </t>
    </r>
    <r>
      <rPr>
        <rFont val="Arial"/>
        <color theme="1"/>
        <sz val="11.0"/>
      </rPr>
      <t>&amp; 57 ML</t>
    </r>
  </si>
  <si>
    <t>EN#2113000-1; INV.#PI20-07; PO#34077; OBL 2/10</t>
  </si>
  <si>
    <t>121 PLTS</t>
  </si>
  <si>
    <t>ZCSU2626061 TGHU5214390 ZCSU2662794 ZCSU2645550</t>
  </si>
  <si>
    <r>
      <rPr>
        <rFont val="Arial"/>
        <color theme="1"/>
        <sz val="11.0"/>
      </rPr>
      <t xml:space="preserve">TB PATCH, </t>
    </r>
    <r>
      <rPr>
        <rFont val="Arial"/>
        <color theme="1"/>
        <sz val="11.0"/>
      </rPr>
      <t>PATCH 1'S</t>
    </r>
    <r>
      <rPr>
        <rFont val="Arial"/>
        <color theme="1"/>
        <sz val="11.0"/>
      </rPr>
      <t>, TIGER LINIMENT 57ML, KLO 57ML</t>
    </r>
  </si>
  <si>
    <t>2/25 &amp;2/26</t>
  </si>
  <si>
    <t>EN#2113282-5; INV.#PI20-01, P20-06 &amp;PI20-07; PO#34086; OBL 2/14</t>
  </si>
  <si>
    <t>OOLU0216656</t>
  </si>
  <si>
    <r>
      <rPr>
        <rFont val="Arial"/>
        <color theme="1"/>
        <sz val="11.0"/>
      </rPr>
      <t xml:space="preserve">PATCH, </t>
    </r>
    <r>
      <rPr>
        <rFont val="Arial"/>
        <color theme="1"/>
        <sz val="11.0"/>
      </rPr>
      <t>KLO 28 ML</t>
    </r>
  </si>
  <si>
    <t>EN#2113196-7; INV.#PI20-01 &amp; PI20-07; PO#34087,OBL2/13</t>
  </si>
  <si>
    <t>CAIU5500150</t>
  </si>
  <si>
    <r>
      <rPr>
        <rFont val="Arial"/>
        <color theme="1"/>
        <sz val="11.0"/>
      </rPr>
      <t>WHITE 4G</t>
    </r>
    <r>
      <rPr>
        <rFont val="Arial"/>
        <color theme="1"/>
        <sz val="11.0"/>
      </rPr>
      <t>, Ultra-strenght Ointment 50g</t>
    </r>
  </si>
  <si>
    <t>EN#2112916-9; PI20-05; PO#34059; OBL 2/10</t>
  </si>
  <si>
    <t>3 PLTS</t>
  </si>
  <si>
    <t>PCIU9445342 (LCL)</t>
  </si>
  <si>
    <r>
      <rPr>
        <rFont val="Arial"/>
        <color theme="1"/>
        <sz val="11.0"/>
      </rPr>
      <t>WHITE 18 G</t>
    </r>
    <r>
      <rPr>
        <rFont val="Arial"/>
        <color theme="1"/>
        <sz val="11.0"/>
      </rPr>
      <t>, ULTRA-STRENGHT OINTMENT 10G &amp; 18 G.</t>
    </r>
  </si>
  <si>
    <r>
      <rPr>
        <rFont val="Arial"/>
        <color theme="1"/>
        <sz val="11.0"/>
      </rPr>
      <t xml:space="preserve">EN#2112998-7; INV.#PI20-04; </t>
    </r>
    <r>
      <rPr>
        <rFont val="Arial"/>
        <color theme="1"/>
        <sz val="11.0"/>
      </rPr>
      <t>TELEX RELEASE</t>
    </r>
    <r>
      <rPr>
        <rFont val="Arial"/>
        <color theme="1"/>
        <sz val="11.0"/>
      </rPr>
      <t>; PO#34079</t>
    </r>
  </si>
  <si>
    <t>WHSU5834764</t>
  </si>
  <si>
    <t>WHITE 18 G, RED 18 G; ULTRA-STRENGHT OINTMENT 10 G &amp;18 G.</t>
  </si>
  <si>
    <t>EN#2112999-5; INV.#PI20-04; TELEX RELEASE; PO#34080</t>
  </si>
  <si>
    <t>TCLU4443670</t>
  </si>
  <si>
    <t>MUSCLE RUB 60G, WHITE 4G, RED 4G; ULTRA-STRENGHT OINTMENT 50G</t>
  </si>
  <si>
    <t>EN#2111722-2; INV.PI19-94 &amp; PI19-97; PO#33995; OBL 1/14</t>
  </si>
  <si>
    <t>KKFU7934070 TCLU6671811</t>
  </si>
  <si>
    <r>
      <rPr>
        <rFont val="Arial"/>
        <color theme="1"/>
        <sz val="11.0"/>
      </rPr>
      <t>WHITE 18 G</t>
    </r>
    <r>
      <rPr>
        <rFont val="Arial"/>
        <color theme="1"/>
        <sz val="11.0"/>
      </rPr>
      <t>, RED 18 G; ULTRA-STRENGHT OINTMENT 18 G.</t>
    </r>
  </si>
  <si>
    <t>EN#2111485-6; INV.#PI19-96; PO#33996; OBL 1/14</t>
  </si>
  <si>
    <t>102 PLTS</t>
  </si>
  <si>
    <t>ZCSU8708275 TCNU8549775 SEGU5807329</t>
  </si>
  <si>
    <r>
      <rPr>
        <rFont val="Arial"/>
        <color theme="1"/>
        <sz val="11.0"/>
      </rPr>
      <t>PATCH,</t>
    </r>
    <r>
      <rPr>
        <rFont val="Arial"/>
        <color theme="1"/>
        <sz val="11.0"/>
      </rPr>
      <t xml:space="preserve"> PATCH'S 1</t>
    </r>
    <r>
      <rPr>
        <rFont val="Arial"/>
        <color theme="1"/>
        <sz val="11.0"/>
      </rPr>
      <t>,  LINIMENT 57ml, KLO 57ml</t>
    </r>
  </si>
  <si>
    <t>1/28/20 1/29/20 1/29/20</t>
  </si>
  <si>
    <t>EN#2111818-8; INV.PI19-92, PI19-98 &amp; PI19-99; PO#33997;OBL 1/14</t>
  </si>
  <si>
    <t>TEMU4811830</t>
  </si>
  <si>
    <t>NECK &amp; SHOULDER RUB - LCL</t>
  </si>
  <si>
    <t>EN#2111482-3; INV.PI19-95; PO#33981;OBL 1/14/20</t>
  </si>
  <si>
    <t>HLBU1471674</t>
  </si>
  <si>
    <t>RELIEVING PATCH LARGE</t>
  </si>
  <si>
    <t>EN#2111324-7; INV.#PI19-93; PO#33944; OBL 12/18</t>
  </si>
  <si>
    <t>UETU2661660</t>
  </si>
  <si>
    <t>KWAN LOONG OIL 57 ML</t>
  </si>
  <si>
    <t>EN#2111519-2; INV.PI19-99; PO#33994; OBL 1/10</t>
  </si>
  <si>
    <t>TCLU5337477</t>
  </si>
  <si>
    <t>WHITE 18 G, RED 18 G; ULTRA-STRENGHT OINTMENT 18 G.</t>
  </si>
  <si>
    <t>EN#2111723-0; INV.#PI19-96; PO#33982; OBL 1/3</t>
  </si>
  <si>
    <t>1440 DZ</t>
  </si>
  <si>
    <t>TEMU1722045</t>
  </si>
  <si>
    <t>EN#2110804-9; INV.#PI19-85; PO#33917; OBL 12/18</t>
  </si>
  <si>
    <t>SZLU9245791</t>
  </si>
  <si>
    <r>
      <rPr>
        <rFont val="Arial"/>
        <color rgb="FF000000"/>
        <sz val="11.0"/>
      </rPr>
      <t xml:space="preserve">RED 4g, </t>
    </r>
    <r>
      <rPr>
        <rFont val="Arial"/>
        <color rgb="FF000000"/>
        <sz val="11.0"/>
      </rPr>
      <t>WHITE 4g</t>
    </r>
    <r>
      <rPr>
        <rFont val="Arial"/>
        <color rgb="FF000000"/>
        <sz val="11.0"/>
      </rPr>
      <t xml:space="preserve"> &amp; Ultra Strength Ointment 50g</t>
    </r>
  </si>
  <si>
    <t>EN#2110416-2; INV.# PI19-89; PO#33889; OBL 12/13</t>
  </si>
  <si>
    <t>CAIU9137887 KKFU7997989</t>
  </si>
  <si>
    <r>
      <rPr>
        <rFont val="Arial"/>
        <color theme="1"/>
        <sz val="11.0"/>
      </rPr>
      <t>WHITE 18 G</t>
    </r>
    <r>
      <rPr>
        <rFont val="Arial"/>
        <color theme="1"/>
        <sz val="11.0"/>
      </rPr>
      <t>, RED 18 G,  ULTRA-STRENGHT OINTMENT 18 G</t>
    </r>
  </si>
  <si>
    <t>1/3/20
1/6/20</t>
  </si>
  <si>
    <t>EN#2110233-1; INV.#PI19-88; PO#33891;obl 12/18</t>
  </si>
  <si>
    <t>BSIU2430440</t>
  </si>
  <si>
    <t>KOREAN GINSENG TEA K-80027/K-80024</t>
  </si>
  <si>
    <t>EN#2125059-3, INV#KB201102,OBL12/3,GATEFEE12/14</t>
  </si>
  <si>
    <t>DRYU2233920</t>
  </si>
  <si>
    <t>Siam's Royal Mango</t>
  </si>
  <si>
    <t>EN#2125653, INV#IV6311015</t>
  </si>
  <si>
    <t>Thailand</t>
  </si>
  <si>
    <t>15
（LCL）</t>
  </si>
  <si>
    <t>TTNU8120700</t>
  </si>
  <si>
    <t>KOREAN POWDER</t>
  </si>
  <si>
    <t>EN#2125542-8,INV#KI-POP03-20,OBL 12/18</t>
  </si>
  <si>
    <t>TCNU2101628</t>
  </si>
  <si>
    <t>GHC D-04010/D-04041/ PLUM/ AMERICAN GINSENG/ DARK BROWN SUGAR/ REDMATE/PAPERBOX</t>
  </si>
  <si>
    <t>EN#2124606, INV#20NSS0363，GATEFEE12/1</t>
  </si>
  <si>
    <t>DFSU6988463</t>
  </si>
  <si>
    <t>GHC D-04041</t>
  </si>
  <si>
    <t>12/17@830</t>
  </si>
  <si>
    <t>EN#2125069, INV#DL- AIT2056A</t>
  </si>
  <si>
    <t>TCNU2162304</t>
  </si>
  <si>
    <t>GHC D-04011/D-04043</t>
  </si>
  <si>
    <t>EN#2124646,INV#AIT2058A</t>
  </si>
  <si>
    <t>TRHU1265087</t>
  </si>
  <si>
    <t xml:space="preserve"> 12/14 @ 0830</t>
  </si>
  <si>
    <t>EN#2124628 , INV#KB201101,OBL11/20</t>
  </si>
  <si>
    <t>MRKU8719503</t>
  </si>
  <si>
    <t>12/9/2020 830</t>
  </si>
  <si>
    <t xml:space="preserve">EN#2124743,INV#2020TAT05, </t>
  </si>
  <si>
    <t>FUIU7521464</t>
  </si>
  <si>
    <t>GINGER CHEW 6 DB X 12 POUCH X 113 GR.</t>
  </si>
  <si>
    <t>12/10 1530</t>
  </si>
  <si>
    <t>EN#2123879-6,INV#174/EXP/INV/X/2020,OBL11/17</t>
  </si>
  <si>
    <t>TCLU3859683</t>
  </si>
  <si>
    <t>McVITIES</t>
  </si>
  <si>
    <t>EN#2123440,INV#93911568,GATEFEE11/16</t>
  </si>
  <si>
    <t xml:space="preserve"> TRHU4250080</t>
  </si>
  <si>
    <t>GHC D-04011</t>
  </si>
  <si>
    <t>FG</t>
  </si>
  <si>
    <t>EN#2124320, INV#20NSS0353, TR,GATEFEE12/1</t>
  </si>
  <si>
    <t>607+575</t>
  </si>
  <si>
    <t xml:space="preserve"> EISU9401318</t>
  </si>
  <si>
    <t>GHC D-04011/D-04041</t>
  </si>
  <si>
    <t>12/11/20 @9:30AM</t>
  </si>
  <si>
    <t>EN#2124442, INV#20NSS0358</t>
  </si>
  <si>
    <t>TEMU8379555</t>
  </si>
  <si>
    <t>GHC D-04010</t>
  </si>
  <si>
    <t>12/10 @ 0800</t>
  </si>
  <si>
    <t>EN#2124196, INV#20NSS0356</t>
  </si>
  <si>
    <t>EITU9197255</t>
  </si>
  <si>
    <t>GINGER CHEW 113GR*40BAGS</t>
  </si>
  <si>
    <t>12/7 @ 1330</t>
  </si>
  <si>
    <t>EN#2123432,INV#164/EXP/INV/X/2020,OBL10/22</t>
  </si>
  <si>
    <t>EGHU9330407</t>
  </si>
  <si>
    <t>12/8 @ 1500</t>
  </si>
  <si>
    <t>EN#2123525-5,INV#164/EXP/INV/X/2020,OBL 11/5</t>
  </si>
  <si>
    <t>MEDU5778435</t>
  </si>
  <si>
    <t>12/7/20 @8am</t>
  </si>
  <si>
    <t>EN#2124631, INV#93920598</t>
  </si>
  <si>
    <t>MSKU5091816</t>
  </si>
  <si>
    <t>RED GINSENG ROYAL JELLY(C-70050)</t>
  </si>
  <si>
    <t>12/3 @ 0830</t>
  </si>
  <si>
    <t>EN#2123938, INV#2020TAT04</t>
  </si>
  <si>
    <t>MRKU0610497</t>
  </si>
  <si>
    <t>Red Panax Ginseng Extractum,Ultra Ginkgo Plus with Eleuthero &amp;amp; Tibetan Rhodiola,Instant Chinese Herbal Formula in Bulk</t>
  </si>
  <si>
    <t>EN#2123959 ,INV#DL-AIT20005,NO OBL,GATE FEE11/13</t>
  </si>
  <si>
    <t>CAAU5470855</t>
  </si>
  <si>
    <t>ORGANIC TEA D-13200N/D-15200N/D-18200N/D-19200</t>
  </si>
  <si>
    <t>EN#2124098  INV#20TM045,OBL11/9,GATEFEE11/13</t>
  </si>
  <si>
    <t>EGHU9067380</t>
  </si>
  <si>
    <r>
      <rPr>
        <rFont val="Arial"/>
        <color rgb="FF000000"/>
        <sz val="11.0"/>
      </rPr>
      <t>CHINESE TEA D-13100N/D-13300N/D-14100N/</t>
    </r>
    <r>
      <rPr>
        <rFont val="Arial"/>
        <b/>
        <color rgb="FFCC0000"/>
        <sz val="11.0"/>
      </rPr>
      <t>D-15100N</t>
    </r>
    <r>
      <rPr>
        <rFont val="Arial"/>
        <color rgb="FF000000"/>
        <sz val="11.0"/>
      </rPr>
      <t>/</t>
    </r>
    <r>
      <rPr>
        <rFont val="Arial"/>
        <color rgb="FF990000"/>
        <sz val="11.0"/>
      </rPr>
      <t>D-17100N/</t>
    </r>
    <r>
      <rPr>
        <rFont val="Arial"/>
        <color rgb="FF000000"/>
        <sz val="11.0"/>
      </rPr>
      <t>/D-18120N</t>
    </r>
  </si>
  <si>
    <t>EN#2123213 INV#YD20-T12,TR</t>
  </si>
  <si>
    <t>ONEU0348939</t>
  </si>
  <si>
    <r>
      <rPr>
        <rFont val="Arial"/>
        <color rgb="FF000000"/>
        <sz val="11.0"/>
      </rPr>
      <t>GHC  18g x 60 x 15 bagsb</t>
    </r>
    <r>
      <rPr>
        <rFont val="Arial"/>
        <b/>
        <color rgb="FF990000"/>
        <sz val="11.0"/>
      </rPr>
      <t>(RC Commerce)</t>
    </r>
  </si>
  <si>
    <t>12/04/20 at 09:00am</t>
  </si>
  <si>
    <t>EN#2123997, INV#20NSS0355.TR</t>
  </si>
  <si>
    <t>SUNTEN</t>
  </si>
  <si>
    <t>1BOX
(LCL)</t>
  </si>
  <si>
    <t>HASU5014786</t>
  </si>
  <si>
    <t>TEA TAG - DELIVER TO SUN TEN</t>
  </si>
  <si>
    <t>EN#2124172 ., INV#, OBL 11/2</t>
  </si>
  <si>
    <t>TGBU5999022</t>
  </si>
  <si>
    <t xml:space="preserve"> 11/24/2020/LFD 11/27</t>
  </si>
  <si>
    <t>EN#2124248, INV#DL-AIT2047A, 11/13 Customs hold x-ray exam,11/24 FDA and Customs released now, LFD 11/27,11/24Earliest appointment at the terminal 11/253pm can not arrive in warehouse, trucker will prepull and store in their yard and try to deliver on 11/27 if they have drivers, if not it will be Monday, this way cheaper than paying demurrage,</t>
  </si>
  <si>
    <t>EGHU9329751</t>
  </si>
  <si>
    <t>GINGER CHEW LEMON 8 bags x 227 g.</t>
  </si>
  <si>
    <t>EN#2122934, INV#154/EXP/PI/VI/2020.OBL10/7</t>
  </si>
  <si>
    <t>FFAU2091297</t>
  </si>
  <si>
    <t>GINGER ORIGINAL CHEWS 113 GR</t>
  </si>
  <si>
    <t>11/24/2020 noon</t>
  </si>
  <si>
    <t>EN#2123229,INV#159/EXP/INV/X/2020,OBL10/19</t>
  </si>
  <si>
    <t xml:space="preserve">EGHU9562932	</t>
  </si>
  <si>
    <t>GINGER CHEW 113GR</t>
  </si>
  <si>
    <t>11/24 around 12-1pm</t>
  </si>
  <si>
    <t>EN#2123431,INV#, OBL10/22</t>
  </si>
  <si>
    <t xml:space="preserve"> EGHU9246929</t>
  </si>
  <si>
    <t>11/25 @ 800</t>
  </si>
  <si>
    <t>EN#2123529,INV#20NSS0349,TR</t>
  </si>
  <si>
    <t>FUIU9546625</t>
  </si>
  <si>
    <r>
      <rPr>
        <rFont val="Arial"/>
        <color rgb="FF000000"/>
        <sz val="11.0"/>
      </rPr>
      <t>GHC D-040</t>
    </r>
    <r>
      <rPr>
        <rFont val="Arial"/>
        <color rgb="FFCC0000"/>
        <sz val="11.0"/>
      </rPr>
      <t>43 (New Package)</t>
    </r>
  </si>
  <si>
    <t>11/24 @ 8am</t>
  </si>
  <si>
    <t>EN#2123528  INV#20NSS0350</t>
  </si>
  <si>
    <t>FFAU1264649</t>
  </si>
  <si>
    <t>GINGER CHEW 12 BAGS X 454 GR</t>
  </si>
  <si>
    <t>EN#2122999,INV#156/EXP/PI/VIII/2020,OBL10/19,GATE FEE 11/13</t>
  </si>
  <si>
    <t>SEGU507442</t>
  </si>
  <si>
    <t>GAVOTTES</t>
  </si>
  <si>
    <t>EN#2123218, INV#,GATEFEE11/19</t>
  </si>
  <si>
    <t>TGBU6297904</t>
  </si>
  <si>
    <t>GINGER CHEW 6 DB X 12 POUCH X 1I3 GR.</t>
  </si>
  <si>
    <t>11/27 @ 1pm</t>
  </si>
  <si>
    <t>EN#2122348, INV#147/EXP/INV/IX/2020,OBL9/29</t>
  </si>
  <si>
    <t>EISU1887029</t>
  </si>
  <si>
    <t>GINGER CHEW-1lb 5-flv</t>
  </si>
  <si>
    <t xml:space="preserve"> 11/18 9-10am</t>
  </si>
  <si>
    <t>EN#2122695-7,INV#EXP/POP34555/055/20IX81,GATEFEE 11/16</t>
  </si>
  <si>
    <t>EGHU9113675</t>
  </si>
  <si>
    <t>Released 11/18</t>
  </si>
  <si>
    <t>EN#2122574, INV#150/EXP/lNV/lX/2020,OBL10/7, 11/6 PT issued to PCC for further examination,11/16 Container LFD is 11/19 and will schedule transfer to PCC on 11/17.LFR11/23</t>
  </si>
  <si>
    <t>EGSU1016862</t>
  </si>
  <si>
    <t>GINGER CHEW F-04002/F-04004/F-04005/F-04006/F-04008</t>
  </si>
  <si>
    <t>Drop and pick on 11/16 @ 0830</t>
  </si>
  <si>
    <t>EN#2123430-8,EXP/POP34554/058/20X90</t>
  </si>
  <si>
    <t>EITU1634317</t>
  </si>
  <si>
    <t>GINGER CHEW F-04112</t>
  </si>
  <si>
    <t>Drop and pick on 11/17 @ 0830</t>
  </si>
  <si>
    <t>EN#2123429-0,INV#EXP/POP34589/057/20X89</t>
  </si>
  <si>
    <t xml:space="preserve"> TCNU5927758</t>
  </si>
  <si>
    <t>11/25 @ 1pm</t>
  </si>
  <si>
    <t>EN#2123083-5, INV# 20NSS0346,TR</t>
  </si>
  <si>
    <t>TLLU5559507</t>
  </si>
  <si>
    <t>Drop on 11/24 @ 0800</t>
  </si>
  <si>
    <t>EN#2123085 , INV# 20NSS0347,TR</t>
  </si>
  <si>
    <t>195
（LCL）</t>
  </si>
  <si>
    <t>OOLU6419007</t>
  </si>
  <si>
    <t>SEIROGAN 36 , 100 &amp; 400 PILLS</t>
  </si>
  <si>
    <t xml:space="preserve"> 11/17 around noon</t>
  </si>
  <si>
    <t>EN#2123741,INV#US-201001,OBL10/22,LFD 11/20</t>
  </si>
  <si>
    <t>600+330</t>
  </si>
  <si>
    <t>TGHU9091375</t>
  </si>
  <si>
    <t>GHC D-04011 /D-04043</t>
  </si>
  <si>
    <t>EN#2123957 ,INV#20NSS0352,TR</t>
  </si>
  <si>
    <t xml:space="preserve"> NYKU4137813</t>
  </si>
  <si>
    <t>EN#2123958, INV# 20NSS0351,TR</t>
  </si>
  <si>
    <t>BSIU9913224</t>
  </si>
  <si>
    <t>Drop and pick on 11/11 @ 0830</t>
  </si>
  <si>
    <t>EN#2122670,INV#DL-AIT2048A,TR</t>
  </si>
  <si>
    <t>CAIU9497353</t>
  </si>
  <si>
    <t>GHC D-04043</t>
  </si>
  <si>
    <t>11/10 @ 0830</t>
  </si>
  <si>
    <t>EN#2122669,INV#20NSS0339,TR</t>
  </si>
  <si>
    <t xml:space="preserve"> FDCU0467891</t>
  </si>
  <si>
    <t>drop and pick on 11/9 @ 1015</t>
  </si>
  <si>
    <t>EN#2122668 ,INV#20NSS0348,TR</t>
  </si>
  <si>
    <t>TGBU6576489</t>
  </si>
  <si>
    <r>
      <rPr>
        <rFont val="Arial"/>
        <color rgb="FF000000"/>
        <sz val="11.0"/>
      </rPr>
      <t>TEA D-13220N/D-14200N/D-18200N/D-19200N/D-13100N/D-13020N/D-14100N/</t>
    </r>
    <r>
      <rPr>
        <rFont val="Arial"/>
        <b/>
        <color rgb="FFCC0000"/>
        <sz val="11.0"/>
      </rPr>
      <t>D-15100N</t>
    </r>
    <r>
      <rPr>
        <rFont val="Arial"/>
        <color rgb="FF000000"/>
        <sz val="11.0"/>
      </rPr>
      <t>/D-17100N</t>
    </r>
  </si>
  <si>
    <t>11/6 @ 1015</t>
  </si>
  <si>
    <t>EN#2122847,INV#YD20-T11</t>
  </si>
  <si>
    <t>EGHU9457562</t>
  </si>
  <si>
    <t>ZESS COOKIES( F-87101/ F-87102/ F-87103/F-87110/F-87111/F-87112/F-87113/F-87114)</t>
  </si>
  <si>
    <t>later 11/2/2020</t>
  </si>
  <si>
    <t>EN#2123000.INV#POP-04/20,OBL10/12</t>
  </si>
  <si>
    <t>Malaysia</t>
  </si>
  <si>
    <t>TCKU6126255</t>
  </si>
  <si>
    <r>
      <rPr>
        <rFont val="Arial"/>
        <color rgb="FF000000"/>
        <sz val="11.0"/>
      </rPr>
      <t>ORGANIC TEA D-13200N/D-13220N/D-14200N/D-15200N/D-18200N/D-18220N/</t>
    </r>
    <r>
      <rPr>
        <rFont val="Arial"/>
        <b/>
        <color rgb="FFCC0000"/>
        <sz val="11.0"/>
      </rPr>
      <t>D-19200</t>
    </r>
  </si>
  <si>
    <t>11/2 @ 1030</t>
  </si>
  <si>
    <t>EN#2122848  ,INV#YD20-T10</t>
  </si>
  <si>
    <t>492+492</t>
  </si>
  <si>
    <t>TCLU8550022</t>
  </si>
  <si>
    <r>
      <rPr>
        <rFont val="Arial"/>
        <color rgb="FF000000"/>
        <sz val="11.0"/>
      </rPr>
      <t xml:space="preserve">ORGANIC TEA D-13400/D-15400
</t>
    </r>
    <r>
      <rPr>
        <rFont val="Arial"/>
        <b/>
        <color rgb="FF990000"/>
        <sz val="11.0"/>
      </rPr>
      <t xml:space="preserve"> (RC Commerce)</t>
    </r>
  </si>
  <si>
    <t>11/02/20 at 10:30am</t>
  </si>
  <si>
    <t>EN#2121891 , INV#YD20-T14</t>
  </si>
  <si>
    <t>MOAU1443059</t>
  </si>
  <si>
    <t>JPC</t>
  </si>
  <si>
    <t>EN#2122270,INV#, GATEFEE10/26</t>
  </si>
  <si>
    <t>1600+32</t>
  </si>
  <si>
    <t>KOCU4442239</t>
  </si>
  <si>
    <t>GHC D-04010+PAPER BOXES</t>
  </si>
  <si>
    <t>EN#2123010,INV#DL-AIT2050A.TR,GATEFEE10/22</t>
  </si>
  <si>
    <t>TCNU5987422</t>
  </si>
  <si>
    <t>EN#212234, INV#20NSS0344,GATEFEE10/22</t>
  </si>
  <si>
    <t>TCLU9682126</t>
  </si>
  <si>
    <t xml:space="preserve">GHC D-04010/ D-04041/PLUM/AMERICAN GINSENG </t>
  </si>
  <si>
    <t>EN#2122343, INV#20NSS0345,GATEFEE10/22</t>
  </si>
  <si>
    <t>EGHU9677757</t>
  </si>
  <si>
    <t>GINGER CHEW  40 BAGS X113 GR.</t>
  </si>
  <si>
    <t>11/3/2020 around noon</t>
  </si>
  <si>
    <t>EN#2122348.INV#146/EXP/INV/lX/12020，OBL9/29</t>
  </si>
  <si>
    <t>GAOU6236611</t>
  </si>
  <si>
    <t>GINGER CHEW</t>
  </si>
  <si>
    <t>EN#2122587,INV#</t>
  </si>
  <si>
    <t>EGHU9855421</t>
  </si>
  <si>
    <t>GINGER CHEW F-04113 F-04114 F-04115 F-04112  F-04116</t>
  </si>
  <si>
    <t>EN#2122370, INV#EXP/POP34586/052/20IX79</t>
  </si>
  <si>
    <t>TCLU9728037</t>
  </si>
  <si>
    <t>EN#2123009,INV#20NSS0341,TR</t>
  </si>
  <si>
    <t>TLLU6843077</t>
  </si>
  <si>
    <t>YNBY TOOTHPASTE</t>
  </si>
  <si>
    <t>EN# K80-2122550-4,INV#,OBL10/7,GATEFEE10/15</t>
  </si>
  <si>
    <t>TLLU5652311</t>
  </si>
  <si>
    <t>10/30/2020 around noon</t>
  </si>
  <si>
    <t>EN#2122247,INV#</t>
  </si>
  <si>
    <t>TCLU6640488</t>
  </si>
  <si>
    <t>10/29/20 @1pm</t>
  </si>
  <si>
    <t>EN#21212020,INV#20NSS0340,TR</t>
  </si>
  <si>
    <t>CAAU5164177</t>
  </si>
  <si>
    <t>GINGER CHEW  F-04112/ F-04113/ F-04114/ F-04115/  F-04116</t>
  </si>
  <si>
    <t>Drop and pick on 10/26 @ 1500</t>
  </si>
  <si>
    <t>EN#2122021.INV#EXP/POP34586/050/20IX76</t>
  </si>
  <si>
    <t>TCNU3142318</t>
  </si>
  <si>
    <t>EN#2121982 ,INV#20NSS0338,TR</t>
  </si>
  <si>
    <t>FCIU5511030</t>
  </si>
  <si>
    <t>10/29/2020 around 2pm</t>
  </si>
  <si>
    <t>EN#2122271,INV#，carrier deleted MBL in Customs, 10/21 back in Customs</t>
  </si>
  <si>
    <t>TCNU7317116</t>
  </si>
  <si>
    <t>10/27 @ 1500.</t>
  </si>
  <si>
    <t>EN#2121726-1, INV# DL- AIT2037A，TR</t>
  </si>
  <si>
    <t>TLLU5287965</t>
  </si>
  <si>
    <t>Drop and pick on 10/26 @ 0800</t>
  </si>
  <si>
    <t>EN#2121969, INV#DL- AIT2039A</t>
  </si>
  <si>
    <t>EITU1946341</t>
  </si>
  <si>
    <t>Zess F-87101/F-87102/F-87103/F-87110/F-87111/F-87112/F-87113/F-87114/F-87121/F-87125/F-87126/F-87129</t>
  </si>
  <si>
    <t>EN#2122140  , INV#POP-03/20,OBL9/11</t>
  </si>
  <si>
    <t>TTNU8142709</t>
  </si>
  <si>
    <t>EN#2122246,INV#,GATEFEE10/15</t>
  </si>
  <si>
    <t>EGHU9167183</t>
  </si>
  <si>
    <t>GINGER CHEWS ORIGINAL 8OZ. (8 BAGS X 227 GR)-F-04070</t>
  </si>
  <si>
    <t>10/22 @ 1330</t>
  </si>
  <si>
    <t>EN#2122081,INV#137/EXP/INV/VIII/2020,OBL9/11</t>
  </si>
  <si>
    <t>BMOU5813746</t>
  </si>
  <si>
    <t>GINGER CHEW F-04026//F-04057/F-04058/F-04059</t>
  </si>
  <si>
    <t>EN#2121423-5, INV#EXP/POP34584/047/20VIII72</t>
  </si>
  <si>
    <t>FCIU7514850</t>
  </si>
  <si>
    <r>
      <rPr>
        <rFont val="Arial"/>
        <color rgb="FF000000"/>
        <sz val="11.0"/>
      </rPr>
      <t>GINGER CHEW F-04112/F-04113/F-04114/F-04115/F-04116</t>
    </r>
    <r>
      <rPr>
        <rFont val="Arial"/>
        <color rgb="FFFF0000"/>
        <sz val="11.0"/>
      </rPr>
      <t xml:space="preserve"> </t>
    </r>
  </si>
  <si>
    <t>EN#2121382-3,INV#EXP/POP34583/046/20VIII71</t>
  </si>
  <si>
    <t>575+607</t>
  </si>
  <si>
    <t>FSCU8616882</t>
  </si>
  <si>
    <t>GHC D-04041/D-04043</t>
  </si>
  <si>
    <t>EN#2121949,INV#20NSS0343,TR,GATEFEE10/8</t>
  </si>
  <si>
    <t>TLLU4132043</t>
  </si>
  <si>
    <t>GINGER CHEWS 40 BAGS X 113 GR.F-04013</t>
  </si>
  <si>
    <t>EN#2120749-4,INV#I3O/EXP/INV NIIU2O2O,OBL8/26,GATEFEE10/8</t>
  </si>
  <si>
    <t>TRLU8905179</t>
  </si>
  <si>
    <t>MYKUALI</t>
  </si>
  <si>
    <t>EN#2121464-9,INV#2008-00074,</t>
  </si>
  <si>
    <t>TGBU6350850</t>
  </si>
  <si>
    <t>10/16 @ 0830</t>
  </si>
  <si>
    <t>EN#2121724,INV#DL-AIT2032A</t>
  </si>
  <si>
    <t>KOCU4658444</t>
  </si>
  <si>
    <t>GHC 04010</t>
  </si>
  <si>
    <t>10/19 @ 0830</t>
  </si>
  <si>
    <t>EN#2121723,INV#DL-AIT2031A</t>
  </si>
  <si>
    <t>BEAU5469620</t>
  </si>
  <si>
    <t>GHC D-04011/ D-04041</t>
  </si>
  <si>
    <t>Drop  and pick on 10/20 @ 0800</t>
  </si>
  <si>
    <t>EN#2121893-9,INV#20NSS0337,OBL9/23</t>
  </si>
  <si>
    <t>KKFU8012726</t>
  </si>
  <si>
    <t>Drop and pick on 10/20 @ 1330</t>
  </si>
  <si>
    <t>EN#2121725,INV#20NSS0335 ,OBL9/23</t>
  </si>
  <si>
    <t>OOLU6159086</t>
  </si>
  <si>
    <t>ALUMINIUM FOIL</t>
  </si>
  <si>
    <t>NOT REQUIRED</t>
  </si>
  <si>
    <t>EN#.INV#INV2009-018</t>
  </si>
  <si>
    <t>EISU3798804</t>
  </si>
  <si>
    <r>
      <rPr>
        <rFont val="Arial"/>
        <color rgb="FF000000"/>
        <sz val="11.0"/>
      </rPr>
      <t xml:space="preserve">S-06011/06021/06031/06012/06022/06032/
06040       </t>
    </r>
    <r>
      <rPr>
        <rFont val="Arial"/>
        <b/>
        <color rgb="FF000000"/>
        <sz val="11.0"/>
      </rPr>
      <t xml:space="preserve">  SOAP </t>
    </r>
  </si>
  <si>
    <t>10/12/20 @10:30am</t>
  </si>
  <si>
    <t>EN#2121422-7, INV#SS2006084-N</t>
  </si>
  <si>
    <t>NS3164</t>
  </si>
  <si>
    <t>69(LCL)</t>
  </si>
  <si>
    <t>TEMU9101173</t>
  </si>
  <si>
    <t xml:space="preserve">2021 CALENDARS DOCS </t>
  </si>
  <si>
    <t>NO FDA</t>
  </si>
  <si>
    <t>EN#2122150, INV#9092020</t>
  </si>
  <si>
    <t>CAIU8701523</t>
  </si>
  <si>
    <t>GHC D-04010/D-04011</t>
  </si>
  <si>
    <t>10/8 noon</t>
  </si>
  <si>
    <t>EN#2121948,INV#20NSS0342,TR</t>
  </si>
  <si>
    <t>TGBU6485861</t>
  </si>
  <si>
    <t>GINGER CHEW F-04026/F-04056/F-04057/F-04058/F-04059/F-04114</t>
  </si>
  <si>
    <t>10/13 @ 0830</t>
  </si>
  <si>
    <t>EN#2121465-6,INV#EXP/POP34585/048/20VIII73</t>
  </si>
  <si>
    <t>TGBU7745860</t>
  </si>
  <si>
    <t>10/6 @ 0830</t>
  </si>
  <si>
    <t>EN#2120686-8,INV#090/EXP/PI/V/2020R1，OBL8/26</t>
  </si>
  <si>
    <t>OCGU2031131</t>
  </si>
  <si>
    <r>
      <rPr>
        <rFont val="Arial"/>
        <color rgb="FF000000"/>
        <sz val="11.0"/>
      </rPr>
      <t>GINGER CHEWS(</t>
    </r>
    <r>
      <rPr>
        <rFont val="Arial"/>
        <b/>
        <color rgb="FFCC0000"/>
        <sz val="11.0"/>
      </rPr>
      <t>RC COMMERCE</t>
    </r>
    <r>
      <rPr>
        <rFont val="Arial"/>
        <color rgb="FF000000"/>
        <sz val="11.0"/>
      </rPr>
      <t>)</t>
    </r>
  </si>
  <si>
    <t>EN#2120687-6,INV#113/EXP/PI/VI/2020,OBL8/26</t>
  </si>
  <si>
    <t>DRYU9473368</t>
  </si>
  <si>
    <t>Drop and pick on 10/8 @ 0830</t>
  </si>
  <si>
    <t>EN#2121437-5,INV#20NSS0336,OBL9/11</t>
  </si>
  <si>
    <t>TGBU6484417</t>
  </si>
  <si>
    <t>Drop and pick on 10/9 @ 0930</t>
  </si>
  <si>
    <t>EN#2121383-1, INV#DL-AIT2026A,OBL9/11</t>
  </si>
  <si>
    <t>UETU4044457</t>
  </si>
  <si>
    <t>10/5  around noon</t>
  </si>
  <si>
    <t>EN#2121380 INV#IMP10-20-06326</t>
  </si>
  <si>
    <t>DRYU9923341</t>
  </si>
  <si>
    <t>EN#2121438-3,INV#20NSS0334,OBL9/11,GATEFEE9/22</t>
  </si>
  <si>
    <t>TLLU4051466</t>
  </si>
  <si>
    <t>ORGANIC TEA D-13200N/D-13220N/D-14200N/D-15200N/D-18200N/D-18220N</t>
  </si>
  <si>
    <t>10/7 @ 0930</t>
  </si>
  <si>
    <t>EN#2121219  ,INV#YD20-T08</t>
  </si>
  <si>
    <t>MSKU4088145</t>
  </si>
  <si>
    <t>drop and pick on 9/29 @ 0815</t>
  </si>
  <si>
    <t>EN# 2120669,INV#</t>
  </si>
  <si>
    <t>TGBU6916892</t>
  </si>
  <si>
    <t>drop and pick on 9/30 @ 0815</t>
  </si>
  <si>
    <t>EN#2121256-9,INV#2008-00046</t>
  </si>
  <si>
    <t>TGBU7297350</t>
  </si>
  <si>
    <t>Drop and pick on 9/25 @ 1015</t>
  </si>
  <si>
    <t>EN#2121144-7, INV#EXP/POP34393/045/20VIII70</t>
  </si>
  <si>
    <t>EITU1061792</t>
  </si>
  <si>
    <t>GINGER CHEWS 6DB X 12 POUCH X 113 GR.- F-04111</t>
  </si>
  <si>
    <t>Drop and pick o 9/28 @ 1015</t>
  </si>
  <si>
    <t>EN#2121018,INV#133/EXP/INV/VIII/2020,OBL9/2</t>
  </si>
  <si>
    <t>APRU5753507</t>
  </si>
  <si>
    <t>DELACRE</t>
  </si>
  <si>
    <t>EN#2121257-7</t>
  </si>
  <si>
    <t>HLBU9110214</t>
  </si>
  <si>
    <t>EN#2121260-1, INV#,OBL9/16</t>
  </si>
  <si>
    <t>FDCU0349482</t>
  </si>
  <si>
    <r>
      <rPr>
        <rFont val="Arial"/>
        <color rgb="FF000000"/>
        <sz val="11.0"/>
      </rPr>
      <t xml:space="preserve">GHC 18g x 60 x 15 bags </t>
    </r>
    <r>
      <rPr>
        <rFont val="Arial"/>
        <b/>
        <color rgb="FF990000"/>
        <sz val="11.0"/>
      </rPr>
      <t>(RC COMMERCE)</t>
    </r>
  </si>
  <si>
    <t xml:space="preserve">Monday, 09/28/20 09:00am. </t>
  </si>
  <si>
    <t>EN#2120495, INV#20NSS0329A,OBL8/19.9/9  PT was issued so this will go for further exam and exam charges will be needed,9/16not yet arrived eta 9/18, HM will move to exam site once it arrives,9/23 as pulled out last night by H&amp;M, currently awaiting exam. Released 9/23</t>
  </si>
  <si>
    <t>NYKU4975837</t>
  </si>
  <si>
    <t>drop and pick on 9/24 @ 0830</t>
  </si>
  <si>
    <t>EN#2120497, INV #20NSS0327,OBL8/19</t>
  </si>
  <si>
    <t>CRSU9271669</t>
  </si>
  <si>
    <t>Drop and pick on 9/23 @ 0900</t>
  </si>
  <si>
    <t>EN#2121135-5,INV#20NSS0332,OBL9/2</t>
  </si>
  <si>
    <t>GESU5833690</t>
  </si>
  <si>
    <t>9/22 @ 0800</t>
  </si>
  <si>
    <t xml:space="preserve">EN#2121137-1,INV#20NSS0333,OBL9/2
</t>
  </si>
  <si>
    <t>CRSU9271550</t>
  </si>
  <si>
    <t>EN#2121136-3,INV#20NSS0331,OBL9/2,GATEFEE9/11</t>
  </si>
  <si>
    <t>MOTU0649490</t>
  </si>
  <si>
    <t>EN#2120751-0,INV#20NSS0330,OBL8/24</t>
  </si>
  <si>
    <t>1000+680</t>
  </si>
  <si>
    <t>HMMU6024735</t>
  </si>
  <si>
    <t>GHC D-04041/D-04010</t>
  </si>
  <si>
    <t>EN#2121155-3,INV#DL-AIT2028A,OBL9/1,GATEFEE9/11</t>
  </si>
  <si>
    <t>UAEU1260584</t>
  </si>
  <si>
    <t>EN#2121259-3，</t>
  </si>
  <si>
    <t>HLBU9337255</t>
  </si>
  <si>
    <t>9/22 to move to exam site</t>
  </si>
  <si>
    <t xml:space="preserve">Friday around </t>
  </si>
  <si>
    <t>EN#2121258-5,Tuesday 9/22 to move to exam site, demurrage will be needed, $350 a day starting 9/19, 9/18 Need to move to Price for exam, LFD 9/18  | Earliest appt. Tuesday 9/22 Demurrage needed</t>
  </si>
  <si>
    <t>TGBU6002963</t>
  </si>
  <si>
    <t>EN#2120329-5,INV#121/EXP/INV/VII/2020,OBL8/12</t>
  </si>
  <si>
    <t>HMCU1104503</t>
  </si>
  <si>
    <t>EN#2120328-7,INV#EXP/POP34392/042/20VII66</t>
  </si>
  <si>
    <t>GESU6810322</t>
  </si>
  <si>
    <t>pull by 9/17 and drop and pick on 9/18 @ 1030</t>
  </si>
  <si>
    <t>EN#2120752-8,INV#20NSS0329,OBL9/1</t>
  </si>
  <si>
    <t>EMCU3934786</t>
  </si>
  <si>
    <t>SOAP(SANDALWOOD/JASMINE/ROSE/GINSENG/CITRONELLA/SUL/FAN BRAND SOUP)</t>
  </si>
  <si>
    <t>EN#2121261-9,INV#SS2006083-N</t>
  </si>
  <si>
    <t>851CS+328PCS</t>
  </si>
  <si>
    <t>EITU1784235</t>
  </si>
  <si>
    <t xml:space="preserve">CHINESE TEA D-13200N/D-14200N/D-15200N/D-18200N/D-60013B/D-60015B/D-60018B/D-60023B/D-60011B/+PACKING </t>
  </si>
  <si>
    <t>EN#2121068,INV#20TM030,OBL9/2</t>
  </si>
  <si>
    <t>TCLU8247119</t>
  </si>
  <si>
    <t>GHC D-04011/D-04020/D-04030/04036/D-41986</t>
  </si>
  <si>
    <t>9/17 @ 1030</t>
  </si>
  <si>
    <t>EN#2120253,INV#20NSS0325,OBL8/14</t>
  </si>
  <si>
    <t>FSCU8562847</t>
  </si>
  <si>
    <t>9/15 @ 0830</t>
  </si>
  <si>
    <t>EN#2120254,INV#20NSS0326,OBL8/14</t>
  </si>
  <si>
    <t>OOLU2065116</t>
  </si>
  <si>
    <t>live unload on 9/10 @1030.</t>
  </si>
  <si>
    <t>EN#2121692,INV#78619</t>
  </si>
  <si>
    <t>HLBU9180844</t>
  </si>
  <si>
    <t>pull on 9/14 afternoon and deliver on 9/15 around 10am-12pm</t>
  </si>
  <si>
    <t>EN#2120432.INV#IMP10-20-05860-01</t>
  </si>
  <si>
    <t>YMLU8919590</t>
  </si>
  <si>
    <t>EN#2120753-6,INV#DL-AIT2027A,OBL8/24,GATEFEE8/26</t>
  </si>
  <si>
    <t>EGHU9662910</t>
  </si>
  <si>
    <t>9/14 @ 0830</t>
  </si>
  <si>
    <t>EN#2119770-3,INV#082/EXP/PI/V/2020,OBL7/17</t>
  </si>
  <si>
    <t>TCLU4943058</t>
  </si>
  <si>
    <t xml:space="preserve">CHINESE TEA(D-13300N/D-13220N/D-13100N/D-15220N/D-14100N/D-171000/D-18100N)
</t>
  </si>
  <si>
    <t>EN#2120834-4,INV#YD20-T09</t>
  </si>
  <si>
    <t>MSKU7896888</t>
  </si>
  <si>
    <t>Panax Ginseng Extractum10x10, Red Ginseng with Royal Jelly10x30</t>
  </si>
  <si>
    <t>EN#2120144-8,INV#2020TAT03,GATEFEE8/27</t>
  </si>
  <si>
    <t>EITU1956782</t>
  </si>
  <si>
    <t>GINGER CHEW F-04113 F-04114 F-04115 F-04112</t>
  </si>
  <si>
    <t>9/9 @ 0830</t>
  </si>
  <si>
    <t>EN#2120039-0,INV#EXP/POP34322/040/20VII63</t>
  </si>
  <si>
    <t>EITU1415582</t>
  </si>
  <si>
    <t>9/10 @ 1015</t>
  </si>
  <si>
    <t>EN#2120038-2,EXP/POP34391/041/20VII64</t>
  </si>
  <si>
    <t>EITU9147568</t>
  </si>
  <si>
    <t>URGENT</t>
  </si>
  <si>
    <t>EN#2120313-9,INV#120/EXP/INV/VII/2020,OBL8/12</t>
  </si>
  <si>
    <t>TRLU7461090</t>
  </si>
  <si>
    <t>EN#2120498,INV#20NSS0328,OBL8/19,GATEFEE8/26</t>
  </si>
  <si>
    <t>430+500</t>
  </si>
  <si>
    <t>TCNU4900114</t>
  </si>
  <si>
    <t>EN#2120252 ,INV#20NSS0324,GATEFEE 9/1</t>
  </si>
  <si>
    <t>TRHU1749501</t>
  </si>
  <si>
    <t xml:space="preserve"> 8/25 @ 1:00</t>
  </si>
  <si>
    <t>EN#2120673-6,INV#93889695</t>
  </si>
  <si>
    <t>EITU1425678</t>
  </si>
  <si>
    <t>GINGER CHEWS F-04026, F-04058 &amp; F-04059</t>
  </si>
  <si>
    <t>9/1 or 9/2</t>
  </si>
  <si>
    <t>EN#2119581,INV#EXP/POP34323/038/20VII60</t>
  </si>
  <si>
    <t>550+800</t>
  </si>
  <si>
    <t>TCLU8279728</t>
  </si>
  <si>
    <t>GHC D-04010/D-04041</t>
  </si>
  <si>
    <t>8/28 @ 0830</t>
  </si>
  <si>
    <t>EN#2119982, INV#20NSS0322,OBL8/4</t>
  </si>
  <si>
    <t>TCLU8491676</t>
  </si>
  <si>
    <r>
      <rPr>
        <rFont val="Arial"/>
        <color rgb="FF000000"/>
        <sz val="11.0"/>
      </rPr>
      <t xml:space="preserve">GHC D-04011  </t>
    </r>
    <r>
      <rPr>
        <rFont val="Arial"/>
        <b/>
        <color rgb="FFCC0000"/>
        <sz val="11.0"/>
      </rPr>
      <t>(RC COMMERCE ORDER)</t>
    </r>
  </si>
  <si>
    <t>09/02/20 at 09:00am</t>
  </si>
  <si>
    <t>EN#2119980,INV#20NSS0322A,OBL8/4</t>
  </si>
  <si>
    <t>FFAU1494343</t>
  </si>
  <si>
    <t>EN#2119983,INV#20NSS0323 ,OBL8/4</t>
  </si>
  <si>
    <t>TRLU7446579</t>
  </si>
  <si>
    <t>GHC LEMON (D-04041 &amp; D-04043)</t>
  </si>
  <si>
    <t>EN#2119630 , INV#20NSS0320,OBL7/30,GATEFEE8/17</t>
  </si>
  <si>
    <t>EGHU9820092</t>
  </si>
  <si>
    <t>8/24 @ 0830</t>
  </si>
  <si>
    <t>EN#2119771-1,INV#083/EXP/PI/V/2020,OBL7/27</t>
  </si>
  <si>
    <t>DRYU9450341</t>
  </si>
  <si>
    <t>ORGANIC TEA D-13200N/D-13220N/D-14200N/D-15200N/D-18220N</t>
  </si>
  <si>
    <t>EN#2119976-6,INV#YD20-T07, T/R</t>
  </si>
  <si>
    <t>MEDU5519218</t>
  </si>
  <si>
    <t>THAI TEA 3 IN 1 35G*12*28BAGS</t>
  </si>
  <si>
    <t>EN#2119244-9;INV#EII200000495,OBL7/15,GATEFEE8/11</t>
  </si>
  <si>
    <t>TRHU1276780</t>
  </si>
  <si>
    <t>EN#2119855  ,INV#MP202034475,GATEFEE8/11</t>
  </si>
  <si>
    <t>BMOU5252727</t>
  </si>
  <si>
    <t xml:space="preserve"> 8/20 @ 11:30am</t>
  </si>
  <si>
    <t>EN#2119629,INV#20NSS0321,OBL8/4</t>
  </si>
  <si>
    <t>BEAU5169290</t>
  </si>
  <si>
    <t xml:space="preserve"> 8/20/20 @10:15am</t>
  </si>
  <si>
    <t>EN#2118352 ; INV.#088/EXP/INV/V2020,OBL 6/29</t>
  </si>
  <si>
    <t>EITU1192811</t>
  </si>
  <si>
    <t>GINGER CHEWS 4OZ (12ct/cs)(lemon/orange/mango/lychee/peanut butter)</t>
  </si>
  <si>
    <t>8/19 @ 1015</t>
  </si>
  <si>
    <t>EN#2118354-7 ; INV.#EXP/POP34320/032/20V120</t>
  </si>
  <si>
    <t>EITU1517814</t>
  </si>
  <si>
    <t>8/20 @ 0815</t>
  </si>
  <si>
    <t>EN#2118689-6 ;INV#091/EXP/INV/VI/2020;OBL7/7</t>
  </si>
  <si>
    <t>DRYU3103411</t>
  </si>
  <si>
    <t>EN#2119160-7,INVE#93876889,GATEFEE8/7</t>
  </si>
  <si>
    <t>EISU8273038</t>
  </si>
  <si>
    <t>EN#2119390-0;INV#EXP/POP34321/035/20VII56</t>
  </si>
  <si>
    <t>TTNU8264944</t>
  </si>
  <si>
    <t>Saint Honore Moon Cake (F-95816/F-95814/F-95826/F-95823/F-95812/F-98513/F-95817)</t>
  </si>
  <si>
    <t>8/19/2020 9-10am</t>
  </si>
  <si>
    <t>EN#2119526-9,INV#MC-O-202005,OBL7/31,Health Cert to GW7/30,8/10 AQI hold,LFD 8/13,demurrage needed, $618.74 for Friday ($595.00 plus credit card processing fee $23.74)
If not picked up until 8/17 will be $3,447.27 ($3,315.00 plus credit card processing fee $132.27),Original Vet Certificates sent to NY USDA, 8/18 sent follow up to AQI again, waiting for response, advised that they are working through it at first come first base and still working on ones that arrived earlier, should probably get to it by 8/20</t>
  </si>
  <si>
    <t>EISU9202928</t>
  </si>
  <si>
    <t>GHC(D-04011)</t>
  </si>
  <si>
    <t xml:space="preserve"> 8/19 @ 0815</t>
  </si>
  <si>
    <t>EN#2119442,INV#20NSS0317,OBL8/4</t>
  </si>
  <si>
    <t>DRYU9535726</t>
  </si>
  <si>
    <t>8/18 @ 1015</t>
  </si>
  <si>
    <t>EN#2119444  .INV#20NSS0318,OBL8/4</t>
  </si>
  <si>
    <t>EITU0576957</t>
  </si>
  <si>
    <t>SIAM'S DRIED MANGO J-72530/J-72531/J-72532</t>
  </si>
  <si>
    <t>EN#2119780-2;INV#IV6306115,GATEFEE8/7</t>
  </si>
  <si>
    <t>THAILAND</t>
  </si>
  <si>
    <t>706CS+720PCS</t>
  </si>
  <si>
    <t>FFAU1536900</t>
  </si>
  <si>
    <t>CHINESE TEA(D-13200N/D-14200N/D-19200/D-60013B/D-60012B)
+PACKING</t>
  </si>
  <si>
    <t>EN#2119892; INV#20TM025,OBL 7/30,GATEFEE8/7</t>
  </si>
  <si>
    <t>SZLU9547223</t>
  </si>
  <si>
    <t>TWW Molten mooncakes F-96020</t>
  </si>
  <si>
    <t>8/13/2020 drop</t>
  </si>
  <si>
    <t>EN#2119821,INV#.17/7/2020HKT Health Cert8/4,GATEFEE8/7</t>
  </si>
  <si>
    <t>EITU1951184</t>
  </si>
  <si>
    <t xml:space="preserve"> 8/14 @ 0930</t>
  </si>
  <si>
    <t>EN#2119627 ,INV#073/EXP/IV/2020,OBL7/17</t>
  </si>
  <si>
    <t>SEGU5987998</t>
  </si>
  <si>
    <t>8/17 @ 1030</t>
  </si>
  <si>
    <t xml:space="preserve">EN#2119891-7,INV#POP-02/20,OBL 7/23,FDA exam/sample request,8/17 @ 10308-18 FDA requested photos and info, instructions forwarded via email" </t>
  </si>
  <si>
    <t>TEMU6255447</t>
  </si>
  <si>
    <t>8/13 noon</t>
  </si>
  <si>
    <t>EN#2119628,INV##081/EXP/V/2020,OBL7/17</t>
  </si>
  <si>
    <t>TGBU6962054</t>
  </si>
  <si>
    <t>8/7 noon</t>
  </si>
  <si>
    <t>EN#2118688-8 ;INV#090/EXP/INV/VI2020,OBL7/7</t>
  </si>
  <si>
    <t>CGMU5413123</t>
  </si>
  <si>
    <t>EN#2119525-1,INV#MC-O-2020004,OBL7/31</t>
  </si>
  <si>
    <t>MOTU6707103</t>
  </si>
  <si>
    <t>GHC(D-04043/D-04036/D-04030/D-41986)</t>
  </si>
  <si>
    <t>EN#2119441-1,INV#20NSS0319,OBL7/17，OBL7/29</t>
  </si>
  <si>
    <t>FSCU4851501</t>
  </si>
  <si>
    <t>GHC(D-04010)</t>
  </si>
  <si>
    <t xml:space="preserve"> 8/6 @ 1530</t>
  </si>
  <si>
    <t>EN#2119138, INV#20NSS0316,OBL7/14</t>
  </si>
  <si>
    <t>TCNU2199108</t>
  </si>
  <si>
    <t>8/10 @ 1030</t>
  </si>
  <si>
    <t>EN#2119353;INV#US-200701，OBL7/10</t>
  </si>
  <si>
    <t>34516
NS3161</t>
  </si>
  <si>
    <t>TCKU4511231</t>
  </si>
  <si>
    <r>
      <rPr>
        <rFont val="Arial"/>
        <color rgb="FF000000"/>
        <sz val="11.0"/>
      </rPr>
      <t>Red Panax Ginseng Extractum, American Ginseng with Royal Jelly &amp;amp; Bee Pollen,Instant Tea Chinese Herbal Formula/</t>
    </r>
    <r>
      <rPr>
        <rFont val="Arial"/>
        <b/>
        <color rgb="FFCC0000"/>
        <sz val="11.0"/>
      </rPr>
      <t>MACHINE</t>
    </r>
  </si>
  <si>
    <t>EN#2119146, INV#DL-AIT20004,OBL7/14，GATEFEE7/27</t>
  </si>
  <si>
    <t>69+100
(LCL)</t>
  </si>
  <si>
    <t>HMMU9017806</t>
  </si>
  <si>
    <t>SIAM'S DRIED  MANGO SAMPLE+ FLOOR DISPLAYS</t>
  </si>
  <si>
    <t>EN#2118808,INV#IV6306100</t>
  </si>
  <si>
    <t>MRSU3433850</t>
  </si>
  <si>
    <t>ORGANIC GREEN/WHITE/OOLONG/BLACK</t>
  </si>
  <si>
    <t>8/6 @ 0815</t>
  </si>
  <si>
    <t>EN#2118687 ; INV.#YD20-T05</t>
  </si>
  <si>
    <t>EGHU9845064</t>
  </si>
  <si>
    <t>GINGER CHEW 4OZ(ORANGE/LYCHEE/MANGO/LEMON)</t>
  </si>
  <si>
    <t xml:space="preserve"> 7/31 around noon</t>
  </si>
  <si>
    <t>EN#2118744-9,INV#EXP/POP34319/033/20V153</t>
  </si>
  <si>
    <t>TRHU1351591</t>
  </si>
  <si>
    <t>live 8/4 @ 0830</t>
  </si>
  <si>
    <t>EN#2119249-8;INV#EII200000496,OBL7/16</t>
  </si>
  <si>
    <t>TEMU8890170</t>
  </si>
  <si>
    <t>ORGANIC TEA(GREEN/JASMINE/OOLONG/WHITE)</t>
  </si>
  <si>
    <t>720/2020</t>
  </si>
  <si>
    <t>EN#2119289-4,INV#YD20-T06,TR</t>
  </si>
  <si>
    <t>TCLU9160190</t>
  </si>
  <si>
    <t>ORGANIC GREEN/JASMINE/OOLONG</t>
  </si>
  <si>
    <t>7/24 @ 1015</t>
  </si>
  <si>
    <t>EN#2118092-3; INV.#YD20-T04</t>
  </si>
  <si>
    <t>FCIU3025300</t>
  </si>
  <si>
    <t xml:space="preserve"> 7/23 @ 0900 - 1000</t>
  </si>
  <si>
    <t>EN#2119276-1,INV#SI-2004955</t>
  </si>
  <si>
    <t>KKFU7863892</t>
  </si>
  <si>
    <t xml:space="preserve">
7/30 at 1:30pm take sample</t>
  </si>
  <si>
    <r>
      <rPr>
        <rFont val="Arial"/>
        <color rgb="FFFF9900"/>
        <sz val="11.0"/>
      </rPr>
      <t>EN#2119143  , INV#20NSS0315,OBL7/9</t>
    </r>
    <r>
      <rPr>
        <rFont val="Arial"/>
        <b/>
        <color rgb="FFFF9900"/>
        <sz val="11.0"/>
      </rPr>
      <t>,FDA DETAINED</t>
    </r>
    <r>
      <rPr>
        <rFont val="Arial"/>
        <color rgb="FFFF9900"/>
        <sz val="11.0"/>
      </rPr>
      <t xml:space="preserve">,sample took 7/30,8/5 Extension granted until 9/17, handed in to A/C 8/12 by request,8/14 Lab results under technical review
</t>
    </r>
  </si>
  <si>
    <t>TCNU8610005</t>
  </si>
  <si>
    <t>GHC (D-04011 &amp; D-04030)</t>
  </si>
  <si>
    <t>EN#2119145 INV#20NSS0314,OBL7/9</t>
  </si>
  <si>
    <t>BMOU5419244</t>
  </si>
  <si>
    <t>GHC--&gt; D-04010</t>
  </si>
  <si>
    <t>7/20 @ 0815</t>
  </si>
  <si>
    <t>EN#2118472; INV.#20NSS0312,OBL 6/30</t>
  </si>
  <si>
    <t>CAIU2996710</t>
  </si>
  <si>
    <t>EN#2118004-8; INV.#93869031</t>
  </si>
  <si>
    <t>EGHU9607045</t>
  </si>
  <si>
    <t>7/17 @ 0830</t>
  </si>
  <si>
    <t>EN#2117219-3; INV.#076/EXP/INV/V2020,OBL 6/3</t>
  </si>
  <si>
    <t>HMCU9222858</t>
  </si>
  <si>
    <t>7/16 @ 0830</t>
  </si>
  <si>
    <t>EN#2117220-1; INV.#078/EXP/INV/V2020,OBL 6/3</t>
  </si>
  <si>
    <t>TGCU0211050</t>
  </si>
  <si>
    <r>
      <rPr>
        <rFont val="Arial"/>
        <color rgb="FF000000"/>
        <sz val="11.0"/>
      </rPr>
      <t>GHC (D-04011 /D-04041/ D-04030/</t>
    </r>
    <r>
      <rPr>
        <rFont val="Arial"/>
        <b/>
        <color rgb="FFCC0000"/>
        <sz val="11.0"/>
      </rPr>
      <t>P-DF10B</t>
    </r>
    <r>
      <rPr>
        <rFont val="Arial"/>
        <color rgb="FF000000"/>
        <sz val="11.0"/>
      </rPr>
      <t>)</t>
    </r>
  </si>
  <si>
    <t>7/22 noon</t>
  </si>
  <si>
    <t>EN#2118895,INV# 20NSS0313,OBL7/6</t>
  </si>
  <si>
    <t>TCNU5712317</t>
  </si>
  <si>
    <t>7/15 @ 0830</t>
  </si>
  <si>
    <t>EN#2118149-1; INV.#20NSS0312A,OBL6/30</t>
  </si>
  <si>
    <t>TCLU6568716</t>
  </si>
  <si>
    <t>GHC -LEMON(D-04043)</t>
  </si>
  <si>
    <t>7/14 @ 0830</t>
  </si>
  <si>
    <t>EN#2118150  ; INV.#20NSS0311A ,OBL6/30</t>
  </si>
  <si>
    <t>EISU1880600</t>
  </si>
  <si>
    <t>GINGER CHEW 1 LB
F-04002 F-04004 F-04005 F-04006 F-04008 F-04026</t>
  </si>
  <si>
    <t>EN#2117736-6; INV.#EXP/PO34043/031/20V50</t>
  </si>
  <si>
    <t>MRKU0588691</t>
  </si>
  <si>
    <r>
      <rPr>
        <rFont val="Arial"/>
        <color rgb="FF000000"/>
        <sz val="11.0"/>
      </rPr>
      <t xml:space="preserve">Red Panax Ginseng Extractum, Ultra Ginkgo Plus, Bejing royal jelly, Ultra Joint Health Liquid extract, </t>
    </r>
    <r>
      <rPr>
        <rFont val="Arial"/>
        <color rgb="FF0000FF"/>
        <sz val="11.0"/>
      </rPr>
      <t>D-Fense Aluminum Film</t>
    </r>
  </si>
  <si>
    <t>EN#2117791; INV.#DL-AIT20003,OBL 6/10,gate free7/7</t>
  </si>
  <si>
    <t>TLLU6060580</t>
  </si>
  <si>
    <t>GHC(D-04010)+ BAN LAN GEN</t>
  </si>
  <si>
    <r>
      <rPr>
        <rFont val="Arial"/>
        <color rgb="FF000000"/>
        <sz val="11.0"/>
      </rPr>
      <t>EN#2118093 ; INV.</t>
    </r>
    <r>
      <rPr>
        <rFont val="Arial"/>
        <color rgb="FFCC0000"/>
        <sz val="11.0"/>
      </rPr>
      <t>#20NSS0310</t>
    </r>
    <r>
      <rPr>
        <rFont val="Arial"/>
        <color rgb="FF000000"/>
        <sz val="11.0"/>
      </rPr>
      <t xml:space="preserve">,OBL6/23,gate free7/7
</t>
    </r>
  </si>
  <si>
    <t>MSKU7652222</t>
  </si>
  <si>
    <t>McVities</t>
  </si>
  <si>
    <t>EN#2118369, INV#93871241</t>
  </si>
  <si>
    <t>TTNU8448556</t>
  </si>
  <si>
    <t>TWW MOON CAKES(F-96030/32/33/34/39/40/41/21+TINS+PRINTS)</t>
  </si>
  <si>
    <t>EN#2118353-9,INV#WW18/2020,OBL Surrendered,orginal Health Certificate 7/8,GATE FEE 7/9</t>
  </si>
  <si>
    <t xml:space="preserve">
SZLU9231657</t>
  </si>
  <si>
    <t>TWW MOON CAKES(F-96032/33/34/35/36/37/46)</t>
  </si>
  <si>
    <t>EN#2118353-9,INV#WW17/2020,OBL Surrendered,orginal Health Certificate 7/8,GATE FEE 7/9</t>
  </si>
  <si>
    <t>ONEU0206596</t>
  </si>
  <si>
    <t>GHC- LEMON D-04043</t>
  </si>
  <si>
    <t>EN#2118473, INV#20NSS0314A,OBL6/30</t>
  </si>
  <si>
    <t>GAOU2151542</t>
  </si>
  <si>
    <t>KOREAN GINSENG TEA (K-80027/ 80024)</t>
  </si>
  <si>
    <t>7/13 @ 0900</t>
  </si>
  <si>
    <t>EN#2117875-2; INV.#KB200508, OBL 6/15</t>
  </si>
  <si>
    <t>ONEU0101893</t>
  </si>
  <si>
    <r>
      <rPr>
        <rFont val="Arial"/>
        <color rgb="FF000000"/>
        <sz val="11.0"/>
      </rPr>
      <t xml:space="preserve">GHC/GHC LEMON </t>
    </r>
    <r>
      <rPr>
        <rFont val="Arial"/>
        <b/>
        <color rgb="FFCC0000"/>
        <sz val="11.0"/>
      </rPr>
      <t>(H &amp; L</t>
    </r>
    <r>
      <rPr>
        <rFont val="Arial"/>
        <color rgb="FF000000"/>
        <sz val="11.0"/>
      </rPr>
      <t>)</t>
    </r>
  </si>
  <si>
    <t>7/9 around noon</t>
  </si>
  <si>
    <t>EN#2118091-5; INV.#20NSS0310B,OBL6/23</t>
  </si>
  <si>
    <t>EITU1317924</t>
  </si>
  <si>
    <t>GINGER CHEWS 4 OZ(LEMON/ORANGE/MANGO/LYCHEE)</t>
  </si>
  <si>
    <t>7/7 @ 1300</t>
  </si>
  <si>
    <t>EN#2116937; INV.#EXP/POP34252/027/20v45</t>
  </si>
  <si>
    <t>SEGU6692820</t>
  </si>
  <si>
    <t>GHC (D-04011)</t>
  </si>
  <si>
    <t xml:space="preserve"> 7/6 @ 0815</t>
  </si>
  <si>
    <t>EN#2117889-3; INV.#20NSS0311,OBL 6/15</t>
  </si>
  <si>
    <t>EISU2199910</t>
  </si>
  <si>
    <r>
      <rPr>
        <rFont val="Arial"/>
        <color rgb="FF000000"/>
        <sz val="11.0"/>
      </rPr>
      <t>GINGER CHEWS(</t>
    </r>
    <r>
      <rPr>
        <rFont val="Arial"/>
        <b/>
        <color rgb="FFCC0000"/>
        <sz val="11.0"/>
      </rPr>
      <t>RC COMMERCE</t>
    </r>
    <r>
      <rPr>
        <rFont val="Arial"/>
        <color rgb="FF000000"/>
        <sz val="11.0"/>
      </rPr>
      <t>)</t>
    </r>
  </si>
  <si>
    <t>7/6@9am</t>
  </si>
  <si>
    <t>EN#2117410-8; INV.#EXP/POP34005/028/20V48</t>
  </si>
  <si>
    <t>EISU8223546</t>
  </si>
  <si>
    <t>GINGER LEMON CHEWS 4 OZ</t>
  </si>
  <si>
    <t>6/29 @ 0815</t>
  </si>
  <si>
    <t>EN#2116938; INV.# EXP/POP33927/026/20V43</t>
  </si>
  <si>
    <t>HLBU2771439</t>
  </si>
  <si>
    <t>ORGANIC TEA(Oolong, White Tea, black tea, Green Tea, Ti Kuan Yin)</t>
  </si>
  <si>
    <t>EN#2117776-2, INV.#20TM015,OBL 6/23,Gatefee 6/26</t>
  </si>
  <si>
    <t>TGCU5084180</t>
  </si>
  <si>
    <t>GINGER CHEWS ORIGINAL 8OZ. (8 BAGS X 227 GR)</t>
  </si>
  <si>
    <t>EN#2116898-5; INV.#075/EXP/INV/V/2020;OBL 5/29</t>
  </si>
  <si>
    <t>TRLU7631453</t>
  </si>
  <si>
    <t>ORGANIC TEA - (D-13200N/13220N/
15200N/18200N/14100N)</t>
  </si>
  <si>
    <t>EN#2117128-6 ; INV.#YD20-T02</t>
  </si>
  <si>
    <t>DRYU9237254</t>
  </si>
  <si>
    <t>GHC - D-04011</t>
  </si>
  <si>
    <t>EN#2117390-2; INV.#20NSS0308,OBL 6/1</t>
  </si>
  <si>
    <t>DRYU9549530</t>
  </si>
  <si>
    <t>ORGANIC TEA - (D-13200N/14200N/
15200N/18200N/13100N/18100N)</t>
  </si>
  <si>
    <t>EN#2117585-7; INV.#YD20-T03</t>
  </si>
  <si>
    <t>TCKU356944</t>
  </si>
  <si>
    <t xml:space="preserve"> 6/19 @ 0930</t>
  </si>
  <si>
    <t>EN#2117877-8, PO#200016</t>
  </si>
  <si>
    <t>EITU1280933</t>
  </si>
  <si>
    <t>GINGER CHEWS (LEMON) 8 OZ X 227 GR.</t>
  </si>
  <si>
    <t xml:space="preserve">YES </t>
  </si>
  <si>
    <t>EN#2117221-9; INV.#077/EXP/INV/V2020,OBL 6/3</t>
  </si>
  <si>
    <t>KKFU8060719</t>
  </si>
  <si>
    <r>
      <rPr>
        <rFont val="Arial"/>
        <color rgb="FF000000"/>
        <sz val="11.0"/>
      </rPr>
      <t xml:space="preserve">GINGER HONEY CRYSTALS </t>
    </r>
    <r>
      <rPr>
        <rFont val="Arial"/>
        <b/>
        <color rgb="FF0000FF"/>
        <sz val="11.0"/>
      </rPr>
      <t>D-04016 60' BAG</t>
    </r>
    <r>
      <rPr>
        <rFont val="Arial"/>
        <color rgb="FF000000"/>
        <sz val="11.0"/>
      </rPr>
      <t xml:space="preserve">
</t>
    </r>
    <r>
      <rPr>
        <rFont val="Arial"/>
        <b/>
        <color rgb="FFCC0000"/>
        <sz val="11.0"/>
      </rPr>
      <t>(RC COMMERCE)</t>
    </r>
  </si>
  <si>
    <t>EN#2116964-5; INV.#20NSS0309B,OBL 6/1</t>
  </si>
  <si>
    <t>KKFU1782474</t>
  </si>
  <si>
    <t xml:space="preserve">G.H.C. ; GHC W/LEMON, GHC W/PLUM, RED DATE TEA. </t>
  </si>
  <si>
    <t>EN#2116965-2; INV.# 20NSS0309,OBL 6/1</t>
  </si>
  <si>
    <t>292
(LCL)</t>
  </si>
  <si>
    <t>SUDU5943264</t>
  </si>
  <si>
    <t>B Hew- NZ HONEY</t>
  </si>
  <si>
    <t>EN#2116899-3; INV.#604718</t>
  </si>
  <si>
    <t>BSIU2786112</t>
  </si>
  <si>
    <t>EN#2117570-9; INV.#KB200507,OBL 6/1,GATEFEE6/9</t>
  </si>
  <si>
    <t xml:space="preserve">FDCU0352151 </t>
  </si>
  <si>
    <t>G.H.C.(D-04011) ; GHC W/LEMON (D-04043)</t>
  </si>
  <si>
    <t>EN#2117573-3; INV.#20NSS0310A,OBL 6/10</t>
  </si>
  <si>
    <t>EITU1605108</t>
  </si>
  <si>
    <t>GINGER CHEWS lemon / mango 4oz 12x6</t>
  </si>
  <si>
    <t>EN#2116153; INV.# EXP/POP33926/020/20IV37</t>
  </si>
  <si>
    <t>TCNU3950002</t>
  </si>
  <si>
    <t>GINGER CHEWS 4oz (40ct)</t>
  </si>
  <si>
    <t>EN#2116094-1; INV.#064/EXP/INV/IV/2020; OBL 5/19</t>
  </si>
  <si>
    <t>TCLU8903602</t>
  </si>
  <si>
    <t>GHC W/LEMON, PAPER BOXES</t>
  </si>
  <si>
    <t>EN#2116963-7; INV.#20NSS0307; OBL 5/22,GATEFEE6/9</t>
  </si>
  <si>
    <t>BMOU5310994</t>
  </si>
  <si>
    <t>ORGANIC TEA &amp; PREMIUM TEA
(D-13220/14220/18200/18220/
19220/13100/14100/15100/16100)</t>
  </si>
  <si>
    <t>YYL(Ken,Matt, others)</t>
  </si>
  <si>
    <t>EN#2116893-6; INV.#YD20-T01</t>
  </si>
  <si>
    <t>LA - OAK</t>
  </si>
  <si>
    <t>195
(LCL)</t>
  </si>
  <si>
    <t>OOLU1820320</t>
  </si>
  <si>
    <t>EN#2116903-3; INV.#US-200501; 
OBL - 5/26</t>
  </si>
  <si>
    <t>TGHU5252070</t>
  </si>
  <si>
    <t>Red Panax Ginseng Extractum, Ultra Ginkgo Plus, Bejing royal jelly, Ultra Joint Health Liquid extract</t>
  </si>
  <si>
    <t>EN#2116152; INV.#DL-AIT20002;OBL 5/8</t>
  </si>
  <si>
    <t>102
(LCL)</t>
  </si>
  <si>
    <t>EMCU5379342</t>
  </si>
  <si>
    <t>FDA NOT REQUIRED</t>
  </si>
  <si>
    <t>EN#2116940; INV.# LFE-0507/20</t>
  </si>
  <si>
    <t>MRKU0503821</t>
  </si>
  <si>
    <t>EN#2116492-7; INV.# 2130</t>
  </si>
  <si>
    <t>TLLU2183674</t>
  </si>
  <si>
    <t>EN#2116939; INV.#KB200506; OBL 5/22</t>
  </si>
  <si>
    <t>IMTU3047121</t>
  </si>
  <si>
    <t>MYKUALI NOODLE</t>
  </si>
  <si>
    <t>EN#2116221; INV.#2004-00081</t>
  </si>
  <si>
    <t>950 + 868 KGS</t>
  </si>
  <si>
    <t>CLHU8620587</t>
  </si>
  <si>
    <r>
      <rPr>
        <rFont val="Calibri"/>
        <color rgb="FF000000"/>
        <sz val="11.0"/>
      </rPr>
      <t>GHC, GHC W/PLUM, GHC W/DK. BROWN SUGAR, DONG QUAI RED DATE TEA,</t>
    </r>
    <r>
      <rPr>
        <rFont val="Calibri"/>
        <color rgb="FFCC0000"/>
        <sz val="11.0"/>
      </rPr>
      <t xml:space="preserve"> INSTANT TEA FORMULA F IN BULK AND FORMULA C IN BULK</t>
    </r>
  </si>
  <si>
    <t>EN#2116801-9; INV.#20NSS0306; obl 5/12; gate fee 5/26</t>
  </si>
  <si>
    <t>280 rolls</t>
  </si>
  <si>
    <t>6/12/2020
Sun Ten</t>
  </si>
  <si>
    <t>INV.#L7363,GW#6005816</t>
  </si>
  <si>
    <t xml:space="preserve">EGHU3314862 (20') </t>
  </si>
  <si>
    <t>GINGER CHEWS 
(12bags x 454g &amp; 6 bags x1000g )</t>
  </si>
  <si>
    <t>6/2/20 
RC COMMERCE</t>
  </si>
  <si>
    <t>EN#2115941; INV.#060/EXP/INV/IV/2020; obl 5/19</t>
  </si>
  <si>
    <t>BSIU9392471</t>
  </si>
  <si>
    <t>DISPOSABLE NON-MEDICAL FACE MASK</t>
  </si>
  <si>
    <t>EN#2116697-1; INV.#2020H/EXW0402W; gate fee 5/26</t>
  </si>
  <si>
    <t>GESU5173699</t>
  </si>
  <si>
    <r>
      <rPr>
        <rFont val="Arial"/>
        <color rgb="FF000000"/>
        <sz val="11.0"/>
      </rPr>
      <t>GINGER HONEY CRYSTALS 
 (</t>
    </r>
    <r>
      <rPr>
        <rFont val="Arial"/>
        <b/>
        <color rgb="FFCC0000"/>
        <sz val="11.0"/>
      </rPr>
      <t>RC Commerce</t>
    </r>
    <r>
      <rPr>
        <rFont val="Arial"/>
        <b/>
        <color rgb="FF000000"/>
        <sz val="11.0"/>
      </rPr>
      <t>)</t>
    </r>
  </si>
  <si>
    <t>5/29/20
 RC Commerce</t>
  </si>
  <si>
    <t>EN#2116219-4; INV.#20NSS0306A;obl 5/11</t>
  </si>
  <si>
    <t>CAMU4337083</t>
  </si>
  <si>
    <r>
      <rPr>
        <rFont val="Calibri"/>
        <color rgb="FF000000"/>
        <sz val="11.0"/>
      </rPr>
      <t xml:space="preserve">GHC, GHC W/LEMON  </t>
    </r>
    <r>
      <rPr>
        <rFont val="Calibri"/>
        <b/>
        <color rgb="FF000000"/>
        <sz val="11.0"/>
      </rPr>
      <t>(</t>
    </r>
    <r>
      <rPr>
        <rFont val="Calibri"/>
        <b/>
        <color rgb="FFE06666"/>
        <sz val="11.0"/>
      </rPr>
      <t>H &amp; L</t>
    </r>
    <r>
      <rPr>
        <rFont val="Calibri"/>
        <color rgb="FF000000"/>
        <sz val="11.0"/>
      </rPr>
      <t>)</t>
    </r>
  </si>
  <si>
    <t>EN#2116802-7; INV.#20NSS0306B; obl 5/12</t>
  </si>
  <si>
    <t>FCIU9982568</t>
  </si>
  <si>
    <t>Ginger Chew - F-04112, 04113, 04114, 04115 &amp; 04116</t>
  </si>
  <si>
    <t>EN#2115938 INV.#EXP/POP33924/018/20IV32</t>
  </si>
  <si>
    <t>947 CS +700 PCS</t>
  </si>
  <si>
    <t>FCIU9860214</t>
  </si>
  <si>
    <r>
      <rPr>
        <rFont val="Arial"/>
        <color rgb="FF000000"/>
        <sz val="11.0"/>
      </rPr>
      <t>ORGANIC TEA (D-13200/14200/14220/
18200/19200)  +</t>
    </r>
    <r>
      <rPr>
        <rFont val="Arial"/>
        <color rgb="FFCC0000"/>
        <sz val="11.0"/>
      </rPr>
      <t xml:space="preserve"> Gift Tea</t>
    </r>
  </si>
  <si>
    <t>YYL(Ken,Fui, others)</t>
  </si>
  <si>
    <t>EN#2116107-1; INV.#20TM009; GATE FEE 5/19; OBL 5/20</t>
  </si>
  <si>
    <t>EISU1873869</t>
  </si>
  <si>
    <t>EN#2116222; INV.#2004-00068,destruction</t>
  </si>
  <si>
    <t>34410 (replaced 34220)</t>
  </si>
  <si>
    <t>FDCU0487603</t>
  </si>
  <si>
    <t xml:space="preserve">MAGIC POP SEAWEED </t>
  </si>
  <si>
    <t>EN#2116518-9; INV.#DAON200410-03R; GATE FEE 5/19</t>
  </si>
  <si>
    <t>PONU7971209</t>
  </si>
  <si>
    <t>Green tea, Japanese Green tea, Oolong tea, Pu-erh, White tea &amp; ti-kuan Yin</t>
  </si>
  <si>
    <t>EN#2116095-8; INV.#YD19-T16</t>
  </si>
  <si>
    <t>KKFU8013532</t>
  </si>
  <si>
    <t>GINGER CHEWS - original 12x6</t>
  </si>
  <si>
    <t>EN#2115629-5; INV.#056/EXP/INV/IV/2020; obl 5/8</t>
  </si>
  <si>
    <t>GINGER CHEWS - lemon/orange/mango/lychee 12x6</t>
  </si>
  <si>
    <t>EN#2115629-5; INV.#A2004340079</t>
  </si>
  <si>
    <t>CMAU5718660</t>
  </si>
  <si>
    <t>GHC, GHC W/LEMON, GHC W/AM GINSENG, GHC W/DK BROWN SUGAR, RED DATE TEA</t>
  </si>
  <si>
    <t>EN#2116243-4; INV.#20NSS0305; obl 5/11</t>
  </si>
  <si>
    <t>OOLU8730147</t>
  </si>
  <si>
    <t>GINGER HONEY CRYSTALS AND GHC W/LEMON</t>
  </si>
  <si>
    <t>EN#2115998; INV.#20NSS0304;OBL 4/29</t>
  </si>
  <si>
    <t>TCLU7619741</t>
  </si>
  <si>
    <r>
      <rPr>
        <rFont val="Arial"/>
        <color rgb="FF000000"/>
        <sz val="11.0"/>
      </rPr>
      <t xml:space="preserve">Panax Ginseng Extractum, </t>
    </r>
    <r>
      <rPr>
        <rFont val="Arial"/>
        <b/>
        <color rgb="FFCC0000"/>
        <sz val="11.0"/>
      </rPr>
      <t>Goji on the Go</t>
    </r>
  </si>
  <si>
    <t>EN#2115785-5; INV.#2020TAT02;GATE FEE 5/7</t>
  </si>
  <si>
    <t>EGHU9360274</t>
  </si>
  <si>
    <t>EN#2115940; INV.#013/EXP-POP33902/04/20</t>
  </si>
  <si>
    <t>TCLU5038820</t>
  </si>
  <si>
    <r>
      <rPr>
        <rFont val="Calibri"/>
        <color rgb="FF000000"/>
        <sz val="11.0"/>
      </rPr>
      <t xml:space="preserve">GINGER HONEY CRYSTALS, GHC W/LEMON and </t>
    </r>
    <r>
      <rPr>
        <rFont val="Calibri"/>
        <color rgb="FFFF0000"/>
        <sz val="11.0"/>
      </rPr>
      <t>paper box</t>
    </r>
  </si>
  <si>
    <t>EN#2115997; INV.# 20NSS0302; OBL 4/29</t>
  </si>
  <si>
    <t>GVTU2387550</t>
  </si>
  <si>
    <t>EN#2115813-5; INV.#YNBYHP0000049; GATE FEE 4/23</t>
  </si>
  <si>
    <t>MRKU8248738</t>
  </si>
  <si>
    <t>EN#2115888-7; INV.#2128</t>
  </si>
  <si>
    <t>CDDU9820315</t>
  </si>
  <si>
    <t>GINGER HONEY CRYSTALS W/LEMON</t>
  </si>
  <si>
    <t>EN#2115419; INV.#20NSS0303</t>
  </si>
  <si>
    <t>GAOU6325597</t>
  </si>
  <si>
    <t>GINGER CHEWS 8 OZ.</t>
  </si>
  <si>
    <t>EN#2115571; INV.#050/EXP/INV/III/2020; OBL 4/16</t>
  </si>
  <si>
    <t>SEGU5499231</t>
  </si>
  <si>
    <t>GINGER CHEWS lemon 4oz(40ct)</t>
  </si>
  <si>
    <t>EN#2114974-6; INV.#EXP/POP34098/009/20III22</t>
  </si>
  <si>
    <t>FSCU8615850</t>
  </si>
  <si>
    <t>BAK FOONG PILLS (West Coast)</t>
  </si>
  <si>
    <t>EN#2115612-1; 24032020</t>
  </si>
  <si>
    <t>MRKU0936495</t>
  </si>
  <si>
    <r>
      <rPr>
        <rFont val="Calibri"/>
        <color rgb="FF000000"/>
        <sz val="11.0"/>
      </rPr>
      <t xml:space="preserve">Red Panax Ginseng Extractum; </t>
    </r>
    <r>
      <rPr>
        <rFont val="Calibri"/>
        <color rgb="FFA61C00"/>
        <sz val="11.0"/>
      </rPr>
      <t>Ban Lan Gen</t>
    </r>
  </si>
  <si>
    <t>EN#2115239-3; INV.#DL-AIT20001; OBL 4/7; GATE FEE 4/23</t>
  </si>
  <si>
    <t>HJCU2209369</t>
  </si>
  <si>
    <t>EN#2115574, PO#200015</t>
  </si>
  <si>
    <t>EITU1086764</t>
  </si>
  <si>
    <t>GINGER CHEWS original 1lb + 4oz(40ct)</t>
  </si>
  <si>
    <t>EN#2115269-0; INV.#053/EXP/INV/III/2020; OBL 4/16</t>
  </si>
  <si>
    <t>TBGU6007538</t>
  </si>
  <si>
    <t>ZESS BISCUITS - FDA INSPECT 5/12/20</t>
  </si>
  <si>
    <t>EN#2115178-3; INV.#POP-01/20;OBL 4/7, FDA exam5/12</t>
  </si>
  <si>
    <t>TGBU6138414</t>
  </si>
  <si>
    <t>GINGER CHEWS 113 gr. (40ct)</t>
  </si>
  <si>
    <t>RELEASED</t>
  </si>
  <si>
    <t>EN#5094888,INV#150/EXP/PI/VI/2019R1; OBL 4/1</t>
  </si>
  <si>
    <t>34306 (33855)</t>
  </si>
  <si>
    <t>MSKU2272019</t>
  </si>
  <si>
    <t>EN#2114529-8,INV#93833183</t>
  </si>
  <si>
    <t>BEAU5136471</t>
  </si>
  <si>
    <t>GINGER CHEWS Lemon 4oz(40ct)</t>
  </si>
  <si>
    <t>EN#2114836-7; INV.EXP/POP34117/007/20III20</t>
  </si>
  <si>
    <t>OOLU1227681</t>
  </si>
  <si>
    <t>EN#2114969-6; INV.#KB200305; OBL 4/7</t>
  </si>
  <si>
    <t>EYS East</t>
  </si>
  <si>
    <t>NYKU7152046</t>
  </si>
  <si>
    <t>BAK FOONG PILLS (East Coast)</t>
  </si>
  <si>
    <t>EN#2114973-8, INV.#18032020</t>
  </si>
  <si>
    <t>TGBU6027241</t>
  </si>
  <si>
    <t>EN#2114958-9, INV.#20NSS0301;GATE FEE 4/9</t>
  </si>
  <si>
    <t>SEGU9304723</t>
  </si>
  <si>
    <t>CHEEZHENG</t>
  </si>
  <si>
    <t>EN#2114447-3; INV.#CZ20S012</t>
  </si>
  <si>
    <t>EMCU5278990</t>
  </si>
  <si>
    <t>FDA not Required</t>
  </si>
  <si>
    <t>EN#2115037; INV.#LFE-0319/20</t>
  </si>
  <si>
    <t>TRHU1835683</t>
  </si>
  <si>
    <t>EN#2113994-5,INV#150140991</t>
  </si>
  <si>
    <t>TCKU2881514</t>
  </si>
  <si>
    <t>EN#2115576-8,INV#150142201</t>
  </si>
  <si>
    <t>HDMU6743197</t>
  </si>
  <si>
    <t>Korean Red GSG Powder</t>
  </si>
  <si>
    <t>EN# 2114976-1, inv.#KI-POP01-20; OBL 3/26/20</t>
  </si>
  <si>
    <t>EGHU3214539</t>
  </si>
  <si>
    <t>POP TEA LATTE</t>
  </si>
  <si>
    <t>EN#2114579-3; INV.#2019200221; OBL 3/25/20</t>
  </si>
  <si>
    <t>EGHU9325930</t>
  </si>
  <si>
    <t>EN#2113847-5,INVOICE# 025/EXP/INV/II/2020,OBL 2/27</t>
  </si>
  <si>
    <t>EGHU3935010</t>
  </si>
  <si>
    <t>EN#2114411-9; INV.#2019200220,OBL3/5</t>
  </si>
  <si>
    <t>DFSU7169399</t>
  </si>
  <si>
    <t>EN#2114138-8; INV.#19NSS0344</t>
  </si>
  <si>
    <t>SZLU9105710</t>
  </si>
  <si>
    <t>EN#2114524-9;  INV.#LFE-0305/20</t>
  </si>
  <si>
    <t>CAIU6039336</t>
  </si>
  <si>
    <t>EN#2114380-6; INV.#KB200225 gate fee 3/24</t>
  </si>
  <si>
    <t>TGBU7020853</t>
  </si>
  <si>
    <t>GINGER CHEW 6DB X 12 POUCH x 113 g.</t>
  </si>
  <si>
    <t>EN#2113563-8; INV.#005/EXP/INV/I/2020,OBL 2/19</t>
  </si>
  <si>
    <t>TCNU4129394</t>
  </si>
  <si>
    <t>GINGER CHEWS Original 8oz.</t>
  </si>
  <si>
    <t>EN#2113846-7;INVOICE# 026/EXP/INV/II/2020,OBL 2/27</t>
  </si>
  <si>
    <t>MSKU5618168</t>
  </si>
  <si>
    <t>EN#2113903-6,INV#93832376</t>
  </si>
  <si>
    <t>CMAU4102915</t>
  </si>
  <si>
    <t>GINGER HONEY CRYSTALS(Org/ &amp; Lemon)</t>
  </si>
  <si>
    <t>EN#2113922-6; INV.#19NSS0345,OBL 3/4,sample collected for further exam 3/18</t>
  </si>
  <si>
    <t>EITU0595010</t>
  </si>
  <si>
    <t>EN#2113629-7; SO# EII200000123, OBL 3/2,GATE FEE 2/25</t>
  </si>
  <si>
    <t>EGHU9581064</t>
  </si>
  <si>
    <t>GINGER CHEW 40 bags x 113 g.</t>
  </si>
  <si>
    <t>EN#2113902-8,INVOICE# 020/EXP/INV/II/2020,OBL 2/19</t>
  </si>
  <si>
    <t>MRKU4323659</t>
  </si>
  <si>
    <t xml:space="preserve">NZ MANUKA HONEY </t>
  </si>
  <si>
    <t>EN#2113609-9; INV.# 604717</t>
  </si>
  <si>
    <t>TCLU6346067</t>
  </si>
  <si>
    <t>EN#2113247-8; INV.#19NSS0343A,OBL2/27</t>
  </si>
  <si>
    <t>EGHU9388728</t>
  </si>
  <si>
    <t>EN#2112997-9; INV.#007/EXP/INV/I/2020; OBL 2/20</t>
  </si>
  <si>
    <t>TEMU6255107</t>
  </si>
  <si>
    <t>Ginger Lemon chews 8 oz</t>
  </si>
  <si>
    <t>EN#2112668-6; INV.004/EXP/INV/I/2020;OBL 1/24</t>
  </si>
  <si>
    <t>TCNU1559956</t>
  </si>
  <si>
    <t>EN#2112441-8; INV.#001/EXP/INV/I/2020; OBL 1/24</t>
  </si>
  <si>
    <t>TCNU4575781</t>
  </si>
  <si>
    <t>EN#2113281-7; INV.#010/EXP/INV/I/2020; OBL 2/10</t>
  </si>
  <si>
    <t>TLLU4722857</t>
  </si>
  <si>
    <t>EN#2112199-2; INV.#266/EXP/INV/XII/2019;OBL 1/24</t>
  </si>
  <si>
    <t>HDMU6541093</t>
  </si>
  <si>
    <t xml:space="preserve">PREMIUM  Tea </t>
  </si>
  <si>
    <t>EN#2113027-4; YD19-T15</t>
  </si>
  <si>
    <t>MSKU7097156</t>
  </si>
  <si>
    <t>EN#2112935-9,gate fee2/14</t>
  </si>
  <si>
    <t>$35,791.00 (Rmb 243,379.20)</t>
  </si>
  <si>
    <t>EISU1870854</t>
  </si>
  <si>
    <t>MyKuali White Curry / Spicy Prawn / Tom Yum Goong / Spicy Fried/GAENG SOM Noodle</t>
  </si>
  <si>
    <t>EN#2112210-7; INV.# 1912-00133</t>
  </si>
  <si>
    <t>MSKU6971740</t>
  </si>
  <si>
    <t>Red Panax Ginseng Extractum; Royal Jelly w/Bee Pollen</t>
  </si>
  <si>
    <t>EN#2112667-8; INV.#DL-AIT19010; OBL 1/29</t>
  </si>
  <si>
    <t>MRKU9363314</t>
  </si>
  <si>
    <t>Red Ginseng royal Jelly, Panax Ginseng Extractum Oral liquid</t>
  </si>
  <si>
    <t>EN#2112444-2; INV. 2020TAT01</t>
  </si>
  <si>
    <t>TGBU6134384</t>
  </si>
  <si>
    <t>GINGER HONEY CRYSTALS+ Ban Lan Gen boxes (box remaining 1657 pieces)</t>
  </si>
  <si>
    <t>EN#2112792-4; INV.#19NSS0343; GATE FEE 2/5/20</t>
  </si>
  <si>
    <t>18 CS</t>
  </si>
  <si>
    <t>EGSU5007010</t>
  </si>
  <si>
    <t>Not required</t>
  </si>
  <si>
    <t>EN#2112993-8; INV.# LFE-0115/20</t>
  </si>
  <si>
    <t>UACU5731880</t>
  </si>
  <si>
    <t>GHC; GHC W/LEMON</t>
  </si>
  <si>
    <t>EN#2112440-0; INV.#19NSS0342; OBL 1/24,FDA exam request 2/13</t>
  </si>
  <si>
    <t>UACU5807585</t>
  </si>
  <si>
    <t>GHC ; Dong Quai Red Date tea; GHC W/LEMON</t>
  </si>
  <si>
    <t>EN#2112439-2; INV.#19NSS0341; OBL 1/24</t>
  </si>
  <si>
    <t>TGBU6287613</t>
  </si>
  <si>
    <t>ZESS BISCUITS</t>
  </si>
  <si>
    <t>EN#2112332-9; POP-01/19; OBL 1/24; GATE FEE 2/4</t>
  </si>
  <si>
    <t>NYKU9839659</t>
  </si>
  <si>
    <t>EN#2111318-9; INV.#1ME802991; GATE FEE 1/29</t>
  </si>
  <si>
    <t>KOCU4032450</t>
  </si>
  <si>
    <t>ORGANIC TEA</t>
  </si>
  <si>
    <t>EN#2112527-4; INV.#YD19-T14; OBL 1/29</t>
  </si>
  <si>
    <t>TGBU6004966</t>
  </si>
  <si>
    <t>EN#2112333-7; POP-02/19;OBL 1/24</t>
  </si>
  <si>
    <t>TCLU3166734</t>
  </si>
  <si>
    <t>American Ginseng Instant Tea, Wild American Ginseng Tea; BAN LAN GEN</t>
  </si>
  <si>
    <t>EN#2111905-3; INV.#2001014-19</t>
  </si>
  <si>
    <t>TLLU4336875</t>
  </si>
  <si>
    <t>EN#2111793-3; INV.#19NSS0340; OBL 1/10</t>
  </si>
  <si>
    <t>AIR - LFE114/20</t>
  </si>
  <si>
    <t>EN#9032214, INV.#LFE-0114/20</t>
  </si>
  <si>
    <t>MSKU0204571</t>
  </si>
  <si>
    <t>EN#2111679-4; INV.#DL-AIT19009;obl 1/14</t>
  </si>
  <si>
    <t>GCXU5117796</t>
  </si>
  <si>
    <t>EN#2111539-0; INV.#YD19-T11;OBL 1/14/20</t>
  </si>
  <si>
    <t>TCLU8663461</t>
  </si>
  <si>
    <t>GINGER CHEWS 8 bags x 227 g.</t>
  </si>
  <si>
    <t>EN#2111432-8; INV#252/EXP/INV/XII/2019; OBL 1/14/20</t>
  </si>
  <si>
    <t>ITXU9107759</t>
  </si>
  <si>
    <t>GINGER HONEY CRYSTALS(Big-RC)</t>
  </si>
  <si>
    <t>EN#2111506-9; INV.#19NSS0336A;OBL 1/9/20</t>
  </si>
  <si>
    <t>TLLU5156250</t>
  </si>
  <si>
    <t>GINGER CHEW 113g x12x6
(Mango/orange/lychee/peanut butter)</t>
  </si>
  <si>
    <t>EN# 2111108-4; INV.#EXP/POP33684/100/19XII115</t>
  </si>
  <si>
    <t>EITU9052272</t>
  </si>
  <si>
    <t>EN#2111035-9; INV.#240/EXP/INV/VII/2019; OBL 12/23</t>
  </si>
  <si>
    <t>EGHU3775695</t>
  </si>
  <si>
    <t>EN#2111505-1;OBL 12/23
INV.#2019200219; X-ray exam 299.00</t>
  </si>
  <si>
    <t>NYKU3741958</t>
  </si>
  <si>
    <t>EN#2111218-1; GATE FEE 1/7
LIVV78155A01</t>
  </si>
  <si>
    <t>APZU4865296</t>
  </si>
  <si>
    <t>G.H.C and G.H.C w/Lemon</t>
  </si>
  <si>
    <t>EN#2111658-8; INV.#19NSS0339; OBL 1/10</t>
  </si>
  <si>
    <t>MRKU9670748</t>
  </si>
  <si>
    <t>Panax Ginseng Extractum Oral Liquid &amp; Red Ginseng Royal Jelly</t>
  </si>
  <si>
    <t>EN#2110987-2; INV.2019TAT09</t>
  </si>
  <si>
    <t>BSIU2354823</t>
  </si>
  <si>
    <t>EN#2111747-9; PO#190079</t>
  </si>
  <si>
    <t>EGHU3283519</t>
  </si>
  <si>
    <t>EN#2111142-3; INV.#2019200208; OBL 12/18</t>
  </si>
  <si>
    <t>CSLU2066503</t>
  </si>
  <si>
    <t>AM GSG Instant tea</t>
  </si>
  <si>
    <t>EN#2110775-1; INV.#2001015-19; OBL 12/23</t>
  </si>
  <si>
    <t>GAOU2139927</t>
  </si>
  <si>
    <t>Panax Ginseng Extractum Oral Liquid (10cc*30) &amp; ultra strength red panax ginseng extractum</t>
  </si>
  <si>
    <t>EN#2110778-5; INV.2019TAT08; GATE FEE 1/6</t>
  </si>
  <si>
    <t>NYKU8443067</t>
  </si>
  <si>
    <t>EN#2110910-4; INV.#19NSS0336; OBL 12/23</t>
  </si>
  <si>
    <t>CAIU4130200</t>
  </si>
  <si>
    <t>EN#2111383-3; INV.#19NSS0337; OBL 12/24; GATE FEE 1/6</t>
  </si>
  <si>
    <t>UETU2463752</t>
  </si>
  <si>
    <t>EN#2110670-4; INV.#2019TAT07</t>
  </si>
  <si>
    <t>EITU1143627</t>
  </si>
  <si>
    <t>EN#2110342-0; INV#EXP/POP33683/097/19XII12</t>
  </si>
  <si>
    <t>EITU1538587</t>
  </si>
  <si>
    <t>EN#2110533-4; OBL 12/18
INV.#237/EXP/INV/XI/2019</t>
  </si>
  <si>
    <t>BSIU3069667</t>
  </si>
  <si>
    <t>EN#2110532-6; INV.# 2EM19110253</t>
  </si>
  <si>
    <t>MSKU0047446</t>
  </si>
  <si>
    <t>EN#2110396-6; INV.# YD19-T12; obl 12/18</t>
  </si>
  <si>
    <t>pending Benz inv</t>
  </si>
  <si>
    <t>pending Etrans invoices</t>
  </si>
  <si>
    <t>ETA Port</t>
  </si>
  <si>
    <t>DEST Port</t>
  </si>
  <si>
    <t>SEKU4570221</t>
  </si>
  <si>
    <r>
      <rPr>
        <rFont val="Arial"/>
        <color rgb="FF000000"/>
        <sz val="11.0"/>
      </rPr>
      <t xml:space="preserve">GHC (D-04016)
</t>
    </r>
    <r>
      <rPr>
        <rFont val="Arial"/>
        <color rgb="FF000000"/>
        <sz val="11.0"/>
      </rPr>
      <t>(RC COMMERCE)</t>
    </r>
  </si>
  <si>
    <t>EN#2136781, INV#DL-AIT2123, T/R
- COSCO CAMELLIA, (A10), OOCL
- have additional $150 Maher Surcharge
- LFD 12/28, prepull 12/28, deliver 12/29 to RC Commerce, Live unload</t>
  </si>
  <si>
    <t>CIF</t>
  </si>
  <si>
    <t>TGBU8628236</t>
  </si>
  <si>
    <t>GINGER CHEWS 4 OZ (ORIGINAL)</t>
  </si>
  <si>
    <t>EN#2135626, INV#166/EXP/INV/X/2021, OBL11/24
- EVER FAIR, (C18)
- Apex help to deliver $1700, Live unload, actual charge $2080
- Driver arrived 12pm, but live unload appointment is 1 pm, so unload from 1-3:20pm, still count waiting time 1 hr
- Detention charge (unloading time) $90 x 2.5 hr = $225, free 1 hr, then $90/hr
- 3/10 Apex used EG chassis, Apex refund chassis charge $70, but still need to pay split chassis
- 5/5 Apex refund $70 chassis fee</t>
  </si>
  <si>
    <t>35943
35944</t>
  </si>
  <si>
    <t>TRHU7557548
TXGU5649454</t>
  </si>
  <si>
    <t>ON KEE ABALONE</t>
  </si>
  <si>
    <r>
      <rPr>
        <rFont val="Arial"/>
        <color rgb="FF000000"/>
        <sz val="11.0"/>
      </rPr>
      <t xml:space="preserve">EN#2137209, INV#20211118, T/R, </t>
    </r>
    <r>
      <rPr>
        <rFont val="Arial"/>
        <color rgb="FFFF0000"/>
        <sz val="11.0"/>
      </rPr>
      <t>empty return c7548-12/30, c9454?</t>
    </r>
    <r>
      <rPr>
        <rFont val="Arial"/>
        <color rgb="FF000000"/>
        <sz val="11.0"/>
      </rPr>
      <t xml:space="preserve">
- EVER  LUNAR, (A22), EG
-  12/28, no chassis at terminal, rescheduled 12/30</t>
    </r>
  </si>
  <si>
    <t>CAAU5887387</t>
  </si>
  <si>
    <t>GINGER CHEWS 8 OZ (MANGO)</t>
  </si>
  <si>
    <r>
      <rPr>
        <rFont val="Arial"/>
        <color rgb="FF000000"/>
        <sz val="11.0"/>
      </rPr>
      <t xml:space="preserve">EN#2136623, INV#EXP/POP35949/093/21X139, T/R, </t>
    </r>
    <r>
      <rPr>
        <rFont val="Arial"/>
        <color rgb="FF000000"/>
        <sz val="11.0"/>
      </rPr>
      <t>empty return 1/4</t>
    </r>
    <r>
      <rPr>
        <rFont val="Arial"/>
        <color rgb="FF000000"/>
        <sz val="11.0"/>
      </rPr>
      <t xml:space="preserve">
- EVER LUNAR, (A4), EG</t>
    </r>
  </si>
  <si>
    <t>EGHU9193829</t>
  </si>
  <si>
    <r>
      <rPr>
        <rFont val="Arial"/>
        <color rgb="FF000000"/>
        <sz val="11.0"/>
      </rPr>
      <t>EN#2136667, INV#169/EXP/INV/X/2021, OBL11/24,</t>
    </r>
    <r>
      <rPr>
        <rFont val="Arial"/>
        <color rgb="FFFF0000"/>
        <sz val="11.0"/>
      </rPr>
      <t xml:space="preserve"> empty return</t>
    </r>
    <r>
      <rPr>
        <rFont val="Arial"/>
        <color rgb="FF000000"/>
        <sz val="11.0"/>
      </rPr>
      <t xml:space="preserve">
- EVER LUNAR, (A7), EG</t>
    </r>
  </si>
  <si>
    <t>FFAU2461534</t>
  </si>
  <si>
    <t>ORGANIC TEABAGS
D-13200N, D-14200N, D-15200N, D-17200N, D-18200N, D-18220N</t>
  </si>
  <si>
    <r>
      <rPr>
        <rFont val="Arial"/>
        <color rgb="FF000000"/>
        <sz val="11.0"/>
      </rPr>
      <t xml:space="preserve">EN#2136353, INV#YD21-T13, T/R, </t>
    </r>
    <r>
      <rPr>
        <rFont val="Arial"/>
        <color rgb="FFFF0000"/>
        <sz val="11.0"/>
      </rPr>
      <t>empty return</t>
    </r>
    <r>
      <rPr>
        <rFont val="Arial"/>
        <color rgb="FF000000"/>
        <sz val="11.0"/>
      </rPr>
      <t xml:space="preserve">
- OOCL UTAH, (D16), COSCO</t>
    </r>
  </si>
  <si>
    <t>FSCU7275077</t>
  </si>
  <si>
    <t>TEABAGS
D-13100N, D-13300N, D-14100N, D-15100N, D-16100N, D-17100N, D-18100N</t>
  </si>
  <si>
    <r>
      <rPr>
        <rFont val="Arial"/>
        <color rgb="FF000000"/>
        <sz val="11.0"/>
      </rPr>
      <t xml:space="preserve">EN#2136317, INV#YD21-T22, T/R, </t>
    </r>
    <r>
      <rPr>
        <rFont val="Arial"/>
        <color rgb="FFFF0000"/>
        <sz val="11.0"/>
      </rPr>
      <t>empty return</t>
    </r>
    <r>
      <rPr>
        <rFont val="Arial"/>
        <color rgb="FF000000"/>
        <sz val="11.0"/>
      </rPr>
      <t xml:space="preserve">
- OOCL UTAH, (D20), COSCO</t>
    </r>
  </si>
  <si>
    <t>SMCU1163739</t>
  </si>
  <si>
    <t>GHC (ORIGINAL, PLUM, DARK BROWN SUGAR), DONG QUAI RED DATE TEA</t>
  </si>
  <si>
    <t>EN#2136205, INV#21NSS0311, T/R, GATEFEE12/6, empty return 1/5
- MAERSK ANTARES, (D10), SM Line
- No empty return location
- 1/5/22 empty can return to SMC
- 3/1 Prime invoice, detention $240</t>
  </si>
  <si>
    <t>TGBU4609095</t>
  </si>
  <si>
    <t>GINGER CHEWS 8 OZ (LEMON)</t>
  </si>
  <si>
    <t>EN#2136287, INV#164/EXP/INV/X/2021, OBL11/24, NO GATEFEE (ETS), empty return 12/29
- EVER FUTURE, (D18)</t>
  </si>
  <si>
    <t>SEGU5521464</t>
  </si>
  <si>
    <t>EN#2137672, INV#93927, T/R, No GATEFEE (rail), LIVE unload, empty return 12/16
- AL SAFAT, (C22), ONE
- Discharged @ Norfolk 11/6, rail arrived Chicago 12/5, then rail arrived OAK 12/12
- Discharged @OAK 12/12, need pickup # for pickup/delivery
- got the pickup# on LFD 12/14, and deliver 12/14 (LIVE Unload)
- additional $75 for split return chassis
- 12/15 container can’t return to TRAPAC terminal, will put the empty container to the rental yard until ONE line inform the return location, it will be additional charge
- 12/15 driver cannot return empty to TRAPAC, brought it  to Ampco yard, $35/day yard parking, $ 180 + fuel surcharge for port to Ampco and  Ampco to port
- 12/15 pending ONE container empty return location
- 12/16 empty return to ConGlobal BURMA Rd Oakland, split return chassis $75, $180 + fuel surcharge (port to Ampco and  Ampco to port),  2x$35/day yard parking</t>
  </si>
  <si>
    <t>FRANCE</t>
  </si>
  <si>
    <t>HAMU1173155</t>
  </si>
  <si>
    <r>
      <rPr>
        <rFont val="Arial"/>
        <color rgb="FF000000"/>
        <sz val="11.0"/>
      </rPr>
      <t xml:space="preserve">12/17/2021
</t>
    </r>
    <r>
      <rPr>
        <rFont val="Arial"/>
        <color rgb="FF0000FF"/>
        <sz val="11.0"/>
      </rPr>
      <t>Pending Etrans invoice (per diem)</t>
    </r>
  </si>
  <si>
    <t>EN#2136982, INV#DL-AIT2126, T/R, empty return 12/21
- NEW YORK EXPRESS, (A13), Hapag-Lloyd
- have additional $200 GCT Bayonne Surcharge
- empty pick-up surcharge ($355 + 42% Fuel)</t>
  </si>
  <si>
    <t>EMCU8270993</t>
  </si>
  <si>
    <t>GINGER CHEWS PLUS+ 3 OZ (ORIGINAL, LEMON)</t>
  </si>
  <si>
    <r>
      <rPr>
        <rFont val="Arial"/>
        <color rgb="FF000000"/>
        <sz val="11.0"/>
      </rPr>
      <t xml:space="preserve">EN#2136520, INV#EXP/POP35584/090/21X137, T/R, </t>
    </r>
    <r>
      <rPr>
        <rFont val="Arial"/>
        <color rgb="FF000000"/>
        <sz val="11.0"/>
      </rPr>
      <t>empty return 12/28</t>
    </r>
    <r>
      <rPr>
        <rFont val="Arial"/>
        <color rgb="FF000000"/>
        <sz val="11.0"/>
      </rPr>
      <t xml:space="preserve">
- EVER LUCKY, (A1), EG
- prepull 12/21, deliver 12/22, return 12/28 (per diem)</t>
    </r>
  </si>
  <si>
    <t>EITU9284616</t>
  </si>
  <si>
    <t>POP THAI TEA</t>
  </si>
  <si>
    <r>
      <rPr>
        <rFont val="Arial"/>
        <color rgb="FF000000"/>
        <sz val="11.0"/>
      </rPr>
      <t xml:space="preserve">EN#2136080, INV#EII210001154, OBL10/29, </t>
    </r>
    <r>
      <rPr>
        <rFont val="Arial"/>
        <color rgb="FFFF0000"/>
        <sz val="11.0"/>
      </rPr>
      <t>empty return</t>
    </r>
    <r>
      <rPr>
        <rFont val="Arial"/>
        <color rgb="FF000000"/>
        <sz val="11.0"/>
      </rPr>
      <t xml:space="preserve">
- CMA CGM ANDROMEDA, (D8), EG</t>
    </r>
  </si>
  <si>
    <t>DFSU6969273</t>
  </si>
  <si>
    <t>GHC, DONG QUAI RED DATE TEA</t>
  </si>
  <si>
    <t>EN#2137289, INV#DL-AIT2128, T/R, GATEFEE12/1, empty return 12/21
- CMA CGM MEDEA, (B6), CMA CGM
- Freight just released 12/15, LFD is 12/15, trucker not able to pick up 12/15, will deliver tomorrow 12/16, pay demurrage $300
- empty LFD 2/19, empty return 2/21, detention apply (2 days, $500, CEVA Invoice 25687626)
- Pending demurrage reimbursement (CEVA)?</t>
  </si>
  <si>
    <t>GESU5837720</t>
  </si>
  <si>
    <t>GINGER COCONUT (D-04046)</t>
  </si>
  <si>
    <r>
      <rPr>
        <rFont val="Arial"/>
        <color rgb="FF000000"/>
        <sz val="11.0"/>
      </rPr>
      <t xml:space="preserve">EN#2137288, INV#DL- AIT2124, T/R, GATEFEE12/1, </t>
    </r>
    <r>
      <rPr>
        <rFont val="Arial"/>
        <color rgb="FF000000"/>
        <sz val="11.0"/>
      </rPr>
      <t>empty return 12/17</t>
    </r>
    <r>
      <rPr>
        <rFont val="Arial"/>
        <color rgb="FF000000"/>
        <sz val="11.0"/>
      </rPr>
      <t xml:space="preserve">
- CMA CGM MEDEA, (B5), CMA CGM
- 12/15, no chassis, wait until got chassis, has waiting time charge
- pier waiting 8:38am-1:12pm additional 2.5 hrs charge $150</t>
    </r>
  </si>
  <si>
    <t>TGBU9915478</t>
  </si>
  <si>
    <r>
      <rPr>
        <rFont val="Arial"/>
        <color rgb="FF000000"/>
        <sz val="11.0"/>
      </rPr>
      <t xml:space="preserve">EN#2135625, INV#153/EXP/INV/X/2021, OBL10/19, </t>
    </r>
    <r>
      <rPr>
        <rFont val="Arial"/>
        <color rgb="FF000000"/>
        <sz val="11.0"/>
      </rPr>
      <t>empty return 12/14</t>
    </r>
    <r>
      <rPr>
        <rFont val="Arial"/>
        <color rgb="FF000000"/>
        <sz val="11.0"/>
      </rPr>
      <t xml:space="preserve">
- TAURUS, (D6), EG
- have $150 Maher Surcharge
- have additional Empty Pick-up surcharge ($355 + 42% Fuel)</t>
    </r>
  </si>
  <si>
    <t>TRHU8722544</t>
  </si>
  <si>
    <t>GINGER CHEWS 4 OZ (MANGO)</t>
  </si>
  <si>
    <t>EN#2135845, INV#EXP/POP35709/081/21X121, T/R, NO GATEFEE (ETS), empty return 12/15
- EVER FINE, (C20)
- No Evergreen chassis, need pay Benz chassis fee, get refund from Evergreen
- 2/4 EG chassis refund</t>
  </si>
  <si>
    <t>GAOU6468617</t>
  </si>
  <si>
    <t>EN#2136288, INV#165/EXP/INV/X/2021, OBL11/24, empty return 12/21
- EVER LEGACY, (D19)
- trucker could not get the container out 12/13, rescheduled 12/14
- trucker prepull 12/13, Evergreen per diem charge 12/13-12/21 (first 5 days are free)</t>
  </si>
  <si>
    <t>TCNU2143670</t>
  </si>
  <si>
    <r>
      <rPr>
        <rFont val="Arial"/>
        <color rgb="FF000000"/>
        <sz val="11.0"/>
      </rPr>
      <t xml:space="preserve">EN#2135879, INV#152/EXP/INV/X/2021, OBL10/19, </t>
    </r>
    <r>
      <rPr>
        <rFont val="Arial"/>
        <color rgb="FFFF0000"/>
        <sz val="11.0"/>
      </rPr>
      <t>empty return</t>
    </r>
    <r>
      <rPr>
        <rFont val="Arial"/>
        <color rgb="FF000000"/>
        <sz val="11.0"/>
      </rPr>
      <t xml:space="preserve">
- EVER LEGACY, (D5)
- 12/9 could not pickup due to no chassis, reschedule to 12/10</t>
    </r>
  </si>
  <si>
    <t>GCXU5333239</t>
  </si>
  <si>
    <r>
      <rPr>
        <rFont val="Arial"/>
        <color rgb="FF000000"/>
        <sz val="11.0"/>
      </rPr>
      <t xml:space="preserve">EN#2135465, INV#141/EXP/INV/IX/2021, OBL 10/6, NO GATEFEE (ETS), </t>
    </r>
    <r>
      <rPr>
        <rFont val="Arial"/>
        <color rgb="FF000000"/>
        <sz val="11.0"/>
      </rPr>
      <t>empty return12/13</t>
    </r>
    <r>
      <rPr>
        <rFont val="Arial"/>
        <color rgb="FF000000"/>
        <sz val="11.0"/>
      </rPr>
      <t xml:space="preserve">
- EVER FRONT, (C11)</t>
    </r>
  </si>
  <si>
    <t>TRHU7191464</t>
  </si>
  <si>
    <t>GINGER CHEWS 8 OZ (ORIGINAL)</t>
  </si>
  <si>
    <r>
      <rPr>
        <rFont val="Arial"/>
        <color rgb="FF000000"/>
        <sz val="11.0"/>
      </rPr>
      <t xml:space="preserve">EN#2135466, INV#143/EXP/INV/IX/2021, OBL 10/6, NO GATEFEE (ETS), </t>
    </r>
    <r>
      <rPr>
        <rFont val="Arial"/>
        <color rgb="FF000000"/>
        <sz val="11.0"/>
      </rPr>
      <t>empty return 12/10</t>
    </r>
    <r>
      <rPr>
        <rFont val="Arial"/>
        <color rgb="FF000000"/>
        <sz val="11.0"/>
      </rPr>
      <t xml:space="preserve">
- EVER FRONT, (C9)</t>
    </r>
  </si>
  <si>
    <t>TLLU4763579</t>
  </si>
  <si>
    <r>
      <rPr>
        <rFont val="Arial"/>
        <color rgb="FF000000"/>
        <sz val="11.0"/>
      </rPr>
      <t xml:space="preserve">EN#2135464, INV#144/EXP/INV/IX/2021, OBL 10/6, NO GATEFEE (ETS), </t>
    </r>
    <r>
      <rPr>
        <rFont val="Arial"/>
        <color rgb="FF000000"/>
        <sz val="11.0"/>
      </rPr>
      <t>empty return 12/9</t>
    </r>
    <r>
      <rPr>
        <rFont val="Arial"/>
        <color rgb="FF000000"/>
        <sz val="11.0"/>
      </rPr>
      <t xml:space="preserve">
- EVER FRONT, (C10)</t>
    </r>
  </si>
  <si>
    <t>753
(LCL)</t>
  </si>
  <si>
    <t>EITU1793129</t>
  </si>
  <si>
    <t>POP HONEY LOQUAT PASTILLES</t>
  </si>
  <si>
    <t>EN#2135804, INV#20210910, T/R, NO GATEFEE (LCL)
- EVER FRONT, (D2)
- new Food Facility Registration Number (FFRN) 11157038880
- LCL delivered by GW</t>
  </si>
  <si>
    <t>SMCU1299622</t>
  </si>
  <si>
    <t>GHC (D-04010)</t>
  </si>
  <si>
    <r>
      <rPr>
        <rFont val="Arial"/>
        <color rgb="FF000000"/>
        <sz val="11.0"/>
      </rPr>
      <t xml:space="preserve">EN#2136120, INV#21NSS0312, T/R, </t>
    </r>
    <r>
      <rPr>
        <rFont val="Arial"/>
        <color rgb="FFFF0000"/>
        <sz val="11.0"/>
      </rPr>
      <t>empty return</t>
    </r>
    <r>
      <rPr>
        <rFont val="Arial"/>
        <color rgb="FF000000"/>
        <sz val="11.0"/>
      </rPr>
      <t xml:space="preserve">
- MSC KALINA, (D7), SM LINE
- 12/10 no chassis, rescheduled
- pull 12/13 night, deliver 12/14
- not able deliver 12/14, will try 12/15</t>
    </r>
  </si>
  <si>
    <t>BMOU5295204</t>
  </si>
  <si>
    <r>
      <rPr>
        <rFont val="Arial"/>
        <color rgb="FF000000"/>
        <sz val="11.0"/>
      </rPr>
      <t xml:space="preserve">GHC (NATURAL LEMON D-04037) </t>
    </r>
    <r>
      <rPr>
        <rFont val="Arial"/>
        <b/>
        <color rgb="FF0000FF"/>
        <sz val="11.0"/>
      </rPr>
      <t>D-04046</t>
    </r>
    <r>
      <rPr>
        <rFont val="Arial"/>
        <color rgb="FF000000"/>
        <sz val="11.0"/>
      </rPr>
      <t>, D-04044</t>
    </r>
  </si>
  <si>
    <r>
      <rPr>
        <rFont val="Arial"/>
        <color rgb="FF000000"/>
        <sz val="11.0"/>
      </rPr>
      <t xml:space="preserve">12/17/2021
</t>
    </r>
    <r>
      <rPr>
        <rFont val="Arial"/>
        <color rgb="FF0000FF"/>
        <sz val="11.0"/>
      </rPr>
      <t>Pending Benz invoice (per diem)</t>
    </r>
  </si>
  <si>
    <t>EN#2136983, INV#DL-AIT2117, T/R, GATEFEE11/19, empty return 12/23
- APL SANTIAGO, (A12), CMA CGM
- return 12/23 (after empty LFD 12/22), need to pay per diem</t>
  </si>
  <si>
    <t>TCNU2158080</t>
  </si>
  <si>
    <r>
      <rPr>
        <rFont val="Arial"/>
        <color rgb="FF000000"/>
        <sz val="11.0"/>
      </rPr>
      <t xml:space="preserve">EN#2135643, INV#YD21-T21, T/R, </t>
    </r>
    <r>
      <rPr>
        <rFont val="Arial"/>
        <color rgb="FF000000"/>
        <sz val="11.0"/>
      </rPr>
      <t>empty return 12/15</t>
    </r>
    <r>
      <rPr>
        <rFont val="Arial"/>
        <color rgb="FF000000"/>
        <sz val="11.0"/>
      </rPr>
      <t xml:space="preserve">
- BEIJING, (C13), COSCO
- Discharge location changed from WBCT to LBCT, GW overlook the status &amp; delay pickup, LFD 12/2, demurrage $1485 (through 12/10)
- 12/10, GW will pay all demurrage $1485</t>
    </r>
  </si>
  <si>
    <t>EITU1239170</t>
  </si>
  <si>
    <t>EN#2136553, INV#AIT2120, T/R, NO GATEFEE (ETS), empty return 12/3
- EVER LEADER, (A3)
- 2/4 EG chassis refund</t>
  </si>
  <si>
    <t>TGHU1200130</t>
  </si>
  <si>
    <t xml:space="preserve">EN#2133941, INV#94007122, T/R, No PL, GATEFEE11/23, empty return 12/16
- NYK METEOR, (A15), ONE
- correct container# is TGHU1200130, container# TGKU1200130 from origin invoice is incorrect
- pier waiting was from 8:58-1:59pm additional 3hr.  $180
- 12/15 pending ONE container empty return location
- 12/16 empty returned to Con Global Burma Rd Oakland, and chassis needs to return to terminal, additional charge of $75 for split return chassis
</t>
  </si>
  <si>
    <t>UK</t>
  </si>
  <si>
    <t>BSIU9974662</t>
  </si>
  <si>
    <t>GINGER CHEWS 4 OZ (LEMON)</t>
  </si>
  <si>
    <r>
      <rPr>
        <rFont val="Arial"/>
        <color rgb="FF000000"/>
        <sz val="11.0"/>
      </rPr>
      <t xml:space="preserve">EN#2135847, INV#EXP/POP35710/082/21X122, T/R, </t>
    </r>
    <r>
      <rPr>
        <rFont val="Arial"/>
        <color rgb="FFFF0000"/>
        <sz val="11.0"/>
      </rPr>
      <t>empty return</t>
    </r>
    <r>
      <rPr>
        <rFont val="Arial"/>
        <color rgb="FF000000"/>
        <sz val="11.0"/>
      </rPr>
      <t xml:space="preserve">
- EVER LISSOME, (C21)</t>
    </r>
  </si>
  <si>
    <t>BMOU4781140</t>
  </si>
  <si>
    <t>EN#2136552, INV#AIT2122, T/R, empty return
- EVER LIBERAL, (A2)
- 11/23 no chassis, rescheduled 11/26
- Rescheduled 11/29, storage charges may apply if trucker is able to outgate 11/26 and needs to store in their yard
- Trucker advised it will be $190 to store in their yard if 11/29 delivery
- not able to be pulled out 11/26, next appointment 11/29 at 6 pm, will try to deliver 11/30 if able to be pulled out
- Trucker had to prepull shipment when picked up at 6:51pm on 11/29
- 2/4 EG chassis refund</t>
  </si>
  <si>
    <t>BMOU5594334</t>
  </si>
  <si>
    <t>ORGANIC TEABAGS
D-13200N, D-14200N, D-14220N, D-15200N, D-17200N, D-18200N</t>
  </si>
  <si>
    <r>
      <rPr>
        <rFont val="Arial"/>
        <color rgb="FF000000"/>
        <sz val="11.0"/>
      </rPr>
      <t xml:space="preserve">11/29/2021
</t>
    </r>
    <r>
      <rPr>
        <rFont val="Arial"/>
        <color rgb="FF0000FF"/>
        <sz val="11.0"/>
      </rPr>
      <t>Pending Etran invoice (per diem?)</t>
    </r>
  </si>
  <si>
    <r>
      <rPr>
        <rFont val="Arial"/>
        <color rgb="FF000000"/>
        <sz val="11.0"/>
      </rPr>
      <t xml:space="preserve">EN#2136355, INV#YD21-T12, T/R, </t>
    </r>
    <r>
      <rPr>
        <rFont val="Arial"/>
        <color rgb="FFFF0000"/>
        <sz val="11.0"/>
      </rPr>
      <t>empty return 11/30</t>
    </r>
    <r>
      <rPr>
        <rFont val="Arial"/>
        <color rgb="FF000000"/>
        <sz val="11.0"/>
      </rPr>
      <t xml:space="preserve">
- OOCL BERLIN, (D15), COSCO
- have $150 Maher Surcharge
- have empty pick-up surcharge ($355 + 42% Fuel)
- may have Per Diem charges</t>
    </r>
  </si>
  <si>
    <t>FCIU6606593</t>
  </si>
  <si>
    <t>PALLY (COUNTRY, CARAMELIZED)</t>
  </si>
  <si>
    <t>EN#2137032, INV#SI21-007369, T/R, No PL
- ROTTERDAM STAR, (A11), Hapag Lloyd
- extra $1,000 logistical cost (vs PO#35652), so door move by vendor
- Door move delivery by Hapag Lloyd, LIVE</t>
  </si>
  <si>
    <t>NETHERLAND</t>
  </si>
  <si>
    <t>CAXU9069280</t>
  </si>
  <si>
    <t>PANAX GINSENG EXTRA C-70020, RED GINSENG ROYAL JELLY C-70050, GOJI ON THE GO C-70730</t>
  </si>
  <si>
    <r>
      <rPr>
        <rFont val="Arial"/>
        <color rgb="FF000000"/>
        <sz val="11.0"/>
      </rPr>
      <t xml:space="preserve">EN#2135291, INV#2021TAT04, T/R, GATEFEE11/16, </t>
    </r>
    <r>
      <rPr>
        <rFont val="Arial"/>
        <color rgb="FF000000"/>
        <sz val="11.0"/>
      </rPr>
      <t>empty return 11/30</t>
    </r>
    <r>
      <rPr>
        <rFont val="Arial"/>
        <color rgb="FF000000"/>
        <sz val="11.0"/>
      </rPr>
      <t xml:space="preserve">
- MSC ORNELLA, (C5)
- Weight 44,365 lb, driver need to scale for axle weight
-  additional charge of $80+FS for heavy weight + $11 weight certificate</t>
    </r>
  </si>
  <si>
    <t>TXGU5333682</t>
  </si>
  <si>
    <t xml:space="preserve">GINGER CHEWS 4 OZ (LEMON) </t>
  </si>
  <si>
    <r>
      <rPr>
        <rFont val="Arial"/>
        <color rgb="FF000000"/>
        <sz val="11.0"/>
      </rPr>
      <t xml:space="preserve">EN#2134851, INV#EXP/POP35777/072/21IX109, T/R, NO GATEFEE (ETS), </t>
    </r>
    <r>
      <rPr>
        <rFont val="Arial"/>
        <color rgb="FF000000"/>
        <sz val="11.0"/>
      </rPr>
      <t>empty return 11/23</t>
    </r>
    <r>
      <rPr>
        <rFont val="Arial"/>
        <color rgb="FF000000"/>
        <sz val="11.0"/>
      </rPr>
      <t xml:space="preserve">
- EVER FEAT, (B18)</t>
    </r>
  </si>
  <si>
    <t>NS3539</t>
  </si>
  <si>
    <t>111
(LCL)</t>
  </si>
  <si>
    <t>SEKU4653938</t>
  </si>
  <si>
    <t>CALENDARS, ENVELOPES</t>
  </si>
  <si>
    <t>EN#2136406, INV#27102021, T/R
- COSCOSHIPPING DENALI, (D14)
- 11/23, asked PO from AWC</t>
  </si>
  <si>
    <t>NET30</t>
  </si>
  <si>
    <t>EITU1366195</t>
  </si>
  <si>
    <r>
      <rPr>
        <rFont val="Arial"/>
        <color rgb="FF000000"/>
        <sz val="11.0"/>
      </rPr>
      <t xml:space="preserve">EN#2135566, INV#DL-AIT2114, T/R, </t>
    </r>
    <r>
      <rPr>
        <rFont val="Arial"/>
        <color rgb="FF000000"/>
        <sz val="11.0"/>
      </rPr>
      <t>empty return 11/18</t>
    </r>
    <r>
      <rPr>
        <rFont val="Arial"/>
        <color rgb="FF000000"/>
        <sz val="11.0"/>
      </rPr>
      <t xml:space="preserve">
- EVER LENIENT, (C15)</t>
    </r>
  </si>
  <si>
    <t>FCIU7374126</t>
  </si>
  <si>
    <r>
      <rPr>
        <rFont val="Arial"/>
        <color rgb="FF000000"/>
        <sz val="11.0"/>
      </rPr>
      <t>GHC (</t>
    </r>
    <r>
      <rPr>
        <rFont val="Arial"/>
        <color rgb="FF000000"/>
        <sz val="11.0"/>
      </rPr>
      <t>D-04061</t>
    </r>
    <r>
      <rPr>
        <rFont val="Arial"/>
        <color rgb="FF000000"/>
        <sz val="11.0"/>
      </rPr>
      <t>)</t>
    </r>
  </si>
  <si>
    <t>EN#2135567, INV#AIT2116, T/R, empty return 11/19
- GUNVOR MAERSK, (C14), MSC
- APM surcharge ($150) will apply
- additional Empty Pick-up surcharge ($355 + 42% Fuel)</t>
  </si>
  <si>
    <t xml:space="preserve">APHU6951662  </t>
  </si>
  <si>
    <t>KOREAN GINSENG TEA, TU CHUNG TEA, YOUNG JI TEA</t>
  </si>
  <si>
    <r>
      <rPr>
        <rFont val="Arial"/>
        <color rgb="FF000000"/>
        <sz val="11.0"/>
      </rPr>
      <t>EN#2136003, INV#KB210826, OBL10/22,</t>
    </r>
    <r>
      <rPr>
        <rFont val="Arial"/>
        <color rgb="FF000000"/>
        <sz val="11.0"/>
      </rPr>
      <t xml:space="preserve"> empty return 11/18</t>
    </r>
    <r>
      <rPr>
        <rFont val="Arial"/>
        <color rgb="FF000000"/>
        <sz val="11.0"/>
      </rPr>
      <t xml:space="preserve">
- CMA CGM MAGELLAN, (D9)
- have additional $150 Maher Surcharge</t>
    </r>
  </si>
  <si>
    <t>C&amp;F</t>
  </si>
  <si>
    <t>KOREA</t>
  </si>
  <si>
    <t>EGHU9649570</t>
  </si>
  <si>
    <t>EN#2135422, INV#EXP/POP35712/078/21IX117, T/R, empty return
- EVER LOGIC, (C7)
- Trucker not able to pull on 11/26 as there was no chassis, so demurrage was needed thru 11/29, they will try to pick up 11/29 night and deliver 11/30
- Trucker had to prepull shipment when picked up at 8:26pm on 11/29</t>
  </si>
  <si>
    <t>TRHU4626120</t>
  </si>
  <si>
    <r>
      <rPr>
        <rFont val="Arial"/>
        <color rgb="FF000000"/>
        <sz val="11.0"/>
      </rPr>
      <t xml:space="preserve">EN#2135767, INV#EXP/POP35659/080/21X120, T/R, </t>
    </r>
    <r>
      <rPr>
        <rFont val="Arial"/>
        <color rgb="FFFF0000"/>
        <sz val="11.0"/>
      </rPr>
      <t>empty return</t>
    </r>
    <r>
      <rPr>
        <rFont val="Arial"/>
        <color rgb="FF000000"/>
        <sz val="11.0"/>
      </rPr>
      <t xml:space="preserve">
- EVER LOGIC, (C19)</t>
    </r>
  </si>
  <si>
    <t>TGBU6002053</t>
  </si>
  <si>
    <r>
      <rPr>
        <rFont val="Arial"/>
        <color rgb="FF000000"/>
        <sz val="11.0"/>
      </rPr>
      <t xml:space="preserve">EN#2135467, INV#142/EXP/INV/IX/2021, OBL 10/6, </t>
    </r>
    <r>
      <rPr>
        <rFont val="Arial"/>
        <color rgb="FFFF0000"/>
        <sz val="11.0"/>
      </rPr>
      <t>empty return</t>
    </r>
    <r>
      <rPr>
        <rFont val="Arial"/>
        <color rgb="FF000000"/>
        <sz val="11.0"/>
      </rPr>
      <t xml:space="preserve">
- EVER LOGIC, (C8)</t>
    </r>
  </si>
  <si>
    <t>MSMU5618385</t>
  </si>
  <si>
    <r>
      <rPr>
        <rFont val="Arial"/>
        <color rgb="FF000000"/>
        <sz val="11.0"/>
      </rPr>
      <t xml:space="preserve">GHC D-04016
</t>
    </r>
    <r>
      <rPr>
        <rFont val="Arial"/>
        <color rgb="FF000000"/>
        <sz val="11.0"/>
      </rPr>
      <t>(RC COMMERCE)</t>
    </r>
  </si>
  <si>
    <t>EN#2135091, INV#DL-AIT2108, T/R, empty return 11/15
- GERDA MAERSK, (C1)
- have additional $150 APM Surcharge
- Deliver to RC COMMERCE
- per GC, RC Commerce shares $8000 freight cost</t>
  </si>
  <si>
    <t>UACU3791833</t>
  </si>
  <si>
    <t>PALLY (DIGESTIVE, RICH TEA)</t>
  </si>
  <si>
    <t>EN#2136561, INV#SI21-006637, T/R, No PL, empty return 11/9
- CAPE PIONEER, (D22)
- customs clearance &amp; local trucking arranged by POP (no door move by vendor)
- have additional $150 Maher surcharge
- deliver after LFD 11/5, additional charges: Terminal Demurrage (TBA), Pre-pull ($150), Storage ($50/day), Per Diems (TBA)
- prepull 11/5
- Pre-pull, $150; Storage, $200
- picked up 11/4, delivered 11/8, empty return 11/9</t>
  </si>
  <si>
    <t>CAAU6008570</t>
  </si>
  <si>
    <t>GINGER CHEWS 4 OZ (ORANGE, LEMON)</t>
  </si>
  <si>
    <r>
      <rPr>
        <rFont val="Arial"/>
        <color rgb="FF000000"/>
        <sz val="11.0"/>
      </rPr>
      <t xml:space="preserve">EN#2134707, INV#EXP/POP35779/070/21VIII106, T/R, </t>
    </r>
    <r>
      <rPr>
        <rFont val="Arial"/>
        <color rgb="FF000000"/>
        <sz val="11.0"/>
      </rPr>
      <t>empty return 11/8</t>
    </r>
    <r>
      <rPr>
        <rFont val="Arial"/>
        <color rgb="FF000000"/>
        <sz val="11.0"/>
      </rPr>
      <t xml:space="preserve">
- THALASSA DOXA, (B16)
- have additional $150 Maher Surcharge</t>
    </r>
  </si>
  <si>
    <t>EGHU9561495</t>
  </si>
  <si>
    <t>GINGER CHEWS 4 OZ (LEMON)
(Defect - compensation)</t>
  </si>
  <si>
    <r>
      <rPr>
        <rFont val="Arial"/>
        <color rgb="FF000000"/>
        <sz val="11.0"/>
      </rPr>
      <t xml:space="preserve">EN#2134558, INV#EXP/POP35469/065/21VIII101, T/R, </t>
    </r>
    <r>
      <rPr>
        <rFont val="Arial"/>
        <color rgb="FF000000"/>
        <sz val="11.0"/>
      </rPr>
      <t>empty return 11/10</t>
    </r>
    <r>
      <rPr>
        <rFont val="Arial"/>
        <color rgb="FF000000"/>
        <sz val="11.0"/>
      </rPr>
      <t xml:space="preserve">
- CMA CGM T.JEFFERSON, (B12)
- have additional $150 APM Surcharge</t>
    </r>
  </si>
  <si>
    <t>EGHU8215899</t>
  </si>
  <si>
    <r>
      <rPr>
        <rFont val="Arial"/>
        <color rgb="FF000000"/>
        <sz val="11.0"/>
      </rPr>
      <t xml:space="preserve">EN#2134506, INV#131/EXP/INV/VIII/2021, OBL9/14, </t>
    </r>
    <r>
      <rPr>
        <rFont val="Arial"/>
        <color rgb="FF000000"/>
        <sz val="11.0"/>
      </rPr>
      <t>empty return 11/11</t>
    </r>
    <r>
      <rPr>
        <rFont val="Arial"/>
        <color rgb="FF000000"/>
        <sz val="11.0"/>
      </rPr>
      <t xml:space="preserve">
- CMA CGM T.JEFFERSON, (B3)
- have additional $150 APM Surcharge
- deliver after LFD 11/5, additional charges: Terminal Demurrage (TBA), Pre-pull ($150), Storage ($50/day), Per Diems (TBA)
- prepull 11/5
- Pre-pull, $150; Storage, $200
- have empty pick-up surcharge ($355 + 42% Fuel)</t>
    </r>
  </si>
  <si>
    <t>EGHU9487989</t>
  </si>
  <si>
    <t>GINGER CHEWS 4 OZ (LEMON, ORANGE, MANGO, PEANUT)</t>
  </si>
  <si>
    <t>EN#2134591, INV#EXP/POP35470/067/21VIII103, T/R, empty return 11/11
- CMA CGM T.JEFFERSON, (B13)
- deliver after LFD 11/5, additional charges: Terminal Demurrage (TBA), Pre-pull ($150), Storage ($50/day), Per Diems (TBA)
- prepull 11/5
- Pre-pull, $150; Storage, $200
- empty pickup 11/11, CLFD 11/11, empty return 11/11 (no per diem?)</t>
  </si>
  <si>
    <t>CMAU6352003</t>
  </si>
  <si>
    <r>
      <rPr>
        <rFont val="Arial"/>
        <color rgb="FF000000"/>
        <sz val="11.0"/>
      </rPr>
      <t xml:space="preserve">GINGER CHEWS 1 KG (ORIGINAL)
</t>
    </r>
    <r>
      <rPr>
        <rFont val="Arial"/>
        <color rgb="FF000000"/>
        <sz val="11.0"/>
      </rPr>
      <t>(RC COMMERCE)</t>
    </r>
  </si>
  <si>
    <r>
      <rPr>
        <rFont val="Arial"/>
        <color rgb="FF000000"/>
        <sz val="11.0"/>
      </rPr>
      <t xml:space="preserve">EN#2135092, INV#138/EXP/INV/IX/2021, OBL 10/6, </t>
    </r>
    <r>
      <rPr>
        <rFont val="Arial"/>
        <color rgb="FF000000"/>
        <sz val="11.0"/>
      </rPr>
      <t>empty return 11/8</t>
    </r>
    <r>
      <rPr>
        <rFont val="Arial"/>
        <color rgb="FF000000"/>
        <sz val="11.0"/>
      </rPr>
      <t xml:space="preserve">
- CMA CGM T.JEFFERSON, (C2)
- have additional $150 APM Surcharge
- 11/3 AQI exam hold
- 11/4 Custom released
- Deliver to RC COMMERCE</t>
    </r>
  </si>
  <si>
    <t>CMAU7227006</t>
  </si>
  <si>
    <t>GHC, INSTANT TEA CHINESE HERBAL</t>
  </si>
  <si>
    <r>
      <rPr>
        <rFont val="Arial"/>
        <color rgb="FF000000"/>
        <sz val="11.0"/>
      </rPr>
      <t xml:space="preserve">EN#2136318, INV#AIT2112, T/R, GATEFEE10/27, </t>
    </r>
    <r>
      <rPr>
        <rFont val="Arial"/>
        <color rgb="FF000000"/>
        <sz val="11.0"/>
      </rPr>
      <t>empty return 11/9</t>
    </r>
    <r>
      <rPr>
        <rFont val="Arial"/>
        <color rgb="FF000000"/>
        <sz val="11.0"/>
      </rPr>
      <t xml:space="preserve">
- CMA CGM LOIRE, (D17)
- Two received POs</t>
    </r>
  </si>
  <si>
    <t>APHU7284414</t>
  </si>
  <si>
    <t>GHC (NATURAL LEMON D-04037)</t>
  </si>
  <si>
    <r>
      <rPr>
        <rFont val="Arial"/>
        <color rgb="FF202124"/>
        <sz val="11.0"/>
      </rPr>
      <t xml:space="preserve">EN#2136316, INV#AIT2115, T/R, GATEFEE10/27, </t>
    </r>
    <r>
      <rPr>
        <rFont val="Arial"/>
        <color rgb="FF202124"/>
        <sz val="11.0"/>
      </rPr>
      <t>empty return 11/9</t>
    </r>
    <r>
      <rPr>
        <rFont val="Arial"/>
        <color rgb="FF202124"/>
        <sz val="11.0"/>
      </rPr>
      <t xml:space="preserve">
- CMA CGM LOIRE, (D13)</t>
    </r>
  </si>
  <si>
    <t>CMAU6339892</t>
  </si>
  <si>
    <r>
      <rPr>
        <rFont val="Arial"/>
        <color rgb="FF000000"/>
        <sz val="11.0"/>
      </rPr>
      <t xml:space="preserve">EN#2136314, INV#AIT2119, T/R, GATEFEE10/27, </t>
    </r>
    <r>
      <rPr>
        <rFont val="Arial"/>
        <color rgb="FF000000"/>
        <sz val="11.0"/>
      </rPr>
      <t>empty return 11/12</t>
    </r>
    <r>
      <rPr>
        <rFont val="Arial"/>
        <color rgb="FF000000"/>
        <sz val="11.0"/>
      </rPr>
      <t xml:space="preserve">
- CMA CGM LOIRE, (D12)</t>
    </r>
  </si>
  <si>
    <t>CAAU6072476</t>
  </si>
  <si>
    <t>GHC (D-04061)</t>
  </si>
  <si>
    <t>EN#2136315, INV#AIT2118, T/R, GATEFEE10/27, empty return 11/11
- CMA CGM LOIRE, (D11)
- per GC, this is no urgent shipment</t>
  </si>
  <si>
    <t>BSIU2262861</t>
  </si>
  <si>
    <r>
      <rPr>
        <rFont val="Arial"/>
        <color rgb="FF000000"/>
        <sz val="11.0"/>
      </rPr>
      <t xml:space="preserve">EN#2135877, INV#94025212, T/R, No PL, </t>
    </r>
    <r>
      <rPr>
        <rFont val="Arial"/>
        <color rgb="FF000000"/>
        <sz val="11.0"/>
      </rPr>
      <t>empty return 11/9</t>
    </r>
    <r>
      <rPr>
        <rFont val="Arial"/>
        <color rgb="FF000000"/>
        <sz val="11.0"/>
      </rPr>
      <t xml:space="preserve">
- AL SAFAT, (D3)
- additional Maher Surcharge $150</t>
    </r>
  </si>
  <si>
    <t>EGHU9806350</t>
  </si>
  <si>
    <t>GHC (LEMON) D-04043</t>
  </si>
  <si>
    <r>
      <rPr>
        <rFont val="Arial"/>
        <color rgb="FF000000"/>
        <sz val="11.0"/>
      </rPr>
      <t xml:space="preserve">EN#2135577, INV#DL-AIT2113, T/R, NO GATEFEE (ETS), </t>
    </r>
    <r>
      <rPr>
        <rFont val="Arial"/>
        <color rgb="FF000000"/>
        <sz val="11.0"/>
      </rPr>
      <t>empty return 11/5</t>
    </r>
    <r>
      <rPr>
        <rFont val="Arial"/>
        <color rgb="FF000000"/>
        <sz val="11.0"/>
      </rPr>
      <t xml:space="preserve">
- EVER LIVELY, (C16)</t>
    </r>
  </si>
  <si>
    <t>TEMU5952093</t>
  </si>
  <si>
    <r>
      <rPr>
        <rFont val="Arial"/>
        <color rgb="FF000000"/>
        <sz val="11.0"/>
      </rPr>
      <t xml:space="preserve">EN#2134736, INV#92820, T/R, </t>
    </r>
    <r>
      <rPr>
        <rFont val="Arial"/>
        <color rgb="FFFF0000"/>
        <sz val="11.0"/>
      </rPr>
      <t>empty pickup</t>
    </r>
    <r>
      <rPr>
        <rFont val="Arial"/>
        <color rgb="FF000000"/>
        <sz val="11.0"/>
      </rPr>
      <t xml:space="preserve">
- NYK CONSTELLATION, (B17)
- 10/6, GW needs USDA permit to complete entry and submit to Customs
- 10/7, GW clear the customs per JPC request</t>
    </r>
  </si>
  <si>
    <t>CAIU7194635</t>
  </si>
  <si>
    <r>
      <rPr>
        <rFont val="Arial"/>
        <color rgb="FF202124"/>
        <sz val="11.0"/>
      </rPr>
      <t xml:space="preserve">EN#2135802, INV#EII210001062, OBL10/20, </t>
    </r>
    <r>
      <rPr>
        <rFont val="Arial"/>
        <color rgb="FF202124"/>
        <sz val="11.0"/>
      </rPr>
      <t>empty return 11/5</t>
    </r>
    <r>
      <rPr>
        <rFont val="Arial"/>
        <color rgb="FF202124"/>
        <sz val="11.0"/>
      </rPr>
      <t xml:space="preserve">
- CMA CGM PEGASUS, (D1)
- have APM surcharge</t>
    </r>
  </si>
  <si>
    <t>EISU8564434</t>
  </si>
  <si>
    <r>
      <rPr>
        <rFont val="Arial"/>
        <color rgb="FF000000"/>
        <sz val="11.0"/>
      </rPr>
      <t xml:space="preserve">EN#2134921, INV#EXP/POP35711/073/21IX110, T/R, </t>
    </r>
    <r>
      <rPr>
        <rFont val="Arial"/>
        <color rgb="FF000000"/>
        <sz val="11.0"/>
      </rPr>
      <t>empty return 11/8</t>
    </r>
    <r>
      <rPr>
        <rFont val="Arial"/>
        <color rgb="FF000000"/>
        <sz val="11.0"/>
      </rPr>
      <t xml:space="preserve">
- CMA CGM PEGASUS, (B21)
- have $150 APM Surcharge</t>
    </r>
  </si>
  <si>
    <t>BSIU9962471</t>
  </si>
  <si>
    <t>GINGER CHEWS 1 LB (ORIGINAL)</t>
  </si>
  <si>
    <t>EN#2134769, INV#127/EXP/PL/VII/2021, OBL9/1, NO GATEFEE (ETS), empty return 11/2
- EVER FIT, (B15)</t>
  </si>
  <si>
    <t>CSNU8414096</t>
  </si>
  <si>
    <t>ORGANIC TEABAGS
D-13200N, D-14200N, D-15200N, D-17200N, D-18200N, D-19200N</t>
  </si>
  <si>
    <t>EN#2135024, INV#YD21-T10, T/R, empty return 11/1
- OOCL SINGAPORE, (B22)
- have additional $150 MAHER surcharge</t>
  </si>
  <si>
    <t>DFSU6630253</t>
  </si>
  <si>
    <r>
      <rPr>
        <rFont val="Arial"/>
        <color rgb="FF000000"/>
        <sz val="11.0"/>
      </rPr>
      <t xml:space="preserve">EN#2135151, INV#110-029, T/R, </t>
    </r>
    <r>
      <rPr>
        <rFont val="Arial"/>
        <color rgb="FF000000"/>
        <sz val="11.0"/>
      </rPr>
      <t>empty return 11/8</t>
    </r>
    <r>
      <rPr>
        <rFont val="Arial"/>
        <color rgb="FF000000"/>
        <sz val="11.0"/>
      </rPr>
      <t xml:space="preserve">
- EVER SHINE, (C3)</t>
    </r>
  </si>
  <si>
    <t>EGHU9624274</t>
  </si>
  <si>
    <t>ZESS</t>
  </si>
  <si>
    <t>EN#2134518, INV#POP-05/21, T/R, empty return 10/29
- CMA CGM CHILE, (B7)
- have additional $150 APM surcharge</t>
  </si>
  <si>
    <t>TGBU6582497</t>
  </si>
  <si>
    <r>
      <rPr>
        <rFont val="Arial"/>
        <color rgb="FF000000"/>
        <sz val="11.0"/>
      </rPr>
      <t xml:space="preserve">EN#2134519, INV#POP-06/21, T/R, </t>
    </r>
    <r>
      <rPr>
        <rFont val="Arial"/>
        <color rgb="FF000000"/>
        <sz val="11.0"/>
      </rPr>
      <t>empty return 10/28</t>
    </r>
    <r>
      <rPr>
        <rFont val="Arial"/>
        <color rgb="FF000000"/>
        <sz val="11.0"/>
      </rPr>
      <t xml:space="preserve">
- CMA CGM CHILE, (B8)
- have additional $150 APM surcharge</t>
    </r>
  </si>
  <si>
    <t>GVCU5352423</t>
  </si>
  <si>
    <t>ORGANIC TEABAGS
D-13200N, D-13220N, D-14200N, D-15200N, D-18200N, D-19200N</t>
  </si>
  <si>
    <t>EN#2134861, INV#YD21-T09, T/R, empty return 11/1
- COSCO HOPE, (B19)
- have additional $150 Maher surcharge</t>
  </si>
  <si>
    <t>UETU5631090</t>
  </si>
  <si>
    <r>
      <rPr>
        <rFont val="Arial"/>
        <color rgb="FF000000"/>
        <sz val="11.0"/>
      </rPr>
      <t xml:space="preserve">11/2/2021
</t>
    </r>
    <r>
      <rPr>
        <rFont val="Arial"/>
        <color rgb="FF0000FF"/>
        <sz val="11.0"/>
      </rPr>
      <t>Pending GW invoice (per diem)</t>
    </r>
  </si>
  <si>
    <t>EN#2134507, INV#, T/R
- EVER  LUNAR, (A22), EG
-  12/28, no chassis at terminal, rescheduled 12/30</t>
  </si>
  <si>
    <t>TRHU5307196</t>
  </si>
  <si>
    <t>ORGANIC TEABAGS
D-13200N, D-13220N, D-14200N, D-15200N, D-152200N, D-18200N</t>
  </si>
  <si>
    <r>
      <rPr>
        <rFont val="Arial"/>
        <color rgb="FF000000"/>
        <sz val="11.0"/>
      </rPr>
      <t xml:space="preserve">EN#2134808, INV#YD21-T08, T/R, </t>
    </r>
    <r>
      <rPr>
        <rFont val="Arial"/>
        <color rgb="FF000000"/>
        <sz val="11.0"/>
      </rPr>
      <t>empty return 10/26</t>
    </r>
    <r>
      <rPr>
        <rFont val="Arial"/>
        <color rgb="FF000000"/>
        <sz val="11.0"/>
      </rPr>
      <t xml:space="preserve">
- COSCOSHIPPING ORCHID, (B20)</t>
    </r>
  </si>
  <si>
    <t>EISU9289390</t>
  </si>
  <si>
    <r>
      <rPr>
        <rFont val="Arial"/>
        <color rgb="FF202124"/>
        <sz val="11.0"/>
      </rPr>
      <t xml:space="preserve">GHC (LEMON) D-04037 / </t>
    </r>
    <r>
      <rPr>
        <rFont val="Arial"/>
        <color rgb="FF202124"/>
        <sz val="11.0"/>
      </rPr>
      <t>D-04061</t>
    </r>
  </si>
  <si>
    <r>
      <rPr>
        <rFont val="Arial"/>
        <color rgb="FF000000"/>
        <sz val="11.0"/>
      </rPr>
      <t xml:space="preserve">EN#2134559, INV#DL-AIT2111, T/R, </t>
    </r>
    <r>
      <rPr>
        <rFont val="Arial"/>
        <color rgb="FF000000"/>
        <sz val="11.0"/>
      </rPr>
      <t>empty return 10/21</t>
    </r>
    <r>
      <rPr>
        <rFont val="Arial"/>
        <color rgb="FF000000"/>
        <sz val="11.0"/>
      </rPr>
      <t xml:space="preserve">
- COSCOSHIPPING ORCHID, (B11)</t>
    </r>
  </si>
  <si>
    <t>GESU9318888</t>
  </si>
  <si>
    <t>EN#2134249, INV#92360, T/R, GATEFEE10/13, LIVE but drop, empty return 10/20
- MSC GAYANE, (B1)</t>
  </si>
  <si>
    <t>EITU9382361</t>
  </si>
  <si>
    <r>
      <rPr>
        <rFont val="Arial"/>
        <color rgb="FF000000"/>
        <sz val="11.0"/>
      </rPr>
      <t xml:space="preserve">EN#2133665, INV#116/EXP/INV/VII/2021, OBL8/17, </t>
    </r>
    <r>
      <rPr>
        <rFont val="Arial"/>
        <color rgb="FFFF0000"/>
        <sz val="11.0"/>
      </rPr>
      <t>empty return 10/27</t>
    </r>
    <r>
      <rPr>
        <rFont val="Arial"/>
        <color rgb="FF000000"/>
        <sz val="11.0"/>
      </rPr>
      <t xml:space="preserve">
- EVER FAIR, (A10)</t>
    </r>
  </si>
  <si>
    <t>TCLU7829732</t>
  </si>
  <si>
    <t>EN#2134016, INV#92157, T/R
- NYK RIGEL, (A17)</t>
  </si>
  <si>
    <t>TLLU4441280</t>
  </si>
  <si>
    <t>GINGER CHEWS 4 OZ (ORANGE)</t>
  </si>
  <si>
    <r>
      <rPr>
        <rFont val="Arial"/>
        <color rgb="FF000000"/>
        <sz val="11.0"/>
      </rPr>
      <t xml:space="preserve">EN#2134622, INV#EXP/POP35707/069/21VIII104, T/R, </t>
    </r>
    <r>
      <rPr>
        <rFont val="Arial"/>
        <color rgb="FFFF0000"/>
        <sz val="11.0"/>
      </rPr>
      <t>empty return</t>
    </r>
    <r>
      <rPr>
        <rFont val="Arial"/>
        <color rgb="FF000000"/>
        <sz val="11.0"/>
      </rPr>
      <t xml:space="preserve">
- EVER FIT, (B14)</t>
    </r>
  </si>
  <si>
    <t>TCNU2083329</t>
  </si>
  <si>
    <r>
      <rPr>
        <rFont val="Arial"/>
        <color rgb="FF000000"/>
        <sz val="11.0"/>
      </rPr>
      <t xml:space="preserve">EN#2133735, 117/EXP/INV/VII/2021, OBL8/17, </t>
    </r>
    <r>
      <rPr>
        <rFont val="Arial"/>
        <color rgb="FFFF0000"/>
        <sz val="11.0"/>
      </rPr>
      <t>empty return</t>
    </r>
    <r>
      <rPr>
        <rFont val="Arial"/>
        <color rgb="FF000000"/>
        <sz val="11.0"/>
      </rPr>
      <t xml:space="preserve">
- CMA CGM PANAMA, (A13)
- moored at Long Beach port (10/8) before moored at LA port (10/11)
- only appointment to pull 10/25, deliver 10/26</t>
    </r>
  </si>
  <si>
    <t>CMAU6182606</t>
  </si>
  <si>
    <t>EN#2134508, INV#129/EXP/INV/VIII/2021, OBL9/14, empty return 10/18
- CMA CGM MARCO POLO, (B5)
- have additional $150 APM Surcharge
- Jimmy confirmed only 1159 cs delivered
- 1 cs shortage, vendor will send 1 cs FOC in different container</t>
  </si>
  <si>
    <t>EGHU9140310</t>
  </si>
  <si>
    <t xml:space="preserve">EN#2134223, INV#124/EXP/INV/VIII/2021, OBL9/1, empty return 10/18
- CMA CGM MARCO POLO, (A22)
- have additional $150 Terminal Surcharge
- have additional surcharge ($355 + 33% Fuel) for empty pickup </t>
  </si>
  <si>
    <t>FSCU5765054</t>
  </si>
  <si>
    <t>EN#2134509, INV#92821, T/R, LIVE
- NORTHERN JUBILEE, (B6)
- piece count mismatch for Master and House BL
- No genset needed for delivery</t>
  </si>
  <si>
    <t>TGBU9956733</t>
  </si>
  <si>
    <t>EN#2133824, INV#DL-AIT2110, T/R, empty return 10/15
- EVER FORE, (A9)</t>
  </si>
  <si>
    <t>HLBU2012469</t>
  </si>
  <si>
    <t>KJELDSENS</t>
  </si>
  <si>
    <t>NA</t>
  </si>
  <si>
    <t>- Door move (local), empty return 10/13
- 10/5, don't have forklift to handle slip sheets on the pallet, request drop delivery</t>
  </si>
  <si>
    <t>YVES THURIES CHOCOLATE</t>
  </si>
  <si>
    <t>No EN# (Door Delivery), INV#278962
- Door move delivery by vendor 11/16
- B9</t>
  </si>
  <si>
    <t>POs</t>
  </si>
  <si>
    <t>819/997</t>
  </si>
  <si>
    <t>TCNU5161765</t>
  </si>
  <si>
    <t>Packaging Material</t>
  </si>
  <si>
    <r>
      <rPr>
        <rFont val="Arial"/>
        <color rgb="FF000000"/>
        <sz val="11.0"/>
      </rPr>
      <t xml:space="preserve">- Amy Fu help to import
- no EN#, no OBL, no GATEFEE, Not palletized, </t>
    </r>
    <r>
      <rPr>
        <rFont val="Arial"/>
        <color rgb="FF000000"/>
        <sz val="11.0"/>
      </rPr>
      <t>empty return 10/13</t>
    </r>
    <r>
      <rPr>
        <rFont val="Arial"/>
        <color rgb="FF000000"/>
        <sz val="11.0"/>
      </rPr>
      <t xml:space="preserve">
- CMA CGM MEDEA, C12</t>
    </r>
  </si>
  <si>
    <t>TGBU4294260</t>
  </si>
  <si>
    <t>MAJESTIC</t>
  </si>
  <si>
    <t xml:space="preserve">EN#2133776, INV#RFS-POP012021, T/R
- CMA CGM A. LINCOLN, (A8)
- 10/6, no chassis at port, pull 10/6 night, deliver 10/7
- 10/7, not able to pull due to no chassis, LFD 10/7, next available appointment 10/11, demurrage applied
- 10/11, GW paid demurrage $660
</t>
  </si>
  <si>
    <t>VIETNAM</t>
  </si>
  <si>
    <t>337/926</t>
  </si>
  <si>
    <t>SEGU5991426</t>
  </si>
  <si>
    <t>- Amy Fu help to import
- no EN#, no OBL, no GATEFEE, Not palletized, empty return 10/8
- C12</t>
  </si>
  <si>
    <t>35678
35720</t>
  </si>
  <si>
    <t>KOCU5089698</t>
  </si>
  <si>
    <t>KOREAN GINSENG TEA, TU CHUNG TEA, YOUNG JI TEA, KOREAN RED GINSENG POWDER</t>
  </si>
  <si>
    <r>
      <rPr>
        <rFont val="Arial"/>
        <color rgb="FF000000"/>
        <sz val="11.0"/>
      </rPr>
      <t xml:space="preserve">EN#2135130, INV#KB210825, OBL9/28, </t>
    </r>
    <r>
      <rPr>
        <rFont val="Arial"/>
        <color rgb="FF000000"/>
        <sz val="11.0"/>
      </rPr>
      <t>empty return 11/29</t>
    </r>
    <r>
      <rPr>
        <rFont val="Arial"/>
        <color rgb="FF000000"/>
        <sz val="11.0"/>
      </rPr>
      <t xml:space="preserve">
- HYUNDAI PRESTIGE, (C6)
- At anchor since 10/3, at anchor 4 times (10/3, 11/4, 11/14, 11/19)
- Actual at anchor since 9/28
- Scheduled 11/23, no chassis, so rescheduled 11/24</t>
    </r>
  </si>
  <si>
    <t>EITU9257210</t>
  </si>
  <si>
    <t>GINGER CHEWS 4 OZ (LEMON, ORANGE, MANGO, LYCHEE, PEANUT)</t>
  </si>
  <si>
    <t>EN#2133734, INV#EXP/POP35467/062/21VIII96, T/R, NO GATEFEE (ETS), empty return 10/6
- EVER FRONT, (A12)</t>
  </si>
  <si>
    <t>EGHU9880506</t>
  </si>
  <si>
    <r>
      <rPr>
        <rFont val="Arial"/>
        <color rgb="FF000000"/>
        <sz val="11.0"/>
      </rPr>
      <t xml:space="preserve">EN#2133728, INV#EXP/POP35468/063/21VIII97, T/R, NO GATEFEE (ETS), </t>
    </r>
    <r>
      <rPr>
        <rFont val="Arial"/>
        <color rgb="FF000000"/>
        <sz val="11.0"/>
      </rPr>
      <t>empty return 10/11</t>
    </r>
    <r>
      <rPr>
        <rFont val="Arial"/>
        <color rgb="FF000000"/>
        <sz val="11.0"/>
      </rPr>
      <t xml:space="preserve">
- EVER FRONT, (A11)</t>
    </r>
  </si>
  <si>
    <t>TCLU1396126</t>
  </si>
  <si>
    <t>EN#2134018, INV#92108, T/R, LIVE
- NYK ROMULUS, (A18)
- no genset needed for delivery</t>
  </si>
  <si>
    <t>CAAU5729967</t>
  </si>
  <si>
    <t>EN#2133161, INV#107/EXP/INV/VII/2021, OBL8/4, empty return 10/1
- EVER FOREVER, (A3)
- additional Empty Pick-up surcharge ($355 + 33%)</t>
  </si>
  <si>
    <t>SZLU9704451</t>
  </si>
  <si>
    <t>RED PANAX GINSENG EXTRACT, GINGKO BILOBA &amp; RED PANAX, ULTRA GINGKO PLUS, ULTRA JOINT, INSTANT TEA HERBAL(A-6101G)</t>
  </si>
  <si>
    <t>EN#2132817,  INV#DL-AIT2104KFY, T/R, empty return 10/1
- ONE HAWK, (D14)
- two DDC charges, as instructed by loading port, because have two ETD
- 9/17 AQI exam hold
- 9/23 AQI exam released
- 10/22, Inv# ROIN21090820 duplicate &amp; invalid, check# 117923 with $1125 as the credit for other open invoices</t>
  </si>
  <si>
    <t>- Door move delivery by vendor
- INV#278961, No EN#
- (B10)</t>
  </si>
  <si>
    <t>FCIU6326289</t>
  </si>
  <si>
    <t>EN#2132392, INV#93992984, T/R, No PL, GATEFEE9/14, empty return 9/24
- NYK DENEB, (C22)</t>
  </si>
  <si>
    <t>CAAU5413639</t>
  </si>
  <si>
    <t>TEAS
D-13100N, D-13300N, D-14100N, D-15100N, D-16100N, D-17100N, D-18100N</t>
  </si>
  <si>
    <r>
      <rPr>
        <rFont val="Arial"/>
        <color rgb="FF000000"/>
        <sz val="11.0"/>
      </rPr>
      <t xml:space="preserve">EN#2133692, INV#YD21-T20, T/R, </t>
    </r>
    <r>
      <rPr>
        <rFont val="Arial"/>
        <color rgb="FF000000"/>
        <sz val="11.0"/>
      </rPr>
      <t>empty return 9/28</t>
    </r>
    <r>
      <rPr>
        <rFont val="Arial"/>
        <color rgb="FF000000"/>
        <sz val="11.0"/>
      </rPr>
      <t xml:space="preserve">
- CMA CGM LAPEROUSE, (A16)
- have additional Empty Pick-up surcharge ($355 + 33% Fuel)</t>
    </r>
  </si>
  <si>
    <t>CSNU7625772</t>
  </si>
  <si>
    <t>EN#2133605, INV#EII210000771, OBL8/18
- APL SENTOSA, (A7)
- pull 9/23 night, deliver 9/24</t>
  </si>
  <si>
    <t>HLBU2229650</t>
  </si>
  <si>
    <t>ORGANIC TEABAGS
D-13200N, D-13220N, D-14200N, D-15200N, D-15220N, D-18200N</t>
  </si>
  <si>
    <r>
      <rPr>
        <rFont val="Arial"/>
        <color rgb="FF000000"/>
        <sz val="11.0"/>
      </rPr>
      <t xml:space="preserve">EN#2133308, INV#YD21-T07, T/R, </t>
    </r>
    <r>
      <rPr>
        <rFont val="Arial"/>
        <color rgb="FF000000"/>
        <sz val="11.0"/>
      </rPr>
      <t>empty return 9/24</t>
    </r>
    <r>
      <rPr>
        <rFont val="Arial"/>
        <color rgb="FF000000"/>
        <sz val="11.0"/>
      </rPr>
      <t xml:space="preserve">
- HYUNDAI PRIDE, (D22)
- have $150 GCT Bayonne surcharge</t>
    </r>
  </si>
  <si>
    <t>CMAU7607557</t>
  </si>
  <si>
    <t>GHC (ORIGINAL, PLUM, LEMON), DONG QUAI RED DATE TEA</t>
  </si>
  <si>
    <r>
      <rPr>
        <rFont val="Arial"/>
        <color rgb="FF000000"/>
        <sz val="11.0"/>
      </rPr>
      <t xml:space="preserve">EN#2134141, INV#DL-AIT2109, T/R, GATEFEE9/9, </t>
    </r>
    <r>
      <rPr>
        <rFont val="Arial"/>
        <color rgb="FF000000"/>
        <sz val="11.0"/>
      </rPr>
      <t>empty return 9/29</t>
    </r>
    <r>
      <rPr>
        <rFont val="Arial"/>
        <color rgb="FF000000"/>
        <sz val="11.0"/>
      </rPr>
      <t xml:space="preserve">
- CMA CGM LOIRE, (A20)</t>
    </r>
  </si>
  <si>
    <t>FCIU7537769</t>
  </si>
  <si>
    <r>
      <rPr>
        <rFont val="Arial"/>
        <color rgb="FF000000"/>
        <sz val="11.0"/>
      </rPr>
      <t xml:space="preserve">EN#2133036, INV#POP-04/21, T/R, NO GATEFEE (ETS), </t>
    </r>
    <r>
      <rPr>
        <rFont val="Arial"/>
        <color rgb="FF000000"/>
        <sz val="11.0"/>
      </rPr>
      <t>empty return 7/23</t>
    </r>
    <r>
      <rPr>
        <rFont val="Arial"/>
        <color rgb="FF000000"/>
        <sz val="11.0"/>
      </rPr>
      <t xml:space="preserve">
- EVER FEAT, (D19)</t>
    </r>
  </si>
  <si>
    <t>EITU9129651</t>
  </si>
  <si>
    <t>EN#2133162, INV#109/EXP/INV/VII/2021, OBL8/4, NO GATEFEE (ETS), empty return 9/22
- EVER FEAT, (A4)
- no Evergreen chassis available, driver use BACP chassis and it will be chassis fee
- 9/27, received GW credit note (no chassis usage charge)</t>
  </si>
  <si>
    <t>EGHU9236113</t>
  </si>
  <si>
    <t>GINGER CHEWS 4 OZ (ORANGE, MANGO, LAYCHEE)</t>
  </si>
  <si>
    <r>
      <rPr>
        <rFont val="Arial"/>
        <color rgb="FF000000"/>
        <sz val="11.0"/>
      </rPr>
      <t xml:space="preserve">EN#2133190, INV#EXP/POP35583/059/21VII94, T/R, NO GATEFEE (ETS), </t>
    </r>
    <r>
      <rPr>
        <rFont val="Arial"/>
        <color rgb="FF000000"/>
        <sz val="11.0"/>
      </rPr>
      <t>empty return 9/27</t>
    </r>
    <r>
      <rPr>
        <rFont val="Arial"/>
        <color rgb="FF000000"/>
        <sz val="11.0"/>
      </rPr>
      <t xml:space="preserve">
- EVER FEAT, (D18)</t>
    </r>
  </si>
  <si>
    <t>EGHU9829823</t>
  </si>
  <si>
    <r>
      <rPr>
        <rFont val="Arial"/>
        <color rgb="FF000000"/>
        <sz val="11.0"/>
      </rPr>
      <t xml:space="preserve">EN#2133159, INV#106/EXP/INV/VII/2021, OBL8/4, NO GATEFEE (ETS), </t>
    </r>
    <r>
      <rPr>
        <rFont val="Arial"/>
        <color rgb="FF000000"/>
        <sz val="11.0"/>
      </rPr>
      <t>empty return 9/21</t>
    </r>
    <r>
      <rPr>
        <rFont val="Arial"/>
        <color rgb="FF000000"/>
        <sz val="11.0"/>
      </rPr>
      <t xml:space="preserve">
- EVER FEAT, (A1)</t>
    </r>
  </si>
  <si>
    <t>35326
35172</t>
  </si>
  <si>
    <t>FFAU3462900</t>
  </si>
  <si>
    <t>EYS BAK FOONG PILLS/ GLASS BOTTLES</t>
  </si>
  <si>
    <t>EN#2133643, INV#, NO GATEFEE (LCL), T/R LIVE
- EVER FEAT, (A14)
- 9/9 FDA request labeling or ingredients - SSY responded 9/9
- 9/10, customs hold for x-ray exam
- 9/20, customs released
- 9/29, received PO submitted to SK</t>
  </si>
  <si>
    <t>SINGAPORE
CHINA</t>
  </si>
  <si>
    <t>MSMU8079651</t>
  </si>
  <si>
    <t>RED PANAX GINSENG EXTRACT, GINGKO BILOBA &amp; RED PANAX, ULTRA GINGKO PLUS, BEIJING ROYAL JELLY, AG ROYAL JELLY BEE POLLEN</t>
  </si>
  <si>
    <t>EN#2133143, INV#AIT2105KFY, T/R
- GUSTAV MAERSK, (D17)
- have $150 APM Surcharge
- have additional $200 overweight (43,078Lbs) surcharge
- have additional Empty Pick-up surcharge ($355 + 33% Fuel)</t>
  </si>
  <si>
    <t>TEMU8804823</t>
  </si>
  <si>
    <t>GINGER CHEWS 4 OZ (LEMON, ORANGE, MANGO, LYCHEE, PEANUT), CHEW PLUS+ 3 OZ (ORIGINAL, LEMON)</t>
  </si>
  <si>
    <t>EN#2132864, INV#EXP/POP35459/058/21VII90, T/R
- EVER STEADY, (D15)</t>
  </si>
  <si>
    <t>LA - NY</t>
  </si>
  <si>
    <t>205
(LCL)</t>
  </si>
  <si>
    <t>OOLU6446023</t>
  </si>
  <si>
    <t>SEIROGAN</t>
  </si>
  <si>
    <t>EN#2134039, INV#, OBL8/30
- NYK ORION, (A19)
- discharge LA, rail shipment to NJ</t>
  </si>
  <si>
    <t>JAPAN</t>
  </si>
  <si>
    <t>EGHU9690321</t>
  </si>
  <si>
    <t>GINGER CHEWS 1 LB (LEMON, ORANGE, MANGO, LYCHEE, PEANUT)</t>
  </si>
  <si>
    <r>
      <rPr>
        <rFont val="Arial"/>
        <color rgb="FF000000"/>
        <sz val="11.0"/>
      </rPr>
      <t xml:space="preserve">EN#2132349, INV#EXP/POP35457/049/21VI80, T/R, NO GATEFEE (ETS), </t>
    </r>
    <r>
      <rPr>
        <rFont val="Arial"/>
        <color rgb="FF000000"/>
        <sz val="11.0"/>
      </rPr>
      <t>empty return 9/17</t>
    </r>
    <r>
      <rPr>
        <rFont val="Arial"/>
        <color rgb="FF000000"/>
        <sz val="11.0"/>
      </rPr>
      <t xml:space="preserve">
- EVER FAME, (C17)</t>
    </r>
  </si>
  <si>
    <t>pending</t>
  </si>
  <si>
    <t>424
(LCL)</t>
  </si>
  <si>
    <t>CAIU5821021</t>
  </si>
  <si>
    <t>Delivered to SF (9/8/2021)
Export to HK, then reroute to US
Export vessel (YM TIPTOP, BMOU5623509) to HK, ATD 2/8
Underway to Korea 3/3, ETA to HK 3/8</t>
  </si>
  <si>
    <t>EN#2132541, INV#20833325, T/R, NO GATEFEE (LA to OAK)
- YM UNIFORM, (D8)
- PO#35697?
- EN#K80-2132541-1
- discharge &amp; custom exam @ LA, then deliver to Livermore (ETA 9/1)
- 9/3 FDA request active ingredients or labeling
- 9/9, per FDA, registration for this product is not valid, compliance department will resolve the registration issue
- 10/18, FDA detained, pending FDA notice (violation charge)
- 10/20 response sent to FDA, 10/28 follow up email
- 11/17 FDA refused, need to be destroyed or re-exported
- 11/22, received CBP Form 4647, merchandise must be redelivered to CBP within 30 days of notice (11/22)
- 1/27 loaded 5 pallets to container BMOU562350 with FDA officer witness</t>
  </si>
  <si>
    <t>YMLU8603832</t>
  </si>
  <si>
    <t>EN#2132762, INV#YD21-T05, T/R
- ARGUS, (D13)
- no chassis, pull 9/16, deliver 9/17
- no driver 9/17, rescheduled 9/20
- flat tire on chassis, rescheduled 9/21</t>
  </si>
  <si>
    <t>Inv#6012837</t>
  </si>
  <si>
    <t>JFK</t>
  </si>
  <si>
    <t>AIR</t>
  </si>
  <si>
    <t>CHEEZHENG (SAMPLE)</t>
  </si>
  <si>
    <t>EN#6012837, INV#CZ21S016
- B2
- simply help to import, provide invoices and expenses to EY for bill back vendor
- arrived JFK 8/31
- Thupten Gyaltsen (Pacha) pickup the rest cases (9/16)
- 1 case will transfer to Livermore warehouse (9/20, Transfer# 5277)</t>
  </si>
  <si>
    <t>TGBU4317806</t>
  </si>
  <si>
    <t>EN#2133604, INV#E1121000763, OBL8/25, empty return 9/13
- CMA CGM ANDROMEDA, (A6)
- APM Terminal Surcharge $150
- have additional Empty Pick-up surcharge ($355 + 33% Fuel)</t>
  </si>
  <si>
    <t>TCLU3699610</t>
  </si>
  <si>
    <t>PALLY (RICH TEA, DIGESTIVE, WHOLEWHEAT)</t>
  </si>
  <si>
    <t>EN#2133293, INV#SI21-004893, T/R
- OOCL ATLANTA, (D20)
- Door move delivery (CMA)</t>
  </si>
  <si>
    <t>TCKU6084421</t>
  </si>
  <si>
    <t>EN#2133160, INV#108/EXP/INV/VII/2021, OBL8/4
- EVER SHINE, (A2)
- pull 9/8, deliver 9/10</t>
  </si>
  <si>
    <t>TGBU8814950</t>
  </si>
  <si>
    <r>
      <rPr>
        <rFont val="Arial"/>
        <color rgb="FF000000"/>
        <sz val="11.0"/>
      </rPr>
      <t xml:space="preserve">ORGANIC TEABAGS
D-13400N, D-15400N
</t>
    </r>
    <r>
      <rPr>
        <rFont val="Arial"/>
        <color rgb="FF000000"/>
        <sz val="11.0"/>
      </rPr>
      <t>(RC COMMERCE)</t>
    </r>
  </si>
  <si>
    <t>EN#2133573, INV#YD21-T04, T/R
- CMA CGM ARGENTINA, (A5)
- fuel charge to Hicksville, NY is 42%
- delivered to RC Commerce</t>
  </si>
  <si>
    <t>TCLU6300786</t>
  </si>
  <si>
    <t>ORGANIC TEABAGS
D-13200N, D-13220N, D-14200N, D-15200N, D-18200N, D-18220N</t>
  </si>
  <si>
    <r>
      <rPr>
        <rFont val="Arial"/>
        <color rgb="FF000000"/>
        <sz val="11.0"/>
      </rPr>
      <t xml:space="preserve">EN#2133191, INV#YD21-T06, T/R, </t>
    </r>
    <r>
      <rPr>
        <rFont val="Arial"/>
        <color rgb="FF000000"/>
        <sz val="11.0"/>
      </rPr>
      <t>empty return 9/8</t>
    </r>
    <r>
      <rPr>
        <rFont val="Arial"/>
        <color rgb="FF000000"/>
        <sz val="11.0"/>
      </rPr>
      <t xml:space="preserve">
- CMA CGM ARGENTINA, (D21)</t>
    </r>
  </si>
  <si>
    <t>EGHU9732005</t>
  </si>
  <si>
    <r>
      <rPr>
        <rFont val="Arial"/>
        <color rgb="FF000000"/>
        <sz val="11.0"/>
      </rPr>
      <t xml:space="preserve">EN#2132285, INV#094/EXP/INV/VI/2021, OBL7/7, NO GATEFEE (ETS), </t>
    </r>
    <r>
      <rPr>
        <rFont val="Arial"/>
        <color rgb="FF000000"/>
        <sz val="11.0"/>
      </rPr>
      <t>empty return 9/9</t>
    </r>
    <r>
      <rPr>
        <rFont val="Arial"/>
        <color rgb="FF000000"/>
        <sz val="11.0"/>
      </rPr>
      <t xml:space="preserve">
- EVER FUTURE, (C13)</t>
    </r>
  </si>
  <si>
    <t>KOCU4411921</t>
  </si>
  <si>
    <t>EN#2132601, INV#20833325, T/R, GATEFEE8/16, empty return 8/30
- YM UNIFORM, (D7)</t>
  </si>
  <si>
    <t>EITU9192973</t>
  </si>
  <si>
    <t>GINGER CHEWS 4 OZ (LEMON, ORANGE, MANGO)</t>
  </si>
  <si>
    <t>EN#2132818, INV#EXP/POP35458/057/21VII89, T/R, empty return 8/30
- APL DUBLIN, (D11)
- have $150 APM Port Elizabeth terminal surcharge
- empty pickup surcharge ($355 + 33% Fuel)</t>
  </si>
  <si>
    <t>CAIU7878577</t>
  </si>
  <si>
    <t>TEABAGS
D-13100N, D-14100N, D-15100N, D-17100N</t>
  </si>
  <si>
    <t>EN#2132335, INV#YD20-T22, T/R, empty return 9/10
- MOL PRESTIGE, (C16)
- prepull 9/2, not deliver 9/3, reschedule</t>
  </si>
  <si>
    <t>TEMU9186530</t>
  </si>
  <si>
    <t>PANAX GINSENG EXTRACT(Pine), RED GINSENG ROYAL JELLY, GOJI ON THE GO</t>
  </si>
  <si>
    <t>EN#2131875, INV#2021TAT02, T/R, GATEFEE8/13, empty return 9/3
- YM TARGET, (C2)
- pier waiting was from 8:37-11:53am additional 1.5hr $90
- Overweight Warning: First axle 35,520 lb (legal 34,000 lb), 2nd axle 33,420 lb (legal 34,000 lb), total weight 80,120 lb (legal 80,000 lb)
- Additional charge for heavyweight - $120 + 32% plus $11.00 weight cert fee
- empty return to 3 Harbors Oakland and the chassis needs return to terminal, additional charge of $ 75 for split return chassis</t>
  </si>
  <si>
    <t>SEGU9842734</t>
  </si>
  <si>
    <t>PANAX GINSENG EXTRACT (C-70020/ C-70021)</t>
  </si>
  <si>
    <r>
      <rPr>
        <rFont val="Arial"/>
        <color rgb="FF000000"/>
        <sz val="11.0"/>
      </rPr>
      <t xml:space="preserve">EN#2132481, INV#2021TAT03, T/R, GATEFEE8/13, </t>
    </r>
    <r>
      <rPr>
        <rFont val="Arial"/>
        <color rgb="FF000000"/>
        <sz val="11.0"/>
      </rPr>
      <t>empty return 8/27</t>
    </r>
    <r>
      <rPr>
        <rFont val="Arial"/>
        <color rgb="FF000000"/>
        <sz val="11.0"/>
      </rPr>
      <t xml:space="preserve">
- YM TARGET, (D5)
- reefer container, no genset needed</t>
    </r>
  </si>
  <si>
    <t>FBLU0244695</t>
  </si>
  <si>
    <t>TEA LATTE</t>
  </si>
  <si>
    <r>
      <rPr>
        <rFont val="Arial"/>
        <color rgb="FF000000"/>
        <sz val="11.0"/>
      </rPr>
      <t xml:space="preserve">EN#2132065, INV#EII210000540, OBL7/15, GATEFEE8/3, </t>
    </r>
    <r>
      <rPr>
        <rFont val="Arial"/>
        <color rgb="FF000000"/>
        <sz val="11.0"/>
      </rPr>
      <t>empty return 9/2</t>
    </r>
    <r>
      <rPr>
        <rFont val="Arial"/>
        <color rgb="FF000000"/>
        <sz val="11.0"/>
      </rPr>
      <t xml:space="preserve">
- ONE HUMBER, (C6)</t>
    </r>
  </si>
  <si>
    <t>SFO</t>
  </si>
  <si>
    <t>SH LAVA MOONCAKES (F-95850)</t>
  </si>
  <si>
    <t>EN#9033177, INV#MC-O-2021008
- PHILIPPINE AIRLINES, (A21)
- 8/16, original vet cert received
- 8/16, delived 3 pallets
- 8/26, FDA Investigator Valdemoro inform that detain due to the manufacture is on the alert list
- 8/30, FDA request private lab test
- 9/2, Anresco Lab sampling @ 10-10:30 am
- 9/14, Anresco uploaded test result, JPC informed FDA
- 9/17, FDA released</t>
  </si>
  <si>
    <t>TCLU1066680</t>
  </si>
  <si>
    <r>
      <rPr>
        <rFont val="Arial"/>
        <color rgb="FF000000"/>
        <sz val="11.0"/>
      </rPr>
      <t xml:space="preserve">GHC (LEMON) </t>
    </r>
    <r>
      <rPr>
        <rFont val="Arial"/>
        <color rgb="FF000000"/>
        <sz val="11.0"/>
      </rPr>
      <t>D-04037 / A-6101G</t>
    </r>
  </si>
  <si>
    <t>EN#2132755, INV#DL-AIT2107, T/R, GATEFEE8/11, empty return 8/25
- CMA CGM GEMINI, (D12)
- pier waiting was from 7:03-11:33am additional 2.5hrs $150</t>
  </si>
  <si>
    <t>EISU8288423</t>
  </si>
  <si>
    <t>EN#2132404, INV#EXP/POP35456/051/21VI82, T/R
- CMA CGM J. ADAMS, (D3)
- have $150 APM Surcharge
- prepull 8/19, drop 8/20
- empty pickup, will have additional surcharge ($355 + 33% Fuel)</t>
  </si>
  <si>
    <t>TGBU6894200</t>
  </si>
  <si>
    <t>EN#2132403, INV#EXP/POP35290/050/21VI81, T/R
- CMA CGM J. ADAMS, (D2)
- have $150 APM Surcharge</t>
  </si>
  <si>
    <t>CGMU5131789</t>
  </si>
  <si>
    <t>SH MOONCAKES</t>
  </si>
  <si>
    <t>ONE RELEASED, OTHERS REFUSED</t>
  </si>
  <si>
    <t xml:space="preserve">8/12/2021
K80-2132326-7
</t>
  </si>
  <si>
    <t>EN#2132326, INV#MC-O-2021005, OBL7/21
- EVER FIT, (C15)
- original Sanitary &amp; Veterinary Certificates sent to GW, 7/22
- use alternative trucker by GW, no need genset
- 8/19 - FDA request exam @ warehouse
- 8/26, 9-10am - FDA sampling @ warehouse
- 9/9, FDA inform lab test result will available after 9/21
- 9/10, FDA testing for allergens
- 9/12, FDA inform lab test will be completed 11/3
- 10/1, FDA lab test completed, pending compliance officer review
- 10/5, FDA lab test result indicates all 7 mooncakes are positive for Milk (Allergen), pending technical review
- 11/1 FDA release F-95823
- 11/3 receive FDA action notice 3 (response by 11/19)
- 11/8 urgent donation for released F-95823 (PL#5452640)
- 11/15 per EY, we won't apply for reconditioning the products, will destroying the products as it is beyong Best Before Date
- 11/17 FDA approved refusal request, pending CBP Form 4647 for destruction (within 90 days)
- 12/2 Received CBP form 4647 &amp; 28
- 12/7 write off for refused (Inv#1253923)
- 12/7 ask GW for reimbursement for the US customs duties ($13,834.00)
- Destruction picked up 1/31
- Submitting PSC for duty refund (GW-Henry)
- CBP take a year to process PSC, refund may not possible
- 5/2/22 Per GW, duties cannot be refunded as the FDA refusal is due to misbranding (labeling issues)
- 6/22 per Henry, we will get duty refund
- 7/12 accounting received duty refund check $14,069.44</t>
  </si>
  <si>
    <t>CAAU6003808</t>
  </si>
  <si>
    <t>EN#2132159, INV#091/EXP/INV/VI/2021, OBL6/28
- CMA CGM THALASSA, (C10)
- have $150 APM surcharge</t>
  </si>
  <si>
    <t>EGHU9524465</t>
  </si>
  <si>
    <t>GINGER CHEWS PLUS+ 3 OZ (LEMON)</t>
  </si>
  <si>
    <t>EN#2132110, INV#EXP/POP35455/048/21VI78, T/R
- CMA CGM THALASSA, (C9)</t>
  </si>
  <si>
    <t>CXDU1633806</t>
  </si>
  <si>
    <t>EN#2132454, INV#93994240
- NYK DENEB, (D4)
- Container# for ISF is UETU2761269, but Invoice &amp; Sea Waybill is CXDU1633806, GW confirms is CXDU1633806</t>
  </si>
  <si>
    <t>ONEU0213701</t>
  </si>
  <si>
    <t>GHC (LEMON D-04041)</t>
  </si>
  <si>
    <t>EN#2132616, INV#21NSS0309, T/R
- HYUNDAI SPEED, (D6)
- have $150 Global Terminal Surcharge</t>
  </si>
  <si>
    <t>MSMU8702798</t>
  </si>
  <si>
    <t>GHC (ORIGINAL, LEMON, BROWN SUGAR), ALUMINUM FILM</t>
  </si>
  <si>
    <t>EN#2132364, INV#DL-AIT2103A, T/R, GATEFEE8/6, empty return 8/13
- MAERSK ALFIRK, (C18)</t>
  </si>
  <si>
    <t>TRHU6203998</t>
  </si>
  <si>
    <t>EN#2132370, INV#21NSS0303A, T/R
- YM WARRANTY, (C20) 
- 8/6 FDA requests actual pictures of the product from this shipment, the outer cartons, and inner package/labels
- 8/11 GC submitted actual product pictures, outer cartons &amp; inner package/labels
- 8/12 FDA released</t>
  </si>
  <si>
    <t>ONEU0174605</t>
  </si>
  <si>
    <t>GHC (D-04011/D-04010/D-04030/D-04036)</t>
  </si>
  <si>
    <t>EN#2132369, INV#21NSS0305, T/R
- YM WARRANTY, (C19)
- will have $150 GCT Bayonne surcharge</t>
  </si>
  <si>
    <t>54
(LCL)</t>
  </si>
  <si>
    <t>EMCU5430172</t>
  </si>
  <si>
    <r>
      <rPr>
        <rFont val="Arial"/>
        <color rgb="FF000000"/>
        <sz val="11.0"/>
      </rPr>
      <t xml:space="preserve">ALUMINIUM FOIL (AMG CHRY TEA FOIL &amp; AMG JSM TEA FOIL) </t>
    </r>
    <r>
      <rPr>
        <rFont val="Arial"/>
        <color rgb="FFFF0000"/>
        <sz val="11.0"/>
      </rPr>
      <t>(to LIVERMORE WAREHOUSE)</t>
    </r>
  </si>
  <si>
    <t>EN#2131496, INV#LFE-0526/21, T/R, NO GATEFEE (LCL)
- EVER FAST, (B21)</t>
  </si>
  <si>
    <t>MSDU7839497</t>
  </si>
  <si>
    <t>EN#2131732, INV#EXP/POP35291/046/21VI74, T/R
- GUDRUN MAERSK, (B20)
- have $150/contr APM Surcharge</t>
  </si>
  <si>
    <t>CAIU4638171</t>
  </si>
  <si>
    <t>EN#2131731, INV#EXP/POP35274/045/21VI73, T/R
- GUDRUN MAERSK, (B19)
- have $150/contr APM Surcharge</t>
  </si>
  <si>
    <t>MSDU7495160</t>
  </si>
  <si>
    <t>GINGER CHEWS PLUS+ 3 OZ (ORGINAL)</t>
  </si>
  <si>
    <t>EN#2131730, INV#EXP/POP35454/044/21VI72, T/R
- GUDRUN MAERSK, (B18)
- have $150/contr APM Surcharge
- prepull 8/6 (LFD8/6), deliver 8/9</t>
  </si>
  <si>
    <t>TRHU4703314</t>
  </si>
  <si>
    <t>EN#2131860, INV#EII210000529, OBL6/30
- CMA CGM JULES VERNE, (C1)
- have additional $150 APM surcharge</t>
  </si>
  <si>
    <t>EITU9003180</t>
  </si>
  <si>
    <t>EN#2131964, INV#090/EXP/INV/VI/2021, OBL6/28
- EVER FINE, (C4)</t>
  </si>
  <si>
    <t>TRIU8695951</t>
  </si>
  <si>
    <t>EN#2132325, INV#MC-O-2021004, OBL7/21
- EVER FRONT, (C14)
- original Sanitary &amp; Veterinary Certificates sent to GW, 7/22
- genset not needed for delivery</t>
  </si>
  <si>
    <t>KKTU7754746</t>
  </si>
  <si>
    <t xml:space="preserve">EN#2132816, INV#93996494, T/R
- AL HILAL, (D10)
- pulled from Maher Terminal and empty returned to Global Terminal (GCT-Bayonne) on 08/06/21 per ONE Shipping Line’s request, additional $100 Empty Return surcharge </t>
  </si>
  <si>
    <t>EGHU9206649</t>
  </si>
  <si>
    <t>GHC (LEMON) D-04041</t>
  </si>
  <si>
    <t>EN#2132012, INV#21NSS0308, T/R
- EVER FOCUS, (C5)
- 7/22 FDA request exam/sample
- When notify FDA, they will schedule exam within 7 business days, and if exam ok, will release the same exam day
- 8/2 inform GW, the shipment is ready for FDA exam
- 8/4 FDA exam &amp; released
- empty return 8/3</t>
  </si>
  <si>
    <t>OERU4084919</t>
  </si>
  <si>
    <t>WW MOONCAKES</t>
  </si>
  <si>
    <t>EN#2132093, INV#WW64/2021, T/R
- COSCOSHIPPING DENALI, (C8)
- Door move by Apex (to POPSF), genset 50-55F, LIVE
- $200 genset charge per reefer container
- Original Health Cert &amp; USDA permit sent to GW, 7/20, FedEx 774299992270
- OOCL detention charge $1,125 (CLFD 7/29, return 8/2)</t>
  </si>
  <si>
    <t>OERU4090038</t>
  </si>
  <si>
    <t>EN#2132092, INV#WW63/2021, T/R
- COSCOSHIPPING DENALI, (C7)
- Door move by Apex (to POPSF), genset 50-55F, LIVE
- $200 genset charge per reefer container
- Original Health Cert &amp; USDA permit sent to GW, 7/20, FedEx 774299992270
- OOCL detention charge $750 (CLFD 7/30, return 8/2)</t>
  </si>
  <si>
    <t>OOLU6148230</t>
  </si>
  <si>
    <t>GHC (ORIGINAL) D-04010</t>
  </si>
  <si>
    <t>EN#2132371, INV#21NSS0310, T/R
- CSCL SPRING, (C21)
- reefer container, no genset needed, delivered as a regular container</t>
  </si>
  <si>
    <t>WW MOLTEN MOONCAKES (F-96020)</t>
  </si>
  <si>
    <r>
      <rPr>
        <rFont val="Arial"/>
        <color rgb="FF000000"/>
        <sz val="11.0"/>
      </rPr>
      <t>EN#6012344</t>
    </r>
    <r>
      <rPr>
        <rFont val="Arial"/>
        <color rgb="FF000000"/>
        <sz val="11.0"/>
      </rPr>
      <t>, INV#WW80/2021
- CHINA AIRLINES CI5108, (D16)</t>
    </r>
  </si>
  <si>
    <t>EMCU8254170</t>
  </si>
  <si>
    <t>EN#2131949, INV#2105-00303, T/R, empty return 8/2
- EVER FAST, (C3)
- 7/13 Hold by CBP for intensive exam (have exam fee)
- 7/27 CBP release hold
- 9/1, per diem invoice $130</t>
  </si>
  <si>
    <t>35218
35349</t>
  </si>
  <si>
    <t>TLLU2595624</t>
  </si>
  <si>
    <t>K GSG Instant Tea &amp; Korean Red GSG Powder</t>
  </si>
  <si>
    <t>EN#2131830, INV#KB210517, OBL6/21, GATEFEE7/7, empty pickup 8/11, empty return 8/11
- EXPRESS BERLIN, (B22)</t>
  </si>
  <si>
    <t>EITU9148543</t>
  </si>
  <si>
    <r>
      <rPr>
        <rFont val="Arial"/>
        <color rgb="FF000000"/>
        <sz val="11.0"/>
      </rPr>
      <t xml:space="preserve">GINGER CHEWS 4 OZ-12x6 (LEMON, </t>
    </r>
    <r>
      <rPr>
        <rFont val="Arial"/>
        <color rgb="FFFF0000"/>
        <sz val="11.0"/>
      </rPr>
      <t>ORANGE</t>
    </r>
    <r>
      <rPr>
        <rFont val="Arial"/>
        <color rgb="FF000000"/>
        <sz val="11.0"/>
      </rPr>
      <t>, MANGO, PEANUT)</t>
    </r>
  </si>
  <si>
    <t>EN#2130747, INV#EXP/POP35271/040/21V65, T/R, NO GATEFEE (ETS), empty return 7/27
- EVER FEAT, (A12)
- no Evergreen chassis, driver will get BACP chassis and it will be chassis fee charge, revised invoice 7/27
- prepull 7/22, delivery7/23
- Prepull - $ 90 + 29% fuel surcharge plus $ 35/day yard parking</t>
  </si>
  <si>
    <t>EITU1863864</t>
  </si>
  <si>
    <t>GINGER ORIGINAL CHEWS 4OZ(12x6), GINGER LEMON CHEWS</t>
  </si>
  <si>
    <t>EN#2130842, INV#076/EXP/INV/V/2021, OBL5/28, NO GATEFEE (ETS), empty pickup 7/23, empty return 7/26
- EVER FEAT, (A15)</t>
  </si>
  <si>
    <t>TGBU9780367</t>
  </si>
  <si>
    <t>GINGER CANDY 1 LB 
(Lemon/Orange/Mango/Lychee/Peanut)</t>
  </si>
  <si>
    <t>EN#2131291, INV#EXP/POP35272/043/21V69, T/R, NO GATEFEE (ETS), empty return 7/22
- EVER FEAT, (B9)</t>
  </si>
  <si>
    <t>EGHU9814741</t>
  </si>
  <si>
    <t>GINGER CANDY Mango 8oz</t>
  </si>
  <si>
    <r>
      <rPr>
        <rFont val="Arial"/>
        <color rgb="FF000000"/>
        <sz val="11.0"/>
      </rPr>
      <t xml:space="preserve">EN#2131292, INV#EXP/POP35289/042/21V68, T/R, NO GATEFEE (ETS), </t>
    </r>
    <r>
      <rPr>
        <rFont val="Arial"/>
        <color rgb="FF000000"/>
        <sz val="11.0"/>
      </rPr>
      <t>empty return 7/28</t>
    </r>
    <r>
      <rPr>
        <rFont val="Arial"/>
        <color rgb="FF000000"/>
        <sz val="11.0"/>
      </rPr>
      <t xml:space="preserve">
- EVER FEAT, (B10)</t>
    </r>
  </si>
  <si>
    <t>TCNU1395106</t>
  </si>
  <si>
    <t>GINGER ORIGINAL CHEWS 227 GR</t>
  </si>
  <si>
    <t>EN#2130566, INV#074/EXP/INV/IV/2021, OBL5/18, NO GATEFEE (ETS), empty pickup 7/22
- EVER FEAT, (A8)</t>
  </si>
  <si>
    <t>ONEU0139902</t>
  </si>
  <si>
    <t>EN#2132204, INV#21NSS0307, T/R
- ONE WREN, (C12)
- $150 GCT Bayonne surcharge
- 7/21 FDA detention, need provide label for the product by 8/10
- 7/22 Grace provided product label
- have Empty Pick-up surcharge ($355 + 33% Fuel)
- empty pickup 7/26 return 7/28
- 8/9 FDA request label information, GC replied
- 8/11 FDA released, request Urgent posting</t>
  </si>
  <si>
    <t>WHSU6155789</t>
  </si>
  <si>
    <t>CAPPUCCINO</t>
  </si>
  <si>
    <r>
      <rPr>
        <rFont val="Arial"/>
        <color rgb="FF000000"/>
        <sz val="11.0"/>
      </rPr>
      <t xml:space="preserve">EN#2131280, INV#EII210000466, OBL6/16, GATEFEE7/7, </t>
    </r>
    <r>
      <rPr>
        <rFont val="Arial"/>
        <color rgb="FF000000"/>
        <sz val="11.0"/>
      </rPr>
      <t>empty return 7/23</t>
    </r>
    <r>
      <rPr>
        <rFont val="Arial"/>
        <color rgb="FF000000"/>
        <sz val="11.0"/>
      </rPr>
      <t xml:space="preserve">
- MONACO, (B6)</t>
    </r>
  </si>
  <si>
    <t>WHSU5183826</t>
  </si>
  <si>
    <r>
      <rPr>
        <rFont val="Arial"/>
        <color rgb="FF000000"/>
        <sz val="11.0"/>
      </rPr>
      <t xml:space="preserve">EN#2131289, INV#EII210000465, OBL6/16, GATEFEE7/7, </t>
    </r>
    <r>
      <rPr>
        <rFont val="Arial"/>
        <color rgb="FF000000"/>
        <sz val="11.0"/>
      </rPr>
      <t>empty return 7/28</t>
    </r>
    <r>
      <rPr>
        <rFont val="Arial"/>
        <color rgb="FF000000"/>
        <sz val="11.0"/>
      </rPr>
      <t xml:space="preserve">
- MONACO, (B5)</t>
    </r>
  </si>
  <si>
    <t>TGBU7264680</t>
  </si>
  <si>
    <t>GINGER ORIGINAL CHEW 113 GR</t>
  </si>
  <si>
    <r>
      <rPr>
        <rFont val="Arial"/>
        <color rgb="FF000000"/>
        <sz val="11.0"/>
      </rPr>
      <t xml:space="preserve">EN#2130564, INV#073/EXP/INV/IV/2021, OBL5/18, </t>
    </r>
    <r>
      <rPr>
        <rFont val="Arial"/>
        <color rgb="FF000000"/>
        <sz val="11.0"/>
      </rPr>
      <t>empty return 7/22</t>
    </r>
    <r>
      <rPr>
        <rFont val="Arial"/>
        <color rgb="FF000000"/>
        <sz val="11.0"/>
      </rPr>
      <t xml:space="preserve">
- EVER FORWARD, (A7)</t>
    </r>
  </si>
  <si>
    <t>SEGU5902265</t>
  </si>
  <si>
    <t>GINGER CANDY 6 BAGS x 1000 GR 
(RC Commerce)</t>
  </si>
  <si>
    <t>EN#2130565, INV#072/EXP/INV/IV/2021, OBL5/18, LIVE, empty return 7/20
- EVER FORWARD, (A6)
- deliver to (RC) 50 ENGINEERS LANE, FARMINGDALE, NY 11735
- Waiting Time Charge = (2.5hr – 2hr Free) x $95/hr = $47.50</t>
  </si>
  <si>
    <t>58
(LCL)</t>
  </si>
  <si>
    <t>WHSU5099417</t>
  </si>
  <si>
    <t>TEAS
D-60014B, D-60015B, D-60023B</t>
  </si>
  <si>
    <t>EN#2132402, INV#21TM035, OBL7/7
- WAN HAI 623, (D1)
- 8/16 - transfer LA to SF (2 pallet) received</t>
  </si>
  <si>
    <t>UACU3762136</t>
  </si>
  <si>
    <t>EN#2131497, INV#93984444, T/R
- NYK CONSTELLATION, (B13)</t>
  </si>
  <si>
    <t>EISU9180937</t>
  </si>
  <si>
    <t>GINGER CHEW 8 OZ (LEMON, ORIGINAL)</t>
  </si>
  <si>
    <r>
      <rPr>
        <rFont val="Arial"/>
        <color rgb="FF000000"/>
        <sz val="11.0"/>
      </rPr>
      <t xml:space="preserve">EN#2131338, INV#082/EXP/INV/V/2021, OBL6/16, </t>
    </r>
    <r>
      <rPr>
        <rFont val="Arial"/>
        <color rgb="FF000000"/>
        <sz val="11.0"/>
      </rPr>
      <t>empty return 7/19</t>
    </r>
    <r>
      <rPr>
        <rFont val="Arial"/>
        <color rgb="FF000000"/>
        <sz val="11.0"/>
      </rPr>
      <t xml:space="preserve">
- CMA CGM PANAMA, (B4)
- have an additional $150 APM Surcharge</t>
    </r>
  </si>
  <si>
    <t>35179
35180</t>
  </si>
  <si>
    <t>TEMU8001122</t>
  </si>
  <si>
    <t xml:space="preserve">YNBY TOOTHPASTE
M-41061, M-41062, M-41066
</t>
  </si>
  <si>
    <t>EN#2131811, INV#YNBYHP0000072, T/R, GATEFEE7/6, empty return 8/2
- HYUNDAI PLUTO, (B17)
- 45 ft, must return when pickup empty, cannot park at storage yard</t>
  </si>
  <si>
    <t>EN#6012190, INV#WW78/2021
- CHINA AIRLINES CI5198, (D9)
- Estimated GW charges $600
- Vet certificate received 7/8</t>
  </si>
  <si>
    <t>TCLU6310001</t>
  </si>
  <si>
    <r>
      <rPr>
        <rFont val="Arial"/>
        <color rgb="FF000000"/>
        <sz val="11.0"/>
      </rPr>
      <t xml:space="preserve">TEAS
D-13200N, D-14200N, D-18200N, D-19200, </t>
    </r>
    <r>
      <rPr>
        <rFont val="Arial"/>
        <b/>
        <color rgb="FF0000FF"/>
        <sz val="11.0"/>
      </rPr>
      <t>D-60012B, D-60017B, D-60013B</t>
    </r>
  </si>
  <si>
    <t>EN#2131033, INV#21TM025, T/R
- ONE COMMITMENT, (A22)
- initial OBL, but too late, so changed to T/R, don't send OBL
- 2 received PO (LA &amp; SF)</t>
  </si>
  <si>
    <t>35417
35346 (part2)</t>
  </si>
  <si>
    <t>TEMU8955352</t>
  </si>
  <si>
    <t>GINGER CANDY 4 OZ (LEMON, ORANGE, MANGO, LYCHEE), PLUS+ (ORIGINAL, LEMON), 1 LB (LEMON)</t>
  </si>
  <si>
    <r>
      <rPr>
        <rFont val="Arial"/>
        <color rgb="FF000000"/>
        <sz val="11.0"/>
      </rPr>
      <t xml:space="preserve">EN#2130569, INV#EXP/POP35417_35346/041/21V67, T/R, </t>
    </r>
    <r>
      <rPr>
        <rFont val="Arial"/>
        <color rgb="FF000000"/>
        <sz val="11.0"/>
      </rPr>
      <t>empty return 7/14</t>
    </r>
    <r>
      <rPr>
        <rFont val="Arial"/>
        <color rgb="FF000000"/>
        <sz val="11.0"/>
      </rPr>
      <t xml:space="preserve">
- CMA CGM A. LINCOLN, (A13)
- have an additional $150 PNCT Surcharge
- empty picked-up and there is an additional $355 + 27% Fuel surcharge</t>
    </r>
  </si>
  <si>
    <t>FBIU0312141</t>
  </si>
  <si>
    <t>PINE PANAX GINSENG (C-70021), RED GINSENG ROYAL JELLY (C-70052)</t>
  </si>
  <si>
    <r>
      <rPr>
        <rFont val="Arial"/>
        <color rgb="FF000000"/>
        <sz val="11.0"/>
      </rPr>
      <t xml:space="preserve">EN#2131077, INV#2021TAT01, T/R, GATEFEE7/7, </t>
    </r>
    <r>
      <rPr>
        <rFont val="Arial"/>
        <color rgb="FF000000"/>
        <sz val="11.0"/>
      </rPr>
      <t>empty return 7/23</t>
    </r>
    <r>
      <rPr>
        <rFont val="Arial"/>
        <color rgb="FF000000"/>
        <sz val="11.0"/>
      </rPr>
      <t xml:space="preserve">
- YM UPWARD, (B2)</t>
    </r>
  </si>
  <si>
    <t>TEMU8935989</t>
  </si>
  <si>
    <r>
      <rPr>
        <rFont val="Arial"/>
        <color rgb="FF000000"/>
        <sz val="11.0"/>
      </rPr>
      <t xml:space="preserve">ORGANIC TEAS
D-13200N, D-13220N, D-14200N, </t>
    </r>
    <r>
      <rPr>
        <rFont val="Arial"/>
        <color rgb="FF000000"/>
        <sz val="11.0"/>
      </rPr>
      <t>D-14220N</t>
    </r>
    <r>
      <rPr>
        <rFont val="Arial"/>
        <color rgb="FF000000"/>
        <sz val="11.0"/>
      </rPr>
      <t>, D-15200N, D-18200N</t>
    </r>
  </si>
  <si>
    <t>EN#2131401, INV#YD21-T03, T/R
- NYK THEMIS, (B11)
- pull out tonight (7/8) and deliver on 7/9</t>
  </si>
  <si>
    <t>TRHU3779188</t>
  </si>
  <si>
    <t>EN#2130408, INV#87893, T/R, GATEFEE7/6, LIVE, empty return 7/16
- NYK DAEDALUS, (A4)
- urgently pay Invoice (Past Due)</t>
  </si>
  <si>
    <t>APZU3708332</t>
  </si>
  <si>
    <t>PALLY (RICH TEA, DIGESTIVE)</t>
  </si>
  <si>
    <t>EN#2132155, INV#SI21-004003, T/R, LIVE
- SEATRADE BLUE, (C11)
- Door move by CMA, LIVE</t>
  </si>
  <si>
    <t>NETHERLANDS</t>
  </si>
  <si>
    <t>BSIU9486225</t>
  </si>
  <si>
    <r>
      <rPr>
        <rFont val="Arial"/>
        <color rgb="FF000000"/>
        <sz val="11.0"/>
      </rPr>
      <t xml:space="preserve">GHC (LEMON-Natural)  </t>
    </r>
    <r>
      <rPr>
        <rFont val="Arial"/>
        <b/>
        <color rgb="FF0000FF"/>
        <sz val="11.0"/>
      </rPr>
      <t>D-04037</t>
    </r>
  </si>
  <si>
    <t>EN#2131222, INV#DL-AIT2106, T/R, empty return 7/9
- COSCO FORTUNE, (B3)</t>
  </si>
  <si>
    <t>CRXU3399823</t>
  </si>
  <si>
    <r>
      <rPr>
        <rFont val="Arial"/>
        <color rgb="FF000000"/>
        <sz val="11.0"/>
      </rPr>
      <t xml:space="preserve">EN#2129606, INV#93966865, T/R, GATEFEE6/18, </t>
    </r>
    <r>
      <rPr>
        <rFont val="Arial"/>
        <color rgb="FF000000"/>
        <sz val="11.0"/>
      </rPr>
      <t>empty return 6/30</t>
    </r>
    <r>
      <rPr>
        <rFont val="Arial"/>
        <color rgb="FF000000"/>
        <sz val="11.0"/>
      </rPr>
      <t xml:space="preserve">
- NYK NEBULA, (D9)
- vessel from LA to Seattle before OAK</t>
    </r>
  </si>
  <si>
    <t>306
(LCL)</t>
  </si>
  <si>
    <t>BEAU5165401</t>
  </si>
  <si>
    <t>ALUMINIUM FOIL (SUNTEN)</t>
  </si>
  <si>
    <t>EN#2131494, INV#LFE-0525/21, T/R
- EVER LUNAR, (B16)
- 7/22 delivered to SunTen</t>
  </si>
  <si>
    <t>TRHU5480977</t>
  </si>
  <si>
    <r>
      <rPr>
        <rFont val="Arial"/>
        <color rgb="FF000000"/>
        <sz val="11.0"/>
      </rPr>
      <t xml:space="preserve">EN#2131034, INV#21NSS0306, T/R, GATEFEE6/10, </t>
    </r>
    <r>
      <rPr>
        <rFont val="Arial"/>
        <color rgb="FF000000"/>
        <sz val="11.0"/>
      </rPr>
      <t>empty return 7/21</t>
    </r>
    <r>
      <rPr>
        <rFont val="Arial"/>
        <color rgb="FF000000"/>
        <sz val="11.0"/>
      </rPr>
      <t xml:space="preserve">
- HYUNDAI MARS, (B1)</t>
    </r>
  </si>
  <si>
    <t>TRHU5475815</t>
  </si>
  <si>
    <r>
      <rPr>
        <rFont val="Arial"/>
        <color rgb="FF000000"/>
        <sz val="11.0"/>
      </rPr>
      <t xml:space="preserve">GHC- </t>
    </r>
    <r>
      <rPr>
        <rFont val="Arial"/>
        <b/>
        <color rgb="FF990000"/>
        <sz val="11.0"/>
      </rPr>
      <t>D-04037(GHC w Lemon Natural)</t>
    </r>
  </si>
  <si>
    <r>
      <rPr>
        <rFont val="Arial"/>
        <color rgb="FF000000"/>
        <sz val="11.0"/>
      </rPr>
      <t xml:space="preserve">EN#2131035, INV#21NSS0304, T/R, GATEFEE6/10, </t>
    </r>
    <r>
      <rPr>
        <rFont val="Arial"/>
        <color rgb="FF000000"/>
        <sz val="11.0"/>
      </rPr>
      <t>empty pickup 7/19 empty return7/20</t>
    </r>
    <r>
      <rPr>
        <rFont val="Arial"/>
        <color rgb="FF000000"/>
        <sz val="11.0"/>
      </rPr>
      <t xml:space="preserve">
- HYUNDAI MARS, (A21)</t>
    </r>
  </si>
  <si>
    <t>TGHU8840910</t>
  </si>
  <si>
    <t>GHC,  GHC (LEMON), INSTANT TEA CHINESE HERBAL</t>
  </si>
  <si>
    <r>
      <rPr>
        <rFont val="Arial"/>
        <color rgb="FF000000"/>
        <sz val="11.0"/>
      </rPr>
      <t xml:space="preserve">EN#2131493, INV#DL-AIT2104, T/R, NO GATEFEE (ETS), </t>
    </r>
    <r>
      <rPr>
        <rFont val="Arial"/>
        <color rgb="FF000000"/>
        <sz val="11.0"/>
      </rPr>
      <t>empty return 7/6</t>
    </r>
    <r>
      <rPr>
        <rFont val="Arial"/>
        <color rgb="FF000000"/>
        <sz val="11.0"/>
      </rPr>
      <t xml:space="preserve">
- EVER LIBERAL, (B12)</t>
    </r>
  </si>
  <si>
    <t xml:space="preserve">LA </t>
  </si>
  <si>
    <t>OOCU7904802</t>
  </si>
  <si>
    <t>TEAS
D-13200N, D-14200N,D-15200N, D-18200N, D-19200, D-60011B, D-60012B, D-60017B, D-60013B</t>
  </si>
  <si>
    <t>EN#2131740, INV#21TM030, OBL6/22, empty return
- CMA CGM MEDEA, (B15)
- 2 received PO (LA &amp; SF)</t>
  </si>
  <si>
    <t>KOCU2026443</t>
  </si>
  <si>
    <r>
      <rPr>
        <rFont val="Arial"/>
        <color rgb="FF000000"/>
        <sz val="11.0"/>
      </rPr>
      <t xml:space="preserve">EN#2131300, INV#KB210503, OBL6/9, </t>
    </r>
    <r>
      <rPr>
        <rFont val="Arial"/>
        <color rgb="FF000000"/>
        <sz val="11.0"/>
      </rPr>
      <t>empty return 7/6</t>
    </r>
    <r>
      <rPr>
        <rFont val="Arial"/>
        <color rgb="FF000000"/>
        <sz val="11.0"/>
      </rPr>
      <t xml:space="preserve">
- HYUNDAI DUBAI, (B8)
- additional $150 for GCT Bayonne surcharge</t>
    </r>
  </si>
  <si>
    <t>EISU1851638</t>
  </si>
  <si>
    <t>GINGER CHEWS 1 LB (Lemon/orange/mango/lychee/peanut butter)</t>
  </si>
  <si>
    <r>
      <rPr>
        <rFont val="Arial"/>
        <color rgb="FF000000"/>
        <sz val="11.0"/>
      </rPr>
      <t xml:space="preserve">EN#2130230, INV#EXP/POP35066/035/21IV58, T/R, </t>
    </r>
    <r>
      <rPr>
        <rFont val="Arial"/>
        <color rgb="FF000000"/>
        <sz val="11.0"/>
      </rPr>
      <t>empty return 7/2</t>
    </r>
    <r>
      <rPr>
        <rFont val="Arial"/>
        <color rgb="FF000000"/>
        <sz val="11.0"/>
      </rPr>
      <t xml:space="preserve">
- TAIPEI TRIUMPH, (A1)</t>
    </r>
  </si>
  <si>
    <t>EGHU9595704</t>
  </si>
  <si>
    <t>GINGER CHEWS  4 OZ (ORIGINAL)</t>
  </si>
  <si>
    <t>EN#2130410, INV#067/EXP/INV/IV/2021, OBL5/18
- APL DUBLIN, (A5)</t>
  </si>
  <si>
    <t>150
(LCL)</t>
  </si>
  <si>
    <t>EMCU5384971</t>
  </si>
  <si>
    <t>EN#2131244, INV#LFE-0520/21, T/R
- EVER LUCKY, (B7)</t>
  </si>
  <si>
    <t>EISU8218745</t>
  </si>
  <si>
    <t>GINGER LEMON CHEW 8 BAGS X 227 GR</t>
  </si>
  <si>
    <t>EN#2129806, INV#056/EXP/INV/IV/2021, OBL4/27, NO GATEFEE (ETS), empty return 6/29
- EVER FUTURE, (D15)
- X-RAY Exam hold, fee paid $312
- 6/23, customs completed x-ray exam</t>
  </si>
  <si>
    <t>HMMU6260073</t>
  </si>
  <si>
    <r>
      <rPr>
        <rFont val="Arial"/>
        <b/>
        <color rgb="FF0000FF"/>
        <sz val="11.0"/>
      </rPr>
      <t>ORGANIC TEABAGS</t>
    </r>
    <r>
      <rPr>
        <rFont val="Arial"/>
        <color rgb="FF000000"/>
        <sz val="11.0"/>
      </rPr>
      <t xml:space="preserve">
D-13200N, D-14200N, D-17200N, D-18200N, 
</t>
    </r>
    <r>
      <rPr>
        <rFont val="Arial"/>
        <b/>
        <color rgb="FF0000FF"/>
        <sz val="11.0"/>
      </rPr>
      <t>Premium Tea Bags</t>
    </r>
    <r>
      <rPr>
        <rFont val="Arial"/>
        <color rgb="FF000000"/>
        <sz val="11.0"/>
      </rPr>
      <t xml:space="preserve"> D-15100N, D-17100N</t>
    </r>
  </si>
  <si>
    <t>EN#2130843, INV#YD20-T23, T/R, empty return 6/25
- ONE HAWK, (A16)
- additional $150 GCT Bayonne surcharge
- have empty Pick-up surcharge ($355 + 27% Fuel)</t>
  </si>
  <si>
    <t>255
(LCL)</t>
  </si>
  <si>
    <t>OOLU6088233</t>
  </si>
  <si>
    <t>SEIROGAN 100 pills , SEIROGAN 400 pills, SEIROGAN TOI A 36 pills</t>
  </si>
  <si>
    <t>EN#2131574, INV#US-210501, OBL6/9
- NYK VENUS, (B14)</t>
  </si>
  <si>
    <t>EMCU8241845</t>
  </si>
  <si>
    <t>ORGANIC TEABAGS
D-13200N, D-13220N, D-14200N, D-15200N</t>
  </si>
  <si>
    <t>EN#2130975, INV#YD21-T02, T/R
- EVER LIBERAL, (A19)</t>
  </si>
  <si>
    <t>EITU1773565</t>
  </si>
  <si>
    <t>TEABAGS
D-13100N, D-13020N, D-13300N, D-14100N, D-15100N, D-16100N, D-17100N, D-18100N, D-18120N</t>
  </si>
  <si>
    <t>EN#2130081, INV#YD20-T19, T/R, NO GATEFEE (ETS), empty return 6/16
- EVER LOYAL, (D18)
- container is on BACP chassis not Evergreen chassis and no Evergreen chassis available 
- chassis credit refund ($80) 7/22</t>
  </si>
  <si>
    <t>EGHU9398270</t>
  </si>
  <si>
    <t>GINGER CHEW 4OZ 12x6 (Lemon/ Orange)</t>
  </si>
  <si>
    <r>
      <rPr>
        <rFont val="Arial"/>
        <color rgb="FF000000"/>
        <sz val="11.0"/>
      </rPr>
      <t xml:space="preserve">EN#2129454, INV#EXP/POP35143/025/21III41, T/R, </t>
    </r>
    <r>
      <rPr>
        <rFont val="Arial"/>
        <color rgb="FF000000"/>
        <sz val="11.0"/>
      </rPr>
      <t>empty return 6/22</t>
    </r>
    <r>
      <rPr>
        <rFont val="Arial"/>
        <color rgb="FF000000"/>
        <sz val="11.0"/>
      </rPr>
      <t xml:space="preserve">
- EVER FRANK, (D4)</t>
    </r>
  </si>
  <si>
    <t>FTAU1333259</t>
  </si>
  <si>
    <t>SIAM'S ROYAL</t>
  </si>
  <si>
    <r>
      <rPr>
        <rFont val="Arial"/>
        <color rgb="FF000000"/>
        <sz val="11.0"/>
      </rPr>
      <t xml:space="preserve">EN#2130911, INV#IV6404075, T/R, </t>
    </r>
    <r>
      <rPr>
        <rFont val="Arial"/>
        <color rgb="FF000000"/>
        <sz val="11.0"/>
      </rPr>
      <t>empty return 6/24</t>
    </r>
    <r>
      <rPr>
        <rFont val="Arial"/>
        <color rgb="FF000000"/>
        <sz val="11.0"/>
      </rPr>
      <t xml:space="preserve">
- HYUNDAI FAITH, (A17)
- have additional $150 Global terminal surcharge</t>
    </r>
  </si>
  <si>
    <t>EITU9045870</t>
  </si>
  <si>
    <t>D-04016 (RC Commerce)</t>
  </si>
  <si>
    <t>EN#2130971, INV#21NSS0301, T/R, LIVE
- COSCO CAMELLIA, (A18)
- Earliest Kevin warehouse can receive is 6/23, LFD 6/21 and will be pre-pulled and stored until delivery
- Pre-pull ($150) and Storage ($50/day), Chassis $35/day and Per Diem (if any)
- prepull 6/21 (LFD 6/21), delivered 6/23 to Hicksville, NY</t>
  </si>
  <si>
    <t>FFAU1540388</t>
  </si>
  <si>
    <t>EN#2130745, INV#21NSS0302, T/R, empty return 6/18
-  COSCO CAMELLIA, (A11)
- FDA DETAINED (request private lab testing)
- Delivered 6/17
- Lab test sample pickup 6/18
- Lab test &amp; response by 6/28
- Lab test &amp; response by 8/5 (extended)
- FDA released 6/30 (from GW)
- FDA released notice received 7/1</t>
  </si>
  <si>
    <t>TCNU7405198</t>
  </si>
  <si>
    <t xml:space="preserve">EN#2130841, INV#YD21-T01, T/R
- SAN FRANCISCO BRIDGE, (A14)
</t>
  </si>
  <si>
    <t>TGBU6723635</t>
  </si>
  <si>
    <t>GINGER ORIGINAL CHEWS 12x6</t>
  </si>
  <si>
    <t>EN#2130265, INV#062/EXP/INV/IV/2021, OBL5/3
- EVER LISSOME, (A2)
- pull 6/17 and deliver 6/18</t>
  </si>
  <si>
    <t>TTNU8418504</t>
  </si>
  <si>
    <t xml:space="preserve">Red Panax Ginseng, Ultra Ginkgo Plus, Ultra Joint Health, AG w Royal Jelly &amp; Bee Pollen  </t>
  </si>
  <si>
    <t>EN#2130159, INV#DL-AIT2103/KFY, T/R, empty pickup 6/17, empty return 6/19
- HYUNDAI PRIDE, (D21)
- don't need genset for this reefer container, can be delivered as a regular container
- could not found alternative trucker, ETrans re-help delivery
- additional $150 GCT Bayonne surcharge
- pre-pull, storage and demurrage may applied</t>
  </si>
  <si>
    <t>SEGU9304282</t>
  </si>
  <si>
    <t>GHC D-04016 (RC Commerce)</t>
  </si>
  <si>
    <t>EN#2130158, INV#DL-AIT2102, T/R, LIVE
- HYUNDAI PRIDE, (D20) 
- don't need genset for this reefer container, can be delivered as a regular container
- could not found alternative trucker, ETrans re-help delivery
- additional $150 GCT Bayonne surcharge
- pre-pull, storage and demurrage may applied
- prepull 6/15, deliver 6/18</t>
  </si>
  <si>
    <t>EISU8205049</t>
  </si>
  <si>
    <t>GINGER CHEW (lemon/mango/lychee/peanut)4oz x 40ct</t>
  </si>
  <si>
    <r>
      <rPr>
        <rFont val="Arial"/>
        <color rgb="FF000000"/>
        <sz val="11.0"/>
      </rPr>
      <t xml:space="preserve">EN#2129865, INV#, T/R, </t>
    </r>
    <r>
      <rPr>
        <rFont val="Arial"/>
        <color rgb="FF000000"/>
        <sz val="11.0"/>
      </rPr>
      <t>empty return 6/24</t>
    </r>
    <r>
      <rPr>
        <rFont val="Arial"/>
        <color rgb="FF000000"/>
        <sz val="11.0"/>
      </rPr>
      <t xml:space="preserve">
- CMA CGM J. ADAMS, (D16)</t>
    </r>
  </si>
  <si>
    <t>CSNU8056789</t>
  </si>
  <si>
    <r>
      <rPr>
        <rFont val="Arial"/>
        <b/>
        <color rgb="FF980000"/>
        <sz val="11.0"/>
      </rPr>
      <t>GHC</t>
    </r>
    <r>
      <rPr>
        <rFont val="Arial"/>
        <b/>
        <color rgb="FF980000"/>
        <sz val="11.0"/>
      </rPr>
      <t xml:space="preserve"> (RC Commerce)</t>
    </r>
  </si>
  <si>
    <t>EN#2130407, INV#DL-AIT2105, T/R, LIVE
- CMA CGM ARGENTINA, (A3)</t>
  </si>
  <si>
    <t>EITU9148327</t>
  </si>
  <si>
    <t>GINGER ORIGINAL CHEW (DISPLAY BOX, 12 POUCH x 113 GR)</t>
  </si>
  <si>
    <t>EN#2129393, INV#046/EXP/INV/IIl/2021, OBL4/9, NO GATEFEE (ETS), empty return 6/10
- EVER FRONT, (D3)
- Pier waiting was from 9:16am-1:46pm additional 2.5hrs</t>
  </si>
  <si>
    <t>EGHU9875027</t>
  </si>
  <si>
    <t>GINGER CHEW Mango 8oz</t>
  </si>
  <si>
    <r>
      <rPr>
        <rFont val="Arial"/>
        <color rgb="FF000000"/>
        <sz val="11.0"/>
      </rPr>
      <t xml:space="preserve">EN#2129458, INV#EXP/POP35142/026/21III42, T/R, NO GATEFEE (ETS), </t>
    </r>
    <r>
      <rPr>
        <rFont val="Arial"/>
        <color rgb="FF000000"/>
        <sz val="11.0"/>
      </rPr>
      <t>empty return 6/15</t>
    </r>
    <r>
      <rPr>
        <rFont val="Arial"/>
        <color rgb="FF000000"/>
        <sz val="11.0"/>
      </rPr>
      <t xml:space="preserve">
- EVER FRONT, (D5)</t>
    </r>
  </si>
  <si>
    <t>NYKU7106919</t>
  </si>
  <si>
    <t>GHC (Plum), GHC (Dark Brown Sugar), Dong Quai Red Date Tea D-04030</t>
  </si>
  <si>
    <t>EN#2130160, INV#DL-AIT2101A, T/R, GATEFEE5/19, empty return 6/22
- HYUNDAI NEPTUNE, (D22)
-  don't need genset for this reefer container, can be delivered as a regular container
- pier waiting was from 8:40-11:38am additional 1hr pier waiting
- reefer container empty will return to Conglobal or 3 Harbors and the chassis needs to return to terminal, so additional charge of $ 75 for split return chassis</t>
  </si>
  <si>
    <t>EITU1388949</t>
  </si>
  <si>
    <t>GINGER ORIGINAL CHEW 8 BAGS X 227 GR
GINGER LEMON CHEW 8 BAGS X 227 GR</t>
  </si>
  <si>
    <r>
      <rPr>
        <rFont val="Arial"/>
        <color rgb="FF000000"/>
        <sz val="11.0"/>
      </rPr>
      <t xml:space="preserve">EN#2129805, INV#054/EXP/INV/IV/2021, OBL4/27, </t>
    </r>
    <r>
      <rPr>
        <rFont val="Arial"/>
        <color rgb="FF000000"/>
        <sz val="11.0"/>
      </rPr>
      <t>empty return 6/10</t>
    </r>
    <r>
      <rPr>
        <rFont val="Arial"/>
        <color rgb="FF000000"/>
        <sz val="11.0"/>
      </rPr>
      <t xml:space="preserve">
- empty pickup additional charge ($355 + 27% Fuel)
- APL GWANGYANG, (D14)</t>
    </r>
  </si>
  <si>
    <t>TGBU9246808</t>
  </si>
  <si>
    <t>GINGER ORIGINAL CHEW (STANDING POUCH, 40 BAGS x 113GR)</t>
  </si>
  <si>
    <t>EN#2129392, INV#045/EXP/INV/IIl/2021, OBL4/9
- EVER FRONT, (D2)</t>
  </si>
  <si>
    <t>FFAU1305795</t>
  </si>
  <si>
    <t>GINGER CHEW ORIGINAL 8OZ (8 BAGS x 227GR)</t>
  </si>
  <si>
    <t>EN#2129234, INV#042/EXP/INV/III/2021, OBL4/8, NO GATEFEE (ETS), empty return 6/3
- EVER FAST, (C18)</t>
  </si>
  <si>
    <t>FBLU0029990</t>
  </si>
  <si>
    <t>GINGER CHEW (LEMON/MANGO 4 OZ)</t>
  </si>
  <si>
    <t>EN#2129292, INV#EXP/POP35065/024/21III39, T/R
- EVER FIT, (C22)</t>
  </si>
  <si>
    <t>CAAU5355548</t>
  </si>
  <si>
    <t>GINGER CHEW (LEMON/ORANGE/MANGO/PEANUT 4 OZ)</t>
  </si>
  <si>
    <r>
      <rPr>
        <rFont val="Arial"/>
        <color rgb="FF000000"/>
        <sz val="11.0"/>
      </rPr>
      <t xml:space="preserve">EN#2129293, INV#EXP/POP35064/023/21III38, T/R, </t>
    </r>
    <r>
      <rPr>
        <rFont val="Arial"/>
        <color rgb="FF000000"/>
        <sz val="11.0"/>
      </rPr>
      <t>empty return 6/2</t>
    </r>
    <r>
      <rPr>
        <rFont val="Arial"/>
        <color rgb="FF000000"/>
        <sz val="11.0"/>
      </rPr>
      <t xml:space="preserve">
- EVER FIT, (C21)</t>
    </r>
  </si>
  <si>
    <t>EITU1019581</t>
  </si>
  <si>
    <t>GINGER ORIGINAL CHEW 40 BAGS X 113 GR</t>
  </si>
  <si>
    <t>EN#2129804, INV#053/EXP/INV/IV/2021, OBL4/27, empty return 6/1
- CMA CGM CHILE, D13
- have add’l $150 APM surcharge</t>
  </si>
  <si>
    <t>EITU9119988</t>
  </si>
  <si>
    <r>
      <rPr>
        <rFont val="Arial"/>
        <color rgb="FF000000"/>
        <sz val="11.0"/>
      </rPr>
      <t xml:space="preserve">EN#2129802, INV#025/EXP/INV/IV/2021, OBL4/27, </t>
    </r>
    <r>
      <rPr>
        <rFont val="Arial"/>
        <color rgb="FF000000"/>
        <sz val="11.0"/>
      </rPr>
      <t>empty return 5/28</t>
    </r>
    <r>
      <rPr>
        <rFont val="Arial"/>
        <color rgb="FF000000"/>
        <sz val="11.0"/>
      </rPr>
      <t xml:space="preserve">
- CMA CGM CHILE, D12
- have additional $150/contr APM surcharge</t>
    </r>
  </si>
  <si>
    <t>EGHU3697041</t>
  </si>
  <si>
    <t>SOAP</t>
  </si>
  <si>
    <t>EN#2130129, INV#SS2103021-H, T/R, NO GATEFEE (ETS), empty return 6/1
- EVER LAMBENT, (D19)
- overweight charge applied (AUTOMATIC -$75 + FS)</t>
  </si>
  <si>
    <t>TCLU3675222</t>
  </si>
  <si>
    <r>
      <rPr>
        <rFont val="Arial"/>
        <color rgb="FF000000"/>
        <sz val="11.0"/>
      </rPr>
      <t>EN#2129701, INV#SS2103022-H, T/R,</t>
    </r>
    <r>
      <rPr>
        <rFont val="Arial"/>
        <color rgb="FF000000"/>
        <sz val="11.0"/>
      </rPr>
      <t xml:space="preserve"> empty return 5/25</t>
    </r>
    <r>
      <rPr>
        <rFont val="Arial"/>
        <color rgb="FF000000"/>
        <sz val="11.0"/>
      </rPr>
      <t xml:space="preserve">
- CMA CGM T.ROOSEVELT, (D11)</t>
    </r>
  </si>
  <si>
    <t>EISU8294452</t>
  </si>
  <si>
    <t>ORGANIC TEABAGS
D-13200N, D-14200N, D-15200N, D-15220N, D-17200N, D-18200N, D-19200N, D-19220N</t>
  </si>
  <si>
    <r>
      <rPr>
        <rFont val="Arial"/>
        <color rgb="FF000000"/>
        <sz val="11.0"/>
      </rPr>
      <t xml:space="preserve">EN#2129915, INV#YD20-T21, T/R, </t>
    </r>
    <r>
      <rPr>
        <rFont val="Arial"/>
        <color rgb="FF000000"/>
        <sz val="11.0"/>
      </rPr>
      <t>empty return 5/27</t>
    </r>
    <r>
      <rPr>
        <rFont val="Arial"/>
        <color rgb="FF000000"/>
        <sz val="11.0"/>
      </rPr>
      <t xml:space="preserve">
- CMA CGM T.ROOSEVELT, (D17)</t>
    </r>
  </si>
  <si>
    <t>Invoice-6011441</t>
  </si>
  <si>
    <t>EN#6011441, INV#CZ21S014
- (A20)
- No PO for this shipment
- Items will be forwarded to Memorial Sloan Kettering Cancer Center
- Mailed to MSKCC 5/20 (Mailing cost $$71.12)
- All shipment charges will bill to Cheezheng</t>
  </si>
  <si>
    <t>MRSU4033251</t>
  </si>
  <si>
    <t>GINGER CHEW 6 BAGS X 1000 GR
(RC Commerce)</t>
  </si>
  <si>
    <t>EN#2128586, INV#030/EXP/INV/II/2021, OBL3/17
- MAERSK SEMBAWANG, (C17)
- additional $150 PNCT surcharge</t>
  </si>
  <si>
    <t>EGHU9672164</t>
  </si>
  <si>
    <t>ZESS CRACKERS</t>
  </si>
  <si>
    <t>EN#2129296, INV#POP-02/21, OBL3/24, NO GATEFEE (ETS), empty return 5/25
- EVER FAR, (C20)</t>
  </si>
  <si>
    <t>MSDU7388834</t>
  </si>
  <si>
    <t>GINGER CHEW PLUS+</t>
  </si>
  <si>
    <t>EN#2129006, INV#EXP/POP35251/021/21III35, T/R, GATEFEE5/11, empty return 6/2
- MSC CLORINDA, (C14)
- Pire waiting was from 7:21-10:01am additional 1hr $55</t>
  </si>
  <si>
    <t>TTNU8026421</t>
  </si>
  <si>
    <t>Red Panax Ginseng, Ultra Ginkgo Plus, Instant Chinese Herbal(C-70113/C-70121/C-70433)</t>
  </si>
  <si>
    <t>EN#2129585, INV#DL-AIT2102KFY, T/R, GATEFEE5/6, empty return 5/28
- KUALA LUMPUR EXPRESS, (D7)
- additional charge of $75 for split return chassis
- 5/28 - Container was returned Conglobal and the chassis was returned TRAPAC terminal</t>
  </si>
  <si>
    <t>1
(LCL)</t>
  </si>
  <si>
    <t>TCKU4356670</t>
  </si>
  <si>
    <t>TEABAG TAGS</t>
  </si>
  <si>
    <t>EN#2129150, INV#08250-00004408
- MAERSK KARACHI, (A10)
- deliver to Sun Ten</t>
  </si>
  <si>
    <t>TCKU6156075</t>
  </si>
  <si>
    <t>GINGER CHEW LEMON 8 BAGS X 227 GR</t>
  </si>
  <si>
    <r>
      <rPr>
        <rFont val="Arial"/>
        <color rgb="FF000000"/>
        <sz val="11.0"/>
      </rPr>
      <t xml:space="preserve">EN#2128317, INV#024/EXP/INV/II/2021, OBL3/10, GATEFEE5/3, </t>
    </r>
    <r>
      <rPr>
        <rFont val="Arial"/>
        <color rgb="FF000000"/>
        <sz val="11.0"/>
      </rPr>
      <t>empty return 5/19</t>
    </r>
    <r>
      <rPr>
        <rFont val="Arial"/>
        <color rgb="FF000000"/>
        <sz val="11.0"/>
      </rPr>
      <t xml:space="preserve">
- MSC MELATILDE, (C3)</t>
    </r>
  </si>
  <si>
    <t>EGHU9877288</t>
  </si>
  <si>
    <t>EN#2129347, INV#POP-03/21, OBL3/31
- EVER LUCKY, (D1)
- will pull out 5/11 and deliver 5/12</t>
  </si>
  <si>
    <t>EISU9252169</t>
  </si>
  <si>
    <t>TEAS
D-13200N, D-14200N, D-18200N, D-60011B, D-60012B, D-60016B, D-60017B</t>
  </si>
  <si>
    <r>
      <rPr>
        <rFont val="Arial"/>
        <color rgb="FF000000"/>
        <sz val="11.0"/>
      </rPr>
      <t xml:space="preserve">EN#2129091, INV#21TM015, OBL4/8, NO GATEFEE (ETS), </t>
    </r>
    <r>
      <rPr>
        <rFont val="Arial"/>
        <color rgb="FF000000"/>
        <sz val="11.0"/>
      </rPr>
      <t>empty return 5/10</t>
    </r>
    <r>
      <rPr>
        <rFont val="Arial"/>
        <color rgb="FF000000"/>
        <sz val="11.0"/>
      </rPr>
      <t xml:space="preserve">
- EVER FAME, (C16)</t>
    </r>
  </si>
  <si>
    <t>SUDU6831700</t>
  </si>
  <si>
    <t>EN#2128204 , INV#, T/R, GATEFEE4/23, empty return 5/12
- MSC JADE, (B22)</t>
  </si>
  <si>
    <t>TEMU7503260</t>
  </si>
  <si>
    <t>ORGANIC TEAS
D-13200N, D-14200N, D-15200N, D-18200N, D-60011B, D-60014B, D-60015B, D-60017B</t>
  </si>
  <si>
    <r>
      <rPr>
        <rFont val="Arial"/>
        <color rgb="FF000000"/>
        <sz val="11.0"/>
      </rPr>
      <t xml:space="preserve">EN#2129702, INV#21TM020, OBL4/26, GATEFEE4/23, </t>
    </r>
    <r>
      <rPr>
        <rFont val="Arial"/>
        <color rgb="FF000000"/>
        <sz val="11.0"/>
      </rPr>
      <t>empty return 5/17</t>
    </r>
    <r>
      <rPr>
        <rFont val="Arial"/>
        <color rgb="FF000000"/>
        <sz val="11.0"/>
      </rPr>
      <t xml:space="preserve">
- ONE THESEUS, (D10)</t>
    </r>
  </si>
  <si>
    <t>TLLU4570055</t>
  </si>
  <si>
    <t>EN#2128332, INV#025/EXP/INV/II/2021, OBL3/10, empty return 5/6
- bobtailing to pick-up, additional Empty Pick-up surcharge ($355 + 27% Fuel)
- 4 days chassis will apply (05/03 – 05/06)
- TALOS, (C4)</t>
  </si>
  <si>
    <t>MRKU6183448</t>
  </si>
  <si>
    <t>GINGER CHEW 8 BAGS X 227 GR</t>
  </si>
  <si>
    <r>
      <rPr>
        <rFont val="Arial"/>
        <color rgb="FF000000"/>
        <sz val="11.0"/>
      </rPr>
      <t xml:space="preserve">EN#2128154,INV#018/EXP/INV/II/2021, OBL3/10, </t>
    </r>
    <r>
      <rPr>
        <rFont val="Arial"/>
        <color rgb="FF000000"/>
        <sz val="11.0"/>
      </rPr>
      <t>empty return 4/28</t>
    </r>
    <r>
      <rPr>
        <rFont val="Arial"/>
        <color rgb="FF000000"/>
        <sz val="11.0"/>
      </rPr>
      <t xml:space="preserve">
- MSC ANCHORAGE, (B21)
- have $150 PNCT Terminal Surcharge
- Empty Pick-up and there will be additional Pick-up charge ($355 + 27% Fuel)</t>
    </r>
  </si>
  <si>
    <t>CAAU2098467</t>
  </si>
  <si>
    <t>EN#2129580, INV#93966797, T/R, LIVE
- ATLANTIC SAIL, (D8)
- have additional $150 PNCT surcharge</t>
  </si>
  <si>
    <t>CMAU2101838</t>
  </si>
  <si>
    <t>EN#2128954, INV#SI21-001885, T/R, LIVE
- ROTTERDAM STAR, (C13)</t>
  </si>
  <si>
    <t>TGBU6937621</t>
  </si>
  <si>
    <r>
      <rPr>
        <rFont val="Arial"/>
        <color rgb="FF000000"/>
        <sz val="11.0"/>
      </rPr>
      <t>Organic Teabags
D-13400N, D-15400N (</t>
    </r>
    <r>
      <rPr>
        <rFont val="Arial"/>
        <color rgb="FF000000"/>
        <sz val="11.0"/>
      </rPr>
      <t>RC Commerce</t>
    </r>
    <r>
      <rPr>
        <rFont val="Arial"/>
        <color rgb="FF000000"/>
        <sz val="11.0"/>
      </rPr>
      <t>)</t>
    </r>
  </si>
  <si>
    <t>EN#2128893, INV#YD20-T24, T/R
- COSCO JASMINE, (C12)
- deliver to LAKETIAN INC (50 ENGINEERS LANE, Farmingdale, NY 11735)
- rate to Farmingdale, NY 11735 is : $855 + 36% Fuel + Chassis ($35/day, min 3days)
- All other surcharges such as Detention Waiting Time ($95/hr, 2hrs free), etc. remain the same
- prepulled 04/23, deliver 04/26/21
- completed unloading at 11:25am, Detention was incurred from 9am to 11:25am (2.5hr).
- Waiting Time Charge = (2.5hr – 2hr Free) x $95/hr = $47.50</t>
  </si>
  <si>
    <t>TCNU1570913</t>
  </si>
  <si>
    <t>GINGER CHEWS PLUS+</t>
  </si>
  <si>
    <r>
      <rPr>
        <rFont val="Arial"/>
        <color rgb="FF000000"/>
        <sz val="11.0"/>
      </rPr>
      <t xml:space="preserve">EN#2127829,INV#EXP/POP35151/009/21II16, T/R, GATEFEE4/12, </t>
    </r>
    <r>
      <rPr>
        <rFont val="Arial"/>
        <color rgb="FF000000"/>
        <sz val="11.0"/>
      </rPr>
      <t>empty return 4/28</t>
    </r>
    <r>
      <rPr>
        <rFont val="Arial"/>
        <color rgb="FF000000"/>
        <sz val="11.0"/>
      </rPr>
      <t xml:space="preserve">
- MSC TERESA, (B13)
- Reserve 1 cs each for F-04130, F-04131 for QC
- pier waiting was from 8:44-11:03am additional ½ hr</t>
    </r>
  </si>
  <si>
    <t>155
(LCL)</t>
  </si>
  <si>
    <t>KKFU6742392</t>
  </si>
  <si>
    <t>POP SOUP BAGS</t>
  </si>
  <si>
    <t>LOST overboard</t>
  </si>
  <si>
    <t>EN#2124937 , INV#10112020, T/R, NO GATEFEE
- ONE APUS
- 12/4 vessel had accident on 11/30 and 1900 containers were dropped into the ocean, right now inventory count result will be coming out within 4-5weeks, 
- 3/10 container not overboard, journey continue
- 4/14 Carrier ONE informed that the container was actually lost overboard, have informed Ada for insurance claim
- 4/27 Insurance claim settlement received</t>
  </si>
  <si>
    <t>TCLU9574440</t>
  </si>
  <si>
    <t>Red Panax Ginseng, Ultra Gingko Plus, Ultra Joint Health, Ban Lab Gen box</t>
  </si>
  <si>
    <t>EN#2128865, INV#AIT-2101/KFY, T/R, GATEFEE4/14, empty return 4/29
- SEASPAN ADONIS, (C10)</t>
  </si>
  <si>
    <t>BMOU5816534</t>
  </si>
  <si>
    <t>ORGANIC TEABAGS
D-13200N, D-13220N, D-14200N, D-15200N, D-15220N, D-17200N, D-18200N, D-18220N, D-19200N</t>
  </si>
  <si>
    <r>
      <rPr>
        <rFont val="Arial"/>
        <color rgb="FF000000"/>
        <sz val="11.0"/>
      </rPr>
      <t xml:space="preserve">EN#2128660, INV#YD20-T20, T/R, </t>
    </r>
    <r>
      <rPr>
        <rFont val="Arial"/>
        <color rgb="FF000000"/>
        <sz val="11.0"/>
      </rPr>
      <t>empty return 4/22</t>
    </r>
    <r>
      <rPr>
        <rFont val="Arial"/>
        <color rgb="FF000000"/>
        <sz val="11.0"/>
      </rPr>
      <t xml:space="preserve">
- COSCO FORTUNE, (C2)
- Need empty pickup to avoid Per Diem charges,additional $355 + 27% Fuel charge</t>
    </r>
  </si>
  <si>
    <t>GCXU2263518</t>
  </si>
  <si>
    <t xml:space="preserve">EN#2128919, INV#93959456, T/R, LIVE (10:40am-12:25pm)
- WASHINGTON EXPRESS, (C11)
- Unload @ Houston, deliver to Long Beach
- Kerry Apex help pickup &amp; deliver this rail shipment </t>
  </si>
  <si>
    <t>FCGU2262980</t>
  </si>
  <si>
    <t>KOREAN GINSENG TEA/TU CHUNG TEA/YOUNG JI TEA</t>
  </si>
  <si>
    <t>EN#2128230, INV#KB201231SF, OBL3/8, GATEFEE3/31, empty return 4/22
- CAP SAN VINCENT, C1</t>
  </si>
  <si>
    <t>INV#EXP/POP35346/027/21III43</t>
  </si>
  <si>
    <t>TLLU4965944</t>
  </si>
  <si>
    <t>GINGER CHEW 40 BAGS X 113 GR.</t>
  </si>
  <si>
    <t>Y</t>
  </si>
  <si>
    <t>JD</t>
  </si>
  <si>
    <t>EN#2128041, INV#011/EXP/INV/II/2021, OBL2/23, NO GATEFEE (ETS), empty return 4/20 
- EVER FRONT, B18
- no Evergreen chassis available, driver will get BACP chassis for pickup, ask Evergreen for refund</t>
  </si>
  <si>
    <t>BEAU5191592</t>
  </si>
  <si>
    <t>EN#2128042, INV#012/EXP/INV/II/2021, OBL2/23, NO GATEFEE (ETS), empty return 4/20
- EVER FRONT, B19</t>
  </si>
  <si>
    <t>TCKU6844083</t>
  </si>
  <si>
    <t>GINGER CHEW LEMON 8 BAGS*227 GR</t>
  </si>
  <si>
    <t>EN#2127239, INV#006/EXP/INV/2021, OBL2/9, GATEFEE3/29, empty return 4/14
- MSC DEILA, A19</t>
  </si>
  <si>
    <t>DFSU7359022</t>
  </si>
  <si>
    <t>Teabags
D-13100N, D-13300N, D-14100N, D-15100N, D-16100N, D-17100N, D-18100N</t>
  </si>
  <si>
    <t>EN#2128808-0, INV#YD20-T17, T/R
- CMA CGM LAPEROUSE, C7</t>
  </si>
  <si>
    <t>TGCU5150147</t>
  </si>
  <si>
    <t>EN#2127799, INV#POP-01/21, OBL2/9, GATEFEE3/25, empty return 4/14
- no DCLI chassis, use other pool chassis, has chassis usage
- CMA CGM T.JEFFERSON, B12</t>
  </si>
  <si>
    <t>MSMU7035962</t>
  </si>
  <si>
    <t>EN#2127394, INV#008/EXP/INV/I/2021, OBL2/9, empty return 4/12
- have $150 APM Surcharge, pre-pull by 04/07/21
- LFD 4/7, prepull 4/7, deliver 4/9
- Additional charges: Pre-pull ($150), Storage ($50/day), Chassis ($35/day), Per Diems (if applicable)
- 6 days chassis will apply (04/07 – 04/12)
 - GUTHORM MAERSK, (B2)</t>
  </si>
  <si>
    <t>CMAU9146515</t>
  </si>
  <si>
    <t>GHC (Natural Lemon) D-04037</t>
  </si>
  <si>
    <t>EN#2128774, INV#DL-AIT2101, T/R, GATEFEE3/29, empty return 4/5
- PRESIDENTFDROOSEVELT, (C15)
- missed empty pickup first time, will have dry charge + fuel surcharge</t>
  </si>
  <si>
    <t>FBIU0356828</t>
  </si>
  <si>
    <r>
      <rPr>
        <rFont val="Arial"/>
        <color rgb="FF000000"/>
        <sz val="11.0"/>
      </rPr>
      <t>EN#2127017, INV#9394250</t>
    </r>
    <r>
      <rPr>
        <rFont val="Arial"/>
        <color rgb="FF000000"/>
        <sz val="11.0"/>
      </rPr>
      <t>2, GATEFEE3/1, empty return 4/9</t>
    </r>
    <r>
      <rPr>
        <rFont val="Arial"/>
        <color rgb="FF000000"/>
        <sz val="11.0"/>
      </rPr>
      <t xml:space="preserve">
- according to SSA terminal Linda, container did not discharge in Oakland terminal, so there should not be any demurrage (LFD3/22)
- DID NOT DISCHARGE IN OAKLAND ON 3/16 AS PLANNED DUE TO MIS STOWED ON THE VSL. IT WILL DISCHARGE ON THE EXPORT CALL ON 3/27
- eModal didn't update payment status, container cannot be released, Benz help repay gate fee ($35), with admin fee ($15)
- eModal will refund the first gate fee
- NYK DAEDALUS, (A18)</t>
    </r>
  </si>
  <si>
    <t>TCNU5089742</t>
  </si>
  <si>
    <t>Organic Teabags
D-13200N, D-14200N, D-15200N, D-17200N, D-18200N, D-19200N</t>
  </si>
  <si>
    <t>EN#2128296, INV#YD20-T18, T/R, empty return 4/9
- calling GCT Bayonne and will have additional $150 terminal surcharge</t>
  </si>
  <si>
    <t>TCKU3440869</t>
  </si>
  <si>
    <t>Korean Ginseng Tea, Young Ji Tea, Tu Chung Tea</t>
  </si>
  <si>
    <t>EN#2128508, INV#KB210205, OBL3/8, LIVE UNLOAD
- additional $150 Global Terminal Surcharge
- Terminal is closing, driver couldn’t get the container 4/8, will have demurrage, get the container 4/9
- HYUNDAI ULSAN, (C8)</t>
  </si>
  <si>
    <t>35058-2</t>
  </si>
  <si>
    <t>147
(LCL)</t>
  </si>
  <si>
    <t>SEGU9257107</t>
  </si>
  <si>
    <t>SOUP MIXED PACK</t>
  </si>
  <si>
    <t>EN# 2127599-6, INV#20012021, T/R, NO GATEFEE
- ONE GRUS, B7</t>
  </si>
  <si>
    <t>TCKU3688731</t>
  </si>
  <si>
    <t>EN#2128886, INV#SI21-001733, T/R
- ROTTERDAM STAR, C9</t>
  </si>
  <si>
    <t>HLBU2318567</t>
  </si>
  <si>
    <t>HONEY LOQUAT CANDY 76G/148G/178G/</t>
  </si>
  <si>
    <t>EN#2127596, INV#MP-202034877, T/R, empty return 4/9
- additional $150 GCT Bayonne surcharge
- MADRID BRIDGE, (B8)</t>
  </si>
  <si>
    <t>TCNU3825952</t>
  </si>
  <si>
    <t>GINGER CHEW 8 BAGS*227 GR</t>
  </si>
  <si>
    <t>EN#2126967, INV#001/EXP/INV/I/2021, OBL1/22, NO GATEFEE (ETS Terminal), empty return 4/2</t>
  </si>
  <si>
    <t>316
(LCL)</t>
  </si>
  <si>
    <t>TRIU8992986</t>
  </si>
  <si>
    <t>EN#2127921, INV#CZ21S011, T/R, NO GATEFEE
- KUALA LUMPUR EXPRESS, B16</t>
  </si>
  <si>
    <t>BSLU8018970</t>
  </si>
  <si>
    <t>RED GINSENG ROYAL JELLY (C-70052)</t>
  </si>
  <si>
    <t>EN#2126958, INV#2020TAT08, T/R, GATEFEE3/8, empty return 3/30
- Empty will return to other depot and the chassis needs to return to terminal it will be an additional $75+FS for split return chassis
- container was returned to Fast Lane and the chassis was returned to terminal, additional charge for split return chassis
- per diem may accrue</t>
  </si>
  <si>
    <t>MSCU5154746</t>
  </si>
  <si>
    <t>EN#2127393, INV#009/EXP/INV/I/2021, OBL2/9, empty return 3/30
- additional $150/container APM Terminal surcharge
- additional Pick-up Charge ($355 + 27% Fuel)</t>
  </si>
  <si>
    <t>MSDU8100496</t>
  </si>
  <si>
    <r>
      <rPr>
        <rFont val="Arial"/>
        <color rgb="FF000000"/>
        <sz val="11.0"/>
      </rPr>
      <t>GINGER CHEW (</t>
    </r>
    <r>
      <rPr>
        <rFont val="Arial"/>
        <color rgb="FF000000"/>
        <sz val="11.0"/>
      </rPr>
      <t>F-04057</t>
    </r>
    <r>
      <rPr>
        <rFont val="Arial"/>
        <color rgb="FF000000"/>
        <sz val="11.0"/>
      </rPr>
      <t>/F-04059/F-04113/F-04114)</t>
    </r>
  </si>
  <si>
    <t>EN#2127396, INV#EXP/POP34865/005/21I09, T/R, empty return 3/23
- additional $150/container APM Terminal surcharge</t>
  </si>
  <si>
    <t>MEDU4366958</t>
  </si>
  <si>
    <t xml:space="preserve">GINGER CHEW (F-04112/F-04113/F-04114)
</t>
  </si>
  <si>
    <t>EN#2127397, INV#EXP/POP34991/006/21I10, T/R, empty return 3/25
- additional $150/container APM Terminal surcharge</t>
  </si>
  <si>
    <t>BMOU5379481</t>
  </si>
  <si>
    <t>EN#2127842 INV# DL-AIT2067, T/R</t>
  </si>
  <si>
    <t>EISU8289029</t>
  </si>
  <si>
    <t>GINGER CHEW F-04112/F-04113/F-04114</t>
  </si>
  <si>
    <r>
      <rPr>
        <rFont val="Arial"/>
        <color rgb="FF000000"/>
        <sz val="11.0"/>
      </rPr>
      <t xml:space="preserve">EN#2126636, INV#93942501, GATEFEE3/8, T/R, </t>
    </r>
    <r>
      <rPr>
        <rFont val="Arial"/>
        <color rgb="FF000000"/>
        <sz val="11.0"/>
      </rPr>
      <t>empty return 3/22</t>
    </r>
    <r>
      <rPr>
        <rFont val="Arial"/>
        <color rgb="FF000000"/>
        <sz val="11.0"/>
      </rPr>
      <t xml:space="preserve">
- not DCLI chassis, ask shipping line to get the refund</t>
    </r>
  </si>
  <si>
    <t>EGHU9383264</t>
  </si>
  <si>
    <t>GINGER CHEW F-04073</t>
  </si>
  <si>
    <t>EN#2126570, INV#EXP/POP34854/075/20XII124, GATEFEE2/26, T/R, empty return 3/24
- Pier waiting was from 9:15-11:56am additional 1hr + chassis fee/ no DCLI chassis available</t>
  </si>
  <si>
    <t>FSCU5825620</t>
  </si>
  <si>
    <t>EN#2128015, INV#20NSS0360, T/R
empty return 3/25</t>
  </si>
  <si>
    <t>FDCU0366290</t>
  </si>
  <si>
    <t>EN#2127743, INV#EII210000055, OBL3/5
- calling GCT Bayonne and additional $150 terminal surcharge</t>
  </si>
  <si>
    <t>CZZU1685288</t>
  </si>
  <si>
    <t>RED GINSENG ROYAL JELLY (C-70050)</t>
  </si>
  <si>
    <r>
      <rPr>
        <rFont val="Arial"/>
        <color rgb="FF000000"/>
        <sz val="11.0"/>
      </rPr>
      <t xml:space="preserve">EN#2127673, INV#2020TAT09, T/R, GATEFEE3/2, </t>
    </r>
    <r>
      <rPr>
        <rFont val="Arial"/>
        <color rgb="FF000000"/>
        <sz val="11.0"/>
      </rPr>
      <t>empty return 3/18</t>
    </r>
    <r>
      <rPr>
        <rFont val="Arial"/>
        <color rgb="FF000000"/>
        <sz val="11.0"/>
      </rPr>
      <t xml:space="preserve">
- Pier waiting was from 12:32-3:31pm additional 1hr $55
- empty return to Conglobal in Oakland and the chassis return to terminal, additional charge of $75+FS for split return chassis</t>
    </r>
  </si>
  <si>
    <t>195
LCL</t>
  </si>
  <si>
    <t>OOLU1056980</t>
  </si>
  <si>
    <t>SEIROGAN 100 pills , Seirogan 400 pills, Seirogan Toi A 36 pills</t>
  </si>
  <si>
    <t>EN#2127536 , OBL2/17, NO GATEFEE, no empty return</t>
  </si>
  <si>
    <t>114
(LCL)</t>
  </si>
  <si>
    <t>SZLU9639886</t>
  </si>
  <si>
    <t>EYS BAK FOONG PILLS</t>
  </si>
  <si>
    <t>EN#2126868, INV#05012021, NO GATEFEE, T/R</t>
  </si>
  <si>
    <t>FFAU3619007</t>
  </si>
  <si>
    <t>GHC D-04011/Plum/Dark Brown Sugar/Dong Quai Red Date Tea</t>
  </si>
  <si>
    <t>EN#2127841, INV#DL-AIT2073</t>
  </si>
  <si>
    <t>60 BAG
(LCL)</t>
  </si>
  <si>
    <t>SZLU9557561</t>
  </si>
  <si>
    <t>KOREAN GINSENG POWDER</t>
  </si>
  <si>
    <t>EN#2127724, INV#KI-POP05-20, OBL2/23, NO GATEFEE</t>
  </si>
  <si>
    <t>TCLU2211090</t>
  </si>
  <si>
    <t>EN#2128153, INV#93950905, T/R
- calling PNCT and will have additional $50 terminal surcharge</t>
  </si>
  <si>
    <t>EMCU8223836</t>
  </si>
  <si>
    <t>EN#2126574, INV#EXP/POP34990/076/20XIII25, OBL2/9, GATEFEE2/17, empty return 3/16
- Pier waiting was from 8:39-11:38am additional 1hr + chassis fee.  No DCLI chassis available this container is on other pool chassis.</t>
  </si>
  <si>
    <t>UETU2761269</t>
  </si>
  <si>
    <t>EN#2127011, INV#93942501</t>
  </si>
  <si>
    <t>DFSU7304077</t>
  </si>
  <si>
    <t>GHC 18g x 60 x 15 bags</t>
  </si>
  <si>
    <t>EN#2127246,INV#DL-AIT2066,eTrans cannot take care of it due to continued bad weather and driver shortage for Long Island/NY route, Apex takes care of it</t>
  </si>
  <si>
    <t>Oolong Tea 300g, Pu-Erh Tea 200g</t>
  </si>
  <si>
    <t>Air shipment estimated charge $550, actual charge $355</t>
  </si>
  <si>
    <t>TGBU6606808</t>
  </si>
  <si>
    <t>EN#2126670-6, INV#POP-06/20, OBL1/7, empty return 3/8</t>
  </si>
  <si>
    <t>MYLAYSIA</t>
  </si>
  <si>
    <t>TGBU5833324</t>
  </si>
  <si>
    <t>POP TEA LATTE (22CT)</t>
  </si>
  <si>
    <t>EN#2126635-9,INV#EII200001024,OBL1/13,GATEFEE2/17, empty return 3/8</t>
  </si>
  <si>
    <t>KOCU2132785</t>
  </si>
  <si>
    <t>EN#2126911, INV#MP-202034875, T/R, GATEFEE2/17, empty return 3/10</t>
  </si>
  <si>
    <t>EITU1118331</t>
  </si>
  <si>
    <t>GINGER CHEW- Mango 8oz</t>
  </si>
  <si>
    <t>EN#2125635-0,INV#EXP/POP34853_34864/071/20XIII17,GATEFEE 2/8
empty return 3/2</t>
  </si>
  <si>
    <t>MEDU8729054</t>
  </si>
  <si>
    <r>
      <rPr>
        <rFont val="Arial"/>
        <color rgb="FF000000"/>
        <sz val="11.0"/>
      </rPr>
      <t>ORGANIC TEA D-13200N/D-18200N/D-15200N/D-19200N/</t>
    </r>
    <r>
      <rPr>
        <rFont val="Arial"/>
        <color rgb="FF000000"/>
        <sz val="11.0"/>
      </rPr>
      <t>D-17200</t>
    </r>
  </si>
  <si>
    <t xml:space="preserve">EN#2126194,INV# YD20-T16,GATEFEE2/8，Container was out gated at 1:39pm driver will be there around 2:35-2:45pm.  pier waiting was from 10:43-1:39pm additional 1hr.
Container LFD is 2/23.  </t>
  </si>
  <si>
    <t>EISU8203072</t>
  </si>
  <si>
    <t>TLLU1063524</t>
  </si>
  <si>
    <t>GHC D-04010/D-04011/D-04041/
P-DFO10B(Paper Box)</t>
  </si>
  <si>
    <t>LY</t>
  </si>
  <si>
    <t>EN#2126878-5, INV#20NSS0364,GATEFEE2/8,This ONE reefer container empty will return to 3 Harbors or Conglobal,
It will be an additional $65 for split return chassis
LFD2/25, returned 2/25</t>
  </si>
  <si>
    <t>MSKU7789196</t>
  </si>
  <si>
    <t xml:space="preserve">EN#2126514, INV#SS2010121-N
LFD2/24, container not yet empty, may be additional Per Diem charges
After 7 working days free, MSK tariff is around $190/day for day 1-4 then $235 from day 5
Empty returned 2/25/21, has Per Diem charge
</t>
  </si>
  <si>
    <t>HASU4723067</t>
  </si>
  <si>
    <t>EN#2126319-0, INV#185/EXP/VIII/2020,OBL 1/13
LFD Per Diem 3/2, Dry run empty pick-up surcharge ($345 + 22% Fuel)
Empty returned 3/2</t>
  </si>
  <si>
    <t>CAAU5257731 
(RC)</t>
  </si>
  <si>
    <t xml:space="preserve">GINGER CHEW 6BAGS *1000GR </t>
  </si>
  <si>
    <t>EN#2126320-8, INV#234/EXP/INV/XII2020, OBL1/13
1 day demurrage occurred, $295
Trucker will pull 2/26 for 3/1 appt, will waived prepull and yard storage but there will be daily chassis apply from out gate date to return date</t>
  </si>
  <si>
    <t>TGHU0497722</t>
  </si>
  <si>
    <t>Red Panax Ginseng C-70021 /RED GINSENG ROYAL JELLY C-70050</t>
  </si>
  <si>
    <t>EN#2126155 , INV#2020TAT07</t>
  </si>
  <si>
    <t>TGBU8046955</t>
  </si>
  <si>
    <t>POP THAI TEA-NEW PACKAGING</t>
  </si>
  <si>
    <t>EN#2125363   INV#EII200000941,OBL 12/14,GATEFEE1/27</t>
  </si>
  <si>
    <t>EITU1985163</t>
  </si>
  <si>
    <t>EN#2125695-4, INV#210/EXP/INV/XI/2020,OBL12/23,GATEFEE1/22,Container was out gated at 10:06am pier waiting was from 7:15-10:06am additional 1hr.</t>
  </si>
  <si>
    <t>MOEU1419908</t>
  </si>
  <si>
    <t>YNBY MINT100g+WTE30G/PRB100G+MINT30G/WTE100G+PRB</t>
  </si>
  <si>
    <t>EN#2126459-4，INV#YNBYHP0000063,GATEFEE1/22,OBL1/25, 2/18 two days detention $280( $ 140 each day) + $ 25 handling fee</t>
  </si>
  <si>
    <t>FSCU5962290</t>
  </si>
  <si>
    <r>
      <rPr>
        <rFont val="Arial"/>
        <color rgb="FF000000"/>
        <sz val="11.0"/>
      </rPr>
      <t>GHC D-04010/D-04041/</t>
    </r>
    <r>
      <rPr>
        <rFont val="Arial"/>
        <color rgb="FF990000"/>
        <sz val="11.0"/>
      </rPr>
      <t>D- Fense1 FOIL</t>
    </r>
  </si>
  <si>
    <t xml:space="preserve">EN#2126169-9,INV#20NSS0362,GATEFEE1/27,reefer- the LFD was 2/16. It will return today and it will be 2 days detention $380( $190 per day) +$25 Handling fee =$405 + $65 for split return chassis.
This ONE reefer container will return to 3Harbors or Conglobal and the chassis will return to terminal. </t>
  </si>
  <si>
    <t>APZU3503380</t>
  </si>
  <si>
    <t>Soap</t>
  </si>
  <si>
    <t xml:space="preserve">EN#2126580 ,INV#SS2010122-N,GATEFEE 1/20,container:APZU3503380 was out gated at 3:57pm driver will be there around 5-5:10pm.  pier waiting was from 8:39-3:57pm additional 5.5hrs. 
Container LFD is 2/11.  </t>
  </si>
  <si>
    <t>MEDU5329100</t>
  </si>
  <si>
    <t>Red Panax Ginseng C-70021</t>
  </si>
  <si>
    <t>EN#2125722,INV#2020TAT06,GATEFEE 1/20</t>
  </si>
  <si>
    <t>DFSU7170770</t>
  </si>
  <si>
    <t>ORGANIC TEA D-15200N/D-18200N/D-19200N/D-19220N/D-17200N</t>
  </si>
  <si>
    <t>EN#2125707, INV#YD20-T15</t>
  </si>
  <si>
    <t>Pi LUO CHUN 300G*54/300G*36</t>
  </si>
  <si>
    <t>INV#21TM006</t>
  </si>
  <si>
    <t>TEMU7621284</t>
  </si>
  <si>
    <t>Red Panax Ginseng Extractum/Ultra Ginkgo Plus with Eleuthero &amp;Tibetan Rhodiola</t>
  </si>
  <si>
    <t>EN#2126251 ,INV# DL-AIT20008</t>
  </si>
  <si>
    <t>FDCU0240362</t>
  </si>
  <si>
    <t>GINGER CHEW F-04056/F-04112</t>
  </si>
  <si>
    <t>EN#2125017, INV#EXP/POP34864/068/20XII06</t>
  </si>
  <si>
    <t>TGBU6770344</t>
  </si>
  <si>
    <t>EN#2125403-3, INV#199/EXP/INV/XI/2020,OBL12/10</t>
  </si>
  <si>
    <t>FCIU5687862</t>
  </si>
  <si>
    <t>EN#2126044-4,INV#EII2000000995,OBL 1/6/2021</t>
  </si>
  <si>
    <t>CAIU7754724</t>
  </si>
  <si>
    <t>GINGER CHEW 40 BAGS X 113 GR</t>
  </si>
  <si>
    <t>EN#2125826-5, INV#214/EXP/INV/XII/2020,OBL12/23</t>
  </si>
  <si>
    <t>TCNU4119945</t>
  </si>
  <si>
    <t>EN#2125829-9, INV#216/EXP/INV/XII/2020,OBL12/23</t>
  </si>
  <si>
    <t>TCNU1925206</t>
  </si>
  <si>
    <t xml:space="preserve">EN#2125828-1, INV#215/EXP/INV/XII/2020,OBL12/23,additional Empty Pick-up surcharge ($345 + 22% Fuel).
</t>
  </si>
  <si>
    <t>147
（LCL）</t>
  </si>
  <si>
    <t>MRKU4190108</t>
  </si>
  <si>
    <t>PG NZ HONEY</t>
  </si>
  <si>
    <t>EN#2125726-7</t>
  </si>
  <si>
    <t xml:space="preserve">TGBU6714757	</t>
  </si>
  <si>
    <t>EN#2125274-8, INV#197/EXP/INV/XI/2020,OBL12/10</t>
  </si>
  <si>
    <t>IMTU9095750</t>
  </si>
  <si>
    <t>EN#2126042, INV#POP-05/20,OBL12/23</t>
  </si>
  <si>
    <t>34876
34917</t>
  </si>
  <si>
    <t>EITU0511914
EGHU3765085</t>
  </si>
  <si>
    <t>EN#2125699-6, INV#2011-00163/2011-00162</t>
  </si>
  <si>
    <t>Soup mixed pack</t>
  </si>
  <si>
    <t>TGBU6992249</t>
  </si>
  <si>
    <t>EN#2125693-9,INV#208/EXP/INV/XI/2020,OBL12/23</t>
  </si>
  <si>
    <t>BEAU5042860</t>
  </si>
  <si>
    <t>EN#2125694-7,,INV#209/EXP/INV/XI/2020,OBL12/23</t>
  </si>
  <si>
    <t>TGBU9247002</t>
  </si>
  <si>
    <t>EN#2125965 , INV#DL-AIT2060A</t>
  </si>
  <si>
    <t>FSCU8588203</t>
  </si>
  <si>
    <t>ORGANIC TEA D-14200N/D-15200N/D-18200N/D-19220N/</t>
  </si>
  <si>
    <t>EN#2125297, INV#YD20-T13</t>
  </si>
  <si>
    <t>TRHU3091180</t>
  </si>
  <si>
    <t>EN#2124633 ,GATEEFEE1/5</t>
  </si>
  <si>
    <t>GAOU6303520</t>
  </si>
  <si>
    <t>EN#2125275-5, INV#196/EXP/INV/XI/2020,OBL12/10</t>
  </si>
  <si>
    <t>CAIU9377620</t>
  </si>
  <si>
    <t>Red Panax Ginseng Extractum/Ultra Ginkgo Plus with Eleuthero  Tibetan Rhodiola/American Ginseng with Royal Jelly &amp; Bee Pollen/Beijing Royal Jelly with Bee Pollen/CHINESE TEA</t>
  </si>
  <si>
    <t>EN#2125786,INV#DL-AIT20007，GATEFEE 1/11</t>
  </si>
  <si>
    <t>FSCU5960533</t>
  </si>
  <si>
    <t>EN#2125841,INV#20NSS0361,GATEFEE 12/31</t>
  </si>
  <si>
    <t>EGHU9151844</t>
  </si>
  <si>
    <t>EN#2125138,INV#EII200000938,OBL 12/7</t>
  </si>
  <si>
    <t>TTNU4299578</t>
  </si>
  <si>
    <t>Red Panax Ginseng Extractum/American Ginseng with Royal Jelly &amp; Bee Pollen/Beijing Royal Jelly with Bee Pollen</t>
  </si>
  <si>
    <t>EN#2125554-3, INV#DL-AIT20006</t>
  </si>
  <si>
    <t>TCLU8900922</t>
  </si>
  <si>
    <t>GINGER CHEW 6 DB X 12 POUCH X 113 GR</t>
  </si>
  <si>
    <t>EN#2125726-7, CREDIT MEMO-2124686-A</t>
  </si>
  <si>
    <t>EISU8285152</t>
  </si>
  <si>
    <t>EN#2124404, INV#179/EXP/INV/X/2020，OBL11/17</t>
  </si>
  <si>
    <t>MSCU4592856</t>
  </si>
  <si>
    <t>1/6 @1030</t>
  </si>
  <si>
    <t>EMCU8241911</t>
  </si>
  <si>
    <t>EN#2125825-7,INV#20NSS0359</t>
  </si>
  <si>
    <t>UETU4068280</t>
  </si>
  <si>
    <t>POP Cappuccino</t>
  </si>
  <si>
    <t>EN#2125278 , INV#EII200000940,OBL 12/14,GATEFEE12/31</t>
  </si>
  <si>
    <t>EITU1970060</t>
  </si>
  <si>
    <t>EN#2124280, INV#178/EXP/INV/X/2020,OBL11/17,GATEFEE12/16</t>
  </si>
  <si>
    <t>TCKU377979</t>
  </si>
  <si>
    <t>EN#2125163 , INV#</t>
  </si>
  <si>
    <t>EMCU8217690</t>
  </si>
  <si>
    <t>EN#2125201,INV#20NSS0357</t>
  </si>
  <si>
    <t>TRHU372222</t>
  </si>
  <si>
    <t>EN#2124634, INV#</t>
  </si>
  <si>
    <t>NYKU3846413</t>
  </si>
  <si>
    <t>EN#2124641, INV#93920597</t>
  </si>
  <si>
    <t>CMAU3246780   TCKU1988339</t>
  </si>
  <si>
    <t>EN#2125499-1, INV#</t>
  </si>
  <si>
    <t>TCLU5122231</t>
  </si>
  <si>
    <t>EN#2124868, INV#20NSS0354</t>
  </si>
  <si>
    <t>755
(LCL)</t>
  </si>
  <si>
    <t>EMCU5312797</t>
  </si>
  <si>
    <t>POP H Loquat Pastilles</t>
  </si>
  <si>
    <t>EN#2125555 , INV#20201119</t>
  </si>
  <si>
    <t>Etrans:Pre-pull ($150), Storage ($30/day), Chassis ($35/day) and Per Diems (if applicable)</t>
  </si>
  <si>
    <t>User Name: Admin52291          Password: pop$2016</t>
  </si>
  <si>
    <t>Date Paid</t>
  </si>
  <si>
    <t>Paid By</t>
  </si>
  <si>
    <t>TRHU4250080</t>
  </si>
  <si>
    <t>TCNC4900114</t>
  </si>
  <si>
    <t>CCLU4891662</t>
  </si>
  <si>
    <t>CCLU5262181</t>
  </si>
  <si>
    <t>BSIU2700119</t>
  </si>
  <si>
    <t>HDMU4739080</t>
  </si>
  <si>
    <t>SZLU9231657</t>
  </si>
  <si>
    <t>CSNU1781850</t>
  </si>
  <si>
    <t>MRKU0936945</t>
  </si>
  <si>
    <t>TGBU6007538</t>
  </si>
  <si>
    <t xml:space="preserve">  MRKU6894868</t>
  </si>
  <si>
    <t>EGHU3775695 
(X-RAY EXAM 299.00)</t>
  </si>
  <si>
    <t>Pending Benz Invoice</t>
  </si>
  <si>
    <t>Pending Etrans Invoice</t>
  </si>
  <si>
    <t>Discharge Port</t>
  </si>
  <si>
    <t>TCLU7825260</t>
  </si>
  <si>
    <t>RED 18G, ULTRA 18G</t>
  </si>
  <si>
    <t>1/6/2022
3/18/2022</t>
  </si>
  <si>
    <t>EN#2136486, INV#PI21-70, PO#36118, OBL11/12, empty return 12/28
- ONE MUNCHEN, (TB5), ONE
- ETrans cannot deliver, Apec help deliver $1700, actual charge $2380
- prepull 12/22, deliver 12/28
- 12/17 FDA exam/sample needed, inform GW when deliver/ready in warehouse
- 12/28 delivered &amp; ready in warehouse for FDA exam/sample, informed GW
- FDA inspection 1/6/22 @ 8am-2pm
- 1/6 FDA Officer Yasmin Rios came in this morning and collected only 33 ea of T-31510 lot# C210355 (ULTRA 18G) for lab examination
- 1/6 RED 18G released
- 1/6 ULTRA 18G exam completed, pending release
- 3/18 ULTRA 18G released
- EN# K80-2136486-5</t>
  </si>
  <si>
    <t>32PLTS</t>
  </si>
  <si>
    <t>TGCU5196087</t>
  </si>
  <si>
    <t>OINTMENT 10G, 18G, WHITE 18G</t>
  </si>
  <si>
    <t>EN#2136487, INV#PI21-77, PO#36121, OBL11/12
- ONE MUNCHEN, (TB6), ONE
- ETrans cannot deliver, Apec help deliver $1700, actual charge $2055
- 12/17 FDA exam/sample needed, inform GW when deliver/ready in warehouse
- 12/22 delivered, informed GW, FDA released without exam/sample</t>
  </si>
  <si>
    <t>TCLU4455032
CMAU8195217</t>
  </si>
  <si>
    <t>12/23/21
12/23/21</t>
  </si>
  <si>
    <t>EN#2137019, INV#PI21-74, PO#36119, T/R
- EVER FORWARD, (TB12), CMA CGM
- have additional $150 Maher Surcharge</t>
  </si>
  <si>
    <t>TLNU2152372</t>
  </si>
  <si>
    <t>MUSCLE SPRAY 75ML</t>
  </si>
  <si>
    <t>EN#2136911, INV#PI21-46, PO#36116, OBL11/24
- CCNI ANDES, (TB11), ZIM
- have additional $150 PNCT Surcharge</t>
  </si>
  <si>
    <t>72PLTS</t>
  </si>
  <si>
    <t>TGBU8558083
OOCU7270225
FCIU5315700</t>
  </si>
  <si>
    <t>PATCH, PATCH 1'S, KLO 57ML, 28ML</t>
  </si>
  <si>
    <t>12/21/21
12/22/21
12/22/21</t>
  </si>
  <si>
    <t>EN#2136584, INV#PI21-73 &amp; PI21-78, PO#36120, OBL11/22
- COSCO AFRICA, (TB9), COSCO
- have additional $150/contr Maher Surcharge</t>
  </si>
  <si>
    <t>25PLTS</t>
  </si>
  <si>
    <t>GAOU6615240</t>
  </si>
  <si>
    <r>
      <rPr>
        <rFont val="Arial"/>
        <b/>
        <color rgb="FFFF0000"/>
        <sz val="11.0"/>
      </rPr>
      <t>OINTMENT 10G</t>
    </r>
    <r>
      <rPr>
        <rFont val="Arial"/>
        <color rgb="FF000000"/>
        <sz val="11.0"/>
      </rPr>
      <t xml:space="preserve">, </t>
    </r>
    <r>
      <rPr>
        <rFont val="Arial"/>
        <color rgb="FF0000FF"/>
        <sz val="11.0"/>
      </rPr>
      <t>ULTRA 18G</t>
    </r>
    <r>
      <rPr>
        <rFont val="Arial"/>
        <color rgb="FF000000"/>
        <sz val="11.0"/>
      </rPr>
      <t>,</t>
    </r>
    <r>
      <rPr>
        <rFont val="Arial"/>
        <b/>
        <color rgb="FFFF0000"/>
        <sz val="11.0"/>
      </rPr>
      <t xml:space="preserve"> ULTRA 50G</t>
    </r>
    <r>
      <rPr>
        <rFont val="Arial"/>
        <color rgb="FF000000"/>
        <sz val="11.0"/>
      </rPr>
      <t xml:space="preserve">, </t>
    </r>
    <r>
      <rPr>
        <rFont val="Arial"/>
        <b/>
        <color rgb="FFFF0000"/>
        <sz val="11.0"/>
      </rPr>
      <t>RED 4G</t>
    </r>
    <r>
      <rPr>
        <rFont val="Arial"/>
        <color rgb="FF000000"/>
        <sz val="11.0"/>
      </rPr>
      <t xml:space="preserve">, </t>
    </r>
    <r>
      <rPr>
        <rFont val="Arial"/>
        <b/>
        <color rgb="FFFF0000"/>
        <sz val="11.0"/>
      </rPr>
      <t>WHITE 4G</t>
    </r>
  </si>
  <si>
    <t>EN#2135807, INV#PI21-70, PO#36021, OBL10/28
- ONE MINATO, (TA20), ONE
- have additional $200 GCT Bayonne surcharge</t>
  </si>
  <si>
    <t>40PLTS</t>
  </si>
  <si>
    <t>KOCU4872250
CAIU4341368</t>
  </si>
  <si>
    <t>12/21/21
12/29/21</t>
  </si>
  <si>
    <r>
      <rPr>
        <rFont val="Arial"/>
        <color rgb="FF000000"/>
        <sz val="11.0"/>
      </rPr>
      <t>EN#2135842, INV#PI21-64, PO#36056,</t>
    </r>
    <r>
      <rPr>
        <rFont val="Arial"/>
        <color rgb="FFFF0000"/>
        <sz val="11.0"/>
      </rPr>
      <t xml:space="preserve"> </t>
    </r>
    <r>
      <rPr>
        <rFont val="Arial"/>
        <color rgb="FF000000"/>
        <sz val="11.0"/>
      </rPr>
      <t>T/R, empty return 12/30
- CONTI CRYSTAL, (TA21), HMM</t>
    </r>
  </si>
  <si>
    <t>NYKU5971749</t>
  </si>
  <si>
    <r>
      <rPr>
        <rFont val="Arial"/>
        <color rgb="FF202124"/>
        <sz val="11.0"/>
      </rPr>
      <t>OINTMENT 10G</t>
    </r>
    <r>
      <rPr>
        <rFont val="Arial"/>
        <color rgb="FF202124"/>
        <sz val="11.0"/>
      </rPr>
      <t xml:space="preserve">, ULTRA 18G, </t>
    </r>
    <r>
      <rPr>
        <rFont val="Arial"/>
        <color rgb="FF202124"/>
        <sz val="11.0"/>
      </rPr>
      <t>ULTRA 50G</t>
    </r>
    <r>
      <rPr>
        <rFont val="Arial"/>
        <color rgb="FF202124"/>
        <sz val="11.0"/>
      </rPr>
      <t>,</t>
    </r>
    <r>
      <rPr>
        <rFont val="Arial"/>
        <color rgb="FF202124"/>
        <sz val="11.0"/>
      </rPr>
      <t xml:space="preserve"> RED 18G</t>
    </r>
    <r>
      <rPr>
        <rFont val="Arial"/>
        <color rgb="FF202124"/>
        <sz val="11.0"/>
      </rPr>
      <t xml:space="preserve">, WHITE 18G, </t>
    </r>
    <r>
      <rPr>
        <rFont val="Arial"/>
        <color rgb="FF202124"/>
        <sz val="11.0"/>
      </rPr>
      <t>WHITE 4G</t>
    </r>
  </si>
  <si>
    <t>EN#2136079, INV#PI21-70, PO#36020, OBL11/2
- CONTI CRYSTAL, (TA22), ONE
- prepull 12/20</t>
  </si>
  <si>
    <t>62PLTS</t>
  </si>
  <si>
    <t>HMMU6107418
KOCU4779955</t>
  </si>
  <si>
    <r>
      <rPr>
        <rFont val="Arial"/>
        <color theme="1"/>
        <sz val="11.0"/>
      </rPr>
      <t>PATCH</t>
    </r>
    <r>
      <rPr>
        <rFont val="Arial"/>
        <color theme="1"/>
        <sz val="11.0"/>
      </rPr>
      <t xml:space="preserve">, </t>
    </r>
    <r>
      <rPr>
        <rFont val="Arial"/>
        <color theme="1"/>
        <sz val="11.0"/>
      </rPr>
      <t>PATCH 1'S</t>
    </r>
  </si>
  <si>
    <t>12/16/21
12/20/21</t>
  </si>
  <si>
    <t>EN#2135499, INV#PI21-63, PO#35982, OBL 10/11
- ONE MANHATTAN, (TA16), Norman Krieger TWILGB39254
- yard storage applies to container HMMU6107418, trucker's notes: EMPTY STORAGE CHARGE-3DAY &lt;12/19~12/21&gt;, FIRST 3DAYS FREE&lt;12/16~12/18&gt;</t>
  </si>
  <si>
    <t>TGBU9713311</t>
  </si>
  <si>
    <t>RED 18G, OINTMENT 18G</t>
  </si>
  <si>
    <t>EN#2134918, INV#PI21-60, PO#36019, OBL10/28
- YM WARMTH, (TA11), ONE
- have $200 GCT Bayonne Surcharge</t>
  </si>
  <si>
    <t>TRHU7681899
TCNU6771905</t>
  </si>
  <si>
    <t>12/14/21
12/13/21</t>
  </si>
  <si>
    <t>EN#2136485, INV#PI21-64, PO#36072, T/R
- TAURUS, (TB4), CMA CGM
- 11/25 discharged @ Panama
- 11/26 changed vessel from TAIPEI TRIUMPH to TAURUS
- additional $150/contr Maher Surcharge</t>
  </si>
  <si>
    <t>10PLTS
(LCL)</t>
  </si>
  <si>
    <t>HMMU9021848</t>
  </si>
  <si>
    <t>MUSCLE RUB 60G</t>
  </si>
  <si>
    <t>EN#2136621, INV#PI21-65, PO#36054, OBL11/8
- ONE HONOLULU, (TB10), HMM</t>
  </si>
  <si>
    <t>44PLTS</t>
  </si>
  <si>
    <t>YMMU4109804
DFSU1807900</t>
  </si>
  <si>
    <r>
      <rPr>
        <rFont val="Arial"/>
        <color rgb="FF202124"/>
        <sz val="11.0"/>
      </rPr>
      <t xml:space="preserve">PATCH, PATCH 1's, </t>
    </r>
    <r>
      <rPr>
        <rFont val="Arial"/>
        <color rgb="FF202124"/>
        <sz val="11.0"/>
      </rPr>
      <t>KLO 57ML</t>
    </r>
    <r>
      <rPr>
        <rFont val="Arial"/>
        <color rgb="FF202124"/>
        <sz val="11.0"/>
      </rPr>
      <t xml:space="preserve">, </t>
    </r>
    <r>
      <rPr>
        <rFont val="Arial"/>
        <color rgb="FF202124"/>
        <sz val="11.0"/>
      </rPr>
      <t>KLO 28ML</t>
    </r>
  </si>
  <si>
    <t>12/7/21
12/8/21</t>
  </si>
  <si>
    <t>12/1/21
12/1/21
12/2/21
12/3/21
12/2/21
11/30/21</t>
  </si>
  <si>
    <t>EN#2136255, INV#PI21-73 &amp; PI21-78, PO#36037, OBL11/3, GATEFEE11/30
- ONE HONG KONG, (TB2), YANG MING
- 11/30 FDA request product label, FG responded 11/30
- YMMU4109804, pier waiting was from 7:05-9:27am additional ½ hr $30.00</t>
  </si>
  <si>
    <t>179PLTS</t>
  </si>
  <si>
    <t>OOLU9845120
SEGU4658200
TRHU5259797
FSCU8463124
TCKU7542010
CSNU7037819</t>
  </si>
  <si>
    <t>PATCH, PATCH 1'S, LINIMENT 57ML, KLO 28ML, 57ML</t>
  </si>
  <si>
    <t>12/1/21 
12/1/21 
12/2/21 
12/3/21 
12/2/21 
11/30/21</t>
  </si>
  <si>
    <t>EN#2135726, INV#PI21-63, PI21-71 &amp; PI21-72, LC05760U, PO#36008, OBL10/20
- CSCL SATURN, (TA17)
- FSCU8463124 prepull by LFD 12/2, deliver 12/3
- additional $150/contr Maher surcharge</t>
  </si>
  <si>
    <t>51PLTS</t>
  </si>
  <si>
    <t>TTNU5364106
BMOU3183714</t>
  </si>
  <si>
    <r>
      <rPr>
        <rFont val="Arial"/>
        <color rgb="FF000000"/>
        <sz val="11.0"/>
      </rPr>
      <t>PATCH</t>
    </r>
    <r>
      <rPr>
        <rFont val="Arial"/>
        <color rgb="FF000000"/>
        <sz val="11.0"/>
      </rPr>
      <t xml:space="preserve">, LINIMENT 57ML, </t>
    </r>
    <r>
      <rPr>
        <rFont val="Arial"/>
        <color rgb="FF000000"/>
        <sz val="11.0"/>
      </rPr>
      <t>KLO 57ML</t>
    </r>
  </si>
  <si>
    <t>12/1/21
11/30/21</t>
  </si>
  <si>
    <t>EN#2135769, INV#PI21-63, PI21-71 &amp; PI21-72, PO#36018, OBL10/22, GATEFEE11/12
- ONE HAMMERSMITH, (TA18)
- BMOU3183714 has additional of $75 for split return chassis
- BMOU3183714 empty return 12/2
- 12/7 GW invoice 2135769 revised, with trucking fees removed</t>
  </si>
  <si>
    <t>9PLTS
(LCL)</t>
  </si>
  <si>
    <t>KOCU9025161</t>
  </si>
  <si>
    <t>EN#2135432, INV#PI21-56, PO#35956, OBL 10/18, NO GATEFEE (LCL)
- YM WELLNESS, (TA15)
- Discharged @ LA 11/29, then rail to OAK
- 12/22 FDA request dosage information, FG replied</t>
  </si>
  <si>
    <t>7PLTS
(LCL)</t>
  </si>
  <si>
    <t>NECK AND SHOULDER RUB 50G</t>
  </si>
  <si>
    <t>EN#2135433, INV#PI21-47, PO#35941, OBL9/21
- YM WELLNESS, (TA14), HDMU</t>
  </si>
  <si>
    <t>WHLU0557640</t>
  </si>
  <si>
    <r>
      <rPr>
        <rFont val="Arial"/>
        <color rgb="FF202124"/>
        <sz val="11.0"/>
      </rPr>
      <t>OINTMENT 10G</t>
    </r>
    <r>
      <rPr>
        <rFont val="Arial"/>
        <color rgb="FF202124"/>
        <sz val="11.0"/>
      </rPr>
      <t xml:space="preserve">, 18G, </t>
    </r>
    <r>
      <rPr>
        <rFont val="Arial"/>
        <color rgb="FF202124"/>
        <sz val="11.0"/>
      </rPr>
      <t>ULTRA 50G</t>
    </r>
    <r>
      <rPr>
        <rFont val="Arial"/>
        <color rgb="FF202124"/>
        <sz val="11.0"/>
      </rPr>
      <t xml:space="preserve">, WHITE 18G, RED 4G, </t>
    </r>
    <r>
      <rPr>
        <rFont val="Arial"/>
        <color rgb="FF202124"/>
        <sz val="11.0"/>
      </rPr>
      <t>WHITE 4G</t>
    </r>
  </si>
  <si>
    <t>12/2/21 (LA)
12/8/21 (SF)</t>
  </si>
  <si>
    <t>EN#2136563, INV#PI21-77, PO#36092, OBL11/15 (by bank)
- GSL VIOLETTA, (TB8), WAN HAI
- Arrange transfer (final destination SF)
- Bank mailed OBL 11/15, FedEx 775217162293
- 12/10 received DO (to LA)</t>
  </si>
  <si>
    <t>FCIU6232786</t>
  </si>
  <si>
    <t>OINTMENT 10G, 50G, RED 4G, WHITE 4G</t>
  </si>
  <si>
    <t>EN#2136562, INV#PI21-77, PO#36091, OBL11/15 (by bank)
- GSL VIOLETTA, (TB7), WAN HAI
- Bank mailed OBL 11/15, FedEx 775217162293</t>
  </si>
  <si>
    <t>21PLTS</t>
  </si>
  <si>
    <t>KOCU4680129</t>
  </si>
  <si>
    <r>
      <rPr>
        <rFont val="Arial"/>
        <color theme="1"/>
        <sz val="11.0"/>
      </rPr>
      <t xml:space="preserve">LINIMENT 57ML, </t>
    </r>
    <r>
      <rPr>
        <rFont val="Arial"/>
        <color theme="1"/>
        <sz val="11.0"/>
      </rPr>
      <t>KLO 57ML</t>
    </r>
    <r>
      <rPr>
        <rFont val="Arial"/>
        <color theme="1"/>
        <sz val="11.0"/>
      </rPr>
      <t xml:space="preserve">, </t>
    </r>
    <r>
      <rPr>
        <rFont val="Arial"/>
        <color theme="1"/>
        <sz val="11.0"/>
      </rPr>
      <t>KLO 28ML</t>
    </r>
  </si>
  <si>
    <t xml:space="preserve">EN#2135468, INV#PI21-71 &amp; PI21-72, PO#35981, OBL 10/11
- ONE COMMITMENT, (TA19), HDMU
- prepull 11/18, deliver 11/19
- has yard storage, empty return 11/22, high chassis fee because hold container from 11/18-11/22
</t>
  </si>
  <si>
    <t>TCNU5396348</t>
  </si>
  <si>
    <r>
      <rPr>
        <rFont val="Arial"/>
        <color theme="1"/>
        <sz val="11.0"/>
      </rPr>
      <t xml:space="preserve">OINTMENT 18G (RFID), </t>
    </r>
    <r>
      <rPr>
        <rFont val="Arial"/>
        <color theme="1"/>
        <sz val="11.0"/>
      </rPr>
      <t>RED 18G</t>
    </r>
    <r>
      <rPr>
        <rFont val="Arial"/>
        <color theme="1"/>
        <sz val="11.0"/>
      </rPr>
      <t xml:space="preserve">, </t>
    </r>
    <r>
      <rPr>
        <rFont val="Arial"/>
        <color theme="1"/>
        <sz val="11.0"/>
      </rPr>
      <t>WHITE 18G</t>
    </r>
  </si>
  <si>
    <t>11/16/21 (LA)
11/18/21 (SF)</t>
  </si>
  <si>
    <t>EN#2134860, INV#PI21-60, PO#35971, OBL10/11
- YM UNIFORM, (TA10), ONE
- Arrange transfer (final destination SF)</t>
  </si>
  <si>
    <t>17PLTS</t>
  </si>
  <si>
    <t>TCNU3938671</t>
  </si>
  <si>
    <t>RED 18G</t>
  </si>
  <si>
    <t>EN#2134922, INV#PI21-60, PO#35954, OBL 10/18, empty return 11/10
- YM WIDTH, (TA12)
- have $150 GCT Bayonne Surcharge</t>
  </si>
  <si>
    <t>GESU5310894</t>
  </si>
  <si>
    <t>EN#2134421, INV#PI21-55, PO#35913, T/R
- EVER FORTUNE, (TA6)
- have MAHER surcharge $150</t>
  </si>
  <si>
    <t>22PLTS</t>
  </si>
  <si>
    <t>GESU5978522</t>
  </si>
  <si>
    <t>OINTMENT 10G, 18G (RFID), 50G</t>
  </si>
  <si>
    <t>EN#2134475, INV#PI21-60, PO#35889, OBL9/14
- MEISHAN BRIDGE, (TA8)
- have additional $150 GCT Bayonne Surcharge</t>
  </si>
  <si>
    <t>KKFU7817990</t>
  </si>
  <si>
    <r>
      <rPr>
        <rFont val="Arial"/>
        <color theme="1"/>
        <sz val="11.0"/>
      </rPr>
      <t>RED 18G</t>
    </r>
    <r>
      <rPr>
        <rFont val="Arial"/>
        <color theme="1"/>
        <sz val="11.0"/>
      </rPr>
      <t>, OINTMENT 18G (RFID)</t>
    </r>
  </si>
  <si>
    <t>EN#2134291, INV#PI21-57, PO#35887, OBL9/14
- MEISHAN BRIDGE, (TA4)
- have additional $150 GCT Bayonne surcharge</t>
  </si>
  <si>
    <t>FCIU9745946</t>
  </si>
  <si>
    <t>OINTMENT 18G</t>
  </si>
  <si>
    <t>EN#2134169, INV#PI21-57, PO#35880, OBL9/8
- YM WIND, (TA3)
- have additional $150 Global Terminal Surcharge</t>
  </si>
  <si>
    <t>180PLTS</t>
  </si>
  <si>
    <t>CSNU6280655
FCIU9118289
CCLU6798944
FCIU9528088
CSNU7570514
UETU5383218</t>
  </si>
  <si>
    <t>PATCH, PATCH 1'S, LINIMENT 57ML, KLO 57ML, KLO 28ML</t>
  </si>
  <si>
    <t>10/13/21
10/13/21
10/13/21
10/12/21
10/12/21
10/14/21</t>
  </si>
  <si>
    <t>EN#2134474, INV#PI21-54, PI21-58, PI21-61 &amp; PI21-62, PO#35881, OBL9/8
- COSCO EUROPE, (TA7)</t>
  </si>
  <si>
    <t>FFAU1409790</t>
  </si>
  <si>
    <r>
      <rPr>
        <rFont val="Arial"/>
        <color theme="1"/>
        <sz val="11.0"/>
      </rPr>
      <t>OINTMENT 10G</t>
    </r>
    <r>
      <rPr>
        <rFont val="Arial"/>
        <color theme="1"/>
        <sz val="11.0"/>
      </rPr>
      <t>, 18G,</t>
    </r>
    <r>
      <rPr>
        <rFont val="Arial"/>
        <color theme="1"/>
        <sz val="11.0"/>
      </rPr>
      <t xml:space="preserve"> </t>
    </r>
    <r>
      <rPr>
        <rFont val="Arial"/>
        <color theme="1"/>
        <sz val="11.0"/>
      </rPr>
      <t>ULTRA 50G</t>
    </r>
    <r>
      <rPr>
        <rFont val="Arial"/>
        <color theme="1"/>
        <sz val="11.0"/>
      </rPr>
      <t>,</t>
    </r>
    <r>
      <rPr>
        <rFont val="Arial"/>
        <color theme="1"/>
        <sz val="11.0"/>
      </rPr>
      <t xml:space="preserve"> RED 18G</t>
    </r>
    <r>
      <rPr>
        <rFont val="Arial"/>
        <color theme="1"/>
        <sz val="11.0"/>
      </rPr>
      <t>, WHITE 18G</t>
    </r>
  </si>
  <si>
    <t>EN#2134858, INV#PI21-60, PO#35940, OBL9/28
- HYUNDAI FORCE, (TA9), ONE</t>
  </si>
  <si>
    <t>WHSU2735840</t>
  </si>
  <si>
    <r>
      <rPr>
        <rFont val="Arial"/>
        <color theme="1"/>
        <sz val="11.0"/>
      </rPr>
      <t xml:space="preserve">OINTMENT 18G </t>
    </r>
    <r>
      <rPr>
        <rFont val="Arial"/>
        <color theme="1"/>
        <sz val="11.0"/>
      </rPr>
      <t>(RFID)</t>
    </r>
    <r>
      <rPr>
        <rFont val="Arial"/>
        <color theme="1"/>
        <sz val="11.0"/>
      </rPr>
      <t xml:space="preserve">, </t>
    </r>
    <r>
      <rPr>
        <rFont val="Arial"/>
        <color theme="1"/>
        <sz val="11.0"/>
      </rPr>
      <t>ULTRA 50G</t>
    </r>
    <r>
      <rPr>
        <rFont val="Arial"/>
        <color theme="1"/>
        <sz val="11.0"/>
      </rPr>
      <t xml:space="preserve">, </t>
    </r>
    <r>
      <rPr>
        <rFont val="Arial"/>
        <color theme="1"/>
        <sz val="11.0"/>
      </rPr>
      <t>WHITE 18G</t>
    </r>
    <r>
      <rPr>
        <rFont val="Arial"/>
        <color theme="1"/>
        <sz val="11.0"/>
      </rPr>
      <t>, RED 4G</t>
    </r>
  </si>
  <si>
    <t>10/26/21 (LA)
10/29/21 (SF)</t>
  </si>
  <si>
    <t>EN#2135331, INV#PI21-70, PO#35953, OBL 10/4 (by bank)
- JEJU ISLAND, (TA13)
- Arrange transfer (final destination SF)
- bank delay in receiving OBL, so will help send directly to forwarder
- pull 10/14 midnight, deliver 10/15
- 10/15, no outgate, rescheduling
- 10/19, no appointment, LFD 10/18, request extend LFD
- 10/20, new appointment 10/21, LFD extended to 10/21
- 10/21 no chassis, try pull 10/21 night and deliver 10/22
- LFD will not be extended due to lack of chassis at terminals and demurrage will be needed
- no chassis 10/21 night, will pull 10/22 night, and deliver 10/25. One day demurrage needed, and $170 drop &amp; storage fee for keep over weekend
- trucker not able to pull 10/22 night, next appointment 10/26, so no $170 drop &amp; storage fee, but additional demurrage needed</t>
  </si>
  <si>
    <t>48PLTS</t>
  </si>
  <si>
    <t>CBHU6425787
OOLU0918903</t>
  </si>
  <si>
    <r>
      <rPr>
        <rFont val="Arial"/>
        <color theme="1"/>
        <sz val="11.0"/>
      </rPr>
      <t>PATCH,</t>
    </r>
    <r>
      <rPr>
        <rFont val="Arial"/>
        <color theme="1"/>
        <sz val="11.0"/>
      </rPr>
      <t xml:space="preserve"> </t>
    </r>
    <r>
      <rPr>
        <rFont val="Arial"/>
        <color theme="1"/>
        <sz val="11.0"/>
      </rPr>
      <t xml:space="preserve">LINIMENT 57ML, </t>
    </r>
    <r>
      <rPr>
        <rFont val="Arial"/>
        <color theme="1"/>
        <sz val="11.0"/>
      </rPr>
      <t>KLO 57ML</t>
    </r>
  </si>
  <si>
    <t>10/11/21
10/13/21</t>
  </si>
  <si>
    <t>EN#2133963, INV#PI21-58, PI21-61 &amp; PI21-62, PO#35876, OBL9/2
- CMA CGM A. LINCOLN, (TA1)</t>
  </si>
  <si>
    <t>TLLU4610081</t>
  </si>
  <si>
    <r>
      <rPr>
        <rFont val="Arial"/>
        <color theme="1"/>
        <sz val="11.0"/>
      </rPr>
      <t>OINTMENT 10G</t>
    </r>
    <r>
      <rPr>
        <rFont val="Arial"/>
        <color theme="1"/>
        <sz val="11.0"/>
      </rPr>
      <t xml:space="preserve">, 18G (RFID), 50G, </t>
    </r>
    <r>
      <rPr>
        <rFont val="Arial"/>
        <color theme="1"/>
        <sz val="11.0"/>
      </rPr>
      <t>RED 18G</t>
    </r>
    <r>
      <rPr>
        <rFont val="Arial"/>
        <color theme="1"/>
        <sz val="11.0"/>
      </rPr>
      <t>, WHITE 18G, RED 4G, WHITE 4G</t>
    </r>
  </si>
  <si>
    <t>EN#2133666, INV#PI21-51, PO#35836, OBL8/31
- MADRID BRIDGE, (TB21)
- have additional $150 GCT Bayonne Surcharge</t>
  </si>
  <si>
    <t>63PLTS</t>
  </si>
  <si>
    <t>YMLU5718695
YMMU4070301</t>
  </si>
  <si>
    <r>
      <rPr>
        <rFont val="Arial"/>
        <color theme="1"/>
        <sz val="11.0"/>
      </rPr>
      <t xml:space="preserve">LINIMENT 57ML, </t>
    </r>
    <r>
      <rPr>
        <rFont val="Arial"/>
        <color theme="1"/>
        <sz val="11.0"/>
      </rPr>
      <t>PATCH</t>
    </r>
    <r>
      <rPr>
        <rFont val="Arial"/>
        <color theme="1"/>
        <sz val="11.0"/>
      </rPr>
      <t xml:space="preserve">, </t>
    </r>
    <r>
      <rPr>
        <rFont val="Arial"/>
        <color theme="1"/>
        <sz val="11.0"/>
      </rPr>
      <t>KLO 57ML</t>
    </r>
  </si>
  <si>
    <t>10/1/21
10/1/21</t>
  </si>
  <si>
    <t>EN#2134099, INV#PI21-52, PI21-54, PI21-61 &amp; PI21-62, PO#35873, OBL8/31, GATEFEE9/23
- ONE HAMBURG, (TA2)
- GW invoice revised (Invoice BLAIIN282638)</t>
  </si>
  <si>
    <t>DFSU3028089</t>
  </si>
  <si>
    <t>EN#2134355, INV#PI21-57, PO#35888, OBL9/14
- CAPE MAGNUS, (TA5)
- 9/21, E-Trans cannot handle, need alternative trucker (Kerry Apex)
- 9/27, Kerry Apex found alternative trucker, but charge too expensive ($445 vs $2650)
- 9/27, re-ask Etrans to deliver, even after LFD
- 9/28, Etrans confirm will deliver 9/29</t>
  </si>
  <si>
    <t>NYKU4189864</t>
  </si>
  <si>
    <r>
      <rPr>
        <rFont val="Arial"/>
        <color theme="1"/>
        <sz val="11.0"/>
      </rPr>
      <t>RED 18G</t>
    </r>
    <r>
      <rPr>
        <rFont val="Arial"/>
        <color theme="1"/>
        <sz val="11.0"/>
      </rPr>
      <t>,</t>
    </r>
    <r>
      <rPr>
        <rFont val="Arial"/>
        <color theme="1"/>
        <sz val="11.0"/>
      </rPr>
      <t xml:space="preserve"> OINTMENT 18G (RFID)</t>
    </r>
    <r>
      <rPr>
        <rFont val="Arial"/>
        <color theme="1"/>
        <sz val="11.0"/>
      </rPr>
      <t xml:space="preserve">, </t>
    </r>
    <r>
      <rPr>
        <rFont val="Arial"/>
        <color theme="1"/>
        <sz val="11.0"/>
      </rPr>
      <t>WHITE 18G</t>
    </r>
  </si>
  <si>
    <t>EN#2132880, INV#PI21-41, PO#35768, OBL8/4
- ONE HAWK, (TB13)
- have $150 Global Terminal surcharge</t>
  </si>
  <si>
    <t>CMAU8102338</t>
  </si>
  <si>
    <t>EN#2133476, INV#PI21-45, PO#35814, T/R
- TAIPEI TRIUMPH, (TB19)</t>
  </si>
  <si>
    <t>CRSU9301568</t>
  </si>
  <si>
    <r>
      <rPr>
        <rFont val="Arial"/>
        <color rgb="FF000000"/>
        <sz val="11.0"/>
      </rPr>
      <t>RED 18G</t>
    </r>
    <r>
      <rPr>
        <rFont val="Arial"/>
        <color rgb="FF000000"/>
        <sz val="11.0"/>
      </rPr>
      <t xml:space="preserve">, </t>
    </r>
    <r>
      <rPr>
        <rFont val="Arial"/>
        <color rgb="FF000000"/>
        <sz val="11.0"/>
      </rPr>
      <t>OINTMENT 18G</t>
    </r>
  </si>
  <si>
    <t>EN#2132702, INV#PI21-41, PO#35737, OBL7/27
- YM WITNESS, (TB11)</t>
  </si>
  <si>
    <t>29PLTS</t>
  </si>
  <si>
    <t>GAOU6574970</t>
  </si>
  <si>
    <r>
      <rPr>
        <rFont val="Arial"/>
        <color rgb="FF000000"/>
        <sz val="11.0"/>
      </rPr>
      <t>OINTMENT 10G</t>
    </r>
    <r>
      <rPr>
        <rFont val="Arial"/>
        <color rgb="FF000000"/>
        <sz val="11.0"/>
      </rPr>
      <t xml:space="preserve">, RED 4G, </t>
    </r>
    <r>
      <rPr>
        <rFont val="Arial"/>
        <color rgb="FF000000"/>
        <sz val="11.0"/>
      </rPr>
      <t>WHITE 4G</t>
    </r>
    <r>
      <rPr>
        <rFont val="Arial"/>
        <color rgb="FF000000"/>
        <sz val="11.0"/>
      </rPr>
      <t xml:space="preserve">, </t>
    </r>
    <r>
      <rPr>
        <rFont val="Arial"/>
        <color rgb="FF000000"/>
        <sz val="11.0"/>
      </rPr>
      <t>OINTMENT 50G</t>
    </r>
  </si>
  <si>
    <t>EN#2133067, INV#PI21-41, PO#35799, OBL8/11
- YM WITNESS, (TB15)
- have $150 GCT Bayonne surcharge</t>
  </si>
  <si>
    <t>MOAU6755358</t>
  </si>
  <si>
    <r>
      <rPr>
        <rFont val="Arial"/>
        <color theme="1"/>
        <sz val="11.0"/>
      </rPr>
      <t>OINTMENT 10G</t>
    </r>
    <r>
      <rPr>
        <rFont val="Arial"/>
        <color theme="1"/>
        <sz val="11.0"/>
      </rPr>
      <t xml:space="preserve">, 18G (RFID), RED 18G, </t>
    </r>
    <r>
      <rPr>
        <rFont val="Arial"/>
        <color theme="1"/>
        <sz val="11.0"/>
      </rPr>
      <t>WHITE 18G</t>
    </r>
  </si>
  <si>
    <t>9/20/21 (LA)
9/27/21 (SF)</t>
  </si>
  <si>
    <t>EN#2133839, INV#PI21-51, PO#35850, OBL8/31
- CONTI CRYSTAL, (TB22)
- Arrange transfer (final destination SF)
- pull 9/15, re-scheduled 9/16
- Pull 9/17, re-Scheduled 9/20, storage charge of $170
- deliver to LA 9/20, transfer to SF 9/27 (T#5293)</t>
  </si>
  <si>
    <t>APZU4763801</t>
  </si>
  <si>
    <t>EN#2133066, INV#PI21-45, PO#35764, T/R
- EVER FRANK, (TB16)</t>
  </si>
  <si>
    <t>OOLU7781474</t>
  </si>
  <si>
    <t>KLO 57ML, PATCH, LINIMENT 57ML, KLO 28ML</t>
  </si>
  <si>
    <t>EN#2133324, INV#PI21-43, PI21-44, PI21-52 &amp; PI21-53, PO#35808, OBL8/13
- EDISON, (TB18)
- no early appointment, pull 9/13 midnight, deliver 9/14
- no chassis, pull 9/14, deliver 9/15
- no chassis, pull 9/15, deliver 9/16</t>
  </si>
  <si>
    <t>CSNU7928531
OOCU8378111</t>
  </si>
  <si>
    <t>PATCH, PATCH 1'S, LINIMENT 57ML, KLO 28ML</t>
  </si>
  <si>
    <t>EN#2133126, INV#PI21-44, PI21-52 &amp; PI21-53, PO#35793, OBL8/6
- COSCO MALAYSIA, (TB14)
- Rescheduled 9/2 to 9/7 due to Hurricane Ida</t>
  </si>
  <si>
    <t>6PLTS
(LCL)</t>
  </si>
  <si>
    <t>KOCU9000179</t>
  </si>
  <si>
    <t>MUSCLE GEL 60G</t>
  </si>
  <si>
    <t>EN#2133283, INV#PI21-48, PO#35773, OBL8/6
- YM WARMTH, (TB17)</t>
  </si>
  <si>
    <t>DFSU7428566</t>
  </si>
  <si>
    <r>
      <rPr>
        <rFont val="Arial"/>
        <color theme="1"/>
        <sz val="11.0"/>
      </rPr>
      <t>OINTMENT 10G</t>
    </r>
    <r>
      <rPr>
        <rFont val="Arial"/>
        <color theme="1"/>
        <sz val="11.0"/>
      </rPr>
      <t xml:space="preserve">, 18G, </t>
    </r>
    <r>
      <rPr>
        <rFont val="Arial"/>
        <color theme="1"/>
        <sz val="11.0"/>
      </rPr>
      <t>ULTRA 50G</t>
    </r>
    <r>
      <rPr>
        <rFont val="Arial"/>
        <color theme="1"/>
        <sz val="11.0"/>
      </rPr>
      <t>, WHITE 18G</t>
    </r>
  </si>
  <si>
    <t>EN#2133565, INV#PI21-51, PO#35825, OBL8/24
- YM MILESTONE, (TB20)</t>
  </si>
  <si>
    <t>HMMU9039030</t>
  </si>
  <si>
    <t>EN#2132878, INV#PI21-29, PO#35738, OBL7/27
- CONTI ANNAPURNA, (TB12)</t>
  </si>
  <si>
    <t>10PLTS</t>
  </si>
  <si>
    <t>BMOU1543452</t>
  </si>
  <si>
    <t>OINTMENT 10G, 18G (RFID), ULTRA 50G, WHITE 18G, WHITE 4G</t>
  </si>
  <si>
    <t>EN#2132540, INV#PI21-41, PO#35736, OBL7/27, GATEFEE8/11
- HYUNDAI FORCE, (TB10)
- deliver 8/30, no appt for return 8/30 until 9/1</t>
  </si>
  <si>
    <t>26PLTS</t>
  </si>
  <si>
    <t>KOCU4461882</t>
  </si>
  <si>
    <t>PATCH</t>
  </si>
  <si>
    <t>EN#2131133, INV#PI21-31, PO#35609, OBL6/9, GATEFEE6/29
- ONE COMMITMENT, (TA18)</t>
  </si>
  <si>
    <t>HMMU9061590</t>
  </si>
  <si>
    <t>EN#2132348, INV#PI21-37,  PO#35698, OBL7/9
- HYUNDAI HONGKONG, (TB8)</t>
  </si>
  <si>
    <t>BEAU2373551</t>
  </si>
  <si>
    <t>PATCH, PATCH 1'S, KLO 28ML</t>
  </si>
  <si>
    <t>EN#2131922, INV#PI21-35 &amp; PI21-43, PO#35686, OBL7/7, GATEFEE7/15
- ONE HONG KONG, (TB6)
- pick up 8/5 but the empty return appt is on 8/9</t>
  </si>
  <si>
    <t>45PLTS</t>
  </si>
  <si>
    <t>OOLU7534129
FCIU5040120</t>
  </si>
  <si>
    <t>7/29/21
8/3/21</t>
  </si>
  <si>
    <t>EN#2131881, INV#PI21-35, PI21-42 &amp; PI21-43, PO#35681, OBL7/7
- CMA CGM J. MADISON, (TB5)
- detention fee applied (35681a)</t>
  </si>
  <si>
    <t>133PLTS</t>
  </si>
  <si>
    <t>CCLU7443229
TCNU2276210
CBHU8988100
BMOU5516795</t>
  </si>
  <si>
    <r>
      <rPr>
        <rFont val="Arial"/>
        <color theme="1"/>
        <sz val="11.0"/>
      </rPr>
      <t xml:space="preserve">PATCH, </t>
    </r>
    <r>
      <rPr>
        <rFont val="Arial"/>
        <color theme="1"/>
        <sz val="11.0"/>
      </rPr>
      <t>PATCH 1'S</t>
    </r>
    <r>
      <rPr>
        <rFont val="Arial"/>
        <color theme="1"/>
        <sz val="11.0"/>
      </rPr>
      <t>, LINIMENT 57ML, KLO 28ML</t>
    </r>
  </si>
  <si>
    <t>7/29/21
7/29/21
7/28/21
7/27/21</t>
  </si>
  <si>
    <t>EN#2132141, INV#PI21-35, PI21-42 &amp; PI21-43, PO#35742, OBL7/7
- OOCL BANGKOK, (TB7)</t>
  </si>
  <si>
    <t>TEMU8826972</t>
  </si>
  <si>
    <r>
      <rPr>
        <rFont val="Arial"/>
        <color theme="1"/>
        <sz val="11.0"/>
      </rPr>
      <t>OINTMENT 10G</t>
    </r>
    <r>
      <rPr>
        <rFont val="Arial"/>
        <color theme="1"/>
        <sz val="11.0"/>
      </rPr>
      <t>, 18G, 50G, WHITE 18G</t>
    </r>
  </si>
  <si>
    <t>EN#2132539, INV#PI21-41, PO#35735, OBL 7/16
- HYUNDAI FORCE, (TB9)
- OBL arrived bank 7/16, bank sent to forwarder 7/16 and received 7/19</t>
  </si>
  <si>
    <t>NYKU5198710</t>
  </si>
  <si>
    <r>
      <rPr>
        <rFont val="Arial"/>
        <color theme="1"/>
        <sz val="11.0"/>
      </rPr>
      <t>OINTMENT 10G</t>
    </r>
    <r>
      <rPr>
        <rFont val="Arial"/>
        <color theme="1"/>
        <sz val="11.0"/>
      </rPr>
      <t>, RED 18G, OINTMENT 18G</t>
    </r>
  </si>
  <si>
    <t>EN#2131492, INV#PI21-32, PO#35646, OBL6/24
- MONACO BRIDGE, (TB2)
- additional $150 GCT Bayonne surcharge
- empty return 7/28</t>
  </si>
  <si>
    <t>CAIU9974780</t>
  </si>
  <si>
    <t>EN#2131857, INV#PI21-36, PO#35673, T/R, GATEFEE6/28
- CONTI CRYSTAL, (TB4)
- pier waiting was from 9:02-11:47am additional 1hr. $60.00</t>
  </si>
  <si>
    <t>CMAU8054570</t>
  </si>
  <si>
    <t>EN#2131693, INV#PI21-27, PO#35654, T/R
- EVER FOREVER, (TB3)</t>
  </si>
  <si>
    <t>HDMU4737301</t>
  </si>
  <si>
    <r>
      <rPr>
        <rFont val="Arial"/>
        <color theme="1"/>
        <sz val="11.0"/>
      </rPr>
      <t>PATCH 1'S</t>
    </r>
    <r>
      <rPr>
        <rFont val="Arial"/>
        <color theme="1"/>
        <sz val="11.0"/>
      </rPr>
      <t>, PATCH, LINIMENT 57ML</t>
    </r>
  </si>
  <si>
    <t>EN#2130835, INV#PI21-26 &amp; PI21-33, PO#35558, OBL6/1, GATEFEE6/28
- YM UPSURGENCE, (TA14)</t>
  </si>
  <si>
    <t>GAOU6565900</t>
  </si>
  <si>
    <r>
      <rPr>
        <rFont val="Arial"/>
        <color theme="1"/>
        <sz val="11.0"/>
      </rPr>
      <t>OINTMENT 10G,</t>
    </r>
    <r>
      <rPr>
        <rFont val="Arial"/>
        <color theme="1"/>
        <sz val="11.0"/>
      </rPr>
      <t xml:space="preserve"> RED 18G, OINTMENT 18G (RFID), RED 4G, WHITE 4G, </t>
    </r>
    <r>
      <rPr>
        <rFont val="Arial"/>
        <color theme="1"/>
        <sz val="11.0"/>
      </rPr>
      <t>OINTMENT 50G</t>
    </r>
    <r>
      <rPr>
        <rFont val="Arial"/>
        <color theme="1"/>
        <sz val="11.0"/>
      </rPr>
      <t xml:space="preserve">, </t>
    </r>
    <r>
      <rPr>
        <rFont val="Arial"/>
        <color theme="1"/>
        <sz val="11.0"/>
      </rPr>
      <t>WHITE 18G</t>
    </r>
  </si>
  <si>
    <t>EN#2131237, INV#PI21-32, PO#35620, OBL6/11
- MEISHAN BRIDGE, (TA22)
- have additional $150 GCT Bayonne surcharge</t>
  </si>
  <si>
    <t>36PLTS</t>
  </si>
  <si>
    <t>GCXU5214121
TLLU5526550</t>
  </si>
  <si>
    <t>RED 18G, OINTMENT 18G (RFID)</t>
  </si>
  <si>
    <t>7/9/21
7/9/21</t>
  </si>
  <si>
    <t>EN#2131023, INV#PI21-30, PO#35590, OBL6/9, empty return 7/10, 7/12
- YM WIND, (TA17)
- have $150/container GCT Bayonne surcharge
- TLLU5526550 returned to Non-Original Terminal, extra $100 charge to cover the heavy tolls to Staten Island</t>
  </si>
  <si>
    <t>KOCU9028622</t>
  </si>
  <si>
    <t>EN#2131490, INV#PI21-28, PO#35630, OBL6/11
- ONE HANGZHOU BAY, (TB1)</t>
  </si>
  <si>
    <t>71PLTS</t>
  </si>
  <si>
    <t>OOLU8974272
CSNU7413881</t>
  </si>
  <si>
    <t>7/6/21 
7/6/21</t>
  </si>
  <si>
    <t>EN#2131185, INV#PI21-31, PO#35619, OBL6/11
- CMA CGM BRAZIL, (TA20)
- both containers have additional $150/container APM Terminal Surcharge</t>
  </si>
  <si>
    <t>SEGU4534282</t>
  </si>
  <si>
    <r>
      <rPr>
        <rFont val="Arial"/>
        <color theme="1"/>
        <sz val="11.0"/>
      </rPr>
      <t>OINTMENT 10G</t>
    </r>
    <r>
      <rPr>
        <rFont val="Arial"/>
        <color theme="1"/>
        <sz val="11.0"/>
      </rPr>
      <t>, RED 18G, OINTMENT 18G, RED 4G, WHITE 4G, OINTMENT 50G</t>
    </r>
  </si>
  <si>
    <t>EN#2131150, INV#, PO#35618, OBL6/11, GATEFEE6/18, empty return 7/20
- YM MILESTONE, (TA21)
- pick up from TRAPAC terminal and the empty will return to SSA terminal, congestion in terminal 7/16, so will be be returned on 7/19
- Driver has problem for return this empty 7/19, pull out driver and put the container to the rental yard, additional charge applied
- additional charge: Return to Terminal from yard - $ 75 + 29%  plus, Ampco yard parking , 7/19 and 7/20 – 2 x 35</t>
  </si>
  <si>
    <t>24PLTS</t>
  </si>
  <si>
    <t>OOLU4341785</t>
  </si>
  <si>
    <t>EN#2130891, INV#PI21-31, PO#35571, OBL6/1
- APL DUBLIN, (TA15)
- LFD 6/24, pull tonight (6/24) and deliver tomorrow (6/25)</t>
  </si>
  <si>
    <t>FCIU5505593</t>
  </si>
  <si>
    <r>
      <rPr>
        <rFont val="Arial"/>
        <color theme="1"/>
        <sz val="11.0"/>
      </rPr>
      <t xml:space="preserve">WHITE 18G, ULTRA 18G </t>
    </r>
    <r>
      <rPr>
        <rFont val="Arial"/>
        <color theme="1"/>
        <sz val="11.0"/>
      </rPr>
      <t>(RFID)</t>
    </r>
    <r>
      <rPr>
        <rFont val="Arial"/>
        <color theme="1"/>
        <sz val="11.0"/>
      </rPr>
      <t>, ULTRA 50G</t>
    </r>
  </si>
  <si>
    <t>EN#2130457, INV#PI21-23, PO#35527, OBL5/25, GATEFEE 6/4
- YM UNIFORM, (TA11)</t>
  </si>
  <si>
    <t>TGBU9718680</t>
  </si>
  <si>
    <r>
      <rPr>
        <rFont val="Arial"/>
        <color theme="1"/>
        <sz val="11.0"/>
      </rPr>
      <t xml:space="preserve">OINTMENT 10G, RED 18G, OINTMENT 18G, </t>
    </r>
    <r>
      <rPr>
        <rFont val="Arial"/>
        <color theme="1"/>
        <sz val="11.0"/>
      </rPr>
      <t>OINTMENT 50G</t>
    </r>
  </si>
  <si>
    <t>EN#2131184, INV#PI21-32, PO#35617, OBL6/11
- YM MILESTONE, (TA19)
- no chassis, pull 6/17 midnight &amp; deliver 6/18
- Not able to get outgated 6/17, so demurrage needed, rescheduling</t>
  </si>
  <si>
    <t>78PLTS</t>
  </si>
  <si>
    <t>HLXU8565812
HLBU1669058
HLBU1312815</t>
  </si>
  <si>
    <t>6/18/21
6/18/21
6/17/21</t>
  </si>
  <si>
    <t>EN#2130892, INV#PI21-26 &amp; PI21-33, PO#35568, OBL6/1
- YM WITNESS, (TA16)
- containers will have $150/container GCT Bayonne surcharge</t>
  </si>
  <si>
    <t>KOCU4249071</t>
  </si>
  <si>
    <t>EN#2130231, INV#PI21-20, PO#35495, T/R, GATEFEE5/24
- HYUNDAI FORCE, (TA6)
- pier waiting was from 7:57-11:30am additional 1hr</t>
  </si>
  <si>
    <t>DFSU4229257</t>
  </si>
  <si>
    <r>
      <rPr>
        <rFont val="Arial"/>
        <color theme="1"/>
        <sz val="11.0"/>
      </rPr>
      <t xml:space="preserve">PATCH, </t>
    </r>
    <r>
      <rPr>
        <rFont val="Arial"/>
        <color theme="1"/>
        <sz val="11.0"/>
      </rPr>
      <t>PATCH 1'S</t>
    </r>
    <r>
      <rPr>
        <rFont val="Arial"/>
        <color theme="1"/>
        <sz val="11.0"/>
      </rPr>
      <t xml:space="preserve">, </t>
    </r>
    <r>
      <rPr>
        <rFont val="Arial"/>
        <color theme="1"/>
        <sz val="11.0"/>
      </rPr>
      <t>LINIMENT 57ML</t>
    </r>
    <r>
      <rPr>
        <rFont val="Arial"/>
        <color theme="1"/>
        <sz val="11.0"/>
      </rPr>
      <t>, KLO 28ML</t>
    </r>
  </si>
  <si>
    <t>EN#2129917, INV# PI21-19, PI21-24 &amp; PI21-25, PO#35427, OBL4/27, GATEFEE6/1
- ONE CRANE, (TA2)</t>
  </si>
  <si>
    <t>47PLTS</t>
  </si>
  <si>
    <t>CCLU5256949
OOLU1459917</t>
  </si>
  <si>
    <r>
      <rPr>
        <rFont val="Arial"/>
        <color theme="1"/>
        <sz val="11.0"/>
      </rPr>
      <t xml:space="preserve">PATCH, PATCH 1'S, </t>
    </r>
    <r>
      <rPr>
        <rFont val="Arial"/>
        <color theme="1"/>
        <sz val="11.0"/>
      </rPr>
      <t>LINIMENT 57ML</t>
    </r>
    <r>
      <rPr>
        <rFont val="Arial"/>
        <color theme="1"/>
        <sz val="11.0"/>
      </rPr>
      <t>, KLO 57ML</t>
    </r>
  </si>
  <si>
    <t>6/17/21
6/21/21</t>
  </si>
  <si>
    <t>EN#2130627, INV#PI21-26, PI21-33 &amp; PI21-34, PO#35542, OBL5/25
- CMA CGM THALASSA, (TA12)
- OOLU1459917 – 6/16 is LFD but earliest appt is 6/17 afternoon, will pull 6/17 and deliver on 6/18, have one day demurrage
- OOLU1459917 - pull 6/18, deliver 6/21, will have drop and storage charges, have another one day demurrage
- CCLU5256949 doesn't have demurrage (LFD 6/17, delivered 6/17)
- Invoice 2130627-A &amp; 2130627-B both are demurrage for OOLU1459917</t>
  </si>
  <si>
    <t>37PLTS</t>
  </si>
  <si>
    <t>TCLU9531773
TCNU1993242</t>
  </si>
  <si>
    <r>
      <rPr>
        <rFont val="Arial"/>
        <color rgb="FF000000"/>
        <sz val="11.0"/>
      </rPr>
      <t>ULTRA 10G</t>
    </r>
    <r>
      <rPr>
        <rFont val="Arial"/>
        <color rgb="FF000000"/>
        <sz val="11.0"/>
      </rPr>
      <t xml:space="preserve">, 18G </t>
    </r>
    <r>
      <rPr>
        <rFont val="Arial"/>
        <color rgb="FF000000"/>
        <sz val="11.0"/>
      </rPr>
      <t>(RFID)</t>
    </r>
    <r>
      <rPr>
        <rFont val="Arial"/>
        <color rgb="FF000000"/>
        <sz val="11.0"/>
      </rPr>
      <t>, RED 18G</t>
    </r>
  </si>
  <si>
    <r>
      <rPr>
        <rFont val="Arial"/>
        <color rgb="FF000000"/>
        <sz val="11.0"/>
      </rPr>
      <t xml:space="preserve">6/2/21
</t>
    </r>
    <r>
      <rPr>
        <rFont val="Arial"/>
        <color rgb="FF000000"/>
        <sz val="11.0"/>
      </rPr>
      <t>6/7/21</t>
    </r>
  </si>
  <si>
    <r>
      <rPr>
        <rFont val="Arial"/>
        <color rgb="FF000000"/>
        <sz val="11.0"/>
      </rPr>
      <t>EN#2129459, INV#PI21-16, PO#35405, OBL4/23
- ONE MINATO, (</t>
    </r>
    <r>
      <rPr>
        <rFont val="Arial"/>
        <color rgb="FF000000"/>
        <sz val="11.0"/>
      </rPr>
      <t>TB21)</t>
    </r>
    <r>
      <rPr>
        <rFont val="Arial"/>
        <color rgb="FF000000"/>
        <sz val="11.0"/>
      </rPr>
      <t xml:space="preserve">
- additional $150/contr GCT Bayonne Surcharge</t>
    </r>
  </si>
  <si>
    <t xml:space="preserve">TLLU1162403 </t>
  </si>
  <si>
    <t>EN#2130296, INV#PI21-21, PO#35488, OBL5/12
- ONE MINATO, (TA9)</t>
  </si>
  <si>
    <t>XINU8148090</t>
  </si>
  <si>
    <t>N</t>
  </si>
  <si>
    <t>EN#2130232, INV#PI21-23, PO#35486, OBL5/18, GATEFEE5/24
- YM UNANIMITY, (TA8)</t>
  </si>
  <si>
    <t>TCLU9699345</t>
  </si>
  <si>
    <r>
      <rPr>
        <rFont val="Arial"/>
        <color theme="1"/>
        <sz val="11.0"/>
      </rPr>
      <t>ULTRA 10G</t>
    </r>
    <r>
      <rPr>
        <rFont val="Arial"/>
        <color theme="1"/>
        <sz val="11.0"/>
      </rPr>
      <t>,</t>
    </r>
    <r>
      <rPr>
        <rFont val="Arial"/>
        <color theme="1"/>
        <sz val="11.0"/>
      </rPr>
      <t xml:space="preserve"> RED 18G, WHITE 18G, ULTRA 50G</t>
    </r>
  </si>
  <si>
    <t>EN#2130233, INV#PI21-23, PO#35526, OBL5/26
- HYUNDAI FORCE, (TA7)</t>
  </si>
  <si>
    <t>TCLU8844496</t>
  </si>
  <si>
    <t>ULTRA-STRENGTH OINTMENT 18G</t>
  </si>
  <si>
    <t>EN#2130456, INV#PI21-30, PO#35528, OBL5/19
- OBL been returned 6/15, reason - Customer not available or business closed
- YM UNIFORM, (TA10)</t>
  </si>
  <si>
    <t>KOCU9000287</t>
  </si>
  <si>
    <r>
      <rPr>
        <rFont val="Arial"/>
        <color rgb="FF000000"/>
        <sz val="11.0"/>
      </rPr>
      <t>EN#2129779, INV#PI21-15, PO#35487,</t>
    </r>
    <r>
      <rPr>
        <rFont val="Arial"/>
        <color rgb="FF000000"/>
        <sz val="11.0"/>
      </rPr>
      <t xml:space="preserve"> </t>
    </r>
    <r>
      <rPr>
        <rFont val="Arial"/>
        <color rgb="FF000000"/>
        <sz val="11.0"/>
      </rPr>
      <t>OBL4/20,</t>
    </r>
    <r>
      <rPr>
        <rFont val="Arial"/>
        <color rgb="FF000000"/>
        <sz val="11.0"/>
      </rPr>
      <t xml:space="preserve"> NO GATEFEE (LCL)
</t>
    </r>
    <r>
      <rPr>
        <rFont val="Arial"/>
        <color rgb="FF000000"/>
        <sz val="11.0"/>
      </rPr>
      <t>- NYK ORION, (</t>
    </r>
    <r>
      <rPr>
        <rFont val="Arial"/>
        <color rgb="FF000000"/>
        <sz val="11.0"/>
      </rPr>
      <t>TA1)</t>
    </r>
  </si>
  <si>
    <t>103PLTS</t>
  </si>
  <si>
    <t>TRLU7262083
FSCU7197971
BMOU6446033</t>
  </si>
  <si>
    <r>
      <rPr>
        <rFont val="Arial"/>
        <color theme="1"/>
        <sz val="11.0"/>
      </rPr>
      <t xml:space="preserve">PATCH， </t>
    </r>
    <r>
      <rPr>
        <rFont val="Arial"/>
        <color theme="1"/>
        <sz val="11.0"/>
      </rPr>
      <t>PATCH 1'S</t>
    </r>
    <r>
      <rPr>
        <rFont val="Arial"/>
        <color theme="1"/>
        <sz val="11.0"/>
      </rPr>
      <t>， LINIMENT 57ML</t>
    </r>
  </si>
  <si>
    <t>5/27/21
5/26/21
6/1/21</t>
  </si>
  <si>
    <t>EN#2130091, INV#PI21-19 &amp; PI21-24, PO#35492, OBL5/12
- CMA CGM CHILE, (TA5)
- additional $150/contr APM surcharge</t>
  </si>
  <si>
    <t>OOLU9026282</t>
  </si>
  <si>
    <t>ULTRA-STRENGTH OINTMENT 10G</t>
  </si>
  <si>
    <t>EN#2130086, INV#PI21-23, PO#35475, OBL5/12
- COSCO SHIPPING PEONY, (TA4)</t>
  </si>
  <si>
    <t>58PLTS</t>
  </si>
  <si>
    <t>CSNU5001205
OOLU7830096</t>
  </si>
  <si>
    <r>
      <rPr>
        <rFont val="Arial"/>
        <color theme="1"/>
        <sz val="11.0"/>
      </rPr>
      <t xml:space="preserve">PATCH, </t>
    </r>
    <r>
      <rPr>
        <rFont val="Arial"/>
        <color theme="1"/>
        <sz val="11.0"/>
      </rPr>
      <t>PATCH 1'S</t>
    </r>
    <r>
      <rPr>
        <rFont val="Arial"/>
        <color theme="1"/>
        <sz val="11.0"/>
      </rPr>
      <t>,</t>
    </r>
    <r>
      <rPr>
        <rFont val="Arial"/>
        <color theme="1"/>
        <sz val="11.0"/>
      </rPr>
      <t xml:space="preserve"> LINIMENT 57ML</t>
    </r>
    <r>
      <rPr>
        <rFont val="Arial"/>
        <color theme="1"/>
        <sz val="11.0"/>
      </rPr>
      <t xml:space="preserve">, </t>
    </r>
    <r>
      <rPr>
        <rFont val="Arial"/>
        <color theme="1"/>
        <sz val="11.0"/>
      </rPr>
      <t>KLO 57ML</t>
    </r>
    <r>
      <rPr>
        <rFont val="Arial"/>
        <color theme="1"/>
        <sz val="11.0"/>
      </rPr>
      <t>, KLO 28ML</t>
    </r>
  </si>
  <si>
    <t>6/1/21
5/27/21</t>
  </si>
  <si>
    <t>EN#2129989, INV#PI21-19, PI21-24 &amp; PI21-25, PO#35443, OBL5/3
- CMA CGM LYRA, (TA3)</t>
  </si>
  <si>
    <t>CAIU6487520</t>
  </si>
  <si>
    <t>NECK &amp; SHOULDER RUB 50G</t>
  </si>
  <si>
    <t>EN#2129148, INV#PI21-09, PO#35358, OBL4/8, GATEFEE5/5
- ONE IBIS, (TB16)</t>
  </si>
  <si>
    <t>23 PLTS</t>
  </si>
  <si>
    <t>AIR (JFK)</t>
  </si>
  <si>
    <t>PATCH 1's</t>
  </si>
  <si>
    <r>
      <rPr>
        <rFont val="Arial"/>
        <color rgb="FF000000"/>
        <sz val="11.0"/>
      </rPr>
      <t>INV#PI21-26, PO#35537, T/R</t>
    </r>
    <r>
      <rPr>
        <rFont val="Arial"/>
        <color rgb="FFFF0000"/>
        <sz val="11.0"/>
      </rPr>
      <t xml:space="preserve">
</t>
    </r>
    <r>
      <rPr>
        <rFont val="Arial"/>
        <color rgb="FF000000"/>
        <sz val="11.0"/>
      </rPr>
      <t>- (TA13)</t>
    </r>
  </si>
  <si>
    <t>43PLTS</t>
  </si>
  <si>
    <t>HDMU4767287
TLLU2594850</t>
  </si>
  <si>
    <r>
      <rPr>
        <rFont val="Arial"/>
        <color theme="1"/>
        <sz val="11.0"/>
      </rPr>
      <t>PATCH,</t>
    </r>
    <r>
      <rPr>
        <rFont val="Arial"/>
        <color theme="1"/>
        <sz val="11.0"/>
      </rPr>
      <t xml:space="preserve"> KLO 57ML</t>
    </r>
  </si>
  <si>
    <t>5/26/21
5/18/21</t>
  </si>
  <si>
    <t>EN#2129396, INV#PI21-13 &amp; PI21-18, PO#35372, OBL4/16, GATEFEE5/5
- HYUNDAI BANGKOK, (TB20)</t>
  </si>
  <si>
    <t>27PLTS</t>
  </si>
  <si>
    <t>TCNU5853059
TRHU1693974</t>
  </si>
  <si>
    <r>
      <rPr>
        <rFont val="Arial"/>
        <color theme="1"/>
        <sz val="11.0"/>
      </rPr>
      <t xml:space="preserve">WHITE 18G, </t>
    </r>
    <r>
      <rPr>
        <rFont val="Arial"/>
        <color theme="1"/>
        <sz val="11.0"/>
      </rPr>
      <t>RED 18G</t>
    </r>
    <r>
      <rPr>
        <rFont val="Arial"/>
        <color theme="1"/>
        <sz val="11.0"/>
      </rPr>
      <t xml:space="preserve">, </t>
    </r>
    <r>
      <rPr>
        <rFont val="Arial"/>
        <color theme="1"/>
        <sz val="11.0"/>
      </rPr>
      <t>ULTRA 18G</t>
    </r>
    <r>
      <rPr>
        <rFont val="Arial"/>
        <color theme="1"/>
        <sz val="11.0"/>
      </rPr>
      <t xml:space="preserve"> (RFID), </t>
    </r>
    <r>
      <rPr>
        <rFont val="Arial"/>
        <color theme="1"/>
        <sz val="11.0"/>
      </rPr>
      <t>ULTRA 50G</t>
    </r>
  </si>
  <si>
    <t>5/27/21
5/20/21</t>
  </si>
  <si>
    <t>EN#2129740, INV#PI21-16, PO#35442, OBL4/27, GATEFEE5/4
- YM UNICORN, (TB22)</t>
  </si>
  <si>
    <t>OOCU4930222</t>
  </si>
  <si>
    <t>EN#2129282, INV#PI21-14, PO#35350, T/R
- EVER FOCUS, (TB18)</t>
  </si>
  <si>
    <t>TCLU8613856
APZU3375519</t>
  </si>
  <si>
    <r>
      <rPr>
        <rFont val="Arial"/>
        <color theme="1"/>
        <sz val="11.0"/>
      </rPr>
      <t xml:space="preserve">PATCH, </t>
    </r>
    <r>
      <rPr>
        <rFont val="Arial"/>
        <color theme="1"/>
        <sz val="11.0"/>
      </rPr>
      <t>PATCH 1's</t>
    </r>
    <r>
      <rPr>
        <rFont val="Arial"/>
        <color theme="1"/>
        <sz val="11.0"/>
      </rPr>
      <t>, LINIMENT 57ML, KLO 57ML</t>
    </r>
  </si>
  <si>
    <t>EN#2128968, INV#PI21-13, PI21-17 &amp; PI21-18, PO#35356, OBL4/8
- CMA CGM MEXICO, (TB19)
- will have $150/container APM terminal surcharge</t>
  </si>
  <si>
    <t>OOLU0489136</t>
  </si>
  <si>
    <r>
      <rPr>
        <rFont val="Arial"/>
        <color theme="1"/>
        <sz val="11.0"/>
      </rPr>
      <t xml:space="preserve">PATCH, </t>
    </r>
    <r>
      <rPr>
        <rFont val="Arial"/>
        <color theme="1"/>
        <sz val="11.0"/>
      </rPr>
      <t xml:space="preserve">PATCH 1's, </t>
    </r>
    <r>
      <rPr>
        <rFont val="Arial"/>
        <color theme="1"/>
        <sz val="11.0"/>
      </rPr>
      <t>LINIMENT 57ML</t>
    </r>
    <r>
      <rPr>
        <rFont val="Arial"/>
        <color theme="1"/>
        <sz val="11.0"/>
      </rPr>
      <t>, KLO 28ML</t>
    </r>
  </si>
  <si>
    <t xml:space="preserve">EN#2129080, INV#PI21-13, PI21-17 &amp; PI21-18, PO#35357, OBL4/8
- CMA CGM BRAZIL, (TB15)
- Due to congestion at the terminal, the container needs to be rescheduled to pick up tonight (5/4) and deliver tomorrow (5/5)
- LFD is 5/4 @ 3:59am, pickup tonight (5/4), so 1 day demurrage ($165) applied
 </t>
  </si>
  <si>
    <t>MOTU0663477
MOTU0717613</t>
  </si>
  <si>
    <r>
      <rPr>
        <rFont val="Arial"/>
        <color theme="1"/>
        <sz val="11.0"/>
      </rPr>
      <t>Ultra-strength Ointment 10g</t>
    </r>
    <r>
      <rPr>
        <rFont val="Arial"/>
        <color theme="1"/>
        <sz val="11.0"/>
      </rPr>
      <t xml:space="preserve">, 18g </t>
    </r>
    <r>
      <rPr>
        <rFont val="Arial"/>
        <color theme="1"/>
        <sz val="11.0"/>
      </rPr>
      <t>(RFID)</t>
    </r>
    <r>
      <rPr>
        <rFont val="Arial"/>
        <color theme="1"/>
        <sz val="11.0"/>
      </rPr>
      <t xml:space="preserve">, 50g, Red 18g, </t>
    </r>
  </si>
  <si>
    <t>4/28/21
4/29/21</t>
  </si>
  <si>
    <t>EN#2128434, INV#PI21-10, PO#35299, OBL3/23
- YM WELLHEAD,  (TB10)
- calling Global Terminal and will have additional $150/container terminal surcharge</t>
  </si>
  <si>
    <t>KKFU7582051</t>
  </si>
  <si>
    <r>
      <rPr>
        <rFont val="Arial"/>
        <color theme="1"/>
        <sz val="11.0"/>
      </rPr>
      <t xml:space="preserve">ULTRA 18G, RED 18G, </t>
    </r>
    <r>
      <rPr>
        <rFont val="Arial"/>
        <color theme="1"/>
        <sz val="11.0"/>
      </rPr>
      <t>WHITE 18G</t>
    </r>
    <r>
      <rPr>
        <rFont val="Arial"/>
        <color theme="1"/>
        <sz val="11.0"/>
      </rPr>
      <t>, ULTRA 50G</t>
    </r>
  </si>
  <si>
    <t>EN#2129235, INV#PI21-16, PO#35379, OBL4/8
- pull 4/20 and deliver 4/21</t>
  </si>
  <si>
    <t>DRYU4206498</t>
  </si>
  <si>
    <r>
      <rPr>
        <rFont val="Arial"/>
        <color theme="1"/>
        <sz val="11.0"/>
      </rPr>
      <t>PATCH</t>
    </r>
    <r>
      <rPr>
        <rFont val="Arial"/>
        <color theme="1"/>
        <sz val="11.0"/>
      </rPr>
      <t xml:space="preserve">,  </t>
    </r>
    <r>
      <rPr>
        <rFont val="Arial"/>
        <color theme="1"/>
        <sz val="11.0"/>
      </rPr>
      <t>LINIMENT 57ML</t>
    </r>
  </si>
  <si>
    <t>EN#2127932 , INV#PI21-06 &amp; PI21-11; PO#35235, OBL2/23, GATEFEE4/1
- ONE BLUE JAY, (TB6)</t>
  </si>
  <si>
    <t>12PTLS</t>
  </si>
  <si>
    <t>OOLU7850929</t>
  </si>
  <si>
    <t>EN#2128557, INV#PI21-07, PO#35309, T/R</t>
  </si>
  <si>
    <t>TCKU1479429</t>
  </si>
  <si>
    <t>EN#2128813, INV#PI21-08, PO#35316, OBL3/26
- have $150 PNCT Surcharge</t>
  </si>
  <si>
    <t>NYKU4346979</t>
  </si>
  <si>
    <r>
      <rPr>
        <rFont val="Arial"/>
        <color rgb="FF000000"/>
        <sz val="11.0"/>
      </rPr>
      <t>Red 18g</t>
    </r>
    <r>
      <rPr>
        <rFont val="Arial"/>
        <color rgb="FF000000"/>
        <sz val="11.0"/>
      </rPr>
      <t xml:space="preserve">, Ultra-Strength Ointment 18g </t>
    </r>
    <r>
      <rPr>
        <rFont val="Arial"/>
        <color rgb="FF000000"/>
        <sz val="11.0"/>
      </rPr>
      <t>(RFID)</t>
    </r>
  </si>
  <si>
    <t>EN#2128470, INV#PI21-10, PO#35298, OBL3/23, GATEFEE3/30</t>
  </si>
  <si>
    <t>NYKU5927089</t>
  </si>
  <si>
    <r>
      <rPr>
        <rFont val="Arial"/>
        <color rgb="FF000000"/>
        <sz val="11.0"/>
      </rPr>
      <t>White 18g</t>
    </r>
    <r>
      <rPr>
        <rFont val="Arial"/>
        <color rgb="FF000000"/>
        <sz val="11.0"/>
      </rPr>
      <t xml:space="preserve">, </t>
    </r>
    <r>
      <rPr>
        <rFont val="Arial"/>
        <color rgb="FF000000"/>
        <sz val="11.0"/>
      </rPr>
      <t>Red 18g</t>
    </r>
    <r>
      <rPr>
        <rFont val="Arial"/>
        <color rgb="FF000000"/>
        <sz val="11.0"/>
      </rPr>
      <t>, Ultra 18g, Ultra 50g</t>
    </r>
  </si>
  <si>
    <t>EN#2128659, INV#PI21-10, PO#35308, OBL3/18
- prepull 4/6, deliver 4/7</t>
  </si>
  <si>
    <t>31PLTS</t>
  </si>
  <si>
    <t>CCLU5240264</t>
  </si>
  <si>
    <r>
      <rPr>
        <rFont val="Arial"/>
        <color theme="1"/>
        <sz val="11.0"/>
      </rPr>
      <t xml:space="preserve">PATCH, </t>
    </r>
    <r>
      <rPr>
        <rFont val="Arial"/>
        <color theme="1"/>
        <sz val="11.0"/>
      </rPr>
      <t>PATCH 1's</t>
    </r>
    <r>
      <rPr>
        <rFont val="Arial"/>
        <color theme="1"/>
        <sz val="11.0"/>
      </rPr>
      <t xml:space="preserve">, </t>
    </r>
    <r>
      <rPr>
        <rFont val="Arial"/>
        <color theme="1"/>
        <sz val="11.0"/>
      </rPr>
      <t>LINIMENT 57ML</t>
    </r>
    <r>
      <rPr>
        <rFont val="Arial"/>
        <color theme="1"/>
        <sz val="11.0"/>
      </rPr>
      <t>, KLO 57ML, KLO 28ML</t>
    </r>
  </si>
  <si>
    <t>EN#2128285, INV#PI21-06, PI21-11 &amp; PI21-12, PO#35250, OBL3/8</t>
  </si>
  <si>
    <t>BEAU5500984
NYKU4443773
TRHU2729032</t>
  </si>
  <si>
    <r>
      <rPr>
        <rFont val="Arial"/>
        <color theme="1"/>
        <sz val="11.0"/>
      </rPr>
      <t>RED 18g,  WHT 18g,Ultra-strength Ointment 18 g &amp;</t>
    </r>
    <r>
      <rPr>
        <rFont val="Arial"/>
        <color theme="1"/>
        <sz val="11.0"/>
      </rPr>
      <t xml:space="preserve"> Ultra-Strength Ointment 10g</t>
    </r>
    <r>
      <rPr>
        <rFont val="Arial"/>
        <color theme="1"/>
        <sz val="11.0"/>
      </rPr>
      <t>,OINTMENT 50G</t>
    </r>
  </si>
  <si>
    <t>4/6/21
4/7/21
4/7/21</t>
  </si>
  <si>
    <t>EN#2127723, INV#PI21-03, PO#35219, OBL2/23 
- 3 containers will have additional $150/container GCT Bayonne Surcharge</t>
  </si>
  <si>
    <t>88PLTS</t>
  </si>
  <si>
    <t>TDTU6362270
TCKU4721201
ZIMU1046290</t>
  </si>
  <si>
    <r>
      <rPr>
        <rFont val="Arial"/>
        <color theme="1"/>
        <sz val="11.0"/>
      </rPr>
      <t xml:space="preserve">PATCH, </t>
    </r>
    <r>
      <rPr>
        <rFont val="Arial"/>
        <color theme="1"/>
        <sz val="11.0"/>
      </rPr>
      <t>PATCH 1's</t>
    </r>
    <r>
      <rPr>
        <rFont val="Arial"/>
        <color theme="1"/>
        <sz val="11.0"/>
      </rPr>
      <t>, LINIMENT 57ML, KLO 28ML</t>
    </r>
  </si>
  <si>
    <t>3/29/21
3/29/21
3/30/21</t>
  </si>
  <si>
    <t xml:space="preserve">EN#2128369, INV#PI21-06, PI21-11 &amp; PI21-12, PO#35256, OBL3/10 
- 3 containers are calling PNCT and will have additional $150/container terminal surcharge
</t>
  </si>
  <si>
    <t>OOLU9807304</t>
  </si>
  <si>
    <t>EN#2128043, INV#PI21-22, PO#35249, OBL3/8</t>
  </si>
  <si>
    <t>OOCU4921386</t>
  </si>
  <si>
    <t>EN#2127605, INV#PI21-02, T/R, PO#35204</t>
  </si>
  <si>
    <t>OOCU4822681</t>
  </si>
  <si>
    <r>
      <rPr>
        <rFont val="Arial"/>
        <color theme="1"/>
        <sz val="11.0"/>
      </rPr>
      <t xml:space="preserve">PATCH, </t>
    </r>
    <r>
      <rPr>
        <rFont val="Arial"/>
        <color theme="1"/>
        <sz val="11.0"/>
      </rPr>
      <t>PATCH 1's,</t>
    </r>
    <r>
      <rPr>
        <rFont val="Arial"/>
        <color theme="1"/>
        <sz val="11.0"/>
      </rPr>
      <t xml:space="preserve"> KLO 57ML, KLO 28ML</t>
    </r>
  </si>
  <si>
    <t>EN#2127089, INV#PI21-01 &amp; PI21-05, PO#35183, OBL2/3, GATEFEE3/1, LIVE UNLOAD, empty return 3/22
- pier waiting was from 8:30am-1:46pm additional 3.5hrs</t>
  </si>
  <si>
    <t>46PLTS</t>
  </si>
  <si>
    <t>OOLU7553406
CSNU1437280</t>
  </si>
  <si>
    <r>
      <rPr>
        <rFont val="Arial"/>
        <color rgb="FF000000"/>
        <sz val="11.0"/>
      </rPr>
      <t xml:space="preserve">PATCH, </t>
    </r>
    <r>
      <rPr>
        <rFont val="Arial"/>
        <color rgb="FF000000"/>
        <sz val="11.0"/>
      </rPr>
      <t>PATCH 1's</t>
    </r>
    <r>
      <rPr>
        <rFont val="Arial"/>
        <color rgb="FF000000"/>
        <sz val="11.0"/>
      </rPr>
      <t>, LINIMENT 57ML,</t>
    </r>
    <r>
      <rPr>
        <rFont val="Arial"/>
        <color rgb="FF000000"/>
        <sz val="11.0"/>
      </rPr>
      <t>KLO 57ML</t>
    </r>
    <r>
      <rPr>
        <rFont val="Arial"/>
        <color rgb="FF000000"/>
        <sz val="11.0"/>
      </rPr>
      <t xml:space="preserve">, </t>
    </r>
    <r>
      <rPr>
        <rFont val="Arial"/>
        <color rgb="FF000000"/>
        <sz val="11.0"/>
      </rPr>
      <t>KLO 28ML</t>
    </r>
  </si>
  <si>
    <t>EN#2127389, INV#PI21-01, PI21-04 &amp; PI21-05, PO#35234, OBL2/12</t>
  </si>
  <si>
    <t>115PLTS</t>
  </si>
  <si>
    <t>CMAU7989589
CMAU6179650
TCNU5434108
TGHU1574377</t>
  </si>
  <si>
    <r>
      <rPr>
        <rFont val="Arial"/>
        <color theme="1"/>
        <sz val="11.0"/>
      </rPr>
      <t xml:space="preserve">PATCH, </t>
    </r>
    <r>
      <rPr>
        <rFont val="Arial"/>
        <color theme="1"/>
        <sz val="11.0"/>
      </rPr>
      <t>PATCH 1's</t>
    </r>
    <r>
      <rPr>
        <rFont val="Arial"/>
        <color theme="1"/>
        <sz val="11.0"/>
      </rPr>
      <t xml:space="preserve">, </t>
    </r>
    <r>
      <rPr>
        <rFont val="Arial"/>
        <color theme="1"/>
        <sz val="11.0"/>
      </rPr>
      <t>LINIMENT 57ML</t>
    </r>
    <r>
      <rPr>
        <rFont val="Arial"/>
        <color theme="1"/>
        <sz val="11.0"/>
      </rPr>
      <t>,KLO 57ML, KLO 28ML</t>
    </r>
  </si>
  <si>
    <t>3/5/21
3/8/21
3/8/21
3/8/21</t>
  </si>
  <si>
    <t>EN#2127674, INV# PI21-01, PI21-04 &amp; PI21-05, PO#35236, OBL2/23,
- 4 containers are coming out from APM and will have additional $150/container terminal surcharge
- all Live unload</t>
  </si>
  <si>
    <t>NYKU0827981</t>
  </si>
  <si>
    <r>
      <rPr>
        <rFont val="Arial"/>
        <color rgb="FF000000"/>
        <sz val="11.0"/>
      </rPr>
      <t>RED 18g</t>
    </r>
    <r>
      <rPr>
        <rFont val="Arial"/>
        <color rgb="FF000000"/>
        <sz val="11.0"/>
      </rPr>
      <t>, Ultra-strength Ointment 18 g &amp; Ultra-Strength Ointment 10g,</t>
    </r>
    <r>
      <rPr>
        <rFont val="Arial"/>
        <color rgb="FF000000"/>
        <sz val="11.0"/>
      </rPr>
      <t>OINTMENT 50G</t>
    </r>
  </si>
  <si>
    <t>EN#2127240, INV# PI21-03, PO#35192, OBL2/5, GATEFEE2/24, Live</t>
  </si>
  <si>
    <t>57PLTS</t>
  </si>
  <si>
    <t xml:space="preserve">TGBU9688184
TGBU9689637
TGBU9690350
</t>
  </si>
  <si>
    <r>
      <rPr>
        <rFont val="Arial"/>
        <color theme="1"/>
        <sz val="11.0"/>
      </rPr>
      <t>RED 18g</t>
    </r>
    <r>
      <rPr>
        <rFont val="Arial"/>
        <color theme="1"/>
        <sz val="11.0"/>
      </rPr>
      <t xml:space="preserve">,  WHT 18g,Ultra-strength Ointment 18g </t>
    </r>
    <r>
      <rPr>
        <rFont val="Arial"/>
        <color theme="1"/>
        <sz val="11.0"/>
      </rPr>
      <t>(RFID)</t>
    </r>
    <r>
      <rPr>
        <rFont val="Arial"/>
        <color theme="1"/>
        <sz val="11.0"/>
      </rPr>
      <t>, Ultra-Strength Ointment 10g, OINTMENT 50G</t>
    </r>
  </si>
  <si>
    <r>
      <rPr>
        <rFont val="Arial"/>
        <color theme="1"/>
        <sz val="11.0"/>
      </rPr>
      <t>2/24/21</t>
    </r>
    <r>
      <rPr>
        <rFont val="Arial"/>
        <color theme="1"/>
        <sz val="11.0"/>
      </rPr>
      <t xml:space="preserve">
2/25/21
2/25/21</t>
    </r>
  </si>
  <si>
    <t>EN#2124938,INV#PI20-93; PO#35114,OBL1/22, LIVE UNLOAD</t>
  </si>
  <si>
    <t>FSCU9800174</t>
  </si>
  <si>
    <t>EN#2126723,INV#PI20-88,T/R; PO#35182,GATEFEE2/8,</t>
  </si>
  <si>
    <t>WHLU5596803</t>
  </si>
  <si>
    <r>
      <rPr>
        <rFont val="Arial"/>
        <color theme="1"/>
        <sz val="11.0"/>
      </rPr>
      <t>RED 18g</t>
    </r>
    <r>
      <rPr>
        <rFont val="Arial"/>
        <color theme="1"/>
        <sz val="11.0"/>
      </rPr>
      <t>,  WHT 18g,Ultra-strength Ointment 18 g,OINTMENT 50G</t>
    </r>
  </si>
  <si>
    <t>EN#2127241, INV#PI21-03; PO#35191,OBL 2/5</t>
  </si>
  <si>
    <t>TRLU7599156</t>
  </si>
  <si>
    <r>
      <rPr>
        <rFont val="Arial"/>
        <color rgb="FF000000"/>
        <sz val="11.0"/>
      </rPr>
      <t>RED 4G,</t>
    </r>
    <r>
      <rPr>
        <rFont val="Arial"/>
        <color rgb="FF000000"/>
        <sz val="11.0"/>
      </rPr>
      <t>RED 18g</t>
    </r>
    <r>
      <rPr>
        <rFont val="Arial"/>
        <color rgb="FF000000"/>
        <sz val="11.0"/>
      </rPr>
      <t>, Ultra-strength Ointment 18 g &amp; Ultra-Strength Ointment 10g, OINTMENT 50G</t>
    </r>
  </si>
  <si>
    <t>EN#2126577, INV# PI20-75 &amp; PI20-93; PO#35158,OBL1/25,GATEFEE2/8, drop instead of live unloading, return on 2/19/2021</t>
  </si>
  <si>
    <t>KOCU4011479</t>
  </si>
  <si>
    <t>PATCH, PATCH 1's,KLO 57ML, LINIMENT 57ML</t>
  </si>
  <si>
    <t>EN#2126368, INV#PI20-87, PI20-94 &amp; PI20-95; PO#35115,OBL1/13</t>
  </si>
  <si>
    <t>TEMU6838721</t>
  </si>
  <si>
    <r>
      <rPr>
        <rFont val="Arial"/>
        <color theme="1"/>
        <sz val="11.0"/>
      </rPr>
      <t>RED 4G,WHT 4G</t>
    </r>
    <r>
      <rPr>
        <rFont val="Arial"/>
        <color theme="1"/>
        <sz val="11.0"/>
      </rPr>
      <t xml:space="preserve">, </t>
    </r>
    <r>
      <rPr>
        <rFont val="Arial"/>
        <color theme="1"/>
        <sz val="11.0"/>
      </rPr>
      <t>WHT 18g,</t>
    </r>
    <r>
      <rPr>
        <rFont val="Arial"/>
        <color theme="1"/>
        <sz val="11.0"/>
      </rPr>
      <t xml:space="preserve"> </t>
    </r>
    <r>
      <rPr>
        <rFont val="Arial"/>
        <color theme="1"/>
        <sz val="11.0"/>
      </rPr>
      <t>RED 18g</t>
    </r>
    <r>
      <rPr>
        <rFont val="Arial"/>
        <color theme="1"/>
        <sz val="11.0"/>
      </rPr>
      <t xml:space="preserve">, </t>
    </r>
    <r>
      <rPr>
        <rFont val="Arial"/>
        <color theme="1"/>
        <sz val="11.0"/>
      </rPr>
      <t>Ultra-strength Ointment 18g</t>
    </r>
    <r>
      <rPr>
        <rFont val="Arial"/>
        <color theme="1"/>
        <sz val="11.0"/>
      </rPr>
      <t xml:space="preserve">, </t>
    </r>
    <r>
      <rPr>
        <rFont val="Arial"/>
        <color theme="1"/>
        <sz val="11.0"/>
      </rPr>
      <t>OINTMENT 50G</t>
    </r>
  </si>
  <si>
    <t>EN#2126916, INV#PI20-75 &amp; PI20-93; PO#35181,OBL by bank1/29; prepull 2/15</t>
  </si>
  <si>
    <t>64PLTS</t>
  </si>
  <si>
    <t>CMAU5942535, BMOU5611848</t>
  </si>
  <si>
    <r>
      <rPr>
        <rFont val="Arial"/>
        <color theme="1"/>
        <sz val="11.0"/>
      </rPr>
      <t xml:space="preserve">PATCH, </t>
    </r>
    <r>
      <rPr>
        <rFont val="Arial"/>
        <color theme="1"/>
        <sz val="11.0"/>
      </rPr>
      <t>PATCH 1's</t>
    </r>
    <r>
      <rPr>
        <rFont val="Arial"/>
        <color theme="1"/>
        <sz val="11.0"/>
      </rPr>
      <t xml:space="preserve">, KLO 57ML, KLO 28ML, </t>
    </r>
    <r>
      <rPr>
        <rFont val="Arial"/>
        <color theme="1"/>
        <sz val="11.0"/>
      </rPr>
      <t>LINIMENT 57ML</t>
    </r>
  </si>
  <si>
    <t>EN#2126557  INV#PI20-87, PI20-94 &amp; PI20-95; PO#35138,OBL1/22</t>
  </si>
  <si>
    <t>42PLTS</t>
  </si>
  <si>
    <t>OOCU4979536
OOLU1876973</t>
  </si>
  <si>
    <r>
      <rPr>
        <rFont val="Arial"/>
        <color theme="1"/>
        <sz val="11.0"/>
      </rPr>
      <t xml:space="preserve">PATCH, </t>
    </r>
    <r>
      <rPr>
        <rFont val="Arial"/>
        <color theme="1"/>
        <sz val="11.0"/>
      </rPr>
      <t>PATCH 1's</t>
    </r>
    <r>
      <rPr>
        <rFont val="Arial"/>
        <color theme="1"/>
        <sz val="11.0"/>
      </rPr>
      <t>,</t>
    </r>
    <r>
      <rPr>
        <rFont val="Arial"/>
        <color theme="1"/>
        <sz val="11.0"/>
      </rPr>
      <t xml:space="preserve"> </t>
    </r>
    <r>
      <rPr>
        <rFont val="Arial"/>
        <color theme="1"/>
        <sz val="11.0"/>
      </rPr>
      <t>KLO 57ML</t>
    </r>
    <r>
      <rPr>
        <rFont val="Arial"/>
        <color theme="1"/>
        <sz val="11.0"/>
      </rPr>
      <t>,</t>
    </r>
    <r>
      <rPr>
        <rFont val="Arial"/>
        <color theme="1"/>
        <sz val="11.0"/>
      </rPr>
      <t xml:space="preserve"> </t>
    </r>
    <r>
      <rPr>
        <rFont val="Arial"/>
        <color theme="1"/>
        <sz val="11.0"/>
      </rPr>
      <t>KLO 28ML</t>
    </r>
    <r>
      <rPr>
        <rFont val="Arial"/>
        <color theme="1"/>
        <sz val="11.0"/>
      </rPr>
      <t xml:space="preserve">, </t>
    </r>
    <r>
      <rPr>
        <rFont val="Arial"/>
        <color theme="1"/>
        <sz val="11.0"/>
      </rPr>
      <t>LINIMENT 57ML</t>
    </r>
  </si>
  <si>
    <t>2/4/21
2/10/21</t>
  </si>
  <si>
    <t>EN#2126119-4, INV# PI20-87, PI20-94 &amp; PI20-95; PO#35106，OBL1/5/2021</t>
  </si>
  <si>
    <t>KOCU4215683</t>
  </si>
  <si>
    <t>EN# 2126457,INV#PI20-87; PO#35116,OBL1/13</t>
  </si>
  <si>
    <t>ZIMU1285611</t>
  </si>
  <si>
    <r>
      <rPr>
        <rFont val="Arial"/>
        <color theme="1"/>
        <sz val="11.0"/>
      </rPr>
      <t xml:space="preserve">NECK &amp; SHOULDER RUB 50G, </t>
    </r>
    <r>
      <rPr>
        <rFont val="Arial"/>
        <color theme="1"/>
        <sz val="11.0"/>
      </rPr>
      <t>MUSCLE SPRAY 75ML</t>
    </r>
  </si>
  <si>
    <t>EN#2126250, INV# PI20-81 &amp; PI20-91; PO#35117,OBL1/13</t>
  </si>
  <si>
    <t>MOTU0706769
NYKU4126130</t>
  </si>
  <si>
    <r>
      <rPr>
        <rFont val="Arial"/>
        <color theme="1"/>
        <sz val="11.0"/>
      </rPr>
      <t>RED 18g</t>
    </r>
    <r>
      <rPr>
        <rFont val="Arial"/>
        <color theme="1"/>
        <sz val="11.0"/>
      </rPr>
      <t xml:space="preserve">,  WHT 18g, </t>
    </r>
    <r>
      <rPr>
        <rFont val="Arial"/>
        <color theme="1"/>
        <sz val="11.0"/>
      </rPr>
      <t>Ultra-strength Ointment 18g</t>
    </r>
    <r>
      <rPr>
        <rFont val="Arial"/>
        <color theme="1"/>
        <sz val="11.0"/>
      </rPr>
      <t xml:space="preserve"> </t>
    </r>
    <r>
      <rPr>
        <rFont val="Arial"/>
        <color theme="1"/>
        <sz val="11.0"/>
      </rPr>
      <t>(RFID)</t>
    </r>
    <r>
      <rPr>
        <rFont val="Arial"/>
        <color theme="1"/>
        <sz val="11.0"/>
      </rPr>
      <t xml:space="preserve"> &amp; </t>
    </r>
    <r>
      <rPr>
        <rFont val="Arial"/>
        <color theme="1"/>
        <sz val="11.0"/>
      </rPr>
      <t>Ultra-Strength Ointment 10g</t>
    </r>
  </si>
  <si>
    <t>1/29/21
2/5/21</t>
  </si>
  <si>
    <t>EN#2125260  , INV#PI20-84; PO#35030,OBL12/21</t>
  </si>
  <si>
    <t>ONEU0283648</t>
  </si>
  <si>
    <t>OINTMENT 50G</t>
  </si>
  <si>
    <t>EN# 2125792,INV#PI20-75 &amp; PI20-84; PO#35079，OBL1/4</t>
  </si>
  <si>
    <t>SEGU1477846</t>
  </si>
  <si>
    <t>EN#2125791,INV#PI20-84; PO#35060, OBL 12/24,GATEFEE1/4</t>
  </si>
  <si>
    <t>TCLU2405032</t>
  </si>
  <si>
    <t>EN#2125164, INV#PI20-80; PO#35011,OBL12/7,GATEFEE1/4</t>
  </si>
  <si>
    <t>CSNU1793423</t>
  </si>
  <si>
    <r>
      <rPr>
        <rFont val="Arial"/>
        <color theme="1"/>
        <sz val="11.0"/>
      </rPr>
      <t xml:space="preserve">PATCH, </t>
    </r>
    <r>
      <rPr>
        <rFont val="Arial"/>
        <color theme="1"/>
        <sz val="11.0"/>
      </rPr>
      <t>PATCH 1's</t>
    </r>
  </si>
  <si>
    <t>EN#2125162 , INV#PI20-78; PO#35012,OBL12/7,GATEFEE 1/5</t>
  </si>
  <si>
    <t>TEMU4215147
CMAU5464565</t>
  </si>
  <si>
    <r>
      <rPr>
        <rFont val="Arial"/>
        <color theme="1"/>
        <sz val="11.0"/>
      </rPr>
      <t xml:space="preserve">PATCH, PATCH 1's, </t>
    </r>
    <r>
      <rPr>
        <rFont val="Arial"/>
        <color theme="1"/>
        <sz val="11.0"/>
      </rPr>
      <t>LINIMENT 57 ML</t>
    </r>
    <r>
      <rPr>
        <rFont val="Arial"/>
        <color theme="1"/>
        <sz val="11.0"/>
      </rPr>
      <t>, KLO28ML</t>
    </r>
  </si>
  <si>
    <t>EN#2125261, INV# PI20-78, PI20-85 &amp; PI20-86; PO#35023,OBL12/10</t>
  </si>
  <si>
    <t>OOLU7702562</t>
  </si>
  <si>
    <r>
      <rPr>
        <rFont val="Arial"/>
        <color theme="1"/>
        <sz val="11.0"/>
      </rPr>
      <t xml:space="preserve">PATCH, PATCH 1's, </t>
    </r>
    <r>
      <rPr>
        <rFont val="Arial"/>
        <color theme="1"/>
        <sz val="11.0"/>
      </rPr>
      <t>LINIMENT 57ML</t>
    </r>
  </si>
  <si>
    <t>EN#2125057, INV# PI20-78 &amp; PI20-85; PO#35021,OBL12/10,ALT. TRUCKER LFD 1/4, PREPULL needed</t>
  </si>
  <si>
    <t>EISU9195011</t>
  </si>
  <si>
    <t>EN#2125543,INV# PI20-84; PO#35056,OBL12/21</t>
  </si>
  <si>
    <t xml:space="preserve">    </t>
  </si>
  <si>
    <t>ETA Port
(Month)</t>
  </si>
  <si>
    <t>ETA Port
(Date)</t>
  </si>
  <si>
    <t>Month</t>
  </si>
  <si>
    <t>FCGU1998489</t>
  </si>
  <si>
    <t>OINTMENT 18G, 50G, WHITE 18G</t>
  </si>
  <si>
    <t>Complete</t>
  </si>
  <si>
    <t>EN#5122942, INV#PI22-73, 22ILC027967, PO#37497, OBL12/28, empty return 1/5
- CMA CGM SYMI, (TD8), ONE
- Moored 12/28, discharged 12/28, LFD 1/3</t>
  </si>
  <si>
    <t>FSCU5115296
TLLU6009001</t>
  </si>
  <si>
    <t>PATCH, PATCH 1'S</t>
  </si>
  <si>
    <t>12/28/2022
12/28/2022</t>
  </si>
  <si>
    <t>EN#5122451, INV#PI22-53, 22ILC027938, PO#37455, OBL12/1, GATEFEE12/23
- ONE HONOLULU, (TD6), YANG MING
- 12/20 FDA request product info
- Moored 12/23
- c#5296 - discharged 12/23, LFD 12/28, empty return 12/28
- c#9001 - discharged 12/23, LFD 12/28, empty return 12/28
- c#5296 - pier waiting was from 7-9:25am additional ½ hr</t>
  </si>
  <si>
    <t>KKTU8164425</t>
  </si>
  <si>
    <t>RED 18G, OINTMENT 18G, 50G, WHITE 18G</t>
  </si>
  <si>
    <t>EN#2147735, INV#PI22-61, 22ILC027932, PO#37451, OBL12/5, GATEFEE12/20, empty return 1/11 (reuse for export)
- YM UPWARD, (TD3), ONE
- Moored 12/20, discharged 12/21, LFD 12/27
- PCC moved container to PCC for customs exam 12/27
- If PCC uses own chassis, PCC will deliver, otherwise Benz will deliver
- Ready for Benz pickup 1/10 @ PCC, LFD 1/11
- Pick up from the exam side, the charge fee applies ($35)
- ELFD 1/3, have per diem</t>
  </si>
  <si>
    <t>23PLTS</t>
  </si>
  <si>
    <t>WHSU5603359</t>
  </si>
  <si>
    <t>EN#5122446, INV#PI22-59, 22ILC027939, PO#37454, OBL12/1, empty return 12/23
- WAN HAI 509, (TD4), WAN HAI
- have an additional $350 GCT NY Surcharge
- Moored 12/18, discharged 12/18, LFD 12/22
- prepull 12/21</t>
  </si>
  <si>
    <t>BMOU6321740</t>
  </si>
  <si>
    <t>RUB 50G</t>
  </si>
  <si>
    <r>
      <rPr>
        <rFont val="Arial"/>
        <color rgb="FF000000"/>
        <sz val="11.0"/>
      </rPr>
      <t>EN#2147650, INV#PI22-32, 22ILC027902, PO#37450, OBL11/14</t>
    </r>
    <r>
      <rPr>
        <rFont val="Arial"/>
        <color rgb="FFFF0000"/>
        <sz val="11.0"/>
      </rPr>
      <t xml:space="preserve">
</t>
    </r>
    <r>
      <rPr>
        <rFont val="Arial"/>
        <color rgb="FF000000"/>
        <sz val="11.0"/>
      </rPr>
      <t>- ONE MUNCHEN, (TD2), YANG MING
- Moored 12/12, discharged 12/13, (FCL) LFD 12/16
- FCL picked up 12/13, GW will deliver LCL</t>
    </r>
  </si>
  <si>
    <t>49PLTS</t>
  </si>
  <si>
    <t>WHLU5578517
WHSU6173782</t>
  </si>
  <si>
    <t>OINTMENT 10G, 18G, RED 18G, 4G, WHITE 18G, 4G</t>
  </si>
  <si>
    <t>12/13/2022
12/13/2022</t>
  </si>
  <si>
    <t>EN#2147649, INV#PI22-63, 22ILC027933, PO#37453, OBL11/28
- SEASPAN EMISSARY, (TD1), WAN HAI
- E-Trans does not handle WAN HAI, need alternative trucker
- Apex will deliver, Live unload 2 hrs free
- At anchor 12/9, estimated berthing 12/10
- Both Moored 12/10, discharged 12/10, LFD 12/5
- c#8517 empty return 12/13
- c#3782 empty return 12/13</t>
  </si>
  <si>
    <t>UETU4061578</t>
  </si>
  <si>
    <t>EN#2147423, INV#PI22-26 &amp; PI22-40, 22ILC027901, PO#37369, OBL11/14, empty return 12/20
- ONE GRUS, (TC22), ONE
- Moored 12/6, discharged 12/10, LFD 12/15</t>
  </si>
  <si>
    <t>KKTU8005038</t>
  </si>
  <si>
    <t>OINTMENT 18G, 50G</t>
  </si>
  <si>
    <t>EN#5122450, INV#PI22-65, 22ILC027942, PO#37452, OBL12/5, empty return 12/12
- CMA CGM DIGNITY, (TD5), ONE
- received OBL from LL 12/2
- Moored 12/5, discharged 12/5, LFD 12/9</t>
  </si>
  <si>
    <t>TLLU4768539</t>
  </si>
  <si>
    <t>EN#2147361, INV#PI22-49 &amp; PI22-57, 22ILC027903, PO#37370, OBL11/14, empty return 12/8
- CMA CGM CHILE, (TC21), COSCO
- have additional $250 APM Surcharge
- Moored 11/30, discharged 11/30, LFD 12/6</t>
  </si>
  <si>
    <t>66PLTS</t>
  </si>
  <si>
    <t>WHSU6327337
SEGU1892575
WHSU6264239</t>
  </si>
  <si>
    <t>OINTMENT 10G, 18G, 50G, RED 4G</t>
  </si>
  <si>
    <t>11/30/2022
11/29/2022
11/29/2022</t>
  </si>
  <si>
    <t>EN#2147187, INV#PI22-58, 22ILC027906, PO#37368, OBL11/14
- WAN HAI 623, (TC19), WAN HAI
- E-Trans does not handle WAN HAI, need to find alternative trucker
- Apex will deliver, Live unload 2 hrs free
- Moored 11/23
- c#7337 - discharged 11/24, LFD 11/30, empty return 11/30
- c#2575 - discharged 11/24, LFD 11/30, prepull 11/28, empty return 11/29
- c#4239 - discharged 11/23, LFD 11/30, empty return 11/30</t>
  </si>
  <si>
    <t>NYKU3924943</t>
  </si>
  <si>
    <t>OINTMENT 18G, WHITE 18G</t>
  </si>
  <si>
    <t>EN#2147204, INV#PI22-52 &amp; PI22-56, LC05869U, PO#37367, OBL11/14, GATEFEE11/15
- YM UNIFORMITY, (TC20), ONE
- Moored 11/20, discharged 11/20, LFD 11/25
- DCLI chassis can’t return to TRAPAC terminal, only can return to SSA terminal, split return charge fee applies</t>
  </si>
  <si>
    <t>OTPU6316872</t>
  </si>
  <si>
    <t>PATCH 1'S</t>
  </si>
  <si>
    <r>
      <rPr>
        <rFont val="Arial"/>
        <color rgb="FF000000"/>
        <sz val="11.0"/>
      </rPr>
      <t>EN#2147185, INV#PI22-49, 22ILC027904, PO#37365, OBL11/2</t>
    </r>
    <r>
      <rPr>
        <rFont val="Arial"/>
        <color rgb="FFFF0000"/>
        <sz val="11.0"/>
      </rPr>
      <t xml:space="preserve">
</t>
    </r>
    <r>
      <rPr>
        <rFont val="Arial"/>
        <color rgb="FF000000"/>
        <sz val="11.0"/>
      </rPr>
      <t>- NYK VIRGO, (TC17), ONE
- Moored 11/16, discharged 11/17, LFD 11/23
- LFD (LCL) 11/28</t>
    </r>
  </si>
  <si>
    <t>1PLTS
(LCL)</t>
  </si>
  <si>
    <t>SEGU5264387</t>
  </si>
  <si>
    <t>LINIMENT 57ML</t>
  </si>
  <si>
    <t>EN#2147186, INV#PI22-51, 22ILC027905, PO#37366, OBL11/8
- NYK VIRGO, (TC18), YM
- Moored 11/16, discharged 11/17, LFD?
- LCL arrived OAK 11/23, pending LCL ready for pickup</t>
  </si>
  <si>
    <t>HDMU5540955</t>
  </si>
  <si>
    <t>RUB 60G</t>
  </si>
  <si>
    <t>EN#2147000, INV#PI22-25, LC05871U, PO#37305, OBL10/20
- ONE BLUE JAY, (TC15), HMM
- Moored 11/16, discharged 11/18, LFD 11/23
- GW will deliver LCL, LFD (LCL) 11/28
- Jie help submitted #37305 POPLA on 11/25</t>
  </si>
  <si>
    <t>SEGU5978002</t>
  </si>
  <si>
    <t>Nov</t>
  </si>
  <si>
    <t>EN#2147026, INV#PI22-31 &amp; PI22-39, LC05870U, PO#37324, OBL11/1, empty return 11/28
- MOL MAESTRO, (TC16), ONE
- have $250 Global/GCT surcharge
- Moored 11/15, discharged 11/16, LFD 11/22
- Live unload</t>
  </si>
  <si>
    <t>TLLU2642182</t>
  </si>
  <si>
    <t>KLO 57ML</t>
  </si>
  <si>
    <r>
      <rPr>
        <rFont val="Arial"/>
        <color rgb="FF000000"/>
        <sz val="11.0"/>
      </rPr>
      <t xml:space="preserve">EN#2146626, INV#PI22-48, LC05867U, PO#37265, OBL10/4, </t>
    </r>
    <r>
      <rPr>
        <rFont val="Arial"/>
        <color rgb="FF000000"/>
        <sz val="11.0"/>
      </rPr>
      <t>empty return 11/1</t>
    </r>
    <r>
      <rPr>
        <rFont val="Arial"/>
        <color rgb="FF000000"/>
        <sz val="11.0"/>
      </rPr>
      <t xml:space="preserve">
- CMA CGM PANAMA, (TC12), COSCO
- have additional $250 APM Surcharge
- Moored 10/26, discharged 10/27, LFD 11/2</t>
    </r>
  </si>
  <si>
    <t>MSCU5896344</t>
  </si>
  <si>
    <t>KLO 57ML, 28ML</t>
  </si>
  <si>
    <t>EN#2146625, INV#PI22-48, LC05868U, PO#37266, OBL10/4
- MSC VANDYA, (TC11), MSC
- Moored 10/23, discharged 10/24, LFD?
- prepull 10/26</t>
  </si>
  <si>
    <t>124PLTS</t>
  </si>
  <si>
    <t>GATU4438530
MEDU4203992
MSCU4618668
MSDU4299435</t>
  </si>
  <si>
    <t>10/28/2022
10/31/2022
11/1/2022
10/27/2022</t>
  </si>
  <si>
    <t>EN#2145728, INV#PI22-37, PI22-42 &amp; PI22-43, LC05857U, PO#37170, OBL8/30, GATEFEE10/18
- MAERSK VIRGINIA, (TC6), MSC
- Waiting @ Mexico offshore 10/3
- Moored 10/22
- c#8530 - discharged 10/25, LFD 10/31, empty return 11/4
- c#3992 - discharged 10/26, LFD 11/1, empty return 11/4
- c#8668 - discharged 10/26, LFD 11/1, empty return 11/4
- c#9435 - discharged 10/23, LFD 10/27, empty return 11/4
- No empty return location since 10/14
- c#9435 - pier waiting 9:35am-12:52pm additional 1.5hr  + chassis usage charge + additional 2nd drop charge
- c#3992 has pier waiting was from 9:59-2:30pm additional 2 ½ hrs. + 2nd drop + everyday yard parking
- c#8668 uses DCLI chassis #: APMZ411207
- DCLI chassis = MSC chassis
- MSDU4299435 picked up 10/27, returned 11/4, have additional 2nd drop + 9 days yard parking
- GATU4438530 picked up 10/28, returned 11/4, have additional 2nd drop + 8 days yard parking
- MEDU4203992 picked up 10/31, returned 11/4, have additional 2nd drop + 5 days yard parking
- MSCU4618668 picked up 11/01, returned 11/4, have additional 2nd drop + 4 days yard parking
- per Andy/Yvonne, no QC sample take out
- Greating Invoice LAX-AR121646 (4 chassis) void, pay Greating Invoice LAX-AR122329 (one chassis)
-sent MSC invoice for MSCU4618668 chassis to Benz
- sent high resolution MSC supporting invoice (Greating Invoice LAX-AR122329) to Benz</t>
  </si>
  <si>
    <t>2PLTS
(LCL)</t>
  </si>
  <si>
    <t>TRIU8068421</t>
  </si>
  <si>
    <t>LINIMENT 57ML, KLO 28ML</t>
  </si>
  <si>
    <t>EN#2146696, INV#PI22-47 &amp; PI22-48, LC05864U, PO#37274, OBL10/6, No GATEFEE (LCL), empty return 10/20
- ONE HARBOUR, (TC14), ONE
- Will discharge @ LA, then LCL to OAK
- Moored @ LA 10/18, discharged 10/19, FCL picked up 10/20, empty return 10/20
- LCL arrived OAK 10/31, LFD 11/8</t>
  </si>
  <si>
    <t>WHLU0407002</t>
  </si>
  <si>
    <t>OINTMENT 10G, 18G, 50G, WHITE 18G</t>
  </si>
  <si>
    <t>EN#2146520, INV#PI22-46, LC05866U, PO#37262, OBL10/4
- HERTA, (TC10), WAN HAI
- E-Trans does not handle WH, need alternative trucker
- Apex will deliver, live unload 2 hrs free
- Moored 10/18, discharged 10/18, LFD 10/24
- delivered 10/21 without update TH
- empty return 10/21</t>
  </si>
  <si>
    <t>SEGU6986363</t>
  </si>
  <si>
    <t>EN#2146627, INV#PI22-46, LC05865U, PO#37264, OBL10/6, No GATEFEE (LCL)
- OOCL BANGKOK, (TC13), COSCO
- Will discharge @ LA, then LCL (train) to OAK
- Moored @ LA 10/7, discharged 10/8, LFD 10/13, FCL picked up 10/11, eta to OAK 10/14, LCL LFD 10/19</t>
  </si>
  <si>
    <t>UACU8608000</t>
  </si>
  <si>
    <t>EN#2146073, INV#PI22-45, T/R, PO#37242, empty return 10/13
- MONACO BRIDGE, (TC8), HL
- have additional $250 Global Surcharge
- Moored 10/8, discharged 10/8, LFD 10/14</t>
  </si>
  <si>
    <t>116PLTS</t>
  </si>
  <si>
    <t>OOCU6939297
FCIU9653325
OOCU8794551
CSNU1632429</t>
  </si>
  <si>
    <t>10/7/2022
10/10/2022
10/10/2022
10/10/2022</t>
  </si>
  <si>
    <t>EN#2146190, INV#PI22-44, LC05861U, PO#37227, OBL9/16
- CMA CGM BRAZIL, (TC9), COSCO
- E-Trans cannot handle delivery
- Apex will deliver, live unload 2 hrs free
- At anchor 9/28, estimated berthing 10/1
- Moored 10/2, all discharged 10/4, LFD 10/10
- c#9297 - empty return 10/7
- c#3325 - prepull 10/7, empty return 10/10
- c#4551 - empty return 10/10
- c#2429 - empty return 10/11
- Apex issued one day chassis credit for c#9297</t>
  </si>
  <si>
    <t>DRYU9403910</t>
  </si>
  <si>
    <t>LINIMENT 57ML, KLO 57ML, 28ML</t>
  </si>
  <si>
    <t>EN#2145726, INV#PI22-42 &amp; PI22-43, LC05856U, PO#37169, OBL8/25, empty return 10/5
- MSC AURIGA, (TC4), MSC
- Moored 9/29, discharged 9/30, LFD?
- dpd checked</t>
  </si>
  <si>
    <t>85PLTS</t>
  </si>
  <si>
    <t>OOLU0161091
OOLU6761529
OOLU6827760</t>
  </si>
  <si>
    <t>9/28/2022
9/29/2022
9/29/2022</t>
  </si>
  <si>
    <t>EN#2145727, INV#PI22-37 &amp; PI22-43, LC05855U, PO#37228, OBL9/7
- CMA CGM T.JEFFERSON, (TC5), OOCL
- Etrans cannot handle delivery
- Apex will deliver, live unload 2 hrs free
- Moored 9/25
- c#1091 - discharged 9/25, LFD 9/29, live unload, prepull 9/26, empty return 9/28
- c#1529 - discharged 9/25, LFD 9/29, live unload, empty return 10/3
- c#7760 - discharged 9/25, LFD 9/29, prepull 9/28, drop, empty return 10/3
- dpd checked</t>
  </si>
  <si>
    <t>84PLTS</t>
  </si>
  <si>
    <t>TCLU9630570
MEDU8989494 
FBIU0211613</t>
  </si>
  <si>
    <t>10/6/2022
10/3/2022
10/6/2022</t>
  </si>
  <si>
    <t>EN#2145135, INV#PI22-29, LC05846U, PO#37086, OBL7/27, GATEFEE8/29
- MSC VEGA, (TB19), MSC
- Moored 9/13
- c#0570 - discharged 9/14, ready for pickup 9/26, LFD 10/6
- c#9494 - discharged 9/18, ready for pickup 9/28, LFD 10/3
- c#1613 - discharged 9/18, ready for pickup 9/26, LFD 10/6
- MSC no empty return location
- c#9494, live unloading and driver will put the empty container to your yard.  It will be 2nd drop charge
- c#9494 used WCCP chassis
- TCLU9630570 has additional charge of 2nd drop + yard parking, no empty return location
- FBIU0211613 has pier waiting was from 9:42-1:44pm additional 2hrs, no empty return location, have yard parking
- No empty return location (9/26-10/11)
- start have empty return location 10/12, MSC should waive per diem
- c#0570 - empty return 10/12
- c#9494 - empty return 10/13
- c#1613 - empty return 10/12
- MEDU8989494- container was returned last night 10/13 and driver was inside terminal from 7:04-9am.   pier waiting additional 1hr. + 2nd drop / put container to other dock on 10/3
- TCLU9630570- container was returned on 10/12.   Yard parking was from 10/6-10/12 total 7 days + 2nd drop to the yard.
- FBIU0211613- container was returned on 10/12.   Yard parking was from 10/6-10/12 total 7 days + 2nd drop to the yard.
- Benz revised invoice 317410 only charged one chassis
- Greating invoice LAX-AR121668 charged 2 chassis</t>
  </si>
  <si>
    <t>NYKU9903110
SEKU4410286</t>
  </si>
  <si>
    <t>OINTMENT 10G</t>
  </si>
  <si>
    <t>9/16/2022
9/16/2022</t>
  </si>
  <si>
    <r>
      <rPr>
        <rFont val="Arial"/>
        <color rgb="FF000000"/>
        <sz val="11.0"/>
      </rPr>
      <t>EN#2145943, INV#PI22-41, LC05858U, PO#37226, OBL9/8 (sent by bank)</t>
    </r>
    <r>
      <rPr>
        <rFont val="Arial"/>
        <color rgb="FFFF0000"/>
        <sz val="11.0"/>
      </rPr>
      <t xml:space="preserve">
</t>
    </r>
    <r>
      <rPr>
        <rFont val="Arial"/>
        <color rgb="FF000000"/>
        <sz val="11.0"/>
      </rPr>
      <t>- YM UNIFORMITY, (TC7), ONE
- 9/7 bank receive OBL &amp; send one OBL to forwarder
- Apex will deliver, drop
- Moored 9/9
- c#3110 - discharged 9/12, LFD 9/16, empty return 9/16
- c#0286 - discharged 9/12, LFD 9/15, empty return 9/16
- 9/20 per FG, cancel transfer to NJ
- dpd checked</t>
    </r>
  </si>
  <si>
    <t>CMAU4941750</t>
  </si>
  <si>
    <t>EN#2145389, INV#PI22-38, PO#37159, T/R, empty return 9/20
- EVER FOND, (TC1), CMA
- have Maher surcharge $250
- Moored 9/8, discharged 9/9, LFD 9/15
- GW advance demurrage $1585.85 through 9/20
- dpd checked</t>
  </si>
  <si>
    <t>54PLTS</t>
  </si>
  <si>
    <t>WHLU0271066
WHSU5119262
DFSU7669326</t>
  </si>
  <si>
    <t>RED 18G, OINTMENT 18G, 50G</t>
  </si>
  <si>
    <t>9/7/2022
9/7/2022
9/9/2022</t>
  </si>
  <si>
    <t>EN#2145650, INV#PI22-41, LC05854U, PO#37167, OBL8/26
- WAN HAI 512, (TC3), WAN HAI
- Apex will deliver, live unload 2 hrs free
- Moored 9/3
- c#1066 - discharged 9/4, LFD 9/9, empty return 9/15
- c#9262 - discharged 9/4, LFD 9/9, empty return 9/9
- c#9326 - discharged 9/3, LFD 9/9, empty return 9/15
- dpd checked</t>
  </si>
  <si>
    <t>50PLTS</t>
  </si>
  <si>
    <t>WHSU2054321
WHSU6336257
WHSU6296956</t>
  </si>
  <si>
    <t>OINTMENT 10G, 18G, 50G, RED 18G, WHITE 18G, RED 4G</t>
  </si>
  <si>
    <t>9/6/2022
9/1/2022
9/2/2022</t>
  </si>
  <si>
    <t>EN#2145302, INV#PI22-34, LC05849U, PO#37158, OBL8/19
- WAN HAI 623, (TB20), WAN HAI
- Apex will deliver, live unload 2 hrs free
- Moored 8/30
c#4321 - Discharged 8/31, LFD 9/7, empty return 9/7
c#6257 - Discharged 8/31, LFD 9/5, empty return 9/1
c#6956 - Discharged 8/30, LFD 9/5, prepull 9/1, empty return 9/6
- dpd checked</t>
  </si>
  <si>
    <t>GCXU5196440</t>
  </si>
  <si>
    <t>OINTMENT 18G, 50G, WHITE 4G</t>
  </si>
  <si>
    <t>EN#2144120, INV#PI22-28, LC05841U, PO#37073, OBL7/20
- YM WITNESS, (TB12), ONE
- have additional $250 GCT Bayonne Surcharge
- Moored 8/29, discharged 8/29, LFD 9/2
- prepull 9/2
- the terminals are not receiving empty or have very limited receiving appointment slots
- empty return 9/16, ELFD 9/9
- Etrans invoice per diem $1050
- dpd checked</t>
  </si>
  <si>
    <t>TRHU5316449</t>
  </si>
  <si>
    <t>EN#2144128, INV#PI22-21, LC05830U, PO#37013, OBL6/27, empty return 9/2
- ONE MUNCHEN, (TB10), ONE
- have additional $250 GCT Bayonne Surcharge
- Moored 8/20, discharged 8/21, LFD 8/25
- Prepull 8/25, additional charges will apply: Pre-pull ($150), Storage ($50/day), Chassis ($40/day)
- Etrans invoice# 22091402 per diem $150
- dpd checked</t>
  </si>
  <si>
    <t>NYKU4841777</t>
  </si>
  <si>
    <t>EN#2143795, INV#PI22-21, LC05830U, PO#37014, OBL7/6
- ONE MUNCHEN, (TB11), ONE
- have additional $250 GCT Bayonne Surcharge
- Moored 8/20, discharged 8/21, LFD 8/25
- empty return 9/1</t>
  </si>
  <si>
    <t>WHSU6646653</t>
  </si>
  <si>
    <t>OINTMENT 10G, 18G, 50G</t>
  </si>
  <si>
    <t>EN#2145649, INV#PI22-41, LC05853U, PO#37168, OBL8/19, GATEFEE8/17, empty return 9/8
- BOX ENDEAVOUR, (TC2), WH
- Moored 8/21, discharged 8/21, LFD 8/25
- ready for pickup 9/1, LFD 9/7
- prepull 9/7, but cannot deliver by 5pm due to heavy traffic, so deliver 9/8, no prepull &amp; storage.
- dpd checked</t>
  </si>
  <si>
    <t>CBHU5614810
TGCU5063757</t>
  </si>
  <si>
    <t>OINTMENT 10G, 18G, RED 18G, WHITE 18G, RED 4G</t>
  </si>
  <si>
    <t>8/25/2022
9/16/2022</t>
  </si>
  <si>
    <t>EN#2145303, INV#PI22-34, LC05848U, PO#37157, OBL8/10, GATEFEE8/15
- EVER FEAT, (TB21), COSCO
- Moored 8/16
- c#4810 - discharged 8/18, LFD?
- c#3757 - discharged 8/19, LFD?
- c#4810 pier waiting was from 7:56-10:26am additional ½ hr, empty return 8/25
- c#4810 driver lineup outside at 12:15-2:45pm it will be an additional 1.5hr waiting for return empty
- c#3757 - ready for pickup 9/12, LFD 9/15, empty return 9/19, split return chassis
- c#3757 - demurrage paid $275 through 2022-09-16
- c#3757, drop instead live unload, no empty return location
- receive &amp; submit received PO on 9/26</t>
  </si>
  <si>
    <t>101PLTS</t>
  </si>
  <si>
    <t>TCNU7167757
TRHU7972718
MSDU5519112</t>
  </si>
  <si>
    <t>PATCH, LINIMENT 57ML, KLO 57ML</t>
  </si>
  <si>
    <t>9/3/2022
9/3/2022
9/3/2022</t>
  </si>
  <si>
    <t>EN#2144946, INV#PI22-29, PI22-35 &amp; PI22-36, LC05844U, PO#37090, OBL7/27
- MSC VEGA, (TB18), MSC
- Moored 8/13, all discharged 8/17, LFD 8/23
- Trucker was not able to pull all out many times, GW advance demurrage through 9/2, total demurrage paid $7815 + $1035 = $8850
- Shine Logistics as alternative trucker, will prepull all 9/2, deliver 9/3 (Sat)
- empty return
TCNU7167757 - 9/6
TRHU7972718 - 9/7
MSDU5519112 - 9/7
- Shine Logistics revised invoice LD17686 (deduct $125 chassis fee TRHU7972718)
- pay NK invoice SNYCSI222494/A ($125 chassis fee TRHU7972718)</t>
  </si>
  <si>
    <t>NYKU5883611</t>
  </si>
  <si>
    <t>EN#2143574, INV#PI22-21, LC05830U, PO#36992, OBL6/14 (by bank)
- ONE MINATO, (TB1), ONE
- 6/14 OBL sent by bank directly to forwarder, FedEx tracking 777124496762
- have additional $250 Global Surcharge
- Moored 8/11, discharged 8/13, LFD 8/18</t>
  </si>
  <si>
    <t>TRHU4788034</t>
  </si>
  <si>
    <t>PATCH 1'S, KLO 57ML, 28ML</t>
  </si>
  <si>
    <t>EN#2144945, INV#PI22-29 &amp; PI22-36, LC05845U, PO#37076, OBL7/27
- ONE MAJESTY, (TB17), ONE
- have additional $250 Global Surcharge
- Moored 8/10, discharged 8/11, LFD 8/17</t>
  </si>
  <si>
    <t>NYKU4934102
TEMU7370240</t>
  </si>
  <si>
    <t>OINTMENT 10G, RED 18G, WHITE 18G, RED 4G</t>
  </si>
  <si>
    <t>8/18/2022
8/24/2022</t>
  </si>
  <si>
    <r>
      <rPr>
        <rFont val="Arial"/>
        <color theme="1"/>
        <sz val="11.0"/>
      </rPr>
      <t xml:space="preserve">EN#2145304, INV#PI22-34, LC05847U, </t>
    </r>
    <r>
      <rPr>
        <rFont val="Arial"/>
        <color rgb="FF303030"/>
        <sz val="11.0"/>
      </rPr>
      <t>PO#37155</t>
    </r>
    <r>
      <rPr>
        <rFont val="Arial"/>
        <color theme="1"/>
        <sz val="11.0"/>
      </rPr>
      <t>, OBL8/5</t>
    </r>
    <r>
      <rPr>
        <rFont val="Arial"/>
        <color rgb="FFFF0000"/>
        <sz val="11.0"/>
      </rPr>
      <t xml:space="preserve">
</t>
    </r>
    <r>
      <rPr>
        <rFont val="Arial"/>
        <color theme="1"/>
        <sz val="11.0"/>
      </rPr>
      <t>- YM UNICORN, (TB22), ONE
- received OBL 8/5
- c#0240 - moored 8/9, discharged 8/12
- c#4102 - moored 8/9, discharged 8/14
- c#4102 - Prepull 8/16
- c#0240 - pay demurrage $470 throu 8/19
- c#0240 - pay demurrage $750 throu 8/22
- c#0240 - pay demurrage $560 throu 8/24
- c#0240 pickup 8/24, delivered 8/24, empty return 8/24
- c#4102 - Pickup 8/16, deliver 8/18, empty return 8/18</t>
    </r>
  </si>
  <si>
    <t>TRHU7419750</t>
  </si>
  <si>
    <t>EN#2144060, INV#PI22-33, LC05839U, PO#37071, OBL7/6
- ONE FALCON, (TB13), ONE
- Moored 8/3, discharged 8/9, LFD 8/16
- FCL picked up 8/11
- 8/23 received &amp; submitted PO</t>
  </si>
  <si>
    <t>TLLU5502353</t>
  </si>
  <si>
    <t>OINTMENT 10G, RED 18G, WHITE 18G, RED 4G, WHITE 4G</t>
  </si>
  <si>
    <r>
      <rPr>
        <rFont val="Arial"/>
        <color rgb="FF000000"/>
        <sz val="11.0"/>
      </rPr>
      <t>EN#2143036, INV#PI22-21, LC05830U, PO#37005,</t>
    </r>
    <r>
      <rPr>
        <rFont val="Arial"/>
        <color rgb="FFFF0000"/>
        <sz val="11.0"/>
      </rPr>
      <t xml:space="preserve"> </t>
    </r>
    <r>
      <rPr>
        <rFont val="Arial"/>
        <color rgb="FF000000"/>
        <sz val="11.0"/>
      </rPr>
      <t>OBL6/15
- YM WARMTH, (TA18), ONE
- Moored 8/2, discharged 8/3, LFD 8/8
- prepull 8/8</t>
    </r>
  </si>
  <si>
    <t>DRYU2125988
CAIU8301126</t>
  </si>
  <si>
    <t>8/4/2022
8/5/2022</t>
  </si>
  <si>
    <r>
      <rPr>
        <rFont val="Arial"/>
        <color rgb="FF000000"/>
        <sz val="11.0"/>
      </rPr>
      <t xml:space="preserve">EN#2143796, INV#PI22-27, T/R, </t>
    </r>
    <r>
      <rPr>
        <rFont val="Arial"/>
        <color rgb="FF202124"/>
        <sz val="11.0"/>
      </rPr>
      <t>PO#37011</t>
    </r>
    <r>
      <rPr>
        <rFont val="Arial"/>
        <color rgb="FFFF0000"/>
        <sz val="11.0"/>
      </rPr>
      <t xml:space="preserve">
</t>
    </r>
    <r>
      <rPr>
        <rFont val="Arial"/>
        <color rgb="FF000000"/>
        <sz val="11.0"/>
      </rPr>
      <t>- YM WARMTH, (TB4), HL
- have additional $250 Global Surcharge
- Moored 8/2
- c#5988 - discharged 8/2, LFD 8/8
- c#1126 - discharged 8/2, LFD 8/8
- DRYU2125988 no appointments for empty return, have Per Diem charges
- c#5988 - empty return 8/11
- c#1126 - empty return 8/9</t>
    </r>
  </si>
  <si>
    <t>BMOU4894738</t>
  </si>
  <si>
    <t>EN#2144415, INV#PI22-30, T/R, PO#37070, GATEFEE7/25
- EVER FINE, (TB14), EG
- Waiting @ offshore 7/24, estimated berthing 7/27
- Moored 7/27, discharged 7/27, LFD?
- ready for pickup 8/22, LFD 8/26
-  empty return 8/26
- on BACP chassis.  it will be an additional charge fee charge</t>
  </si>
  <si>
    <t>HJLU1396301</t>
  </si>
  <si>
    <r>
      <rPr>
        <rFont val="Arial"/>
        <color rgb="FF000000"/>
        <sz val="11.0"/>
      </rPr>
      <t xml:space="preserve">EN#2144378, INV#PI22-28, LC05840U, OBL7/12, PO#37075, GATEFEE7/25, </t>
    </r>
    <r>
      <rPr>
        <rFont val="Arial"/>
        <color rgb="FF000000"/>
        <sz val="11.0"/>
      </rPr>
      <t>empty return 8/19</t>
    </r>
    <r>
      <rPr>
        <rFont val="Arial"/>
        <color rgb="FF000000"/>
        <sz val="11.0"/>
      </rPr>
      <t xml:space="preserve">
- GABRIELA A, (TB15), WAN HAI
- Pending OBL (ETA to bank 7/11)
- POP received OBL 7/12
- Waiting @ offshore 7/10, estimated berthing 7/24
- Moored 7/23, , LFD 7/28
- ready for pickup 8/10, LFD 8/19
- effective tomorrow 8/11,  for empty return at SSA/ OICT, single transactions on empty return will not be allowed
- Empty return restrisction</t>
    </r>
  </si>
  <si>
    <t>OOLU0255375</t>
  </si>
  <si>
    <t>KLO 58ML</t>
  </si>
  <si>
    <r>
      <rPr>
        <rFont val="Arial"/>
        <color rgb="FF000000"/>
        <sz val="11.0"/>
      </rPr>
      <t>EN#2144061, INV#PI22-33, LC05837U, PO#37072, OBL7/6</t>
    </r>
    <r>
      <rPr>
        <rFont val="Arial"/>
        <color rgb="FFFF0000"/>
        <sz val="11.0"/>
      </rPr>
      <t xml:space="preserve">
</t>
    </r>
    <r>
      <rPr>
        <rFont val="Arial"/>
        <color rgb="FF000000"/>
        <sz val="11.0"/>
      </rPr>
      <t>- CMA CGM HERMES, (TB5), OOCL
- Apex will deliver, live unload 2 hrs free
- Moored 7/17, discharged 7/19, LFD 7/22</t>
    </r>
  </si>
  <si>
    <t>114PLTS</t>
  </si>
  <si>
    <t>TTNU4817384
MSDU4296441
CRXU4254439
MSDU4041836</t>
  </si>
  <si>
    <r>
      <rPr>
        <rFont val="Arial"/>
        <color rgb="FF000000"/>
        <sz val="11.0"/>
      </rPr>
      <t xml:space="preserve">KLO 57ML, PATCH, PATCH 1'S
</t>
    </r>
    <r>
      <rPr>
        <rFont val="Arial"/>
        <color rgb="FF000000"/>
        <sz val="11.0"/>
      </rPr>
      <t>(4 containers)</t>
    </r>
  </si>
  <si>
    <t>7/21/2022
7/19/2022
7/25/2022
7/22/2022</t>
  </si>
  <si>
    <r>
      <rPr>
        <rFont val="Arial"/>
        <color rgb="FF000000"/>
        <sz val="11.0"/>
      </rPr>
      <t>EN#2143791, INV#PI22-24 &amp; PI22-3, LC05839U, PO#37038,</t>
    </r>
    <r>
      <rPr>
        <rFont val="Arial"/>
        <color rgb="FFFF0000"/>
        <sz val="11.0"/>
      </rPr>
      <t xml:space="preserve"> </t>
    </r>
    <r>
      <rPr>
        <rFont val="Arial"/>
        <color rgb="FF000000"/>
        <sz val="11.0"/>
      </rPr>
      <t>OBL6/15
- MSC FAITH, (TB8), MSC
- moored 7/15, discharged 7/18, LFD 7/22</t>
    </r>
  </si>
  <si>
    <t>SEKU4401366</t>
  </si>
  <si>
    <t>EN#2144379, INV#PI22-28, LC05842U, PO#37074, OBL7/18
- YM UNIFORMITY, (TB16), ONE
- 7/18 JD mailed OBL, 7/19 TH informed GW
- Moored 7/13, discharged 7/17, LFD 7/21
- prepull 7/21, delivered 7/22, empty return 7/22</t>
  </si>
  <si>
    <t>NYKU3295590</t>
  </si>
  <si>
    <t>OINTMENT 10G, WHITE 4G</t>
  </si>
  <si>
    <t>EN#2144121, INV#PI22-28, LC05842U, PO#37021, OBL7/8, empty return 7/13
- YM UPSURGENCE, (TB9), ONE
- bank received OBL 7/5, POP received OBL 7/8
- Moored 7/9, discharged 7/10, LFD 7/14
- Prepull 7/12 @ 6pm, deliver 7/13</t>
  </si>
  <si>
    <t>163PLTS</t>
  </si>
  <si>
    <t>FSCU5110308
OOLU4361544
CBHU6412007
CBHU6356330
FSCU5080420
CCLU5283121</t>
  </si>
  <si>
    <r>
      <rPr>
        <rFont val="Arial"/>
        <color rgb="FF000000"/>
        <sz val="11.0"/>
      </rPr>
      <t xml:space="preserve">PATCH, PATCH 1'S, KLO 28ML
</t>
    </r>
    <r>
      <rPr>
        <rFont val="Arial"/>
        <color rgb="FF000000"/>
        <sz val="11.0"/>
      </rPr>
      <t>(6 containers)</t>
    </r>
  </si>
  <si>
    <t>7/11/2022
7/12/2022
7/13/2022
7/14/2022
7/15/2022
7/15/2022</t>
  </si>
  <si>
    <t>EN#2144032, INV#PI22-24 &amp; PI22-33, LC05837U, PO#37012, OBL6/27
- CMA CGM CHILE, (TB3), COSCO
- APM Surcharge: $250
- All moored 7/6, discharged 7/6, ready for pickup 7/6, LFD 7/12
- c#0308 - delivered 7/11, empty return 7/11
- c#1544 - delivered 7/12, empty return 7/14
- c#2007 - prepull 7/12, delivered 7/13, empty return 7/13
- c#6330 - prepull 7/12, delivered 7/14, empty return 7/14
- c#0420 - prepull 7/12, delivered 7/15, empty return 7/15
- c#3121 - prepull 7/12, delivered 7/15, empty return 7/15</t>
  </si>
  <si>
    <t>HMMU9039153</t>
  </si>
  <si>
    <t>EN#2143573, INV#PI22-20, LC05834U, PO#37004, OBL6/22
- ONE IBIS, (TA22), HMM
- Moored 7/3, discharged 7/10, LFD 7/14
- delivered 7/14 without inform TH</t>
  </si>
  <si>
    <t>FDCU0437958</t>
  </si>
  <si>
    <t>RED 18G, OINTMENT 18G, WHITE 18G, RED 4G</t>
  </si>
  <si>
    <t>EN#2142045, INV#PI22-16, LC05817U, PO#36823, OBL5/5
- YM WELLHEAD, (TA12), ONE
- have additional $250 GCT Bayonne Surcharge
- At anchor 6/16, estimated berthing 7/1
- Moored 7/1, discharged 7/1, LFD 7/8
- empty return 7/13, ONE not receiving empty</t>
  </si>
  <si>
    <t>FDCU0544452</t>
  </si>
  <si>
    <t>OINTMENT 10G, 50G</t>
  </si>
  <si>
    <t>EN#2142223, INV#PI22-16, LC05817U, PO#36829, OBL5/5
- YM WELLHEAD, (TA9), ONE
- have additional $250 GCT Bayonne Surcharge
- At anchor 6/16, estimated berthing 7/1
- Moored 7/1, discharged 7/2, LFD 7/8
- submitted as urgent 7/7
- empty return 7/13, ONE not receiving empty</t>
  </si>
  <si>
    <t>YMMU4073023</t>
  </si>
  <si>
    <t>EN#2143572, INV#PI22-24, LC05838U, PO#37003, OBL6/15, GATEFEE6/27
- ONE OLYMPUS, (TA21), YM
- Moored 6/30, discharged 7/1, LFD 7/11
- ready for pickup 7/5</t>
  </si>
  <si>
    <t>TRLU7458672</t>
  </si>
  <si>
    <t>EN#2143793, IN#PI22-21, LC05832U, PO#37010, OBL6/27
- YM UNICORN, (TB6), ONE
- OBL FedEx 6/27, received OBL from LL 6/27
- Moored 6/24, discharged 6/25, LFD 6/30</t>
  </si>
  <si>
    <t>BMOU6084588</t>
  </si>
  <si>
    <t>OINTMENT 10G, 18G, 50G, WHITE 18G, 4G, RED 4G</t>
  </si>
  <si>
    <t>EN#2143792, INV#PI22-21, LC05832U, PO#37009, OBL6/27, empty 7/6
- YM UNICORN,(TB7), ONE
- OBL FedEx 6/27, received OBL from LL 6/27
- Moored 6/24, discharged 6/14, LFD 6/30
- Prepull 6/30 @ 8pm, scheduled 7/1, LFD 6/30
- 6/30 no chassis, next appointment 7/1 at 2pm, will deliver on Tuesday 7/5 if able to be pulled up
- Demurrage Through 7/1, GW paid $235
- Reprepull 7/1, rescheduled 7/5, LFD 6/30</t>
  </si>
  <si>
    <t>MEDU6088938
MSDU4255329</t>
  </si>
  <si>
    <t>7/27/2022
7/26/2022</t>
  </si>
  <si>
    <t>EN#2142042, INV#PI22-14, LC05820U, PO#36749, OBL5/3, GATEFEE6/17
- MSC WASHINGTON, (TA6), MSC
- Waiting @ Mexico offshore 6/1
- both moored 6/25, discharged 6/26, LFD 7/22
- c#8938 - Discharged 6/26, ready for pickup 7/18, LFD 7/22
- c#5329 - Discharged 6/26, ready for pickup 7/18, LFD 7/22
- c#8938 LFD extended to 7/28
- Benz issue credit $70 for APMZ 233338 chassis
- GW pay Binex chassis ($125)</t>
  </si>
  <si>
    <t>55PLTS</t>
  </si>
  <si>
    <t>TRHU6394410
TCKU6494792</t>
  </si>
  <si>
    <t>6/30/2022
7/1/2022</t>
  </si>
  <si>
    <t>EN#2143421, INV#PI22-19, LC05831U, PO#37006, OBL6/10
- CMA CGM A. LINCOLN, (TA20), COSCO
- have additional $250/container APM Surcharge
- At anchor 6/21, estimated berthing 6/23
- Moored 6/23, discharged 6/24, LFD 6/30
- Demurrage charges for TCKU6494792, LFD 06/30/22
- TCKU6494792 Demurrage Charges ($286.00 + E-Trans Admin Fee $50.00 = $336.00)</t>
  </si>
  <si>
    <t>NYKU5821230</t>
  </si>
  <si>
    <r>
      <rPr>
        <rFont val="Arial"/>
        <b/>
        <color rgb="FFFF0000"/>
        <sz val="11.0"/>
      </rPr>
      <t>OINTMENT 10G</t>
    </r>
    <r>
      <rPr>
        <rFont val="Arial"/>
        <color rgb="FF000000"/>
        <sz val="11.0"/>
      </rPr>
      <t>, RED 18G, OINTMENT 18G, WHITE 18G, RED 4G, WHITE 4G</t>
    </r>
  </si>
  <si>
    <t>EN#2141625, INV#PI22-09, LC05809U, PO#36755, OBL4/28
- MONACO BRIDGE, (TD18), ONE
- have additional $250 Global Surcharge
- At anchor 6/20, estimated berthing 6/21
- Moored 6/21, discharged 6/23, LFD 6/28</t>
  </si>
  <si>
    <t>NYKU3272228</t>
  </si>
  <si>
    <t>EN#2141626, INV#PI22-09, LC05809U, PO#36754, OBL4/28, empty return 7/11
- MONACO BRIDGE, (TD19), ONE
- have additional $250 Global Surcharge
- At anchor 6/20, estimated berthing 6/21
- Moored 6/21, discharged 6/23, LFD 6/28</t>
  </si>
  <si>
    <t>UACU8436390</t>
  </si>
  <si>
    <t>PATCH 1'S, KLO 57ML</t>
  </si>
  <si>
    <t>EN#2143420, INV#PI22-19 &amp; PI22-23, LC05833U, PO#37007, OBL6/6
- ONE COMMITMENT, (TA19), HL
- Moored 6/16, discharged 6/22, LFD 6/28</t>
  </si>
  <si>
    <t>74PLTS</t>
  </si>
  <si>
    <t>HLBU1131967
HLXU5368527
HLBU1183549</t>
  </si>
  <si>
    <t>PATCH, KLO 57ML, 28ML</t>
  </si>
  <si>
    <t>6/23/2022
6/22/2022
6/15/2022</t>
  </si>
  <si>
    <t>EN#2142774, INV#PI22-19 &amp; PI22-23, LC05829U, PO#36977, OBL5/25, GATEFEE6/9
- MOL CREATION, (TA14), HL
- c#1967 - Moored 6/11, discharged 6/13, LFD 6/24
- c#8527 - Moored 6/11, discharged 6/13, LFD 6/24
- c#3549 - 6/15, discharged 6/12, LFD 6/16
- Pending empty return location (40 ft, c#1967, 8527)
- 6/15 HLBU1183549 was returned to UIS  and the chassis was returned to terminal. - Driver was in UIS from 12:34-2:24pm additional 1hr for waiting.
- HLXU5368527 empty will return to PCMC and the chassis will return to terminal, additional split return chassis</t>
  </si>
  <si>
    <t>WHSU6278269
HJLU1382102</t>
  </si>
  <si>
    <t>OINTMENT 10G, 18G, WHITE 18G, RED 4G, 18G</t>
  </si>
  <si>
    <t>6/27/2022
7/1/2022</t>
  </si>
  <si>
    <t>EN#2143575, INV#PI22-21, LC05828U, PO#36964, OBL6/14 (by bank), GATEFEE6/13
- WAN HAI 309, (TB2), WAN HAI
- 6/14 OBL sent by bank directly to forwarder, FedEx tracking 777124496762
- Both moored 6/11, discharged 6/12
- c#8269, LFD 6/27
- c#2102, ready for pickup 6/27, LFD 7/1</t>
  </si>
  <si>
    <t>CLHU4782208
UACU8196448</t>
  </si>
  <si>
    <t>PATCH, LINIMENT 57ML, KLO 57ML, 28ML</t>
  </si>
  <si>
    <t>6/8/2022
6/9/2022</t>
  </si>
  <si>
    <t>EN#2142775, INV#PI22-19, PI22-22 &amp; PI22-23, LC05833U, PO#36963, OBL5/25
- MOL CREATION, (TA15), HL
- c#2208 - Moored 5/31, discharged 6/4, LFD 6/9
- c#6448 - Moored 5/31, discharged 6/4, LFD 6/9</t>
  </si>
  <si>
    <t>201PLTS</t>
  </si>
  <si>
    <t>TCNU8579044
CSNU6666490
TCLU1753178
BEAU6209145
CSNU8069831
CSNU6148422</t>
  </si>
  <si>
    <r>
      <rPr>
        <rFont val="Arial"/>
        <color rgb="FF000000"/>
        <sz val="11.0"/>
      </rPr>
      <t xml:space="preserve">PATCH, PATCH 1'S, LINIMENT 57ML, </t>
    </r>
    <r>
      <rPr>
        <rFont val="Arial"/>
        <b/>
        <color rgb="FFFF0000"/>
        <sz val="11.0"/>
      </rPr>
      <t>KLO 57ML</t>
    </r>
    <r>
      <rPr>
        <rFont val="Arial"/>
        <color rgb="FF000000"/>
        <sz val="11.0"/>
      </rPr>
      <t xml:space="preserve">, </t>
    </r>
    <r>
      <rPr>
        <rFont val="Arial"/>
        <color rgb="FF0000FF"/>
        <sz val="11.0"/>
      </rPr>
      <t>28ML</t>
    </r>
    <r>
      <rPr>
        <rFont val="Arial"/>
        <color rgb="FF000000"/>
        <sz val="11.0"/>
      </rPr>
      <t xml:space="preserve">
</t>
    </r>
    <r>
      <rPr>
        <rFont val="Arial"/>
        <b/>
        <color rgb="FF0000FF"/>
        <sz val="11.0"/>
      </rPr>
      <t>(6 containers)</t>
    </r>
  </si>
  <si>
    <t>6/8/2022
6/7/2022
6/8/2022
6/6/2022
6/7/2022
6/7/2022</t>
  </si>
  <si>
    <t>EN#2142949, INV#PI22-19, PI22-22 &amp; PI22-23, LC05831U, PO#36936, OBL5/25
- CMA CGM MEXICO, (TA17), COSCO
- have additional $150/container APM Surcharge
- All moored 5/31, discharged 6/1, LFD 6/7
- TCLU1753178 prepull 6/7
- TCNU8579044 *Pre-pulled on 06/08/22, Demurrage ($286.00) + Admin Fee ($50.00) = $336.00)</t>
  </si>
  <si>
    <t>MEDU6492240</t>
  </si>
  <si>
    <r>
      <rPr>
        <rFont val="Arial"/>
        <color rgb="FF000000"/>
        <sz val="11.0"/>
      </rPr>
      <t xml:space="preserve">OINTMENT 10G, 18G, </t>
    </r>
    <r>
      <rPr>
        <rFont val="Arial"/>
        <b/>
        <color rgb="FFFF0000"/>
        <sz val="11.0"/>
      </rPr>
      <t>WHITE 18G</t>
    </r>
    <r>
      <rPr>
        <rFont val="Arial"/>
        <color rgb="FF000000"/>
        <sz val="11.0"/>
      </rPr>
      <t xml:space="preserve">, </t>
    </r>
    <r>
      <rPr>
        <rFont val="Arial"/>
        <b/>
        <color rgb="FFFF0000"/>
        <sz val="11.0"/>
      </rPr>
      <t>RED 4G</t>
    </r>
    <r>
      <rPr>
        <rFont val="Arial"/>
        <color rgb="FF000000"/>
        <sz val="11.0"/>
      </rPr>
      <t>, WHITE 4G</t>
    </r>
  </si>
  <si>
    <t>EN#2138483, INV#PI21-88, LC05783U, PO#36291, OBL1/20, GATEFEE5/31, empty return 6/16
- MSC BRUNELLA, (TC9), MSC
- 5/16 LL paid vendor invoice
- Waiting @ Mexico offshore 5/8
- Moored 5/28, discharged 6/1, LFD 6/17</t>
  </si>
  <si>
    <t>TCLU1663623</t>
  </si>
  <si>
    <r>
      <rPr>
        <rFont val="Arial"/>
        <b/>
        <color rgb="FFFF0000"/>
        <sz val="11.0"/>
      </rPr>
      <t>OINTMENT 18G</t>
    </r>
    <r>
      <rPr>
        <rFont val="Arial"/>
        <b/>
        <color rgb="FF000000"/>
        <sz val="11.0"/>
      </rPr>
      <t xml:space="preserve">, </t>
    </r>
    <r>
      <rPr>
        <rFont val="Arial"/>
        <b/>
        <color rgb="FF0000FF"/>
        <sz val="11.0"/>
      </rPr>
      <t>50G</t>
    </r>
    <r>
      <rPr>
        <rFont val="Arial"/>
        <b/>
        <color rgb="FF000000"/>
        <sz val="11.0"/>
      </rPr>
      <t xml:space="preserve">, </t>
    </r>
    <r>
      <rPr>
        <rFont val="Arial"/>
        <b/>
        <color rgb="FFFF0000"/>
        <sz val="11.0"/>
      </rPr>
      <t>WHITE 18G</t>
    </r>
  </si>
  <si>
    <t>EN#2142776, INV#PI22-16, LC05816U, PO#36923, OBL5/31, empty return 6/6
- YM UNIFORMITY, (TA16), ONE
- Moored 5/26, discharged 5/29, LFD 6/3
- prepull 6/3, LFD 6/3</t>
  </si>
  <si>
    <t>145PLTS</t>
  </si>
  <si>
    <t>CAAU5222041
FSCU8223355
ZCSU7330730
ZCSU8979220</t>
  </si>
  <si>
    <t>5/27/2022
5/31/2022
5/26/2022
5/26/2022</t>
  </si>
  <si>
    <t>EN#2142121, INV#PI22-13, LC05818U, PO#36748, OBL5/3
- CCNI ANGOL, (TA8), ZIM
- 5/5 E-Trans cannot handle, Apex will deliver
- At anchor 5/17, moored 5/24
- c#2041, discharged 5/24, LFD 5/31, delivered 5/27
- c#3355, discharged 5/25, LFD 6/1, delivered 5/31
- c#0730, discharged 5/24, LFD 5/31, delivered 5/26
- c#9220, discharged 5/24, LFD 5/31, delivered 5/26</t>
  </si>
  <si>
    <t>FBIU0003142</t>
  </si>
  <si>
    <t>EN#2141231, INV#PI21-86, LC05791U, PO#36660, OBL4/4, GATEFEE5/23, empty return 6/13
- MSC AMSTERDAM, (TD11), MSC
- Moored 5/21, discharged 5/21, LFD 6/10
- out gated at 4:25pm, driver can’t make it before 5pm. have additional charge of  pre-pull + 4days yard parking + 5 ½ hrs. waiting time/ was from 8:46am-4:25pm
- prepull 6/10 due to pier wating, cannot deliver on the same day 6/10</t>
  </si>
  <si>
    <t>WHLU5706053</t>
  </si>
  <si>
    <t>EN#2142122, INV#PI22-16, LC05816U, PO#36822, OBL5/10, empty return 6/1
- WAN HAI 509, (TA11), WAN HAI
- Moored 5/22, discharged 5/23, LFD 5/27
- prepull 5/26, charged $120</t>
  </si>
  <si>
    <t>TRHU5753768</t>
  </si>
  <si>
    <t>OINTMENT 18G, 50G, RED 4G</t>
  </si>
  <si>
    <t>EN#2142461, INV#PI22-16, LC05816U, PO#36831, OBL5/5
- YM UPSURGENCE, (TA13), ONE
- Moored 5/19, discharged 5/23, LFD 6/3
- prepull 6/3</t>
  </si>
  <si>
    <t>CSNU6939629</t>
  </si>
  <si>
    <t>EN#2142222, INV#PI22-14, LC05819U, PO#36745, OBL5/2, empty return 5/19
- CMA CGM MAGELLAN, (TA7), COSCO
- have additional $150 APM Surcharge
- Moored 5/15, discharged 5/16, LFD 5/20
- no delivery appointment informed, delivered 5/17</t>
  </si>
  <si>
    <t>92PLTS</t>
  </si>
  <si>
    <t>OOCU8409660
CBHU8897611
TCNU2542639</t>
  </si>
  <si>
    <t>5/24/2022
5/20/2022
5/23/2022</t>
  </si>
  <si>
    <t>EN#2142043, INV#PI22-13, PI22-17 &amp; PI22-18, LC05818U, PO#36746, OBL5/3
- CMA CGM MAGELLAN, (TD22), COSCO
- Etrans cannot handle delivery
- All moored 5/15, discharged 5/18, LFD 5/24
- c#9660 delivered 5/24
- c#7611 delivered 5/20
- c#2639 delivered 5/23</t>
  </si>
  <si>
    <t>TRHU1353763</t>
  </si>
  <si>
    <t>PATCH 1'S, LINIMENT 57ML, KLO 28ML, 57ML</t>
  </si>
  <si>
    <t>EN#2141837, INV#PI22-08, PI22-11 &amp; PI22-12, LC05810U, PO# 36750, OBL4/22, GATEAFEE5/5, empty return 5/18
- ONE HANNOVER, (TA4), YM
- Moored 5/13, discharged 5/15, LFD 5/19</t>
  </si>
  <si>
    <t>8PLTS
(LCL)</t>
  </si>
  <si>
    <t>GLDU7630893</t>
  </si>
  <si>
    <t>PATCH 1'S, PATCH 2'S, LINIMENT 57ML</t>
  </si>
  <si>
    <t>EN#2140301, INV#PI22-01, PI22-04 &amp; PI22-06, LC05796U, PO#36531, OBL3/8
- NORTHERN JUPITER, (TD6), MSC
- Moored 4/28 @ OAK, but won't discharge
- Moored 5/10 @ LA, discharged 5/11, LFD 5/16
- Discharged @ LA 5/11, carrier will transfer to OAK
- FCL picked up 5/17, empty return 5/17
- LCL pickup LFD 5/24</t>
  </si>
  <si>
    <t>OOCU7520108</t>
  </si>
  <si>
    <t>OINTMENT 10G, RED 18G, OINTMENT 18G, WHITE 18G, RED 4G</t>
  </si>
  <si>
    <t>EN#2142044, INV#PI22-16, LC05815U, PO#36830, OBL5/5, GATEFEE5/11, empty return 5/17
- EVER FEAT, (TA10), OOCL
- Moored 5/12, discharged 5/12, LFD 5/19</t>
  </si>
  <si>
    <t>NYKU4945004</t>
  </si>
  <si>
    <r>
      <rPr>
        <rFont val="Arial"/>
        <color rgb="FF000000"/>
        <sz val="11.0"/>
      </rPr>
      <t xml:space="preserve">EN#2140810, INV#PI22-10, LC05808U, PO#36624, OBL3/29, </t>
    </r>
    <r>
      <rPr>
        <rFont val="Arial"/>
        <color rgb="FF000000"/>
        <sz val="11.0"/>
      </rPr>
      <t>empty return 5/20</t>
    </r>
    <r>
      <rPr>
        <rFont val="Arial"/>
        <color rgb="FF000000"/>
        <sz val="11.0"/>
      </rPr>
      <t xml:space="preserve">
- ONE STORK, (TD9), ONE
- have additional $200 GCT Bayonne Surcharge
- Moored 5/11, discharged 5/12, LFD 5/18</t>
    </r>
  </si>
  <si>
    <t>HMMU9058678</t>
  </si>
  <si>
    <t>PATCH 1'S, KLO 57ML, 28 ML</t>
  </si>
  <si>
    <t>EN#2142000, INV#PI22-08 &amp; PI22-12, LC05804U, PO#36747, OBL5/3
- YM UBIQUITY, (TA5), HDMU
- 4/26 FG send GW the revised CI (updated FOB &amp; freight)
- Moored 5/10, discharged 5/10, LFD 5/16
- FCL picked up 5/13</t>
  </si>
  <si>
    <t>KKFU6756776
SEGU9004238</t>
  </si>
  <si>
    <t>PATCH 1'S, LINIMENT 57ML, KLO 57ML, 28ML</t>
  </si>
  <si>
    <t>5/17/2022
5/13/2022</t>
  </si>
  <si>
    <t>EN#2142001, INV#PI22-13, PI22-17 &amp; PI22-18, LC05814U, PO#36753, OBL4/25
- YM WELLNESS, (TA3), ONE
- 5/13 submitted PO, only c#4238 received
- c#4238, prepull 5/12, delivered 5/13, submitted 5/16
- c#6776, moored 5/6, discharged 5/13, delivered 5/17, submitted 5/19</t>
  </si>
  <si>
    <t>DFSU6949235</t>
  </si>
  <si>
    <t>EN#2141835, INV#PI22-15, LC05813U, PO#36752, OBL4/19
- YM WELLNESS, (TA2), HDMU
- Moored 5/6, discharged 5/8, LFD 5/12
- FCL picked up 5/12, LCL pickup LFD 5/17</t>
  </si>
  <si>
    <t>CSLU2344559</t>
  </si>
  <si>
    <t>EN#2141694, INV#PI22-09, LC05811U, PO#36705, OBL4/25, GATEFEE5/3, empty return 5/11
- EVER FAME, (TD17), OOCL
- Moored 5/3, discharged 5/5, LFD 5/12
- Container was returned to PTS yard and chassis is returning to terminal, $75 for split return chassis</t>
  </si>
  <si>
    <t>CSNU6381500</t>
  </si>
  <si>
    <t>EN#2141836, INV#PI22-08, LC05807U, PO#36751, OBL4/27, empty return 5/9
- APL SENTOSA, (TA1), COSCO
- have additional $150 APM Surcharge
- Moored 5/1, discharged 5/1, LFD 5/5</t>
  </si>
  <si>
    <t>BEAU5445423</t>
  </si>
  <si>
    <t>EN#2140230, INV#PI22-05, LC05799U, PO#36532, OBL3/14, empty return 5/11
- YM WITNESS, (TD7), ONE
- have additional $200 Global Terminal Surcharge
- Moored 5/1, discharged 5/2, LFD 5/5
- 5/6 ONE has not empty return location, stored in Etrans yard, will have additional charges (Storage, Chassis, Per Diems)</t>
  </si>
  <si>
    <t>MSDU1150366</t>
  </si>
  <si>
    <t>OINTMENT 10G, WHITE 18G, RED 4G, WHITE 4G</t>
  </si>
  <si>
    <t>EN#2141428, INV#PI22-09, LC05806U, PO#36676, OBL4/15
- MAERSK ESSEX, (TD20), MSC
- OBL sent to correct mailing address, instead of addres on OBL
- Moored 4/25, discharged 4/26, prepull 4/27
- empty return 5/5, per diem 3 days, $405</t>
  </si>
  <si>
    <t>OOLU8701540</t>
  </si>
  <si>
    <t>RED 18G, OINTMENT 18G, WHITE 18G, RED 4G, WHITE 4G, OINTMENT 50G</t>
  </si>
  <si>
    <t>EN#2141151, INV#PI22-09, LC05811U, PO#36658, OBL4/13, GATEFEE 4/21
- EVER FUTURE, (TD12), OOCL
- Moored 4/20, discharged 4/20
- PO submitted 5/17</t>
  </si>
  <si>
    <t>WFHU5140909</t>
  </si>
  <si>
    <t>OINTMENT 10G, 18G</t>
  </si>
  <si>
    <t>EN#2139758, INV#PI22-05, LC05799U, PO#36481, OBL3/2, empty return 5/2
- ONE MUNCHEN, (TD1), ONE
- have additional $200 Global Terminal Surcharge
- Moored 4/20, discharged 4/21, LFD 4/26</t>
  </si>
  <si>
    <t>BEAU4601645</t>
  </si>
  <si>
    <t>EN#2141624, INV#PI22-10, LC05805U, PO#36677, OBL4/15
- CMA CGM SYMI, (TD21), ONE
- Moored 4/18, discharged 4/23, LFD 4/28, FCL picked up 4/27, LCL delivered 4/29</t>
  </si>
  <si>
    <t>39PLTS</t>
  </si>
  <si>
    <t>MSDU4020480
MEDU5543739</t>
  </si>
  <si>
    <r>
      <rPr>
        <rFont val="Arial"/>
        <b/>
        <color rgb="FFFF0000"/>
        <sz val="11.0"/>
      </rPr>
      <t>PATCH</t>
    </r>
    <r>
      <rPr>
        <rFont val="Arial"/>
        <color rgb="FF000000"/>
        <sz val="11.0"/>
      </rPr>
      <t xml:space="preserve">, </t>
    </r>
    <r>
      <rPr>
        <rFont val="Arial"/>
        <b/>
        <color rgb="FFFF0000"/>
        <sz val="11.0"/>
      </rPr>
      <t>LINIMENT 57ML</t>
    </r>
    <r>
      <rPr>
        <rFont val="Arial"/>
        <color rgb="FF000000"/>
        <sz val="11.0"/>
      </rPr>
      <t xml:space="preserve">, KLO 28ML, </t>
    </r>
    <r>
      <rPr>
        <rFont val="Arial"/>
        <b/>
        <color rgb="FFFF0000"/>
        <sz val="11.0"/>
      </rPr>
      <t>KLO 57ML</t>
    </r>
  </si>
  <si>
    <t>4/15/2022
4/14/2022</t>
  </si>
  <si>
    <t>EN#2137507, INV#PI21-79, PI21-81 &amp; PI21-82, LC05775U, PO#36172, OBL12/17, GATEFEE 4/8, A/N 3/25
- MSC VEGA, (TB21), MSC
- Moored 4/8, both discharged 4/10, LFD 4/14
- c#0480, prepull 4/14, deliver 4/15</t>
  </si>
  <si>
    <t>70PLTS</t>
  </si>
  <si>
    <t>MSDU4273847
MSDU4222562</t>
  </si>
  <si>
    <r>
      <rPr>
        <rFont val="Arial"/>
        <b/>
        <color rgb="FFFF0000"/>
        <sz val="11.0"/>
      </rPr>
      <t>PATCH</t>
    </r>
    <r>
      <rPr>
        <rFont val="Arial"/>
        <color rgb="FF000000"/>
        <sz val="11.0"/>
      </rPr>
      <t>,</t>
    </r>
    <r>
      <rPr>
        <rFont val="Arial"/>
        <b/>
        <color rgb="FFFF0000"/>
        <sz val="11.0"/>
      </rPr>
      <t xml:space="preserve"> PATCH 1'S</t>
    </r>
    <r>
      <rPr>
        <rFont val="Arial"/>
        <color rgb="FF000000"/>
        <sz val="11.0"/>
      </rPr>
      <t>, LINIMENT 57ML</t>
    </r>
  </si>
  <si>
    <t>4/28/2022
4/27/2022</t>
  </si>
  <si>
    <t>EN#2138089, INV#PI21-83 &amp; PI21-89, LC05784U, PO# 36292, OBL1/11, GATEFEE 4/11 &amp; 4/12
- MSC SONIA, (TC5), MSC
- Moored 4/11, both containers discharged 4/13, LFD 5/3</t>
  </si>
  <si>
    <t>NYKU0707707</t>
  </si>
  <si>
    <t>OINTMENT 10G, RED 18G</t>
  </si>
  <si>
    <t>EN#2139760, INV#PI22-05, LC05799U, PO#36480, OBL3/2, empty return 5/2
- ONE MINATO, (TD2), ONE
- have additional $200 GCT Bayonne Surcharge
- Moored 4/9, discharged 4/11
- Global terminal closed on 4/15, rescheduled to 4/18
- ONE not received empty, empty returned after ELFD, have per diem</t>
  </si>
  <si>
    <t>WHLU0417058</t>
  </si>
  <si>
    <t>OINTMENT 18G, WHITE 18G, RED 4G, WHITE 4G</t>
  </si>
  <si>
    <t xml:space="preserve">EN#2140200, INV#PI22-05, LC05799U, PO# 36529, OBL3/14, empty return 5/13
- WAN HAI 517, (TD5), WAN HAI
- E-Trans declined due to carrier and terminal carrier uses, need alternative trucker
- Apex will deliver, Live unload
- At anchor 3/31, moored 4/6, discharged 4/6, LFD 4/12
- empty cannot be returned, WAN HAI only allowed double move, Apex yard storage and chassis fees will accumulated until empty been returned
- Wan Hai will extend the return LFD when there is no single transaction return location so per diem does not accumulate
- 5/11 Wan Hai provide exception for single move, empty returned on 5/13
- Live unload, empty was picked up on same delivery day 4/11
- chassis charge = $50x32 days = $1600
- storage charge = $90x days = $2880_ </t>
  </si>
  <si>
    <t>EN#6015723, INV#PI22-12-air, T/R, PO#36668
- (TD15)
- Flight arrived 3/30</t>
  </si>
  <si>
    <t xml:space="preserve">EN#9033634, INV#PI22-10-air, T/R, PO#36667
- (TD16)
- LFD 3/26, storage for one day (03/27) is $4790.50
- Refer to received PO, customs took 1 dz T-31510, </t>
  </si>
  <si>
    <t>LAX</t>
  </si>
  <si>
    <t>3/23/22
3/24/22</t>
  </si>
  <si>
    <t>EN#6015646, 9033627, 9033628, INV#PI22-08-air, T/R, PO#36657
- CI5198, (TD13)
- Split shipment has 4 parts (3 DOs)
part A, EN# K80-6015646-1, 26 pallets
part B, EN# K80-9033627-3, 48 pallets
part C, EN# K80-9033627-3, 23 pallets
part D, EN# K80-9033628-1, 6 pallets
Total = 103 pallets</t>
  </si>
  <si>
    <t>OOLU0715146
OOLU9974488</t>
  </si>
  <si>
    <r>
      <rPr>
        <rFont val="Arial"/>
        <color rgb="FF000000"/>
        <sz val="11.0"/>
      </rPr>
      <t xml:space="preserve">PATCH, PATCH 1'S, LINIMENT 57ML, </t>
    </r>
    <r>
      <rPr>
        <rFont val="Arial"/>
        <b/>
        <color rgb="FFFF0000"/>
        <sz val="11.0"/>
      </rPr>
      <t>KLO 57ML, 28ML</t>
    </r>
  </si>
  <si>
    <t>3/31/2022
3/30/2022</t>
  </si>
  <si>
    <t>EN#2140598, INV#PI22-08, PI22-11 &amp; PI22-12, LC05807U, PO#36564, OBL3/15
- CMA CGM MARCO POLO, (TD8), OOCL
- have additional $150/container APM Surcharge
- OOLU0715146 - Moored 3/25, discharged 3/27, LFD 3/31
- OOLU9974488 - Moored 3/25, discharged 3/26, LFD 3/31</t>
  </si>
  <si>
    <t>41PLTS</t>
  </si>
  <si>
    <t>EN#9033635, INV#PI22-09-air, T/R, PO#36666
- (TD14)
- IT shipment from ORD arrived JFK warehouse 3/24, LFD 3/28
- extremely heavy shipment (41 pallets = 18,003 kgs )
- LFD is 03/28, storage starts on 03/29 ($1/kg per day)
- 3/28 All 41 pallets prepull from the terminal
- 3/30 delivered, one case missing, many pallets are damaged
- 3/30 GW submitted warehouse info to FDA for exam appointment
- 4/4 FDA released without exam appointment
- EN# K80-9033635-6
- per GW, no FDA release action notice will be issued, only received Cargo Release Results</t>
  </si>
  <si>
    <t>OOLU9336992
BMOU5846884</t>
  </si>
  <si>
    <t>PATCH, PATCH 1'S, LINIMENT 57ML, KLO 57ML, 28ML</t>
  </si>
  <si>
    <t>3/24/2022
3/24/2022</t>
  </si>
  <si>
    <t>EN#2139762, INV#PI22-01, PI22-06 &amp; PI22-07, LC05798U, PO#36450, OBL2/25
- OOCL KOREA, (TC19), COSCO
- Etrans cannot handle, Apex will deliver
- OOLU9336992 - Moored 3/21, discharged 3/22, LFD 3/28
- BMOU5846884 - Moored 3/21, discharged 3/22, LFD 3/28</t>
  </si>
  <si>
    <t>ONEU0137617</t>
  </si>
  <si>
    <t>EN#2138697, INV#PI21-88, LC05785U, PO# 36343, OBL1/27, empty return 3/30
- TANGIER EXPRESS, (TC12), ONE
- have $200 Global Surcharge
- Moored 3/20, discharged 3/21</t>
  </si>
  <si>
    <r>
      <rPr>
        <rFont val="Arial"/>
        <color rgb="FF000000"/>
        <sz val="11.0"/>
      </rPr>
      <t xml:space="preserve">EN#K80-6015301-3, INV#PI2209-Air, T/R, </t>
    </r>
    <r>
      <rPr>
        <rFont val="Arial"/>
        <color rgb="FF202124"/>
        <sz val="11.0"/>
      </rPr>
      <t>PO#36569</t>
    </r>
    <r>
      <rPr>
        <rFont val="Arial"/>
        <color rgb="FFFF0000"/>
        <sz val="11.0"/>
      </rPr>
      <t xml:space="preserve">
</t>
    </r>
    <r>
      <rPr>
        <rFont val="Arial"/>
        <color rgb="FF000000"/>
        <sz val="11.0"/>
      </rPr>
      <t>- F639 KALITTA AIR, (TD10)
- Split shipment, part A arrived 3/7, part B arrived 3/14</t>
    </r>
  </si>
  <si>
    <t>TEMU2662655</t>
  </si>
  <si>
    <t>PATCH 2'S (NEW)</t>
  </si>
  <si>
    <t>EN#2139848, INV#PI22-04, LC05798U, PO#36483, OBL3/2, empty return 3/17
- CMA CGM J. MADISON, (TC20), COSCO
- have additional $150 APM Surcharge
- Moored 3/10, discharged 3/12</t>
  </si>
  <si>
    <t>KOCU9016160</t>
  </si>
  <si>
    <t>NECK AND SHOULDER RUB</t>
  </si>
  <si>
    <t>EN#2139847, INV#PI21-87, LC05792U, PO#36401, OBL2/9, No GATEFEE
- ONE COMPETENCE, (TC18), HMM
- Moored 3/9, discharged 3/17
- 3/28 IT shipment ready in LA warehouse, pending transfer to OAK</t>
  </si>
  <si>
    <t>PATCH 2'S, LINIMENT 57ML</t>
  </si>
  <si>
    <t>EN#2139759, INV#PI22-04 &amp; PI22-06, LC05800U, PO#36477, OBL3/2
- ONE COMPETENCE, (TD3)
- NORMAN, HBL#: TWILGB39387
- KRIEGER, MBL#: HDMUSINM31585900
- Moored 3/9, discharged 3/17, picked up FCL 3/28</t>
  </si>
  <si>
    <t>WHSU2702070</t>
  </si>
  <si>
    <t>RED 18G, WHITE 18G, RED 4G, WHITE 4G</t>
  </si>
  <si>
    <t>EN#2139996, INV#PI22-05, LC05795U, PO#36478, OBL2/24, GATEFEE3/8
- CAPE FARO, (TC21), WAN HAI
- At anchor @ offshore 2/20
- Moored 3/8, discharged 3/10</t>
  </si>
  <si>
    <t>KKFU7580207</t>
  </si>
  <si>
    <t>OINTMENT 10G, 18G, WHITE 18G, RED 4G, WHITE 4G, OINTMENT 50G</t>
  </si>
  <si>
    <t>EN#2139761, IN#PI22-05, LC05801U, PO#36482, OBL3/2
- YM UNANIMITY, (TC22), ONE
- Moored 3/4, discharged 3/5
- 3/9 no chassis, rescheduled 3/10</t>
  </si>
  <si>
    <t>91PLTS</t>
  </si>
  <si>
    <t>CSNU7590423
TCNU3853548
FCIU9660807</t>
  </si>
  <si>
    <t>3/11/2022
3/10/2022
3/9/2022</t>
  </si>
  <si>
    <t>EN#2138496, INV#PI21-83 &amp; PI21-89, LC05786U, PO#36295, OBL1/20
- COSCO HELLAS, (TC13), COSCO
- additional $150/container Maher Surcharge
- Moored 3/4, All discharged 3/4, LFD 3/10
- CSNU7590423 prepull 3/10, LFD 3/10, deliver 3/11</t>
  </si>
  <si>
    <t>EN#6015254, INV#PI2209-Air, T/R, PO#36528
- Atlas Air 5Y4416, (TD4)
- Arrived 2/27, has demurrage
- delivery rate for this large shipment will be $1787.81 (including the additional $400)
- storage charges (demurrage) is $4,572.17</t>
  </si>
  <si>
    <t>YMLU8661952</t>
  </si>
  <si>
    <t>EN#2137937, INV#PI21-75, LC05772U, PO#36205, OBL12/17, AN 1/6
- MADRID BRIDGE, (TC3), YM
- 2/3 Vessel suffered container collapse in the North Atlantic Ocean 1/7, pending further info
- Moored 2/26, discharged 2/27, FCL picked up 3/3</t>
  </si>
  <si>
    <t>BEAU2141140</t>
  </si>
  <si>
    <r>
      <rPr>
        <rFont val="Arial"/>
        <color rgb="FF000000"/>
        <sz val="11.0"/>
      </rPr>
      <t xml:space="preserve">RED 18G, </t>
    </r>
    <r>
      <rPr>
        <rFont val="Arial"/>
        <b/>
        <color rgb="FFFF0000"/>
        <sz val="11.0"/>
      </rPr>
      <t>OINTMENT 18G</t>
    </r>
  </si>
  <si>
    <t>EN#2137509, IN#PI21-77, LC05766U, PO#36166, OBL12/17, empty return 3/9
- MADRID BRIDGE, (TC1), ONE
- have $200 GCT Bayonne Surcharge
- 2/3 Vessel suffered container collapse in the North Atlantic Ocean 1/7, pending further info
- 2/7 per ONE, not listed on the damaged or lost containers
- prepull 3/3, deliver 3/4</t>
  </si>
  <si>
    <t>BMOU2730870</t>
  </si>
  <si>
    <r>
      <rPr>
        <rFont val="Arial"/>
        <b/>
        <color rgb="FFFF0000"/>
        <sz val="11.0"/>
      </rPr>
      <t>OINTMENT 18G</t>
    </r>
    <r>
      <rPr>
        <rFont val="Arial"/>
        <color rgb="FF0000FF"/>
        <sz val="11.0"/>
      </rPr>
      <t>,</t>
    </r>
    <r>
      <rPr>
        <rFont val="Arial"/>
        <color rgb="FF000000"/>
        <sz val="11.0"/>
      </rPr>
      <t xml:space="preserve"> </t>
    </r>
    <r>
      <rPr>
        <rFont val="Arial"/>
        <b/>
        <color rgb="FFFF0000"/>
        <sz val="11.0"/>
      </rPr>
      <t>WHITE 18G</t>
    </r>
  </si>
  <si>
    <t>EN#2137508, INV#PI21-80, LC05776U, PO#36171, OBL12/10, empty return 3/7
- MADRID BRIDGE, (TB22), ONE
- have $200 GCT Bayonne Surcharge
- 2/3 Vessel suffered container collapse in the North Atlantic Ocean 1/7, pending further info
- 2/7 per ONE, not listed on the damaged or lost containers
- Moored 2/26, discharged 2/26</t>
  </si>
  <si>
    <t>TEMU8507450</t>
  </si>
  <si>
    <t>EN#2139042, INV#PI21-85, LC05787U, PO#36365, OBL1/27
- YM WIDTH, (TC15), YM
- Moored 2/23, discharged 2/24, LFD 3/2
- LCL ready for pickup 3/3, LCL LFD 3/7</t>
  </si>
  <si>
    <t>WHSU6744161</t>
  </si>
  <si>
    <r>
      <rPr>
        <rFont val="Arial"/>
        <color rgb="FF000000"/>
        <sz val="11.0"/>
      </rPr>
      <t>OINTMENT 18G,</t>
    </r>
    <r>
      <rPr>
        <rFont val="Arial"/>
        <b/>
        <color rgb="FFFF0000"/>
        <sz val="11.0"/>
      </rPr>
      <t xml:space="preserve"> 50G</t>
    </r>
  </si>
  <si>
    <t>EN#2139114, INV#PI21-88, LC05785U, PO#36402, OBL2/7, empty return 3/15
- WAN HAI 612, (TC16), WAN HAI
- per Etrans, avoid WAN HAI!
- Moored 3/4, discharged 3/5
- 3/10 Wan Hai is not open for receiving empties until further notice, have additional charges (Storage, Chassis, Per Diems)
- 3/15 empty returned</t>
  </si>
  <si>
    <t>SEGU5424588</t>
  </si>
  <si>
    <t>EN#2140015, INV#PI22-03, LC05797U, PO#36452, OBL2/15
- AL QIBLA, (TC17), YM
- Moored 2/21, discharged 2/21, picked up FCL 2/22, LCL ready for pickup 2/23</t>
  </si>
  <si>
    <t>TRHU6635585</t>
  </si>
  <si>
    <r>
      <rPr>
        <rFont val="Arial"/>
        <color rgb="FF000000"/>
        <sz val="11.0"/>
      </rPr>
      <t xml:space="preserve">RED 18G, </t>
    </r>
    <r>
      <rPr>
        <rFont val="Arial"/>
        <b/>
        <color rgb="FFFF0000"/>
        <sz val="11.0"/>
      </rPr>
      <t>OINTMENT 50G</t>
    </r>
  </si>
  <si>
    <t>EN#2138482, INV#PI21-88, LC05785U, PO#36294, OBL1/20
- AL QIBLA, (TC8), ONE
- have GCT Bayonne Surcharge: $200
- Moored 2/21, discharged 2/22
- LFD 2/28, deliver 3/1, has demurrage</t>
  </si>
  <si>
    <t>69PLTS</t>
  </si>
  <si>
    <t>GLDU0474063
TCLU4005035</t>
  </si>
  <si>
    <t>PATCH, LINIMENT 57ML</t>
  </si>
  <si>
    <t>3/2/2022
3/1/2022</t>
  </si>
  <si>
    <t>EN#2138243, INV#PI21-83 &amp; PI21-89, LC05789U, PO# 36293, OBL1/11
- MSC SONIA, (TC7), MSC
- At anchor @ Mexico offshore 2/14
- GLDU0474063, Moored 2/21, discharged 2/24
- TCLU4005035, Moored 2/21, discharged 2/23
- TCLU4005035 LFD 2/28, trucker will pull out and store in yard</t>
  </si>
  <si>
    <t>TTNU4557543
TRLU9514287</t>
  </si>
  <si>
    <r>
      <rPr>
        <rFont val="Arial"/>
        <color rgb="FF000000"/>
        <sz val="11.0"/>
      </rPr>
      <t xml:space="preserve">PATCH, PATCH 1'S, </t>
    </r>
    <r>
      <rPr>
        <rFont val="Arial"/>
        <b/>
        <color rgb="FFFF0000"/>
        <sz val="11.0"/>
      </rPr>
      <t>LINIMENT 57ML</t>
    </r>
    <r>
      <rPr>
        <rFont val="Arial"/>
        <color rgb="FF000000"/>
        <sz val="11.0"/>
      </rPr>
      <t xml:space="preserve">, </t>
    </r>
    <r>
      <rPr>
        <rFont val="Arial"/>
        <b/>
        <color rgb="FFFF0000"/>
        <sz val="11.0"/>
      </rPr>
      <t>KLO 57ML, 28ML</t>
    </r>
  </si>
  <si>
    <t>2/24/2022
2/22/2022</t>
  </si>
  <si>
    <t>EN#2137505, INV#PI21-79, PI21-81 &amp; PI21-82, LC05779U, PO#36173, OBL12/17
- MSC VEGA, (TB17), MSC
- At anchor @ Mexico offshore 1/9
- Moored 2/15, discharged 2/15</t>
  </si>
  <si>
    <t>TCNU1966550</t>
  </si>
  <si>
    <t>LARGE PATCH
(NDC NO : 66761-321-04)</t>
  </si>
  <si>
    <t>EN#2139168, INV#PI22-02, T/R, PO#36451, GATEFEE2/9
- BINDI IPSA, (TC14), YM
- Moored 2/14, discharged 2/16</t>
  </si>
  <si>
    <t>TCNU3579550</t>
  </si>
  <si>
    <r>
      <rPr>
        <rFont val="Arial"/>
        <color theme="1"/>
        <sz val="11.0"/>
      </rPr>
      <t xml:space="preserve">RED 18G, </t>
    </r>
    <r>
      <rPr>
        <rFont val="Arial"/>
        <color theme="1"/>
        <sz val="11.0"/>
      </rPr>
      <t>OINTMENT 18G</t>
    </r>
    <r>
      <rPr>
        <rFont val="Arial"/>
        <color theme="1"/>
        <sz val="11.0"/>
      </rPr>
      <t xml:space="preserve">, WHITE 18G, WHITE 4G, </t>
    </r>
    <r>
      <rPr>
        <rFont val="Arial"/>
        <color theme="1"/>
        <sz val="11.0"/>
      </rPr>
      <t>OINTMENT 50G</t>
    </r>
  </si>
  <si>
    <t>EN#2138648, INV#PI21-88, LC05788U, PO#36296, OBL1/17
- YM UNICORN, (TC11), ONE
- At anchor @ Mexico offshore 2/1 
- Moored 2/12, discharged 2/15</t>
  </si>
  <si>
    <t>TLLU5552816</t>
  </si>
  <si>
    <r>
      <rPr>
        <rFont val="Arial"/>
        <color theme="1"/>
        <sz val="11.0"/>
      </rPr>
      <t xml:space="preserve">RED 18G, </t>
    </r>
    <r>
      <rPr>
        <rFont val="Arial"/>
        <color theme="1"/>
        <sz val="11.0"/>
      </rPr>
      <t>OINTMENT 18G</t>
    </r>
    <r>
      <rPr>
        <rFont val="Arial"/>
        <color theme="1"/>
        <sz val="11.0"/>
      </rPr>
      <t xml:space="preserve">, </t>
    </r>
    <r>
      <rPr>
        <rFont val="Arial"/>
        <color theme="1"/>
        <sz val="11.0"/>
      </rPr>
      <t>50G</t>
    </r>
  </si>
  <si>
    <t>EN#2138088, INV#PI21-80, LC05776U, PO#36226, OBL12/28
- YM WELLHEAD, (TC4), ONE
- Moored 2/10, discharged 2/11
- 2/15 Etrans no driver, Apex will deliver</t>
  </si>
  <si>
    <t>TCLU1848036</t>
  </si>
  <si>
    <r>
      <rPr>
        <rFont val="Arial"/>
        <color rgb="FF202124"/>
        <sz val="11.0"/>
      </rPr>
      <t xml:space="preserve">RED 18G, </t>
    </r>
    <r>
      <rPr>
        <rFont val="Arial"/>
        <color rgb="FF202124"/>
        <sz val="11.0"/>
      </rPr>
      <t>OINTMENT 18G</t>
    </r>
    <r>
      <rPr>
        <rFont val="Arial"/>
        <color rgb="FF202124"/>
        <sz val="11.0"/>
      </rPr>
      <t xml:space="preserve">, WHITE 18G, </t>
    </r>
    <r>
      <rPr>
        <rFont val="Arial"/>
        <color rgb="FF202124"/>
        <sz val="11.0"/>
      </rPr>
      <t>RED 4G</t>
    </r>
    <r>
      <rPr>
        <rFont val="Arial"/>
        <color rgb="FF202124"/>
        <sz val="11.0"/>
      </rPr>
      <t>, WHITE 4G</t>
    </r>
  </si>
  <si>
    <t>EN#2137682, INV#PI21-80, LC05778U, PO#36206, OBL12/23
- YM UNIFORM, (TB18), ONE
- no chassis 2/8, reschedule 2/10
- no chassis, cannot pull out 2/9 night, repull 2/11 night, store at yard, rescheduled 2/14
- Demurrage will be paid through 2/11, pull 2/11 and bring back to yard for Monday 2/14 delivery, drop and storage charges of $190
- LFD 2/10, demurrage $235</t>
  </si>
  <si>
    <t>BMOU3163087</t>
  </si>
  <si>
    <t>EN#2138643, INV#PI21-84, T/R, PO#36309, GATEFEE1/17
- YM ETERNITY, (TC10), YM</t>
  </si>
  <si>
    <t>TRHU8615295</t>
  </si>
  <si>
    <r>
      <rPr>
        <rFont val="Arial"/>
        <color theme="1"/>
        <sz val="11.0"/>
      </rPr>
      <t>OINTMENT 10G, 18G</t>
    </r>
    <r>
      <rPr>
        <rFont val="Arial"/>
        <color theme="1"/>
        <sz val="11.0"/>
      </rPr>
      <t xml:space="preserve">, RED 18G, </t>
    </r>
    <r>
      <rPr>
        <rFont val="Arial"/>
        <color theme="1"/>
        <sz val="11.0"/>
      </rPr>
      <t>WHITE 18G</t>
    </r>
  </si>
  <si>
    <t>EN#2137246, INV#PI21-77, PO#36162, OBL12/17
- YM UNIFORMITY, (TB16), ONE</t>
  </si>
  <si>
    <t>TLLU4554579</t>
  </si>
  <si>
    <r>
      <rPr>
        <rFont val="Arial"/>
        <color rgb="FF000000"/>
        <sz val="11.0"/>
      </rPr>
      <t xml:space="preserve">RED 18G, </t>
    </r>
    <r>
      <rPr>
        <rFont val="Arial"/>
        <color rgb="FF000000"/>
        <sz val="11.0"/>
      </rPr>
      <t>OINTMENT 18G</t>
    </r>
  </si>
  <si>
    <t>2/1/2022 (LA)
2/9/2022 (SF)</t>
  </si>
  <si>
    <t>EN#2137245, INV#PI21-77, PO#36167, OBL12/17
- YM UNIFORMITY, (TB15), ONE
- prepull 1/31 @ 3.05pm, deliver 2/1</t>
  </si>
  <si>
    <t>FFAU1840106</t>
  </si>
  <si>
    <r>
      <rPr>
        <rFont val="Arial"/>
        <color rgb="FF202124"/>
        <sz val="11.0"/>
      </rPr>
      <t>OINTMENT 10G</t>
    </r>
    <r>
      <rPr>
        <rFont val="Arial"/>
        <color rgb="FF202124"/>
        <sz val="11.0"/>
      </rPr>
      <t xml:space="preserve">, </t>
    </r>
    <r>
      <rPr>
        <rFont val="Arial"/>
        <color rgb="FF202124"/>
        <sz val="11.0"/>
      </rPr>
      <t>18G,</t>
    </r>
    <r>
      <rPr>
        <rFont val="Arial"/>
        <color rgb="FF202124"/>
        <sz val="11.0"/>
      </rPr>
      <t xml:space="preserve"> </t>
    </r>
    <r>
      <rPr>
        <rFont val="Arial"/>
        <color rgb="FF202124"/>
        <sz val="11.0"/>
      </rPr>
      <t>50G</t>
    </r>
    <r>
      <rPr>
        <rFont val="Arial"/>
        <color rgb="FF202124"/>
        <sz val="11.0"/>
      </rPr>
      <t>, RED 18G</t>
    </r>
  </si>
  <si>
    <t>EN#2137629, INV#PI21-80, LC05776U, PO#36179, OBL12/23
- YM WIND, (TB19), ONE
- empty return 2/1, ONE not receiving empty, ELFD 1/31, may have per diem charge</t>
  </si>
  <si>
    <t>94PLTS</t>
  </si>
  <si>
    <t>FFAU3602853
OOLU8913359
FCIU7204372</t>
  </si>
  <si>
    <r>
      <rPr>
        <rFont val="Arial"/>
        <color rgb="FF000000"/>
        <sz val="11.0"/>
      </rPr>
      <t>PATCH</t>
    </r>
    <r>
      <rPr>
        <rFont val="Arial"/>
        <color rgb="FF000000"/>
        <sz val="11.0"/>
      </rPr>
      <t xml:space="preserve">, PATCH 1'S, </t>
    </r>
    <r>
      <rPr>
        <rFont val="Arial"/>
        <color rgb="FF000000"/>
        <sz val="11.0"/>
      </rPr>
      <t>LINIMENT 57ML</t>
    </r>
    <r>
      <rPr>
        <rFont val="Arial"/>
        <color rgb="FF000000"/>
        <sz val="11.0"/>
      </rPr>
      <t>, KLO 28ML, 57ML</t>
    </r>
  </si>
  <si>
    <t>1/27/2022
1/27/2022
1/26/2022</t>
  </si>
  <si>
    <t>EN#2137506, INV#PI21-79, PI21-81 &amp; PI21-82, LC05777U, PO#36169, OBL12/10
- COSCO PACIFIC, (TB20), COSCO
- have additional $150/container Maher Surcharge</t>
  </si>
  <si>
    <t>WHSU2476100</t>
  </si>
  <si>
    <r>
      <rPr>
        <rFont val="Arial"/>
        <color rgb="FF000000"/>
        <sz val="11.0"/>
      </rPr>
      <t>OINTMENT 10G, RED 18G, WHITE 18G,</t>
    </r>
    <r>
      <rPr>
        <rFont val="Arial"/>
        <color rgb="FF000000"/>
        <sz val="11.0"/>
      </rPr>
      <t xml:space="preserve"> RED 4G</t>
    </r>
    <r>
      <rPr>
        <rFont val="Arial"/>
        <color rgb="FF000000"/>
        <sz val="11.0"/>
      </rPr>
      <t xml:space="preserve">, </t>
    </r>
    <r>
      <rPr>
        <rFont val="Arial"/>
        <color rgb="FF000000"/>
        <sz val="11.0"/>
      </rPr>
      <t>WHITE 4G</t>
    </r>
  </si>
  <si>
    <t xml:space="preserve">EN#2138093, INV#PI21-88, LC05785U, PO#36225, OBL1/17
- WAN HAI 523, (TC6), WAN HAI
- have additional $250 GCT NY Surcharge
- 1/26 the origin made mistake on HBL, should send to Global Forwarding Enterprise, instead of Global Distribution &amp; Logistics
- 1/27 resend OBL to Global Forwarding Enterprise, fedex tracking 775889906187
</t>
  </si>
  <si>
    <t>TRLU4817906
MEDU1785760</t>
  </si>
  <si>
    <r>
      <rPr>
        <rFont val="Arial"/>
        <color rgb="FF000000"/>
        <sz val="11.0"/>
      </rPr>
      <t xml:space="preserve">PATCH, PATCH 1'S, </t>
    </r>
    <r>
      <rPr>
        <rFont val="Arial"/>
        <color rgb="FF000000"/>
        <sz val="11.0"/>
      </rPr>
      <t>KLO 57ML, 28ML</t>
    </r>
  </si>
  <si>
    <t>EN#2136228, INV#PI21-73 &amp; PI21-78, PO#36055, OBL11/3
- MSC ALTAIR, (TB1), MSC
- additional $180 in chassis fees</t>
  </si>
  <si>
    <t>CULU6287337</t>
  </si>
  <si>
    <t>OINTMENT 10G, 18G, RED 18G, 4G / WHITE 18G, 4G</t>
  </si>
  <si>
    <t>EN#2137925, INV#PI21-80, LC05774U, PO#36224, OBL12/23, No GATEFEE (reason unknown), empty return 2/9
- ALS VENUS, (TC2), CU LINES
- 12/22 FDA request products information, FG replied
- 12/23 bank send OBL to freight forwarder
- tentative berthing pending date is 1/13/22
- Ready for pickup 2/2, LFD 2/10
- 2/9 live unload, pending empty return location, CLFD 2/14
- Per Kesco, no freight invoice</t>
  </si>
  <si>
    <t>UETU5691798</t>
  </si>
  <si>
    <t>EN#2136980, INV#PI21-77, PO# 36134, OBL12/1
- OOCL KOREA, (TB13), COSCO
- have additional $150 Maher Surcharge</t>
  </si>
  <si>
    <t>7PTLS
(LCL)</t>
  </si>
  <si>
    <t>TEMU7659551</t>
  </si>
  <si>
    <t>EN#2137165, INV#PI21-66, PO#36117, OBL11/24
- ONE MINATO, (TB14), YM
- Picked up 12/29, delivered 1/4 by GW</t>
  </si>
  <si>
    <t>TEMU6855020</t>
  </si>
  <si>
    <r>
      <rPr>
        <rFont val="Arial"/>
        <color theme="1"/>
        <sz val="11.0"/>
      </rPr>
      <t>OINTMENT 18G</t>
    </r>
    <r>
      <rPr>
        <rFont val="Arial"/>
        <color theme="1"/>
        <sz val="11.0"/>
      </rPr>
      <t xml:space="preserve">, </t>
    </r>
    <r>
      <rPr>
        <rFont val="Arial"/>
        <color theme="1"/>
        <sz val="11.0"/>
      </rPr>
      <t>ULTRA 50G</t>
    </r>
    <r>
      <rPr>
        <rFont val="Arial"/>
        <color theme="1"/>
        <sz val="11.0"/>
      </rPr>
      <t>,</t>
    </r>
    <r>
      <rPr>
        <rFont val="Arial"/>
        <color theme="1"/>
        <sz val="11.0"/>
      </rPr>
      <t xml:space="preserve"> </t>
    </r>
    <r>
      <rPr>
        <rFont val="Arial"/>
        <color theme="1"/>
        <sz val="11.0"/>
      </rPr>
      <t>RED 18G</t>
    </r>
  </si>
  <si>
    <t>1/10/22 (LA)
1/17/22 (SF)</t>
  </si>
  <si>
    <t>EN#2136466, INV#PI21-70, PO#36090, OBL11/15 (by bank)
- REN JIAN 26, (TB3), CU LINES
- Arrange transfer (final destination SF)
- Bank mailed OBL 11/15, FedEx 775217162293
- At anchor since 11/14, moored 12/28
- Received 18dz T-31510R for previous PO#35850</t>
  </si>
  <si>
    <t>Pending Benz inv</t>
  </si>
  <si>
    <t>Pending Etrans invoices</t>
  </si>
  <si>
    <t>ETA Port (Month)</t>
  </si>
  <si>
    <t>DEST 
Port</t>
  </si>
  <si>
    <t># of 
Ctns</t>
  </si>
  <si>
    <t>ZCSU8676590</t>
  </si>
  <si>
    <r>
      <rPr>
        <rFont val="Arial"/>
        <color rgb="FF000000"/>
        <sz val="11.0"/>
      </rPr>
      <t xml:space="preserve">GHC (D-04016)
</t>
    </r>
    <r>
      <rPr>
        <rFont val="Arial"/>
        <color rgb="FF000000"/>
        <sz val="11.0"/>
      </rPr>
      <t>(to RC Commerce)</t>
    </r>
  </si>
  <si>
    <t>EN#5122622, INV#AIT2249A, T/R, empty return 1/9
- GUTHORM MAERSK, (W18), ZIMU
- USEWR = Newark (NJ) Cogoport
- Moored 12/30, discharged 12/30, LFD 1/6
- have additional $250 APM surcharge
- Proforma Invoice &amp; DO (Eric)
- prepull 1/5
- delivered to RC, no QC</t>
  </si>
  <si>
    <t>EGHU8394794</t>
  </si>
  <si>
    <t>MATCHA LATTE</t>
  </si>
  <si>
    <t>JD+</t>
  </si>
  <si>
    <t>EN#2147674, INV#EII220001548, OBL11/28, GATEFEE12/19, empty return 12/27
- EVER SHINE, (W8), EG
- Moored 12/19, discharged 12/19, LFD 12/23
- QC PL#5507650</t>
  </si>
  <si>
    <t>TXGU6691926</t>
  </si>
  <si>
    <t>GHC, INSTANT CHINESE HERBAL BULK(A-6101G)</t>
  </si>
  <si>
    <t>LY+</t>
  </si>
  <si>
    <t>EN#5122721, INV#AIT2236B, T/R, GATEFEE12/14, empty return 12/30
- CMA CGM WHITE SHARK, (W20), CMA
- Moored 12/17, discharged 12/17, LFD 12/22
- ready for pickup 12/22, LFD 12/28
- QC PL#5507649
- replacement QC PL#5534274</t>
  </si>
  <si>
    <t>FANU3219750</t>
  </si>
  <si>
    <t>EN#2147200, INV#94144327, no PL, T/R, empty return 1/11
- NYK REMUS, (V18), HL
- Moored 12/15, discharged 12/15, LFD 1/4
- Container damaged on the bottom, won’t sit properly on chassis, will reschedule
- container released 1/4, prepull 1/4</t>
  </si>
  <si>
    <t>WHLU5417678</t>
  </si>
  <si>
    <t>GHC (LEMON D-04043)</t>
  </si>
  <si>
    <t>EN#2147152, INV#AIT2240, T/R, empty return 12/19 (per Etrans)
- AVNI, (V15), SQQY
- MBL# SLCS22016293
- have additional $250 PNCT Surcharge
- Moored 12/10, discharged 12/10, LFD 12/15
- have empty Pick-up surcharge ($535 + 32% Fuel)</t>
  </si>
  <si>
    <t>100
(LCL)</t>
  </si>
  <si>
    <t>TTNU8689487</t>
  </si>
  <si>
    <t>EN#2147811, INV#SI2211001, T/R, No GATEFEE (LCL), no PL
- EVER LEARNED, (W9), CMA
- Moored 12/7, discharged 12/7, (FCL) LFD 12/13
- GW will deliver LCL (2 plts)
- FCL picked up &amp; delivered to CFS warehouse 12/15</t>
  </si>
  <si>
    <t>EMCU1583656</t>
  </si>
  <si>
    <t>EN#2147425, INV#189/EXP/INV/X/2022, OBL11/14, empty return 12/15
- EVER LIVEN, (W4), EG
- Moored 12/7, discharged 12/8, LFD 12/14
- prepull 12/12
- 3/10 issue debit memo to VW
- 4/19 received EG refund check# 447404 for $1,992</t>
  </si>
  <si>
    <t>TCKU7703177</t>
  </si>
  <si>
    <r>
      <rPr>
        <rFont val="Arial"/>
        <color rgb="FF000000"/>
        <sz val="11.0"/>
      </rPr>
      <t xml:space="preserve">GHC (NATURAL LEMON </t>
    </r>
    <r>
      <rPr>
        <rFont val="Arial"/>
        <color rgb="FF000000"/>
        <sz val="11.0"/>
      </rPr>
      <t>D-04017</t>
    </r>
    <r>
      <rPr>
        <rFont val="Arial"/>
        <color rgb="FF000000"/>
        <sz val="11.0"/>
      </rPr>
      <t xml:space="preserve">)
</t>
    </r>
    <r>
      <rPr>
        <rFont val="Arial"/>
        <color rgb="FF000000"/>
        <sz val="11.0"/>
      </rPr>
      <t>(to RC Commerce)</t>
    </r>
  </si>
  <si>
    <t>EN#2147462, INV#AIT2242B, T/R, empty return 12/13 (per Etrans)
- PORTO GERMENO, (W6), MAEU
- Moored 12/7, discharged 12/7, LFD 12/13
- prepull 12/12
- have additional $250 APM Surcharge</t>
  </si>
  <si>
    <t>TRLU8661909</t>
  </si>
  <si>
    <t>EN#2147260, INV#109568, T/R, empty return 12/9
- NYK RUMINA, (V20), ONE
- Moored 12/5, discharged 12/6, LFD 12/12
- request Seafrigo Invoice USI220021849 (in USD)
- received Seafrigo Credit Note USI22CR001468 to offset Invoice USI220021849
- received Seafrigo Invoice USI220024632 (in USD)</t>
  </si>
  <si>
    <t>KOCU5090976</t>
  </si>
  <si>
    <t>EN#2147727, INV#KB221031, OBL12/1, empty return 12/19
- YM TROPHY, (W13), HMM
- Moored 12/5, discharged 12/8, LFD 12/14
- prepull 12/13</t>
  </si>
  <si>
    <t>HMCU9052875</t>
  </si>
  <si>
    <t>EN#2147272, INV#185/EXP/INV/X/2022, OBL11/8, GATEFEE12/1, empty return 12/15
- EVER FRONT, (V19), EG
- Moored 12/2, discharged 12/3, LFD 12/9
- pier waiting was from 11:24am-1:17pm additional 1hr
- QC PL#5507649</t>
  </si>
  <si>
    <t>EITU9428185</t>
  </si>
  <si>
    <r>
      <rPr>
        <rFont val="Arial"/>
        <color rgb="FF000000"/>
        <sz val="11.0"/>
      </rPr>
      <t xml:space="preserve">12/13/2022
</t>
    </r>
    <r>
      <rPr>
        <rFont val="Arial"/>
        <color rgb="FF0000FF"/>
        <sz val="11.0"/>
      </rPr>
      <t>Request chassis refund (EG)</t>
    </r>
  </si>
  <si>
    <t>EN#2147091, INV#EII220001424, OBL11/1, GATEFEE12/1, empty return 12/16
- EVER FRONT, (V12), EG
- Moored 12/2, discharged 12/2, LFD 12/12
- prepull 12/12, but deliver 12/13 due to heavy traffic, Benz will waive prepull &amp; yard storage
- no Evergreen chassis, it will be chassis usage charge
- QC PL#5507650
- replacement QC PL#5534274</t>
  </si>
  <si>
    <t>TRHU5803914</t>
  </si>
  <si>
    <r>
      <rPr>
        <rFont val="Arial"/>
        <color rgb="FF000000"/>
        <sz val="11.0"/>
      </rPr>
      <t xml:space="preserve">12/9/2022
</t>
    </r>
    <r>
      <rPr>
        <rFont val="Arial"/>
        <color rgb="FF0000FF"/>
        <sz val="11.0"/>
      </rPr>
      <t>Request chassis refund (EG)</t>
    </r>
  </si>
  <si>
    <t>EN#2147094, INV#084/EXP-POP36971/10/2022, T/R, GATEFEE12/1, empty return 12/14
- EVER FRONT, (V13), EG
- Moored 12/2, discharged 12/3, LFD 12/9
- not Evergreen chassis
- QC PL#5507649</t>
  </si>
  <si>
    <t>EMCU8288380</t>
  </si>
  <si>
    <r>
      <rPr>
        <rFont val="Arial"/>
        <color rgb="FF000000"/>
        <sz val="11.0"/>
      </rPr>
      <t>12/15/2022</t>
    </r>
    <r>
      <rPr>
        <rFont val="Arial"/>
        <color rgb="FF0000FF"/>
        <sz val="11.0"/>
      </rPr>
      <t xml:space="preserve">
Request chassis refund (EG)</t>
    </r>
  </si>
  <si>
    <t>EN#2147447, INV#190/EXP/INV/X/2022, OBL11/14, GATEFEE12/1, empty return 12/19
- EVER FRONT, (W5), EG
- Moored 12/2, discharged 12/4, LFD?
- no EG chassis, add chassis usage</t>
  </si>
  <si>
    <t>EMCU8211199</t>
  </si>
  <si>
    <t>GINGER CHEWS 8 OZ (LYCHEE)</t>
  </si>
  <si>
    <t>EN#2147198, INV#100/EXP-POP37278/10/2022, T/R, GATEFEE12/1, empty return 12/13
- EVER FRONT, (V16), EG
- Moored 12/2, discharged 12/2, LFD 12/9</t>
  </si>
  <si>
    <t>EGHU9422102</t>
  </si>
  <si>
    <t>GINGER CHEWS 1 LBS (LEMON, ORANGE, MANGO, LYCHEE, PEANUT)</t>
  </si>
  <si>
    <t>EN#2146794, INV#050/EXP-POP36594/09/2022, T/R, empty return 12/13
- EVER FUTURE, (V7), EG
- At anchor @ Savannah 11/12, moored @ Savannah 11/26
- have additional $250 Maher Surcharge
- Moored 11/30, discharged 12/2, LFD 12/7
- have additional Empty Pick-up surcharge ($535 + 32% Fuel)</t>
  </si>
  <si>
    <t>HMCU1098592</t>
  </si>
  <si>
    <t>HONEY LOQUAT CANDY
(F-11076A/F-11148A/F-11178A/F-11078)</t>
  </si>
  <si>
    <t>EN#2147144, INV#MP-202236662, T/R, empty return 12/2
- YANTIAN, (V14), EG
- have additional $250 Maher Surcharge
- Moored 11/25, discharged 11/26, LFD 12/1
- have additional Empty Pick-up charge ($535 + 32% Fuel)</t>
  </si>
  <si>
    <t>EXW</t>
  </si>
  <si>
    <t>317
(LCL)</t>
  </si>
  <si>
    <t>CAIU4576085</t>
  </si>
  <si>
    <t>CHEEZHENG
(8 PLTS)</t>
  </si>
  <si>
    <t>EN#2147385, INV#CZ22S012, T/R
- CSCL EAST CHINA SEA, (W2), YM
- Moored 11/26, discharged 11/26, FCL LFD 12/1
- pending IT to OAK, eta 12/14
- GW deliver LCL</t>
  </si>
  <si>
    <t>CMAU5701841</t>
  </si>
  <si>
    <r>
      <rPr>
        <rFont val="Arial"/>
        <color rgb="FF000000"/>
        <sz val="11.0"/>
      </rPr>
      <t xml:space="preserve">GHC NATURAL LEMON, </t>
    </r>
    <r>
      <rPr>
        <rFont val="Arial"/>
        <color rgb="FF000000"/>
        <sz val="11.0"/>
      </rPr>
      <t>INSTANT TEA CHINESE HERBAL BULK A-6101G</t>
    </r>
  </si>
  <si>
    <t>EN#2147556, INV#AIT2249, T/R, GATEFEE11/21, empty return 12/2
- CMA CGM BLUE WHALE, (W7), CMA
- Moored 11/22, discharged 11/22, LFD 11/29
- ready for pickup 11/29, LFD 12/2
- Bob Tail from Oakland to picked up empty</t>
  </si>
  <si>
    <t>37229
37270</t>
  </si>
  <si>
    <t>TGBU8651690</t>
  </si>
  <si>
    <r>
      <rPr>
        <rFont val="Arial"/>
        <color rgb="FF000000"/>
        <sz val="11.0"/>
      </rPr>
      <t xml:space="preserve">EN#2147391, INV#20221025, T/R, </t>
    </r>
    <r>
      <rPr>
        <rFont val="Arial"/>
        <color rgb="FF000000"/>
        <sz val="11.0"/>
      </rPr>
      <t>empty return 11/28</t>
    </r>
    <r>
      <rPr>
        <rFont val="Arial"/>
        <color rgb="FF000000"/>
        <sz val="11.0"/>
      </rPr>
      <t xml:space="preserve">
- EVER LIBRA, (W3), EG
- Moored 11/21, discharged 11/21, LFD 11/29
- PO#37229 part 2</t>
    </r>
  </si>
  <si>
    <t>CMAU8911918</t>
  </si>
  <si>
    <t>GHC TURMERIC (D-04033)</t>
  </si>
  <si>
    <t>EN#2147370, INV#AIT2242A, T/R, GATEFEE11/14, empty return 11/30
- PRESIDENT KENNEDY, (W1), CMA
- At anchor 11/15, estimated berthing 11/17
- Moored 11/17, discharged 11/18, LFD 11/25?
- per Jie, sample from Grace for QC</t>
  </si>
  <si>
    <t>EITU1524351</t>
  </si>
  <si>
    <r>
      <rPr>
        <rFont val="Arial"/>
        <color rgb="FF000000"/>
        <sz val="11.0"/>
      </rPr>
      <t xml:space="preserve">EN#2146254, INV#155/EXP/INV/VIII/2022, OBL9/14, </t>
    </r>
    <r>
      <rPr>
        <rFont val="Arial"/>
        <color rgb="FF000000"/>
        <sz val="11.0"/>
      </rPr>
      <t>empty return 11/22</t>
    </r>
    <r>
      <rPr>
        <rFont val="Arial"/>
        <color rgb="FF000000"/>
        <sz val="11.0"/>
      </rPr>
      <t xml:space="preserve">
- TOKYO TRIUMPH, (U18), EG
- have additional $250 Maher Surcharge
- Moored 11/14, discharged 11/15, LFD 11/19
- have Empty Pick-up surcharge ($535 + 32% Fuel)</t>
    </r>
  </si>
  <si>
    <t>FBLU0066335</t>
  </si>
  <si>
    <t>GINGER CHEWS 1 KG (ORIGINAL)
(to RC Commerce)</t>
  </si>
  <si>
    <t>EN#2146407, INV#161/EXP/INV/IX/2022, OBL9/14, empty return 11/23
- TOKYO TRIUMPH, (V2), EG
- Moored 11/14, discharged 11/14, LFD 11/18
- Maher surcharge ($250) will apply
- Kevin (RC Commerce) said they are in the middle of moving so he cannot receive the container by LFD 11/18
- additional charges will apply (Pre-pull $150, Storage $50/day, Chassis $40/day, Per Diems TBA) for delivery after LFD
- Billy will talk to RC about sharing the additional charges for delivery after LFD
- Prepull 11/18
- Waiting Time Charge for unload = (4hr – 2hr Free) x $95/hr = $190.00
- 12/1 submitted Proforma Invoice PO#36839</t>
  </si>
  <si>
    <t>EMCU5511227</t>
  </si>
  <si>
    <t>ALUMINIUM FOIL (5 PLTS)
(to Sun Ten)</t>
  </si>
  <si>
    <t>EN#2147099, INV#LFE-1012/22, T/R
- EVER FEAT, (V21), EG
- Moored 11/13, discharged 11/13, LFD 11/17
- FCL picked up 11/15</t>
  </si>
  <si>
    <t>CMAU3326314</t>
  </si>
  <si>
    <t>EN#2147194, INV#94144326, No PL, T/R, empty return 11/21 (per Etrans invoice)
- COSCO MALAYSIA, (V17), CMA
- have additional $250 Maher Surcharge
- Moored 11/13, discharged 11/14, LFD 11/17</t>
  </si>
  <si>
    <t>EITU9374411</t>
  </si>
  <si>
    <t>RED GINSENG ROYAL JELLY (C-70052/C-70050)</t>
  </si>
  <si>
    <t>EN#2146580, INV#2022TAT05, T/R, empty return 11/15
- CMA CGM KIMBERLEY, (V4), EG
- Overweight, Etrans decline DO, need alternative trucker
- Apex will deliver, live unload 2 hrs free
- OVERWEIGHT $300 + overweight chassis $60/day (min 3 days)
- At anchor 11/10
- Moored 11/11, discharged 11/12, LFD 12/17</t>
  </si>
  <si>
    <t>445
(LCL)</t>
  </si>
  <si>
    <t>OOLU4349718</t>
  </si>
  <si>
    <t>SEIROGAN 36, 100, 400 PILLS</t>
  </si>
  <si>
    <r>
      <rPr>
        <rFont val="Arial"/>
        <color rgb="FF000000"/>
        <sz val="11.0"/>
      </rPr>
      <t xml:space="preserve">EN#2147300, INV#US-221001, OBL10/31, </t>
    </r>
    <r>
      <rPr>
        <rFont val="Arial"/>
        <color rgb="FF000000"/>
        <sz val="11.0"/>
      </rPr>
      <t>empty return 11/15</t>
    </r>
    <r>
      <rPr>
        <rFont val="Arial"/>
        <color rgb="FF000000"/>
        <sz val="11.0"/>
      </rPr>
      <t xml:space="preserve">
- NYK VEGA, (V22), OOCL
- Moored 11/9, discharged 11/10, LFD 11/18
- FCL picked up 11/14
- CFS warehouse released 11/16
- GW will deliver LCL (8 plts)</t>
    </r>
  </si>
  <si>
    <t>TGBU8614783</t>
  </si>
  <si>
    <t>GINGER CHEWS PLUS+ 3 OZ (ORIGINAL) 8 OZ (BLOOD ORANGE)</t>
  </si>
  <si>
    <t>EN#2146920, INV#081/EXP-POP36933/09/2022, T/R, GATEFEE11/7, empty return 11/22
- EVER FOREVER, (V10), EG
- Moored 11/6, discharged 11/10, LFD 11/16
- not Evergreen chassis
- Bob tail empty picked 11/22
- pier waiting was from 2-3:55pm additional 1hr
- per Benz, DCLI chassis leased EG chassis, so consider EG chassis</t>
  </si>
  <si>
    <t>EITU9411808</t>
  </si>
  <si>
    <r>
      <rPr>
        <rFont val="Arial"/>
        <color rgb="FF000000"/>
        <sz val="11.0"/>
      </rPr>
      <t xml:space="preserve">11/16/2022
</t>
    </r>
    <r>
      <rPr>
        <rFont val="Arial"/>
        <color rgb="FF0000FF"/>
        <sz val="11.0"/>
      </rPr>
      <t>Request chassis refund (EG)
original doc (JD)</t>
    </r>
  </si>
  <si>
    <t>EN#2146577, INV#EII220001338, OBL10/4, GATEFEE11/7, empty return 11/18
- EVER FOREVER, (V3), EG
- Moored 11/6, discharged 11/9, LFD 11/16
- Pier waiting was from 9:25-1:56pm additional 2.5hrs + chassis usage fee
- bob tail to pick up empty 11/18</t>
  </si>
  <si>
    <t>CGMU5136306</t>
  </si>
  <si>
    <t>EN#2146641, INV#107898, T/R, empty return 11/9
- SC MARIGOT, (V5), CMA
- Per carrier, no genset needed
- have additional $250 Maher Surcharge
- At anchor @ Saint John, Canada 10/23
- At anchor 11/3, estimated berthing 11/5
- Moored 11/5, discharged 11/6, LFD 11/8
- Live unload</t>
  </si>
  <si>
    <t>TLLU4257821</t>
  </si>
  <si>
    <t>RED PANAX GINSENG EXT, GINKGO BILOBA, ULTRA JOINT EXT</t>
  </si>
  <si>
    <r>
      <rPr>
        <rFont val="Arial"/>
        <color rgb="FF000000"/>
        <sz val="11.0"/>
      </rPr>
      <t xml:space="preserve">EN#2146859, INV#AIT2205KFY, T/R, GATEFEE10/31, </t>
    </r>
    <r>
      <rPr>
        <rFont val="Arial"/>
        <color rgb="FF000000"/>
        <sz val="11.0"/>
      </rPr>
      <t>empty return 11/17</t>
    </r>
    <r>
      <rPr>
        <rFont val="Arial"/>
        <color rgb="FF000000"/>
        <sz val="11.0"/>
      </rPr>
      <t xml:space="preserve">
- PRESIDENT CLEVELAND, (V9), CMA
- Moored 11/5, discharged 11/7, LFD 11/14
- ready for pickup 11/8
- empty picked up 11/16</t>
    </r>
  </si>
  <si>
    <t>FFAU1305809</t>
  </si>
  <si>
    <t>GINGER CHEWS 4 OZ (LEMON, LYCHEE, MANGO, ORANGE, PEANUT)</t>
  </si>
  <si>
    <t>EN#2146337, INV#054/EXP-POP36809/08/2022, T/R, empty return 11/10
- EVER FOCUS, (U21), EG
- At anchor @ Savannah 10/8, many vessel at anchor
- have additional $250 Maher Surcharge
- Moored 10/31, discharged 11/1, LFD 11/4
-  have Empty Pick-up charge ($535 + 32% Fuel)</t>
  </si>
  <si>
    <t>EITU9417344</t>
  </si>
  <si>
    <t>EN#2146976, INV#20221005, T/R, empty return 11/3
- EVER FAVOR, (V11), EG
- Moored 10/29, discharged 10/30, LFD 11/7
- PO part 2 come with PO# 37270?
- GW issue $80 credit for EG chassis refund
- resubmitted PO (with exp date) 11/10</t>
  </si>
  <si>
    <t>GCNU4790020</t>
  </si>
  <si>
    <r>
      <rPr>
        <rFont val="Arial"/>
        <color rgb="FF000000"/>
        <sz val="11.0"/>
      </rPr>
      <t xml:space="preserve">GAVOTTES
</t>
    </r>
    <r>
      <rPr>
        <rFont val="Arial"/>
        <color rgb="FF000000"/>
        <sz val="11.0"/>
      </rPr>
      <t>(NY transload to SF)</t>
    </r>
  </si>
  <si>
    <t>11/3/2022 (NJ)
11/10/2022 (SF)</t>
  </si>
  <si>
    <t>EN#2146847, INV#108068, T/R, empty return 11/3
- TUCAPEL, (V8), ACL
- have additional $250 Maher Surcharge
- At anchor 10/23, estimated berthing 10/28
- Moored 10/28, discharged 10/28, LFD 11/3
- Live unload
- tranload to SF, 22 plts, 86" height
- full load (30 pallets) trucking is $5800
- PO#36968 has 22 pallets, so trucking is $4253.33
- Transfer picked up (#5749) 11/4, ETA to SF 11/9
- SF received transload 11/10</t>
  </si>
  <si>
    <t>MSDU8133988</t>
  </si>
  <si>
    <t>EN#2145633, INV#070/EXP-POP36841/07/2022, T/R, GATEFEE10/18, empty return 11/11
- MAERSK VIRGINIA, (T11), MSC
- 10/2 CAP SAN JUAN changed to MAERSK VIRGINIA
- Moored 10/22, discharged 10/25, LFD 10/31
- No empty return location since 10/24
- driver will bring this empty to Benz Oakland yard until have information for return, have additional charge of 2nd drop &amp; everyday yard parking
- Empty picked up 11/9, pending empty return
- empty returned on 11/11 8:30pm.  pier waiting was from 4:15-8:30pm additional 2 ½ hrs.+ $150 special return + 3 days yard parking + 2nd drop charge</t>
  </si>
  <si>
    <t>MSMU4107924</t>
  </si>
  <si>
    <r>
      <rPr>
        <rFont val="Arial"/>
        <b val="0"/>
        <color rgb="FF000000"/>
        <sz val="11.0"/>
      </rPr>
      <t>10/26/2022</t>
    </r>
    <r>
      <rPr>
        <rFont val="Arial"/>
        <b val="0"/>
        <color rgb="FF0000FF"/>
        <sz val="11.0"/>
      </rPr>
      <t xml:space="preserve">
Pending Benz invoice (per diem)</t>
    </r>
  </si>
  <si>
    <t>EN#2145769, INV#POP-03/22, T/R, GATEFEE10/18, empty return 11/11
- MAERSK VIRGINIA, (U3), MSC
- 10/2 CAP SAN JUAN changed to MAERSK VIRGINIA
- Moored 10/22, discharged 10/23, LFD 10/27
- no DCLI/ MSC chassis,  will bill you chassis usage fee
- No empty return location since 9/26
- bob tail empty pickup 11/7, put empty container at Benz rental yard first until have empty return location
- have bob tail, yard parking &amp; 2nd drop
- Empty picked up 11/7, pending empty return
- returned on 11/11 night time. Pier waiting was from 8:22pm-12pm additional 2hrs + $150 MSC at night return + 5 days yard parking from 11/07- 11/11 +  2nd drop charge.
- GW issue credit memo for chassis refund ($125)</t>
  </si>
  <si>
    <t>BSIU9968382</t>
  </si>
  <si>
    <t>EN#2146253, INV#154/EXP/INV/VIII/2022, OBL9/14, GATEFEE10/20
- EVER FRONT, (U17), EG
- Moored 10/21, discharged 10/22, LFD 10/27
- ELFD 11/2, empty used for export, so consider empty return 10/31</t>
  </si>
  <si>
    <t>SLVU4767450</t>
  </si>
  <si>
    <t>10/16/2022
10/17/2022</t>
  </si>
  <si>
    <t>EN#2146360, INV#POP-04/22, T/R, empty return 10/31
- RANTANPLAN, (V1), SQQY
- have additional $250 terminal surcharge
- Moored 10/20, discharged 10/20?, LFD 10/26
- terminal PNCT
- have additional Empty Pick-up charge ($535 + 32% Fuel)</t>
  </si>
  <si>
    <t>EGHU1046945</t>
  </si>
  <si>
    <r>
      <rPr>
        <rFont val="Arial"/>
        <color rgb="FF000000"/>
        <sz val="11.0"/>
      </rPr>
      <t xml:space="preserve">EN#2146666, INV#107984, T/R, </t>
    </r>
    <r>
      <rPr>
        <rFont val="Arial"/>
        <color rgb="FF000000"/>
        <sz val="11.0"/>
      </rPr>
      <t>empty return 10/24</t>
    </r>
    <r>
      <rPr>
        <rFont val="Arial"/>
        <color rgb="FF000000"/>
        <sz val="11.0"/>
      </rPr>
      <t xml:space="preserve">
- EVER LUCKY, (V6), EG
- have additional $250 surcharge
- At anchor 10/17
- Moored 10/19, discharged 10/21, LFD 10/26
- Live unload</t>
    </r>
  </si>
  <si>
    <t>FANU1796753</t>
  </si>
  <si>
    <r>
      <rPr>
        <rFont val="Arial"/>
        <color rgb="FF000000"/>
        <sz val="11.0"/>
      </rPr>
      <t xml:space="preserve">EN#2145734, INV#94122599, No PL, T/R, GATEFEE10/10, </t>
    </r>
    <r>
      <rPr>
        <rFont val="Arial"/>
        <color rgb="FF000000"/>
        <sz val="11.0"/>
      </rPr>
      <t>empty return 11/14 (as export pickup)</t>
    </r>
    <r>
      <rPr>
        <rFont val="Arial"/>
        <color rgb="FF000000"/>
        <sz val="11.0"/>
      </rPr>
      <t xml:space="preserve">
- NYK DENEB, (T22), HL
- Moored 10/15, discharged 10/16, LFD 10/20
- Per Bolloré Logistics UK Ltd, LFD is Day of discharge + 4 working days
- ready for pickup 11/4, updated LFD 11/9
- 33 cs packaging damaged</t>
    </r>
  </si>
  <si>
    <t>FCIU9539164</t>
  </si>
  <si>
    <r>
      <rPr>
        <rFont val="Arial"/>
        <color rgb="FF000000"/>
        <sz val="11.0"/>
      </rPr>
      <t xml:space="preserve">10/24/2022
</t>
    </r>
    <r>
      <rPr>
        <rFont val="Arial"/>
        <color rgb="FF0000FF"/>
        <sz val="11.0"/>
      </rPr>
      <t>Pending Etrans invoice (per diem)</t>
    </r>
  </si>
  <si>
    <t>EN#2145581, INV#134/EXP/INV/VII/2022, OBL8/16
- TALOS, (T7), EG
- have additional $250 Maher Surcharge
- Moored 10/14, discharged 10/17, LFD 10/21
- prepull 10/21
- Pre-pull ($150), Storage ($50/day)
- empty return 10/27</t>
  </si>
  <si>
    <t>BSIU8119400</t>
  </si>
  <si>
    <t>GINGER CHEWS 1 LBS (ORIGINAL)</t>
  </si>
  <si>
    <r>
      <rPr>
        <rFont val="Arial"/>
        <color rgb="FF000000"/>
        <sz val="11.0"/>
      </rPr>
      <t xml:space="preserve">EN#2145766, INV#142/EXP/INV/VIII/2022, OBL8/23, </t>
    </r>
    <r>
      <rPr>
        <rFont val="Arial"/>
        <color rgb="FF000000"/>
        <sz val="11.0"/>
      </rPr>
      <t>empty return 10/21</t>
    </r>
    <r>
      <rPr>
        <rFont val="Arial"/>
        <color rgb="FF000000"/>
        <sz val="11.0"/>
      </rPr>
      <t xml:space="preserve">
- TALOS, (U2), EG
- have additional $250 Maher Surcharge
- Moored 10/14, discharged 10/17, LFD 10/21</t>
    </r>
  </si>
  <si>
    <t>TCNU2142170</t>
  </si>
  <si>
    <t>EN#2145580, INV#135/EXP/INV/VII/2022, OBL8/16, empty return 10/24
- TALOS, (T8), EG
- have additional $250 Maher Surcharge
- Moored 10/14, discharged 10/17, LFD 10/21
- 12/7 revised BBD from 7/4/2023 to 7/4/2024</t>
  </si>
  <si>
    <t>EMCU8257440</t>
  </si>
  <si>
    <t>EN#2146338, INV#075/EXP-POP36825/08/2022, T/R, empty return 10/21
- TALOS, (U22), EG
- have additional $250 Maher Surcharge
- Moored 10/14, discharged 10/14, LFD 10/20
- prepull 10/18</t>
  </si>
  <si>
    <t>TXGU5855244</t>
  </si>
  <si>
    <t>EN#2145447, INV#EII220001134, OBL8/16, GATEFEE9/29
- EVER FEAT, (U15), EG
- Moored 10/2, discharged 10/4, LFD?
- ELFD 10/13, empty return 10/11
- received &amp; submitted PO 10/24</t>
  </si>
  <si>
    <t>TRHU8362601</t>
  </si>
  <si>
    <t>GINGER CHEWS 4 OZ (LEMON, ORANGE)</t>
  </si>
  <si>
    <r>
      <rPr>
        <rFont val="Arial"/>
        <color rgb="FF000000"/>
        <sz val="11.0"/>
      </rPr>
      <t xml:space="preserve">EN#2146009, INV#074/EXP-POP36824/08/2022, T/R, </t>
    </r>
    <r>
      <rPr>
        <rFont val="Arial"/>
        <color rgb="FF000000"/>
        <sz val="11.0"/>
      </rPr>
      <t>empty return 10/7</t>
    </r>
    <r>
      <rPr>
        <rFont val="Arial"/>
        <color rgb="FF000000"/>
        <sz val="11.0"/>
      </rPr>
      <t xml:space="preserve">
- EVER LYRIC, (U14), EG
- Moored 10/1, discharged 10/1, LFD 10/6</t>
    </r>
  </si>
  <si>
    <t>VOLU4546587</t>
  </si>
  <si>
    <r>
      <rPr>
        <rFont val="Arial"/>
        <color rgb="FF000000"/>
        <sz val="11.0"/>
      </rPr>
      <t xml:space="preserve">GHC D-04016
</t>
    </r>
    <r>
      <rPr>
        <rFont val="Arial"/>
        <color rgb="FF000000"/>
        <sz val="11.0"/>
      </rPr>
      <t>(to RC Commerce)</t>
    </r>
  </si>
  <si>
    <t>EN#2146584, INV#AIT2239A, empty return?
- TS MUMBAI, (U12), SQQY
- BL# SLCS22012402
- K80-2146584-5
- 2145956-6 replace with 2146584
- Apex will deliver, live unload 2 hrs free
- Moored 9/30, discharged 10/2, LFD 10/6
- prepull 10/4
- 10/10 inform GW, shipment is ready for FDA exam
- 10/10 submitted PO to accounting
- FDA sampled @ RC warehouse 8/13
- FDA released 10/14
- 10/17 received FDA action notice 2
- per Apex invoice, empty returned 10/11</t>
  </si>
  <si>
    <t>BEAU5075930</t>
  </si>
  <si>
    <t>EN#2145713, INV#94122588, No PL, T/R, empty return 10/11
- NYK RIGEL, (T18), HL
- Moored 9/29, discharged 9/30, LFD?
- no able to pickup on 10/4, no chassis</t>
  </si>
  <si>
    <t>CSNU6731511</t>
  </si>
  <si>
    <t>ORGANIC TEABAGS
D-13200N, D-13220N, D-14200N, D-15200N, D-18220N</t>
  </si>
  <si>
    <t>EN#2145818, INV#YD22-T09, T/R, empty return 10/4
- COSCO AZALEA, (U6), COSCO
- E-trans DECLINED thru end of Sept, need find alternative trucker
- Apex will deliver, live unload 2 hrs free
- At anchor 9/24, estimated berthing 9/27
- Moored 9/27, discharged 9/29, LFD 10/5
- Scheduled 10/3, Drop instead Live</t>
  </si>
  <si>
    <t>EMCU8588731</t>
  </si>
  <si>
    <t>MYKUALI  NOODLE</t>
  </si>
  <si>
    <r>
      <rPr>
        <rFont val="Arial"/>
        <color rgb="FF000000"/>
        <sz val="11.0"/>
      </rPr>
      <t xml:space="preserve">9/30/2022
</t>
    </r>
    <r>
      <rPr>
        <rFont val="Arial"/>
        <color rgb="FF0000FF"/>
        <sz val="11.0"/>
      </rPr>
      <t>Request chassis refund (EG)</t>
    </r>
  </si>
  <si>
    <t>EN#2146296, INV#INV000104, T/R, empty return 10/1
- CMA CGM T.JEFFERSON, (U20), EG
- have additional $250 APM Surcharge
- At anchor 9/23
- Moored 9/25, discharged 9/26, LFD 9/30
- have empty Pick-up surcharge ($535 + 32% Fuel)</t>
  </si>
  <si>
    <t>MRKU1092983</t>
  </si>
  <si>
    <t>RED PANAX GINSENG EXT, ULTRA GINKGO PLUS, BEIJING ROYAL JELLY, AMERICAN GINSENG ROYAL JELLY(A-61138/C-70121/123/430/214)</t>
  </si>
  <si>
    <t>EN#2145819, INV#AIT2204KFY, T/R, empty return?
- PORTO GERMENO, (U9), MEDU
- Apex will deliver, live unload 2 hrs free
- At anchor 9/18
- Moored 9/24, discharged 9/25, LFD 9/29
- FDA release same day as delivery date 9/29</t>
  </si>
  <si>
    <t>EGSU3092603</t>
  </si>
  <si>
    <t>SOAP (S-06011/21/31/60)</t>
  </si>
  <si>
    <r>
      <rPr>
        <rFont val="Arial"/>
        <color rgb="FF000000"/>
        <sz val="11.0"/>
      </rPr>
      <t xml:space="preserve">9/28/2022
</t>
    </r>
    <r>
      <rPr>
        <rFont val="Arial"/>
        <color rgb="FF0000FF"/>
        <sz val="11.0"/>
      </rPr>
      <t>Request chassis refund (EG)</t>
    </r>
  </si>
  <si>
    <t>EN#2145446, INV#SS2205104-H, T/R, empty return 10/3
- EVER FORE, (U10), EG
- At anchor @ Savannah 8/24, moored @ Savannah 9/12
- Apex will deliver, live unload 2 hrs free
- At anchor 9/20
- Moored 9/22, discharged 9/22, LFD 9/28
- GC resubmit correct PL to YG</t>
  </si>
  <si>
    <t>EISU8305686</t>
  </si>
  <si>
    <t>GHC, GHC PLUM, GHC DARK BROWN SUGAR</t>
  </si>
  <si>
    <t>EN#2144964, INV#AIT2239B, T/R, GATEFEE9/20, empty return 10/5
- EVER LOVELY, (U16), EG
- Moored 9/20, discharged 9/20, LFD 9/26
- Benz cannot pickup on 9/26, due to no freight release, terminal very congested, pay demurrage $165
- pier waiting was from 8:30-10:57am additional ½ hr</t>
  </si>
  <si>
    <t>EMCU8764384</t>
  </si>
  <si>
    <t>ORGANIC TEA &amp; TEA
D-14200N, D-15200N, D-60011B, D-60012B, D-60013B, D-60023B</t>
  </si>
  <si>
    <t>EN#2146258, INV#22TM030, OBL9/16, GATEFEE9/16, empty return 9/30
- EVER FUTURE, (U19), EG
- received OBL from Lolita 9/15, mail to forwarder 9/16
- Moored 9/16, discharged 9/18, LFD 9/22
- prepull 9/22
- pre-pull + 2days chassis parking
- PO has 2 parts
- per diem $260</t>
  </si>
  <si>
    <t>FFAU1108097</t>
  </si>
  <si>
    <r>
      <rPr>
        <rFont val="Arial"/>
        <color rgb="FF000000"/>
        <sz val="11.0"/>
      </rPr>
      <t xml:space="preserve">9/23/2022
</t>
    </r>
    <r>
      <rPr>
        <rFont val="Arial"/>
        <color rgb="FF0000FF"/>
        <sz val="11.0"/>
      </rPr>
      <t>Pending Etrans invoice (per diem)</t>
    </r>
  </si>
  <si>
    <t>EN#2145699, INV#139/EXP/INV/VIII/2022, OBL8/23, empty return 9/28
- CMA CGM AMERIGO VESP, (T14), EG
- have additional $250 Maher Surcharge
- Moored 9/16, discharged 9/17, LFD 9/22
- prepull 9/22, have pre-pull ($150), Storage ($50/day)
- have additional Empty Pick-up surcharge ($535 + 32% Fuel)</t>
  </si>
  <si>
    <t>EGHU9459781</t>
  </si>
  <si>
    <t>EN#2145698, INV#138/EXP/INV/VIII/2022, OBL8/23, empty return 9/23
- CMA CGM AMERIGO VESP, (T13), EG
- have additional $250 Maher Surcharge
- Moored 9/16, discharge 9/17, LFD 9/22
- prepull 9/21</t>
  </si>
  <si>
    <t>GCNU4787495</t>
  </si>
  <si>
    <r>
      <rPr>
        <rFont val="Arial"/>
        <color rgb="FF000000"/>
        <sz val="11.0"/>
      </rPr>
      <t xml:space="preserve">GAVOTTES
</t>
    </r>
    <r>
      <rPr>
        <rFont val="Arial"/>
        <color rgb="FF000000"/>
        <sz val="11.0"/>
      </rPr>
      <t>(NY transfer to LA)</t>
    </r>
  </si>
  <si>
    <t>9/19/2022 (NJ)
9/27/2022 (LA)</t>
  </si>
  <si>
    <t>EN#2145765, INV#106449, T/R, empty return 9/22
- TUCAPEL, (U4), ACL
- Apex will deliver, live unload 2 hrs free
- Moored 9/11, discharged 9/13, LFD 9/19
- use regular truck for transfer
- 9/21 received Seafrigo Invoice USI220016499
- transfer 22 pallets to LA
- Total transfer trucking $5,700, total 30 pallets, transfer charge from NJ to LA for PO#36732 is $4,180</t>
  </si>
  <si>
    <t>FDCU0337584</t>
  </si>
  <si>
    <r>
      <rPr>
        <rFont val="Arial"/>
        <color rgb="FF000000"/>
        <sz val="11.0"/>
      </rPr>
      <t xml:space="preserve">9/30/2022
</t>
    </r>
    <r>
      <rPr>
        <rFont val="Arial"/>
        <color rgb="FF0000FF"/>
        <sz val="11.0"/>
      </rPr>
      <t>Pending GW invoice ($24.16)</t>
    </r>
  </si>
  <si>
    <r>
      <rPr>
        <rFont val="Arial"/>
        <color rgb="FF000000"/>
        <sz val="11.0"/>
      </rPr>
      <t xml:space="preserve">EN#2145736, INV#94123364, No PL, T/R, </t>
    </r>
    <r>
      <rPr>
        <rFont val="Arial"/>
        <color rgb="FF000000"/>
        <sz val="11.0"/>
      </rPr>
      <t>empty return 10/3</t>
    </r>
    <r>
      <rPr>
        <rFont val="Arial"/>
        <color rgb="FF000000"/>
        <sz val="11.0"/>
      </rPr>
      <t xml:space="preserve">
- TUCAPEL, (U1), HL
- Apex will deliver, live unload 2 hrs free
- Moored 9/11, discharged 9/13, LFD 9/19
- Shipping Line (Hapag-Lloyd) provide AN &amp; release the freight, and waive the demurrage (9/20-9/29, $1927)
- prepull 9/28, DROP delivery 9/30</t>
    </r>
  </si>
  <si>
    <t>TXGU5669770</t>
  </si>
  <si>
    <r>
      <rPr>
        <rFont val="Arial"/>
        <color rgb="FF000000"/>
        <sz val="11.0"/>
      </rPr>
      <t xml:space="preserve">9/20/2022
</t>
    </r>
    <r>
      <rPr>
        <rFont val="Arial"/>
        <color rgb="FF0000FF"/>
        <sz val="11.0"/>
      </rPr>
      <t>Request chassis refund (EG)</t>
    </r>
  </si>
  <si>
    <r>
      <rPr>
        <rFont val="Arial"/>
        <color rgb="FF000000"/>
        <sz val="11.0"/>
      </rPr>
      <t xml:space="preserve">EN#2145861, INV#INV000099, T/R, </t>
    </r>
    <r>
      <rPr>
        <rFont val="Arial"/>
        <color rgb="FF000000"/>
        <sz val="11.0"/>
      </rPr>
      <t>empty return 9/26</t>
    </r>
    <r>
      <rPr>
        <rFont val="Arial"/>
        <color rgb="FF000000"/>
        <sz val="11.0"/>
      </rPr>
      <t xml:space="preserve">
- EVER FUTURE, (U11), EG
- Moored 9/11, discharged 9/12, LFD 9/19
- freight hold, GW advance demurrage $165 through 9/20</t>
    </r>
  </si>
  <si>
    <t>DFSU6757989</t>
  </si>
  <si>
    <t>EN#2144194, INV#102/EXP/INV/VI/2022, OBL7/6, empty return 9/17
- MSC SOFIA PAZ, (S4), MSC
- have additional $350 GCT New York Surcharge
- Moored 9/10, discharged 9/11, LFD 9/15</t>
  </si>
  <si>
    <t>MSDU8139728</t>
  </si>
  <si>
    <t>EN#2144193, INV#101/EXP/INV/VI/2022, OBL7/6, empty return 9/16
- MSC SOFIA PAZ, (S3), MSC
- have additional $350 GCT New York Surcharge
- Moored 9/10, discharged 9/11, LFD 9/15</t>
  </si>
  <si>
    <t>MSMU6717504</t>
  </si>
  <si>
    <r>
      <rPr>
        <rFont val="Arial"/>
        <color rgb="FF000000"/>
        <sz val="11.0"/>
      </rPr>
      <t xml:space="preserve">9/21/2022
</t>
    </r>
    <r>
      <rPr>
        <rFont val="Arial"/>
        <color rgb="FF0000FF"/>
        <sz val="11.0"/>
      </rPr>
      <t>Pending Etrans invoice (per diem)</t>
    </r>
  </si>
  <si>
    <t>EN#2144944, INV#038/EXP-POP36601/06/2022, T/R, empty return 9/23
- MSC SOFIA PAZ, (T19), MSC
- have additional $350 GCT New York Surcharge
- Moored 9/10, discharged 9/11, LFD 9/15
- warehouse confirmed delivery 9/21, GW advance demurrage $1,982 through 9/21, LFD 9/15
- prepull 9/20, refund demurrage for 9/22, $397</t>
  </si>
  <si>
    <t>TRHU7527610</t>
  </si>
  <si>
    <t>GINGER CHEWS 4 OZ (MAMGO, ORANGE, LEMON)</t>
  </si>
  <si>
    <t>EN#2144558, INV#069/EXP-POP36277/06/2022, T/R, empty return 9/20
- MSC SOFIA PAZ, (T20), MSC
- have additional $350 GCT New York Surcharge
- Moored 9/10, discharged 9/10, LFD  9/15
- GW advance demurrage through 9/16</t>
  </si>
  <si>
    <t>EMCU8239468</t>
  </si>
  <si>
    <t>GINGER CHEWS PLUS+ 3 OZ (ORIGINAL) 1 LBS (LEMON, LYCHEE, MANGO)</t>
  </si>
  <si>
    <r>
      <rPr>
        <rFont val="Arial"/>
        <color rgb="FF000000"/>
        <sz val="11.0"/>
      </rPr>
      <t xml:space="preserve">EN#2145134, INV#061/EXP-POP36319/07/2022, T/R, </t>
    </r>
    <r>
      <rPr>
        <rFont val="Arial"/>
        <color rgb="FF000000"/>
        <sz val="11.0"/>
      </rPr>
      <t>empty return 9/14</t>
    </r>
    <r>
      <rPr>
        <rFont val="Arial"/>
        <color rgb="FF000000"/>
        <sz val="11.0"/>
      </rPr>
      <t xml:space="preserve">
- EVER FOND, (S19), EG
- Apex will deliver, live unload 2 hrs free
- Moored 9/8, discharged 9/8, LFD 9/14</t>
    </r>
  </si>
  <si>
    <t>FCIU7063989</t>
  </si>
  <si>
    <t>EN#2144992, INV#20869448, T/R, empty return 9/21
- EVER FAIR, (S10), EG
- will have additional $250 Maher Surcharge
- Moored 9/8, discharged 9/9, LFD 9/15
- pickup 9/19, LFD 9/15, GW advance demurrage
- warehouse confirmed delivery 9/21, GW advance demurrage through 9/21, LFD 9/15</t>
  </si>
  <si>
    <t>NY-RC</t>
  </si>
  <si>
    <t>TRHU7348960</t>
  </si>
  <si>
    <r>
      <rPr>
        <rFont val="Arial"/>
        <color rgb="FF000000"/>
        <sz val="11.0"/>
      </rPr>
      <t xml:space="preserve">GINGER CHEWS 1 KG (LEMON)
</t>
    </r>
    <r>
      <rPr>
        <rFont val="Arial"/>
        <color rgb="FF000000"/>
        <sz val="11.0"/>
      </rPr>
      <t>(to RC Commerce)</t>
    </r>
  </si>
  <si>
    <t>EN#2144751, INV#118/EXP/INV/VI/2022, OBL7/12, empty return 9/20
- ONE STORK, (S8), ONE
- have additional $250 GCT Bayonne Surcharge
- Moored 9/8, discharged 9/10, LFD 9/15
- Apex will deliver to RC, live unload 2 hrs free
- BP sign PO, resubmitt PO 9/20</t>
  </si>
  <si>
    <t>TGBU4577742</t>
  </si>
  <si>
    <t>EN#2145385, INV#056/EXP-POP36811/07/2022, T/R, empty return 9/15
- EVER FOND, (T4), EG
- have additional $250 Maher Surcharge
- Moored 9/8, discharged 9/8, LFD 9/14
- Live unload
- prepull 9/12 without request, no prepull charge</t>
  </si>
  <si>
    <t>TFLU4972534</t>
  </si>
  <si>
    <r>
      <rPr>
        <rFont val="Arial"/>
        <color rgb="FF000000"/>
        <sz val="11.0"/>
      </rPr>
      <t xml:space="preserve">GHC (D-04016), GHC (D-04017 NATURAL LEMON)
</t>
    </r>
    <r>
      <rPr>
        <rFont val="Arial"/>
        <color rgb="FF000000"/>
        <sz val="11.0"/>
      </rPr>
      <t>(to RC Commerce)</t>
    </r>
  </si>
  <si>
    <r>
      <rPr>
        <rFont val="Arial"/>
        <color rgb="FF000000"/>
        <sz val="11.0"/>
      </rPr>
      <t xml:space="preserve">EN#2145374, INV#AIT2242, T/R, </t>
    </r>
    <r>
      <rPr>
        <rFont val="Arial"/>
        <color rgb="FF000000"/>
        <sz val="11.0"/>
      </rPr>
      <t>empty return?</t>
    </r>
    <r>
      <rPr>
        <rFont val="Arial"/>
        <color rgb="FF000000"/>
        <sz val="11.0"/>
      </rPr>
      <t xml:space="preserve">
- GROTON, (T17), TJFH?</t>
    </r>
    <r>
      <rPr>
        <rFont val="Arial"/>
        <color rgb="FF000000"/>
        <sz val="11.0"/>
      </rPr>
      <t xml:space="preserve">
</t>
    </r>
    <r>
      <rPr>
        <rFont val="Arial"/>
        <color rgb="FF000000"/>
        <sz val="11.0"/>
      </rPr>
      <t>- Apex will deliver to RC, live unload 2 hrs free
- Moored 9/6, discharged 9/6, pending delivery, LFD 9/12
- prepull 9/9</t>
    </r>
  </si>
  <si>
    <t>TRHU8679617</t>
  </si>
  <si>
    <r>
      <rPr>
        <rFont val="Arial"/>
        <color rgb="FF000000"/>
        <sz val="11.0"/>
      </rPr>
      <t>9/12/2022</t>
    </r>
    <r>
      <rPr>
        <rFont val="Arial"/>
        <color rgb="FF0000FF"/>
        <sz val="11.0"/>
      </rPr>
      <t xml:space="preserve">
Request chassis refund (EG)</t>
    </r>
  </si>
  <si>
    <t>EN#2144986, INV#EII220001059, OBL8/1, GATEFEE8/31, empty return 9/19
- EVER FRONT, (T5), EG
- Moored 9/1, discharged 9/2
- ready for pickup 9/6, LFD 9/9
- prepull 9/9, but deliver 9/12 due to driver has doctor appointment 3pm
- pier waiting was from 11:01-1:32pm additional ½ hr
- no on Evergreen chassis and it will be an chassis usage charge
- waive the prepull, storage charge, &amp; additional chassis charges?
- per diem $220
- QC 1cs to JPC, PL# 5494338</t>
  </si>
  <si>
    <t>EITU9219375</t>
  </si>
  <si>
    <t>GINGER CHEWS PLUS+ 3 OZ (ORIGINAL) 1 LBS (LEMON, MANGO, ORANGE)</t>
  </si>
  <si>
    <r>
      <rPr>
        <rFont val="Arial"/>
        <color rgb="FF000000"/>
        <sz val="11.0"/>
      </rPr>
      <t>9/13/2022</t>
    </r>
    <r>
      <rPr>
        <rFont val="Arial"/>
        <color rgb="FF0000FF"/>
        <sz val="11.0"/>
      </rPr>
      <t xml:space="preserve">
Request chassis refund (EG)</t>
    </r>
  </si>
  <si>
    <t>EN#2144748, INV#066/EXP-POP36275/06/2022, T/R, GATEFEE8/31
- EVER FRONT, (U13), EG
- Moored 9/1, discharged 9/2
- ready for pickup 9/6, LFD 9/9
- prepull 9/9
- additional charge of pre-pull + 4 days yard parking + chassis fee
- 4 days yard parking, no yard parking for 9/13, driver not able deliver without empty pickup
- respot 9/14
- empty return 9/20 (per Benz, reuse for export), ELFD 9/15
- Benz invoice 317237 revised - 4 days yard parking, instead of 5 days yard parking
- per diem $330</t>
  </si>
  <si>
    <t>EITU1981954</t>
  </si>
  <si>
    <t>EN#2144752, INV#EII220001039, OBL7/20, GATEFEE8/31, empty return 9/16
- EVER FRONT, (U5), EG
- Moored 9/1, discharged 9/2
- ready for pickup 9/6, LFD 9/9
- 1 cs QC sample to JPC, PL#5491792
- ELFD 9/15</t>
  </si>
  <si>
    <t>GCNU4758049</t>
  </si>
  <si>
    <r>
      <rPr>
        <rFont val="Arial"/>
        <color rgb="FF000000"/>
        <sz val="11.0"/>
      </rPr>
      <t xml:space="preserve">GAVOTTES
</t>
    </r>
    <r>
      <rPr>
        <rFont val="Arial"/>
        <color rgb="FF000000"/>
        <sz val="11.0"/>
      </rPr>
      <t>(NY transfer to LA)</t>
    </r>
  </si>
  <si>
    <r>
      <rPr>
        <rFont val="Arial"/>
        <color rgb="FF000000"/>
        <sz val="11.0"/>
      </rPr>
      <t xml:space="preserve">9/13/2022 (NJ)
9/19/2022 (LA)
</t>
    </r>
    <r>
      <rPr>
        <rFont val="Arial"/>
        <color rgb="FF0000FF"/>
        <sz val="11.0"/>
      </rPr>
      <t>Pending Etrans invoice (per diem)</t>
    </r>
  </si>
  <si>
    <t>EN#2145567, INV#106044, T/R, empty return 9/16
- TUBUL, (T9), ACL
- At anchor 8/31, estimated berthing 9/6
- Moored 9/5, discharged 9/8, LFD 9/13
- 9/8 per Junie, switch transfer to SF to transfer to LA
- max for reefer is 28 pallets
- prepull 9/12
- transfer# 5706, pickup 9/16
- transfer trucking $5700, total 26 pallets, Gavottes 22 pallets, Gavottes transfer trucking $4823.10</t>
  </si>
  <si>
    <t>GCNU4794560</t>
  </si>
  <si>
    <r>
      <rPr>
        <rFont val="Arial"/>
        <color rgb="FF000000"/>
        <sz val="11.0"/>
      </rPr>
      <t xml:space="preserve">9/13/2022
</t>
    </r>
    <r>
      <rPr>
        <rFont val="Arial"/>
        <color rgb="FF0000FF"/>
        <sz val="11.0"/>
      </rPr>
      <t>Pending Etrans invoice (per diem)</t>
    </r>
  </si>
  <si>
    <t>EN#2145575, INV#105966, T/R, empty return 9/16
- TUBUL, (T6), ACL
- At anchor 8/31, estimated berthing 9/6
- Moored 9/5, discharged 9/7, LFD 9/13
- 9/12 custom released
- live unload</t>
  </si>
  <si>
    <t>TRHU4480680</t>
  </si>
  <si>
    <t>GINGER CHEWS 4 OZ (BLOOD ORANGE, LYCHEE, PEANUT)</t>
  </si>
  <si>
    <r>
      <rPr>
        <rFont val="Arial"/>
        <color rgb="FF000000"/>
        <sz val="11.0"/>
      </rPr>
      <t xml:space="preserve">EN#2145153, INV#057/EXP-POP36812/07/2022, T/R, </t>
    </r>
    <r>
      <rPr>
        <rFont val="Arial"/>
        <color rgb="FF000000"/>
        <sz val="11.0"/>
      </rPr>
      <t>empty return 9/7</t>
    </r>
    <r>
      <rPr>
        <rFont val="Arial"/>
        <color rgb="FF000000"/>
        <sz val="11.0"/>
      </rPr>
      <t xml:space="preserve">
- WAN HAI 623, (S20), WH
- Apex will deliver, live unload 2 hrs free
- Moored 8/30, discharged 8/31, LFD 9/5</t>
    </r>
  </si>
  <si>
    <t>TEMU8227233</t>
  </si>
  <si>
    <t>EN#2144253, INV#107/EXP/INV/VI/2022, OBL7/6, empty return 9/12
- YM WITNESS, (S2), ONE
- have additional $250 GCT Bayonne Surcharge
- Moored 8/29, discharged 8/29, LFD 9/2
- ELFD 9/8, empty pickup 9/6
- demurrage $450</t>
  </si>
  <si>
    <t>KOCU4472892</t>
  </si>
  <si>
    <t>8/21/2022
8/22/2022</t>
  </si>
  <si>
    <r>
      <rPr>
        <rFont val="Arial"/>
        <color rgb="FF000000"/>
        <sz val="11.0"/>
      </rPr>
      <t xml:space="preserve">EN#2145121, INV#KB220615, OBL7/27, </t>
    </r>
    <r>
      <rPr>
        <rFont val="Arial"/>
        <color rgb="FF000000"/>
        <sz val="11.0"/>
      </rPr>
      <t>empty return 9/7</t>
    </r>
    <r>
      <rPr>
        <rFont val="Arial"/>
        <color rgb="FF000000"/>
        <sz val="11.0"/>
      </rPr>
      <t xml:space="preserve">
- HYUNDAI INTEGRAL, (T2), HMM
- have additional $250 Global Surcharge
- Moored 8/28, discharged 8/28, LFD 9/1</t>
    </r>
  </si>
  <si>
    <t>ACLU9708005</t>
  </si>
  <si>
    <t>GAVOTTES
(NY transfer to SF)</t>
  </si>
  <si>
    <r>
      <rPr>
        <rFont val="Arial"/>
        <color rgb="FF000000"/>
        <sz val="11.0"/>
      </rPr>
      <t xml:space="preserve">9/6/2022 (NJ)
9/14/2022 (SF)
</t>
    </r>
    <r>
      <rPr>
        <rFont val="Arial"/>
        <color rgb="FF0000FF"/>
        <sz val="11.0"/>
      </rPr>
      <t>Pending Etrans invoice (per diem)</t>
    </r>
  </si>
  <si>
    <t>EN#2145311, INV#105725, T/R, empty return 9/10
- TORRENTE, (T3), ACL
- have additional $250 Maher Surcharge
- Moored 8/28, discharged 8/29, LFD 9/2
- cannot pull 9/2, Demurrage charges ($1102.29 + E-Trans Admin Fee $100 = $1202.29)
- prepull 9/6, LFD 9/2
- 9/6 BP changed transfer from NJ to SF, instead NJ to LA
- 22 pallets for transfer
- Transfer# 5689 pickup 9/8
- full truckload $5700, transfer charge (22/30 pallets) is $4180
- have additional Empty Pick-up charge ($535 + 32% Fuel)
- 9/21 received Seafrigo invoice UST220015245
- QC sample to JPC, PL#5493385</t>
  </si>
  <si>
    <t>SKIU9065545</t>
  </si>
  <si>
    <t>GHC (D-04061Original 6x6 box)</t>
  </si>
  <si>
    <t>EN#2145055, INV#AIT2237, T/R, GATEFEE8/22, empty return 8/31
- CMA CGM TIGRIS, (S22), CMA
- Moored 8/25, discharged 8/25, LFD 8/31
- ready for pickup 8/26
- pier waiting was from 8:45-11:15am additional ½ hr
- ELFD 9/2, empty return 8/31</t>
  </si>
  <si>
    <t>TRHU7089426</t>
  </si>
  <si>
    <t>GHC (NEW! TURMERIC D-04033)</t>
  </si>
  <si>
    <t>EN#2145372, INV#AIT2237C, T/R, GATEFEE8/22, empty return 8/31
- EVER LIVING, (T16), EG
- Moored 8/23, discharged 8/23, LFD 8/31
- ready for pickup 8/24</t>
  </si>
  <si>
    <t>189
(LCL)</t>
  </si>
  <si>
    <t>TCLU5194519</t>
  </si>
  <si>
    <t>SEIROGAN 100, 400 PILLS</t>
  </si>
  <si>
    <t>EN#2145854, INV#US-220701, OBL8/16
- ONE HAMMERSMITH, (U7), ONE
- Moored 8/22, discharged 8/25, LFD 8/30
- FCL picked up 8/30, LCL available 9/6</t>
  </si>
  <si>
    <t>FFAU1921194</t>
  </si>
  <si>
    <t>EN#2145127, INV#055/EXP-POP36810/07/2022, T/R
- ADRIAN MAERSK, (S17), MAEU
- have additional $250 APM Surcharge
- At anchor 8/19
- Moored 8/21, discharged 8/22, LFD 8/26
- per Etrans, empty return 8/30</t>
  </si>
  <si>
    <t>TCNU8455022</t>
  </si>
  <si>
    <r>
      <rPr>
        <rFont val="Arial"/>
        <color rgb="FF000000"/>
        <sz val="11.0"/>
      </rPr>
      <t xml:space="preserve">ORGANIC TEABAGS
D-15400
</t>
    </r>
    <r>
      <rPr>
        <rFont val="Arial"/>
        <color rgb="FF000000"/>
        <sz val="11.0"/>
      </rPr>
      <t>(to RC COMMERCE)</t>
    </r>
  </si>
  <si>
    <t>EN#2144993, INV#YD22-T08, T/R
- COSCO SAKURA, (S11), COSCO
- Etrans will deliver to RC, live unload 2 hrs free
- Moored 8/20, discharged 8/23, LFD 8/26
- prepull 8/24, empty return 8/26</t>
  </si>
  <si>
    <t>WHSU6131410</t>
  </si>
  <si>
    <t>QC#13116</t>
  </si>
  <si>
    <t>EN#2145128, INV#063/EXP-POP36931/06/2022, T/R, GATEFEE8/15, empty return 9/12
- BOX ENDEAVOUR, (S18), WH
- Moored 8/21, discharged 8/22, LFD 8/26
- ready for pickup 9/6, LFD 9/12
- pier waiting was from 9:11-12:07pm additional 1hr
-  ELFD 9/14</t>
  </si>
  <si>
    <t>WHSU6031936</t>
  </si>
  <si>
    <t>EN#2145156, INV#127/EXP/INV/VII/2022, OBL8/1, GATEFEE8/15, empty return 9/14
- BOX ENDEAVOUR, (S21), WH
- Moored 8/21, discharged 8/21, LFD 8/25
- ready for pickup 9/1, LFD 9/7</t>
  </si>
  <si>
    <t>EGHU9654704</t>
  </si>
  <si>
    <t>EN#2143185, INV#076/EXP/INV/V/2022, OBL6/6, OBL resent 6/8, empty return 9/2
- EVER FRANK, (P11), EG
- have additional $250 Maher Surcharge
- At anchor @ Savannah 7/27
- At anchor 8/20
- Moored 8/27, discharged 8/28, LFD 9/1
- prepull 8/30</t>
  </si>
  <si>
    <t>MEDU4140364</t>
  </si>
  <si>
    <t>RED PANAX GINSENG EXT, ULTRA JOINT EXT, GINKGO BILOBA EXT</t>
  </si>
  <si>
    <t>EN#2144261, INV#AIT2203KFY, T/R, empty return 8/29
- MSC ELMA, (R13), MSC
- At anchor 8/17
- Moored 8/18, discharged 8/18, LFD 8/24
- NYCT / GCT-New York Terminal surcharge $350</t>
  </si>
  <si>
    <t>SH CUSTARD MOONCAKES (F-95850)</t>
  </si>
  <si>
    <t>EN#6018101, INV#MC-O-2022005, T/R
- (U8)
- EN# K80-6018101-4
- Arrived SFO 8/17
- received orignal vet cert 8/18, sent to GW 8/18
- submitted PO 8/18
- Lab test sampled 8/22, took 36 boxes
- Lab test completed 8/31, passed
- 9/1 Junie took 1 case (9 boxes) for QC
- Pending FDA release, response deadline 10/7
- FDA released 9/6
- QC sample for lab test &amp; Junie, PL# 5489592</t>
  </si>
  <si>
    <t>EMCU1522990</t>
  </si>
  <si>
    <t>EN#2144190, INV#099/EXP/INV/VI/2022, OBL7/6, GATEFEE8/15, empty return 8/26
- EVER FEAT, (R22), EG
- Moored 8/16, discharged 8/17, LFD 8/23
- ready for pickup 8/18, LFD 8/23
- informed empty pickup 8/24</t>
  </si>
  <si>
    <t>EITU9335502</t>
  </si>
  <si>
    <t>GINGER CHEWS 4 OZ (LEMON, LYCHEE)</t>
  </si>
  <si>
    <t>EN#2144195, INV#053/EXP-POP36808/06/2022, T/R, GATEFEE8/15
- EVER FEAT, (T12), EG
- Moored 8/16, discharged 8/17, LFD?
- ready for pickup 8/22, LFD 8/25
- prepull 8/25
- Pire waiting was from 11-4:56pm additional 4hrs + pre-pull + 2days yard parking + chassis fee, no Evergreen chassis available
- ELFD 8/31, empty return 8/30</t>
  </si>
  <si>
    <t>EGHU8309690</t>
  </si>
  <si>
    <t>EN#2144191, INV#100/EXP/INV/VI/2022, OBL7/6, GATEFEE8/15
- EVER FEAT, (S1), EG
- Moored 8/16, discharged 8/18, LFD?
- ready for pickup 8/22, LFD 8/25
- ELFD 8/31, empty return 8/29</t>
  </si>
  <si>
    <t>TGBU4279809</t>
  </si>
  <si>
    <t>GINGER CHEWS 4 OZ (LEMON, MANGO, ORANGE)</t>
  </si>
  <si>
    <t>EN#2144557, INV#058/EXP-POP36322/06/2022, T/R, GATEFEE8/15, empty return 9/22
- EVER FEAT, (T21), EG
- Moored 8/16, discharged 8/19, LFD 8/25
- ready for pickup 9/12, LFD 9/15
- demurrage $220 paid through 2022-09-16
- no Evergreen chassis available, have additional chassis usage
- ELFD 9/22</t>
  </si>
  <si>
    <t>SZLU9279060</t>
  </si>
  <si>
    <t>EN#2145034, INV#292846, T/R, empty return 8/18
- NORTHERN JUBILEE, (S12), MSC
- Door move by Seafrigo
- At anchor 7/31, estimated berthing 8/16
- Moored 8/16, discharged 8/16, LFD 8/18
- prepull 8/17, scheduled 8/19, but delivered earlier 8/18
- received GW invoice 8/24</t>
  </si>
  <si>
    <t>TCLU7923266</t>
  </si>
  <si>
    <t>EN#2145514, INV#20220727, T/R, empty return 8/25
- EVER LYRIC, (T10), EG
- Moored 8/15, discharged 8/16, LFD 8/22
- prepull 8/23</t>
  </si>
  <si>
    <t>EMCU8805924</t>
  </si>
  <si>
    <t>EN#2144985, INV#117/EXP/INV/VI/2022, OBL7/12, empty return 8/31
- EVER LYRIC, (S9), EG
- Moored 8/15, discharged 8/18, LFD 8/24
- prepull 8/24
- ELFD 8/30, per diem $130</t>
  </si>
  <si>
    <t>SEGU5694942</t>
  </si>
  <si>
    <t>HERBAL JELLY</t>
  </si>
  <si>
    <t>7/6/2022
7/7/2022</t>
  </si>
  <si>
    <r>
      <rPr>
        <rFont val="Arial"/>
        <color rgb="FF000000"/>
        <sz val="11.0"/>
      </rPr>
      <t xml:space="preserve">EN#2144282, INV#POP22004, T/R, </t>
    </r>
    <r>
      <rPr>
        <rFont val="Arial"/>
        <color rgb="FF000000"/>
        <sz val="11.0"/>
      </rPr>
      <t>empty return 9/2</t>
    </r>
    <r>
      <rPr>
        <rFont val="Arial"/>
        <color rgb="FF000000"/>
        <sz val="11.0"/>
      </rPr>
      <t xml:space="preserve">
- HYUNDAI JAKARTA, (Q19), HMM
- 7/6 GW received original vet cet
- Apex will deliver, live unload 2 hrs free
- At anchor 7/21, estimated berthing 8/12
- Moored 8/6, discharged 8/6 @ Norfolk, rail to NY
- rail discharged 8/16, LFD 8/22
- ready for pickup, LFD 9/1
- 9/7 receive revised PO</t>
    </r>
  </si>
  <si>
    <t>CAAU5727814</t>
  </si>
  <si>
    <t>EN#2144495, INV#062/EXP-POP36826/06/2022, T/R, GATEFEE8/10, empty return 8/22
- EVER FOREVER, (R7), EG
- Moored 8/10, discharged 8/10, LFD 8/16
- Pay demurrage thru 8/18, $330
- empty pickup without inform TH</t>
  </si>
  <si>
    <t>TEAS
D-60011B, D-60012B, D-60013B</t>
  </si>
  <si>
    <t>EN#6017991, INV#22TM031, T/R
- (T15)
- 8/8 GC provide updated FDA#
- 1 day of storage</t>
  </si>
  <si>
    <t>TXGU5802619</t>
  </si>
  <si>
    <t>EN#2144496, INV#EII220001003, OBL7/8, empty return 8/19
- CMA CGM MAGELLAN, (R8), EG
- demurrage most likely needed for this terminal
- Moored 8/6, discharged 8/11, LFD 8/16
- LFD 8/16, not able to pull by LFD, have demurrage
- prepull 8/17</t>
  </si>
  <si>
    <t>MAGU5486733</t>
  </si>
  <si>
    <t>MAJESTIC COOKIES</t>
  </si>
  <si>
    <t>EN#2144421, INV#RFS-POP012022, T/R 7/19
- WAN HAI 277, (R20), WH
- Apex will deliver, live unload 2 hrs free
- At anchor 8/5, estimated berthing?
- Moored 8/9, discharged 8/9, LFD 8/15
- empty pickup 8/11, no return location
- empty return 8/22</t>
  </si>
  <si>
    <t>EGSU9159068</t>
  </si>
  <si>
    <t>EN#2144633, INV#RFS-POP022022, T/R, empty return 8/25
- CMA CGM MAGELLAN, (R21), EG
- Moored 8/6, discharged 8/12, LFD 8/18
- 8/18 No chassis for EGSU9159068, GW pay demurrage $165
- prepull 8/19
- informed empty pickup 8/24</t>
  </si>
  <si>
    <t>SEKU9053598</t>
  </si>
  <si>
    <t>CHOCOLATE WAFER BALL</t>
  </si>
  <si>
    <t>9/19/2022
9/26/2022</t>
  </si>
  <si>
    <r>
      <rPr>
        <rFont val="Arial"/>
        <color rgb="FF000000"/>
        <sz val="11.0"/>
      </rPr>
      <t xml:space="preserve">8/16/2022
</t>
    </r>
    <r>
      <rPr>
        <rFont val="Arial"/>
        <color rgb="FFFF0000"/>
        <sz val="11.0"/>
      </rPr>
      <t>Pending dispute demurrage (Apex)
Pending CEVA investigation</t>
    </r>
  </si>
  <si>
    <t>?</t>
  </si>
  <si>
    <t>EN#2144411, INV#BJJ20220620, BJJ20220620-1, T/R, GATEFEE8/1
- CMA CGM MEDEA, (R19), CMA
- EN# K80-2144411-3
- 7/19 SYS provide ingredient list to FDA
- 7/19 pending FDA review
- 7/26 FDA detained
- No genset needed
- Supplier help to share the final cost of testing ($3400)?
- At anchor 7/25, estimated berthing 8/4
- Moored 8/5, discharged 8/9, LFD 8/15
- ready for pickup 8/9
- FDA detained 7/26, respond by 8/15
- 8/10 respond deadline extended to 8/24
- reefer container, it is plug in inside terminal on chassis, no suitable for prepull
- pay demurrage through 8/16, $2,475
- additional split return chassis charge
- ELFD 8/18, empty return 8/18
- submitted PO 8/19
- lab test sampling 8/19
- pending lab test result 9/12, all passed
- lab test report submitted to FDA 9/12 &amp; 9/13
- 9/15 item line 3 in lab report rejected by FDA, resubmit needed
- FDA release first &amp; second item 9/19
- PL# 5491335 hold third item for FDA release
- Anresco resubmitted lab report (third item) 9/20
- FDA start review lab report for third item 9/22
- FDA release third item 9/26</t>
  </si>
  <si>
    <t>MRSU4969467</t>
  </si>
  <si>
    <r>
      <rPr>
        <rFont val="Arial"/>
        <color rgb="FF000000"/>
        <sz val="11.0"/>
      </rPr>
      <t xml:space="preserve">8/10/2022
</t>
    </r>
    <r>
      <rPr>
        <rFont val="Arial"/>
        <color rgb="FF0000FF"/>
        <sz val="11.0"/>
      </rPr>
      <t>Pending Etrans invoice (per diem)</t>
    </r>
  </si>
  <si>
    <r>
      <rPr>
        <rFont val="Arial"/>
        <color rgb="FF000000"/>
        <sz val="11.0"/>
      </rPr>
      <t xml:space="preserve">EN#2144552, INV#AIT2225C, T/R, </t>
    </r>
    <r>
      <rPr>
        <rFont val="Arial"/>
        <color rgb="FF000000"/>
        <sz val="11.0"/>
      </rPr>
      <t>empty return 8/12 (per Etrans)</t>
    </r>
    <r>
      <rPr>
        <rFont val="Arial"/>
        <color rgb="FF000000"/>
        <sz val="11.0"/>
      </rPr>
      <t xml:space="preserve">
- SFL HAWAII, (S14), MAEU
- have additional $250 APM Surcharge
- Moored 8/4, discharged 8/5, LFD 8/10</t>
    </r>
  </si>
  <si>
    <t>MRKU6377090</t>
  </si>
  <si>
    <r>
      <rPr>
        <rFont val="Arial"/>
        <color rgb="FF000000"/>
        <sz val="11.0"/>
      </rPr>
      <t xml:space="preserve">8/10/2022
</t>
    </r>
    <r>
      <rPr>
        <rFont val="Arial"/>
        <color rgb="FF0000FF"/>
        <sz val="11.0"/>
      </rPr>
      <t>Pending Etrans invoice (per diem)</t>
    </r>
  </si>
  <si>
    <r>
      <rPr>
        <rFont val="Arial"/>
        <color rgb="FF000000"/>
        <sz val="11.0"/>
      </rPr>
      <t xml:space="preserve">EN#2144551, INV#AIT2235, T/R, </t>
    </r>
    <r>
      <rPr>
        <rFont val="Arial"/>
        <color rgb="FF000000"/>
        <sz val="11.0"/>
      </rPr>
      <t>empty return 8/15 (per Etrans)</t>
    </r>
    <r>
      <rPr>
        <rFont val="Arial"/>
        <color rgb="FF000000"/>
        <sz val="11.0"/>
      </rPr>
      <t xml:space="preserve">
- SFL HAWAII, (S13), MAEU
- have additional $250 APM Surcharge
- Moored 8/4, discharged 8/4, LFD 8/9
- have additional Empty Pick-up charge ($535 + 32% Fuel)</t>
    </r>
  </si>
  <si>
    <t>TLLU5005300</t>
  </si>
  <si>
    <t>GHC (LEMON D-04043), INSTANT CHINESE HERBAL BULK(A-6101G)</t>
  </si>
  <si>
    <r>
      <rPr>
        <rFont val="Arial"/>
        <color rgb="FF000000"/>
        <sz val="11.0"/>
      </rPr>
      <t xml:space="preserve">9/7/2022
</t>
    </r>
    <r>
      <rPr>
        <rFont val="Arial"/>
        <color rgb="FFFF0000"/>
        <sz val="11.0"/>
      </rPr>
      <t>Pending CEVA revised invoice (detention)</t>
    </r>
  </si>
  <si>
    <t>EN#2144610, INV#AIT2229E, T/R, GATEFEE8/3, empty return 9/9
- CMA CGM MEDEA, (R17), CMA
- At anchor 7/25, estimated berthing 8/4
- Moored 8/5, discharged 8/11, LFD 8/17
- ready for pickup 8/29, LFD 9/2
- prepull 9/2, have prepull &amp; storage
- informed empty pickup 9/8
- 9/9 received 2 part PO
- ELFD 9/8
- respot?
- CEVA detention invoice $140</t>
  </si>
  <si>
    <t>MSDU7471281</t>
  </si>
  <si>
    <t>GINGER CHEWS 1KG (ORIGINAL)</t>
  </si>
  <si>
    <r>
      <rPr>
        <rFont val="Arial"/>
        <color rgb="FF000000"/>
        <sz val="11.0"/>
      </rPr>
      <t xml:space="preserve">8/8/2022 (NJ)
11/22/2022 (RC Commerce)
</t>
    </r>
    <r>
      <rPr>
        <rFont val="Arial"/>
        <b/>
        <color rgb="FFFF0000"/>
        <sz val="11.0"/>
      </rPr>
      <t>Pending received Performa Invoice (RC)</t>
    </r>
  </si>
  <si>
    <t>EN#2143777, INV#093/EXP/INV/V/2022, OBL6/22, empty return 8/9
- MSC EVEREST, (R6), MSC
- Apex will deliver, live unload 2 hrs free
- At anchor 7/31, estimated berthing 8/3
- Delivery address changed from RC to NJ warehouse
- Moored 8/3, discharged 8/3, LFD 8/9
- transfer  from NJ to RC?
- Apex rate - $1,485
- Steve rate - $1,250
- 11/17, per BP, ready for transfer to RC new address
- 11/18 Steve rate $1,050, deliver to RC new address (601 Acorn St, Deer Park, NY 11729)</t>
  </si>
  <si>
    <t>MSMU8255370</t>
  </si>
  <si>
    <t>EN#2143677, INV#092/EXP/INV/V/2022, OBL6/22, empty return 8/11
- MSC EVEREST, (Q7), MSC
- Apex will deliver, live unload 2 hrs free
- At anchor 7/31, estimated berthing 8/3
- Moored 8/3, discharged 8/5, LFD 8/10</t>
  </si>
  <si>
    <t>TFLU4935510</t>
  </si>
  <si>
    <r>
      <rPr>
        <rFont val="Arial"/>
        <color rgb="FF000000"/>
        <sz val="11.0"/>
      </rPr>
      <t xml:space="preserve">GHC </t>
    </r>
    <r>
      <rPr>
        <rFont val="Arial"/>
        <color rgb="FF000000"/>
        <sz val="11.0"/>
      </rPr>
      <t>(D-04061</t>
    </r>
    <r>
      <rPr>
        <rFont val="Arial"/>
        <color rgb="FF000000"/>
        <sz val="11.0"/>
      </rPr>
      <t>)</t>
    </r>
  </si>
  <si>
    <r>
      <rPr>
        <rFont val="Arial"/>
        <color rgb="FF000000"/>
        <sz val="11.0"/>
      </rPr>
      <t xml:space="preserve">EN#2144428, INV#AIT2234A, T/R, </t>
    </r>
    <r>
      <rPr>
        <rFont val="Arial"/>
        <color rgb="FF000000"/>
        <sz val="11.0"/>
      </rPr>
      <t>empty return 8/4</t>
    </r>
    <r>
      <rPr>
        <rFont val="Arial"/>
        <color rgb="FF000000"/>
        <sz val="11.0"/>
      </rPr>
      <t xml:space="preserve">
- ZHONG GU FU JIAN, (S15), TJFH?
- Armed guard on board?
- Apex will deliver, live unload 2 hrs free
- Moored 8/3, discharged 8/3, LFD 8/9
- APM terminal</t>
    </r>
  </si>
  <si>
    <t>TFLU4822597</t>
  </si>
  <si>
    <t>EN#2144414, INV#AIT2225B, T/R, empty return?
- ZHONG GU FU JIAN, (S16), TJFH?
- Apex will deliver, live unload 2 hrs free
- Moored 8/3, discharged 8/3, LFD?</t>
  </si>
  <si>
    <t>TGBU4426710</t>
  </si>
  <si>
    <r>
      <rPr>
        <rFont val="Arial"/>
        <color rgb="FF000000"/>
        <sz val="11.0"/>
      </rPr>
      <t xml:space="preserve">EN#2144497, INV#EII220001001, OBL7/20, </t>
    </r>
    <r>
      <rPr>
        <rFont val="Arial"/>
        <color rgb="FF000000"/>
        <sz val="11.0"/>
      </rPr>
      <t>empty return 8/3</t>
    </r>
    <r>
      <rPr>
        <rFont val="Arial"/>
        <color rgb="FF000000"/>
        <sz val="11.0"/>
      </rPr>
      <t xml:space="preserve">
- CMA CGM T.ROOSEVELT, (R9), EG
- Apex will deliver, live unload 2 hrs free
- Moored 7/31, discharged 7/31, LFD 8/4</t>
    </r>
  </si>
  <si>
    <t>CMAU5109853</t>
  </si>
  <si>
    <t>EN#2143374, INV#AIT2230C, T/R, empty return 8/2
- EVER FAR, (P18), CMA
- Apex will deliver, live unload 2 hrs free
- At anchor 7/28, moored 7/29, discharged 7/31, LFD 8/4</t>
  </si>
  <si>
    <t>GAOU6326398</t>
  </si>
  <si>
    <r>
      <rPr>
        <rFont val="Arial"/>
        <color rgb="FF000000"/>
        <sz val="11.0"/>
      </rPr>
      <t>8/9/2022</t>
    </r>
    <r>
      <rPr>
        <rFont val="Arial"/>
        <color rgb="FF0000FF"/>
        <sz val="11.0"/>
      </rPr>
      <t xml:space="preserve">
Request chassis refund (EG)</t>
    </r>
  </si>
  <si>
    <t>EN#2143776, INV#046/EXP-POP36588/05/2022, T/R, GATEFEE7/25, empty return 8/19
- EVER FINE, (Q9), EG
- Moored 7/27, discharged 7/27, LFD 8/3
- ready for pickup 8/1
- Paid demurrage $495 through 2022-08-07
- Benz paid demurrage $165 through 2022-08-08
- Prepull 8/8
- was out gated at 4:50pm with no Evergreen chassis, Pier waiting was from 9:55am-4:50pm additional 5hrs. + chassis fee + pre pull + 2 days yard parking
- 8/17 respot by other company driver
- ELFD 8/12
- Benz invoice per diem $630</t>
  </si>
  <si>
    <t>EMCU8568910</t>
  </si>
  <si>
    <t>GINGER CHEWS 1 LBS (LEMON, ORANGE, MANGO)</t>
  </si>
  <si>
    <r>
      <rPr>
        <rFont val="Arial"/>
        <color rgb="FF000000"/>
        <sz val="11.0"/>
      </rPr>
      <t xml:space="preserve">8/26/2022
</t>
    </r>
    <r>
      <rPr>
        <rFont val="Arial"/>
        <color rgb="FF0000FF"/>
        <sz val="11.0"/>
      </rPr>
      <t>Request chassis refund (EG)</t>
    </r>
  </si>
  <si>
    <t>EN#2143610, INV#045/EXP-POP36593/05/2022, T/R, GATEFEE7/25
- EVER FINE, (Q4), EG
- 6/9 received revised CI
- Moored 7/27, discharged 7/27, LFD 8/8
- ready for pickup 8/22, LFD 8/25
- Benz help to ask to extend LFD to 8/26, avoid demurrage $220
- on BACP chassis, will have chassis fee charge
- ELFD 9/1, empty return 8/30</t>
  </si>
  <si>
    <t>GCXU5059529</t>
  </si>
  <si>
    <r>
      <rPr>
        <rFont val="Arial"/>
        <color rgb="FF000000"/>
        <sz val="11.0"/>
      </rPr>
      <t xml:space="preserve">GHC (LEMON </t>
    </r>
    <r>
      <rPr>
        <rFont val="Arial"/>
        <color rgb="FF000000"/>
        <sz val="11.0"/>
      </rPr>
      <t>D-04043</t>
    </r>
    <r>
      <rPr>
        <rFont val="Arial"/>
        <color rgb="FF000000"/>
        <sz val="11.0"/>
      </rPr>
      <t>)</t>
    </r>
  </si>
  <si>
    <t>EN#2143797, INV#AIT2222B, T/R, empty return 7/29
- YM WARRANTY, (R16), YM
- Apex will deliver, live unload 2 hrs free
- Moored 7/27, discharged 7/28, LFD 8/2</t>
  </si>
  <si>
    <t>EITU1887953</t>
  </si>
  <si>
    <r>
      <rPr>
        <rFont val="Arial"/>
        <color rgb="FF000000"/>
        <sz val="11.0"/>
      </rPr>
      <t xml:space="preserve">8/5/2022
</t>
    </r>
    <r>
      <rPr>
        <rFont val="Arial"/>
        <color rgb="FF0000FF"/>
        <sz val="11.0"/>
      </rPr>
      <t>Request chassis refund (EG)</t>
    </r>
  </si>
  <si>
    <t>EN#2143415, INV#084/EXP/INV/V/2022, OBL6/8, GATEFEE7/25, empty return 8/10
- EVER FINE, (P15), EG
- Moored 7/27, discharged 7/27, LFD 8/3
- ready for pickup 8/1
- 8/4 Demurrage $330 paid through 2022-08-05
- LFD extended from 8/3 to 8/6? claim demurrage refund?
- no Evergreen chassis, will be chassis fee charge
- will be attempt charge
- per Winnie, ELFD is 8/11</t>
  </si>
  <si>
    <t>TLLU5154941</t>
  </si>
  <si>
    <r>
      <rPr>
        <rFont val="Arial"/>
        <color rgb="FF000000"/>
        <sz val="11.0"/>
      </rPr>
      <t xml:space="preserve">8/4/2022
</t>
    </r>
    <r>
      <rPr>
        <rFont val="Arial"/>
        <color rgb="FF0000FF"/>
        <sz val="11.0"/>
      </rPr>
      <t>Request chassis refund (EG)</t>
    </r>
  </si>
  <si>
    <t>EN#2143416, INV#085/EXP/INV/V/2022, OBL6/8, GATEFEE7/25, empty return 8/8
- EVER FINE, (P16), EG
- Moored 7/27, discharged 7/27, LFD 8/3
- ready for pickup 8/1
- 8/3 paid demurrage $165 Demurrage Through 2022-08-04
- Empty picked up 8/5</t>
  </si>
  <si>
    <t>YMMU6020280</t>
  </si>
  <si>
    <t>EN#2143794, INV#AIT2225A, T/R, empty return 8/1
- YM WARRANTY, (R15), YM
- Apex will deliver, live unload 2 hrs free
- Moored 7/27, discharged 7/28, LFD 8/2</t>
  </si>
  <si>
    <t>MSDU4443413</t>
  </si>
  <si>
    <t>PANAX GINSENG EXTRA, RED GINSENG ROYAL JELLY
 (C-70021/C-70052/C-70050)</t>
  </si>
  <si>
    <t>EN#2140672, INV#2022TAT03, T/R, GATEFEE7/20
- CAP SAN VINCENT, (P12), MSC
- estimated berthing 7/26
- additional charge for heavy weight
- Moored 7/27, discharged 7/28, LFD 8/3
- ready for pickup 8/17, LFD 8/23
- Overweight (45,633&gt;45,000 lbs)
- MSC line empty container is no return location and terminal is short of DCLI chassis
- terminal system down, prepull 8/22, deliver 8/23
- pier waiting was from 11:34-8:23pm
- Additional charge of 7hrs + pre-pull + 2 days yard parking
- informed empty pickup 8/24
- ELFD 8/25, empty return 8/25</t>
  </si>
  <si>
    <t>TGBU4420922</t>
  </si>
  <si>
    <r>
      <rPr>
        <rFont val="Arial"/>
        <color rgb="FF000000"/>
        <sz val="11.0"/>
      </rPr>
      <t>EN#2143414, INV#083/EXP/INV/V/2022, OBL6/8,</t>
    </r>
    <r>
      <rPr>
        <rFont val="Arial"/>
        <color rgb="FF000000"/>
        <sz val="11.0"/>
      </rPr>
      <t xml:space="preserve"> empty return 7/28</t>
    </r>
    <r>
      <rPr>
        <rFont val="Arial"/>
        <color rgb="FF000000"/>
        <sz val="11.0"/>
      </rPr>
      <t xml:space="preserve">
- MAERSK SALTORO, (P14), MSC
- Apex will deliver, live unload 2 hrs free
- At anchor 7/5, estimated berthing 7/26
- Moored 7/26, discharged 7/27, LFD 8/2</t>
    </r>
  </si>
  <si>
    <t>MRKU2765775</t>
  </si>
  <si>
    <t>EN#2144267, INV#AIT2233C, T/R, empty return 7/26?
- SHIJING, (Q22), MAEU
- Apex will deliver, live unload 2 hrs free
- Moored 7/24, discharged 7/25, LFD?</t>
  </si>
  <si>
    <t>TGBU4035510</t>
  </si>
  <si>
    <r>
      <rPr>
        <rFont val="Arial"/>
        <color rgb="FF000000"/>
        <sz val="11.0"/>
      </rPr>
      <t xml:space="preserve">EN#2144225, INV#EII220000973, OBL7/20, </t>
    </r>
    <r>
      <rPr>
        <rFont val="Arial"/>
        <color rgb="FF000000"/>
        <sz val="11.0"/>
      </rPr>
      <t>empty return 7/27</t>
    </r>
    <r>
      <rPr>
        <rFont val="Arial"/>
        <color rgb="FF000000"/>
        <sz val="11.0"/>
      </rPr>
      <t xml:space="preserve">
- CMA CGM LAPEROUSE, (Q18), EG
- Apex will deliver, live unload 2 hrs free
- Received OBL from AP 7/20
- Moored 7/23, discharged 7/26, LFD 8/1</t>
    </r>
  </si>
  <si>
    <t>CAAU5453210</t>
  </si>
  <si>
    <r>
      <rPr>
        <rFont val="Arial"/>
        <color rgb="FF000000"/>
        <sz val="11.0"/>
      </rPr>
      <t xml:space="preserve">EN#2142708, INV#071/EXP/INV/IV/2022, OBL5/25, </t>
    </r>
    <r>
      <rPr>
        <rFont val="Arial"/>
        <color rgb="FF000000"/>
        <sz val="11.0"/>
      </rPr>
      <t>empty return 7/27</t>
    </r>
    <r>
      <rPr>
        <rFont val="Arial"/>
        <color rgb="FF000000"/>
        <sz val="11.0"/>
      </rPr>
      <t xml:space="preserve">
- TITAN, (M13), EG
- At anchor @ Savannah 6/30, moored @ Savannah 7/18
- Apex will deliver, live unload 2 hrs free
- TITAN (IMO: 9728928)
- Moored 7/22, discharged 7/22, LFD 7/28</t>
    </r>
  </si>
  <si>
    <t>192
(LCL)</t>
  </si>
  <si>
    <t>EMCU5463725</t>
  </si>
  <si>
    <t>ALUMINIUM FOIL (6 PLTS)
(to SUN TEN)</t>
  </si>
  <si>
    <t>EN#2144527, INV#LFE-0622/22, T/R, empty return 7/28
- EVER LEARNED, (S6), EG
- Moored 7/20, discharged 7/20, LFD 7/28
- FCL picked up 7/27
- received signed DO 8/12</t>
  </si>
  <si>
    <t>GCXU5808714</t>
  </si>
  <si>
    <r>
      <rPr>
        <rFont val="Arial"/>
        <color rgb="FF000000"/>
        <sz val="11.0"/>
      </rPr>
      <t xml:space="preserve">EN#2143836, INV#051/EXP-POP36813/05/2022, T/R, </t>
    </r>
    <r>
      <rPr>
        <rFont val="Arial"/>
        <color rgb="FF000000"/>
        <sz val="11.0"/>
      </rPr>
      <t>empty return 7/25?</t>
    </r>
    <r>
      <rPr>
        <rFont val="Arial"/>
        <color rgb="FF000000"/>
        <sz val="11.0"/>
      </rPr>
      <t xml:space="preserve">
- MAERSK TUKANG, (Q10), MAEU
- Apex will deliver, live unload 2 hrs free
- Moored 7/20, discharged 7/20, LFD 7/26
- prepull 7/23</t>
    </r>
  </si>
  <si>
    <t>EN#6017685, INV#CZ22S013, T/R
- LFD 7/19
- Received PO (T1)
- 7/27 JD informed Emily Chin to provide Ultimate documents for posting</t>
  </si>
  <si>
    <t>TCLU9633630</t>
  </si>
  <si>
    <t>GHC  (D-04011)</t>
  </si>
  <si>
    <t>7/22/0202</t>
  </si>
  <si>
    <r>
      <rPr>
        <rFont val="Arial"/>
        <color rgb="FF000000"/>
        <sz val="11.0"/>
      </rPr>
      <t xml:space="preserve">EN#2143375, INV#AIT2230D, T/R, </t>
    </r>
    <r>
      <rPr>
        <rFont val="Arial"/>
        <color rgb="FF000000"/>
        <sz val="11.0"/>
      </rPr>
      <t>empty return 7/23</t>
    </r>
    <r>
      <rPr>
        <rFont val="Arial"/>
        <color rgb="FF000000"/>
        <sz val="11.0"/>
      </rPr>
      <t xml:space="preserve">
- EVER FIT, (P19), CMA
- Apex will deliver, live unload 2 hrs free
- Moored 7/17, discharged 7/19, LFD 7/25
- prepull 7/21</t>
    </r>
  </si>
  <si>
    <t>CMAU4117052</t>
  </si>
  <si>
    <r>
      <rPr>
        <rFont val="Arial"/>
        <color rgb="FF000000"/>
        <sz val="11.0"/>
      </rPr>
      <t xml:space="preserve">GHC, GHC (PLUM), GHC (BROWN SUGAR) </t>
    </r>
    <r>
      <rPr>
        <rFont val="Arial"/>
        <color rgb="FF000000"/>
        <sz val="11.0"/>
      </rPr>
      <t>(INV#AIT2234)</t>
    </r>
    <r>
      <rPr>
        <rFont val="Arial"/>
        <color rgb="FF000000"/>
        <sz val="11.0"/>
      </rPr>
      <t xml:space="preserve">
DONG QUAI RED DATE TEA </t>
    </r>
    <r>
      <rPr>
        <rFont val="Arial"/>
        <color rgb="FF000000"/>
        <sz val="11.0"/>
      </rPr>
      <t>(INV#AIT2234-A)</t>
    </r>
  </si>
  <si>
    <t>EN#2143379, INV#AIT2234, AIT2234-A, T/R, empty return 7/22
- EVER FIT, (Q1), CMA
- Combined 2143379 &amp; 2143380, and filed under 2143379-3
- Apex will deliver, live unload 2 hrs free
- Moored 7/17, discharged 7/17, LFD 7/21
- prepull 7/20</t>
  </si>
  <si>
    <t>TEMU8965812</t>
  </si>
  <si>
    <r>
      <rPr>
        <rFont val="Arial"/>
        <color rgb="FF000000"/>
        <sz val="11.0"/>
      </rPr>
      <t xml:space="preserve">7/27/2022
</t>
    </r>
    <r>
      <rPr>
        <rFont val="Arial"/>
        <color rgb="FF0000FF"/>
        <sz val="11.0"/>
      </rPr>
      <t>Request chassis refund (EG)</t>
    </r>
  </si>
  <si>
    <t>EN#2143779, INV#048/EXP-POP36597/05/2022, T/R, GATEFEE7/19, empty return 8/2
- EVER FRONT, (S7), EG
- Moored 7/17, discharged 7/17, LFD 7/27
- ready for pickup 7/20
- not Evergreen chassis, have additional chassis fee
- informed empty pickup 7/28
- additional charge of $75 split return chassis</t>
  </si>
  <si>
    <t>TFLU4849854</t>
  </si>
  <si>
    <t>EN#2144794, INV#AIT2225E, T/R, empty return 7/27
- A DAISEN, (S5), TJFH
- GW regular trucker has declined as they do not service this carrier
- Apex will drop
- Moored 7/16, discharged 7/16, LFD 7/26</t>
  </si>
  <si>
    <t>TGBU8818719</t>
  </si>
  <si>
    <r>
      <rPr>
        <rFont val="Arial"/>
        <color rgb="FF000000"/>
        <sz val="11.0"/>
      </rPr>
      <t xml:space="preserve">TEABAGS
</t>
    </r>
    <r>
      <rPr>
        <rFont val="Arial"/>
        <color rgb="FF000000"/>
        <sz val="11.0"/>
      </rPr>
      <t>D-13300N, D-14100N, D-17100N</t>
    </r>
  </si>
  <si>
    <r>
      <rPr>
        <rFont val="Arial"/>
        <color rgb="FF000000"/>
        <sz val="11.0"/>
      </rPr>
      <t xml:space="preserve">7/25/2022
</t>
    </r>
    <r>
      <rPr>
        <rFont val="Arial"/>
        <color rgb="FF0000FF"/>
        <sz val="11.0"/>
      </rPr>
      <t>Pending Etrans invoice (per diem)</t>
    </r>
  </si>
  <si>
    <t>EN#2143609, INV#YD22-T07, T/R, empty return 7/27
- OOCL POLAND, (Q8), COSCO
- additional $250 Maher Surcharge
- Moored 7/16, discharged 7/19, LFD 7/25
- prepull 7/22</t>
  </si>
  <si>
    <t>NY-LA</t>
  </si>
  <si>
    <t>ACLU9663889</t>
  </si>
  <si>
    <r>
      <rPr>
        <rFont val="Arial"/>
        <color rgb="FF000000"/>
        <sz val="11.0"/>
      </rPr>
      <t xml:space="preserve">GAVOTTES
</t>
    </r>
    <r>
      <rPr>
        <rFont val="Arial"/>
        <color rgb="FF000000"/>
        <sz val="11.0"/>
      </rPr>
      <t>(NY transfer to LA)</t>
    </r>
  </si>
  <si>
    <t>7/28/2022 (NJ)
8/8/2022 (LA)</t>
  </si>
  <si>
    <t>EN#2144448, INV#104554, T/R, empty return 7/28
- TUBUL, (R18), ACL
- Apex will deliver, live unload 2 hrs free
- Moored 7/16, discharged 7/17, LFD 7/21
- bill back the demurrage to Seafrigo due to delay in freight release
- 7/25 Apex advance demurrage $1060+ thru 7/25
- 7/27 Seafrigo pay demurrage thru 7/27
- 7/27 freight released
- prepull 7/27, delivered 7/28, empty return 7/28
- transfer pickup 8/3, transfer# 5674
- per Jenny, transferred to LA 8/8
- Invoice 2022-024 sent to Seafrigo for demurrage refund ($1102.29)
- Seafrigo send check# 26238 ($1,102.29) for demurrage refund
-  8/29 received Seafrigo check ($1,102.29).</t>
  </si>
  <si>
    <t>TCLU6378336</t>
  </si>
  <si>
    <r>
      <rPr>
        <rFont val="Arial"/>
        <color rgb="FF000000"/>
        <sz val="11.0"/>
      </rPr>
      <t xml:space="preserve">EN#2143508, INV#AIT2232B, T/R, </t>
    </r>
    <r>
      <rPr>
        <rFont val="Arial"/>
        <color rgb="FF000000"/>
        <sz val="11.0"/>
      </rPr>
      <t>empty return 7/20</t>
    </r>
    <r>
      <rPr>
        <rFont val="Arial"/>
        <color rgb="FF000000"/>
        <sz val="11.0"/>
      </rPr>
      <t xml:space="preserve">
- ONE APUS, (R12), ONE
- Apex will deliver, live unload 2 hrs free
- Moored 7/14, discharged 7/15, LFD 7/21</t>
    </r>
  </si>
  <si>
    <t>KKFU7869714</t>
  </si>
  <si>
    <r>
      <rPr>
        <rFont val="Arial"/>
        <color rgb="FF000000"/>
        <sz val="11.0"/>
      </rPr>
      <t xml:space="preserve">EN#2143507, INV#AIT2232C, T/R, </t>
    </r>
    <r>
      <rPr>
        <rFont val="Arial"/>
        <color rgb="FF000000"/>
        <sz val="11.0"/>
      </rPr>
      <t>empty return 7/20</t>
    </r>
    <r>
      <rPr>
        <rFont val="Arial"/>
        <color rgb="FF000000"/>
        <sz val="11.0"/>
      </rPr>
      <t xml:space="preserve">
- ONE APUS, (R11), ONE
- Moored 7/14, discharged 7/15, LFD 7/21
- Apex will deliver, live unload 2 hrs free</t>
    </r>
  </si>
  <si>
    <t>SEGU9524754</t>
  </si>
  <si>
    <t>RED PANAX GINSENG EXTRACT, ULTRA GINKGO PLUS, ULTRA JOINT, INSTANT TEA BULK</t>
  </si>
  <si>
    <r>
      <rPr>
        <rFont val="Arial"/>
        <color rgb="FF000000"/>
        <sz val="11.0"/>
      </rPr>
      <t xml:space="preserve">8/9/2022
</t>
    </r>
    <r>
      <rPr>
        <rFont val="Arial"/>
        <color rgb="FF0000FF"/>
        <sz val="11.0"/>
      </rPr>
      <t>Pending Benz invoice (per diem)</t>
    </r>
  </si>
  <si>
    <t>EN#2143343, INV#AIT2202KFY, T/R, GATEFEE7/11, empty return 8/16
- PRESIDENT EISENHOWER, (P17), CMA
- Moored 7/9, discharged 7/11, LFD 8/5
- ready for pickup 8/5, LFD 8/11
- pier waiting was from 9:15-11:39am additional ½ hr
- 8/11 respot
- 8/15 informed empty pickup
- this reefer empty will be return to Con Global Oakland and the chassis needs to return to terminal. Split return chassis,  charge fee applies
- 8/16 submitted PO-part 1
- ELFD 8/11, empty return 8/16</t>
  </si>
  <si>
    <t>CAIU9748850</t>
  </si>
  <si>
    <t>EN#2142925, INV#AIT2229C, T/R
- CMA CGM APOLLON, (P6), CMA
- 6/28 Etrans cannot handle due to no chassis
- Apex will deliver, live unload 2 hrs free
- Moored 7/11, discharged 7/14, LFD 7/20
- empty return 7/19, prepull 7/15?</t>
  </si>
  <si>
    <t>TCKU7898485</t>
  </si>
  <si>
    <t>EN#2142927, INV#AIT2221A, T/R, empty return 7/14
- CMA CGM APOLLON, (P5), CMA
- 6/28 Etrans cannot handle due to no chassis
- Apex will deliver, live unload 2 hrs free
- Moored 7/11, discharged 7/12, LFD 7/18
- Prepull 7/13</t>
  </si>
  <si>
    <t>EITU9453315</t>
  </si>
  <si>
    <t>EN#5115731, INV#065/EXP/INV/IV/2022, OBL5/5
- TEXAS TRIUMPH, (K21), EG
- Apex will deliver, live unload 2 hrs free
- Moored 7/8, discharged 7/9, LFD 7/14</t>
  </si>
  <si>
    <t>CAAU5447623</t>
  </si>
  <si>
    <r>
      <rPr>
        <rFont val="Arial"/>
        <color rgb="FF000000"/>
        <sz val="11.0"/>
      </rPr>
      <t xml:space="preserve">GINGER CHEWS 1KG (LEMON)
</t>
    </r>
    <r>
      <rPr>
        <rFont val="Arial"/>
        <color rgb="FF000000"/>
        <sz val="11.0"/>
      </rPr>
      <t>(to RC Commerce)</t>
    </r>
  </si>
  <si>
    <t>EN#5115727, INV#066/EXP/INV/IV/2022, OBL5/5
- TEXAS TRIUMPH, (K22), EG
- 4/21 Etrans will not go to RC Commerce anymore, need alternative trucker
- Apex will deliver, live unload 2 hrs free
- Moored 7/8, discharged 7/9, LFD 7/14
- Prepull 7/11
- Delivered 7/12 without inform TH</t>
  </si>
  <si>
    <t>EMCU8460714</t>
  </si>
  <si>
    <t>GINGER CHEWS 4 OZ (LEMON, LYCHEE, ORANGE, MANGO)</t>
  </si>
  <si>
    <t>EN#2142590, INV#042/EXP-POP36595/04/2022, T/R
- TEXAS TRIUMPH, (L22), EG
- Apex will deliver, live unload 2 hrs free
- Moored 7/8, discharged 7/8, LFD 7/14
- Delivered without inform TH
- Resaved &amp; resubmitted revised PO</t>
  </si>
  <si>
    <t>TLLU4043352</t>
  </si>
  <si>
    <t>EN#2142512, INV#040/EXP-POP36596/04/2022, T/R
- TEXAS TRIUMPH, (L19), EG
- Apex will deliver, live unload 2 hrs free
- Moored 7/8, discharged 7/9, LFD 7/14</t>
  </si>
  <si>
    <t>TCNU4611472</t>
  </si>
  <si>
    <t>GHC (LEMON)</t>
  </si>
  <si>
    <t>EN#2144127, INV#AIT2225D, T/R, GATEFEE7/14, empty return 8/4
- APL SANTIAGO, (R1), CMA
- Moored 7/7, discharged 7/13, LFD 7/21
- ready for pickup 7/28, LFD 8/2
- informed empty pickup 8/3</t>
  </si>
  <si>
    <t>CMAU4676575</t>
  </si>
  <si>
    <r>
      <rPr>
        <rFont val="Arial"/>
        <color rgb="FF000000"/>
        <sz val="11.0"/>
      </rPr>
      <t xml:space="preserve">8/5/2022
</t>
    </r>
    <r>
      <rPr>
        <rFont val="Arial"/>
        <color rgb="FFFF0000"/>
        <sz val="11.0"/>
      </rPr>
      <t>Pending CEVA revised invoice (detention)
Dispute CEVA invoice 26252460 (demurrage)</t>
    </r>
  </si>
  <si>
    <t>EN#2144119, INV#AIT2236, T/R, GATEFEE7/14, empty return 8/17
- APL SANTIAGO, (R3), CMA
- Moored 7/7, discharged 7/12, LFD 7/18
- ready for pickup 8/1, LFD 8/5
- empty return 8/17, warehouse didn't inform TH, pickup empty when delivered SEKU9053598 at 5pm
- received &amp; submitted PO 8/23
- ELFD 8/10
- CEVA detention invoice $1115</t>
  </si>
  <si>
    <t>FSCU8211077</t>
  </si>
  <si>
    <t>GHC, INSTANT CHINESE HERBAL BULK</t>
  </si>
  <si>
    <t>EN#2144118, INV#AIT2236A, T/R, GATEFEE7/14, empty return 8/23
- APL SANTIAGO, (R4), CMA
- Moored 7/7, Discharged 7/13, LFD 7/21
- ready for pickup 8/11, LFD 8/19
- part 2 - also from PO# 37000
- 8/23 received &amp; submitted PO part 1 &amp; 2
- empty pickup &amp; returned 8/23 without inform TH</t>
  </si>
  <si>
    <t>TLLU8073627</t>
  </si>
  <si>
    <r>
      <rPr>
        <rFont val="Arial"/>
        <color rgb="FF000000"/>
        <sz val="11.0"/>
      </rPr>
      <t>GHC (D-04011), PAPER BOXES (</t>
    </r>
    <r>
      <rPr>
        <rFont val="Arial"/>
        <color rgb="FF000000"/>
        <sz val="11.0"/>
      </rPr>
      <t>P-AIT100B/P-AIT10B</t>
    </r>
    <r>
      <rPr>
        <rFont val="Arial"/>
        <color rgb="FF000000"/>
        <sz val="11.0"/>
      </rPr>
      <t>)</t>
    </r>
  </si>
  <si>
    <t>EN#2143789, INV#AIT2232A, T/R, GATEFEE7/14, empty return 8/18
- APL SANTIAGO, (Q15), CMA
- Moored 7/7, discharged 7/12, LFD 7/21
- ready for pickup 7/28, LFD 8/2
- demurrage paid $420 through 2022-08-08
- 8/16 respot
- 8/17 received &amp; submitted PO part 2
- 8/18 received &amp; submitted PO part 1
- 8/17 informed empty pickup
- ELFD 8/11, per diem (8/12-8/18) is $1115</t>
  </si>
  <si>
    <t>BMOU6444750</t>
  </si>
  <si>
    <t>EN#2144123, INV#AIT2233A, T/R, GATEFEE7/13, empty return 8/5
- APL SANTIAGO, (R2), CMA
- Moored 7/7, discharged 7/12, LFD 7/21
- ready for pickup 7/28, LFD 8/2
- 8/2 paid $70 demurrage Through 2022-08-03</t>
  </si>
  <si>
    <t>TGHU6327488</t>
  </si>
  <si>
    <t>EN#2144122, INV#AIT2233B, T/R, GATEFEE7/14, empty return 8/11
- APL SANTIAGO, (R5), CMA
- Moored 7/7, discharged 7/12, LFD 7/21
- ready for pickup 7/28, LFD 8/2
- 8/4 paid demurrage $210 through 2022-08-05
- container was out gated at 4pm, driver can’t made it before 5pm and it will be pre-pull + yard parking, it will deliver on Monday 8/8
- prepull 8/5
- 8/9 respot
- 8/11 informed empty pickup
- ELFD 8/10
- CEVA detention invoice $140</t>
  </si>
  <si>
    <t>TLLU5106270</t>
  </si>
  <si>
    <t>EN#2143790, INV#AIT2232, T/R, GATEFEE7/14, empty return 8/3
- APL SANTIAGO, (Q16), CMA
- Moored 7/7, discharged 7/13
- ready for pickup 7/29, LFD 8/5</t>
  </si>
  <si>
    <t>TCNU2343679</t>
  </si>
  <si>
    <t>GHC(D-04011), INSTANT CHINESE HERBAL BULK (A-6101G)</t>
  </si>
  <si>
    <r>
      <rPr>
        <rFont val="Arial"/>
        <color rgb="FF000000"/>
        <sz val="11.0"/>
      </rPr>
      <t xml:space="preserve">8/5/2022
</t>
    </r>
    <r>
      <rPr>
        <rFont val="Arial"/>
        <color rgb="FFFF0000"/>
        <sz val="11.0"/>
      </rPr>
      <t>Pending CEVA revised invoice (detention)</t>
    </r>
  </si>
  <si>
    <t>EN#2143788, INV#AIT2232D, T/R, GATEFEE7/14
- APL SANTIAGO, (Q14), CMA
- Moored 7/7, discharged 7/12, LFD 7/21
- ready for pickup 7/28, LFD 8/2
- 8/3 paid demurrage $140 through 2022-08-04
- prepull 8/4 @ 4:30pm, deliver 8/5
- informed empty pickup 8/10
- ELFD 8/9, empty return 8/11
- Pending part 2 (also from PO# 37043)
- 8/17 received part 2
- CEVA detention invoice $280</t>
  </si>
  <si>
    <t>CGMU6506719</t>
  </si>
  <si>
    <t>RED PANAX GINSENG EXTRACT, GINKGO BILOBA &amp; RED GINSENG EXTRACT</t>
  </si>
  <si>
    <t>QC#13117</t>
  </si>
  <si>
    <t xml:space="preserve">EN#2142928, INV#AIT2201KFY, T/R, GATEFEE7/11, empty return 8/7
- APL SANTIAGO, (P3), CMA
- Moored 7/7, discharged 7/10, LFD 7/19
- ready for pickup 8/1, LFD 8/5
- pier waiting was from 11:28-1:52pm additional ½ hr
- 8/5 submitted PO to YG for standby
- empty pickup 8/8
- this 40’ reefer container empty will return to Three Harbor Oakland and the chassis needs to return to terminal. It will be an additional charge of $ 75 for split return chassis.  </t>
  </si>
  <si>
    <t>EITU1847781</t>
  </si>
  <si>
    <r>
      <rPr>
        <rFont val="Arial"/>
        <color rgb="FF000000"/>
        <sz val="11.0"/>
      </rPr>
      <t xml:space="preserve">EN#2143635, INV#088/EXP/INV/V/2022, OBL6/22, </t>
    </r>
    <r>
      <rPr>
        <rFont val="Arial"/>
        <color rgb="FF000000"/>
        <sz val="11.0"/>
      </rPr>
      <t>empty return 7/18</t>
    </r>
    <r>
      <rPr>
        <rFont val="Arial"/>
        <color rgb="FF000000"/>
        <sz val="11.0"/>
      </rPr>
      <t xml:space="preserve">
- EVER FOND, (Q6), EG
- Moored 7/4, discharged 7/7, LFD 7/14</t>
    </r>
  </si>
  <si>
    <t>TRHU4418549</t>
  </si>
  <si>
    <t>EN#2143778, INV#049/EXP-POP36600/05/2022, T/R, empty return 7/15
- EVER FOND, (R10), EG
- Moored 7/4, discharged 7/4, LFD 7/13</t>
  </si>
  <si>
    <t>EGHU8343668</t>
  </si>
  <si>
    <t>GINGER CHEWS 4 OZ (LYCHEE, MANGO, ORANGE, PEANUT)</t>
  </si>
  <si>
    <t>EN#2143611, INV#047/EXP-POP36598/05/2022, T/R, empty return 7/19
- EVER FOND, (Q5), EG
- Moored 7/4, discharged 7/7, LFD 7/14
- 7/12 wasn't able to pull out 9:30am, next prepull 7/12 9:30pm
- Trucker wasn't able to pull out 7/12 @ 9:30pm
- Reprepull 7/13 @ 8:30pm, rescheduled 7/14, LFD 7/14
- trucker wasn't able to pull out 7/13, 1 day demurrage needed
- reprepull 7/15</t>
  </si>
  <si>
    <t>TCNU1689435</t>
  </si>
  <si>
    <t>ORGANIC TEA/TEA, PACKING
D-13200N, D-18200N, D-60014B, D-60015B, D-60017B</t>
  </si>
  <si>
    <t>7/15/2022 (LA part a)
7/26/2022 (SF part b)</t>
  </si>
  <si>
    <r>
      <rPr>
        <rFont val="Arial"/>
        <color rgb="FF000000"/>
        <sz val="11.0"/>
      </rPr>
      <t xml:space="preserve">EN#2144058, INV#22TM020, OBL7/8, empty return 7/19
- COSCO FRANCE, (R14), OOCL
- Moored 7/2, discharged 7/2, LFD 7/11
- received OBL 7/7, per GC, need to mail OBL to forwarder
- Trucker got earliest appointment for 14:00 for 7/14 to deliver 7/15 if all goes well
- LFD 7/11, demurrage and dwell fee are needed and GW will advance
-prepull 7/14
</t>
    </r>
    <r>
      <rPr>
        <rFont val="Arial"/>
        <color rgb="FF000000"/>
        <sz val="11.0"/>
      </rPr>
      <t>- 7/20 submitted #37034a</t>
    </r>
    <r>
      <rPr>
        <rFont val="Arial"/>
        <color rgb="FF000000"/>
        <sz val="11.0"/>
      </rPr>
      <t xml:space="preserve">
- 7/26 received &amp; submitted #37034b</t>
    </r>
  </si>
  <si>
    <t>FCGU1988011</t>
  </si>
  <si>
    <t>EN#2143040, INV#AIT2230A, T/R, empty return 7/15
- HYUNDAI SPEED, (M20), ONE
- have additional $250 GCT Bayonne Surcharge
- At anchor 6/13, estimated berthing 7/3
- Moored 7/3, discharged 7/8, LFD 7/14
- prepull 7/14
- Scheduled 7/15 @ 10:15am, Live</t>
  </si>
  <si>
    <t>FCIU7511717</t>
  </si>
  <si>
    <r>
      <rPr>
        <rFont val="Arial"/>
        <color rgb="FF000000"/>
        <sz val="11.0"/>
      </rPr>
      <t xml:space="preserve">7/11/2022
</t>
    </r>
    <r>
      <rPr>
        <rFont val="Arial"/>
        <color rgb="FF0000FF"/>
        <sz val="11.0"/>
      </rPr>
      <t>Pending Benz invoice (per diem)</t>
    </r>
  </si>
  <si>
    <t>EN#2144380, INV#POP22006, T/R, GATEFEE6/30, empty return 7/27
- EVER FEAT, (Q20), EG
- Moored 6/29, discharged 6/29, LFD 7/11
- 6/30 per BP, original vet cert will send directly from China to GW
- Discharged 6/29, ready for pickup 7/6, LFD 7/11
- informed empty pickup 7/19, ELFD 7/15
- Due to Oakland Port protest situation, terminal was closed from 7/18-7/22， container can’t return, terminals reopened  7/25 and 7/26,  still have protesters outside Oakland terminals, a lot of empty containers still can’t return.  we will do our best. Maybe Evergreen will has the new LFD.</t>
  </si>
  <si>
    <t>TLLU7683939</t>
  </si>
  <si>
    <r>
      <rPr>
        <rFont val="Arial"/>
        <color rgb="FF000000"/>
        <sz val="11.0"/>
      </rPr>
      <t xml:space="preserve">7/14/2022
</t>
    </r>
    <r>
      <rPr>
        <rFont val="Arial"/>
        <color rgb="FF0000FF"/>
        <sz val="11.0"/>
      </rPr>
      <t>Request chassis refund (EG)</t>
    </r>
  </si>
  <si>
    <t>EN#2143126, INV#075/EXP/INV/V/2022, OBL6/6, OBL resend 6/8, GATEFEE6/30, empty return 8/1
- EVER FEAT, (M21), EG
-  Moored 6/29, discharged 6/30, LFD 7/14
- ready for pickup 7/11
- not Evergreen chassis, will have chassis usage
- respot 7/18
- informed empty pickup 7/20
- submitted 7/20
- terminal closed 7/20 &amp; 7/21, cannot return empty
- Due to Oakland Port protest situation, terminal was closed from 7/18-7/22, container can’t return, terminals reopened  7/25 and 7/26,  still have protesters outside Oakland terminals, a lot of empty containers still can’t return.  we will do our best. Maybe Evergreen will has the new LFD.
- ELFD extended to 7/27? (per Benz)
- Benz invoice - per diem $330</t>
  </si>
  <si>
    <t>TRHU6465771</t>
  </si>
  <si>
    <t>EN#2143009, INV#EII220000712, OBL5/31, GATEFEE6/30, empty return 7/18
- EVER FEAT, (M18), EG
- Moored 6/29, discharged 6/30, LFD 7/8
- ready for pickup 7/1
- respot 7/12
- informed empty pickup 7/14, ELFD 7/14
- Benz invoice per diem $285</t>
  </si>
  <si>
    <t>GVCU5089087</t>
  </si>
  <si>
    <t>PANAX GINSENG EXTRACT (C-70021)</t>
  </si>
  <si>
    <r>
      <rPr>
        <rFont val="Arial"/>
        <color rgb="FF000000"/>
        <sz val="11.0"/>
      </rPr>
      <t xml:space="preserve">EN#2143842, INV#2022TAT04, T/R, </t>
    </r>
    <r>
      <rPr>
        <rFont val="Arial"/>
        <color rgb="FF000000"/>
        <sz val="11.0"/>
      </rPr>
      <t>empty return 7/8</t>
    </r>
    <r>
      <rPr>
        <rFont val="Arial"/>
        <color rgb="FF000000"/>
        <sz val="11.0"/>
      </rPr>
      <t xml:space="preserve">
- GUTHORM MAERSK, (Q21), MAEU
- overweight, 40' limit 44,000lbs, this shipment 45,633lbs
- Apex will deliver, Live unload 2 hrs free
- 6/30 sent TEU guarantee letter
- Moored 7/1, discharged 7/1, LFD 7/8</t>
    </r>
  </si>
  <si>
    <t>TLLU4448983</t>
  </si>
  <si>
    <t>EN#2142926, INV#AIT2222, T/R, empty return 7/9
- COSCO HOPE, (P2), CMA
- Apex will deliver, Live unload 2 hrs free
- CMA container special handling fee $300 (no empty return location)
- Moored 6/26, discharged 6/29, LFD 7/6
- prepull 7/2
- picked up 7/2, delivered 7/5, empty being held at trucker's yard due to no empty return location. Storage date from 7/5</t>
  </si>
  <si>
    <t>RFCU4050047</t>
  </si>
  <si>
    <t>6/23/2022
6/28/2022</t>
  </si>
  <si>
    <t>EN#2143366, INV#POP22003, T/R, empty 7/7
- CMA CGM SYMI, (P13), ONE
- 6/28 FDA request ingredients list, BP replied 6/28
- No genset required
- Overweight, GW cannot deliver
- Apex will deliver, Live unload $90/hr
- Moored 6/25, discharged 7/1, LFD 7/11</t>
  </si>
  <si>
    <t>TEMU8514932</t>
  </si>
  <si>
    <t>GHC (D-04043 / D-04041)</t>
  </si>
  <si>
    <r>
      <rPr>
        <rFont val="Arial"/>
        <color rgb="FF000000"/>
        <sz val="11.0"/>
      </rPr>
      <t xml:space="preserve">7/1/2022
</t>
    </r>
    <r>
      <rPr>
        <rFont val="Arial"/>
        <color rgb="FF0000FF"/>
        <sz val="11.0"/>
      </rPr>
      <t>Pending Etrans invoice (per diem)</t>
    </r>
  </si>
  <si>
    <r>
      <rPr>
        <rFont val="Arial"/>
        <color rgb="FF000000"/>
        <sz val="11.0"/>
      </rPr>
      <t xml:space="preserve">EN#2142703, INV#AIT2215A, T/R, </t>
    </r>
    <r>
      <rPr>
        <rFont val="Arial"/>
        <color rgb="FF000000"/>
        <sz val="11.0"/>
      </rPr>
      <t>empty return 7/12</t>
    </r>
    <r>
      <rPr>
        <rFont val="Arial"/>
        <color rgb="FF000000"/>
        <sz val="11.0"/>
      </rPr>
      <t xml:space="preserve">
- ESSEN EXPRESS, (M16), YM
- have additional $250 Global Surcharge
- Apex freight invoice/AN paid together with SEGU4586373
- At anchor 6/4, estimated berthing 6/23
- Moored 6/23, discharged 6/27, LFD 7/1
- have additional Empty Pick-up surcharge ($535 + 32% Fuel)
- empty picked up 7/5</t>
    </r>
  </si>
  <si>
    <t>SEGU4586373</t>
  </si>
  <si>
    <r>
      <rPr>
        <rFont val="Arial"/>
        <color rgb="FF000000"/>
        <sz val="11.0"/>
      </rPr>
      <t xml:space="preserve">GINGER COCONUT  (D-04047) 
</t>
    </r>
    <r>
      <rPr>
        <rFont val="Arial"/>
        <color rgb="FF000000"/>
        <sz val="11.0"/>
      </rPr>
      <t>(to RC Commerce)</t>
    </r>
  </si>
  <si>
    <t>EN#2142702, INV#AIT2229, T/R, empty return 7/1
- ESSEN EXPRESS, (M15), YM
- Etrans will not deliver to this address,
- Apex will deliver, Live unload 2 hrs free
- YM empty return are restricted
- At anchor 6/4, estimated berthing 6/23
- Moored 6/23, discharged 6/26, LFD 6/30</t>
  </si>
  <si>
    <t>TXGU5776103</t>
  </si>
  <si>
    <t>EN#2144197, INV#POP22005, T/R, empty return 7/6
- EVER FEAT, (Q17), EG
- Moored 6/22, discharged 6/25, LFD 6/30
- Prepull 6/30, scheduled 7/1
- was not able to be pulled out 6/30, reprepull 7/1</t>
  </si>
  <si>
    <t>OOLU9559002</t>
  </si>
  <si>
    <t>EN#2143365, INV#YD22-T04, T/R, empty return 7/7
- COSCO SHIPPING ALPS, (Q3), COSCO
- Moored 6/22, discharged 6/22, LFD 6/28
- 6/27 no chassis, reschedule 6/29
- 6/29 no chassis, prepull 6/30, rescheduled 7/1
- 6/30 not able to be pulled out, reprepull 7/1, rescheduled 7/5, another day of demurrage needed
- demurrage $212.48</t>
  </si>
  <si>
    <t>CBHU7087961</t>
  </si>
  <si>
    <t>ORGANIC TEABAGS
D-13200N, D-14200N, D-15200N, D-15220N, D-18200N</t>
  </si>
  <si>
    <r>
      <rPr>
        <rFont val="Arial"/>
        <color rgb="FF000000"/>
        <sz val="11.0"/>
      </rPr>
      <t xml:space="preserve">EN#2142352, INV#YD22-T05, T/R, </t>
    </r>
    <r>
      <rPr>
        <rFont val="Arial"/>
        <color rgb="FF000000"/>
        <sz val="11.0"/>
      </rPr>
      <t>empty return 7/1</t>
    </r>
    <r>
      <rPr>
        <rFont val="Arial"/>
        <color rgb="FF000000"/>
        <sz val="11.0"/>
      </rPr>
      <t xml:space="preserve">
- COSCO DEVELOPMENT, (L5), COSCO
- have additional $250 Maher Surcharge
- Moored 6/22, discharged 6/25, LFD 6/30</t>
    </r>
  </si>
  <si>
    <t>SZLU9245645</t>
  </si>
  <si>
    <r>
      <rPr>
        <rFont val="Arial"/>
        <color rgb="FF000000"/>
        <sz val="11.0"/>
      </rPr>
      <t>EN#2142737, INV#265060, T/R,</t>
    </r>
    <r>
      <rPr>
        <rFont val="Arial"/>
        <color rgb="FF000000"/>
        <sz val="11.0"/>
      </rPr>
      <t xml:space="preserve"> empty return 6/28</t>
    </r>
    <r>
      <rPr>
        <rFont val="Arial"/>
        <color rgb="FF000000"/>
        <sz val="11.0"/>
      </rPr>
      <t xml:space="preserve">
- NORTHERN MAJESTIC, (M1), MSC
- Etrans does note handle reefer, Apex will deliver, Live unload 2 hrs free
- At anchor 5/27, estimated berthing 6/28
- Moored 6/22, discharged 6/23, LFD 6/29
- Reefer, need genset
- Pay Seafrigo invoice (due 6/30)</t>
    </r>
  </si>
  <si>
    <t>LA-SF</t>
  </si>
  <si>
    <t>OERU4191603</t>
  </si>
  <si>
    <r>
      <rPr>
        <rFont val="Arial"/>
        <color rgb="FF000000"/>
        <sz val="11.0"/>
        <u/>
      </rPr>
      <t xml:space="preserve">WW MOONCAKES
</t>
    </r>
    <r>
      <rPr>
        <rFont val="Arial"/>
        <color rgb="FF000000"/>
        <sz val="11.0"/>
        <u/>
      </rPr>
      <t>(LA transfer to SF)</t>
    </r>
  </si>
  <si>
    <t>6/29/2022 (LA)
7/8/2022 (SF)</t>
  </si>
  <si>
    <t>EN#2143512, INV#WW53/2022, T/R, empty return 7/1
- COSCO ITALY, (P22), COSCO
- 6/10 USDA permit sent to GW
- 6/15 Vet cert received &amp; sent to GW
- FDA K80-2143512-9
- Moored 6/21, discharged 6/23, LFD 6/27
- 6/24 JPC provide referral fee credit note
- Prepull 6/27, scheduled 6/28, but no chassis on 6/27
- Reprepull 6/28, rescheduled 6/29, need to pay demurrage
- 7/11 - recheck F-96043 quantiy (395 ea vs 400 ea)</t>
  </si>
  <si>
    <t>OERU4067001</t>
  </si>
  <si>
    <r>
      <rPr>
        <rFont val="Arial"/>
        <color rgb="FF000000"/>
        <sz val="11.0"/>
        <u/>
      </rPr>
      <t xml:space="preserve">WW MOONCAKES
</t>
    </r>
    <r>
      <rPr>
        <rFont val="Arial"/>
        <color rgb="FF000000"/>
        <sz val="11.0"/>
        <u/>
      </rPr>
      <t>(LA transfer to SF)</t>
    </r>
  </si>
  <si>
    <t>6/28/2022 (LA)
7/1/2022 (SF)</t>
  </si>
  <si>
    <t>EN#2143513, INV#WW52/2022, T/R, empty return 6/29
- COSCO ITALY, (P21), COSCO
- 6/10 USDA permit sent to GW
- 6/15 Vet cert received &amp; sent to GW
- FDA K80-2143513-7
- No need genset, will transfer to SF
- Moored 6/21, discharged 6/23, LFD 6/27
- 6/24 JPC provide referral fee credit note
- Prepull 6/27, scheduled 6/28
- Unloaded 6/29, pending transfer to SF, ETA 7/1
- exclude transfer trucking cost (1 pallet), only calculate 21 pallets
- QC sample to JPC (5482210)</t>
  </si>
  <si>
    <t>FBIU5044870</t>
  </si>
  <si>
    <r>
      <rPr>
        <rFont val="Arial"/>
        <color rgb="FF000000"/>
        <sz val="11.0"/>
        <u/>
      </rPr>
      <t xml:space="preserve">WW MOONCAKES
</t>
    </r>
    <r>
      <rPr>
        <rFont val="Arial"/>
        <color rgb="FF000000"/>
        <sz val="11.0"/>
        <u/>
      </rPr>
      <t>(LA transfer to SF)</t>
    </r>
  </si>
  <si>
    <t>7/7/2022 (LA)
7/12/2022 (SF)</t>
  </si>
  <si>
    <t>EN#2143511, INV#WW51/2022, T/R
- COSCO ITALY, (P20), COSCO
- 6/10 USDA permit sent to GW
- vet cert UPS tracking 1Z20V9036624648887
- 6/15 Vet cert received &amp; sent to GW
- One vet cert for PO# 36734, 36735, 36736
- 6/16 GW received vet cert
- FDA K80-2143511-1
- Moored 6/21, discharged 6/23, LFD 6/27
- Prepull 6/28, deliver 6/29, 1 day demurrage will be paid
- 6/24 JPC provide referral fee credit note
- Prepull 6/28 @ 10:30pm, scheduled 6/29
- no chassis for prepull 6/28
- Reprepull 7/6 @ 1pm, scheduled 7/7
- Unloaded 7/8
- demurrage paid through 6/28 $425
- demurrage paid through 7/6 $3996.22
- Add demurrage to shipment cost
- empty return 7/8
- submitted PO 7/13
- transfer trucker cost, 15 Pallets @ $100/pallet</t>
  </si>
  <si>
    <t>EGHU9734970</t>
  </si>
  <si>
    <t>EN#2142202, INV#058/EXP/INV/IV/2022, OBL5/2, empty return 6/28
- EVER LEGACY, (K7), EG
- have additional $250 Maher Surcharge
- Moored 6/21, discharged 6/21, LFD 6/27
- prepull 6/25</t>
  </si>
  <si>
    <t>EGHU9161591</t>
  </si>
  <si>
    <t>GINGER CHEWS 4 OZ (LEMON, ORANGE, MANGO, LYCHEE)</t>
  </si>
  <si>
    <r>
      <rPr>
        <rFont val="Arial"/>
        <color rgb="FF000000"/>
        <sz val="11.0"/>
      </rPr>
      <t xml:space="preserve">EN#2142227, INV#035/EXP-POP36589/04/2022, T/R, </t>
    </r>
    <r>
      <rPr>
        <rFont val="Arial"/>
        <color rgb="FF000000"/>
        <sz val="11.0"/>
      </rPr>
      <t>empty return 6/24</t>
    </r>
    <r>
      <rPr>
        <rFont val="Arial"/>
        <color rgb="FF000000"/>
        <sz val="11.0"/>
      </rPr>
      <t xml:space="preserve">
- EVER LEGACY, (L7), EG
- Apex will deliver, Live unload 2 hrs free
- Moored 6/21, discharged 6/21, LFD 6/27</t>
    </r>
  </si>
  <si>
    <t>TXGU5617349</t>
  </si>
  <si>
    <r>
      <rPr>
        <rFont val="Arial"/>
        <color rgb="FF000000"/>
        <sz val="11.0"/>
      </rPr>
      <t xml:space="preserve">EN#2142203, INV#036/EXP-POP36591/04/2022, T/R, </t>
    </r>
    <r>
      <rPr>
        <rFont val="Arial"/>
        <color rgb="FF000000"/>
        <sz val="11.0"/>
      </rPr>
      <t>empty return 6/30</t>
    </r>
    <r>
      <rPr>
        <rFont val="Arial"/>
        <color rgb="FF000000"/>
        <sz val="11.0"/>
      </rPr>
      <t xml:space="preserve">
- EVER LEGACY, (K6), EG
- have additional $250 Maher Surcharge
- Moored 6/21, discharged 6/21, LFD 6/27
- prepull 6/25</t>
    </r>
  </si>
  <si>
    <t>EITU9148688</t>
  </si>
  <si>
    <t>GINGER CHEWS 1 LBS (LEMON, ORANGE, PEANUT)</t>
  </si>
  <si>
    <r>
      <rPr>
        <rFont val="Arial"/>
        <color rgb="FF000000"/>
        <sz val="11.0"/>
      </rPr>
      <t xml:space="preserve">EN#2142256, INV#031/EXP-POP36279/04/2022, T/R, </t>
    </r>
    <r>
      <rPr>
        <rFont val="Arial"/>
        <color rgb="FF000000"/>
        <sz val="11.0"/>
      </rPr>
      <t>empty return 6/23</t>
    </r>
    <r>
      <rPr>
        <rFont val="Arial"/>
        <color rgb="FF000000"/>
        <sz val="11.0"/>
      </rPr>
      <t xml:space="preserve">
- EVER LEGACY, (K12), EG
- Apex will deliver, Live unload 2 hrs free
- Moored 6/21, discharged 6/21, LFD 6/27</t>
    </r>
  </si>
  <si>
    <t>MATU2748105</t>
  </si>
  <si>
    <t>GHC (D-04011/D-03002G/D-03001G)</t>
  </si>
  <si>
    <t>EN#2143935, INV#AIT2233, T/R, No GATEFEE, empty return 7/1
- MATSON KAUAI, (Q13), MATSON
- Moored 6/18, discharged 6/18, LFD 6/29
- No chassis for Matson container @ SSA terminal
- No need to pay gate fee
- pier waiting was from 11:16-1:36pm additional ½ hr. + split pick up chassis
- ELFD 7/5, empty return 7/1, without inform TH</t>
  </si>
  <si>
    <t>TGBU7893370</t>
  </si>
  <si>
    <r>
      <rPr>
        <rFont val="Arial"/>
        <color rgb="FF000000"/>
        <sz val="11.0"/>
      </rPr>
      <t>6/23/2022</t>
    </r>
    <r>
      <rPr>
        <rFont val="Arial"/>
        <color rgb="FF0000FF"/>
        <sz val="11.0"/>
      </rPr>
      <t xml:space="preserve">
Request chassis refund (EG)</t>
    </r>
  </si>
  <si>
    <t>EN#5115663, INV#EII220000635, OBL5/6, GATEFEE6/16, empty return 7/6
- EVER FOREVER, (L1), EG
- Moored 6/17, discharged 6/18, LFD 6/24
- no Evergreen chassis available and it is on other pool chassis. it will be chassis usage charge
- 7/1 respot
- 7/5 informed empty pickup, ELFD 6/29
- per diem (Benz invoice $630)</t>
  </si>
  <si>
    <t>TGBU4062500</t>
  </si>
  <si>
    <t>EN#2142566, INV#043/EXP-POP36599/04/2022, T/R, empty return 6/28
- CMA CGM VON HUMBOLDT, (L16), COSCO
- Moored 6/17, discharged 6/18, LFD 6/23
- 6/24 cannot pickup due to no chassis
- LFD 6/23, prepull 6/24, GW advance one day demurrage</t>
  </si>
  <si>
    <t>CMAU9295400</t>
  </si>
  <si>
    <r>
      <rPr>
        <rFont val="Arial"/>
        <color rgb="FF000000"/>
        <sz val="11.0"/>
      </rPr>
      <t xml:space="preserve">EN#2143132, INV#AIT2230B, T/R, </t>
    </r>
    <r>
      <rPr>
        <rFont val="Arial"/>
        <color rgb="FF000000"/>
        <sz val="11.0"/>
      </rPr>
      <t>empty return 6/27</t>
    </r>
    <r>
      <rPr>
        <rFont val="Arial"/>
        <color rgb="FF000000"/>
        <sz val="11.0"/>
      </rPr>
      <t xml:space="preserve">
- OOCL KOREA, (P7), CMA
- have additional $250 Maher Surcharge
- At anchor 6/11, moored 6/17, discharged 6/20, LFD 6/24</t>
    </r>
  </si>
  <si>
    <t>CLHU8929051</t>
  </si>
  <si>
    <t>GHC (LEMON D-04043), INSTANT CHINESE HERBAL BULK(D-02060G)</t>
  </si>
  <si>
    <t>EN#2143498, INV#AIT2230, T/R, GATEFEE6/16
- CMA CGM GEMINI, (Q12), CMA
- Moored 6/16, discharged 6/19, ready for pickup 7/11, LFD 7/18
- prepull 7/15
- Pier waiting was from 9:37-4:08pm additional charge of 4.5hrs + pre-pull + 4 days yard parking
- informed empty pickup 7/22, ELFD 7/20
- empty return 7/26
- Due to Oakland Port protest situation last week, container can’t return on 7/22
- per Benz, should not have per diem</t>
  </si>
  <si>
    <t>TCLU9817129</t>
  </si>
  <si>
    <t>GHC (NATURAL LEMON)</t>
  </si>
  <si>
    <t>EN#2143497, INV#AIT2225, T/R, GATEFEE6/16, empty return 7/25
- CMA CGM GEMINI, (Q11), CMA
- Moored 6/16, discharged 6/18, LFD 7/8
- ready for pickup 6/28
- pier waiting was from 8:33-11am additional ½ hr
- informed empty pickup 7/15
- driver picked up the container 7/18 but can’t return due to protests block terminal in gate since 7/18
- CEVA will waive detention
- ELFD 7/13, empty return 7/25
- Detention  7/14-7/17 (4 days)
- Protest 7/18-7/22 (detention waived)
- weekend 7/23-7/24 (2 days)
- total 6 days detention ($930) CEVA invoice 26239684</t>
  </si>
  <si>
    <t>TX</t>
  </si>
  <si>
    <t>PONU7839173</t>
  </si>
  <si>
    <t>GHC(D-04011)GHC (D-04043), GINGER COCONUT(D-04046N) 
(to HONG KONG SUPERMARKET, HOUSTON, TX)</t>
  </si>
  <si>
    <t>EN#2142584, INV#AIT2216A, T/R, empty return 6/22
- MERKUR ARCHIPELAGO, (M17), MAEU
- Apex will deliver, Live unload 1 hr free
- At anchor 6/4, moored 6/15, discharged 6/15, LFD?
- 6/20 changed to Drop because will take long time to unload</t>
  </si>
  <si>
    <t>TCKU7542030</t>
  </si>
  <si>
    <r>
      <rPr>
        <rFont val="Arial"/>
        <color rgb="FF000000"/>
        <sz val="11.0"/>
      </rPr>
      <t xml:space="preserve">ORGANIC TEABAGS
D-15400 </t>
    </r>
    <r>
      <rPr>
        <rFont val="Arial"/>
        <color rgb="FF000000"/>
        <sz val="11.0"/>
      </rPr>
      <t>(to RC COMMERCE)</t>
    </r>
  </si>
  <si>
    <r>
      <rPr>
        <rFont val="Arial"/>
        <color rgb="FF000000"/>
        <sz val="11.0"/>
      </rPr>
      <t xml:space="preserve">EN#2142212, INV#YD22-T06, T/R, </t>
    </r>
    <r>
      <rPr>
        <rFont val="Arial"/>
        <color rgb="FF000000"/>
        <sz val="11.0"/>
      </rPr>
      <t>empty return 6/17</t>
    </r>
    <r>
      <rPr>
        <rFont val="Arial"/>
        <color rgb="FF000000"/>
        <sz val="11.0"/>
      </rPr>
      <t xml:space="preserve">
- COSCO CAMELLIA, (K8), COSCO
- 6/3 Etrans cannot handle
- Apex will deliver to RC Commerce, Live unload 2 hrs free
- Moored 6/13 discharged 6/15, LFD 6/20</t>
    </r>
  </si>
  <si>
    <t>TCLU6445368</t>
  </si>
  <si>
    <r>
      <rPr>
        <rFont val="Arial"/>
        <color rgb="FF000000"/>
        <sz val="11.0"/>
      </rPr>
      <t xml:space="preserve">6/17/2022
</t>
    </r>
    <r>
      <rPr>
        <rFont val="Arial"/>
        <color rgb="FF0000FF"/>
        <sz val="11.0"/>
      </rPr>
      <t>Pending Etran invoice (per diem)</t>
    </r>
  </si>
  <si>
    <t>EN#2142536, INV#AIT2227, T/R, empty return 6/23
- COSCO CAMELLIA, (M12), CMA
- have additional $250 Maher Surcharge
- Moored 6/13, discharged 6/14, LFD 6/20
- 6/20 have additional Empty Pick-up charge ($535 + 32% Fuel)</t>
  </si>
  <si>
    <t>EMCU8428517</t>
  </si>
  <si>
    <r>
      <rPr>
        <rFont val="Arial"/>
        <color rgb="FF000000"/>
        <sz val="11.0"/>
      </rPr>
      <t xml:space="preserve">6/23/2022
</t>
    </r>
    <r>
      <rPr>
        <rFont val="Arial"/>
        <color rgb="FF0000FF"/>
        <sz val="11.0"/>
      </rPr>
      <t>Request chassis refund (EG)</t>
    </r>
  </si>
  <si>
    <t>EN#2142361, INV#064/EXP/INV/IV/2022, OBL5/2, GATEFEE6/9, empty return 7/8
- EVER FUTURE, (L12), EG
- 6/8 FDA request ingredient list
- Moored 6/8, discharged 6/9, LFD 6/16
- per Andy, warehouse no space to received, deliver after LFD
- LFD 6/16, paid demurrage $1,265 through 6/23
- no Evergreen chassis and it is on other pool chassis. it will be chassis fee charge
- empty picked up 7/8, empty return 7/8, ELFD 6/29
- per diem (Benz invoice $930)</t>
  </si>
  <si>
    <t>EGHU1001196</t>
  </si>
  <si>
    <t>EN#2143125, INV#MP-202236661, T/R, GATEFEE6/9, empty return 6/30
- EVER FUTURE, (P4), EG
- Moored 6/8, discharged 6/10, LFD 6/23
- informed empty pickup 6/28
- ELFD 6/28, empty picked up 6/30, empty return 6/30</t>
  </si>
  <si>
    <t>EISU8529006</t>
  </si>
  <si>
    <r>
      <rPr>
        <rFont val="Arial"/>
        <color rgb="FF000000"/>
        <sz val="11.0"/>
      </rPr>
      <t>6/22/2022</t>
    </r>
    <r>
      <rPr>
        <rFont val="Arial"/>
        <color rgb="FF000000"/>
        <sz val="11.0"/>
      </rPr>
      <t xml:space="preserve">
</t>
    </r>
    <r>
      <rPr>
        <rFont val="Arial"/>
        <color rgb="FF0000FF"/>
        <sz val="11.0"/>
      </rPr>
      <t>Request chassis refund (EG)</t>
    </r>
  </si>
  <si>
    <t>EN#2142360, INV#063/EXP/INV/IV/2022, OBL5/2, GATEFEE6/9, empty return 7/12
- EVER FUTURE, (L11), EG
- Moored 6/8, discharged 6/10, LFD 6/16
- per Andy, warehouse no space to received, deliver after LFD
- LFD 6/16, paid demurrage $1,045 through 6/22
- pier waiting was from 8:31-11:30am additional 1hr + chassis fee
- It is on BACP chassis. According to driver,  it is no Evergreen  chassis available
- 7/8 respot
- 7/12 informed empty pickup, ELFD 6/28
- empty picked up 7/12, empty return 7/12
- EG per diem $1380</t>
  </si>
  <si>
    <t>EMCU8276796</t>
  </si>
  <si>
    <t>GINGER CHEWS 4 OZ (LYCHEE, LEMON)</t>
  </si>
  <si>
    <t>EN#2142226, INV#034/EXP-POP36590/04/2022, T/R, GATEFEE6/9, empty return 6/27
- EVER FUTURE, (L15), EG
- Moored 6/8, discharged 6/10, LFD 6/16
- per Andy, warehouse no space to received, deliver after LFD
- LFD 6/16, prepull 6/17, pay demurrage $165
- additional charge of pre-pull + 5 days yard parking
- 6/21 respot
- 6/24 cannot return, 1.5 hr.  waiting + 4 days yard parking
- ELFD 6/23, empty return 6/27, have per diem
- Benz invoice detention $130</t>
  </si>
  <si>
    <t>TXGU5618704</t>
  </si>
  <si>
    <t>GINGER CHEWS PLUS+ 2 OZ (ORIGINAL)</t>
  </si>
  <si>
    <r>
      <rPr>
        <rFont val="Arial"/>
        <color rgb="FF000000"/>
        <sz val="11.0"/>
      </rPr>
      <t>6/21/2022</t>
    </r>
    <r>
      <rPr>
        <rFont val="Arial"/>
        <color rgb="FFFF0000"/>
        <sz val="11.0"/>
      </rPr>
      <t xml:space="preserve">
</t>
    </r>
    <r>
      <rPr>
        <rFont val="Arial"/>
        <color rgb="FF0000FF"/>
        <sz val="11.0"/>
      </rPr>
      <t>Request chassis refund (EG)</t>
    </r>
  </si>
  <si>
    <t>EN#2142589, INV#041/EXP-POP36486/04/2022, T/R, GATEFEE6/9, empty return 6/29
- EVER FUTURE, (L21), EG
- Moored 6/8, discharged 6/10, LFD 6/16
- per Andy, warehouse no space to received, deliver after LFD
- cannot deliver 6/20, port union has meeting
- LFD 6/16, paid demurrage through 6/21, $825
- pier waiting was from 9:33-11:44am additional ½ hr
- on BACP chassis and it will be chassis usage charge
- 6/28 informed empty pickup, empty return 6/29, ELFD 6/27
- Benz invoice detention $220</t>
  </si>
  <si>
    <t>TXGU6073065</t>
  </si>
  <si>
    <t>EN#2143091, INV#EII220000750, OBL5/31
- EVER LUNAR, (M19), EG
- Moored 6/9, discharged 6/10, LFD 6/15</t>
  </si>
  <si>
    <t>EGHU8253625</t>
  </si>
  <si>
    <t>EN#2142359, INV#037/EXP-POP36592/04/2022, T/R, GATEFEE6/9, empty return 6/30
- EVER FUTURE, (L10), EG
- Moored 6/8, discharged 6/9, LFD 6/16
- per Andy, warehouse no space to received, deliver after LFD
- LFD 6/16, paid demurrage $1,485 through 6/24
- pier waiting was from 8:17-11:28am additional 1.5hr
- informed empty pickup 6/29</t>
  </si>
  <si>
    <t>GCXU5430326</t>
  </si>
  <si>
    <t>GINGER CHEWS 4 OZ (BLOOD ORANGE, LYCHEE)</t>
  </si>
  <si>
    <r>
      <rPr>
        <rFont val="Arial"/>
        <color rgb="FF000000"/>
        <sz val="11.0"/>
      </rPr>
      <t xml:space="preserve">6/15/2022
</t>
    </r>
    <r>
      <rPr>
        <rFont val="Arial"/>
        <color rgb="FF0000FF"/>
        <sz val="11.0"/>
      </rPr>
      <t>Pending Etrans invoice (per diem)</t>
    </r>
  </si>
  <si>
    <t>EN#2141849, INV#AIT2216A, T/R, empty return 6/21
- MERKUR ARCHIPELAGO, (M17), MAEU
- Apex will deliver, Live unload 1 hr free</t>
  </si>
  <si>
    <t>CAIU7641610</t>
  </si>
  <si>
    <t>5/30/2022
5/31/2022</t>
  </si>
  <si>
    <t>EN#2142308, INV#POP-01/22, T/R, GATEFEE5/27, empty return 6/15
- MOL CELEBRATION, (K10), HDMU
- Moored 6/3, discharged 6/4, LFD 6/9
- empty return 6/15, per Winnie, ELFD is 6/15 instead of 6/14, no per diem</t>
  </si>
  <si>
    <t>147
(LCL)
(1PLTS)</t>
  </si>
  <si>
    <t>CMAU6881100</t>
  </si>
  <si>
    <t>NZ Honey
(LA transfer to OAK)</t>
  </si>
  <si>
    <t>EN#2142133, INV#604724, T/R
- CAP JERVIS, (K9), CMA
- Moored 6/3, discharged 6/3, LFD 6/10, FCL picked up 6/7, then LCL to OAK
- PL also as CI
- valid FDA registration number is 12579786904</t>
  </si>
  <si>
    <t>NEW ZEALAND</t>
  </si>
  <si>
    <t>EGHU8247577</t>
  </si>
  <si>
    <t>EN#2141941, INV#054/EXP/INV/III/2022, OBL4/21, empty return 6/11
- EVER STEADY, (K14), EG
- have additional $200 Maher Surcharge
- Moored 6/3, discharged 6/4, LFD 6/9
- have additional Empty Pick-up surcharge ($535 + 32% Fuel)</t>
  </si>
  <si>
    <t>EGHU8468916</t>
  </si>
  <si>
    <r>
      <rPr>
        <rFont val="Arial"/>
        <color rgb="FF000000"/>
        <sz val="11.0"/>
      </rPr>
      <t xml:space="preserve">EN#2141848, INV#028/EXP-POP36320/03/2022, T/R, </t>
    </r>
    <r>
      <rPr>
        <rFont val="Arial"/>
        <color rgb="FF000000"/>
        <sz val="11.0"/>
      </rPr>
      <t>empty return 6/9</t>
    </r>
    <r>
      <rPr>
        <rFont val="Arial"/>
        <color rgb="FF000000"/>
        <sz val="11.0"/>
      </rPr>
      <t xml:space="preserve">
- EVER FAIR, (L9), EG
- have additional $150 Maher Surcharge
- Moored 5/31, discharged 6/1, LFD 6/7
- prepull 6/7</t>
    </r>
  </si>
  <si>
    <t>CMAU9292926</t>
  </si>
  <si>
    <t>EN#2143136, INV#AIT2221, T/R, GATEFEE5/27, empty return 7/14
- CMA CGM LOIRE, (P10), CMA
- Moored 5/31, discharged 6/7, LFD 7/1
- 6/27 ready for pickup
- Prepull 7/1, scheduled 7/6, ELFD 7/8
- Pre-pull + 6 days yard parking
- 7/8 respot
- informed empty pickup 7/13
- submitted PO 7/13
- CEVA invoice 26275224 detention $1100</t>
  </si>
  <si>
    <t>TLLU4930974</t>
  </si>
  <si>
    <t>EN#2143135, INV#AIT2229A, T/R, GATEFEE5/27, empty return 7/8
- CMA CGM LOIRE, (P9), CMA
- Moored 5/31, discharged 6/7, LFD 7/1
- 6/27 ready for pickup
- scheduled 7/5, but terminal closed 7/5, rescheduled 7/6
- Prepull 6/30, scheduled 7/1, ELFD 7/7
- 7/7 informed empty pickup
- CEVA invoice per diem $160</t>
  </si>
  <si>
    <t>TGBU4156928</t>
  </si>
  <si>
    <r>
      <rPr>
        <rFont val="Arial"/>
        <color rgb="FF000000"/>
        <sz val="11.0"/>
      </rPr>
      <t xml:space="preserve">6/24/2022
</t>
    </r>
    <r>
      <rPr>
        <rFont val="Arial"/>
        <color rgb="FF0000FF"/>
        <sz val="11.0"/>
      </rPr>
      <t>Pending Benz invoice (per diem)</t>
    </r>
  </si>
  <si>
    <t>EN#2143133, INV#AIT2229D, T/R, GATEFEE5/27, empty return 7/8
- CMA CGM LOIRE, (P8), CMA
- Moored 5/31, discharged 6/2, LFD 6/24
- 7/1 respot
- 7/11 Item # updated to D-04011 instead of D-04043
- ELFD 6/29
- Demurrage CEVE invoice $3000</t>
  </si>
  <si>
    <t>MRKU4203036</t>
  </si>
  <si>
    <r>
      <rPr>
        <rFont val="Arial"/>
        <color rgb="FF000000"/>
        <sz val="11.0"/>
      </rPr>
      <t xml:space="preserve">6/8/2022
</t>
    </r>
    <r>
      <rPr>
        <rFont val="Arial"/>
        <color rgb="FF0000FF"/>
        <sz val="11.0"/>
      </rPr>
      <t>Pending Etrans invoice (per diem)</t>
    </r>
  </si>
  <si>
    <r>
      <rPr>
        <rFont val="Arial"/>
        <color rgb="FF000000"/>
        <sz val="11.0"/>
      </rPr>
      <t xml:space="preserve">EN#2142585, INV#AIT2222A, T/R, </t>
    </r>
    <r>
      <rPr>
        <rFont val="Arial"/>
        <color rgb="FF000000"/>
        <sz val="11.0"/>
      </rPr>
      <t>empty return 6/10</t>
    </r>
    <r>
      <rPr>
        <rFont val="Arial"/>
        <color rgb="FF000000"/>
        <sz val="11.0"/>
      </rPr>
      <t xml:space="preserve">
- GUDRUN MAERSK, (P1), MAEU
- have additional $150 APM Surcharge
- Moored 5/28, discharged 5/28, LFD 6/3
- 6/2 Cannot prepull by LFD 6/3, chassis shortage &amp; port congestion
- prepull 6/4, Demurrage ($295.00) + Admin Fee ($50.00) = $345.00
- Additional charges for Pre-pull ($150), Storage ($50/day), Chassis ($40/day) and Per Diems (TBA) will also apply</t>
    </r>
  </si>
  <si>
    <t>MRKU5156915</t>
  </si>
  <si>
    <r>
      <rPr>
        <rFont val="Arial"/>
        <color rgb="FF000000"/>
        <sz val="11.0"/>
      </rPr>
      <t xml:space="preserve">6/3/2022
</t>
    </r>
    <r>
      <rPr>
        <rFont val="Arial"/>
        <color rgb="FF0000FF"/>
        <sz val="11.0"/>
      </rPr>
      <t>Pending Etrans invoice (per diem)</t>
    </r>
  </si>
  <si>
    <r>
      <rPr>
        <rFont val="Arial"/>
        <color rgb="FF000000"/>
        <sz val="11.0"/>
      </rPr>
      <t xml:space="preserve">EN#2142586, INV#AIT2226, T/R, </t>
    </r>
    <r>
      <rPr>
        <rFont val="Arial"/>
        <color rgb="FF000000"/>
        <sz val="11.0"/>
      </rPr>
      <t>empty return 6/8</t>
    </r>
    <r>
      <rPr>
        <rFont val="Arial"/>
        <color rgb="FF000000"/>
        <sz val="11.0"/>
      </rPr>
      <t xml:space="preserve">
- GUDRUN MAERSK, (M22), MAEU
- have additional $150 APM Surcharge
- Moored 5/28, discharged 5/28, LFD 6/3
- 6/2 Cannot prepull by LFD 6/3, chassis shortage &amp; port congestion
- delivered 6/3, no demurrage
- delivered 6/3 without inform TH</t>
    </r>
  </si>
  <si>
    <t>PONU7885733</t>
  </si>
  <si>
    <t>GHC (D-04011) GINGER COCONUT (D-04046N)</t>
  </si>
  <si>
    <r>
      <rPr>
        <rFont val="Arial"/>
        <color rgb="FF000000"/>
        <sz val="11.0"/>
      </rPr>
      <t xml:space="preserve">6/6/2022
</t>
    </r>
    <r>
      <rPr>
        <rFont val="Arial"/>
        <color rgb="FF0000FF"/>
        <sz val="11.0"/>
      </rPr>
      <t>Pending Etrans invoice (per diem)</t>
    </r>
  </si>
  <si>
    <r>
      <rPr>
        <rFont val="Arial"/>
        <color rgb="FF000000"/>
        <sz val="11.0"/>
      </rPr>
      <t xml:space="preserve">EN#2142607, INV#AIT2229B, T/R, </t>
    </r>
    <r>
      <rPr>
        <rFont val="Arial"/>
        <color rgb="FF000000"/>
        <sz val="11.0"/>
      </rPr>
      <t>empty return?</t>
    </r>
    <r>
      <rPr>
        <rFont val="Arial"/>
        <color rgb="FF000000"/>
        <sz val="11.0"/>
      </rPr>
      <t xml:space="preserve">
- GUDRUN MAERSK, (M14), MAEU
- have additional $150 APM Surcharge
- Moored 5/28, discharged 5/28, LFD 6/3
- 6/2 Cannot prepull by LFD 6/3, chassis shortage &amp; port congestion
- Prepull 6/4, Demurrage ($295.00) + Admin Fee ($50.00) = $345.00
- Additional charges for Pre-pull ($150), Storage ($50/day), Chassis ($40/day) and Per Diems (TBA) will also apply</t>
    </r>
  </si>
  <si>
    <t>MSKU8173970</t>
  </si>
  <si>
    <r>
      <rPr>
        <rFont val="Arial"/>
        <color rgb="FF000000"/>
        <sz val="11.0"/>
      </rPr>
      <t>GHC (D-04017)</t>
    </r>
    <r>
      <rPr>
        <rFont val="Arial"/>
        <color rgb="FF000000"/>
        <sz val="11.0"/>
      </rPr>
      <t xml:space="preserve"> </t>
    </r>
    <r>
      <rPr>
        <rFont val="Arial"/>
        <color rgb="FF000000"/>
        <sz val="11.0"/>
      </rPr>
      <t>(to RC COMMERCE)</t>
    </r>
  </si>
  <si>
    <t>EN#2142368, INV#AIT2217, T/R
- GUNVOR MAERSK, (M11), MAEU
- Etrans cannot deliver, Apex will deliver, Live 2 hrs free
- Moored 5/26, discharged 5/27, LFD 6/3</t>
  </si>
  <si>
    <t>MRKU4834962</t>
  </si>
  <si>
    <t>GHC  (D004010 / D-04030)</t>
  </si>
  <si>
    <r>
      <rPr>
        <rFont val="Arial"/>
        <color rgb="FF000000"/>
        <sz val="11.0"/>
      </rPr>
      <t xml:space="preserve">EN#2142362, INV#AIT2228, T/R, </t>
    </r>
    <r>
      <rPr>
        <rFont val="Arial"/>
        <color rgb="FF000000"/>
        <sz val="11.0"/>
      </rPr>
      <t>empty return 6/3</t>
    </r>
    <r>
      <rPr>
        <rFont val="Arial"/>
        <color rgb="FF000000"/>
        <sz val="11.0"/>
      </rPr>
      <t xml:space="preserve">
- GUNVOR MAERSK, (M10), MAEU
- have additional $150 APM Surcharge
- Moored 5/26, discharged 5/26, LFD 6/2
- prepull 6/2</t>
    </r>
  </si>
  <si>
    <t>MRSU3713953</t>
  </si>
  <si>
    <r>
      <rPr>
        <rFont val="Arial"/>
        <color rgb="FF000000"/>
        <sz val="11.0"/>
      </rPr>
      <t xml:space="preserve">6/1/2022
</t>
    </r>
    <r>
      <rPr>
        <rFont val="Arial"/>
        <color rgb="FF0000FF"/>
        <sz val="11.0"/>
      </rPr>
      <t>Pending Etrans invoice (per diem)</t>
    </r>
  </si>
  <si>
    <r>
      <rPr>
        <rFont val="Arial"/>
        <color rgb="FF000000"/>
        <sz val="11.0"/>
      </rPr>
      <t xml:space="preserve">EN#2142363, INV#AIT2226D, T/R, </t>
    </r>
    <r>
      <rPr>
        <rFont val="Arial"/>
        <color rgb="FF000000"/>
        <sz val="11.0"/>
      </rPr>
      <t>empty return 6/4</t>
    </r>
    <r>
      <rPr>
        <rFont val="Arial"/>
        <color rgb="FF000000"/>
        <sz val="11.0"/>
      </rPr>
      <t xml:space="preserve">
- GUNVOR MAERSK, (M9), MAEU
- have additional $150 APM Surcharge
- Moored 5/26, discharged 5/27, LFD 6/2</t>
    </r>
  </si>
  <si>
    <t>MSKU0959114</t>
  </si>
  <si>
    <r>
      <rPr>
        <rFont val="Arial"/>
        <color rgb="FF000000"/>
        <sz val="11.0"/>
      </rPr>
      <t xml:space="preserve">6/1/2022
</t>
    </r>
    <r>
      <rPr>
        <rFont val="Arial"/>
        <color rgb="FF0000FF"/>
        <sz val="11.0"/>
      </rPr>
      <t>Pending Etrans invoice (per diem)</t>
    </r>
  </si>
  <si>
    <r>
      <rPr>
        <rFont val="Arial"/>
        <color rgb="FF000000"/>
        <sz val="11.0"/>
      </rPr>
      <t xml:space="preserve">EN#2142364, INV#AIT2226C, T/R, </t>
    </r>
    <r>
      <rPr>
        <rFont val="Arial"/>
        <color rgb="FF000000"/>
        <sz val="11.0"/>
      </rPr>
      <t>empty return 6/6</t>
    </r>
    <r>
      <rPr>
        <rFont val="Arial"/>
        <color rgb="FF000000"/>
        <sz val="11.0"/>
      </rPr>
      <t xml:space="preserve">
- GUNVOR MAERSK, (M8), MAEU
- have additional $150 APM Surcharge
- Moored 5/26, discharged 5/27, LFD 6/2
- Etrans cannot deliver 6/1 @ 1pm?</t>
    </r>
  </si>
  <si>
    <t>MRSU5258714</t>
  </si>
  <si>
    <r>
      <rPr>
        <rFont val="Arial"/>
        <color rgb="FF000000"/>
        <sz val="11.0"/>
      </rPr>
      <t xml:space="preserve">6/2/2022
</t>
    </r>
    <r>
      <rPr>
        <rFont val="Arial"/>
        <color rgb="FF0000FF"/>
        <sz val="11.0"/>
      </rPr>
      <t>Pending Etrans invoice (per diem)</t>
    </r>
  </si>
  <si>
    <t>EN#2142365, INV#AIT2226A, T/R, empty return 6/6
- GUNVOR MAERSK, (M7), MAEU
- have additional $150 APM Surcharge
- Moored 5/26, discharged 5/27, LFD 6/2</t>
  </si>
  <si>
    <t>MSKU8356190</t>
  </si>
  <si>
    <r>
      <rPr>
        <rFont val="Arial"/>
        <color rgb="FF000000"/>
        <sz val="11.0"/>
      </rPr>
      <t xml:space="preserve">EN#2142367, INV#AIT2220, T/R, </t>
    </r>
    <r>
      <rPr>
        <rFont val="Arial"/>
        <color rgb="FF000000"/>
        <sz val="11.0"/>
      </rPr>
      <t>empty return 6/4</t>
    </r>
    <r>
      <rPr>
        <rFont val="Arial"/>
        <color rgb="FF000000"/>
        <sz val="11.0"/>
      </rPr>
      <t xml:space="preserve">
- GUNVOR MAERSK, (M3), MAEU
- Etrans cannot deliver, Apex will deliver, Live
- Moored 5/26, discharged 5/27, LFD 6/3
- prepull 6/2</t>
    </r>
  </si>
  <si>
    <t>MRSU4843041</t>
  </si>
  <si>
    <r>
      <rPr>
        <rFont val="Arial"/>
        <color rgb="FF000000"/>
        <sz val="11.0"/>
      </rPr>
      <t xml:space="preserve">EN#2142366, INV#AIT2224, T/R, </t>
    </r>
    <r>
      <rPr>
        <rFont val="Arial"/>
        <color rgb="FF000000"/>
        <sz val="11.0"/>
      </rPr>
      <t>empty return 6/4</t>
    </r>
    <r>
      <rPr>
        <rFont val="Arial"/>
        <color rgb="FF000000"/>
        <sz val="11.0"/>
      </rPr>
      <t xml:space="preserve">
- GUNVOR MAERSK, (M5), MAEU
- Etrans cannot deliver, Apex will deliver, Live
- Moored 5/26, discharged 5/27, LFD 6/2
- prepull 6/1</t>
    </r>
  </si>
  <si>
    <t>GAOU6682320</t>
  </si>
  <si>
    <r>
      <rPr>
        <rFont val="Arial"/>
        <color rgb="FF000000"/>
        <sz val="11.0"/>
      </rPr>
      <t xml:space="preserve">GINGER CHEWS 1KG (ORIGINAL)
</t>
    </r>
    <r>
      <rPr>
        <rFont val="Arial"/>
        <color rgb="FF000000"/>
        <sz val="11.0"/>
      </rPr>
      <t>(to RC Commerce)</t>
    </r>
  </si>
  <si>
    <t>EN#2142255, INV#059/EXP/INV/IV/2022, OBL5/2, empty return 6/1
- CMA CGM PANAMA, (K11), EG
- Etrans cannot deliver, Apex will deliver to RC, Live 2 hrs free
- Moored 5/24, discharged 5/25, LFD 5/31
- unloaded 8:30am-11:12am (OT 40 min)
- RC reported crushed cartons at the time of delivery</t>
  </si>
  <si>
    <t>CSNU7184574</t>
  </si>
  <si>
    <t>ORGANIC TEABAGS
D-13200N, D-14200N, D-15200N, D-15220N, D-18200N, D-13020N</t>
  </si>
  <si>
    <t>5/1/2022
5/2/2022</t>
  </si>
  <si>
    <t>EN#2141493, INV#YD22-T03, T/R, GATEFEE5/20, empty return 6/21
- EVER LIBERAL, (J18), COSCO
- Moored 5/23, discharged 5/23, LFD 6/2
- pier waiting was from 9:11-1:20pm additional 1hr
- no empty return location 6/9 &amp; 6/10
- Driver re-spot this container to the loading dock.  It will be an additional charge
- ask for empty pickup 6/15, PO submitted  6/15
- From 6/6-6/10 Cosco shows empty no return location.  6/15 &amp; 6/16 also no return location
- empty pickup 6/21, ELFD 6/7, empty return 6/21
- Benz help to waive per diem ($540)</t>
  </si>
  <si>
    <t>TCNU1627752</t>
  </si>
  <si>
    <t>ORGANIC TEABAGS D-13220N, D-14200N, D-15200N, D-18200N, D-19200</t>
  </si>
  <si>
    <r>
      <rPr>
        <rFont val="Arial"/>
        <color rgb="FF000000"/>
        <sz val="11.0"/>
      </rPr>
      <t xml:space="preserve">5/31/2022
</t>
    </r>
    <r>
      <rPr>
        <rFont val="Arial"/>
        <color rgb="FF0000FF"/>
        <sz val="11.0"/>
      </rPr>
      <t>Pending Benz invoice (per diem)</t>
    </r>
  </si>
  <si>
    <t>EN#2141385, INV#YD22-T02, T/R, GATEFEE5/20, empty return 6/13
- EVER LIBERAL, (H3), COSCO
- Moored 5/23, discharged 5/23, LFD 5/31
- inform empty pickup 6/8, no return location for 6/9 &amp; 6/10, ELFD 6/3, have per diem
- TCNU1627752 was returned to Conglobal and the chassis was returned to terminal. it will be an additional split return chassis</t>
  </si>
  <si>
    <t>EMCU5422053</t>
  </si>
  <si>
    <t>RED GINSENG EXT, RED GINSENG ROYAL JELLY</t>
  </si>
  <si>
    <r>
      <rPr>
        <rFont val="Arial"/>
        <color rgb="FF000000"/>
        <sz val="11.0"/>
      </rPr>
      <t xml:space="preserve">EN#2141915, INV#2022TAT02, T/R, GATEFEE5/20, </t>
    </r>
    <r>
      <rPr>
        <rFont val="Arial"/>
        <color rgb="FF000000"/>
        <sz val="11.0"/>
      </rPr>
      <t>empty return 6/9</t>
    </r>
    <r>
      <rPr>
        <rFont val="Arial"/>
        <color rgb="FF000000"/>
        <sz val="11.0"/>
      </rPr>
      <t xml:space="preserve">
- EVER LIBERAL, (L3), EG
- Moored 5/23, discharged 5/24, LFD 6/9
- reefer container, no genset needed
- Driver was from 1:14-1:57pm waiting for this empty and put the container CAIU7641610 to the same loading dock. 
It will be additional charge</t>
    </r>
  </si>
  <si>
    <t>DRYU9908460</t>
  </si>
  <si>
    <r>
      <rPr>
        <rFont val="Arial"/>
        <color rgb="FF000000"/>
        <sz val="11.0"/>
      </rPr>
      <t>5/24/2022</t>
    </r>
    <r>
      <rPr>
        <rFont val="Arial"/>
        <color rgb="FF0000FF"/>
        <sz val="11.0"/>
      </rPr>
      <t xml:space="preserve">
Request chassis refund (EG)</t>
    </r>
  </si>
  <si>
    <t>EN#2141782, INV#EIO2110019, OBL4/21, GATEFEE5/19, empty return 5/31
- EVER FRONT, (J12), EG
- Moored 5/19, discharged 5/19, LFD 5/26
- no Evergreen chassis available, will have chassis usage charge</t>
  </si>
  <si>
    <t>TRHU7871604</t>
  </si>
  <si>
    <t>EN#2141942, INV#053/EXP/INV/III/2022, OBL4/21, GATEFEE5/19, empty return 6/8
- EVER FRONT, (K13), EG
- Moored 5/19, discharged 5/21, LFD 5/26
- 5/27 Driver re-spot this container to the loading dock.  It will be an additional charge of $ 40+ FS
- unloaded 6/7, inform empty pickup 6/7, ELFD is 6/1, have per diem
- 6/7 received PO has extra 1 case
- 6/13 per Dharma, treat extra 1 case as free sample
- per Benz invoice, per diem $730</t>
  </si>
  <si>
    <t>TRHU6987415</t>
  </si>
  <si>
    <t>EN#2142139, INV#027/EXP-POP36270/03/2022, T/R, GATEFEE5/19, empty return 6/2
- EVER FRONT, (L13), EG
- Moored 5/19, discharged 5/20, LFD 5/26
- Pier waiting was from 7:53-10:59am additional 1hr
- 2 cs QC sample to JPC, PL#5478958</t>
  </si>
  <si>
    <t>MSKU0467156</t>
  </si>
  <si>
    <r>
      <rPr>
        <rFont val="Arial"/>
        <color rgb="FF000000"/>
        <sz val="11.0"/>
      </rPr>
      <t xml:space="preserve">5/25/2022
</t>
    </r>
    <r>
      <rPr>
        <rFont val="Arial"/>
        <color rgb="FF0000FF"/>
        <sz val="11.0"/>
      </rPr>
      <t>Pending Etrans invoice (per diem)</t>
    </r>
  </si>
  <si>
    <r>
      <rPr>
        <rFont val="Arial"/>
        <color rgb="FF000000"/>
        <sz val="11.0"/>
      </rPr>
      <t xml:space="preserve">EN#2141455, INV#AIT2214A, T/R, </t>
    </r>
    <r>
      <rPr>
        <rFont val="Arial"/>
        <color rgb="FF000000"/>
        <sz val="11.0"/>
      </rPr>
      <t>empty return 5/27</t>
    </r>
    <r>
      <rPr>
        <rFont val="Arial"/>
        <color rgb="FF000000"/>
        <sz val="11.0"/>
      </rPr>
      <t xml:space="preserve">
- ZIM NINGBO, (J21), MAEU
- have additional $150 PNCT Surcharge
- At anchor 5/6, moored 5/18, discharged 5/19, LFD 5/25
- have additional Empty Pick-up surcharge ($535 + 26% Fuel)</t>
    </r>
  </si>
  <si>
    <t>36341
36342</t>
  </si>
  <si>
    <t>SMCU1160935</t>
  </si>
  <si>
    <t>KOREAN GINSENG TEA, TU CHUNG TEA, YOUNG JI TEA, K RED GSG POWDER</t>
  </si>
  <si>
    <t>5/20/2022
5/25/2022</t>
  </si>
  <si>
    <r>
      <rPr>
        <rFont val="Arial"/>
        <color rgb="FF000000"/>
        <sz val="11.0"/>
      </rPr>
      <t xml:space="preserve">EN#2141996, INV#KB220331, OBL4/22, </t>
    </r>
    <r>
      <rPr>
        <rFont val="Arial"/>
        <color rgb="FF000000"/>
        <sz val="11.0"/>
      </rPr>
      <t>empty return 5/26</t>
    </r>
    <r>
      <rPr>
        <rFont val="Arial"/>
        <color rgb="FF000000"/>
        <sz val="11.0"/>
      </rPr>
      <t xml:space="preserve">
- MAERSK ANTARES, (L6), SM LINE
- Moored 5/16, discharged 5/18, LFD 5/24, prepull 5/24</t>
    </r>
  </si>
  <si>
    <t>1311
1078</t>
  </si>
  <si>
    <t>EISU8291875
EITU9295863</t>
  </si>
  <si>
    <r>
      <rPr>
        <rFont val="Arial"/>
        <color rgb="FF000000"/>
        <sz val="11.0"/>
      </rPr>
      <t xml:space="preserve">5/19/2022
</t>
    </r>
    <r>
      <rPr>
        <rFont val="Arial"/>
        <color rgb="FF000000"/>
        <sz val="11.0"/>
      </rPr>
      <t>5/23/2022</t>
    </r>
  </si>
  <si>
    <t>EN#2142314, INV#20220419, T/R
- EVER LIVEN, (L2), EG
- c#1875 - Moored 5/15, discharged 5/17, LFD 5/20, empty return 5/19, submitted PO 5/20
- c#5863 - Moored 5/15, discharged 5/19, LFD 5/25, empty return 5/23, submitted PO 5/23</t>
  </si>
  <si>
    <t>TRHU6759734</t>
  </si>
  <si>
    <t>EN#2142253, INV#POP-02/22, T/R, empty return 5/19
- CMA CGM MAGELLAN, (K20), EG
- Etrans cannot deliver, Apex will deliver, Live
- Moored 5/15, discharged 5/17, LFD 5/23</t>
  </si>
  <si>
    <t>EMCU8625521</t>
  </si>
  <si>
    <r>
      <rPr>
        <rFont val="Arial"/>
        <color rgb="FF000000"/>
        <sz val="11.0"/>
      </rPr>
      <t xml:space="preserve">EN#2142132, INV#EII220000586, OBL5/6, </t>
    </r>
    <r>
      <rPr>
        <rFont val="Arial"/>
        <color rgb="FF000000"/>
        <sz val="11.0"/>
      </rPr>
      <t>empty return 5/24</t>
    </r>
    <r>
      <rPr>
        <rFont val="Arial"/>
        <color rgb="FF000000"/>
        <sz val="11.0"/>
      </rPr>
      <t xml:space="preserve">
- CMA CGM MAGELLAN, (L14), EG
- have additional $150 APM Surcharge
- Moored 5/15, discharged 5/15, LFD 5/19
- delivered 5/19 without inform TH</t>
    </r>
  </si>
  <si>
    <t>BMOU5916960</t>
  </si>
  <si>
    <r>
      <rPr>
        <rFont val="Arial"/>
        <color rgb="FF000000"/>
        <sz val="11.0"/>
      </rPr>
      <t>GINGER COCONUT (D-04046N/</t>
    </r>
    <r>
      <rPr>
        <rFont val="Arial"/>
        <color rgb="FF000000"/>
        <sz val="11.0"/>
      </rPr>
      <t>D-04044</t>
    </r>
    <r>
      <rPr>
        <rFont val="Arial"/>
        <color rgb="FF000000"/>
        <sz val="11.0"/>
      </rPr>
      <t>)</t>
    </r>
  </si>
  <si>
    <t>EN#2141465, INV#AIT2210, T/R, empty return 5/26
- COSCO FORTUNE, (J17), CMA
- Moored 5/16, discharged 5/19, LFD 5/25
- E-Trans cannot handle, Apex will deliver, drop
- prepull 5/24, empty return 5/26</t>
  </si>
  <si>
    <t>EMCU8661220</t>
  </si>
  <si>
    <t>GINGER CHEWS 4 OZ (BLOOD ORANGE)</t>
  </si>
  <si>
    <r>
      <rPr>
        <rFont val="Arial"/>
        <color rgb="FF000000"/>
        <sz val="11.0"/>
      </rPr>
      <t xml:space="preserve">EN#2141088, INV#020/EXP-POP36317/03/2022, T/R, </t>
    </r>
    <r>
      <rPr>
        <rFont val="Arial"/>
        <color rgb="FF000000"/>
        <sz val="11.0"/>
      </rPr>
      <t>empty return 5/19</t>
    </r>
    <r>
      <rPr>
        <rFont val="Arial"/>
        <color rgb="FF000000"/>
        <sz val="11.0"/>
      </rPr>
      <t xml:space="preserve">
- EVER FASHION, (J16), EG
- have additional $150 Maher Surcharge
- Moored 5/14, discharged 5/15, LFD 5/19
- delivered 5/18 without inform TH</t>
    </r>
  </si>
  <si>
    <t>EMCU8665308</t>
  </si>
  <si>
    <r>
      <rPr>
        <rFont val="Arial"/>
        <color rgb="FF000000"/>
        <sz val="11.0"/>
      </rPr>
      <t xml:space="preserve">EN#2141087, INV#021/EXP-POP36318/03/2022, T/R, </t>
    </r>
    <r>
      <rPr>
        <rFont val="Arial"/>
        <color rgb="FF000000"/>
        <sz val="11.0"/>
      </rPr>
      <t>empty return 5/18</t>
    </r>
    <r>
      <rPr>
        <rFont val="Arial"/>
        <color rgb="FF000000"/>
        <sz val="11.0"/>
      </rPr>
      <t xml:space="preserve">
- EVER FASHION, (J15), EG
- have additional $150 Maher Surcharge
- Moored 5/14, discharged 5/15, LFD 5/19
- delivered 5/17 without inform TH</t>
    </r>
  </si>
  <si>
    <t>CMAU5406640</t>
  </si>
  <si>
    <t>EN#2142371, INV#AIT2208A, T/R, GATEFEE5/11, empty return 6/23
- PRESIDENT EISENHOWER, (M6), CMA
- Moored 5/13, discharged 5/15, LFD 6/10
- prepull 6/10, LFD 6/10
- 6/21 respot
- 6/22 unloaded, request empty pickup,  short 1 case
- ELFD 6/15, empty return 6/23
- 6/24 recheck, full received 940 cs
- demurrage CEVE invoice $2400</t>
  </si>
  <si>
    <t>APHU7200100</t>
  </si>
  <si>
    <r>
      <rPr>
        <rFont val="Arial"/>
        <color rgb="FF000000"/>
        <sz val="11.0"/>
      </rPr>
      <t xml:space="preserve">GINGER COCONUT (D-04046N / </t>
    </r>
    <r>
      <rPr>
        <rFont val="Arial"/>
        <color rgb="FF000000"/>
        <sz val="11.0"/>
      </rPr>
      <t>D-04044</t>
    </r>
    <r>
      <rPr>
        <rFont val="Arial"/>
        <color rgb="FF000000"/>
        <sz val="11.0"/>
      </rPr>
      <t>)</t>
    </r>
  </si>
  <si>
    <t>EN#2142370, INV#AIT2216, T/R, GATEFEE5/11, empty return 6/17
- PRESIDENT EISENHOWER, (M4), CMA
- Moored 5/13, discharged 5/15, LFD 6/10
- ELFD 6/14
- respot 6/16</t>
  </si>
  <si>
    <t>GESU6693946</t>
  </si>
  <si>
    <t>EN#2142369, INV#AIT2219, T/R, GATEFEE5/11, empty return 6/22
- PRESIDENT EISENHOWER, (M2), CMA
- Moored 5/13, discharged 5/15, LFD 6/10
- pier waiting was from 8:02-11:20am additional 1.5hr
- ELFD 6/15
- demurrage CEVE invoice $2400</t>
  </si>
  <si>
    <t>BMOU6150571</t>
  </si>
  <si>
    <r>
      <rPr>
        <rFont val="Arial"/>
        <color rgb="FF000000"/>
        <sz val="11.0"/>
      </rPr>
      <t xml:space="preserve">5/20/2022
</t>
    </r>
    <r>
      <rPr>
        <rFont val="Arial"/>
        <color rgb="FF0000FF"/>
        <sz val="11.0"/>
      </rPr>
      <t>Pending Benz invoice (per diem)</t>
    </r>
  </si>
  <si>
    <t>EN#2140683, INV#024/EXP/INV/II/2022, OBL3/15, GATEFEE5/9, empty return 5/26
- ONE HANNOVER, (J4), YM
- Moored 5/13, discharged 5/14, LFD 5/20
- when deliver 5/20, driver will waiting for EMCU8407005 empty
- ELFD 5/25, empty return 5/26, have per diem</t>
  </si>
  <si>
    <t>TGBU6452723</t>
  </si>
  <si>
    <r>
      <rPr>
        <rFont val="Arial"/>
        <color rgb="FF000000"/>
        <sz val="11.0"/>
      </rPr>
      <t xml:space="preserve">5/19/2022
</t>
    </r>
    <r>
      <rPr>
        <rFont val="Arial"/>
        <color rgb="FF0000FF"/>
        <sz val="11.0"/>
      </rPr>
      <t>Pending Benz invoice (per diem)</t>
    </r>
  </si>
  <si>
    <t>EN#2140610, INV#026/EXP/INV/II/2022, OBL3/15, GATEFEE5/9, empty return 5/27
- ONE HANNOVER, (J5), YM
- Moored 5/13, discharged 5/15, LFD 5/19
- ELFD 5/24, have per diem</t>
  </si>
  <si>
    <t>YMMU6271305</t>
  </si>
  <si>
    <r>
      <rPr>
        <rFont val="Arial"/>
        <color rgb="FF000000"/>
        <sz val="11.0"/>
      </rPr>
      <t xml:space="preserve">5/23/2022
</t>
    </r>
    <r>
      <rPr>
        <rFont val="Arial"/>
        <color rgb="FF0000FF"/>
        <sz val="11.0"/>
      </rPr>
      <t>Pending Etrans invoice (per diem)</t>
    </r>
  </si>
  <si>
    <r>
      <rPr>
        <rFont val="Arial"/>
        <color rgb="FF000000"/>
        <sz val="11.0"/>
      </rPr>
      <t xml:space="preserve">EN#2141429, INV#AIT2218, T/R, </t>
    </r>
    <r>
      <rPr>
        <rFont val="Arial"/>
        <color rgb="FF000000"/>
        <sz val="11.0"/>
      </rPr>
      <t>empty return 5/27</t>
    </r>
    <r>
      <rPr>
        <rFont val="Arial"/>
        <color rgb="FF000000"/>
        <sz val="11.0"/>
      </rPr>
      <t xml:space="preserve">
- HYUNDAI HONOUR, (K1), YM
- have additional $200 GCT Bayonne Surcharge
- Moored 5/13, discharged 5/18, LFD 5/24</t>
    </r>
  </si>
  <si>
    <t>HASU4896036</t>
  </si>
  <si>
    <t>EN#2142516, INV#94086958, No PL, T/R, empty return 5/19
- MONTE ROSA, (L20), MAEU
- Etrans cannot deliver, Apex will deliver, Drop
- Moored 5/12, discharged 5/12, LFD 5/18
- 5/16 per GW, this is Not a door move shipment</t>
  </si>
  <si>
    <t>MRKU2148897</t>
  </si>
  <si>
    <r>
      <rPr>
        <rFont val="Arial"/>
        <color rgb="FF000000"/>
        <sz val="11.0"/>
      </rPr>
      <t xml:space="preserve">EN#2142038, INV#94086960, No PL, T/R, </t>
    </r>
    <r>
      <rPr>
        <rFont val="Arial"/>
        <color rgb="FF000000"/>
        <sz val="11.0"/>
      </rPr>
      <t>empty return 5/19</t>
    </r>
    <r>
      <rPr>
        <rFont val="Arial"/>
        <color rgb="FF000000"/>
        <sz val="11.0"/>
      </rPr>
      <t xml:space="preserve">
- MONTE ROSA, (K18), MAEU
- Etrans cannot deliver, Apex will deliver, drop
- Moored 5/12, discharged 5/12, LFD 5/18
- 5/18 per Junie, process as urgent PO</t>
    </r>
  </si>
  <si>
    <t>TRHU4680800</t>
  </si>
  <si>
    <t>EN#2141994, INV#YNBYHP0000087, YNBYHP0000089, T/R, GATEFEE5/11, empty return 5/24
- EVER FEAT, (K17), COSCO 
- Moored 5/12, discharged 5/12, LFD 5/20
- 5/20 driver checked in at 7:35am this morning, was told container is not available for pickup and system shows container is in the closed area, Additional attempt charge $75</t>
  </si>
  <si>
    <t>EMCU8809621</t>
  </si>
  <si>
    <r>
      <rPr>
        <rFont val="Arial"/>
        <color rgb="FF000000"/>
        <sz val="11.0"/>
      </rPr>
      <t xml:space="preserve">5/17/2022
</t>
    </r>
    <r>
      <rPr>
        <rFont val="Arial"/>
        <color rgb="FF0000FF"/>
        <sz val="11.0"/>
      </rPr>
      <t>Request chassis refund (EG)</t>
    </r>
  </si>
  <si>
    <t>EN#2141383, INV#035/EXP/INV/III/2022, OBL3/30, GATEFEE5/11, empty return 5/19
- EVER FEAT, (J9), EG
- Moored 5/12, discharged 5/13, LFD 5/19
- split return chassis and chassis usage charge
- 5/19 per Winnie, no split chassis return</t>
  </si>
  <si>
    <t>EMCU8407005</t>
  </si>
  <si>
    <t>GINGER CHEWS 1 LBS (LEMON, ORANGE)</t>
  </si>
  <si>
    <r>
      <rPr>
        <rFont val="Arial"/>
        <color rgb="FF000000"/>
        <sz val="11.0"/>
      </rPr>
      <t xml:space="preserve">5/18/2022
</t>
    </r>
    <r>
      <rPr>
        <rFont val="Arial"/>
        <color rgb="FF0000FF"/>
        <sz val="11.0"/>
      </rPr>
      <t>Request chassis refund (EG)</t>
    </r>
  </si>
  <si>
    <t xml:space="preserve">EN#2141939, INV#024/EXP-POP36031/03/2022, T/R, GATEFEE5/11, empty return 5/20
- EVER FEAT, (K16), EG
- Moored 5/12, discharged 5/14, LFD 5/19
- According to drivers,  ETS terminal has no Evergreen chassis available, it will be an additional  chassis usage charge
- 5/20 Driver was there at 10:15am waiting for container empty, when deliver BMOU6150571
- container was empty at 12:18pm, waiting time was from 10:15-12:18pm 2hrs $150 </t>
  </si>
  <si>
    <t>GLDU7155290</t>
  </si>
  <si>
    <t>RED PANAX GINSENG EXT, GINKGO BILOBA, BEIJING ROYAL JELLY, INSTANT TEA HERBAL BULK</t>
  </si>
  <si>
    <t>EN#2139568, INV#AIT2110KFY, T/R, GATEFEE5/4, empty return 6/21
- CAP SAN JUAN, (H19), MSC
- Moored 5/10, discharged 5/16, LFD 6/17
- pier waiting was from 7:28-9:40am additional ½ hr
- empty pickup 6/21, ELFD 6/16, empty return 6/21
- 6/21 respot
- Benz invoice per diem $295</t>
  </si>
  <si>
    <t>KKFU7738972</t>
  </si>
  <si>
    <t>LA MERE POULARD BISCUITS</t>
  </si>
  <si>
    <r>
      <rPr>
        <rFont val="Arial"/>
        <color rgb="FF000000"/>
        <sz val="11.0"/>
      </rPr>
      <t xml:space="preserve">5/12/2022
</t>
    </r>
    <r>
      <rPr>
        <rFont val="Arial"/>
        <color rgb="FF0000FF"/>
        <sz val="11.0"/>
      </rPr>
      <t>Pending Etrans invoice (per diem)</t>
    </r>
  </si>
  <si>
    <t>EN#2142316, INV#25051041, T/R, empty return 5/19
- CAPE PIONEER, (L18), ONE
- have additional $150 Maher Surcharge
- Moored 5/7, discharged 5/8, LFD 5/12
- Live unload
- empty no return location</t>
  </si>
  <si>
    <t>TCLU2645408</t>
  </si>
  <si>
    <r>
      <rPr>
        <rFont val="Arial"/>
        <color rgb="FF000000"/>
        <sz val="11.0"/>
      </rPr>
      <t xml:space="preserve">5/10/2022
</t>
    </r>
    <r>
      <rPr>
        <rFont val="Arial"/>
        <color rgb="FF0000FF"/>
        <sz val="11.0"/>
      </rPr>
      <t>Pending Etrans invoice (per diem)</t>
    </r>
  </si>
  <si>
    <t>EN#2142315, INV#25051040, T/R, empty return 5/18
- CAPE PIONEER, (L17), ONE
- have additional $150 Maher Surcharge
- Moored 5/7, discharged 5/8, LFD 5/12
- no empty return location</t>
  </si>
  <si>
    <t>SEKU4615706</t>
  </si>
  <si>
    <r>
      <rPr>
        <rFont val="Arial"/>
        <color rgb="FF000000"/>
        <sz val="11.0"/>
      </rPr>
      <t xml:space="preserve">EN#2141884, INV#AIT2226B, T/R, </t>
    </r>
    <r>
      <rPr>
        <rFont val="Arial"/>
        <color rgb="FF000000"/>
        <sz val="11.0"/>
      </rPr>
      <t>empty return 5/13 (per Etrans)</t>
    </r>
    <r>
      <rPr>
        <rFont val="Arial"/>
        <color rgb="FF000000"/>
        <sz val="11.0"/>
      </rPr>
      <t xml:space="preserve">
- GSL TRIPOLI, (K4), MAEU
- have additional $150 APM Surcharge
- Moored 5/6, discharged 5/6, LFD 5/12</t>
    </r>
  </si>
  <si>
    <t>HASU4287596</t>
  </si>
  <si>
    <r>
      <rPr>
        <rFont val="Arial"/>
        <color rgb="FF000000"/>
        <sz val="11.0"/>
      </rPr>
      <t xml:space="preserve">EN#2141883, INV#AIT2213A, T/R, </t>
    </r>
    <r>
      <rPr>
        <rFont val="Arial"/>
        <color rgb="FF000000"/>
        <sz val="11.0"/>
      </rPr>
      <t>empty return 5/13</t>
    </r>
    <r>
      <rPr>
        <rFont val="Arial"/>
        <color rgb="FF000000"/>
        <sz val="11.0"/>
      </rPr>
      <t xml:space="preserve">
- GSL TRIPOLI, (K5), MAEU
- have additional $150 APM Surcharge
- Moored 5/6, discharged 5/6, LFD 5/12
- Empty Pick-up, additional charge ($535 + 26% Fuel)</t>
    </r>
  </si>
  <si>
    <t>EMCU8380748</t>
  </si>
  <si>
    <r>
      <rPr>
        <rFont val="Arial"/>
        <color rgb="FF000000"/>
        <sz val="11.0"/>
      </rPr>
      <t xml:space="preserve">EN#2141940, INV#055/EXP/INV/IV/2022, OBL4/21, </t>
    </r>
    <r>
      <rPr>
        <rFont val="Arial"/>
        <color rgb="FF000000"/>
        <sz val="11.0"/>
      </rPr>
      <t>empty return 5/16</t>
    </r>
    <r>
      <rPr>
        <rFont val="Arial"/>
        <color rgb="FF000000"/>
        <sz val="11.0"/>
      </rPr>
      <t xml:space="preserve">
- EVER LYRIC, (K15), EG
- Moored 5/5, discharged 5/6, LFD 5/12</t>
    </r>
  </si>
  <si>
    <t>CAAU5781414</t>
  </si>
  <si>
    <t>GINGER CHEWS 4 OZ (LYCHEE, ORANGE, MANGO, PEANUT)</t>
  </si>
  <si>
    <r>
      <rPr>
        <rFont val="Arial"/>
        <color rgb="FF000000"/>
        <sz val="11.0"/>
      </rPr>
      <t xml:space="preserve">EN#2141847, INV#026/EXP-POP36012/03/2022, T/R, </t>
    </r>
    <r>
      <rPr>
        <rFont val="Arial"/>
        <color rgb="FF000000"/>
        <sz val="11.0"/>
      </rPr>
      <t>empty return 5/17</t>
    </r>
    <r>
      <rPr>
        <rFont val="Arial"/>
        <color rgb="FF000000"/>
        <sz val="11.0"/>
      </rPr>
      <t xml:space="preserve">
- EVER LYRIC, (L4), EG
- Moored 5/5, discharged 5/8, LFD 5/12</t>
    </r>
  </si>
  <si>
    <t>ECMU9750852</t>
  </si>
  <si>
    <r>
      <rPr>
        <rFont val="Arial"/>
        <color rgb="FF000000"/>
        <sz val="11.0"/>
      </rPr>
      <t xml:space="preserve">GHC (NATURAL LEMON) </t>
    </r>
    <r>
      <rPr>
        <rFont val="Arial"/>
        <color rgb="FF000000"/>
        <sz val="11.0"/>
      </rPr>
      <t>New Packaging</t>
    </r>
  </si>
  <si>
    <t>EN#2141456, INV#AIT2211A, T/R, GATEFEE5/4, empty return 6/8
- APL COLUMBUS, (J7), CMA
- At anchor 4/20, estimated berthing 5/5
- Moored 5/5, discharged 5/9, LFD 6/3
- ELFD 6/2, no labor &amp; space for unload
- unloaded 6/7, inform empty pickup 6/7, empty return 6/8, have per diem</t>
  </si>
  <si>
    <t>TGBU4272954</t>
  </si>
  <si>
    <r>
      <rPr>
        <rFont val="Arial"/>
        <color rgb="FF000000"/>
        <sz val="11.0"/>
      </rPr>
      <t xml:space="preserve">EN#2141091, INV#016/EXP-POP35950/02/2022, T/R, GATEFEE5/3, </t>
    </r>
    <r>
      <rPr>
        <rFont val="Arial"/>
        <color rgb="FF000000"/>
        <sz val="11.0"/>
      </rPr>
      <t>empty return 5/16</t>
    </r>
    <r>
      <rPr>
        <rFont val="Arial"/>
        <color rgb="FF000000"/>
        <sz val="11.0"/>
      </rPr>
      <t xml:space="preserve">
- EVER FAME, (H21), EG
- Moored 5/3, discharged 5/6, LFD 4/12</t>
    </r>
  </si>
  <si>
    <t>FFAU3410547</t>
  </si>
  <si>
    <t>EN#2141490, INV#AIT2215, T/R, empty return 5/6
- COSCO SHIPPING LOTUS, (J22), OOCL
- 5/24 E-Trans declined DO, Apex will deliver
- Moored 5/2, discharged 5/4, LFD 5/10</t>
  </si>
  <si>
    <t>UETU5214310</t>
  </si>
  <si>
    <t>EN#2141491, INV#AIT2214, T/R, empty return 5/9
- COSCO SHIPPING LOTUS, (J20), OOCL
- 5/24 E-Trans declined DO, Apex will deliver, Live
- Moored 5/2, discharged 5/5, LFD 5/10
- prepull 5/7, delivered 5/9</t>
  </si>
  <si>
    <t>BMOU5676279</t>
  </si>
  <si>
    <r>
      <rPr>
        <rFont val="Arial"/>
        <color rgb="FF000000"/>
        <sz val="11.0"/>
      </rPr>
      <t xml:space="preserve">EN#2141492, INV#AIT2212A, T/R, </t>
    </r>
    <r>
      <rPr>
        <rFont val="Arial"/>
        <color rgb="FF000000"/>
        <sz val="11.0"/>
      </rPr>
      <t>empty return 5/9</t>
    </r>
    <r>
      <rPr>
        <rFont val="Arial"/>
        <color rgb="FF000000"/>
        <sz val="11.0"/>
      </rPr>
      <t xml:space="preserve">
- COSCO SHIPPING LOTUS, (J19), OOCL
- 5/24 E-Trans declined DO, Apex will deliver, Live
- Moored 5/2, discharged 5/5, LFD 5/10</t>
    </r>
  </si>
  <si>
    <t>767
(4PLTS)
(LCL)</t>
  </si>
  <si>
    <t>EGHU8491768</t>
  </si>
  <si>
    <t>EN#2141614, INV#20220317P, T/R, No GATEFEE (LCL)
- EVER FAME, (J6), EG
- LCL delivered by GW
- Moored 5/3, discharged 5/4, FCL picked up 5/6, empty return 5/9</t>
  </si>
  <si>
    <t>CAIU4800889</t>
  </si>
  <si>
    <r>
      <rPr>
        <rFont val="Arial"/>
        <color rgb="FF000000"/>
        <sz val="11.0"/>
      </rPr>
      <t xml:space="preserve">EN#2140358, INV#AIT2209, T/R, </t>
    </r>
    <r>
      <rPr>
        <rFont val="Arial"/>
        <color rgb="FF000000"/>
        <sz val="11.0"/>
      </rPr>
      <t>empty return 5/13</t>
    </r>
    <r>
      <rPr>
        <rFont val="Arial"/>
        <color rgb="FF000000"/>
        <sz val="11.0"/>
      </rPr>
      <t xml:space="preserve">
- ONE HAWK, (J2), HL
- have additional $200 GCT Bayonne Surcharge
- Moored 5/3, discharged 5/5, LFD 5/11</t>
    </r>
  </si>
  <si>
    <t>CAIU4811100</t>
  </si>
  <si>
    <r>
      <rPr>
        <rFont val="Arial"/>
        <color rgb="FF000000"/>
        <sz val="11.0"/>
      </rPr>
      <t xml:space="preserve">5/9/2022
</t>
    </r>
    <r>
      <rPr>
        <rFont val="Arial"/>
        <color rgb="FF0000FF"/>
        <sz val="11.0"/>
      </rPr>
      <t>Pending Etrans invoice (per diem)</t>
    </r>
  </si>
  <si>
    <r>
      <rPr>
        <rFont val="Arial"/>
        <color rgb="FF000000"/>
        <sz val="11.0"/>
      </rPr>
      <t xml:space="preserve">EN#2140359, INV#AIT2208, T/R, </t>
    </r>
    <r>
      <rPr>
        <rFont val="Arial"/>
        <color rgb="FF000000"/>
        <sz val="11.0"/>
      </rPr>
      <t>empty return 5/13</t>
    </r>
    <r>
      <rPr>
        <rFont val="Arial"/>
        <color rgb="FF000000"/>
        <sz val="11.0"/>
      </rPr>
      <t xml:space="preserve">
- ONE HAWK, (J1), HL
- have additional $200 GCT Bayonne Surcharge
- Moored 5/3, discharged 5/5, LFD 5/11</t>
    </r>
  </si>
  <si>
    <t>HLBU1921220</t>
  </si>
  <si>
    <t>EN#2140736, INV#AIT2207, T/R, empty return 5/20
- ONE HAWK, (H22), HL
- 4/18 E-trans declined DO, need alternative trucker
- 4/19 Apex will deliver, Live
- Moored 5/3, discharged 5/5, LFD 5/11</t>
  </si>
  <si>
    <t>BSIU9977384</t>
  </si>
  <si>
    <t>EN#2141381, INV#038/EXP/INV/III/2022, OBL3/30, empty return 5/9
- APL SENTOSA, (J10), EG
- have additional $150 APM Surcharge
- Moored 5/1, discharged 5/1, LFD 5/5
- prepull 5/5</t>
  </si>
  <si>
    <t>TCNU7015461</t>
  </si>
  <si>
    <r>
      <rPr>
        <rFont val="Arial"/>
        <color rgb="FF000000"/>
        <sz val="11.0"/>
      </rPr>
      <t xml:space="preserve">EN#2141382, INV#KB220310, OBL4/4, </t>
    </r>
    <r>
      <rPr>
        <rFont val="Arial"/>
        <color rgb="FF000000"/>
        <sz val="11.0"/>
      </rPr>
      <t>empty return 5/9</t>
    </r>
    <r>
      <rPr>
        <rFont val="Arial"/>
        <color rgb="FF000000"/>
        <sz val="11.0"/>
      </rPr>
      <t xml:space="preserve">
- HYUNDAI FORWARD, (J8), HDMU
- have additional $200 GCT Bayonne Surcharge
- Moored 4/29, discharged 4/30, LFD 5/5</t>
    </r>
  </si>
  <si>
    <t>230
(LCL)</t>
  </si>
  <si>
    <t>KKFU6774569</t>
  </si>
  <si>
    <t>EN#2141995, INV#US-220301, OBL4/13
- ONE HAMMERSMITH, (K2), ONE
- Moored 4/28, discharged 5/2, LFD 5/6, FCL picked up 5/5, empty return 5/6</t>
  </si>
  <si>
    <t>TEMU6200803</t>
  </si>
  <si>
    <r>
      <rPr>
        <rFont val="Arial"/>
        <color rgb="FF000000"/>
        <sz val="11.0"/>
      </rPr>
      <t>5/10/2022</t>
    </r>
    <r>
      <rPr>
        <rFont val="Arial"/>
        <color rgb="FF0000FF"/>
        <sz val="11.0"/>
      </rPr>
      <t xml:space="preserve">
Pending chassis refund (EG)</t>
    </r>
  </si>
  <si>
    <r>
      <rPr>
        <rFont val="Arial"/>
        <color rgb="FF000000"/>
        <sz val="11.0"/>
      </rPr>
      <t xml:space="preserve">EN#2141384, INV#029/EXP/INV/III/2022, OBL 3/25, GATEFEE4/26, </t>
    </r>
    <r>
      <rPr>
        <rFont val="Arial"/>
        <color rgb="FF000000"/>
        <sz val="11.0"/>
      </rPr>
      <t>empty return 5/12</t>
    </r>
    <r>
      <rPr>
        <rFont val="Arial"/>
        <color rgb="FF000000"/>
        <sz val="11.0"/>
      </rPr>
      <t xml:space="preserve">
- EVER FOREVER, (H16), EG
- Moored 4/27, discharged 4/30, LFD 5/10
- not on Evergreen chassis and it will be chassis usage charge</t>
    </r>
  </si>
  <si>
    <t>TGBU8769002</t>
  </si>
  <si>
    <t>PALLY (CARAMELIZED, DIGESTIVE, RICH TEA)</t>
  </si>
  <si>
    <r>
      <rPr>
        <rFont val="Arial"/>
        <color rgb="FF000000"/>
        <sz val="11.0"/>
      </rPr>
      <t xml:space="preserve">EN#2141785, INV#SI22-002140, T/R, No PL, </t>
    </r>
    <r>
      <rPr>
        <rFont val="Arial"/>
        <color rgb="FF000000"/>
        <sz val="11.0"/>
      </rPr>
      <t>empty return 5/3</t>
    </r>
    <r>
      <rPr>
        <rFont val="Arial"/>
        <color rgb="FF000000"/>
        <sz val="11.0"/>
      </rPr>
      <t xml:space="preserve">
- OOCL SEOUL, (K19), OOCL
- 4/18 Etrans cannot handle delivery, need alternative trucker
- 4/19 Apex will deliver
- 4/21 Total should be 3519 cases, but BL &amp; AN is 8200 cases, GW has cleared the customs, so no need to change
- Moored 4/26, discharged 4/28, LFD 5/3
- Apex delivered 5/3, LIVE</t>
    </r>
  </si>
  <si>
    <t>TXGU5634984</t>
  </si>
  <si>
    <r>
      <rPr>
        <rFont val="Arial"/>
        <color rgb="FF000000"/>
        <sz val="11.0"/>
      </rPr>
      <t xml:space="preserve">EN#2141481, INV#EII220000463, OBL4/13, </t>
    </r>
    <r>
      <rPr>
        <rFont val="Arial"/>
        <color rgb="FF000000"/>
        <sz val="11.0"/>
      </rPr>
      <t>empty return 5/4</t>
    </r>
    <r>
      <rPr>
        <rFont val="Arial"/>
        <color rgb="FF000000"/>
        <sz val="11.0"/>
      </rPr>
      <t xml:space="preserve">
- CMA CGM BRAZIL, (H12), EG
- have additional $150 APM Surcharge
- Moored 4/25, discharged 4/26, LFD 4/29</t>
    </r>
  </si>
  <si>
    <t>EITU9372379</t>
  </si>
  <si>
    <t>EN#2141480, INV#EII220000462, OBL4/13, empty return 5/5
- CMA CGM BRAZIL, (H13), EG
- have additional $150 APM Surcharge
- Moored 4/25, discharged 4/26, LFD 4/30
- LFD should be 4/30</t>
  </si>
  <si>
    <t>TGBU8028798</t>
  </si>
  <si>
    <t>EN#2142173, INV#017/EXP-POP36278/02/2022, T/R, empty return 5/5
- EVER FOND, (K3), EG
- EN# 2140429 changed to 2142173
- have additional $150 Maher Surcharge
- Moored 4/25, discharged 4/27, LFD 5/3
- prepull 5/2?</t>
  </si>
  <si>
    <t>EMCU8400696</t>
  </si>
  <si>
    <r>
      <rPr>
        <rFont val="Arial"/>
        <color rgb="FF000000"/>
        <sz val="11.0"/>
      </rPr>
      <t xml:space="preserve">EN#2141089, INV#018/EXP-POP36280/03/2022, T/R, </t>
    </r>
    <r>
      <rPr>
        <rFont val="Arial"/>
        <color rgb="FF000000"/>
        <sz val="11.0"/>
      </rPr>
      <t>empty return 4/30</t>
    </r>
    <r>
      <rPr>
        <rFont val="Arial"/>
        <color rgb="FF000000"/>
        <sz val="11.0"/>
      </rPr>
      <t xml:space="preserve">
- EVER FOND, (J13), EG
- have additional $150 Maher Surcharge
- Moored 4/25, discharged 4/26, LFD 4/29</t>
    </r>
  </si>
  <si>
    <t>EGHU9416558</t>
  </si>
  <si>
    <t>EN#2141259, INV#EII220000436, OBL3/30, empty return5/5
- CMA CGM J. ADAMS, (J11), EG
- Moored 4/24, discharged 4/26
- prepull 5/2</t>
  </si>
  <si>
    <t>EITU9350338</t>
  </si>
  <si>
    <t>EN#2141258, INV#EII220000435, OBL3/30, empty return 5/5
- CMA CGM J. ADAMS, (H11), EG
- Moored 4/24, discharged 4/26</t>
  </si>
  <si>
    <t>TRLU7373641</t>
  </si>
  <si>
    <r>
      <rPr>
        <rFont val="Arial"/>
        <color rgb="FF000000"/>
        <sz val="11.0"/>
      </rPr>
      <t xml:space="preserve">5/4/2022
</t>
    </r>
    <r>
      <rPr>
        <rFont val="Arial"/>
        <color rgb="FF0000FF"/>
        <sz val="11.0"/>
      </rPr>
      <t>Pending Benz invoice (per diem)</t>
    </r>
  </si>
  <si>
    <t>EN#2140768, INV#AIT2209A, T/R, GATEFEE4/20, empty return 5/10
- APL SANTIAGO, (H10), CMA
- Moored 4/23, discharged 4/25, LFD 5/5
- 5/6 warehouse has no place to unload the container
- ELFD 5/9, empty return 5/10, have per diem</t>
  </si>
  <si>
    <t>TLLU7685340</t>
  </si>
  <si>
    <t>GHC(D-04011), PAPER BOXES</t>
  </si>
  <si>
    <r>
      <rPr>
        <rFont val="Arial"/>
        <color rgb="FF000000"/>
        <sz val="11.0"/>
      </rPr>
      <t xml:space="preserve">EN#2140770, INV#AIT2212, T/R, GATEFEE4/20, </t>
    </r>
    <r>
      <rPr>
        <rFont val="Arial"/>
        <color rgb="FF000000"/>
        <sz val="11.0"/>
      </rPr>
      <t>empty return 5/5</t>
    </r>
    <r>
      <rPr>
        <rFont val="Arial"/>
        <color rgb="FF000000"/>
        <sz val="11.0"/>
      </rPr>
      <t xml:space="preserve">
- APL SANTIAGO, (H9), CMA
- Moored 4/23, discharged 4/25, LFD 5/5</t>
    </r>
  </si>
  <si>
    <t>BEAU4086308</t>
  </si>
  <si>
    <t>GHC (D-04043 LEMON)</t>
  </si>
  <si>
    <t>EN#2140767, INV#AIT2213, T/R, GATEFEE4/20, empty return 5/10
- APL SANTIAGO, (H8), CMA
- Moored 4/23, discharged 4/25, LFD 5/5
- 6/1 per diem CEVA invoice $250</t>
  </si>
  <si>
    <t>TCNU6546890</t>
  </si>
  <si>
    <r>
      <rPr>
        <rFont val="Arial"/>
        <color rgb="FF000000"/>
        <sz val="11.0"/>
      </rPr>
      <t xml:space="preserve">EN#2140769, INV#AIT2206A, T/R, GATEFEE4/25, </t>
    </r>
    <r>
      <rPr>
        <rFont val="Arial"/>
        <color rgb="FF000000"/>
        <sz val="11.0"/>
      </rPr>
      <t>empty return 5/4</t>
    </r>
    <r>
      <rPr>
        <rFont val="Arial"/>
        <color rgb="FF000000"/>
        <sz val="11.0"/>
      </rPr>
      <t xml:space="preserve">
- APL SANTIAGO, (H7), CMA
- Moored 4/23, discharged 4/25, LFD 5/5</t>
    </r>
  </si>
  <si>
    <t>TCLU5119270</t>
  </si>
  <si>
    <t>EN#2140733, INV#AIT2202, T/R, empty return 5/2
- CMA CGM APOLLON, (H20), CMA
- have Maher Terminal surcharge $150
- Moored 4/20, discharged 4/21, LFD 4/27
- 4/27 no return location yet, will have additional charges: Storage, Chassis, Per Diems
- 5/23 per diem invoice $420</t>
  </si>
  <si>
    <t>TEMU7195620</t>
  </si>
  <si>
    <t>ORGANIC TEABAGS
D-13220N, D-14200N, D-15200N, D-18200N, D-19200N, D-19220N</t>
  </si>
  <si>
    <r>
      <rPr>
        <rFont val="Arial"/>
        <color rgb="FF000000"/>
        <sz val="11.0"/>
      </rPr>
      <t xml:space="preserve">EN#2141090, INV#YD22-T01, T/R, </t>
    </r>
    <r>
      <rPr>
        <rFont val="Arial"/>
        <color rgb="FF000000"/>
        <sz val="11.0"/>
      </rPr>
      <t>empty return 4/28</t>
    </r>
    <r>
      <rPr>
        <rFont val="Arial"/>
        <color rgb="FF000000"/>
        <sz val="11.0"/>
      </rPr>
      <t xml:space="preserve">
- OOCL BRUSSELS, (J14), COSCO
- have additional $150 Maher Surcharge
- At anchor 4/10, moored 4/20, discharged 4/23
</t>
    </r>
  </si>
  <si>
    <t>TRHU6152334</t>
  </si>
  <si>
    <r>
      <rPr>
        <rFont val="Arial"/>
        <color rgb="FF000000"/>
        <sz val="11.0"/>
      </rPr>
      <t xml:space="preserve">EN#2140612, INV#025/EXP/INV/II/2022, OBL3/15, GATEFEE4/21, </t>
    </r>
    <r>
      <rPr>
        <rFont val="Arial"/>
        <color rgb="FF000000"/>
        <sz val="11.0"/>
      </rPr>
      <t>empty return 5/3</t>
    </r>
    <r>
      <rPr>
        <rFont val="Arial"/>
        <color rgb="FF000000"/>
        <sz val="11.0"/>
      </rPr>
      <t xml:space="preserve">
- EVER FUTURE, (J3), EG
- Moored 4/20, discharged 4/21, LFD 4/28</t>
    </r>
  </si>
  <si>
    <t>CAIU9326160</t>
  </si>
  <si>
    <t>RED PANAX GINSENG EXTRACT, ULTRA GINKGO PLUS, ULTRA JOINT HEALTH, AMERICAN GINSENG ROYAL JELLY</t>
  </si>
  <si>
    <r>
      <rPr>
        <rFont val="Arial"/>
        <color rgb="FF000000"/>
        <sz val="11.0"/>
      </rPr>
      <t xml:space="preserve">4/20/2022
</t>
    </r>
    <r>
      <rPr>
        <rFont val="Arial"/>
        <color rgb="FF0000FF"/>
        <sz val="11.0"/>
      </rPr>
      <t>Pending Etrans invoice (per diem)</t>
    </r>
  </si>
  <si>
    <t>EN#2139569, INV#AIT2109KFY, T/R, empty return 4/27
- NEW YORK EXPRESS, (G16), ONE
- have additional $200 Global Surcharge
- Moored 4/15, discharged 4/16, LFD 4/21
- the shipping line has not been opened for empty return since last week.  Additional charges for Storage, Chassis and Per Diems will apply</t>
  </si>
  <si>
    <t>TCNU6695301</t>
  </si>
  <si>
    <r>
      <rPr>
        <rFont val="Arial"/>
        <color rgb="FF000000"/>
        <sz val="11.0"/>
      </rPr>
      <t xml:space="preserve">EN#2140737, INV#AIT2211, T/R, </t>
    </r>
    <r>
      <rPr>
        <rFont val="Arial"/>
        <color rgb="FF000000"/>
        <sz val="11.0"/>
      </rPr>
      <t>empty return 4/25</t>
    </r>
    <r>
      <rPr>
        <rFont val="Arial"/>
        <color rgb="FF000000"/>
        <sz val="11.0"/>
      </rPr>
      <t xml:space="preserve">
- CMA CGM OSIRIS, (H18), OOCL
- have additional $150 Maher Surcharge
- Moored 4/14, discharged  4/15, LFD 4/21</t>
    </r>
  </si>
  <si>
    <t>BMOU5623509</t>
  </si>
  <si>
    <t>EN#2141064, INV#CZ21S013, T/R, empty return 4/22
- ONE OWL, (H15), YM
- Previous EN#2132541
- Export to HK, then reroute to LA
- Underway to Korea 3/3, ETA to HK 3/8, enroute to LA
- Moored 4/12, discharged 4/15, LFD 4/21</t>
  </si>
  <si>
    <t>SEGU4863375</t>
  </si>
  <si>
    <r>
      <rPr>
        <rFont val="Arial"/>
        <color rgb="FF000000"/>
        <sz val="11.0"/>
      </rPr>
      <t xml:space="preserve">4/15/2022
</t>
    </r>
    <r>
      <rPr>
        <rFont val="Arial"/>
        <color rgb="FF0000FF"/>
        <sz val="11.0"/>
      </rPr>
      <t>Pending Etrans invoice (per diem)</t>
    </r>
  </si>
  <si>
    <r>
      <rPr>
        <rFont val="Arial"/>
        <color rgb="FF000000"/>
        <sz val="11.0"/>
      </rPr>
      <t xml:space="preserve">EN#2140055, INV#AIT2205, T/R, </t>
    </r>
    <r>
      <rPr>
        <rFont val="Arial"/>
        <color rgb="FF000000"/>
        <sz val="11.0"/>
      </rPr>
      <t>empty return 4/20</t>
    </r>
    <r>
      <rPr>
        <rFont val="Arial"/>
        <color rgb="FF000000"/>
        <sz val="11.0"/>
      </rPr>
      <t xml:space="preserve">
- COSCOSHIPPING ORCHID, (H4), CMA
- have additional $150 Maher Surcharge
- Moored 4/9, discharged 4/11, LFD 4/15
- have additional Empty Pick-up surcharge ($535 + 26% Fuel)
- empty pickup 4/19, empty return 4/20</t>
    </r>
  </si>
  <si>
    <t>YMMU6335837</t>
  </si>
  <si>
    <t>GINGER CHEWS 4 OZ (LEMON), 1 LBS (LYCHEE)</t>
  </si>
  <si>
    <r>
      <rPr>
        <rFont val="Arial"/>
        <color rgb="FF000000"/>
        <sz val="11.0"/>
      </rPr>
      <t xml:space="preserve">4/13/2022
</t>
    </r>
    <r>
      <rPr>
        <rFont val="Arial"/>
        <color rgb="FF0000FF"/>
        <sz val="11.0"/>
      </rPr>
      <t>Pending Etrans invoice (per diem)</t>
    </r>
  </si>
  <si>
    <t>EN#2140312, INV#015/EXP-POP36274/02/2022, T/R, empty return 4/19
- HYUNDAI FORCE, (H1), YM
- have additional $200 GCT Bayonne Surcharge
- Moored 4/8, discharged 4/9, LFD 4/14</t>
  </si>
  <si>
    <t>TRHU7519738</t>
  </si>
  <si>
    <r>
      <rPr>
        <rFont val="Arial"/>
        <color rgb="FF000000"/>
        <sz val="11.0"/>
      </rPr>
      <t xml:space="preserve">4/12/2022
</t>
    </r>
    <r>
      <rPr>
        <rFont val="Arial"/>
        <color rgb="FF0000FF"/>
        <sz val="11.0"/>
      </rPr>
      <t>Pending Benz invoice (per diem)</t>
    </r>
  </si>
  <si>
    <t>EN#2138730, INV#240/EXP/INV/XII/2021, OBL1/27, GATEFEE4/7, empty return 4/19
- CMA CGM GEMINI, (E19), CMA
- 4/15 re-spot to available loading dock, have additional charge of $40+FS
- empty return 4/19, ELFD 4/15, have 5 days per diem</t>
  </si>
  <si>
    <t>TCNU5759417</t>
  </si>
  <si>
    <r>
      <rPr>
        <rFont val="Arial"/>
        <color rgb="FF000000"/>
        <sz val="11.0"/>
      </rPr>
      <t xml:space="preserve">EN#2140059, INV#AIT2204, T/R, </t>
    </r>
    <r>
      <rPr>
        <rFont val="Arial"/>
        <color rgb="FF000000"/>
        <sz val="11.0"/>
      </rPr>
      <t>empty return 4/15</t>
    </r>
    <r>
      <rPr>
        <rFont val="Arial"/>
        <color rgb="FF000000"/>
        <sz val="11.0"/>
      </rPr>
      <t xml:space="preserve">
- COSCO DEVELOPMENT, (H6), OOCL
- have additional $150 Maher Surcharge
- Moored 4/5, discharged 4/7, LFD 4/13</t>
    </r>
  </si>
  <si>
    <t>OOLU8768456</t>
  </si>
  <si>
    <r>
      <rPr>
        <rFont val="Arial"/>
        <color rgb="FF000000"/>
        <sz val="11.0"/>
      </rPr>
      <t xml:space="preserve">EN#2140060, INV#AIT2203, T/R, </t>
    </r>
    <r>
      <rPr>
        <rFont val="Arial"/>
        <color rgb="FF000000"/>
        <sz val="11.0"/>
      </rPr>
      <t>empty return 4/12</t>
    </r>
    <r>
      <rPr>
        <rFont val="Arial"/>
        <color rgb="FF000000"/>
        <sz val="11.0"/>
      </rPr>
      <t xml:space="preserve">
- COSCO DEVELOPMENT, (H5), OOCL
- have additional $150 Maher Surcharge
- Moored 4/5, discharged 4/6, LFD 4/12</t>
    </r>
  </si>
  <si>
    <t>CMAU7981680</t>
  </si>
  <si>
    <t>GHC (D-04016)
(to RC COMMERCE)</t>
  </si>
  <si>
    <r>
      <rPr>
        <rFont val="Arial"/>
        <color rgb="FF000000"/>
        <sz val="11.0"/>
      </rPr>
      <t xml:space="preserve">EN#2139544, INV#AIT2139, T/R, </t>
    </r>
    <r>
      <rPr>
        <rFont val="Arial"/>
        <color rgb="FF000000"/>
        <sz val="11.0"/>
      </rPr>
      <t>empty return 4/5 or 4/6</t>
    </r>
    <r>
      <rPr>
        <rFont val="Arial"/>
        <color rgb="FF000000"/>
        <sz val="11.0"/>
      </rPr>
      <t xml:space="preserve">
- EVER FORE, (H14), CMA
- Etrans don’t have availability to deliver to Hicksville, NY, need alternative trucker
- 3/23 Apex will deliver to RC</t>
    </r>
  </si>
  <si>
    <t>CAAU6331495</t>
  </si>
  <si>
    <t>GINGER CHEWS 4 OZ (MANGO, LYCHEE, PEANUT), 1 LBS (ORANGE), PLUS+ 3 OZ (ORIGINAL)</t>
  </si>
  <si>
    <r>
      <rPr>
        <rFont val="Arial"/>
        <color rgb="FF000000"/>
        <sz val="11.0"/>
      </rPr>
      <t xml:space="preserve">EN#2139785, INV#009/EXP-POP35573/01/2022, T/R, </t>
    </r>
    <r>
      <rPr>
        <rFont val="Arial"/>
        <color rgb="FF000000"/>
        <sz val="11.0"/>
      </rPr>
      <t>empty return 4/19</t>
    </r>
    <r>
      <rPr>
        <rFont val="Arial"/>
        <color rgb="FF000000"/>
        <sz val="11.0"/>
      </rPr>
      <t xml:space="preserve">
- CMA CGM JULES VERNE, (G11), CMA
- PO#35573, 36275, 36322 revised to PO#35573
- Moored 4/4, discharged 4/8</t>
    </r>
  </si>
  <si>
    <t>TLLU4106527</t>
  </si>
  <si>
    <t>EN#2140684, INV#022/EXP/INV/II/2022, OBL3/15, empty return 4/15
- EVER LEGACY, (H17), EG
- no chassis fee</t>
  </si>
  <si>
    <t>NYKU3684945</t>
  </si>
  <si>
    <t>EN#2139820, INV#94068942, No PL, T/R, empty return 4/1
- TORRENTE, (G12), ONE
- have additional $150 Maher Surcharge
- Moored 3/29, discharged 3/29
- LIVE unload 4/1, 1 case shortage &amp; 6 cs damaged</t>
  </si>
  <si>
    <t>WHSU5291862</t>
  </si>
  <si>
    <r>
      <rPr>
        <rFont val="Arial"/>
        <color rgb="FF000000"/>
        <sz val="11.0"/>
      </rPr>
      <t xml:space="preserve">EN#2139692, INV#005/EXP/INV/I/2022, OBL2/25, GATEFEE3/21, </t>
    </r>
    <r>
      <rPr>
        <rFont val="Arial"/>
        <color rgb="FF000000"/>
        <sz val="11.0"/>
      </rPr>
      <t>empty return 4/8</t>
    </r>
    <r>
      <rPr>
        <rFont val="Arial"/>
        <color rgb="FF000000"/>
        <sz val="11.0"/>
      </rPr>
      <t xml:space="preserve">
- CAPE FRANKLIN, (G7), WAN HAI
- Moored 3/27, discharged 3/27</t>
    </r>
  </si>
  <si>
    <t>WHSU5686693</t>
  </si>
  <si>
    <r>
      <rPr>
        <rFont val="Arial"/>
        <color rgb="FF000000"/>
        <sz val="11.0"/>
      </rPr>
      <t>EN#2139691, INV#006/EXP/INV/I/2022, OBL2/25, GATEFEE3/21,</t>
    </r>
    <r>
      <rPr>
        <rFont val="Arial"/>
        <color rgb="FF000000"/>
        <sz val="11.0"/>
      </rPr>
      <t>empty return 4/12</t>
    </r>
    <r>
      <rPr>
        <rFont val="Arial"/>
        <color rgb="FF000000"/>
        <sz val="11.0"/>
      </rPr>
      <t xml:space="preserve">
- CAPE FRANKLIN, (G8), WAN HAI
- Moored 3/27, discharged 3/27</t>
    </r>
  </si>
  <si>
    <t>GCXU5064248</t>
  </si>
  <si>
    <t>EN#2139690, INV#007/EXP/INV/I/2022, OBL2/25, GATEFEE3/21, empty return 4/15
- CAPE FRANKLIN, (G9), WAN HAI
- Moored 3/27, discharged 3/27
- 4/15 bobtail to pick up empty, LFD 4/15
- 5/3 per Winnie, bobtail included in the drop charge
- 5/3 reprint POD to YG</t>
  </si>
  <si>
    <t>WHSU6165766</t>
  </si>
  <si>
    <t>EN#2139689, INV#009/EXP/INV/I/2022, OBL2/25, GATEFEE3/21, empty return 4/26
- CAPE FRANKLIN, (G10), WAN HAI
- Moored 3/27, discharged 3/27
- 4/18 driver respot to dock# I
- Wan Hai has not empty return location, yard parking $42/day + 2nd drop charge
- ELFD 4/18, empty return 4/26, have per diem 8 days
- 5/5 per diem should be 8 days, but WAN HAI charged on 3 days, per WAN HAI supporting invoice</t>
  </si>
  <si>
    <t>TRHU4906733</t>
  </si>
  <si>
    <t>EN#2139688, INV#011/EXP/INV/I/2022, OBL2/25, GATEFEE3/21, empty return 4/13
- CAPE FRANKLIN, (G14), WAN HAI
- Moored 3/27, discharged 3/27</t>
  </si>
  <si>
    <t>WHSU6213627</t>
  </si>
  <si>
    <t>EN#2139687, INV#012/EXP/INV/I/2022, OBL2/25, GATEFEE 3/21, empty return 4/7
- CAPE FRANKLIN, (G15), WAN HAI
- Moored 3/27, discharged 3/27</t>
  </si>
  <si>
    <t>OOLU6956346</t>
  </si>
  <si>
    <t>ORGANIC TEABAGS
D-13200N, D-14200N, D-15200N, D-15220N, D-18200N, D-19220N</t>
  </si>
  <si>
    <t>EN#2139327, INV#YD21-T23, T/R, empty return 4/4
- OOCL EGYPT, (F18), COSCO
- Moored 3/22, discharged 3/25
- per diem $125</t>
  </si>
  <si>
    <t>CMAU8795799</t>
  </si>
  <si>
    <t>EN#2139408, INV#AIT2145, T/R, empty return 3/31
- OOCL KOREA, (G3), CMA
- have additional $150 Maher Surcharge
- Moored 3/21, discharged 3/22
- have additional Empty Pick-up surcharge ($535 + 26% Fuel)</t>
  </si>
  <si>
    <t>TRHU6494105</t>
  </si>
  <si>
    <t>EN#2139009, INV#POP35576/10/01/2022, T/R, empty return 4/8
- CMA CGM PANAMA, (F14), CMA
- Moored 3/20, discharged 3/25
- 3/31 no chassis for pickup, rescheduled 4/1
- 4/1 no chassis, try prepull 4/1, LFD 4/1</t>
  </si>
  <si>
    <t>CMAU7350730</t>
  </si>
  <si>
    <t>GINGER CHEWS 1 LBS (LEMON)</t>
  </si>
  <si>
    <t>EN#2139010, INV#POP36011/10/01/2022, T/R, empty return 4/4
- CMA CGM PANAMA, (F7), CMA
- Moored 3/20, discharged 3/25
- 4/11 submitted Invoice (with freight) to MHZ</t>
  </si>
  <si>
    <t>TCLU9565705</t>
  </si>
  <si>
    <r>
      <rPr>
        <rFont val="Arial"/>
        <color rgb="FF000000"/>
        <sz val="11.0"/>
      </rPr>
      <t xml:space="preserve">3/25/2022
</t>
    </r>
    <r>
      <rPr>
        <rFont val="Arial"/>
        <color rgb="FF0000FF"/>
        <sz val="11.0"/>
      </rPr>
      <t>Pending Etran invoice (per diem)</t>
    </r>
  </si>
  <si>
    <t>EN#2139216, INV#POP35778/10/01/2022, T/R, empty return 3/30
- TANGIER EXPRESS, (F4), ONE
- additional $200 Global Surcharge
- At anchor 3/16, moored 3/20, discharged 3/21</t>
  </si>
  <si>
    <t>CMAU7476400</t>
  </si>
  <si>
    <r>
      <rPr>
        <rFont val="Arial"/>
        <color rgb="FF000000"/>
        <sz val="11.0"/>
      </rPr>
      <t xml:space="preserve">4/21/2022
</t>
    </r>
    <r>
      <rPr>
        <rFont val="Arial"/>
        <color rgb="FF0000FF"/>
        <sz val="11.0"/>
      </rPr>
      <t>Pending Benz invoice (per diem)</t>
    </r>
  </si>
  <si>
    <t>EN#2138326, INV#218/EXP/INV/XI/2021, OBL1/27, GATEFEE3/9, empty return 5/2
- CMA CGM CENTAURUS, (C12), CMA
- Moored 3/18, discharged 4/4
- ELFD 4/26, empty return 5/2, have per diem
- CMA per diem (estimated $1370)
ELFD = 1-4 days - Free
Day 5-7 days - $160-$180 per day
Day 8-10 days - $200-$230 per day</t>
  </si>
  <si>
    <t>CMAU8797786</t>
  </si>
  <si>
    <t>EN#2139546, INV#AIT2147, T/R, GATEFEE3/10, empty return 4/14
- CMA CGM CENTAURUS, (G21), CMA
- Moored 3/18, discharged 3/22
- Pier waiting was from 11:32-4pm additional 2.5hrs
- 4/13 pending pallets for unloading</t>
  </si>
  <si>
    <t>CMAU9162732</t>
  </si>
  <si>
    <t>EN#2139548, INV#AIT2140, T/R, GATEFEE3/10, empty return 4/20
- CMA CGM CENTAURUS, (G19), CMA
- Moored 3/18, discharged 3/22, LFD 4/14
- pre-pull charge $ 90+FS +2days yard parking 2x$40 + 3hrs x $75
- prepull 4/13, deliver 4/14, due to heavy traffic in 880 and 238,  driver can’t be there before 5pm
- ELFD 4/18, return 4/20, have per diem
- 5/23 per diem CEVA invoice $750</t>
  </si>
  <si>
    <t>CMAU9159852</t>
  </si>
  <si>
    <r>
      <rPr>
        <rFont val="Arial"/>
        <color rgb="FF000000"/>
        <sz val="11.0"/>
      </rPr>
      <t xml:space="preserve">EN#2139547, INV#AIT2146, T/R, GATEFEE3/10, </t>
    </r>
    <r>
      <rPr>
        <rFont val="Arial"/>
        <color rgb="FF000000"/>
        <sz val="11.0"/>
      </rPr>
      <t>empty return 4/6</t>
    </r>
    <r>
      <rPr>
        <rFont val="Arial"/>
        <color rgb="FF000000"/>
        <sz val="11.0"/>
      </rPr>
      <t xml:space="preserve">
- CMA CGM CENTAURUS, (G17), CMA
- Moored 3/18, discharged 3/24</t>
    </r>
  </si>
  <si>
    <t>CMAU8793498</t>
  </si>
  <si>
    <t>GHC(D-04061)</t>
  </si>
  <si>
    <r>
      <rPr>
        <rFont val="Arial"/>
        <color rgb="FF000000"/>
        <sz val="11.0"/>
      </rPr>
      <t xml:space="preserve">EN#2139545, INV#AIT2149, T/R, GATEFEE3/10, </t>
    </r>
    <r>
      <rPr>
        <rFont val="Arial"/>
        <color rgb="FF000000"/>
        <sz val="11.0"/>
      </rPr>
      <t>empty return 4/11</t>
    </r>
    <r>
      <rPr>
        <rFont val="Arial"/>
        <color rgb="FF000000"/>
        <sz val="11.0"/>
      </rPr>
      <t xml:space="preserve">
- CMA CGM CENTAURUS, (G20), CMA
- Moored 3/18, discharged 3/23</t>
    </r>
  </si>
  <si>
    <t>TGBU6983843</t>
  </si>
  <si>
    <r>
      <rPr>
        <rFont val="Arial"/>
        <color rgb="FF000000"/>
        <sz val="11.0"/>
      </rPr>
      <t xml:space="preserve">4/13/2022
</t>
    </r>
    <r>
      <rPr>
        <rFont val="Arial"/>
        <color rgb="FF0000FF"/>
        <sz val="11.0"/>
      </rPr>
      <t>Pending Benz invoice (per diem)</t>
    </r>
  </si>
  <si>
    <t>EN#2138993, INV#AIT2206, T/R, GATEFEE3/10, empty return 4/21
- CMA CGM CENTAURUS, (F21), CMA
- Moored 3/18, discharged 3/22, LFD 4/14
- 4/15 respot to available loading dock, have additional charge of $40+FS</t>
  </si>
  <si>
    <t>CAAU6011784</t>
  </si>
  <si>
    <r>
      <rPr>
        <rFont val="Arial"/>
        <color rgb="FF000000"/>
        <sz val="11.0"/>
      </rPr>
      <t xml:space="preserve">EN#2140231, INV#EII220000226, OBL3/9, </t>
    </r>
    <r>
      <rPr>
        <rFont val="Arial"/>
        <color rgb="FF000000"/>
        <sz val="11.0"/>
      </rPr>
      <t>empty return 3/28</t>
    </r>
    <r>
      <rPr>
        <rFont val="Arial"/>
        <color rgb="FF000000"/>
        <sz val="11.0"/>
      </rPr>
      <t xml:space="preserve">
- EVER LAMBENT, (H2), EG
- Moored 3/17, discharged 3/19</t>
    </r>
  </si>
  <si>
    <t>YMMU6344248</t>
  </si>
  <si>
    <t>GINGER CHEWS 4 OZ (ORANGE, LYCHEE, PEANUT), 1 LBS (LYCHEE, PEANUT)</t>
  </si>
  <si>
    <r>
      <rPr>
        <rFont val="Arial"/>
        <color rgb="FF000000"/>
        <sz val="11.0"/>
      </rPr>
      <t xml:space="preserve">3/23/2022
</t>
    </r>
    <r>
      <rPr>
        <rFont val="Arial"/>
        <color rgb="FF0000FF"/>
        <sz val="11.0"/>
      </rPr>
      <t>Pending Etrans invoice (per diem)</t>
    </r>
  </si>
  <si>
    <t>EN#2139714, INV#010/EXP-POP35574/01/2022, T/R, empty return 3/28
- HYUNDAI FAITH, (G6), YM
- PO#35574, 36277, 36279 &amp; 36319 revised to PO#35574
- additional $200 GCT Bayonne surcharge
- Moored 3/17, discharged 3/18
- delivered 3/23, but short 1 case F-04008</t>
  </si>
  <si>
    <t>TEMU4925719</t>
  </si>
  <si>
    <t>EN#2139341, INV#MP-202136184, T/R, GATEFEE3/11, empty return 3/24
- ONE CONTRIBUTION, (F20), YM
- At anchor @ Mexico offshore 3/7
- Moored 3/15, discharged 3/16</t>
  </si>
  <si>
    <t>GLDU7444060</t>
  </si>
  <si>
    <t>PANAX GINSENG EXTRA, RED GINSENG ROYAL JELLY</t>
  </si>
  <si>
    <t>EN#2138123, INV#2021TAT06, T/R, GATEFEE3/15, empty return 3/29
- MAERSK ALTAIR, (B22), MSC
- At anchor @ offshore 2/21
- Moored 3/13, discharged 3/14
- Need correct bill type to Type R, but both sides cannot solve this issue
- 3/18 shippping line forwarder re-file the AMS, then GW can complete the customs submission</t>
  </si>
  <si>
    <t>SEKU4551155</t>
  </si>
  <si>
    <t>ORGANIC TEABAGS
D-13200N, D-15200N, D-18200N, D-19200N</t>
  </si>
  <si>
    <t>EN#2138577, INV#YD21-T17, T/R, empty return 3/23
- OOCL CHONGQING, (E14), COSCO
- additional $150 Maher Surcharge
- Moored 3/14, discharged 3/15</t>
  </si>
  <si>
    <t>YMMU6196644</t>
  </si>
  <si>
    <t>EN#2138420, INV#220/EXP/INV/XII/2021, OBL1/26, GATEFEE2/28, empty return 3/22
- NYK VEGA, (C18), YM
- Moored 3/13, discharged 3/13</t>
  </si>
  <si>
    <t>TRHU7572542</t>
  </si>
  <si>
    <t>EN#2138732, INV#232/EXP/INV/XII/2021, OBL1/27
- TAIPEI TRIUMPH, (E18), EG
- 2/25 Apex will deliver
- Moored 3/13, discharged 3/14
- 3/17 Live unload</t>
  </si>
  <si>
    <t>TLLU7930279</t>
  </si>
  <si>
    <t>EN#2138606, INV#230/EXP/INV/XII/2021, OBL1/26
- CMA CGM A. LINCOLN, (E8), CMA
- Moored 3/11, discharged 3/13</t>
  </si>
  <si>
    <t>TCKU6202416</t>
  </si>
  <si>
    <t>ORGANIC TEABAGS
D-14200N, D-15200N, D-18200N, D-19200N</t>
  </si>
  <si>
    <t>EN#2138994, INV#YD21-T18, T/R, empty return 3/25
- CSCL SPRING, (F16), COSCO
- Moored 3/10, discharged 3/16
- LFD 3/22, earlier pickup appointment 3/23, have 1 day demurrage
- 3/24/2022 delivered, 4/13/2022 posted</t>
  </si>
  <si>
    <t>OOLU6802572</t>
  </si>
  <si>
    <t>EN#2139686, INV#008/EXP/INV/I/2022, OBL2/25, LIVE unload
- CMA CGM J. MADISON, (G13), OOCL
- additional $150 APM Surcharge
- Moored 3/10, discharged 3/11
- 3/14 Live unload, arrived 9:20am and completed the unloading 11:15am</t>
  </si>
  <si>
    <t>TRHU8217497</t>
  </si>
  <si>
    <t>EN#2139432, INV#POP22002, T/R, empty return 4/1
- ONE COMPETENCE, (G1), ONE
- Moored 3/9, discharged 3/18
- LFD 3/24, prepull 3/24
- cannot pull out 3/24, will pull 3/25, and deliver 3/28, demurrage needed($235)</t>
  </si>
  <si>
    <t>TXGU5841750</t>
  </si>
  <si>
    <r>
      <rPr>
        <rFont val="Arial"/>
        <color rgb="FF000000"/>
        <sz val="11.0"/>
      </rPr>
      <t>3/15/2022</t>
    </r>
    <r>
      <rPr>
        <rFont val="Arial"/>
        <color rgb="FF000000"/>
        <sz val="11.0"/>
      </rPr>
      <t xml:space="preserve">
</t>
    </r>
    <r>
      <rPr>
        <rFont val="Arial"/>
        <color rgb="FF0000FF"/>
        <sz val="11.0"/>
      </rPr>
      <t>Request chassis refund (EG)</t>
    </r>
  </si>
  <si>
    <t>EN#2138734, INV#234/EXP/INV/XII/2021, OBL1/27, GATEFEE3/8, empty return 3/16
- EVER FAME, (E21), EG
- Moored 3/8, discharged 3/11
- no Evergreen chassis available in termina, using other pool chassis, will have chassis usage charge</t>
  </si>
  <si>
    <t>HMCU9182082</t>
  </si>
  <si>
    <r>
      <rPr>
        <rFont val="Arial"/>
        <color rgb="FF000000"/>
        <sz val="11.0"/>
      </rPr>
      <t xml:space="preserve">EN#2138733, INV#233/EXP/INV/XII/2021, OBL1/27, GATEFEE3/8, </t>
    </r>
    <r>
      <rPr>
        <rFont val="Arial"/>
        <color rgb="FF000000"/>
        <sz val="11.0"/>
      </rPr>
      <t>empty return 3/18</t>
    </r>
    <r>
      <rPr>
        <rFont val="Arial"/>
        <color rgb="FF000000"/>
        <sz val="11.0"/>
      </rPr>
      <t xml:space="preserve">
- EVER FAME, (E20), EG
- Moored 3/8, discharged 3/12</t>
    </r>
  </si>
  <si>
    <t>EITU9456079</t>
  </si>
  <si>
    <r>
      <rPr>
        <rFont val="Arial"/>
        <color rgb="FF000000"/>
        <sz val="11.0"/>
      </rPr>
      <t xml:space="preserve">3/29/2022
</t>
    </r>
    <r>
      <rPr>
        <rFont val="Arial"/>
        <color rgb="FF0000FF"/>
        <sz val="11.0"/>
      </rPr>
      <t>Request chassis refund (EG)</t>
    </r>
  </si>
  <si>
    <r>
      <rPr>
        <rFont val="Arial"/>
        <color rgb="FF000000"/>
        <sz val="11.0"/>
      </rPr>
      <t xml:space="preserve">EN#2138991, INV#EII220000076, OBL2/25, GATEFEE3/8, </t>
    </r>
    <r>
      <rPr>
        <rFont val="Arial"/>
        <color rgb="FF000000"/>
        <sz val="11.0"/>
      </rPr>
      <t>empty return 4/4</t>
    </r>
    <r>
      <rPr>
        <rFont val="Arial"/>
        <color rgb="FF000000"/>
        <sz val="11.0"/>
      </rPr>
      <t xml:space="preserve">
- EVER FAME, (G4), EG
- Moored 3/8, discharged 3/10
- terminal has no Evergreen chassis and use other pool chassis
- 4/4 revised EG invoice (chassis charge $80 removed)</t>
    </r>
  </si>
  <si>
    <t>TEMU8707612</t>
  </si>
  <si>
    <t>4/5/2022 (Legal FCL)
4/5/2022 (Extra LCL)</t>
  </si>
  <si>
    <t>EN#2138773, INV#POP36175, T/R
- MAERSK EDIRNE, (F6), MSC, empty return 4/11
- 3/3 overweight, GW hasn't trucker to handle
- 3/8 Apex will deliver, LIVE
- 3/10 trucking overweight charge $800
- Moored 3/7, discharged 3/14
- GW paid x-ray (VACIS) exam fee ($450)
- 3/22 Release of Liability to Price Transfer for pickup from terminal to xray exam
- 3/25 customs released, GW pending Price invoice
- 4/1 Apex doesn't have triaxle chassis to pickup, so ask Price to offload to legal weight, and Apex will pickup legal weight container &amp; remain freight
- LFD 3/30, need to demurrage
- 2 day detention $270</t>
  </si>
  <si>
    <t>BMOU9228631</t>
  </si>
  <si>
    <t>RED GINSENG ROYAL, PANAX GINSENG EXTRA, RED GINSENG ROYAL JELLY</t>
  </si>
  <si>
    <r>
      <rPr>
        <rFont val="Arial"/>
        <color rgb="FF000000"/>
        <sz val="11.0"/>
      </rPr>
      <t xml:space="preserve">EN#2139406, INV#2022TAT01, T/R, GATEFEE3/7, </t>
    </r>
    <r>
      <rPr>
        <rFont val="Arial"/>
        <color rgb="FF000000"/>
        <sz val="11.0"/>
      </rPr>
      <t>empty return 3/14</t>
    </r>
    <r>
      <rPr>
        <rFont val="Arial"/>
        <color rgb="FF000000"/>
        <sz val="11.0"/>
      </rPr>
      <t xml:space="preserve">
- EVER LINKING, (G2), EG
- Moored 3/6, discharged 3/6</t>
    </r>
  </si>
  <si>
    <t>EMCU5405354</t>
  </si>
  <si>
    <t>PAPER LABEL, ALUMINIUM FOIL
(to SUN TEN, but to LA)</t>
  </si>
  <si>
    <t>3/16/2022 (LA)
3/21/2022 (Sun Ten)</t>
  </si>
  <si>
    <t>EN#2139359, INV#LFE-0119/22, T/R
- EVER SHINE, (G22), EG
- Moored 3/4, discharged 3/6
- Should deliver to Sun Ten, but deliver to LA warehouse 3/16
- 3/21 delivered to Sun Ten
- 3/29 received PO from Sun Ten</t>
  </si>
  <si>
    <t>SEGU5441353</t>
  </si>
  <si>
    <r>
      <rPr>
        <rFont val="Arial"/>
        <color rgb="FF000000"/>
        <sz val="11.0"/>
      </rPr>
      <t xml:space="preserve">EN#2138943, INV#AIT2136, T/R, </t>
    </r>
    <r>
      <rPr>
        <rFont val="Arial"/>
        <color rgb="FF000000"/>
        <sz val="11.0"/>
      </rPr>
      <t>empty return 3/10</t>
    </r>
    <r>
      <rPr>
        <rFont val="Arial"/>
        <color rgb="FF000000"/>
        <sz val="11.0"/>
      </rPr>
      <t xml:space="preserve">
- CMA CGM LAPEROUSE, (F13), CMA
- Moored 3/4, discharged 3/8
- Etrans cannot handle, Apex will deliver, LIVE</t>
    </r>
  </si>
  <si>
    <t>TEMU8855760</t>
  </si>
  <si>
    <r>
      <rPr>
        <rFont val="Arial"/>
        <color rgb="FF000000"/>
        <sz val="11.0"/>
      </rPr>
      <t xml:space="preserve">3/16/2022
</t>
    </r>
    <r>
      <rPr>
        <rFont val="Arial"/>
        <color rgb="FF0000FF"/>
        <sz val="11.0"/>
      </rPr>
      <t>Pending per diem (ONE)</t>
    </r>
  </si>
  <si>
    <r>
      <rPr>
        <rFont val="Arial"/>
        <color rgb="FF000000"/>
        <sz val="11.0"/>
      </rPr>
      <t xml:space="preserve">EN#2138537, INV#EXP/POP35658/116/21XII171, T/R, </t>
    </r>
    <r>
      <rPr>
        <rFont val="Arial"/>
        <color rgb="FF000000"/>
        <sz val="11.0"/>
      </rPr>
      <t>empty return 3/28</t>
    </r>
    <r>
      <rPr>
        <rFont val="Arial"/>
        <color rgb="FF000000"/>
        <sz val="11.0"/>
      </rPr>
      <t xml:space="preserve">
- NYK VEGA, (E7), ONE
- Moored 3/6, discharged 3/10
- have four detention Calendar free days to empty return the unit. Detention charge per day per container is USD $150 via ONE</t>
    </r>
  </si>
  <si>
    <t>YMMU6019253</t>
  </si>
  <si>
    <t>EN#2138257, INV#EXP/POP35575/109/21XII162, T/R, empty return 3/22
- NYK VEGA, (C15), YM
- Moored 3/6, discharged 3/8</t>
  </si>
  <si>
    <t>DFSU6241267</t>
  </si>
  <si>
    <t>RED PANAX GINSENG EXTRACT, ULTRA GINKGO PLUS, ULTRA JOINT HEALTH</t>
  </si>
  <si>
    <r>
      <rPr>
        <rFont val="Arial"/>
        <color rgb="FF000000"/>
        <sz val="11.0"/>
      </rPr>
      <t xml:space="preserve">3/4/2022
</t>
    </r>
    <r>
      <rPr>
        <rFont val="Arial"/>
        <color rgb="FF0000FF"/>
        <sz val="11.0"/>
      </rPr>
      <t>Pending Etrans invoice (per diem)</t>
    </r>
  </si>
  <si>
    <r>
      <rPr>
        <rFont val="Arial"/>
        <color rgb="FF000000"/>
        <sz val="11.0"/>
      </rPr>
      <t xml:space="preserve">EN#2138235, INV#AIT2108KFY, T/R, </t>
    </r>
    <r>
      <rPr>
        <rFont val="Arial"/>
        <color rgb="FF000000"/>
        <sz val="11.0"/>
      </rPr>
      <t>empty return 3/7</t>
    </r>
    <r>
      <rPr>
        <rFont val="Arial"/>
        <color rgb="FF000000"/>
        <sz val="11.0"/>
      </rPr>
      <t xml:space="preserve">
- CMA CGM ARGENTINA, (C7), COSCO
- have Maher Surcharge $150
- Moored 2/23, discharged 2/24
- Prepull 3/2, LFD 3/2, Pre-pull ($150), Storage ($50/day), Chassis ($40/day)</t>
    </r>
  </si>
  <si>
    <t>EITU1512710</t>
  </si>
  <si>
    <t>EN#2138141, INV#207/EXP/INV/XII/2021, OBL1/27
- TOLEDO TRIUMPH, (C3), EG
- Etrans no driver, Apex will deliver, has urgent DO fee
- Moored 3/1, discharged 3/1
- Delivered 3/7, LIVE</t>
  </si>
  <si>
    <t>CMAU8418917</t>
  </si>
  <si>
    <t>EN#2138473, INV#223/EXP/INV/XII/2021, OBL1/26, empty return 3/4
- CMA CGM T.ROOSEVELT, (E2), CMA
- Moored 2/28, discharged 3/2
- Delivered by Apex, Live unload</t>
  </si>
  <si>
    <t>CSNU6363472</t>
  </si>
  <si>
    <t>ORGANIC TEABAGS
D-13100N, D-13300N, D-14100N, D-15100N, D-16100N, D-18100N</t>
  </si>
  <si>
    <t>EN#2138995, INV#YD21-T26, T/R, empty return 3/8
- COSCO HIMALAYAS, (F15), COSCO
- Moored 2/26, discharged 3/1</t>
  </si>
  <si>
    <t>OOLU9827738</t>
  </si>
  <si>
    <t>EN#2138595, INV#AIT2148, T/R
- COSCO SAKURA, (E16), OOCL
- Etrans no driver, Apex will deliver, has urgent DO fee
- Moored 2/24, discharged 2/28
- Apex deliver, LIVE</t>
  </si>
  <si>
    <t>MSKU4397592</t>
  </si>
  <si>
    <t>EN#2138413, INV#SS2104041-H, T/R
- WIDE INDIA, (C16), MAEU
- Etrans no driver, Apex will deliver, has urgent DO fee
- Moored 2/23, discharged 2/23
- Delivered 2/28, LIVE, container leaked, damaged 27 cs</t>
  </si>
  <si>
    <t>HLXU8180702</t>
  </si>
  <si>
    <r>
      <rPr>
        <rFont val="Arial"/>
        <color rgb="FF000000"/>
        <sz val="11.0"/>
      </rPr>
      <t>3/1/2022</t>
    </r>
    <r>
      <rPr>
        <rFont val="Arial"/>
        <color rgb="FF000000"/>
        <sz val="11.0"/>
      </rPr>
      <t xml:space="preserve">
</t>
    </r>
    <r>
      <rPr>
        <rFont val="Arial"/>
        <color rgb="FF0000FF"/>
        <sz val="11.0"/>
      </rPr>
      <t>Pending Etrans invoice (per diem)</t>
    </r>
  </si>
  <si>
    <t>EN#2138731, INV#231/EXP/INV/XII/2021, OBL1/27, empty return 3/4
- YM WIDTH, (E17), Hapag
- Moored 2/23, discharged 2/24
- will have per diem
- 3/30 vendor will send 1 case for replacement of shortage in different container later, PO received in full</t>
  </si>
  <si>
    <t>TGBU9244425</t>
  </si>
  <si>
    <t>EN#2138645, INV#EII210001542, OBL1/27
- EDISON, (E4), EG
- Moored 2/23, discharged 2/25</t>
  </si>
  <si>
    <t>BEAU4801134</t>
  </si>
  <si>
    <t>EN#2138425, INV#222/EXP/INV/XII/2021, OBL1/27
- WAN HAI 522, (C20), WAN HAI
- 2/14 Etrans cannot pickup WAN HAI, need alternative trucker
- 2/15 Apex will deliver
- Moored 3/1, discharged 3/1
- Deliver 3/7 LIVE</t>
  </si>
  <si>
    <t>EGHU9102897</t>
  </si>
  <si>
    <r>
      <rPr>
        <rFont val="Arial"/>
        <color rgb="FF000000"/>
        <sz val="11.0"/>
      </rPr>
      <t xml:space="preserve">EN#2138316, INV#215/EXP/INV/XII/2021, OBL1/26, No GATEFEE (ETS), </t>
    </r>
    <r>
      <rPr>
        <rFont val="Arial"/>
        <color rgb="FF000000"/>
        <sz val="11.0"/>
      </rPr>
      <t>empty return 3/1</t>
    </r>
    <r>
      <rPr>
        <rFont val="Arial"/>
        <color rgb="FF000000"/>
        <sz val="11.0"/>
      </rPr>
      <t xml:space="preserve">
- EVER FUTURE, (C13), EG
- Moored 2/21, discharged 2/22</t>
    </r>
  </si>
  <si>
    <t>OCGU8044218</t>
  </si>
  <si>
    <t>EN#2139214, INV#POP36071, T/R, No GATEFEE (ETS), empty return 3/11
- EVER FUTURE, (F5), EG
- Moored 2/21, discharged 2/21
- container weight is 45,880lb, have additional heavy weight charge</t>
  </si>
  <si>
    <t>TGBU6958943</t>
  </si>
  <si>
    <r>
      <rPr>
        <rFont val="Arial"/>
        <color rgb="FF000000"/>
        <sz val="11.0"/>
      </rPr>
      <t xml:space="preserve">EN#2138144, INV#209/EXP/INV/XII/2021, OBL1/26, No GATEFEE (ETS), </t>
    </r>
    <r>
      <rPr>
        <rFont val="Arial"/>
        <color rgb="FF000000"/>
        <sz val="11.0"/>
      </rPr>
      <t>empty return 3/3</t>
    </r>
    <r>
      <rPr>
        <rFont val="Arial"/>
        <color rgb="FF000000"/>
        <sz val="11.0"/>
      </rPr>
      <t xml:space="preserve">
- EVER FUTURE, (C2), EG
- Moored 2/21, discharged 2/23</t>
    </r>
  </si>
  <si>
    <t>TRHU5235291</t>
  </si>
  <si>
    <r>
      <rPr>
        <rFont val="Arial"/>
        <color rgb="FF000000"/>
        <sz val="11.0"/>
      </rPr>
      <t>3/4/2022</t>
    </r>
    <r>
      <rPr>
        <rFont val="Arial"/>
        <color rgb="FF0000FF"/>
        <sz val="11.0"/>
      </rPr>
      <t xml:space="preserve">
Request chassis refund (EG)</t>
    </r>
  </si>
  <si>
    <t>EN#2138327, INV#213/EXP/INV/XII/2021, OBL1/27,  No GATEFEE (ETS), empty return 3/10
- EVER FUTURE, (C14), EG
- Moored 2/21, discharged 2/23
- no EG chassis available, use other chassis, have chassis usage
- when deliver TEMU7207818, driver respot TRHU5235291 to the loading dock, it will be additional charge of $40 + Fuel surcharge</t>
  </si>
  <si>
    <t>TGBU6890186</t>
  </si>
  <si>
    <r>
      <rPr>
        <rFont val="Arial"/>
        <color rgb="FF000000"/>
        <sz val="11.0"/>
      </rPr>
      <t>3/3/2022</t>
    </r>
    <r>
      <rPr>
        <rFont val="Arial"/>
        <color rgb="FF0000FF"/>
        <sz val="11.0"/>
      </rPr>
      <t xml:space="preserve">
Request chassis refund (EG)</t>
    </r>
  </si>
  <si>
    <t>EN#2138421, INV#224/EXP/INV/XII/2021, OBL1/27, No GATEFEE (ETS), empty return 3/8
- EVER FUTURE, (C19), EG
- Moored 2/21, discharged 2/22
- driver use BACP chassis, ask EG chassis refund
- Pier waiting was from 8:25-2:27pm additional 4hrs + chassis usage
- used BACP chassis</t>
  </si>
  <si>
    <t>EGHU9777165</t>
  </si>
  <si>
    <t>EN#2138143, INV#208/EXP/INV/XII/2021, OBL1/26, No GATEFEE (ETS), empty return 3/4
- EVER FUTURE, (C1), EG
- Moored 2/21, discharged 2/22</t>
  </si>
  <si>
    <t>OOCU8464884</t>
  </si>
  <si>
    <r>
      <rPr>
        <rFont val="Arial"/>
        <color rgb="FF000000"/>
        <sz val="11.0"/>
      </rPr>
      <t xml:space="preserve">2/25/22
</t>
    </r>
    <r>
      <rPr>
        <rFont val="Arial"/>
        <color rgb="FF0000FF"/>
        <sz val="11.0"/>
      </rPr>
      <t>Pending Etrans invoice (per diem)</t>
    </r>
  </si>
  <si>
    <r>
      <rPr>
        <rFont val="Arial"/>
        <color rgb="FF000000"/>
        <sz val="11.0"/>
      </rPr>
      <t xml:space="preserve">EN#2137435, INV#YD21-T24, T/R, </t>
    </r>
    <r>
      <rPr>
        <rFont val="Arial"/>
        <color rgb="FF000000"/>
        <sz val="11.0"/>
      </rPr>
      <t>empty return 3/1</t>
    </r>
    <r>
      <rPr>
        <rFont val="Arial"/>
        <color rgb="FF000000"/>
        <sz val="11.0"/>
      </rPr>
      <t xml:space="preserve">
- COSCO FORTUNE, (B11), COSCO
- Moored 2/19, discharged 2/19
- LFD 2/24, prepull 2/24, deliver 2/25</t>
    </r>
  </si>
  <si>
    <t>PAPER BOXES</t>
  </si>
  <si>
    <t>EN#K80-6015111-6, INV#2001001-22, T/R
- AIR CHINA CA601, (G18)
- To LAX 2/17, reroute to SFO 2/24</t>
  </si>
  <si>
    <t>MSMU6420840</t>
  </si>
  <si>
    <r>
      <rPr>
        <rFont val="Arial"/>
        <color rgb="FF000000"/>
        <sz val="11.0"/>
      </rPr>
      <t xml:space="preserve">PANAX GINSENG EXTRA, ULTRA JOINT EXTRA, INSTANT TEA CHINESE HERBAL
</t>
    </r>
    <r>
      <rPr>
        <rFont val="Arial"/>
        <color rgb="FF000000"/>
        <sz val="11.0"/>
      </rPr>
      <t>1 CASE POP T-SHIRT</t>
    </r>
  </si>
  <si>
    <t>EN#2136624, INV#DL-AIT2106KFY, T/R, GATEFEE2/17, empty return 3/15
- MSC DANIELA, (A5), MSC
- Moored 2/17, discharged 2/21
- 3/2 PCC deliver to PCC warehouse for custom exam
- 3/8 customs exam finished &amp; released, pending carrier equipment release
- 3/14 PCC custom released
- Empty picked up 3/2, empty return LFD 3/7, deliver 3/14, will have per diem (about $200/day)
- Benz pick up container from exam warehouse, have additional charge of $50
- Empty returned 3/15, ELFD 3/7, per diem around $2,000
- 3/23 MSC per diem only $150 ($25 x 6 days = $150)</t>
  </si>
  <si>
    <t>MEDU8228160</t>
  </si>
  <si>
    <t>RED PANAX GINSENG EXTRACT C-70121/C-70113, GINGKO BILOBA &amp; RED PANAX EXTRACT C-70310/70330, A-6201G INSTANT TEA HERBAL BULK</t>
  </si>
  <si>
    <t>EN#2137275, INV#DL-AIT2107KFY, T/R, GATEFEE2/10, empty return 3/1
- MSC DANIELA, (B4), MSC
- Moored 2/17, discharged 2/21
- pier waiting was from 11:40-1:51pm additional ½ hr
- per diem, empty return 3/1 (after ELFD 2/28)</t>
  </si>
  <si>
    <t>304
(LCL)</t>
  </si>
  <si>
    <t>CAIU4328427</t>
  </si>
  <si>
    <t>3/7/2022 (SF)</t>
  </si>
  <si>
    <t>EN#2139019, INV#CZ21S017, T/R
- CSCL YELLOW SEA, (E22), YM
- Moored 2/17, discharged 2/19, FCL picked up 2/23
- Discharged @ LA, forwarder transfer LCL to OAK, then GW deliver to OAK</t>
  </si>
  <si>
    <t>TGBU6303252</t>
  </si>
  <si>
    <t>EN#2138469, INV#112/EXP-POP35996/12/2021, T/R, empty return 3/7
- EVER LUCKY, (C22), EG
- Moored 2/17, discharged 2/20
- pull out by LFD and store in yard, additional drop and storage fee will apply
- picked up 2/25, LFD 2/25
- no chassis fee, but have per diem
- 5/18 per diem $260</t>
  </si>
  <si>
    <t>EISU8322805</t>
  </si>
  <si>
    <t>GINGER CHEWS 4 OZ (LEMON, LYCHEE, PEANUT)</t>
  </si>
  <si>
    <t>EN#2138468, INV#EXP/POP35612/114/21XII169, T/R
- EVER LUCKY, (C21), EG
- Moored 2/17, discharged 2/19
- Free replacement</t>
  </si>
  <si>
    <t>CAAU5774251</t>
  </si>
  <si>
    <t>EN#2138470, INV#EXP/POP35471/113/21XII168, T/R
- EVER LUCKY, (E1), EG
- 1/24 request Apex transload (LA port to NJ)
- 2/2 cancel Apex transload
- Moored 2/17, discharged 2/19</t>
  </si>
  <si>
    <t>TGBU4006194</t>
  </si>
  <si>
    <t>2/28/2022
Apex transload from LA port to NJ</t>
  </si>
  <si>
    <t>EN#2138605, INV#EXP/POP35657/115/21XII170, T/R
- EVER LUCKY, (E6), EG
- Moored 2/17, discharged 2/19
- Delivered 2/28, LIVE, 27 pallets
- chassis refunded ($80, revised EG invoice)</t>
  </si>
  <si>
    <t>CMAU4593146</t>
  </si>
  <si>
    <r>
      <rPr>
        <rFont val="Arial"/>
        <color rgb="FF000000"/>
        <sz val="11.0"/>
      </rPr>
      <t xml:space="preserve">EN#2138142, 210/EXP/INV/XII/2021, OBL1/27, </t>
    </r>
    <r>
      <rPr>
        <rFont val="Arial"/>
        <color rgb="FF000000"/>
        <sz val="11.0"/>
      </rPr>
      <t>empty return 3/1</t>
    </r>
    <r>
      <rPr>
        <rFont val="Arial"/>
        <color rgb="FF000000"/>
        <sz val="11.0"/>
      </rPr>
      <t xml:space="preserve">
- CMA CGM LEO, (C4), CMA
- Moored 2/16, discharged 2/18</t>
    </r>
  </si>
  <si>
    <t>TLLU4937140</t>
  </si>
  <si>
    <t>EN#2137935, INV#201/EXP/INV/XII/2021, OBL1/4, GATEFEE2/17, empty return 3/7
- ONE HAMBURG, (B18), YM
- Moored 2/17, discharged 2/16</t>
  </si>
  <si>
    <t>TEMU7207818</t>
  </si>
  <si>
    <r>
      <rPr>
        <rFont val="Arial"/>
        <color rgb="FF000000"/>
        <sz val="11.0"/>
      </rPr>
      <t xml:space="preserve">EN#2137893, INV#197/EXP/INV/XII/2021, OBL1/4, GATEFEE2/17, </t>
    </r>
    <r>
      <rPr>
        <rFont val="Arial"/>
        <color rgb="FF000000"/>
        <sz val="11.0"/>
      </rPr>
      <t>empty return 3/4</t>
    </r>
    <r>
      <rPr>
        <rFont val="Arial"/>
        <color rgb="FF000000"/>
        <sz val="11.0"/>
      </rPr>
      <t xml:space="preserve">
- ONE HAMBURG, (B15), ONE
- Moored 2/17, discharged 2/17</t>
    </r>
  </si>
  <si>
    <t>TEMU8567470</t>
  </si>
  <si>
    <r>
      <rPr>
        <rFont val="Arial"/>
        <color rgb="FF000000"/>
        <sz val="11.0"/>
      </rPr>
      <t xml:space="preserve">3/3/2022
</t>
    </r>
    <r>
      <rPr>
        <rFont val="Arial"/>
        <color rgb="FF0000FF"/>
        <sz val="11.0"/>
      </rPr>
      <t>Pending GW invoice (chassis)</t>
    </r>
  </si>
  <si>
    <t>EN#2137404, INV#95848, T/R
- MSC YASHI B, (B9), MSC
- Loaded on MSC ALESSIA 12/4, arrived Portugal 12/8, then changed to MSC YASHI B 12/16
- Discharged @ Portugal 12/9, pending MSC YASHI B 12/17
- Loaded on MSC YASHI B 12/19
- 1/27 Per JPC, no need Prop 65 labels on F-50143 &amp; F-50144
- At anchor @ Mexico offshore 1/24
- Moored 2/15, discharged 2/15</t>
  </si>
  <si>
    <t>OOLU9469038</t>
  </si>
  <si>
    <t>EN#2139022, INV#US-211201, OBL1/26
- ONE OLYMPUS, (F22), OOCL
- 2/14 submit GW the Seirogan labels (Sample PL# 5466247)
- Moored 2/12, discharged 2/16</t>
  </si>
  <si>
    <t>GAOU6415807</t>
  </si>
  <si>
    <t>EN#2138146, INV#211/EXP/INV/XII/2021, OBL1/27
- CMA CGM HERMES, (C5), EG
- Moored 2/12, discharged 2/13
- 2/15 Etrans no driver, Apex will deliver
- 2/17 LIVE unload</t>
  </si>
  <si>
    <t>CMAU4595010</t>
  </si>
  <si>
    <t>EN#2138419, INV#216/EXP/INV/XII/2021, OBL1/27
- CMA CGM HERMES, (C17), CMA
- Moored 2/12, discharged 2/13
- 2/15 Etrans no driver, Apex will deliver
- 2/17 LIVE unload</t>
  </si>
  <si>
    <t>GAOU6409830</t>
  </si>
  <si>
    <t>EN#2138525, INV#AIT2132, T/R
- BEIJING, (E11), EG
- Moored 2/11, discharged 2/12
- 2/15 Etrans no driver, Apex will deliver
- 2/16 Live unload</t>
  </si>
  <si>
    <t>EISU9982090</t>
  </si>
  <si>
    <t>GHC (D-04043)</t>
  </si>
  <si>
    <r>
      <rPr>
        <rFont val="Arial"/>
        <color rgb="FF000000"/>
        <sz val="11.0"/>
      </rPr>
      <t xml:space="preserve">EN#2138147, INV#AIT2131, T/R, </t>
    </r>
    <r>
      <rPr>
        <rFont val="Arial"/>
        <color rgb="FF000000"/>
        <sz val="11.0"/>
      </rPr>
      <t>empty return 2/15</t>
    </r>
    <r>
      <rPr>
        <rFont val="Arial"/>
        <color rgb="FF000000"/>
        <sz val="11.0"/>
      </rPr>
      <t xml:space="preserve">
- EVER LENIENT, (C6), EG
- have additional $150 Maher Surcharge
- Moored 2/9, discharged 2/9
- 2/14 received D-04043 instead of D-04011</t>
    </r>
  </si>
  <si>
    <t>FCIU9602328</t>
  </si>
  <si>
    <t>EN#2138772, INV#POP36136, T/R, empty return 3/1
- COSCO AZALEA, (F17), COSCO
- 2/7 Apex will deliver (Overweight)
- Moored 2/8, discharged 2/10
- 2/15 still on freight hold, LFD 2/16, subject to demurrage fee
- 2/18 pay demurrage ($330) &amp; extended dwell time fee ($45) through 2/18</t>
  </si>
  <si>
    <t>CMAU8551051</t>
  </si>
  <si>
    <t>GINGER CHEWS
4 OZ (LYCHEE,PEANUT)
1 LBS (LEMON, MANGO, LYCHEE, PEANUT)</t>
  </si>
  <si>
    <t>EN#2137906, INV#EXP/POP35781/105/21XII158, T/R
- CMA CGM T.JEFFERSON, (B19), CMA
- Moored 2/8, discharged 2/12</t>
  </si>
  <si>
    <t>OOCU7678388</t>
  </si>
  <si>
    <r>
      <rPr>
        <rFont val="Arial"/>
        <color rgb="FF000000"/>
        <sz val="11.0"/>
      </rPr>
      <t>GHC (D-04016)</t>
    </r>
    <r>
      <rPr>
        <rFont val="Arial"/>
        <color rgb="FF000000"/>
        <sz val="11.0"/>
      </rPr>
      <t xml:space="preserve"> RC Commerce</t>
    </r>
  </si>
  <si>
    <t>EN#2138431, INV#21NSS0315, T/R
- COSCO SHIPPING LOTUS, (E13), OOCL
- 2/1 FDA hold for exam
- 2/3 received FDA Action Notice 1
- Etrans has no driver for RC Commerce, Apex will deliver
- Moored 2/7, discharged 2/10
- 2/15 delivered &amp; inform GW/FDA for exam @ RC warehouse
- 2/24 FDA sampled, pending lab analysis
- 2/28 received FDA Action Notice 2
- 3/3 FDA lab test completed, reviewing the test result, expect complete 3/15
- 3/16 received FDA Action Notice 3, FDA released
- EN# K80-2138431-9</t>
  </si>
  <si>
    <t>CSNU8429542</t>
  </si>
  <si>
    <t>TEABAGS
D-13100N, D-13300N, D-14100N, D-15100N, D-16100N, D-18100N</t>
  </si>
  <si>
    <t>EN#2138130, INV#YD21-T25, T/R
- COSCO SHIPPING ROSE, (E9), COSCO
- Moored 2/7, discharged 2/10</t>
  </si>
  <si>
    <t>CMAU8698464</t>
  </si>
  <si>
    <t>GHC  (D-04043)</t>
  </si>
  <si>
    <r>
      <rPr>
        <rFont val="Arial"/>
        <color rgb="FF000000"/>
        <sz val="11.0"/>
      </rPr>
      <t xml:space="preserve">EN#2138992, INV#AIT2141, T/R, GATEFEE2/14, </t>
    </r>
    <r>
      <rPr>
        <rFont val="Arial"/>
        <color rgb="FF000000"/>
        <sz val="11.0"/>
      </rPr>
      <t>empty return 3/2</t>
    </r>
    <r>
      <rPr>
        <rFont val="Arial"/>
        <color rgb="FF000000"/>
        <sz val="11.0"/>
      </rPr>
      <t xml:space="preserve">
- CMA CGM MEDEA, (F19), CMA
- Moored 2/15, discharged 2/20</t>
    </r>
  </si>
  <si>
    <t>EGHU9779471</t>
  </si>
  <si>
    <r>
      <rPr>
        <rFont val="Arial"/>
        <color rgb="FF000000"/>
        <sz val="11.0"/>
      </rPr>
      <t>2/18/2022
Apex transload from LA port to NJ</t>
    </r>
    <r>
      <rPr>
        <rFont val="Arial"/>
        <color rgb="FF0000FF"/>
        <sz val="11.0"/>
      </rPr>
      <t xml:space="preserve">
Pending chassis refund (EG)</t>
    </r>
  </si>
  <si>
    <t>EN#2138315, INV#214/EXP/INV/XII/2021, OBL1/27
-  EVER SIGMA, (C11), EG
- Apex transload from LA port to NJ
- Moored 2/5, discharged 2/6, pickup 2/10
- LIVE unload, 27 pallets</t>
  </si>
  <si>
    <t>TGBU8673960</t>
  </si>
  <si>
    <t>GINGER CHEWS 4 OZ (ORANGE, LYCHEE, PEANUT)</t>
  </si>
  <si>
    <t>EN#2138261, INV#EXP/POP35660/108/21XII161, T/R, empty return 2/11
- EVER SIGMA, (C10), EG
- 1/24 request Apex transload (LA port to NJ)
- 2/2 cancel Apex transload</t>
  </si>
  <si>
    <t>TRHU4625973</t>
  </si>
  <si>
    <r>
      <rPr>
        <rFont val="Arial"/>
        <color rgb="FF000000"/>
        <sz val="11.0"/>
      </rPr>
      <t>2/18/2022
Apex transload from LA port to NJ</t>
    </r>
    <r>
      <rPr>
        <rFont val="Arial"/>
        <color rgb="FF0000FF"/>
        <sz val="11.0"/>
      </rPr>
      <t xml:space="preserve">
Pending chassis refund (EG)</t>
    </r>
  </si>
  <si>
    <t>EN#2138258, INV#EXP/POP35713/107/21XII160, T/R
- EVER SIGMA, (C9), EG
- Apex transload from LA port to NJ
- Moored 2/5, discharged 2/6, pickup 2/10
- LIVE unload, 27 pallets</t>
  </si>
  <si>
    <t>CAAU5754240</t>
  </si>
  <si>
    <t>TEA LATTE, THAI TEA</t>
  </si>
  <si>
    <t>EN#2137403, INV#EII210001344, OBL12/8
- EVER SIGMA, (B8), EG</t>
  </si>
  <si>
    <t>FDCU0374530</t>
  </si>
  <si>
    <t>EN#2137861, INV#PO36026, T/R
- SEASPAN ADONIS, (B16), ONE, empty return 3/8
- 1/31 overweight, need alternative trucker (Apex)
- Container FDCU0374530: 22,670 kg = 49,978 lbs
- Legal weight for 40HC: 44,000 lbs
- Overweight: 49,978 - 44,000 = 5,978 lbs
- Moored 2/2, discharged 2/9
- LFD 2/19, no chassis for pickup 2/19 &amp; 2/23, demurrage apply
- LFD 2/19, Apex pay demurrage $940 (through $940), $1400 (through 2/28)</t>
  </si>
  <si>
    <r>
      <rPr>
        <rFont val="Arial"/>
        <color rgb="FF1155CC"/>
        <sz val="11.0"/>
        <u/>
      </rPr>
      <t>36336</t>
    </r>
    <r>
      <rPr>
        <rFont val="Arial"/>
        <color rgb="FF1155CC"/>
        <sz val="11.0"/>
        <u/>
      </rPr>
      <t xml:space="preserve">  
36337</t>
    </r>
  </si>
  <si>
    <t>930
1260</t>
  </si>
  <si>
    <t>GLDU0857442
BEAU5820000</t>
  </si>
  <si>
    <t xml:space="preserve">GHC
(D-04016, GLDU0857442, Apex deliver to RC Commerce)
(D-04037, BEAU5820000, Etrans deliver to NJ warehouse) 
</t>
  </si>
  <si>
    <t>2/10/2022 (RC)
2/10/2022 (NJ)</t>
  </si>
  <si>
    <t>EN#2138138, INV#AIT2133, AIT2137, T/R
- GERDA MAERSK, (E12), MSC
- have $150 APM surcharge
- Apex deliver GLDU0857442 to RC (LIVE)
- Etrans deliver BEAU5820000 to NJ</t>
  </si>
  <si>
    <t>$64,128
$52,315.80</t>
  </si>
  <si>
    <t>MSDU8892285</t>
  </si>
  <si>
    <r>
      <rPr>
        <rFont val="Arial"/>
        <color rgb="FF000000"/>
        <sz val="11.0"/>
      </rPr>
      <t xml:space="preserve">GINGER COCONUT </t>
    </r>
    <r>
      <rPr>
        <rFont val="Arial"/>
        <color rgb="FF000000"/>
        <sz val="11.0"/>
      </rPr>
      <t>(D-04046N)</t>
    </r>
  </si>
  <si>
    <r>
      <rPr>
        <rFont val="Arial"/>
        <color rgb="FF000000"/>
        <sz val="11.0"/>
      </rPr>
      <t xml:space="preserve">EN#2138596, INV#AIT2142, T/R, </t>
    </r>
    <r>
      <rPr>
        <rFont val="Arial"/>
        <color rgb="FF000000"/>
        <sz val="11.0"/>
      </rPr>
      <t>empty return 2/12</t>
    </r>
    <r>
      <rPr>
        <rFont val="Arial"/>
        <color rgb="FF000000"/>
        <sz val="11.0"/>
      </rPr>
      <t xml:space="preserve">
- GERDA MAERSK, (E15), MSC
- have additional $150 APM surcharge</t>
    </r>
  </si>
  <si>
    <t>35891
35892</t>
  </si>
  <si>
    <t>900
855</t>
  </si>
  <si>
    <t>TCLU5972282</t>
  </si>
  <si>
    <t>EN#2138747, INV#94058392, 94058391, No PL, T/R
- TORRENTE, (E10), ONE
- correct container# is TCLU5972282, not TCIU5972282
- have additional $150 Maher Surcharge
-Door move by ONE, using Etrans
- Moored 2/14, discharged 2/16
- LFD 2/22, prepull 2/22, deliver 2/23 (Drop)
- 3/11 ONE provide Form W-8</t>
  </si>
  <si>
    <t>$19,084.86
$18,130.62</t>
  </si>
  <si>
    <t>TCLU1767417</t>
  </si>
  <si>
    <t>ORGANIC TEABAGS
D-13220N, D-14200N, D-15200N, D-15220N, D-17200N, D-18220N, D-19200N, D-60021B, PACKING</t>
  </si>
  <si>
    <t>EN#2138233, INV#YD21-T16, T/R, empty return 2/11
- OOCL BANGKOK, (C8), COSCO
- 2/8 no enough driver, reschedule 2/9</t>
  </si>
  <si>
    <t>CGMU5467407</t>
  </si>
  <si>
    <t>GINGER COCONUT (D-04046N)</t>
  </si>
  <si>
    <t>EN#2138940, INV#AIT2143, T/R, GATEFEE1/31, empty return 2/22
- APL SANTIAGO, (F10), CMA
- Moored 1/30, discharged 2/6
- Pier waiting was from 11:33-2:18pm additional 1hr
- ELFD 2/18, empty pickup after 2/18, per diem apply
- Driver bob tail from Oakland to picked up this empty
- additional charge of $ 75 for split return each chassis</t>
  </si>
  <si>
    <t>TRIU8620356</t>
  </si>
  <si>
    <r>
      <rPr>
        <rFont val="Arial"/>
        <color rgb="FF000000"/>
        <sz val="11.0"/>
      </rPr>
      <t xml:space="preserve">GHC, </t>
    </r>
    <r>
      <rPr>
        <rFont val="Arial"/>
        <color rgb="FF000000"/>
        <sz val="11.0"/>
      </rPr>
      <t>PAPER BOXES (D-Fense 1)</t>
    </r>
  </si>
  <si>
    <t>EN#2138941, INV#AIT2138, T/R, GATEFEE1/31, empty return 2/17
- APL SANTIAGO, (F9), CMA
- Moored 1/30, discharged 2/10
- Pier waiting was from 10:08-3:55pm additional 4hrs
- TRIU8620356 returned to Conglobal 2/17 and the chassis was returned SSA terminal, split chassis $75</t>
  </si>
  <si>
    <t>CGMU5049541</t>
  </si>
  <si>
    <t>EN#2138604, INV#AIT2201, T/R, GATEFEE1/31, empty return 2/25
- APL SANTIAGO, (F12), CMA
- Moored 1/30, discharged 2/6
- Driver get chassis around 2pm, out gate 4pm, so deliver 2/23
- additional charge of $ 75 for split return each chassis</t>
  </si>
  <si>
    <t>CGMU9315948</t>
  </si>
  <si>
    <t>GHC (D-04061),INSTANT TEA CHINESE HERBAL BULK</t>
  </si>
  <si>
    <r>
      <rPr>
        <rFont val="Arial"/>
        <color rgb="FF000000"/>
        <sz val="11.0"/>
      </rPr>
      <t xml:space="preserve">2/17/2022
</t>
    </r>
    <r>
      <rPr>
        <rFont val="Arial"/>
        <color rgb="FFFF0000"/>
        <sz val="11.0"/>
      </rPr>
      <t>Pending CMA invoice (detention proof, CEVA)
Pending detention refund ($345 + $25?) (Benz)</t>
    </r>
  </si>
  <si>
    <t>EN#2138942, INV#AIT2134, T/R, GATEFEE1/31, empty return 2/23
- APL SANTIAGO, (F8), CMA
- Moored 1/30, discharged 2/6
- additional charge of $ 75 for split return each chassis
- empty pickup 2/23, ELFD 2/21, per diem apply
- 3/12/22 CEVA detention invoice 25746648 - $750
- 3/31 Benz will refund detention ($345 + $25?)</t>
  </si>
  <si>
    <t>SEKU9069892</t>
  </si>
  <si>
    <t xml:space="preserve">                  </t>
  </si>
  <si>
    <t>EN#2138939, INV#AIT2144, T/R, GATEFEE1/31, empty return 2/17
- APL SANTIAGO, (F11), CMA
- Moored 1/30, discharged 2/10
- 2/17 waiting (1.5 hr) for empty pickup, when deliver CGMU9315948
- additional charge of $ 75 for split return each chassis</t>
  </si>
  <si>
    <t>ON KEE Paper Packing Boxes</t>
  </si>
  <si>
    <t>EN#6014876, INV#20220127, T/R
- ATLAS AIR, (G5)
- pallet charge - $40</t>
  </si>
  <si>
    <t>TRHU7784979</t>
  </si>
  <si>
    <t>GINGER CHEWS 4 OZ (LEMON, MANGO)</t>
  </si>
  <si>
    <r>
      <rPr>
        <rFont val="Arial"/>
        <color rgb="FF000000"/>
        <sz val="11.0"/>
      </rPr>
      <t xml:space="preserve">EN#2136518, INV#EXP/POP35611/092/21X138, T/R, No GATEFEE (ETS), </t>
    </r>
    <r>
      <rPr>
        <rFont val="Arial"/>
        <color rgb="FF000000"/>
        <sz val="11.0"/>
      </rPr>
      <t>empty return 2/7</t>
    </r>
    <r>
      <rPr>
        <rFont val="Arial"/>
        <color rgb="FF000000"/>
        <sz val="11.0"/>
      </rPr>
      <t xml:space="preserve">
- EVER FEAT, (D21), EG</t>
    </r>
  </si>
  <si>
    <t>35600
35601</t>
  </si>
  <si>
    <t>TRLU7454229</t>
  </si>
  <si>
    <t>EN#2138437, INV#94052919, 94052918, No PL, T/R, LIVE 8:35-9am
- CAPE PIONEER, (E5), ONE
- Door move by ONE (use Etrans)
- have additional $150 Maher Surcharge
- Moored 2/9, discharged 2/9</t>
  </si>
  <si>
    <t>$19,084.86
$19,084.86</t>
  </si>
  <si>
    <t>EITU9200240</t>
  </si>
  <si>
    <t>EN#2137174, INV#173/EXP/INV/XI/2021, OBL12/1, empty return 2/1
- TOKYO TRIUMPH, (A17), EG
- have additional $150 Maher Surcharge</t>
  </si>
  <si>
    <t>EITU1107770</t>
  </si>
  <si>
    <t xml:space="preserve">EN#2137175, INV#176/EXP/INV/XI/2021, OBL12/1, empty return 2/3
- TOKYO TRIUMPH, (A16), EG
- have additional $150 Maher Surcharge
- have additional surcharge for Empty Pick-up ($355 + 42% Fuel)  </t>
  </si>
  <si>
    <t>TEMU8243430</t>
  </si>
  <si>
    <t>EN#2138061, INV#202/EXP/INV/XII/2021, OBL1/4, empty return 1/31 (no terminal appt)
- CMA CGM J. ADAMS, (B21), CMA
- APM surcharge $150</t>
  </si>
  <si>
    <t>TRHU4538098</t>
  </si>
  <si>
    <t>PANAX GINSENG EXTRA, RED GINSENG ROYAL JELLY, GOJI ON THE GO</t>
  </si>
  <si>
    <t>EN#2137191, INV#2021TAT05, T/R
- GEORGE WASHINGTON BR, (A19), MAEU
- 1/17 -Overweight, Etrans cancel DO, need alternative trucker
- 1/18 Apex will deliver, LIVE unload
- Live unload 8:25-10:20am</t>
  </si>
  <si>
    <t>EISU8203616</t>
  </si>
  <si>
    <t>GINGER CHEW 4 OZ (LEMON, MANGO)</t>
  </si>
  <si>
    <r>
      <rPr>
        <rFont val="Arial"/>
        <color rgb="FF000000"/>
        <sz val="11.0"/>
      </rPr>
      <t>2/7/2022
Apex transload from LA port to NJ</t>
    </r>
    <r>
      <rPr>
        <rFont val="Arial"/>
        <color rgb="FF0000FF"/>
        <sz val="11.0"/>
      </rPr>
      <t xml:space="preserve">
Request chassis refund (EG)</t>
    </r>
  </si>
  <si>
    <t>EN#2137199, INV#EXP/POP35661/098/21XI146, T/R
- EVER LYRIC, (A20), EG
- Apex transload from LA port to NJ, Live unload
- Discharged 1/22, delivered to Apex warehouse 1/27, delivered to NJ 2/2
- 2/2 delivery cancel due to mechanical issue
- Per Apex invoice, transload pallet = 27
- Apex invoice, devanning charge revised from $600 to $550 (credit $50)</t>
  </si>
  <si>
    <t>EISU8351167</t>
  </si>
  <si>
    <t>EN#2137173, INV#EXP/POP35708/100/21XI148, T/R
- EVER LYRIC, (A15), EG</t>
  </si>
  <si>
    <t>GAOU6470609</t>
  </si>
  <si>
    <t>GINGER CHEW PLUS+ 3 OZ
(ORIGINAL, LEMON)</t>
  </si>
  <si>
    <r>
      <rPr>
        <rFont val="Arial"/>
        <color rgb="FF000000"/>
        <sz val="11.0"/>
      </rPr>
      <t xml:space="preserve">1/31/2022
Apex transload from LA port to NJ
</t>
    </r>
    <r>
      <rPr>
        <rFont val="Arial"/>
        <color rgb="FF0000FF"/>
        <sz val="11.0"/>
      </rPr>
      <t>Request chassis refund (EG)</t>
    </r>
  </si>
  <si>
    <t>EN#2137200, INV#EXP/POP35585/099/21XI147, T/R
- EVER LYRIC, (A21), EG
- Apex transload from LA port to NJ, Live unload
- Discharged 1/22, delivered to Apex warehouse 1/26, delivered to NJ 1/31
- Per Apex invoice, transload pallet = 27
- Apex invoice, devanning charge revised from $600 to $550 (credit $50)
- GW did not pay pier pass, so no pier pass charge</t>
  </si>
  <si>
    <t>35716
35762</t>
  </si>
  <si>
    <t>TGBU8637876
TGBU4517574</t>
  </si>
  <si>
    <t>1/26/2022
1/26/2022</t>
  </si>
  <si>
    <t>EN#2137162, INV#EII210001276/1277, OBL12/3
- EVER LYRIC, (A14), EG</t>
  </si>
  <si>
    <t>$44,600.80
$57,508</t>
  </si>
  <si>
    <t>35932
35714
NS3610</t>
  </si>
  <si>
    <t>TEMU3725104</t>
  </si>
  <si>
    <t>BAK FOONG PILLS, DRIED SOUP MIX, FACE MASKS</t>
  </si>
  <si>
    <t>EN#2137401, INV#10122021-1, 10122021-2, 10122021-3, T/R, No GATEFEE (ETS), empty return 2/3
- EVER FAME, (B7), COSCO
- face masks are not surgical mask, no FDA submission is required
- customs exam (Bak Foong Pills for Antler)
- additional charge of $125+ FS for move container to exam warehouse
- 1/25 Pier waiting was from 7:48-10am additional1.5 hr, from ETS to drop off at PCC
- Discharged 1/21, delivered to customs exam 1/27, completed exam 1/26, delivered 1/28
- per diem $500 (1/25-2/3)</t>
  </si>
  <si>
    <t>$22,068
$49,500
$8,383</t>
  </si>
  <si>
    <t>EGHU8210860</t>
  </si>
  <si>
    <t xml:space="preserve">EN#2138644, INV#EII210001498, OBL1/11, empty return 1/22
- CMA CGM THALASSA, (E3), EG
- have $150 APM Surcharge
- empty pickup with additional charge ($355 + 42% Fuel)
- </t>
  </si>
  <si>
    <t>EN#9033469, INV#20220111, T/R
- F3
- Cargolux CV4316
- 1/21 Invoice revised from $8,395.82 to $2,530, so duty reduced from $2,128.08 to $660.25</t>
  </si>
  <si>
    <t>EN#9033470, INV#CZ21S017, T/R
- F2
-1/13 FDA request photos of products label</t>
  </si>
  <si>
    <t>EN#9033471, INV#CZ21S017, T/R
- F1
- Two GW trucking invoices (Invoice 9033471 &amp; 9033471-A)</t>
  </si>
  <si>
    <t>TGBU4007647</t>
  </si>
  <si>
    <r>
      <rPr>
        <rFont val="Arial"/>
        <color rgb="FF000000"/>
        <sz val="11.0"/>
      </rPr>
      <t xml:space="preserve">EN#2136670, INV#170/EXP/INV/X/2021, OBL11/24, </t>
    </r>
    <r>
      <rPr>
        <rFont val="Arial"/>
        <color rgb="FF000000"/>
        <sz val="11.0"/>
      </rPr>
      <t>empty return 1/19</t>
    </r>
    <r>
      <rPr>
        <rFont val="Arial"/>
        <color rgb="FF000000"/>
        <sz val="11.0"/>
      </rPr>
      <t xml:space="preserve">
- CMA CGM JULES VERNE, (A6), EG
- have additional $150 APM Surcharge</t>
    </r>
  </si>
  <si>
    <t>EISU8242079</t>
  </si>
  <si>
    <t>EN#2137243, INV#21NSS0314, T/R, empty return 1/20
- COSCO DEVELOPMENT, (B2), EG
- freight still hold at the terminal on LFD 1/13, GW advance demurrage thru 1/14</t>
  </si>
  <si>
    <t>EGHU8317798</t>
  </si>
  <si>
    <t>GINGER CHEWS
4 OZ (LEMON, LYCHEE, PEANUT, ORANGE, MANGO)
1 LBS (LYCHEE, PEANUT)</t>
  </si>
  <si>
    <r>
      <rPr>
        <rFont val="Arial"/>
        <color rgb="FF000000"/>
        <sz val="11.0"/>
      </rPr>
      <t xml:space="preserve">EN#2137242, INV#EXP/POP35615/101/21XI149, T/R, </t>
    </r>
    <r>
      <rPr>
        <rFont val="Arial"/>
        <color rgb="FF000000"/>
        <sz val="11.0"/>
      </rPr>
      <t>empty return 1/13</t>
    </r>
    <r>
      <rPr>
        <rFont val="Arial"/>
        <color rgb="FF000000"/>
        <sz val="11.0"/>
      </rPr>
      <t xml:space="preserve">
- CMA CGM JULES VERNE, (B1), EG
- have additional $150 APM Surcharge</t>
    </r>
  </si>
  <si>
    <t>TLLU5395002</t>
  </si>
  <si>
    <r>
      <rPr>
        <rFont val="Arial"/>
        <color rgb="FF000000"/>
        <sz val="11.0"/>
      </rPr>
      <t xml:space="preserve">EN#2137755, INV#196/EXP/INV/XI/2021, OBL12/30, </t>
    </r>
    <r>
      <rPr>
        <rFont val="Arial"/>
        <color rgb="FF000000"/>
        <sz val="11.0"/>
      </rPr>
      <t>empty return 1/19</t>
    </r>
    <r>
      <rPr>
        <rFont val="Arial"/>
        <color rgb="FF000000"/>
        <sz val="11.0"/>
      </rPr>
      <t xml:space="preserve">
- ONE HANGZHOU BAY, (B13), Hapag-Lloyd
- have additional $200 GCT Bayonne Surcharge
- Moored UTC 1/10, PST 1/9
-  freight invoice prepaid</t>
    </r>
  </si>
  <si>
    <t>TCNU1781840</t>
  </si>
  <si>
    <t>ORGANIC TEABAGS
D-13220N, D-14200N, D-15200N, D-17200N, D-18220N</t>
  </si>
  <si>
    <r>
      <rPr>
        <rFont val="Arial"/>
        <color rgb="FF000000"/>
        <sz val="11.0"/>
      </rPr>
      <t xml:space="preserve">EN#2137190, INV#YD21-T14, T/R, </t>
    </r>
    <r>
      <rPr>
        <rFont val="Arial"/>
        <color rgb="FF000000"/>
        <sz val="11.0"/>
      </rPr>
      <t>empty return 1/12</t>
    </r>
    <r>
      <rPr>
        <rFont val="Arial"/>
        <color rgb="FF000000"/>
        <sz val="11.0"/>
      </rPr>
      <t xml:space="preserve">
- COSCO JASMINE, (A18), EG
-  have additional $150 Maher Surcharge</t>
    </r>
  </si>
  <si>
    <t>NYKU0758026</t>
  </si>
  <si>
    <t>EN#2137434, INV#DL-AIT2129, T/R
- HYUNDAI HONOUR, (B10), ONE
- have additional $200 GCT Bayonne Surcharge</t>
  </si>
  <si>
    <t>UACU8339507</t>
  </si>
  <si>
    <t>EN#2135878, INV#94035, T/R, GATEFEE1/13, empty return 1/26
- NYK DENEB, (D4), Hapag Lloyd
- change Live unload to Drop only
- Need Prop 65 labels on F-50143 &amp; F-50144</t>
  </si>
  <si>
    <t>BEAU5026577</t>
  </si>
  <si>
    <t>EN#2137623, INV#AIT2127, T/R
- EVER LOYAL, (B14), EG
- 1/12 no driver, rescheduled delivery 1/13
- per diem $130</t>
  </si>
  <si>
    <t>FCIU7360077</t>
  </si>
  <si>
    <r>
      <rPr>
        <rFont val="Arial"/>
        <color theme="1"/>
        <sz val="11.0"/>
      </rPr>
      <t xml:space="preserve">1/6/2022
</t>
    </r>
    <r>
      <rPr>
        <rFont val="Arial"/>
        <color rgb="FF0000FF"/>
        <sz val="11.0"/>
      </rPr>
      <t>Pending Etrans invoice (per diems)</t>
    </r>
  </si>
  <si>
    <t>EN#2137630, INV#AIT2125, T/R, empty return 1/11
- MSC BREMEN, (B12), MSC
- calling PNCT and will have additional $150 terminal surcharge
- have Empty Pick-up surcharge ($355 + 42% Fuel)</t>
  </si>
  <si>
    <t>CMAU7101996</t>
  </si>
  <si>
    <t>GHC, INSTANT TEA CHINESE HERBAL BULK</t>
  </si>
  <si>
    <t>EN#2137895, INV#DL-AIT2130, T/R, GATEFEE12/27, empty return 1/19
- CMA CGM LOIRE, (B20), CMA CGM
- 1/11 pickup appointment cancelled by terminal, will have additional attempt charge
- 1/11 driver checked in at 8:40am was out no pick up due to system shows the appointment was cancelled by terminal, so additional charge of $75+FS</t>
  </si>
  <si>
    <t>TLLU7780034</t>
  </si>
  <si>
    <t xml:space="preserve">EN#2137888, INV#AIT2135, T/R, GATEFEE12/27, empty return 1/10
- CMA CGM LOIRE, (B17), CMA CGM
- prepull 1/4, deliver 1/5
- deliver 1/5, but no temp to unload
- Pier waiting was from 9:23-4:15pm additional 5hrs + pre-pull charge + yard parking + split return chassis
- 5hrs pier waiting $300 + pre-pull $90+ FS + 2 days yard parking 2X$40 + split return chassis $75)
- Days 5-7  $160-$170 each day, Days 8-10 $210-$220
- empty return 1/10, CLFD 1/6, per diem applied
</t>
  </si>
  <si>
    <t>TCLU3552130</t>
  </si>
  <si>
    <t>SOAP (S-06011 / S-06021 / S-06031)</t>
  </si>
  <si>
    <t>EN#2137265, INV#SS2104040-H, T/R
- EVER LINKING, (B3), EG
- Port of discharge switch from OAK to LA</t>
  </si>
  <si>
    <t>CSLU6182287</t>
  </si>
  <si>
    <t xml:space="preserve">EN#2136748, INV#DL-AIT2121, T/R
- COSCO AMERICA, (A8), COSCO
- 12/17 CET exam, paid fee $300, CET = Contraband Enforcement Team
- 1/4 first customs exam completed
- 1/5 paid further customs exam fee (Extended Dwell Time Fee $75)
- 1/6 paid second Extended Dwell Time Fee $75
- 1/10 second customs exam completed, customs released
</t>
  </si>
  <si>
    <t>WHSU2672504</t>
  </si>
  <si>
    <t>TEAS
D-60011B, D-60012B, D-60013B, D-60014B, D-60015B, D-60017B, D-60023B, PACKING</t>
  </si>
  <si>
    <r>
      <rPr>
        <rFont val="Arial"/>
        <color rgb="FF000000"/>
        <sz val="11.0"/>
      </rPr>
      <t xml:space="preserve">1/17/2022 (LA)
1/24/2022 (SF)
</t>
    </r>
    <r>
      <rPr>
        <rFont val="Arial"/>
        <color rgb="FFFF0000"/>
        <sz val="11.0"/>
      </rPr>
      <t>Pending Troy refund? (chassis, chassis split &amp; port congestion, $580) - inform VW</t>
    </r>
  </si>
  <si>
    <t>EN#2136726, INV#21TM070, OBL11/29, empty return 1/26
- JEJU ISLAND, (A9), WAN HAI
- Sending OBL instead T/R
- At anchor @ offshore 11/18, at anchor 12/6, at anchor @ offshore 12/14, at anchor 12/22
- Moored 1/7, discharged 1/9
- 1/13 GW &amp; POP duplicate payment for Troy invoice 735613, GW will void GW invoice 2136726-A
- empty return 1/26, per diem $125</t>
  </si>
  <si>
    <t>GAOU6601870</t>
  </si>
  <si>
    <t>EN#2135292, INV#93442, T/R, GATEFEE12/30, Live unload
- NYK REMUS, (C4), ONE
- Need Prop 65 labels on F-50143 &amp; F-50144 (will put label when transfer reach LA)</t>
  </si>
  <si>
    <t>FDA Release Notification</t>
  </si>
  <si>
    <t xml:space="preserve"> Date</t>
  </si>
  <si>
    <t>TGBU9933379</t>
  </si>
  <si>
    <t>GINGER CHEWS 8 OZ (LYCHEE, BLOOD ORANGE)</t>
  </si>
  <si>
    <t>Recall</t>
  </si>
  <si>
    <r>
      <rPr>
        <rFont val="Arial"/>
        <b/>
        <color rgb="FF0000FF"/>
        <sz val="11.0"/>
      </rPr>
      <t>Recalled 12/15
Replacement EMCU1764232</t>
    </r>
    <r>
      <rPr>
        <rFont val="Arial"/>
        <b/>
        <color rgb="FF0000FF"/>
        <sz val="11.0"/>
      </rPr>
      <t xml:space="preserve">
Received PO (L11)</t>
    </r>
  </si>
  <si>
    <r>
      <rPr>
        <rFont val="Arial"/>
        <strike/>
        <color rgb="FF000000"/>
        <sz val="11.0"/>
      </rPr>
      <t xml:space="preserve">EN#2155065, INV#104/EXP-POP38356/11/2023, T/R, </t>
    </r>
    <r>
      <rPr>
        <rFont val="Arial"/>
        <strike/>
        <color rgb="FF000000"/>
        <sz val="11.0"/>
      </rPr>
      <t>GATEFEE</t>
    </r>
    <r>
      <rPr>
        <rFont val="Arial"/>
        <strike/>
        <color rgb="FF000000"/>
        <sz val="11.0"/>
      </rPr>
      <t xml:space="preserve">
</t>
    </r>
    <r>
      <rPr>
        <rFont val="Arial"/>
        <strike/>
        <color rgb="FF000000"/>
        <sz val="11.0"/>
      </rPr>
      <t xml:space="preserve">- ?, </t>
    </r>
    <r>
      <rPr>
        <rFont val="Arial"/>
        <strike/>
        <color rgb="FF000000"/>
        <sz val="11.0"/>
      </rPr>
      <t>(L11), EG</t>
    </r>
  </si>
  <si>
    <t>EMCU8527335</t>
  </si>
  <si>
    <t>GINGER CHEWS 4 OZ (MANGO, PINEAPPLE COCNUT)</t>
  </si>
  <si>
    <r>
      <rPr>
        <rFont val="Arial"/>
        <b/>
        <color rgb="FF0000FF"/>
        <sz val="11.0"/>
      </rPr>
      <t>Recalled 12/5
Replacement SKIU9098169</t>
    </r>
    <r>
      <rPr>
        <rFont val="Arial"/>
        <b/>
        <color rgb="FFFF0000"/>
        <sz val="11.0"/>
      </rPr>
      <t xml:space="preserve">
</t>
    </r>
    <r>
      <rPr>
        <rFont val="Arial"/>
        <b/>
        <color rgb="FF0000FF"/>
        <sz val="11.0"/>
      </rPr>
      <t>Received PO (L7)</t>
    </r>
  </si>
  <si>
    <r>
      <rPr>
        <rFont val="Arial"/>
        <strike/>
        <color rgb="FF000000"/>
        <sz val="11.0"/>
      </rPr>
      <t xml:space="preserve">EN#2155067, INV#103/EXP-POP38355/11/2023, T/R
</t>
    </r>
    <r>
      <rPr>
        <rFont val="Arial"/>
        <strike/>
        <color rgb="FF000000"/>
        <sz val="11.0"/>
      </rPr>
      <t>- EVER FAVOR?</t>
    </r>
    <r>
      <rPr>
        <rFont val="Arial"/>
        <strike/>
        <color rgb="FF000000"/>
        <sz val="11.0"/>
      </rPr>
      <t>, (L7), EG
- origin office requests this shipment return back to Surabaya, Indonesia
- recalled 12/5
- GW will not clear shipment</t>
    </r>
  </si>
  <si>
    <t>EMCU8882685</t>
  </si>
  <si>
    <t>QC#13171</t>
  </si>
  <si>
    <t>EN#2154885, INV#199/EXP/INV/XI/2023, T/R, GATEFEE12/27, empty return 1/11
- EVER FAVOR, (L2), EG
- Moored 1/2, discharged 1/2, LFD 1/8
- Prepull 1/8, rescheduled 1/9, due to traffic
- pre-pull + yard parking + container back to Oakland yard+ chassis fee
- not Evergreen chassis
- print screen info
- For container back to Oakland yard,   we will charge $ 75-run Oakland
- EG/GW issue chassis refund</t>
  </si>
  <si>
    <t>CSNU7591918</t>
  </si>
  <si>
    <t>MEI-XIN</t>
  </si>
  <si>
    <t>EN#5133210, INV#SH00013500/SI00010398, T/R, empty return 1/11
- TAIPEI TRIUMPH, (K22), OOCL
- have additional $150 Maher Surcharge
- Moored 12/30, discharged 1/2, LFD 1/8</t>
  </si>
  <si>
    <t>EITU9186585</t>
  </si>
  <si>
    <t>GINGER CHEWS 4 OZ (LEMON, BLOOD ORANGE)</t>
  </si>
  <si>
    <t>EN#2154643, INV#100/EXP-POP38352/11/2023, T/R, empty return 1/5
- CMA CGM T.JEFFERSON, (K18), EG
- have additional $150 APM Surcharge
- Moored 12/29, discharged 12/29, LFD 1/5</t>
  </si>
  <si>
    <t>CMAU4753368</t>
  </si>
  <si>
    <r>
      <rPr>
        <rFont val="Arial"/>
        <color rgb="FF000000"/>
        <sz val="11.0"/>
      </rPr>
      <t xml:space="preserve">GHC, GHC MOCHA
</t>
    </r>
    <r>
      <rPr>
        <rFont val="Arial"/>
        <color rgb="FF000000"/>
        <sz val="11.0"/>
      </rPr>
      <t>(to RC Commerce)</t>
    </r>
  </si>
  <si>
    <t>EN#2154891, INV#JB2329, T/R, empty return 1/5
- CMA CGM TENERE, (L4), CMA
- FDA hold for exam 12/19
- K80-2154891-3
- have additional $150 Maher Surcharge
- Moored 12/26, discharged 12/28, LFD 1/3
- prepull 1/2
- Proforma Invoice &amp; DO (Eric/Karen)
- received PO in DC (Jimmy) 1/5
- GW inform FDA 1/3, ready for exam
- FDA collected sample 1/11, collected 2 bg GHC &amp; 32 bg GHC MOCHA
- Lab analysis in process 1/17
- Expected lab analysis complete 1/23 &amp; 1/30
- FDA lab analysis completed 1/23, pending review to determine admissibility
- FDA fully release 1/25</t>
  </si>
  <si>
    <t>TCLU4358900</t>
  </si>
  <si>
    <t>ON KEE ABALONE
(20 PALLETS)</t>
  </si>
  <si>
    <t>EN#2155064, INV#20919571, T/R, empty return 1/8
- CMA CGM MISSISSIPPI, (L14), EG
- Moored 12/26, discharged 12/29, LFD?
- live unload
- prepull 1/3
- EG/GW issue chassis refund</t>
  </si>
  <si>
    <t>BMOU9280521</t>
  </si>
  <si>
    <t>EN#5133047, INV#POP23023, T/R, empty return 12/29
- OOCL BANGKOK, (K17), COSCO
- original Sanitary cert sent to GW 11/21
- have additional $150 Maher Surcharge
- reefer, but don’t require genset
- Moored 12/23, discharged 12/23, LFD 12/27
- LFD 12/27, prepull 12/27</t>
  </si>
  <si>
    <t>HMCU1000263</t>
  </si>
  <si>
    <t>ON KEE ABALONE
(17 PALLETS)</t>
  </si>
  <si>
    <t>EN#2155063, INV#20919570, T/R, GATEFEE12/20, empty return 1/2
- CSCL SOUTH CHINA, (L13), EG
- Moored 12/24, discharged 12/24, LFD 12/29
- no pickup appointment available by LFD 12/29
- pay Demurrage &amp; Extended Dwell Time Fee $885.80
-  live unload
- backdated to 12/31/23
- print screen info</t>
  </si>
  <si>
    <t>EMCU1756221</t>
  </si>
  <si>
    <t>EN#5132965, INV#191/EXP/INV/XI/2023, T/R, GATEFEE12/22, empty return 1/4
-  EVER FRONT, (K7), EG
- Moored 12/22, discharged 12/23, LFD 12/31
- not Evergreen chassis, will be chassis usage charge
- print screen info
- chassis refund by EG &amp; GW</t>
  </si>
  <si>
    <t>EMCU1740837</t>
  </si>
  <si>
    <t>EN#5133048, INV#192/EXP/PL/XI/2023, T/R, GATEFEE12/22, empty return 1/5
- EVER FRONT, (K16), EG
- Moored 12/22, discharged 12/23, LFD 12/29
- ready for pickup 12/27, LFD 1/2, but no appointment
- not Evergreen chassis, will have chassis usage charge
- print screen info
- chassis refund by EG &amp; GW</t>
  </si>
  <si>
    <t>CSNU8500553</t>
  </si>
  <si>
    <r>
      <rPr>
        <rFont val="Arial"/>
        <color rgb="FF000000"/>
        <sz val="11.0"/>
      </rPr>
      <t xml:space="preserve">EN#5132964, INV#SH00013499/SI00010379, T/R, </t>
    </r>
    <r>
      <rPr>
        <rFont val="Arial"/>
        <color rgb="FF000000"/>
        <sz val="11.0"/>
      </rPr>
      <t>empty return 1/3</t>
    </r>
    <r>
      <rPr>
        <rFont val="Arial"/>
        <color rgb="FF000000"/>
        <sz val="11.0"/>
      </rPr>
      <t xml:space="preserve">
- TOLEDO TRIUMPH, (K15), OOCL
- have additional $150 Maher Surcharge
- Moored 12/22, discharged 12/22, LFD 12/29</t>
    </r>
  </si>
  <si>
    <t>EISU8233708</t>
  </si>
  <si>
    <t>GINGER CHEWS 8 OZ (ORIGINAL, LEMON)</t>
  </si>
  <si>
    <r>
      <rPr>
        <rFont val="Arial"/>
        <color rgb="FF000000"/>
        <sz val="11.0"/>
      </rPr>
      <t xml:space="preserve">EN#5132444, INV#171/EXP/INV/X/2023, T/R, </t>
    </r>
    <r>
      <rPr>
        <rFont val="Arial"/>
        <color rgb="FF000000"/>
        <sz val="11.0"/>
      </rPr>
      <t>empty return 1/3</t>
    </r>
    <r>
      <rPr>
        <rFont val="Arial"/>
        <color rgb="FF000000"/>
        <sz val="11.0"/>
      </rPr>
      <t xml:space="preserve">
- TOLEDO TRIUMPH, (J11), EG
-  have additional $150 Maher Surcharge
-  Moored 12/22, discharged 12/23, LFD 12/29</t>
    </r>
  </si>
  <si>
    <t>ONEU0360929</t>
  </si>
  <si>
    <t>EN#2155150, INV#94264840, no PL, T/R, empty return 1/4
- TUCAPEL, (L17), ONE
- have additional $150 Maher Surcharge
- Moored 12/22, discharged 12/23, LFD 12/29
- Prepull 12/29, deliver 1/3
- Prepull ($150), Storage ($50/day), Per Diems (TBA)
- post as receive (per JD)</t>
  </si>
  <si>
    <t>TGBU7877580</t>
  </si>
  <si>
    <r>
      <rPr>
        <rFont val="Arial"/>
        <color rgb="FF000000"/>
        <sz val="11.0"/>
      </rPr>
      <t xml:space="preserve">GINGER CHEWS 1 KG (ASSORTED)
</t>
    </r>
    <r>
      <rPr>
        <rFont val="Arial"/>
        <color rgb="FF000000"/>
        <sz val="11.0"/>
      </rPr>
      <t>(to RC Commerce)</t>
    </r>
  </si>
  <si>
    <t>EN#5133030, INV#098/EXP-POP38448/11/2023, T/R, empty return 12/26
- CMA CGM ZEPHYR, (K14), EG
- have additional $150 APM Surcharge
- Moored 12/18, discharged 12/20, LFD 12/26
- prepull 12/22
- Received PO in DC 12/29</t>
  </si>
  <si>
    <t>TXGU6074441</t>
  </si>
  <si>
    <t>EN#5133035, INV#097/EXP-POP38351/11/2023, T/R, empty return 12/28
- CMA CGM ZEPHYR, (K13), EG
- have additional $150 APM Surcharge
- Moored 12/18, discharged 11/20, LFD 11/26
- Prepull 11/26, deliver 11/27</t>
  </si>
  <si>
    <t>TCLU8828263</t>
  </si>
  <si>
    <t>GINGER CHEWS 2 OZ (ORIGINAL, LEMON)</t>
  </si>
  <si>
    <r>
      <rPr>
        <rFont val="Arial"/>
        <color rgb="FF000000"/>
        <sz val="11.0"/>
      </rPr>
      <t xml:space="preserve">EN#5132995, INV#099/EXP-POP38453/11/2023, T/R, </t>
    </r>
    <r>
      <rPr>
        <rFont val="Arial"/>
        <color rgb="FF000000"/>
        <sz val="11.0"/>
      </rPr>
      <t>empty return 10/27</t>
    </r>
    <r>
      <rPr>
        <rFont val="Arial"/>
        <color rgb="FF000000"/>
        <sz val="11.0"/>
      </rPr>
      <t xml:space="preserve">
- CMA CGM ZEPHYR, (K11), EG
- have additional $150 APM Surcharge
- Moored 12/18, discharged 12/20, LFD 12/26</t>
    </r>
  </si>
  <si>
    <t>EGHU8313576</t>
  </si>
  <si>
    <r>
      <rPr>
        <rFont val="Arial"/>
        <color rgb="FF000000"/>
        <sz val="11.0"/>
      </rPr>
      <t xml:space="preserve">EN#5132871, INV#186/EXP/INV/X/2023, T/R, </t>
    </r>
    <r>
      <rPr>
        <rFont val="Arial"/>
        <color rgb="FF000000"/>
        <sz val="11.0"/>
      </rPr>
      <t>empty return 12/27</t>
    </r>
    <r>
      <rPr>
        <rFont val="Arial"/>
        <color rgb="FF000000"/>
        <sz val="11.0"/>
      </rPr>
      <t xml:space="preserve">
- CMA CGM ZEPHYR, (K4), EG
- have additional $150 APM Surcharge
- Moored 12/18, discharged 12/20, LFD 12/26</t>
    </r>
  </si>
  <si>
    <t>TGBU6513080</t>
  </si>
  <si>
    <t>EN#2154950, INV#101/EXP-POP38361/11/2023, T/R, GATEFEE12/15, empty return 12/27
- EVER FULL, (K21), EG
- Moored 12/16, discharged 12/16, LFD 12/21
- print screen info</t>
  </si>
  <si>
    <t>MRKU4566345</t>
  </si>
  <si>
    <t>RED GINSENG ROYAL JELLY, PANAX GINSENG EXTRACT</t>
  </si>
  <si>
    <t>EN#5132448, INV#2023TAT03, T/R, empty return 12/26
- NORTHERN DIAMOND, (J16), MAEU
- have additional $150 APM Surcharge
- 12/8 Jimmy received PO in DC
- Prepull 12/21, deliver 12/22
- Moored 12/17, discharged 12/17, LFD 12/21</t>
  </si>
  <si>
    <t>TGHU5317166</t>
  </si>
  <si>
    <t>EN#5133325, INV#2146, T/R, empty return 12/26
- ONE HELSINKI, (L1), YANG MING
- Moored (Long Beach) 12/13, discharged 12/15, LFD 12/21</t>
  </si>
  <si>
    <t>TGBU4839523</t>
  </si>
  <si>
    <t>ORGANIC TEABAGS
D-13206, D-13220N, D-14206, D-18206, D-18220N, D-19206</t>
  </si>
  <si>
    <t>QC#13172
QC#13173</t>
  </si>
  <si>
    <t>EN#5133245, INV#YD23-T15, T/R, GATEFEE12/13, empty return 12/26
- EVER LEGEND, (K20), COSCO
- Moored 12/14, discharged 12/14, LFD 12/20
- driver return empty from 8:35-11:45am, pier waiting additional 2 ½hrs
- print screen info</t>
  </si>
  <si>
    <t>BEAU5575617</t>
  </si>
  <si>
    <r>
      <rPr>
        <rFont val="Arial"/>
        <color rgb="FF000000"/>
        <sz val="11.0"/>
      </rPr>
      <t xml:space="preserve">TEABAGS
D-14106, D-15106, </t>
    </r>
    <r>
      <rPr>
        <rFont val="Arial"/>
        <color rgb="FF000000"/>
        <sz val="11.0"/>
      </rPr>
      <t>D-17106</t>
    </r>
    <r>
      <rPr>
        <rFont val="Arial"/>
        <color rgb="FF000000"/>
        <sz val="11.0"/>
      </rPr>
      <t>, D-18106</t>
    </r>
  </si>
  <si>
    <r>
      <rPr>
        <rFont val="Arial"/>
        <color rgb="FF000000"/>
        <sz val="11.0"/>
      </rPr>
      <t xml:space="preserve">EN#5132854, INV#YD23-T13, T/R, </t>
    </r>
    <r>
      <rPr>
        <rFont val="Arial"/>
        <color rgb="FF000000"/>
        <sz val="11.0"/>
      </rPr>
      <t>empty return 12/21</t>
    </r>
    <r>
      <rPr>
        <rFont val="Arial"/>
        <color rgb="FF000000"/>
        <sz val="11.0"/>
      </rPr>
      <t xml:space="preserve">
- EVER FORE, (K5), COSCO
- have additional $150 Maher Surcharge
- Moored 12/14, discharged 12/14, LFD 12/20</t>
    </r>
  </si>
  <si>
    <t>YMMU4027115</t>
  </si>
  <si>
    <r>
      <rPr>
        <rFont val="Arial"/>
        <color rgb="FF000000"/>
        <sz val="11.0"/>
      </rPr>
      <t xml:space="preserve">EN#5132337, INV#2145, T/R, </t>
    </r>
    <r>
      <rPr>
        <rFont val="Arial"/>
        <color rgb="FF000000"/>
        <sz val="11.0"/>
      </rPr>
      <t>empty return 12/26</t>
    </r>
    <r>
      <rPr>
        <rFont val="Arial"/>
        <color rgb="FF000000"/>
        <sz val="11.0"/>
      </rPr>
      <t xml:space="preserve">
- HYUNDAI SMART, (J9), YANG MING
- have additional $150 Global Surcharge
- Moored 12/14, discharged 12/16, LFD 12/21</t>
    </r>
  </si>
  <si>
    <t>YMMU6765078</t>
  </si>
  <si>
    <t>GHC LEMON  D-04043</t>
  </si>
  <si>
    <r>
      <rPr>
        <rFont val="Arial"/>
        <color rgb="FF000000"/>
        <sz val="11.0"/>
      </rPr>
      <t xml:space="preserve">EN#5132555, INV#JB2324, T/R, </t>
    </r>
    <r>
      <rPr>
        <rFont val="Arial"/>
        <color rgb="FF000000"/>
        <sz val="11.0"/>
      </rPr>
      <t>empty return 12/22</t>
    </r>
    <r>
      <rPr>
        <rFont val="Arial"/>
        <color rgb="FF000000"/>
        <sz val="11.0"/>
      </rPr>
      <t xml:space="preserve">
- HYUNDAI SMART, (J19), YANG MING
- have additional $150 Global Terminal Surcharge
- Moored 12/14, discharged 12/16, LFD 12/21</t>
    </r>
  </si>
  <si>
    <t>FFAU1599010</t>
  </si>
  <si>
    <r>
      <rPr>
        <rFont val="Arial"/>
        <color rgb="FF000000"/>
        <sz val="11.0"/>
      </rPr>
      <t xml:space="preserve">EN#5132447, INV#168/EXP/INV/X/2023, T/R, </t>
    </r>
    <r>
      <rPr>
        <rFont val="Arial"/>
        <color rgb="FF000000"/>
        <sz val="11.0"/>
      </rPr>
      <t>empty return 12/19</t>
    </r>
    <r>
      <rPr>
        <rFont val="Arial"/>
        <color rgb="FF000000"/>
        <sz val="11.0"/>
      </rPr>
      <t xml:space="preserve">
- TALOS, (J13), EG
- have additional $150 Maher Surcharge
- Moored 12/13, discharged 12/13, LFD 12/19</t>
    </r>
  </si>
  <si>
    <t>FFAU1591805</t>
  </si>
  <si>
    <r>
      <rPr>
        <rFont val="Arial"/>
        <color rgb="FF000000"/>
        <sz val="11.0"/>
      </rPr>
      <t xml:space="preserve">EN#5132080, INV#159/EXP/INV/X/2023, T/R, </t>
    </r>
    <r>
      <rPr>
        <rFont val="Arial"/>
        <color rgb="FF000000"/>
        <sz val="11.0"/>
      </rPr>
      <t>empty return 12/20</t>
    </r>
    <r>
      <rPr>
        <rFont val="Arial"/>
        <color rgb="FF000000"/>
        <sz val="11.0"/>
      </rPr>
      <t xml:space="preserve">
- TALOS, (H22), EG
- have additional $150 Maher Surcharge
- Moored 12/13, discharged 12/13, LFD 12/19</t>
    </r>
  </si>
  <si>
    <t>EMCU8790064</t>
  </si>
  <si>
    <t>GINGER CHEWS 2 OZ (ORIGINAL)</t>
  </si>
  <si>
    <r>
      <rPr>
        <rFont val="Arial"/>
        <color rgb="FF000000"/>
        <sz val="11.0"/>
      </rPr>
      <t xml:space="preserve">EN#5132925, INV#094/EXP-POP38445/10/2023, T/R, </t>
    </r>
    <r>
      <rPr>
        <rFont val="Arial"/>
        <color rgb="FF000000"/>
        <sz val="11.0"/>
      </rPr>
      <t>empty return 12/19</t>
    </r>
    <r>
      <rPr>
        <rFont val="Arial"/>
        <color rgb="FF000000"/>
        <sz val="11.0"/>
      </rPr>
      <t xml:space="preserve">
- CMA CGM J. MADISON, (J20), EG
- have additional $150 APM Surcharge
- Moored 12/12, discharged 12/12, LFD 12/18</t>
    </r>
  </si>
  <si>
    <t>TGBU4443738</t>
  </si>
  <si>
    <t>GINGER CHEWS 8 OZ (LYCHEE, ASSORTED)</t>
  </si>
  <si>
    <r>
      <rPr>
        <rFont val="Arial"/>
        <color rgb="FF000000"/>
        <sz val="11.0"/>
      </rPr>
      <t xml:space="preserve">EN#5132477, INV#089/EXP-POP38353/10/2023, T/R, </t>
    </r>
    <r>
      <rPr>
        <rFont val="Arial"/>
        <color rgb="FF000000"/>
        <sz val="11.0"/>
      </rPr>
      <t>empty return 12/15</t>
    </r>
    <r>
      <rPr>
        <rFont val="Arial"/>
        <color rgb="FF000000"/>
        <sz val="11.0"/>
      </rPr>
      <t xml:space="preserve">
- CMA CGM J. MADISON, (J14), EG
- have additional $150 APM Surcharge
- Moored 12/12, discharged 12/12, LFD 12/18</t>
    </r>
  </si>
  <si>
    <t>EMCU8488060</t>
  </si>
  <si>
    <t>EN#5133032, INV#096/EXP-POP38348/11/2023, T/R, GATEFEE12/8, empty return 12/20
- EVER FASHION, (K12), EG
- Moored 12/9, discharged 12/10, LFD 12/15
- not Evergreen chassis and it will be chassis usage charge
- EG/GW issue chassis refund
- print screen info</t>
  </si>
  <si>
    <t>CSNU7510536</t>
  </si>
  <si>
    <t>ORGANIC TEABAGS
D-13206, D-13220N, D-14206, D-14220, D-18206, D-18220N, D-19206, D-19220</t>
  </si>
  <si>
    <r>
      <rPr>
        <rFont val="Arial"/>
        <color rgb="FF000000"/>
        <sz val="11.0"/>
      </rPr>
      <t xml:space="preserve">EN#5132989, INV#YD23-T14, T/R, </t>
    </r>
    <r>
      <rPr>
        <rFont val="Arial"/>
        <color rgb="FF000000"/>
        <sz val="11.0"/>
      </rPr>
      <t>empty return 12/14</t>
    </r>
    <r>
      <rPr>
        <rFont val="Arial"/>
        <color rgb="FF000000"/>
        <sz val="11.0"/>
      </rPr>
      <t xml:space="preserve">
- COSCO PRIDE, (K10), COSCO
- have additional $150 Maher Surcharge
- Moored 12/5, discharged 12/6, LFD 12/12</t>
    </r>
  </si>
  <si>
    <t>TCNU5858699</t>
  </si>
  <si>
    <r>
      <rPr>
        <rFont val="Arial"/>
        <color rgb="FF000000"/>
        <sz val="11.0"/>
      </rPr>
      <t xml:space="preserve">GHC TURMERIC, GINGER COCONUT
</t>
    </r>
    <r>
      <rPr>
        <rFont val="Arial"/>
        <color rgb="FF000000"/>
        <sz val="11.0"/>
      </rPr>
      <t>(to RC Commerce)</t>
    </r>
  </si>
  <si>
    <t>EN#5132726, INV#JB2327, T/R, empty return 12/11
- COSCO PRIDE, (K1), CMA
- have additional $150 Maher Surcharge
- Moored 12/5, discharged 12/5, LFD 12/11, LFD 12/10?
- prepull 12/8
- Unloading finished within 2 hours so there was no waiting time
- Eric provide Proforma Invoice &amp; DO</t>
  </si>
  <si>
    <t>EGHU9658504</t>
  </si>
  <si>
    <r>
      <rPr>
        <rFont val="Arial"/>
        <color rgb="FF000000"/>
        <sz val="11.0"/>
      </rPr>
      <t xml:space="preserve">EN#5132510, INV#176/EXP/INV/X/2023, T/R, </t>
    </r>
    <r>
      <rPr>
        <rFont val="Arial"/>
        <color rgb="FF000000"/>
        <sz val="11.0"/>
      </rPr>
      <t>empty return 12/14</t>
    </r>
    <r>
      <rPr>
        <rFont val="Arial"/>
        <color rgb="FF000000"/>
        <sz val="11.0"/>
      </rPr>
      <t xml:space="preserve">
- CMA CGM MAGELLAN, (J17), EG
- have additional $150 APM Surcharge
- At anchor 12/4
- Moored 12/5, discharged 12/6, LFD 12/12</t>
    </r>
  </si>
  <si>
    <t>EMCU1739219</t>
  </si>
  <si>
    <t>EN#5132887, INV#182/EXP/INV/X/2023, T/R, empty return 12/11
- EVER FASHION, (K3), EG
- Moored 12/4, discharged 12/5, LFD 12/11
- Prepull 12/7, deliver 12/8
- EG/GW issue chassis refund</t>
  </si>
  <si>
    <t>EMCU8885827</t>
  </si>
  <si>
    <r>
      <rPr>
        <rFont val="Arial"/>
        <color rgb="FF000000"/>
        <sz val="11.0"/>
      </rPr>
      <t xml:space="preserve">EN#5132446, INV#172/EXP/INV/X/2023, T/R, </t>
    </r>
    <r>
      <rPr>
        <rFont val="Arial"/>
        <color rgb="FF000000"/>
        <sz val="11.0"/>
      </rPr>
      <t>empty return 12/12</t>
    </r>
    <r>
      <rPr>
        <rFont val="Arial"/>
        <color rgb="FF000000"/>
        <sz val="11.0"/>
      </rPr>
      <t xml:space="preserve">
- CMA CGM MAGELLAN, (J10), EG
- have additional $150 APM Surcharge
- At anchor 12/4
- Moored 12/5, discharged 12/6, LFD 12/12</t>
    </r>
  </si>
  <si>
    <t>EMCU1618691</t>
  </si>
  <si>
    <t>EN#5133380, INV#175/EXP/INV/X/2023, T/R, GATEFEE12/1, empty return 12/11
- EVER FORTUNE, (J18), EG
- Moored 12/2, discharged 12/2, LFD 12/7
- 11/30 FDA hold for exam 11/30, notify GW once ready at warehouse for exam
- K80-5133380-6
- 12/12 GW noticed FDA the shipment is ready for exam
- Received PO submitted 12/12
- FDA released 12/20 without come for exam/collect sample
- print screen info</t>
  </si>
  <si>
    <t>TGBU9940090</t>
  </si>
  <si>
    <t>EN#5132394, INV#088/EXP-POP38098/10/2023, T/R, GATEFEE12/1, empty return 12/13
- EVER FORTUNE, (J8), EG
- Moored 12/2, discharged 12/2, LFD 12/7
- print screen info</t>
  </si>
  <si>
    <t>BEAU6249111</t>
  </si>
  <si>
    <t>GHC, GHC TURMERIC</t>
  </si>
  <si>
    <r>
      <rPr>
        <rFont val="Arial"/>
        <color rgb="FF000000"/>
        <sz val="11.0"/>
      </rPr>
      <t xml:space="preserve">EN#5132718, INV#JB2325, T/R, </t>
    </r>
    <r>
      <rPr>
        <rFont val="Arial"/>
        <color rgb="FF000000"/>
        <sz val="11.0"/>
      </rPr>
      <t>empty return 12/11 (per Etrans)</t>
    </r>
    <r>
      <rPr>
        <rFont val="Arial"/>
        <color rgb="FF000000"/>
        <sz val="11.0"/>
      </rPr>
      <t xml:space="preserve">
- COSCO SAKURA, (J22), CMA
- have additional $150 Maher Surcharge
- Moored 12/2, discharged 12/4, LFD 12/8</t>
    </r>
  </si>
  <si>
    <t>EGHU3965144</t>
  </si>
  <si>
    <t>ON KEE ABALONE
(10 PALLETS)</t>
  </si>
  <si>
    <t>EN#5132872, INV#20231109, T/R, empty return 12/6
- EVER FORTUNE, (K6), EG
- Moored 11/27, discharged 11/29, LFD 12/5
- Prepull 12/5, deliver 12/6
- picked up 12/6, LFD 12/5, demurrage?
- EG/GW issue chassis refund
- Pending demurrage?</t>
  </si>
  <si>
    <t>CMAU4744833</t>
  </si>
  <si>
    <t>GHC TURMERIC, GHC</t>
  </si>
  <si>
    <t>EN#5132449, INV#JB2323, T/R, empty return 12/4
- COSCO SHIPPING ROSE, (J15), CMA
- have additional $150 Maher Terminal Surcharge
- Moored 11/26, discharged 11/27, LFD 12/1
- additional Empty Pick-up surcharge ($535 + 32% Fuel)</t>
  </si>
  <si>
    <t>KOCU4989099</t>
  </si>
  <si>
    <r>
      <rPr>
        <rFont val="Arial"/>
        <color rgb="FF000000"/>
        <sz val="11.0"/>
      </rPr>
      <t xml:space="preserve">GHC (D-04016)
</t>
    </r>
    <r>
      <rPr>
        <rFont val="Arial"/>
        <color rgb="FF000000"/>
        <sz val="11.0"/>
      </rPr>
      <t>(to RC COMMERCE)</t>
    </r>
  </si>
  <si>
    <t>EN#5132219, INV#JB2326, T/R, empty return 12/6
- HYUNDAI RESPECT, (J6), HMM
- have additional $150 Global Terminal Surcharge
- Pending review by FDA 11/21
- FDA released 11/30, K80-5132219-7
- Moored 11/27, discharged 11/29, LFD 12/5
- prepull 12/4
- unloading Waiting Time Charge = (2.5hr – 2hr Free) x $95/hr = $47.50
- Received PO submitted 12/7</t>
  </si>
  <si>
    <t>EITU9185640</t>
  </si>
  <si>
    <t>EN#5132405, INV#POP-07/23, OBL11/22, empty return 12/6
- CMA CGM CORTE REAL, (K19), EG
- received OBL 11/21
- Moored 11/24, discharged 11/24, LFD?
- EG/GW issuse chassis refund</t>
  </si>
  <si>
    <t>46
(LCL)</t>
  </si>
  <si>
    <t>TLLU1184779</t>
  </si>
  <si>
    <t>ALUMINIUM FOIL
(Replacement for defective)
(to Sun Ten)</t>
  </si>
  <si>
    <t>EN#5132632, INV#LFE-1025/23, T/R
- EVER FOREVER, (K8), EG
- Replacement for defective
- Per Ed Su, Long Fortune is responsible to bear the expense of ocean freight, duty, customs clearance and inland freight, will request a credit memo for the total expense
- Ed provide test cert 11/22
- Moored 11/20, discharged 11/21, LFD 11/29
- FCL picked up 11/22
- 12/4, sent Total expense to Ed for credit memo</t>
  </si>
  <si>
    <t>EISU8207972</t>
  </si>
  <si>
    <t>EN#5132445, INV#169/EXP/INV/X/2023, T/R, empty return 12/1
- EVER FOREVER, (J12), EG
- Moored 11/20, discharged 11/21, LFD 11/28
- prepull 11/28 @ 21:30, deliver 11/29
- EG/GW issue chassis refund</t>
  </si>
  <si>
    <t>TGBU7897924</t>
  </si>
  <si>
    <t>GINGER CHEWS 4 OZ (LYCHEE, BLOOD ORANGE)</t>
  </si>
  <si>
    <t>EN#5132326, INV#086/EXP-POP38099/10/2023, T/R, empty return 12/4
- EVER FOREVER, (J7), EG
- Moored 11/20, discharged 11/21, LFD 11/29
- Prepull 11/29, deliver 11/30
- EG/GW issue chassis refund
- LA submit received PO 12/15, LA warehouse busy</t>
  </si>
  <si>
    <t>EMCU8656780</t>
  </si>
  <si>
    <t>GINGER CHEWS 8 OZ (MANGO, LYCHEE)</t>
  </si>
  <si>
    <t>QC#13166
QC#13167</t>
  </si>
  <si>
    <t>EN#5132100, INV#084/EXP-POP38091/10/2023, T/R, GATEFEE11/20, empty return 12/1
- EVER FEAT, (K2), EG
- port changed from LA to OAK
- Moored 11/18, discharged 11/19, LFD 11/24
- no Evergreen chassis, have chassis usage charge
- ELFD 11/30, empty return 12/1, have per diem
- GW issue credit memo for chassis refund
- print screen info
- Pending per diem (EG)?
- QC F-04073 lot 07162025, exp 7/16/2025 out of stock</t>
  </si>
  <si>
    <t>EMCU8894304</t>
  </si>
  <si>
    <t>QC#13167</t>
  </si>
  <si>
    <t>EN#5132091, INV#5132091, T/R, GATEFEE11/20, empty return 11/30
- EVER FEAT, (J2), EG
- Moored 11/18, discharged 11/19, LFD 11/24
- print screen info</t>
  </si>
  <si>
    <t>TRHU8116526</t>
  </si>
  <si>
    <t>QC#13166</t>
  </si>
  <si>
    <t>EN#5132090, INV#165/EXP/INV/X/2023, T/R, GATEFEE11/20, empty return 11/29
- EVER FEAT, (J1), EG
- moored UTC 11/19 @ 12:04am 
= PST 11/18 @ 4:04pm
- Moored 11/18, discharged 11/18, LFD 11/24
- print screen info</t>
  </si>
  <si>
    <t>FCIU9324079</t>
  </si>
  <si>
    <t>GHC TURMERIC, DONG QUAI RED DATE TEA, INSTANT CHINESE HERBAL BULK</t>
  </si>
  <si>
    <t>QC#13168</t>
  </si>
  <si>
    <t>EN#5132704, INV#AIT2310, T/R, GATEFEE11/16, empty return 11/24
- PRESIDENT TRUMAN, (J21), CMA
- Moored 11/19, discharged 11/19, LFD 11/24
- print screen info</t>
  </si>
  <si>
    <t>MRKU4172418</t>
  </si>
  <si>
    <t>RED PANAX GINSENG EXTRACT, GINKGO BILOBA, ULTRA GINKGO PLUS, ULTRA JOINT, AG ROYAL JELLY w B Pollen</t>
  </si>
  <si>
    <t>QC#13168
QC#13169</t>
  </si>
  <si>
    <t>EN#2153442, INV#HR2306, T/R, GATEFEE11/14, 
- GERNER MAERSK, (G18), MAEU
- Moored 11/18, discharged 11/21, LFD 11/28
- respot 11/30
- print screen info
- ELFD 12/1, empty return 12/5, have detention $310</t>
  </si>
  <si>
    <t>YMMU4032261</t>
  </si>
  <si>
    <t>QC#13165</t>
  </si>
  <si>
    <t>EN#5132123, INV#2144, T/R, GATEFEE11/14, empty return 11/24
- YM WELLNESS, (J4), YANG MING
- Moored 11/16, discharged 11/16, LFD 11/22
- print screen info
- empty return pier waiting additional ½ hr</t>
  </si>
  <si>
    <t>EGHU9215722</t>
  </si>
  <si>
    <t>EN#5132081, INV#158/EXP/INV/IX/2023, T/R, empty return 11/24
- CMA CGM CHENNAI, (H21), EG
- have additional $150 APM surcharge
- Moored 11/13, discharged 11/14, LFD 11/17
- Prepull 11/17, delivere 11/20
- have additional Empty Pick-up surcharge ($535 + 32% Fuel)</t>
  </si>
  <si>
    <t>TXGU5603200</t>
  </si>
  <si>
    <t>EN#5131047, INV#133/EXP/INV/IX/2023, T/R, empty return 11/20
- EVER MAX, (G16), EG
- have additional $150 Maher surcharge
- Moored 11/11, discharged 11/12, LFD 11/16</t>
  </si>
  <si>
    <t>EMCU8752070</t>
  </si>
  <si>
    <t>EN#5131048, INV#134/EXP/INV/IX/2023, T/R, empty return 11/21
- EVER MAX, (G17), EG
- have additional $150 Maher surcharge
- Moored 11/11, discharged 11/11, LFD 11/16
- Prepull 11/16, deliver 11/17</t>
  </si>
  <si>
    <t>ZCSU7119938</t>
  </si>
  <si>
    <t>GHC TURMERIC (D-04033/D-04032)</t>
  </si>
  <si>
    <r>
      <rPr>
        <rFont val="Arial"/>
        <color rgb="FF000000"/>
        <sz val="11.0"/>
      </rPr>
      <t xml:space="preserve">EN#5132218, INV#JB2322, T/R, </t>
    </r>
    <r>
      <rPr>
        <rFont val="Arial"/>
        <color rgb="FF000000"/>
        <sz val="11.0"/>
      </rPr>
      <t>empty return 11/17</t>
    </r>
    <r>
      <rPr>
        <rFont val="Arial"/>
        <color rgb="FF000000"/>
        <sz val="11.0"/>
      </rPr>
      <t xml:space="preserve">
- MAERSK SINGAPORE, (J5), ZIM
- have additional $150 APM surcharge
- Moored 11/10, discharged 11/10, LFD 11/16</t>
    </r>
  </si>
  <si>
    <t>HMMU6375880</t>
  </si>
  <si>
    <t>GHC LEMON BOX, GHC PLUM</t>
  </si>
  <si>
    <r>
      <rPr>
        <rFont val="Arial"/>
        <color rgb="FF000000"/>
        <sz val="11.0"/>
      </rPr>
      <t xml:space="preserve">EN#5131774, INV#JB2321, T/R, </t>
    </r>
    <r>
      <rPr>
        <rFont val="Arial"/>
        <color rgb="FF000000"/>
        <sz val="11.0"/>
      </rPr>
      <t>empty return 11/16</t>
    </r>
    <r>
      <rPr>
        <rFont val="Arial"/>
        <color rgb="FF000000"/>
        <sz val="11.0"/>
      </rPr>
      <t xml:space="preserve">
- HYUNDAI DREAM, (H13), HMM
- have additional $150 Global Surcharge
- Moored 11/7, discharged 11/8, LFD 11/14</t>
    </r>
  </si>
  <si>
    <t>EITU9352937</t>
  </si>
  <si>
    <t>GINGER CHEWS 1 LBS (MANGO, LYCHEE, BLOOD ORANGE)</t>
  </si>
  <si>
    <t>EN#2153413, INV#078/EXP-POP38041/09/2023, T/R, empty return 11/16
- CMA CGM ADONIS, (G14), EG
- have additional $150 APM Surcharge
- Moored 11/6, discharged 11/6, LFD 11/10
- Prepull 11/10, deliver 11/13</t>
  </si>
  <si>
    <t>SEGU6976508</t>
  </si>
  <si>
    <t>EN#5131473, INV#94242402, T/R, no PL, GATEFEE11/8, empty return 11/16
- NYK REMUS, (G11), HL
- Moored 11/6, discharged 11/7, LFD 11/14
- additional  split return chassis charge
- print screen info</t>
  </si>
  <si>
    <t>EMCU8530581</t>
  </si>
  <si>
    <t>GINGER CHEWS 8 OZ (MANGO, ASSORTED)</t>
  </si>
  <si>
    <t>EN#5131843, INV#079/EXP-POP38088/09/2023, T/R, GATEFEE11/6, empty return 11/14
- EVER FUTURE, (H14), EG
- Moored 11/6, discharged 11/6, LFD 11/10
- print screen info
- QC F-04076 lot 07102025 only have 1 bag available</t>
  </si>
  <si>
    <t>TRHU6275750</t>
  </si>
  <si>
    <t>EN#5131550, INV#122787, T/R, GATEFEE11/7, empty return 11/10
- NYK REMUS, (H3), ONE
- Moored 11/6, discharged 11/6, LFD 11/13, terminal closed 11/13
- Palletized, Live unload
- receiving PO received 11/17, submitted 11/17
- print screen info</t>
  </si>
  <si>
    <t>TCNU2075534</t>
  </si>
  <si>
    <t>GINGER CHEWS 4 OZ (MANGO, LYCHEE)</t>
  </si>
  <si>
    <t>EN#5132339, INV#082/EXP-POP38093/09/2023, T/R, GATEFEE11/6, empty return 11/14
- EVER FUTURE, (H17), EG
- Moored 11/6, discharged 11/6, LFD 11/10
- print screen info</t>
  </si>
  <si>
    <t>TGBU6604960</t>
  </si>
  <si>
    <t>EN#5131798, INV#153/EXP/INV/IX/2023, T/R, GATEFEE11/6, empty return 11/10
- EVER FUTURE, (H16), EG
- Moored 11/6, discharged 11/6, LFD 11/9
- no Evergreen chassis, will have Benz chassis usage charge
- print screen info
- EG/GW issue chassis refund</t>
  </si>
  <si>
    <t>TRHU7503773</t>
  </si>
  <si>
    <t>EN#5131797, INV#152/EXP/INV/IX/2023, T/R, GATEFEE11/6, empty return 11/9
- EVER FUTURE, (H15), EG
- Moored 11/6, discharged 11/6, LFD 11/9
- empty TRHU7503773 was picked up when delivered TGBU6604960 on 11/9
- print screen info</t>
  </si>
  <si>
    <t>TXGU5790312</t>
  </si>
  <si>
    <t>EN#2153387, INV#149/EXP/INV/IX/2023, T/R, empty return 11/13
- CMA CGM AMERIGO VESP, (G15), EG
- Moored 11/4, discharged 11/6, LFD?
- Prepull 11/8, deliver 11/9
- EG/GW issue chassis refund</t>
  </si>
  <si>
    <t>TGBU7059330</t>
  </si>
  <si>
    <t>CAPPUCCINO, TEA LATTE</t>
  </si>
  <si>
    <t>EN#5130726, INV#EMI230001931, OBL9/22, empty return 11/10
- EVER MACH, (F14), EG
- have additional $150 Maher Surcharge
- Moored 11/3, discharged 11/3, LFD 11/10</t>
  </si>
  <si>
    <t>TEMU7126418</t>
  </si>
  <si>
    <r>
      <rPr>
        <rFont val="Arial"/>
        <color rgb="FF000000"/>
        <sz val="11.0"/>
      </rPr>
      <t xml:space="preserve">GINGER CHEWS 1 KG (ORIGINAL)
</t>
    </r>
    <r>
      <rPr>
        <rFont val="Arial"/>
        <color rgb="FF000000"/>
        <sz val="11.0"/>
      </rPr>
      <t>(to RC COMMERCE)</t>
    </r>
  </si>
  <si>
    <t>EN#5131372, INV#118/EXP/INV/VIII/2023, T/R, empty return 11/9
- EVER MACH, (H6), EG
- have additional $150 Maher Surcharge
- Deliver to RC Commerce
- Moored 11/3, discharged 11/4, LFD 11/10
- Prepull 11/6, deliver 11/8, Etrans waive Pre-pull and Storage charges
- Unloading waiting time was incurred from 8am to 11:25am (3.5hr), Waiting Time Charge = (3.5hr – 2hr Free) x $95/hr = $142.50
- received Proforma Invoice &amp; DO from Eric Hong
- Jimmy receive PO in DC</t>
  </si>
  <si>
    <t>TGBU6961994</t>
  </si>
  <si>
    <t>GINGER CHEWS 8 OZ (MANGO, BLOOD ORANGE)</t>
  </si>
  <si>
    <t>EN#5131014, INV#065/EXP-POP38089/08/2023, T/R, empty return 11/13
- EVER MACH, (F21), EG
- have additional $150 Maher Surcharge
- Moored 11/3, discharged 11/3, LFD 11/10</t>
  </si>
  <si>
    <t>TRHU5815129</t>
  </si>
  <si>
    <t>EN#5130583, INV#122/EXP/INV/VIII/2023, T/R, empty return 11/10
- EVER MACH, (F7), EG
- have additional $150 Maher Surcharge
- Moored 11/3, discharged 11/3, LFD 11/10</t>
  </si>
  <si>
    <t>ONEU0080614</t>
  </si>
  <si>
    <r>
      <rPr>
        <rFont val="Arial"/>
        <color rgb="FF000000"/>
        <sz val="11.0"/>
      </rPr>
      <t xml:space="preserve">EN#2153386, INV#2153386, T/R, </t>
    </r>
    <r>
      <rPr>
        <rFont val="Arial"/>
        <color rgb="FF000000"/>
        <sz val="11.0"/>
      </rPr>
      <t>empty return 11/8</t>
    </r>
    <r>
      <rPr>
        <rFont val="Arial"/>
        <color rgb="FF000000"/>
        <sz val="11.0"/>
      </rPr>
      <t xml:space="preserve">
- NYK REMUS, (H4), ONE
- Moored 11/2, discharged 11/3, LFD 11/9
- Live unload</t>
    </r>
  </si>
  <si>
    <t>HLXU1386306</t>
  </si>
  <si>
    <r>
      <rPr>
        <rFont val="Arial"/>
        <color rgb="FF000000"/>
        <sz val="11.0"/>
      </rPr>
      <t xml:space="preserve">EN#5131563, INV#94242404, T/R, no PL, </t>
    </r>
    <r>
      <rPr>
        <rFont val="Arial"/>
        <color rgb="FF000000"/>
        <sz val="11.0"/>
      </rPr>
      <t>empty return 11/9</t>
    </r>
    <r>
      <rPr>
        <rFont val="Arial"/>
        <color rgb="FF000000"/>
        <sz val="11.0"/>
      </rPr>
      <t xml:space="preserve">
- NYK REMUS, (H10), HL
- Arrival notice from Hapag Lloyd, instead of Bollore
- Moored 11/2, discharged 11/2, </t>
    </r>
    <r>
      <rPr>
        <rFont val="Arial"/>
        <color rgb="FF000000"/>
        <sz val="11.0"/>
      </rPr>
      <t>LFD?</t>
    </r>
  </si>
  <si>
    <t>EMCU1645059</t>
  </si>
  <si>
    <t>EN#5130879, INV#127/EXP/INV/VIII/2023, T/R, empty return 11/8
- TAURUS, (F10), EG
- Maher surcharge ($150)
- Moored 11/1, discharged 11/1, LFD 11/8</t>
  </si>
  <si>
    <t>TRHU5587420</t>
  </si>
  <si>
    <t>QC#13028S</t>
  </si>
  <si>
    <t>EN#5131707, INV#2023.09.001, T/R, GATEFEE11/2, empty return 11/9
- CONTI CONTESSA, (H11), ONE
- Moored 11/1, discharged 11/2, LFD 11/7
- print screen info</t>
  </si>
  <si>
    <t>TCNU4370797</t>
  </si>
  <si>
    <t>EN#5132029, INV#123421, T/R, empty return 11/8
- TENO, (J3), ONE
- additional Maher surcharge ($150)
- Moored 10/31, discharged 10/31, LFD 11/6
- Live unload</t>
  </si>
  <si>
    <t>OOLU9426890</t>
  </si>
  <si>
    <t>ORGANIC TEABAGS
D-13206, D-15206, D-15220N, D-18206, D-18220N</t>
  </si>
  <si>
    <t>EN#5131773, INV#YD23-T11, T/R, empty return 11/14
- OOCL MALAYSIA, (H12), COSCO
- Moored 10/31, discharged 11/2, LFD 11/6
- Pending per diem (COSCO)?</t>
  </si>
  <si>
    <t>EGHU9769658</t>
  </si>
  <si>
    <r>
      <rPr>
        <rFont val="Arial"/>
        <color rgb="FF000000"/>
        <sz val="11.0"/>
      </rPr>
      <t xml:space="preserve">EN#2153408, INV#077/EXP-POP38039/09/2023, T/R, </t>
    </r>
    <r>
      <rPr>
        <rFont val="Arial"/>
        <color rgb="FF000000"/>
        <sz val="11.0"/>
      </rPr>
      <t>empty return 11/8</t>
    </r>
    <r>
      <rPr>
        <rFont val="Arial"/>
        <color rgb="FF000000"/>
        <sz val="11.0"/>
      </rPr>
      <t xml:space="preserve">
- CMA CGM A. LINCOLN, (G13), EG
- APM Surcharge ($150)
</t>
    </r>
  </si>
  <si>
    <t>EMCU8432944</t>
  </si>
  <si>
    <t>QC#13161</t>
  </si>
  <si>
    <t>EN#5131366, INV#076/EXP-POP38037/09/2023, T/R, GATEFEE10/30, empty return11/7
- EVER LIFTING, (H7), EG
- Moored 10/30, discharged 10/31, LFD 11/3
- pickup pier waiting was from 8:43-11am  additional ½ hr
- print screen info</t>
  </si>
  <si>
    <t>HMMU6472750</t>
  </si>
  <si>
    <t>GHC LEMON (D-04037 / D-04043)</t>
  </si>
  <si>
    <r>
      <rPr>
        <rFont val="Arial"/>
        <color rgb="FF000000"/>
        <sz val="11.0"/>
      </rPr>
      <t xml:space="preserve">EN#5131501, INV#JB2319, T/R, </t>
    </r>
    <r>
      <rPr>
        <rFont val="Arial"/>
        <color rgb="FF000000"/>
        <sz val="11.0"/>
      </rPr>
      <t>empty return 11/7</t>
    </r>
    <r>
      <rPr>
        <rFont val="Arial"/>
        <color rgb="FF000000"/>
        <sz val="11.0"/>
      </rPr>
      <t xml:space="preserve">
- HYUNDAI DRIVE, (G12), HMM
- have additional $150 Global Terminal Surcharge
- At anchor 10/26, estimated berthing 10/29
- Moored 10/29, discharged 10/31, LFD 11/3</t>
    </r>
  </si>
  <si>
    <t>MRSU6445284</t>
  </si>
  <si>
    <t>EN#5131772, INV#JB2317, T/R, empty return 11/8
- MSC BEATRICE, (H19), MAEU
- Moored 10/28, discharged 10/30, LFD?
- have $310 detention, no empty return appointment</t>
  </si>
  <si>
    <t>EITU9412419</t>
  </si>
  <si>
    <t>EN#2153278, INV#138/EXP/INV/IX/2023, T/R, GATEFEE10/25, empty return 11/8
- CMA CGM C COLOMB, (H9), EG
- at anchor 10/27
- Moored 10/30, discharged 10/31, LFD 11/6
- pickup pier waiting was from 9:36-1:59pm additional 2 ½ hr
- no Evergreen chassis, has Benz chassis charge
- print screen info
- EG/GW issue chassi refund</t>
  </si>
  <si>
    <t>OOCU8975539</t>
  </si>
  <si>
    <t>ORGANIC TEABAGS
D-13220N, D-14206, D-15206, D-15220N, D-18206, D-18220N</t>
  </si>
  <si>
    <t>EN#5130945, INV#YD23-T10, T/R, empty return 11/3
- EVER FORWARD, (G3), COSCO
- have additional $150 Maher Surcharge
- Moored 10/25, discharged 10/25, LFD 10/31</t>
  </si>
  <si>
    <t>EMCU1632180</t>
  </si>
  <si>
    <t>EN#5131213, INV#073/EXP-POP38409/09/2023, T/R, empty return 10/26
- CMA CGM JULES VERNE, (H1), EG
- have additional $150/container APM Surcharge
- Moored 10/23, discharged 10/24, LFD 10/27</t>
  </si>
  <si>
    <t>CAAU5210760</t>
  </si>
  <si>
    <t>EN#5131212, INV#074/EXP-POP37824/09/2023, T/R, empty return 11/1
- CMA CGM JULES VERNE, (G22), EG
- have additional $150/container APM Surcharge
- Moored 10/23, discharged 10/23, LFD 10/27</t>
  </si>
  <si>
    <t>EITU9256152</t>
  </si>
  <si>
    <t>EN#5131214, INV#072/EXP-POP38092/09/2023, T/R, empty return 10/27
- CMA CGM JULES VERNE, (G21), EG
- have additional $150/container APM Surcharge
- Moored 10/23, discharged 10/23, LFD 10/27</t>
  </si>
  <si>
    <t>EGHU9325740</t>
  </si>
  <si>
    <t>EN#5131009, INV#066/EXP-POP38095/09/2023, T/R, GATEFEE10/23, empty return 11/2
- EVER FRONT, (G4), EG
- Moored 10/22, discharged 10/23, LFD 10/27
- print screen info</t>
  </si>
  <si>
    <t>TGBU9949992</t>
  </si>
  <si>
    <t>QC#13160</t>
  </si>
  <si>
    <t>EN#5131010, INV#067/EXP-POP38040/09/2023, T/R, GATEFEE10/23, empty return 10/31
- EVER FRONT, (G5), EG
- Moored 10/22, discharged 10/23, LFD 10/26
- print screen info</t>
  </si>
  <si>
    <t>EMCU8311963</t>
  </si>
  <si>
    <t>EN#5131011, INV#070/EXP-POP38100/09/2023, T/R, GATEFEE10/23, empty return 11/1
- EVER FRONT, (G8), EG
- Moored 10/22, discharged 10/23, LFD 10/26
- Prepull 10/26, deliver 10/27, due to traffic
- out gated at 3:55pm, due to heavy traffic in 880 and 580, driver can’t be there at 5pm
- print screen info</t>
  </si>
  <si>
    <t>TCKU4353429</t>
  </si>
  <si>
    <t>EN#5131474, INV#MP-202338077, T/R, GATEFEE10/23, empty return 10/27
- YM UBIQUITY, (G10), YANG MING
- Moored 10/22, discharged 10/22, LFD 10/26
- empty return pier waiting was from 9:57-11:25am additional ½ hr
- print screen info</t>
  </si>
  <si>
    <t>EMCU8747509</t>
  </si>
  <si>
    <t>EN#2153279, INV#139/EXP/INV/IX/2023, T/R, GATEFEE10/23, empty return 10/27
- EVER FRONT, (G19), EG
- Moored 10/22, discharged 10/23, LFD 10/26
- print screen info</t>
  </si>
  <si>
    <t>CSNU7462700</t>
  </si>
  <si>
    <r>
      <rPr>
        <rFont val="Arial"/>
        <color rgb="FF000000"/>
        <sz val="11.0"/>
      </rPr>
      <t>ORGANIC TEABAGS
D-13400, D-15400
(</t>
    </r>
    <r>
      <rPr>
        <rFont val="Arial"/>
        <color rgb="FF000000"/>
        <sz val="12.0"/>
      </rPr>
      <t>RC Commerce</t>
    </r>
    <r>
      <rPr>
        <rFont val="Arial"/>
        <color rgb="FF000000"/>
        <sz val="11.0"/>
      </rPr>
      <t>)</t>
    </r>
  </si>
  <si>
    <t>EN#5131246, INV#YD23-T12, T/R, empty return 10/26
- CMA CGM APOLLON, (G9), COSCO
- have additional $150 Maher Surcharge
- Moored 10/22, discharged 10/22, LFD 10/26
- waiting time from 6:30am to 11:10am, Waiting Time Charge = (2.75hr – 2hr Free) x $95/hr = $71.25
- Live unload
- prepull 10/25 (per Etrans)
- Pending proforma Invoice &amp; DO from RC
- Jimmy help BP to receive in DC</t>
  </si>
  <si>
    <t>EITU9029842</t>
  </si>
  <si>
    <t>EN#2153277, INV#137/EXP/INV/IX/2023, T/R, empty return 10/27
- CMA CGM C COLOMB, (H8), EG
- Moored 10/21, discharged 10/23, LFD?
- EG &amp; GW issue chassis refund</t>
  </si>
  <si>
    <t>37477
37726</t>
  </si>
  <si>
    <t>DRYU3101614</t>
  </si>
  <si>
    <t>EN#5131799, INV#US-230901, OBL10/18, empty return 10/30
- ONE ORPHEUS, (H18), ONE
- CY = Container Yard = full container
- Moored 10/18, discharged 10/21, LFD 10/26
- prepull 10/24</t>
  </si>
  <si>
    <t>TLLU7002110</t>
  </si>
  <si>
    <t>MX EGGROLLS</t>
  </si>
  <si>
    <t>EN#5130525, INV#SH00010681, T/R, empty return 10/19
- AIN SNAN EXPRESS, (F2), ONE
- reefer unit, and genset not required
- No genset needed from terminal to warehouse
- have additional $150 Global Terminal Surcharge
- Moored 10/16, discharged 10/17, LFD 10/18
- reefer unit, short LFD
- eFolder</t>
  </si>
  <si>
    <t>CMAU4980227</t>
  </si>
  <si>
    <t>GHC TURMERIC D-04032, D-04033, INSTANT TEA CHINESE HERBAL BULK A-6101G</t>
  </si>
  <si>
    <t>EN#2153424, INV#AIT2311, T/R, GATEFEE10/12, empty return 10/25
- PRESIDENT WILSON, (G20), CMA
- Moored 10/14, discharged 10/15, LFD 10/23
- Terminal short of labor, driver stuck when returning other empty, so no pickup waiting time
- print screen info</t>
  </si>
  <si>
    <t>EGHU8390171</t>
  </si>
  <si>
    <t>EN#5130026, INV#105/EXP/INV/VII/2023, T/R, empty return 10/20
- TITAN, (H5), EG
- have additional $150 Maher Surcharge
- Moored 10/14, discharged 10/16, LFD 10/20</t>
  </si>
  <si>
    <t>EMCU8770200</t>
  </si>
  <si>
    <t>EN#5130031, INV#106/EXP/INV/VIII/2023, T/R, empty return 10/25
- TITAN, (F3), EG
- IMO 9728928
- have additional $150 Maher Surcharge
- Moored 10/14, discharged 10/16, LFD 10/20
- have additional Empty Pick-up surcharge ($535 + 32% Fuel)</t>
  </si>
  <si>
    <t>EMCU8863900</t>
  </si>
  <si>
    <t>EN#5130728, INV#129/EXP/INV/VIII/2023, T/R, GATEFEE10/12, empty return 10/19
- CMA CGM ZEPHYR, (F13), EG
- Moored 10/14, discharged 10/15, LFD 10/19
- no EG chassis, will have charge usage charge
- print screen info
- GW issue chassis refund</t>
  </si>
  <si>
    <t>CAAU5443459</t>
  </si>
  <si>
    <t>EN#5130629, INV#126/EXP/PL/VIII/2023, T/R, GATEFEE10/12, empty return 10/24
- CMA CGM ZEPHYR, (F9), EG
- Moored 10/14, discharged 10/15, LFD 10/19
- don't have Evergreen chassis, will have chassis usage charge
- print screen info
- Pier waiting was from 2:26-3:48pm additional ½ hr. for empty return
- EG/GW issue chassis refund
- eFolder</t>
  </si>
  <si>
    <t>93
(LCL)</t>
  </si>
  <si>
    <t>BMOU5241105</t>
  </si>
  <si>
    <t>ON KEE ABALONE (SAMPLE)
(LCL, 1 PALLET)</t>
  </si>
  <si>
    <r>
      <rPr>
        <rFont val="Arial"/>
        <color rgb="FF000000"/>
        <sz val="11.0"/>
      </rPr>
      <t>EN#5131721, INV#?, T/R, no GATEFEE (LCL)</t>
    </r>
    <r>
      <rPr>
        <rFont val="Arial"/>
        <color rgb="FFFF0000"/>
        <sz val="11.0"/>
      </rPr>
      <t xml:space="preserve">
</t>
    </r>
    <r>
      <rPr>
        <rFont val="Arial"/>
        <color rgb="FF000000"/>
        <sz val="11.0"/>
      </rPr>
      <t>- COSCOSHIPPING DENALI, (H20), EG
- per JD, no PO#
- Moored 10/14, discharged 10/17, FCL LFD 10/21
- GW will deliver LCL (1 plt)
- FCL picked up 10/20, pending LCL delivery, LFD 10/30
- confirm LCL marking, Mark hold released 10/25</t>
    </r>
  </si>
  <si>
    <t>KOCU4712822</t>
  </si>
  <si>
    <t>GHC LEMON (D-04043)</t>
  </si>
  <si>
    <t>EN#5130869, INV#JB2315, T/R, empty return 10/23 (per Etrans)
- ULSAN EXPRESS, (F19), HMM
- have additional $150 Global Terminal Surcharge
- At anchor 10/6, estimated berthing 10/12
- Moored 10/13, discharged 10/14, LFD 10/19</t>
  </si>
  <si>
    <t>FFAU1851013</t>
  </si>
  <si>
    <t>RED PANAX GINSENG EXTRACT, ULTRA GINKGO PLUS</t>
  </si>
  <si>
    <r>
      <rPr>
        <rFont val="Arial"/>
        <color rgb="FF000000"/>
        <sz val="11.0"/>
      </rPr>
      <t xml:space="preserve">EN#5130940, INV#HR2305, T/R, </t>
    </r>
    <r>
      <rPr>
        <rFont val="Arial"/>
        <color rgb="FF000000"/>
        <sz val="11.0"/>
      </rPr>
      <t>empty return 10/20</t>
    </r>
    <r>
      <rPr>
        <rFont val="Arial"/>
        <color rgb="FF000000"/>
        <sz val="11.0"/>
      </rPr>
      <t xml:space="preserve">
- ULSAN EXPRESS, (F22), ONE
- have additional $150 Global Surcharge
- At anchor 10/6, estimated berthing 10/12
- Moored 10/13, discharged 10/15, LFD 10/19</t>
    </r>
  </si>
  <si>
    <t>EMCU8562871</t>
  </si>
  <si>
    <t>GINGER CHEWS 8 OZ (BLOOD ORANGE)</t>
  </si>
  <si>
    <r>
      <rPr>
        <rFont val="Arial"/>
        <color rgb="FF000000"/>
        <sz val="11.0"/>
      </rPr>
      <t xml:space="preserve">EN#5130572, INV#061/EXP-POP37827/08/2023, T/R, </t>
    </r>
    <r>
      <rPr>
        <rFont val="Arial"/>
        <color rgb="FF000000"/>
        <sz val="11.0"/>
      </rPr>
      <t>empty return 10/18</t>
    </r>
    <r>
      <rPr>
        <rFont val="Arial"/>
        <color rgb="FF000000"/>
        <sz val="11.0"/>
      </rPr>
      <t xml:space="preserve">
- CMA CGM ANDROMEDA, (F4), EG
- have additional $150 APM Surcharge
- Moored 10/10, discharged 10/10, LFD 10/16</t>
    </r>
  </si>
  <si>
    <t>HMMU6528269</t>
  </si>
  <si>
    <r>
      <rPr>
        <rFont val="Arial"/>
        <color rgb="FF000000"/>
        <sz val="11.0"/>
      </rPr>
      <t xml:space="preserve">EN#5131333, INV#KB230831, OBL 10/2, </t>
    </r>
    <r>
      <rPr>
        <rFont val="Arial"/>
        <color rgb="FF000000"/>
        <sz val="11.0"/>
      </rPr>
      <t>empty return 10/17</t>
    </r>
    <r>
      <rPr>
        <rFont val="Arial"/>
        <color rgb="FF000000"/>
        <sz val="11.0"/>
      </rPr>
      <t xml:space="preserve">
- HYUNDAI MARS, (H2), HMM
- Moored 10/6, discharged 10/11, LFD?</t>
    </r>
  </si>
  <si>
    <t>GCXU5699640</t>
  </si>
  <si>
    <t>PANAX GINSENG EXTRACT C-70021</t>
  </si>
  <si>
    <t>EN#5130581, INV#2023TAT02, T/R, empty return 10/16
- SEASPAN SANTOS, (F6), MAEU
- have additional $150 APM Surcharge
- Moored 10/6, discharged, LFD 10/12
- Prepull 10/11, deliver 10/12</t>
  </si>
  <si>
    <t>TLLU4056703</t>
  </si>
  <si>
    <t>QC#13162</t>
  </si>
  <si>
    <t>EN#5130783, INV#EMI230001936, OBL9/22, GATEFEE10/4, empty return 10/16
- CMA CGM J. MADISON, (F17), EG
- Moored 10/9, discharged 10/9, LFD 10/13
- Pier waiting was from 9:56-2:18pm additional 2 ½ hrs
- picked up from SSA terminal and SSA terminal has no Evergreen chassis
- EG &amp; GW issue chassis refund
- print screen</t>
  </si>
  <si>
    <t>TGHU9538838</t>
  </si>
  <si>
    <t>EN#5130738, INV#SS2307056-H, T/R, empty return 10/26
- CMA CGM TENERE, (F15), CMA
- have additional $150 Maher Surcharge
- Moored 10/5, discharged 10/5, LFD 10/11
- Moved to exam site 10/9, pending MET exam
- MET exam completed 10/23, custom released 10/23, pending reload &amp; pickup, LFD 10/26
- CMA detention (10/23-10/26)(LFD 10/22) $880, only 14 free calendar days after picked up from terminal for customs exam (10/9-10/22)
- Split pickup/return from customs exam site (east coast ces) $150</t>
  </si>
  <si>
    <t>YMLU5134921</t>
  </si>
  <si>
    <t>EN#5130430, INV#2143, T/R, empty return 10/16
- DORTMUND EXPRESS, (E21), YANG MING
- have additional $150 Global Terminal Surcharge
- At anchor 9/30, estimated berthing 10/5
- Moored 10/5, discharged 10/6, LFD 10/12</t>
  </si>
  <si>
    <t>BEAU5068778</t>
  </si>
  <si>
    <r>
      <rPr>
        <rFont val="Arial"/>
        <color rgb="FF000000"/>
        <sz val="11.0"/>
      </rPr>
      <t xml:space="preserve">EN#5130403, INV#114/EXP/INV/VIII/2023, T/R, </t>
    </r>
    <r>
      <rPr>
        <rFont val="Arial"/>
        <color rgb="FF000000"/>
        <sz val="11.0"/>
      </rPr>
      <t>empty return 10/16</t>
    </r>
    <r>
      <rPr>
        <rFont val="Arial"/>
        <color rgb="FF000000"/>
        <sz val="11.0"/>
      </rPr>
      <t xml:space="preserve">
- EVER FASHION, (E18), EG
- Moored 10/3, discharged 10/5, LFD 10/13</t>
    </r>
  </si>
  <si>
    <t>EITU9104099</t>
  </si>
  <si>
    <t>EN#5130630, INV#060/EXP-POP38038/08/2023, T/R, empty return 10/11
- CMA CGM MARCO POLO, (F8), EG
- Moored 10/2, discharged 10/3, LFD 10/6</t>
  </si>
  <si>
    <t>TTNU8815857</t>
  </si>
  <si>
    <t>POP CALENDAR &amp; ENVELOPE
(LCL, 3 PALLETS)</t>
  </si>
  <si>
    <t>EN#5130872, INV#SI2308064, T/R, no PL, no GATEFEE (LCL)
- YM WARRANTY, (F2), ONE
- GW will deliver LCL, 3 plts
- Moored 10/3, discharged 10/3, LFD 10/9
- FCL picked up 10/6
- CFS (LCL) LFD 10/13</t>
  </si>
  <si>
    <t>KOCU4961810</t>
  </si>
  <si>
    <t>EN#5130740, INV#SS2307055-H, T/R, GATEFEE9/29, empty return 10/11
- HYUNDAI JUPITER, (F16), HMM
- Moored 10/1, discharged 10/2, LFD 10/10</t>
  </si>
  <si>
    <t>BEAU4371305</t>
  </si>
  <si>
    <t>EN#5130571, INV#058/EXP-POP37826/08/2023, T/R, GATEFEE9/29, empty return 10/10
- EVER LUCID, (F5), EG
- moored 10/1, discharged 10/2, LFD 10/5
- no Evergreen chassis &amp; will be chassis usage charge
- EG/GW refund chassis charge
- print screen</t>
  </si>
  <si>
    <t>TRHU6055479</t>
  </si>
  <si>
    <t>GINGER CHEWS 8 OZ (ASSORTED)</t>
  </si>
  <si>
    <t>EN#5130480, INV#059/EXP-POP37899/08/2023, T/R, GATEFEE9/29, empty return 10/9
- EVER LUCID, (E20), EG 
- moored 10/1, discharged 10/1, LFD 10/5
- print screen</t>
  </si>
  <si>
    <t>EGSU9070094</t>
  </si>
  <si>
    <t>GHC, GHC TURMERIC, GHC DARK BROWN SUGAR</t>
  </si>
  <si>
    <t>EN#5130160, INV#JB2316, T/R, empty return 10/6
- EVER FAST, (E8), EG
- have additional $150 Maher surcharge
- Moored 9/29, discharged 9/29, LFD 10/5</t>
  </si>
  <si>
    <t>NYKU4851728</t>
  </si>
  <si>
    <t>EN#5130434, INV#121449, T/R, empty return 10/3
- NYK DELPHINUS, (E19), ONE
- Moored 9/28, discharged 9/28, LFD 10/4
- Live unload
- some delivery damaged, claim damge to vendor &amp; freight forwarder
- vendor issue credit note Invoice 123637
- the container was loaded at supplier’s warehouse and had not been opened until the delivery at LA warehouse, so cannot claim damage from freight forwarder (Seafrigo)</t>
  </si>
  <si>
    <t>EITU9404774</t>
  </si>
  <si>
    <t>EN#5129589, INV#093/EXP/INV/VII/2023, T/R, empty return 10/4
- TAIPEI TRIUMPH, (D9), EG
- have additional $150 Maher surcharge
- Moored 9/27, discharged 9/28, LFD 10/3</t>
  </si>
  <si>
    <t>GAOU6313770</t>
  </si>
  <si>
    <t>QC#13158</t>
  </si>
  <si>
    <t>EN#5131111, INV#EMI230001879, OBL9/7, GATEFEE9/26, empty return 10/6
- EVER FOREVER, (G6), EG
- Moored 9/27, discharged 9/28, LFD 10/4
- print screen</t>
  </si>
  <si>
    <t>EMCU1577484</t>
  </si>
  <si>
    <t>EN#5130939, INV#POP23021, T/R, GATEFEE9/26, empty return 10/4
- EVER FOREVER, (G2), EG
- original vet cert mailed to GW 9/19, FedEx 773466021578
- Moored 9/27, discharged 9/27, LFD 10/3
- no Evergreen chassis &amp; will have chassis usage charge
- print screen info
- GW issue chassis refund</t>
  </si>
  <si>
    <t>TGBU7022943</t>
  </si>
  <si>
    <t>EN#5130322, INV#056/EXP-POP37825/08/2023, T/R, empty return 10/3
- CMA CGM COCHIN, (F1), EG
- have additional $150 APM Surcharge
- Moored 9/25, discharged 9/26, LFD 9/29
- item# on the outer carton labels is incorrect, need relabeling, bill back to the labor cost</t>
  </si>
  <si>
    <t>SEGU6404082</t>
  </si>
  <si>
    <t>EN#5130938, INV#POP23022, T/R, empty return 9/27
- YM WARRANTY, (G1), YANG MING
- original sanitary cert mailed to GW 9/19, FedEx 773466021578
- prepull 9/25
- Moored 9/23, discharged 9/23, LFD 9/27
- prepull 9/25
- receiving PO received &amp; submitted 10/4</t>
  </si>
  <si>
    <t>CZZU0435962</t>
  </si>
  <si>
    <t>EN#5130870, INV#JB2318, T/R, empty return 10/6
- CORNELIA MAERSK, (F20), MAEU
- Pending Review By FDA Compliance Staff, K80-5130870-9
- Moored 9/22, discharged 9/27, LFD 10/2
- APM LA
- as 10/6, no terminal appointments to return empty
- prepull 10/2, but out gate 10/3 @ 12:14am, so have one day demurrage $275</t>
  </si>
  <si>
    <t>TRHU5498174</t>
  </si>
  <si>
    <t>ORGANIC TEABAGS
D-13220N, D-14206, D-15206, D-15220N, D-17206, D-18206, D-18220N, D-19206, D-60021</t>
  </si>
  <si>
    <t>QC#13158
QC#13159</t>
  </si>
  <si>
    <t>EN#5130358, INV#YD23-T09, T/R, GATEFEE9/21, empty return 10/3
- EVER LEADING, (E13), COSCO
- Moored 9/22, discharged 9/22, LFD 9/28
- print screen</t>
  </si>
  <si>
    <t>ZCSU6734660</t>
  </si>
  <si>
    <t>EN#5130540, INV#KB230805, OBL9/7, empty return 9/27
- MAERSK YUKON, (G7), ZIM
- have additional $150 APM surcharge
- Moored 9/22, discharged 9/23, LFD 9/28
- Live unload</t>
  </si>
  <si>
    <t>EITU9360676</t>
  </si>
  <si>
    <r>
      <rPr>
        <rFont val="Arial"/>
        <color rgb="FF000000"/>
        <sz val="11.0"/>
      </rPr>
      <t xml:space="preserve">EN#5129721, INV#100/EXP/INV/VII/2023, T/R, </t>
    </r>
    <r>
      <rPr>
        <rFont val="Arial"/>
        <color rgb="FF000000"/>
        <sz val="11.0"/>
      </rPr>
      <t>empty return 9/25</t>
    </r>
    <r>
      <rPr>
        <rFont val="Arial"/>
        <color rgb="FF000000"/>
        <sz val="11.0"/>
      </rPr>
      <t xml:space="preserve">
- EVER FEAT, (D21), EG
- Moored 9/13, discharged 9/14, LFD 9/21</t>
    </r>
  </si>
  <si>
    <t>EITU1799826</t>
  </si>
  <si>
    <t>EN#5129898, INV#POP23017, T/R, empty return 9/22
- EVER FORTUNE, (E6), EG
- emailed Sanitary Cert to GW 8/15
- sent original Sanitary Cert to GW 8/21
- USDA permit sent to GW 8/30
- have additional $150 Maher surcharge
- Moored 9/13, discharged 9/14, LFD 9/19
- have additional Empty Pick-up surcharge ($535 + 32% Fuel)</t>
  </si>
  <si>
    <t>EITU9436350</t>
  </si>
  <si>
    <t>KONJAC ICE JELLY</t>
  </si>
  <si>
    <r>
      <rPr>
        <rFont val="Arial"/>
        <color rgb="FF000000"/>
        <sz val="11.0"/>
      </rPr>
      <t xml:space="preserve">EN#5129861, INV#POP23020, T/R, </t>
    </r>
    <r>
      <rPr>
        <rFont val="Arial"/>
        <color rgb="FF000000"/>
        <sz val="11.0"/>
      </rPr>
      <t>empty return 9/19</t>
    </r>
    <r>
      <rPr>
        <rFont val="Arial"/>
        <color rgb="FF000000"/>
        <sz val="11.0"/>
      </rPr>
      <t xml:space="preserve">
- EVER FORTUNE, (E7), EG
- emailed Sanitary Cert to GW 8/15
- sent original Sanitary Cert to GW 8/21
- USDA permit sent to GW 8/30
- have additional $150 Maher surcharge
- Moored 9/13, discharged 9/14, LFD 9/19</t>
    </r>
  </si>
  <si>
    <t>TGBU9972652</t>
  </si>
  <si>
    <t>EN#5130193, INV#R1-053/EXP-POP37855/07/2023, T/R, empty return 9/18
- CMA CGM PANAMA, (F11), EG
- additional $150/container APM surcharge
- Moored 9/11, discharged 9/12, LFD 9/18</t>
  </si>
  <si>
    <t>TXGU5538867</t>
  </si>
  <si>
    <r>
      <rPr>
        <rFont val="Arial"/>
        <color rgb="FF000000"/>
        <sz val="11.0"/>
      </rPr>
      <t xml:space="preserve">EN#5129715, INV#097/EXP/INV/VII/2023, T/R, </t>
    </r>
    <r>
      <rPr>
        <rFont val="Arial"/>
        <color rgb="FF000000"/>
        <sz val="11.0"/>
      </rPr>
      <t>empty return 9/15</t>
    </r>
    <r>
      <rPr>
        <rFont val="Arial"/>
        <color rgb="FF000000"/>
        <sz val="11.0"/>
      </rPr>
      <t xml:space="preserve">
- CMA CGM PANAMA, (D20), EG
- additional $150/container APM surcharge
- Moored 9/11, discharged 9/12, LFD 9/18</t>
    </r>
  </si>
  <si>
    <t>DFSU6960846</t>
  </si>
  <si>
    <t>EN#5130085, INV#099/EXP/INV/VII/2023, T/R, empty return 9/14
- CMA CGM PANAMA, (E17), EG
- additional $150/container APM surcharge
- Moored 9/11, discharged 9/12, LFD 9/18</t>
  </si>
  <si>
    <t>TXGU5821645</t>
  </si>
  <si>
    <t>GINGER CHEWS 1 KG (ORIGINAL)
(to RC COMMERCE)</t>
  </si>
  <si>
    <t>EN#5129669, INV#096/EXP/INV/VII/2023, T/R, empty return 9/20
- CMA CGM PANAMA, (D19), EG
- additional $150/container APM surcharge
- Moored 9/11, discharged 9/18, LFD 9/18
- prepull 9/18
- Live unload
- unload waiting Time Charge = (2.5hr – 2hr Free) x $95/hr = $47.50
- Received signed Proforma Invoice &amp; DO from Eric Hong
- BP receive this shipment in DC</t>
  </si>
  <si>
    <t>EGHU8501887</t>
  </si>
  <si>
    <r>
      <rPr>
        <rFont val="Arial"/>
        <color rgb="FF000000"/>
        <sz val="11.0"/>
      </rPr>
      <t xml:space="preserve">EN#5129803, INV#051/EXP-POP37807/07/2023, T/R, </t>
    </r>
    <r>
      <rPr>
        <rFont val="Arial"/>
        <color rgb="FF000000"/>
        <sz val="11.0"/>
      </rPr>
      <t>empty return 9/18</t>
    </r>
    <r>
      <rPr>
        <rFont val="Arial"/>
        <color rgb="FF000000"/>
        <sz val="11.0"/>
      </rPr>
      <t xml:space="preserve">
- CMA CGM PANAMA, (E4), EG
- additional $150/container APM surcharge
- Moored 9/11, discharged 9/12, LFD 9/18</t>
    </r>
  </si>
  <si>
    <t>DRYU9830315</t>
  </si>
  <si>
    <t>TEABAGS
D-13106, D-13020N, D-13306, D-14106, D-15106, D-18106, D-18120N</t>
  </si>
  <si>
    <t>QC#13164
QC#13165
QC#13166</t>
  </si>
  <si>
    <t>EN#5129971, INV#YD23-T08, T/R, GATEFEE9/11, empty return 9/19
- EVER LEGEND, (E16), COSCO
- Moored 9/11, discharged 9/12, LFD 9/15
- print screen</t>
  </si>
  <si>
    <t>HMMU5494101</t>
  </si>
  <si>
    <t>TEA
D-60023B, D-60013B</t>
  </si>
  <si>
    <t>EN#5130385, INV#23TM041, OBL8/31, No GATEFEE (LCL)
- ONE ARCADIA, (E14), HMM
- GW will deliver LCL, 2 plts
- Moored 9/10, discharged 9/11, LFD 9/15, FCL picked up 9/11
- delivered without appointment</t>
  </si>
  <si>
    <t>APHU7239800</t>
  </si>
  <si>
    <t>GHC(D-04061), GHC LEMON(D-04037), INSTANT TEA CHINESE HERBAL BULK(A-6101G)</t>
  </si>
  <si>
    <t>QC#13163</t>
  </si>
  <si>
    <t>EN#5130787, INV#AIT2309, T/R, GATEFEE9/11, empty return 9/22
- CMA CGM NEW JERSEY, (F18), CMA
- Moored 9/9, discharged 9/9, LFD 9/14
- ready for pickup, LFD 9/19</t>
  </si>
  <si>
    <t>BEAU5305000</t>
  </si>
  <si>
    <t>EN#5129553, INV#120440, T/R, GATEFEE9/11, empty return 9/14
- NYK DEMETER, (C15), ONE
- Moored 9/9, discharged 9/10, LFD 9/14
- Live unload
- print screen lot &amp; exp
- no need QC, Jie has done QC</t>
  </si>
  <si>
    <t>EMCU8404325</t>
  </si>
  <si>
    <t>EN#5129590, INV#091/EXP/INV/VII/2023, T/R, GATEFEE9/6, empty return 9/20
- CMA CGM CHILE, (D10), EG
- Moored 9/9, discharged 9/9, LFD 9/14
- container is from SSA Terminal and SSA has no Evergreen chassis,  it will be chassis usage charge
- EG/GW issue chassis refund</t>
  </si>
  <si>
    <t>EITU9416693</t>
  </si>
  <si>
    <t>GINGER CHEWS 8 OZ (MANGO, LYCHEE, BLOOD ORANGE)</t>
  </si>
  <si>
    <r>
      <rPr>
        <rFont val="Arial"/>
        <color rgb="FF000000"/>
        <sz val="11.0"/>
      </rPr>
      <t xml:space="preserve">EN#5130397, INV#054/EXP-POP37808/07/2023, T/R, </t>
    </r>
    <r>
      <rPr>
        <rFont val="Arial"/>
        <color rgb="FF000000"/>
        <sz val="11.0"/>
      </rPr>
      <t>empty return 9/14</t>
    </r>
    <r>
      <rPr>
        <rFont val="Arial"/>
        <color rgb="FF000000"/>
        <sz val="11.0"/>
      </rPr>
      <t xml:space="preserve">
- EVER FAIR, (E15), EG
- Moored 9/7, discharged 9/9, LFD 9/14</t>
    </r>
  </si>
  <si>
    <t>CMAU6205403</t>
  </si>
  <si>
    <t xml:space="preserve">GHC LEMON, INSTANT TEA CHINESE HERBAL BULK, J.K. POSTER </t>
  </si>
  <si>
    <t>EN#5130244, INV#AIT2308, T/R, GATEFEE9/6, empty return 9/14
- CMA CGM VIRGINIA, (E12), CMA
- Jade Kwan concert poster
- Moored 9/6, discharged 9/6, LFD 9/12
- no received PO (b) received from Andy</t>
  </si>
  <si>
    <t>ONEU0074530</t>
  </si>
  <si>
    <t>EN#5129588, INV#120463, T/R, empty return 9/7
- NYK DEMETER, (C16), ONE
- Moored 9/5, discharged 9/5, LFD 9/11
- prepull 9/6</t>
  </si>
  <si>
    <t>TXGU5822169</t>
  </si>
  <si>
    <r>
      <rPr>
        <rFont val="Arial"/>
        <color rgb="FF000000"/>
        <sz val="11.0"/>
      </rPr>
      <t xml:space="preserve">EN#5129486, INV#049/EXP-POP37854/07/2023, T/R, </t>
    </r>
    <r>
      <rPr>
        <rFont val="Arial"/>
        <color rgb="FF000000"/>
        <sz val="11.0"/>
      </rPr>
      <t>empty return 9/11</t>
    </r>
    <r>
      <rPr>
        <rFont val="Arial"/>
        <color rgb="FF000000"/>
        <sz val="11.0"/>
      </rPr>
      <t xml:space="preserve">
- CMA CGM CORTE REAL, (D7), EG
- have additional $150 APM surcharge
- Moored 9/5, discharged 9/5, LFD 9/11</t>
    </r>
  </si>
  <si>
    <t>TGBU4461691</t>
  </si>
  <si>
    <t>GINGER CHEWS PLUS+ 3 OZ (ORIGINAL)</t>
  </si>
  <si>
    <t>EN#5129484, INV#045/EXP-POP37755/07/2023, T/R, empty return 9/14
- CMA CGM CORTE REAL, (D5), EG
- have additional $150 APM surcharge
- Moored 9/5, discharged 9/5, LFD 91/11</t>
  </si>
  <si>
    <t>CLKU5011295</t>
  </si>
  <si>
    <t>QC#13163
QC#13164</t>
  </si>
  <si>
    <t>EN#5129929, INV#HR2304, T/R, GATEFEE9/1, empty return 9/13
- YM TROPHY, (E10), HMM
- Moored 9/5, discharged 9/5, LFD 9/11</t>
  </si>
  <si>
    <t>EMCU8230542</t>
  </si>
  <si>
    <r>
      <rPr>
        <rFont val="Arial"/>
        <color rgb="FF000000"/>
        <sz val="11.0"/>
      </rPr>
      <t xml:space="preserve">EN#5128971, INV#077/EXP/INV/VI/2023, T/R, </t>
    </r>
    <r>
      <rPr>
        <rFont val="Arial"/>
        <color rgb="FF000000"/>
        <sz val="11.0"/>
      </rPr>
      <t>empty return 9/8</t>
    </r>
    <r>
      <rPr>
        <rFont val="Arial"/>
        <color rgb="FF000000"/>
        <sz val="11.0"/>
      </rPr>
      <t xml:space="preserve">
- TEXAS TRIUMPH, (C18), EG
- have additional $150 Maher surcharge
- Moored 9/3, discharged 9/5, LFD 9/11</t>
    </r>
  </si>
  <si>
    <t>EGHU9025846</t>
  </si>
  <si>
    <t>MAJESTIC BISCUITS</t>
  </si>
  <si>
    <t>EN#5130164, INV#RGS/POP-0123, T/R, empty return 9/11
- CSCL SOUTH CHINA SEA, (E9), EG
- Moored 9/1, discharged 9/5, LFD 9/12
- GW issue chassis refund (5130164-credit memo)</t>
  </si>
  <si>
    <t>YMMU4102733</t>
  </si>
  <si>
    <t>EN#5129723, INV#2142, T/R, GATEFEE8/24, empty return 9/12
- YM WELCOME, (D22), YANG MING
- Moored 8/30, discharged 8/31, LFD 9/7
- empty return pier waiting was from 11-1:24pm additional 1 ½ hr
- YANG MING per diem $40</t>
  </si>
  <si>
    <t>TXGU5598167</t>
  </si>
  <si>
    <t>GINGER CHEWS 1 LBS (LEMON, MANGO, LYCHEE)</t>
  </si>
  <si>
    <t>QC#13162
QC#13163</t>
  </si>
  <si>
    <t>EN#5129485, INV#046/EXP-POP37791/07/2023, T/R, GATEFEE8/28, empty return 9/11
- EVER FAR, (D6), EG
- Moored 8/29, discharged 8/30, LFD 9/6
- received PO received 9/11</t>
  </si>
  <si>
    <t>KKTU8198981</t>
  </si>
  <si>
    <r>
      <rPr>
        <rFont val="Arial"/>
        <color rgb="FF000000"/>
        <sz val="11.0"/>
      </rPr>
      <t xml:space="preserve">EN#5130243, INV#94231049, no PL, T/R, </t>
    </r>
    <r>
      <rPr>
        <rFont val="Arial"/>
        <color rgb="FF000000"/>
        <sz val="11.0"/>
      </rPr>
      <t>empty return 9/8</t>
    </r>
    <r>
      <rPr>
        <rFont val="Arial"/>
        <color rgb="FF000000"/>
        <sz val="11.0"/>
      </rPr>
      <t xml:space="preserve">
- TIRUA, (E11), ONE
- have additional $150 Maher surcharge
- Moored 8/29, discharged 8/30, LFD 9/6</t>
    </r>
  </si>
  <si>
    <t>BMOU6011811</t>
  </si>
  <si>
    <t>JELLY</t>
  </si>
  <si>
    <r>
      <rPr>
        <rFont val="Arial"/>
        <color rgb="FF000000"/>
        <sz val="11.0"/>
      </rPr>
      <t xml:space="preserve">EN#5129763, INV#POP23018, T/R, GATEFEE8/28, </t>
    </r>
    <r>
      <rPr>
        <rFont val="Arial"/>
        <color rgb="FF000000"/>
        <sz val="11.0"/>
      </rPr>
      <t>empty return 9/7</t>
    </r>
    <r>
      <rPr>
        <rFont val="Arial"/>
        <color rgb="FF000000"/>
        <sz val="11.0"/>
      </rPr>
      <t xml:space="preserve">
- EVER FAR, (E3), EG
- original vet cert sent to GW 8/14, Fedex 773045316648
- No milk and red ear slider, so no need USDA permit
- Moored 8/29, discharged 8/29, LFD 9/5
- deliver with no Evergreen chassis</t>
    </r>
  </si>
  <si>
    <t>ZCSU7725088</t>
  </si>
  <si>
    <t>GHC (D-04061/D-04033)</t>
  </si>
  <si>
    <r>
      <rPr>
        <rFont val="Arial"/>
        <color rgb="FF000000"/>
        <sz val="11.0"/>
      </rPr>
      <t xml:space="preserve">EN#5129618, INV#JB2313, T/R, </t>
    </r>
    <r>
      <rPr>
        <rFont val="Arial"/>
        <color rgb="FF000000"/>
        <sz val="11.0"/>
      </rPr>
      <t>empty return 9/6</t>
    </r>
    <r>
      <rPr>
        <rFont val="Arial"/>
        <color rgb="FF000000"/>
        <sz val="11.0"/>
      </rPr>
      <t xml:space="preserve">
- MAERSK SARAT, (D18), ZIM
- have additional $150 APM surcharge
- Moored 8/29, discharged 8/30, LFD 9/6</t>
    </r>
  </si>
  <si>
    <t>GESU6339953</t>
  </si>
  <si>
    <t>EN#5129439, INV#SS2304025-H, T/R, empty return 8/30
- EVER LUCENT, (D16), CMA
- have additional $150 Maher surcharge
- Moored 8/26, discharged, LFD 8/31</t>
  </si>
  <si>
    <t>MRKU4270097</t>
  </si>
  <si>
    <t>EN#5129388, INV#JB2311, T/R, empty return 9/5
- MSC TIANSHAN, (D12), MAEU
- have additional $150 APM surcharge
- Moored 8/26, discharged 8/26, LFD 8/31</t>
  </si>
  <si>
    <t>220
(6 PLTS)
(LCL)</t>
  </si>
  <si>
    <t>EITU9135607</t>
  </si>
  <si>
    <t>ALUMINIUM FOIL, TAG
(to Sun Ten)</t>
  </si>
  <si>
    <t>EN#5129800, INV#LFE-0726/23
- EVER FAR, (E22), EG
- Moored 8/24, discharged 8/26, LFD 9/1, FCL pickup?, FCL empty return 9/5
- LCL deliver to Sun Ten</t>
  </si>
  <si>
    <t>TCNU8527550</t>
  </si>
  <si>
    <r>
      <rPr>
        <rFont val="Arial"/>
        <color rgb="FF000000"/>
        <sz val="11.0"/>
      </rPr>
      <t xml:space="preserve">EN#5129762, INV#POP23016, T/R, </t>
    </r>
    <r>
      <rPr>
        <rFont val="Arial"/>
        <color rgb="FF000000"/>
        <sz val="11.0"/>
      </rPr>
      <t>empty return 9/7</t>
    </r>
    <r>
      <rPr>
        <rFont val="Arial"/>
        <color rgb="FF000000"/>
        <sz val="11.0"/>
      </rPr>
      <t xml:space="preserve">
- EVER FAR, (E2), EG
- original vet cert sent to GW 8/14, Fedex 773045316648
- Moored 8/24, discharged 8/26, LFD?
- USDA permit sent to GW 8/30</t>
    </r>
  </si>
  <si>
    <t>GAOU6686080</t>
  </si>
  <si>
    <t>EN#5129619, INV#047/EXP-POP37821/07/2023, T/R, GATEFEE8/22, empty return 8/29
- EVER FRONT, (D13), EG
- Moored 8/23, discharged 8/23, LFD 8/30</t>
  </si>
  <si>
    <t>TGBU4291722</t>
  </si>
  <si>
    <t>EN#5129299, INV#083/EXP/INV/VII/2023, T/R, GATEFEE8/22, empty return 8/30
- EVER FRONT, (D4), EG
- Moored 8/23, discharged 8/24, LFD 8/30
-QC PL5539797, F-04070 have no lot#07012025</t>
  </si>
  <si>
    <t>TXGU5637849</t>
  </si>
  <si>
    <t>EN#5129209, INV#081/EXP/INV/VII/2023, T/R, GATEFEE8/22, empty return 9/5
- EVER FRONT, (C21), EG
- Moored 8/23, discharged 8/24, LFD 8/30
- 5539797 sent to warehouse 10/26</t>
  </si>
  <si>
    <t>EMCU8471025</t>
  </si>
  <si>
    <r>
      <rPr>
        <rFont val="Arial"/>
        <color rgb="FF000000"/>
        <sz val="11.0"/>
      </rPr>
      <t xml:space="preserve">EN#5129625, INV#044/EXP-POP37823/07/2023, T/R, </t>
    </r>
    <r>
      <rPr>
        <rFont val="Arial"/>
        <color rgb="FF000000"/>
        <sz val="11.0"/>
      </rPr>
      <t>empty return 8/30</t>
    </r>
    <r>
      <rPr>
        <rFont val="Arial"/>
        <color rgb="FF000000"/>
        <sz val="11.0"/>
      </rPr>
      <t xml:space="preserve">
- CMA CGM AMERIGO VESP, (D14), EG
- have additional $150 APM surcharge
- Moored 8/21, discharged 8/22, LFD 8/28</t>
    </r>
  </si>
  <si>
    <t>EMCU8845953</t>
  </si>
  <si>
    <r>
      <rPr>
        <rFont val="Arial"/>
        <color rgb="FF000000"/>
        <sz val="11.0"/>
      </rPr>
      <t xml:space="preserve">GINGER CHEWS 1 LBS (ORIGINAL, LEMON, MANGO, LYCHEE, BLOOD ORANGE, PINEAPPLE COCONUT)
</t>
    </r>
    <r>
      <rPr>
        <rFont val="Arial"/>
        <color rgb="FF000000"/>
        <sz val="11.0"/>
      </rPr>
      <t>(to BOXOUT warehouse in LA)</t>
    </r>
  </si>
  <si>
    <t>EN#5129626, INV#050/EXP-POP37806/07/2023, T/R
- EVER FRONT, (D15), EG
- Deliver to BOXOUT warehouse in LA
- 1560 South Baker Ave, Unit 103 dg
Ontario, CA 91761
CAInbound@boxouthealth.com
(909) 937-6094
- Free drop &amp; pick if facility has a secure gate
- If not gated, 1hr free unloading and $50 each add’l hour
- Moored 8/18, discharged 8/18, LFD 8/25
- prepull 8/22
- Delivered 8/23, unloaded 9/5, empty return 9/7
- Boxout informed empty 9/4, ELFD 8/28, Detention bill to Boxout ($120/day)
- Credit Memo for EG chassis refund
- per EG, empty return LFD is 9/7, empty return 9/7, so no detention/per diem</t>
  </si>
  <si>
    <t>FCIU9504677</t>
  </si>
  <si>
    <t>EN#5129862, INV#POP23019, T/R, empty return 8/29
- CMA CGM A. LINCOLN, (E5), COSCO
- emailed Sanitary Cert to GW 8/15
- not need USDA permit as there was no health certificate
- Moored 8/18, discharged 8/20, LFD?
- prepull 8/23
- sent original Sanitary Cert to GW 8/21
- Per trucker, empty cannot be returned yet due to lack of terminal appointments and/or return location</t>
  </si>
  <si>
    <t>EMCU8779511</t>
  </si>
  <si>
    <t>EN#5129205, INV#INV-000024, T/R, empty return 8/23
- EVER FRONT, (E1) , EG
- Prepull 8/21
- Moored 8/18, discharged 8/18, LFD 8/24</t>
  </si>
  <si>
    <t>EGHU8227101</t>
  </si>
  <si>
    <t xml:space="preserve">GINGER CHEWS 4 OZ (ORIGINAL) </t>
  </si>
  <si>
    <r>
      <rPr>
        <rFont val="Arial"/>
        <color rgb="FF000000"/>
        <sz val="11.0"/>
      </rPr>
      <t xml:space="preserve">EN#2151984, INV#082/EXP/INV/VII/2023, T/R, </t>
    </r>
    <r>
      <rPr>
        <rFont val="Arial"/>
        <color rgb="FF000000"/>
        <sz val="11.0"/>
      </rPr>
      <t>empty return 8/24</t>
    </r>
    <r>
      <rPr>
        <rFont val="Arial"/>
        <color rgb="FF000000"/>
        <sz val="11.0"/>
      </rPr>
      <t xml:space="preserve">
- EVER FRONT, (C22), EG
- Moored 8/18, discharged 8/20, LFD?</t>
    </r>
  </si>
  <si>
    <t>TXGU6089884</t>
  </si>
  <si>
    <r>
      <rPr>
        <rFont val="Arial"/>
        <color rgb="FF000000"/>
        <sz val="11.0"/>
      </rPr>
      <t xml:space="preserve">GHC (D-04016)
</t>
    </r>
    <r>
      <rPr>
        <rFont val="Arial"/>
        <color rgb="FF000000"/>
        <sz val="11.0"/>
      </rPr>
      <t>(to RC COMMERCE)</t>
    </r>
  </si>
  <si>
    <t>EN#5129387, INV#JB2314, T/R, empty return 8/18
- COSCO SAKURA, (D8), EG
- vessel IMO 9785794
- deliver to RC Commerce
- have additional $150 Maher surcharge
- Moored 8/13, discharged 8/15, LFD 8/21
- prepull 8/16
- received DO &amp; Proforma Invoice 8/21</t>
  </si>
  <si>
    <t>CMAU4799292</t>
  </si>
  <si>
    <t>GHC (D-04061/D-04030/D-04033/D-41986)</t>
  </si>
  <si>
    <t>EN#5129617, INV#JB2312, T/R, GATEFEE8/10, empty return 8/21
- CMA CGM SWORDFISH, (D17), CMA
- Moored 8/13, discharged 8/13
- ready for pickup 8/17, LFD 8/22
- QC 5534012</t>
  </si>
  <si>
    <t>TRHU8151912</t>
  </si>
  <si>
    <t>EN#5129207, INV#20230711, T/R, empty return 8/14
- EVER LUNAR, (D2), EG
- moored 8/9, discharged 8/9</t>
  </si>
  <si>
    <t>HLBU3175080</t>
  </si>
  <si>
    <t>EN#5128561, INV#94214237, T/R, no PL, GATEFEE8/8, empty return 8/15
- NYK NEBULA, (C6), HL
- Moored 8/7, discharged 8/7, LFD 8/11
- have split return chassis charge
- driver wait empty return 11:44-2:25pm, pier waiting additional 2hrs
- QC 5534012</t>
  </si>
  <si>
    <t>GCXU5333692</t>
  </si>
  <si>
    <t>EN#5128748, INV#071/EXP/INV/VI/2023, T/R, empty return 8/11
- CMA CGM C COLOMB, (C14), EG
- have additional $150 APM surcharge
- have additional Empty Pick-up surcharge ($535 + 32% Fuel)
- Moored 8/8, discharged 8/8</t>
  </si>
  <si>
    <t>MRKU4200628</t>
  </si>
  <si>
    <r>
      <rPr>
        <rFont val="Arial"/>
        <color rgb="FF000000"/>
        <sz val="11.0"/>
      </rPr>
      <t xml:space="preserve">EN#5129204, INV#SS2304026-H, T/R, GATEFEE 7/31, </t>
    </r>
    <r>
      <rPr>
        <rFont val="Arial"/>
        <color rgb="FF000000"/>
        <sz val="11.0"/>
      </rPr>
      <t>empty return 8/15</t>
    </r>
    <r>
      <rPr>
        <rFont val="Arial"/>
        <color rgb="FF000000"/>
        <sz val="11.0"/>
      </rPr>
      <t xml:space="preserve">
- MAERSK STADELHORN, (D1), MAEU
- Moored 8/5, discharged 8/7
- Ready for pickup 8/11, LFD 8/16
- QC PL#5532701 for GC</t>
    </r>
  </si>
  <si>
    <t>TGBU6610496</t>
  </si>
  <si>
    <t>GINGER CHEWS 8 OZ (ORIGINAL, LEMON), 1 LBS (ORIGINAL)</t>
  </si>
  <si>
    <t>EN#5128473, INV#066/EXP/INV/VI/2023, T/R, GATEFEE 8/2, empty return 8/11
- CMA CGM MARCO POLO, (C8), EG
- Moored 8/2, discharged 8/2
- EG chassis refund $120
- QC 5534012</t>
  </si>
  <si>
    <t>ONEU0219567</t>
  </si>
  <si>
    <t>7/27/2023
7/28/2023</t>
  </si>
  <si>
    <r>
      <rPr>
        <rFont val="Arial"/>
        <color rgb="FF000000"/>
        <sz val="11.0"/>
      </rPr>
      <t xml:space="preserve">EN#5129389, INV#120156, T/R, </t>
    </r>
    <r>
      <rPr>
        <rFont val="Arial"/>
        <color rgb="FF000000"/>
        <sz val="11.0"/>
      </rPr>
      <t>empty return 8/8</t>
    </r>
    <r>
      <rPr>
        <rFont val="Arial"/>
        <color rgb="FF000000"/>
        <sz val="11.0"/>
      </rPr>
      <t xml:space="preserve">
- TOLTEN, (C17), ONE
- have additional $150 Maher surcharge
- prepull 8/3</t>
    </r>
  </si>
  <si>
    <t>EITU9319456</t>
  </si>
  <si>
    <t>EN#5128970, INV#EMI230001615, OBL7/17, empty return 8/3
- CMA CGM T.JEFFERSON, (C20), EG
- have additional $150 APM surcharge
- OBL Fedex 772755125802
- Live unload</t>
  </si>
  <si>
    <t>GAOU6320996</t>
  </si>
  <si>
    <t>EN#5128745, INV#POP-05/23, OBL 7/31, GATEFEE 7/31, empty return 8/14
- CMA CGM MARCO POLO, (C13), EG
- Moored 8/2, discharged 8/8, LFD 8/8
- no EG chassis, have chassis usage charge
- EG chassis refund, GW issue credit memo $120
- QC 5534012</t>
  </si>
  <si>
    <t>MSMU7161359</t>
  </si>
  <si>
    <t>RED PANAX GINSENG EXTRACTUM
GINKGO BILOBA &amp; RED PANAX GINSENG EXTRACT
ULTRA GINKGO PLUS WITH ELEUTHERO &amp; TIBETAN RHODIOLA
ULTRA JOINT HEALTH LIQUID EXTRACT</t>
  </si>
  <si>
    <r>
      <rPr>
        <rFont val="Arial"/>
        <color rgb="FF000000"/>
        <sz val="11.0"/>
      </rPr>
      <t>7/25/2023</t>
    </r>
    <r>
      <rPr>
        <rFont val="Arial"/>
        <color rgb="FF000000"/>
        <sz val="11.0"/>
      </rPr>
      <t xml:space="preserve">
8/18/2023</t>
    </r>
  </si>
  <si>
    <t>EN#5129487, INV#JL-HR2303, T/R, empty return 8/8
- GEORG MAERSK, (D11), MSC
- additional $150 APM Surcharge
- terminal demurrage 8/3-8/4
- shipping line demurrage 8/3-8/4
- have Empty Pick-up surcharge ($535 + 32% Fuel)
- FDA completed inspection 8/10, only examined the Ultra Ginkgo Plus and collected 3 boxes for lab test, verbally informed the rest of the four items were released
- ULTRA GINKGO PLUS, sample collected 8/10, lab test in process 8/14, fda released 8/18</t>
  </si>
  <si>
    <t>EITU9386808</t>
  </si>
  <si>
    <t>EN#5128744, INV#POP-06/23, OBL7/24
- CMA CGM MARCO POLO, (C12), EG,
- OBL FedEx tracking No.: 772829151698 
- additional express fee
- Empty Container returned 8/1</t>
  </si>
  <si>
    <t>EITU1935814</t>
  </si>
  <si>
    <t>8/14/2023
8/16/2023</t>
  </si>
  <si>
    <t>EN#5129206, INV#POP23015, T/R, GATEFEE7/24, empty return 8/17
- EVER FOREVER, (D3), EG
- emailed vet cert to GW 7/7
- original vet certificate mailed to GW 7/11, fedex :772707249270 
- Ready for pickup 8/14, LFD 8/1
- pay demurrage $2,365 Through 2023-08-15
- USDA permit sent to GW 8/30</t>
  </si>
  <si>
    <t>MTSU9667714</t>
  </si>
  <si>
    <t>EN#5128564, INV#94214241, T/R, empty return 8/4
- NYK ROMULUS, (C4), HL
- Trucker not able to pull out and no available appointments on 7/27, Earliest appt is 8am 7/28, one day demurrage. Reach out to HLC, they collect their own demurrage
- received demurrage invoice 2122826831 from HL on 6/5/2024, one day demurrage, $203.66</t>
  </si>
  <si>
    <t>EGHU9659012</t>
  </si>
  <si>
    <t>TEABAGS
D-13306, D-14106, D-15106, D-16106, D-17106</t>
  </si>
  <si>
    <t>EN#5128667, INV#YD23-T04, T/R, empty return 8/1
- OOCL CHONGQING, (C9), EG
- have an additional $150 Maher Surcharge
- additional Empty Pick-up surcharge ($535 + 32% Fuel)</t>
  </si>
  <si>
    <t>EITU9308554</t>
  </si>
  <si>
    <t>EN#2151298, INV#055/EXP/INV/V/2023, T/R, empty return 7/21
- CMA CGM J. MADISON, (B13), EG</t>
  </si>
  <si>
    <t>EMCU8813200</t>
  </si>
  <si>
    <t>EN#5127908, INV#049/EXP/INV/V/2023, T/R, Empty Return 7/24
- CMA CGM J. MADISON, (B4), EG, 
- Additional $150 APM Surcharge
- LFD7/21</t>
  </si>
  <si>
    <t>SEKU4519718</t>
  </si>
  <si>
    <t>GHC TURMERIC (D-04032/D-04033) 
DARK BROWN SUGAR (D-41986)</t>
  </si>
  <si>
    <t>EN#5128522, INV#JB2309, T/R,
empty return 7/27
- CMA CGM UNITY, (C2), CMA
- MXZLO = Manzanillo, Mexico
- additional $150 Maher Surcharge</t>
  </si>
  <si>
    <t>EISU8233061</t>
  </si>
  <si>
    <t>EN#5128822, INV#POP23014, T/R, GATEFEE7/17, empty return 8/17
- EVER FEAT, (C11), EG
- emailed vet cert to GW 7/5
- original vet certificate mailed to GW 7/7, fedex 772675392193
- Discharged 7/17
- Pending USDA permit
- Sent to GO 8/1
- ready for pickup 8/14, LFD 7/25
- pay demurrage $3,245 Through 2023-08-15
- No Evergreen chassis and it will be chassis usage charge
- USDA permit sent to GW 8/30
- GW issue chassis refund</t>
  </si>
  <si>
    <t>CMAU7152252</t>
  </si>
  <si>
    <t>GHC (LEMON D-04037), Wild AM GSG I*Tea Granules In Bulk (A-6101G)</t>
  </si>
  <si>
    <t>EN#5129016, INV#AIT2306, T/R, GATEFEE7/14, empty return 7/31
- CMA CGM VIRGINIA, (C19), CMA
- Discharged7/18, LFD7/28
- pier waiting was from 8:45-10:51am additional 1hr
- QC 5534012</t>
  </si>
  <si>
    <t>TRHU6561688</t>
  </si>
  <si>
    <t>EN#5128309, INV#063/EXP/PL/VI/2023, T/R GATEFEE7/17, empty return 7/26
- EVER FEAT, (B22), EG
- Discharged 7/6
- QC 5534012</t>
  </si>
  <si>
    <t>TLLU7768363</t>
  </si>
  <si>
    <t>EN#5128420, INV#JB2307, T/R, empty return 7/20
- COSCO AZALEA, (C7), CMA
- have an additional $150 Maher Surcharge</t>
  </si>
  <si>
    <t>TRHU5717565</t>
  </si>
  <si>
    <t>8/14/2023
8/15/2023</t>
  </si>
  <si>
    <t>EN#5128782, INV#POP23013, T/R, empty return 8/2
- EVER FEAT, (C10), EG
- JC provide revised invoice (Genus/Species name, origin and captive or wild caught) to GW 6/27
- emailed vet heath cert to GW 7/5
- original vet certificate mailed to GW 7/7, fedex 772675392193
- Pending USDA permit
- Moored 7/10, discharged 7/11, picked up 7/28, empty return 8/2
- Sent to GO warehouse, would be picked up and delivered as loose cargo on 27 pallets and will need to be a live-unload
- LCL delivery (27 plts), Live unload
- USDA permit sent to GW 8/30</t>
  </si>
  <si>
    <t>EGHU8268672</t>
  </si>
  <si>
    <r>
      <rPr>
        <rFont val="Arial"/>
        <color rgb="FF000000"/>
        <sz val="11.0"/>
      </rPr>
      <t>EN#2151299, INV#036/EXP-POP37796/05/2023, T/R, GATEFEE7/10, empty return 7/19</t>
    </r>
    <r>
      <rPr>
        <rFont val="Arial"/>
        <color rgb="FFFF0000"/>
        <sz val="11.0"/>
      </rPr>
      <t xml:space="preserve">
</t>
    </r>
    <r>
      <rPr>
        <rFont val="Arial"/>
        <color rgb="FF000000"/>
        <sz val="11.0"/>
      </rPr>
      <t>- EVER LIBRA, (B14), EG
- moored?, discharged 7/10
- EG/GW chassis refund $120
- QC 5534012</t>
    </r>
  </si>
  <si>
    <t>UETU5518904</t>
  </si>
  <si>
    <t>GHC (D-04061, D-41986)
Instant Chinese Herbal 3 in Bulk (A-6101G)</t>
  </si>
  <si>
    <r>
      <rPr>
        <rFont val="Arial"/>
        <color rgb="FF000000"/>
        <sz val="11.0"/>
      </rPr>
      <t>EN#5128523, INV#AIT2307, T/R, GATEFEE7/5, empty return7/24</t>
    </r>
    <r>
      <rPr>
        <rFont val="Arial"/>
        <color rgb="FFFF0000"/>
        <sz val="11.0"/>
      </rPr>
      <t xml:space="preserve">
</t>
    </r>
    <r>
      <rPr>
        <rFont val="Arial"/>
        <color rgb="FF000000"/>
        <sz val="11.0"/>
      </rPr>
      <t>- PRESIDENT WILSON, (C3), CMA
- Discharged 7/9, LFD 7/19
- QC 5534012</t>
    </r>
  </si>
  <si>
    <t>MRSU3290888</t>
  </si>
  <si>
    <t>RED PANAX GINSENG EXTRACT, GINKGO BILOBA, ULTRA JOINT</t>
  </si>
  <si>
    <t>EN#5127906, INV#HR2302, T/R, GATEFEE7/6, empty return 7/25
- EXPRESS BERLIN, (B3), MAEU
- FDA hold 7/5, inform GW 7/20
- GW reinformed FDA 7/26
- LFD7/21
- fda released without exam 8/8
- QC 5534012</t>
  </si>
  <si>
    <t>OOCU7802760</t>
  </si>
  <si>
    <t>ORGANIC TEABAGS
D-13206, D-13220N, D-14206, D-15206, D-17206, D-18206, D-18220N, D-19206</t>
  </si>
  <si>
    <t>7/2/2023
7/3/2023</t>
  </si>
  <si>
    <t>7/2/0203
7/3/2023</t>
  </si>
  <si>
    <r>
      <rPr>
        <rFont val="Arial"/>
        <color rgb="FF000000"/>
        <sz val="11.0"/>
      </rPr>
      <t>EN#2151300, INV#YD23-T07, T/R,empty return7/14
- OOCL BANGKOK, (B18), COSCO
- Maher surcharge ($150)
-</t>
    </r>
    <r>
      <rPr>
        <rFont val="Arial"/>
        <b/>
        <color rgb="FF000000"/>
        <sz val="11.0"/>
      </rPr>
      <t xml:space="preserve"> </t>
    </r>
    <r>
      <rPr>
        <rFont val="Arial"/>
        <color rgb="FF000000"/>
        <sz val="11.0"/>
      </rPr>
      <t>additional empty pick-up surcharge ($535 + 32% Fuel)
- Moored 7/7, discharged 7/7, LFD 7/13</t>
    </r>
  </si>
  <si>
    <t>OTPU6477706</t>
  </si>
  <si>
    <t>EN#5128313, INV#WW70/2023, T/R, GATEFEE7/7, empty return 7/18 (only one hour for free for return empty, additional 1hr + split return chassis.)
- ONE COLUMBA, (B17), YANG MING
- Reefer, no genset needed
- sent USDA permit to GW 6/21
- sent scanned vet cert to GW 6/30
- please issue one Veterinary certificate per shipment
- original vet cert mailed to GW 7/6, FedEx tracking 772661531710
- pre-pull on 7/14 , LFD7/14</t>
  </si>
  <si>
    <t>YMLU5396217</t>
  </si>
  <si>
    <t>EN#5128311, INV#WW69/2023, T/R, GATEFEE7/7, empty return7/14
- ONE COLUMBA, (B16), YANG MING
- Reefer, no genset needed
- sent USDA permit to GW 6/21
- sent scanned vet cert to GW 6/30
- please issue one Veterinary certificate per shipment
- original vet cert mailed to GW 7/6, FedEx tracking 772661531710
- pre-pull on 7/12
- F-96038 - UPC sticker</t>
  </si>
  <si>
    <t>SEKU9315281</t>
  </si>
  <si>
    <r>
      <rPr>
        <rFont val="Arial"/>
        <color rgb="FF000000"/>
        <sz val="11.0"/>
      </rPr>
      <t>EN#5128312, INV#WW68/2023, T/R, GATEFEE7/7, empty return7/19</t>
    </r>
    <r>
      <rPr>
        <rFont val="Arial"/>
        <color rgb="FFFF0000"/>
        <sz val="11.0"/>
      </rPr>
      <t xml:space="preserve">
</t>
    </r>
    <r>
      <rPr>
        <rFont val="Arial"/>
        <color rgb="FF000000"/>
        <sz val="11.0"/>
      </rPr>
      <t>- ONE COLUMBA, (B15), YANG MING
- Reefer, no genset needed
- sent USDA permit to GW 6/21
- sent scanned vet cert to GW 6/30
- please issue one Veterinary certificate per shipment
- original vet cert mailed to GW 7/6, FedEx tracking 772661531710
- Demurrage $450 paid on7/14,  $108 &amp; extended Dwell  fee $50 / day.
- additional 2 ½ hrs.  + pre-pull charge</t>
    </r>
  </si>
  <si>
    <t>KOCU4489344</t>
  </si>
  <si>
    <t>EN#5128260, INV#2141, T/R, GATEFEE7/7, empty return7/18
- YM UNANIMITY, (B20), HMM
- additional charge of pre-pull on 7/12
- Moored 7/6, discharged 7/7, LFD 7/12
- QC 5534012</t>
  </si>
  <si>
    <t>MRKU1021439</t>
  </si>
  <si>
    <t>EN#2151155, INV#2140, T/R, empty return7/11
- MAERSK SYDNEY, (B5), MAEU
- APM surcharge ($150)
- Moored 7/3, discharged 7/3, LFD 7/8</t>
  </si>
  <si>
    <t>210
(LCL)</t>
  </si>
  <si>
    <t>BMOU5622884</t>
  </si>
  <si>
    <t>CHEEZHENG
(4 PLTS)</t>
  </si>
  <si>
    <t>EN#2150659, INV#CZ23S013, T/R
- DORTMUND EXPRESS, (A12), YANG MING
- Moored 7/1, discharged 7/3
FCL picked up 7/5,  LCL delivery7/10</t>
  </si>
  <si>
    <t>EGHU9441041</t>
  </si>
  <si>
    <t>EN#2151156, INV#032/EXP-POP37822/05/2023, T/R, GATEFEE7/3, empty return7/13
- EVER FUTURE, (B6), EG
- Moored 7/2, discharged 7/3, LFD 7/11
- QC 5534012</t>
  </si>
  <si>
    <t>TGBU6616703</t>
  </si>
  <si>
    <r>
      <rPr>
        <rFont val="Arial"/>
        <color rgb="FF000000"/>
        <sz val="11.0"/>
      </rPr>
      <t>EN#5127698, INV#048/EXP/INV/V/2023, T/R, GATEFEE7/3, empty return7/17</t>
    </r>
    <r>
      <rPr>
        <rFont val="Arial"/>
        <color rgb="FFFF0000"/>
        <sz val="11.0"/>
      </rPr>
      <t xml:space="preserve">
</t>
    </r>
    <r>
      <rPr>
        <rFont val="Arial"/>
        <color rgb="FF000000"/>
        <sz val="11.0"/>
      </rPr>
      <t>- EVER FUTURE, (A20), EG
- additional pre-pull 7/12 + chassis usage charge
- Moored 7/2, discharged 7/2, LFD update
- QC 5534012</t>
    </r>
  </si>
  <si>
    <t>YMMU6294450</t>
  </si>
  <si>
    <t>GHC LEMON (D-04043)
TURMERIC BOX (D-04032)</t>
  </si>
  <si>
    <t>EN#5127783, INV#JB2308, T/R, empty return7/10
- DORTMUND EXPRESS, (A22), YANG MING
- have an additional $250 GCT Bayonne Surcharge
- Moored 7/1, discharged 7/1, LFD 7/7</t>
  </si>
  <si>
    <t>CMAU5656892</t>
  </si>
  <si>
    <t>GHC (D-04061)
AM GSG (D-04030)</t>
  </si>
  <si>
    <r>
      <rPr>
        <rFont val="Arial"/>
        <color rgb="FF000000"/>
        <sz val="11.0"/>
      </rPr>
      <t>EN#5128418, INV#HN-JB2310, T/R</t>
    </r>
    <r>
      <rPr>
        <rFont val="Arial"/>
        <color rgb="FFFF0000"/>
        <sz val="11.0"/>
      </rPr>
      <t xml:space="preserve">
</t>
    </r>
    <r>
      <rPr>
        <rFont val="Arial"/>
        <color rgb="FF000000"/>
        <sz val="11.0"/>
      </rPr>
      <t>GATEFEE7/5, empty return7/20
- CMA CGM FLORIDA, (C1), CMA
- At anchor 7/3, estimated berthing 7/7
- Moored 7/7, discharged 7/7, LFD 7/13
- QC 5534012</t>
    </r>
  </si>
  <si>
    <t>EITU1032557</t>
  </si>
  <si>
    <t>ORGANIC TEABAGS
D-13206, D-13220N, D-14206, D-14220, D-18206, D-18220N, D-19220</t>
  </si>
  <si>
    <t>6/25/2023
6/26/2023</t>
  </si>
  <si>
    <r>
      <rPr>
        <rFont val="Arial"/>
        <color rgb="FF000000"/>
        <sz val="11.0"/>
      </rPr>
      <t>EN#5128308, INV#YD23-T06, T/R, GATEFEE6/29,</t>
    </r>
    <r>
      <rPr>
        <rFont val="Arial"/>
        <color rgb="FFFF0000"/>
        <sz val="11.0"/>
      </rPr>
      <t xml:space="preserve"> </t>
    </r>
    <r>
      <rPr>
        <rFont val="Arial"/>
        <color rgb="FF000000"/>
        <sz val="11.0"/>
      </rPr>
      <t>empty return7/13</t>
    </r>
    <r>
      <rPr>
        <rFont val="Arial"/>
        <color rgb="FFFF0000"/>
        <sz val="11.0"/>
      </rPr>
      <t xml:space="preserve">
</t>
    </r>
    <r>
      <rPr>
        <rFont val="Arial"/>
        <color rgb="FF000000"/>
        <sz val="11.0"/>
      </rPr>
      <t>- EVER LOGIC, (B21), EG
- Moored 6/30, discharged 6/30, LFD 7/10
- with not Evergreen chassis
- QC 5534012</t>
    </r>
  </si>
  <si>
    <t>EITU9200554</t>
  </si>
  <si>
    <t>GINGER CHEWS 4 OZ (BLOOD ORANGE, PINEAPPLE COCONUT)</t>
  </si>
  <si>
    <t>EN#2151220, INV#035/EXP-POP37795/05/2023, T/R, empty return7/12
- EVER LUCKY, (B9), EG
- Prepull 7/6, deliver 7/7
- Moored 6/30, discharged 6/30, LFD 7/10</t>
  </si>
  <si>
    <t>FSCU7089447</t>
  </si>
  <si>
    <r>
      <rPr>
        <rFont val="Arial"/>
        <color rgb="FF000000"/>
        <sz val="11.0"/>
      </rPr>
      <t xml:space="preserve">EN#5128562, INV#94214232, T/R, no PL, </t>
    </r>
    <r>
      <rPr>
        <rFont val="Arial"/>
        <color rgb="FF000000"/>
        <sz val="11.0"/>
      </rPr>
      <t>empty return 7/5</t>
    </r>
    <r>
      <rPr>
        <rFont val="Arial"/>
        <color rgb="FF000000"/>
        <sz val="11.0"/>
      </rPr>
      <t xml:space="preserve">
- TOLTEN, (C5), HL
- Maher surcharge ($150) will apply
- CI &amp; BLConsignee address?
- Moored 6/28, discharged 6/29, LFD 7/6</t>
    </r>
  </si>
  <si>
    <t>TXGU5728759</t>
  </si>
  <si>
    <t>EN#2151232, INV#POP23012, T/R, GATEFEE6/26, empty return7/11
- EVER FASHION, (B12), EG
- Quantities for CI &amp; PL don't match, revised PL
-add an additional charge of Heavy weight ($110) + $11 weight certificate
- Jenny send vet cert copy to GW 6/8
- Original vet cert mailed to GW 6/13
- Moored 6/27, discharged 6/28, LFD7/7
- scheduled 7/6, but terminal congestion, so rescheduled 7/7</t>
  </si>
  <si>
    <t>TCNU3847648</t>
  </si>
  <si>
    <t>EN#2151231, INV#POP23011, T/R, GATEFEE6/26, empty return 7/13
- EVER FASHION, (B11), EG
- Jenny send vet cert copy to GW 6/8
- Original vet cert mailed to GW 6/13
- Moored 6/27, discharged 6/28, LFD 7/7</t>
  </si>
  <si>
    <t>EMCU8536574</t>
  </si>
  <si>
    <t>EN#5127584, INV#029/EXP-POP37789/05/2023, T/R, empty return 6/29
- CMA CGM HERMES, (A16), EG
- have an additional $250 APM Surcharge
- Moored 6/26, discharged 6/26, LFD 6/30</t>
  </si>
  <si>
    <t>MRKU0562742</t>
  </si>
  <si>
    <t>HONEY LOQUAT CANDY
(F-11076A/11077/11078/11148A/11178A)</t>
  </si>
  <si>
    <r>
      <rPr>
        <rFont val="Arial"/>
        <color rgb="FF000000"/>
        <sz val="11.0"/>
      </rPr>
      <t xml:space="preserve">EN#5127770, INV#MP-202337753, T/R, </t>
    </r>
    <r>
      <rPr>
        <rFont val="Arial"/>
        <color rgb="FF000000"/>
        <sz val="11.0"/>
      </rPr>
      <t>empty return 7/3</t>
    </r>
    <r>
      <rPr>
        <rFont val="Arial"/>
        <color rgb="FF000000"/>
        <sz val="11.0"/>
      </rPr>
      <t xml:space="preserve">
- MAERSK ATHABASCA, (A21), MAEU
- have an additional $250 PNCT Surcharge
- Moored 6/26, discharged 6/26, LFD 6/30</t>
    </r>
  </si>
  <si>
    <t>FBLU0113118</t>
  </si>
  <si>
    <t>5534012
checking received item</t>
  </si>
  <si>
    <t>EN#5127817, INV#030/EXP-POP37716/05/2023, T/R, GATEFEE6/26, empty return 7/7
- EVER FASHION, (B1), EG
- Moored 6/27, discharged 6/28, LFD 7/6
- QC 5534012</t>
  </si>
  <si>
    <t>TCLU5565796</t>
  </si>
  <si>
    <t>GHC D-04061, GHC TUMERIC BOX D-04032, INSTANT CHINESE HERBAL BULK A-6101G</t>
  </si>
  <si>
    <t>EN#2151191, INV#AIT2305, T/R, GATEFEE6/19, empty return 7/3
- CMA CGM GEORGIA, (B7), CMA
- BENZ INV#319775 submitted
- Moored 6/21, discharged 6/21, LFD 6/27
- ready for pickup, LFD 6/29
- QC 5524559</t>
  </si>
  <si>
    <t>TRHU2357491</t>
  </si>
  <si>
    <t>EN#2151250, INV#25059519, T/R, empty return 6/23
- TIRUA, (B19), ONE
- will have an additional $250 Maher Surcharge
- Moored 6/20, discharged 6/20, LFD 6/26
- Palletized, 11 plts</t>
  </si>
  <si>
    <t>TGHU6827312</t>
  </si>
  <si>
    <t>EN#2151230, INV#POP23010, T/R, empty return 6/29
- EVER FASHION, (B10), EG
- Original vet cert mailed to GW 6/13
- Moored 6/20, discharged 6/21, LFD 6/27</t>
  </si>
  <si>
    <t>TXGU5830170</t>
  </si>
  <si>
    <t>EN#5127585, INV#027/EXP-POP37792/05/2023, T/R, GATEFEE6/19, empty return 6/30
- EVER FRONT, (A17), EG
- BENZ INV#319776  submitted
- Moored 6/19, 6/20, LFD 6/26
- QC 5524559</t>
  </si>
  <si>
    <t>CSLU6070820</t>
  </si>
  <si>
    <t>ORGANIC TEABAGS
D-13206, D-13220N, D-14206, D-15220N, D-19206</t>
  </si>
  <si>
    <r>
      <rPr>
        <rFont val="Arial"/>
        <color rgb="FF000000"/>
        <sz val="11.0"/>
      </rPr>
      <t xml:space="preserve">EN#5126978, INV#YD23-T05, T/R, </t>
    </r>
    <r>
      <rPr>
        <rFont val="Arial"/>
        <color rgb="FF000000"/>
        <sz val="11.0"/>
      </rPr>
      <t>empty return 6/27</t>
    </r>
    <r>
      <rPr>
        <rFont val="Arial"/>
        <color rgb="FF000000"/>
        <sz val="11.0"/>
      </rPr>
      <t xml:space="preserve">
- EVER FIT, (A9), COSCO
- have an additional $250 Maher Surcharge
- Moored 6/18, discharged 6/18, LFD 6/22
- have additional Empty Pick-up surcharge ($535 + 32% Fuel)
- 6/27 no additional Empty Pick-up surcharge</t>
    </r>
  </si>
  <si>
    <t>1486
(20PLTS)</t>
  </si>
  <si>
    <t>TGBU7125366</t>
  </si>
  <si>
    <t>EN#2151198, INV#, T/R, empty return 6/22
- EVER LINKING, (B8), EG
- Moored 6/17, discharged 6/18, LFD 6/26</t>
  </si>
  <si>
    <t>FSCU8658770</t>
  </si>
  <si>
    <t>RED PANAX GINSENG EXTRACT, BEIJING ROYAL JELLY, GINKGO BILOBA, AG ROYAL JELLY</t>
  </si>
  <si>
    <t>EN#5127432, INV#HR2301, T/R, empty return 6/26
- MADRID EXPRESS, (A13), ONE
- have an additional $250 Maher Surcharge
- Moored 6/16, discharged 6/17, LFD 6/22</t>
  </si>
  <si>
    <t>TRHU8144148</t>
  </si>
  <si>
    <t>EN#5127904, INV#AIT2304, T/R, GATEFEE6/13, empty return 6/29
- PRESIDENTFDROOSEVELT, (B2), CMA
- Moored 6/16, discharged 6/17, LFD 6/23
- ready for pickup, LFD 6/26
- QC 5524559</t>
  </si>
  <si>
    <t>EGHU9668035</t>
  </si>
  <si>
    <t>EN#5127580, INV#POP23008, T/R, GATEFEE6/12, empty return 6/26
- EVER LOTUS, (A15), EG
- Jenny send vet cert copy to GW 6/2
- Original vet cert mailed to GW 6/8
- Moored 6/14, discharged 6/15, LFD 6/22
- ready for pickup 6/19, LFD 6/23</t>
  </si>
  <si>
    <t>FBLU0028968</t>
  </si>
  <si>
    <t>EN#5127663, INV#PO23009, T/R, GATEFEE6/12, empty return 6/26
- EVER LOTUS, (A19), EG
- Jenny send vet cert copy to GW 6/2
- Original vet cert mailed to GW 6/8
- Moored 6/14, discharged 6/14, LFD 6/21
- additional charge of Heavy weight + $11 weight certificate</t>
  </si>
  <si>
    <t>CCLU7321180</t>
  </si>
  <si>
    <t>TEABAGS
D-13106, D-13306, D-14106, D-15106, D-16106, D-17106, D-18106</t>
  </si>
  <si>
    <t>EN#5127507, INV#YD23-T03, T/R, empty return 6/20
- CMA CGM BALI, (A14), COSCO
- have an additional $250 Maher Surcharge
- Moored 6/12, discharged 6/14, LFD 6/20
- have empty Pick-up surcharge ($535 + 32% Fuel)</t>
  </si>
  <si>
    <t>EITU1348355</t>
  </si>
  <si>
    <t>EN#5127662, INV#PO23007, T/R, empty return 6/21
- EVER LOTUS, (A18), EG
- Jenny send vet cert copy to GW 6/2
- Original vet cert mailed to GW 6/8
- Moored 6/9, discharged 6/10, LFD 6/16</t>
  </si>
  <si>
    <t>EISU8482608</t>
  </si>
  <si>
    <t>GINGER CHEWS 2 OZ (LEMON)</t>
  </si>
  <si>
    <t>EN#2150406, INV#025/EXP-POP37679/04/2023, T/R, GATEFEE6/8, empty return 6/15
- EVER FOREVER, (A5), EG
- Moored 6/9, discharged 6/11, LFD 6/15
- pier waiting was from 11:56-3:04pm additional 1hr
- not Evergreen chassis, have Benz chassis usage
- EG chassis refund (GW invoice 2150406-CREDIT)
- QC 5524559</t>
  </si>
  <si>
    <t>FDCU0266367</t>
  </si>
  <si>
    <t>EN#2150405, INV#024/EXP-POP37678/04/2023, T/R, GATEFEE6/8, empty return 6/21
- EVER FOREVER, (A4), EG
- Moored 6/9, discharged 6/11, LFD 6/15
- QC 5524559</t>
  </si>
  <si>
    <t>EITU9393010</t>
  </si>
  <si>
    <t>GINGER CHEWS 2 OZ (LEMON, ORIGINAL)</t>
  </si>
  <si>
    <t>EN#2150327, INV#023/EXP-POP37680/04/2023, T/R, GATEFEE6/8, empty return 6/14
- EVER FOREVER, (Z22), EG
- Moored 6/9, discharged 6/10, LFD 6/15
- not Evergreen chassis, have Benz chassis usage charge
- EG chassis refund (GW invoice 2150327-CREDIT)
- QC 5524559</t>
  </si>
  <si>
    <t>TXGU5686268</t>
  </si>
  <si>
    <t>EN#2150329, INV#POP-03/23, OBL6/5, GATEFEE6/8, empty return 6/20
- EVER FOREVER, (Z17), EG
- Oakland port incident, port closed, shipment delay
- Moored 6/9, discharged 6/9, LFD 6/15
- not Evergreen chassis, have Benz chassis usage charge
- per ET, vendor ID issue, no Receipt#
- EG chassis refund (GW invoice 2150329-CREDIT)
- QC 5524559</t>
  </si>
  <si>
    <t>GAOU6675682</t>
  </si>
  <si>
    <t>EN#5126469, INV#022/EXP-POP37714/04/2023, T/R, empty return 6/12
- EVER FORTUNE, (Z18), EG
- have an additional $250 Maher Surcharge
- Moored 6/6, discharged 6/7, LFD 6/12
- have additional Empty Pick-up surcharge ($535 + 32% Fuel)</t>
  </si>
  <si>
    <t>ONEU0090546</t>
  </si>
  <si>
    <t>EN#5126684, INV#116840, T/R, empty return 6/9
- NYK DAEDALUS, (A6), ONE
- No door move, GW will deliver
- Seafrigo invoice (due 5/28 &amp; 6/2)
- Moored 6/6, discharged 6/6, LFD 6/12</t>
  </si>
  <si>
    <t>TLLU7645923</t>
  </si>
  <si>
    <t>EN#5127030, INV#032/EXP/INV/IV/2023, OBL5/15, empty return 6/7
- CMA CGM PRIDE, (A11), EG
- have an additional $250 APM Surcharge
- Moored 5/29, discharged 5/30, LFD 6/3
- Prepull 6/2</t>
  </si>
  <si>
    <t>TEMU6925554</t>
  </si>
  <si>
    <r>
      <rPr>
        <rFont val="Arial"/>
        <color rgb="FF000000"/>
        <sz val="11.0"/>
      </rPr>
      <t xml:space="preserve">GHC (TUMERIC D-04018, D-04016)
</t>
    </r>
    <r>
      <rPr>
        <rFont val="Arial"/>
        <color rgb="FF000000"/>
        <sz val="11.0"/>
      </rPr>
      <t>(to RC COMMERCE)</t>
    </r>
  </si>
  <si>
    <t>EN#5126979, INV#JB2305, T/R, empty return 6/6
- COSCO SAKURA, (A10), CMA
- have an additional $250 Maher Surcharge
- Pending FDA review 5/23
- Pending product labeling (GC)
- FDA Release 5/25
- Moored 5/26, discharged 5/28, LFD 6/2
- prepull 6/1</t>
  </si>
  <si>
    <t>RXCU0009340</t>
  </si>
  <si>
    <t>C-70052 Red GSG w Royal Jelly 10x30 
C-70050 Red GSG w Royal Jelly 10x10</t>
  </si>
  <si>
    <t>EN#5126774, INV#2023TAT01, T/R, empty return 6/2 (per Etrans)
- MAERSK EMERALD, (A7), MAEU
- have an additional $250 APM Surcharge
- empty SOC container return to specific location at CSNJ, Monroe Township, NJ will have an additional $500 (includes fuel)
- Moored 5/24, discharged 5/25, LFD 5/31
- has an additional Empty Pick-up surcharge ($535 + 32% Fuel)
- adjust the SOC Return surcharge to $250</t>
  </si>
  <si>
    <t>TGBU8692976</t>
  </si>
  <si>
    <t>TEA (New Packaging)
D-13106, D-13306, D-14106, D-15106, D-16106, D-17106, D-18106</t>
  </si>
  <si>
    <t>EN#2150332, INV#YD23-T02, T/R, GATEFEE5/18, empty return 5/31
- EVER LASTING, (A3), COSCO
- Moored 5/19, discharged 5/19, LFD 5/25
- prepull 5/25, cannot deliver 5/25 due to heavy traffic
- QC 5524559</t>
  </si>
  <si>
    <t>TGBU6002264</t>
  </si>
  <si>
    <t>EN#5126113, INV#020/EXP-POP37649/03/2023, T/R, empty return 5/26
- TALOS, (Z11), EG
- have an additional $250 Maher Surcharge
- prepull 5/23
- Moored 5/18, discharged 5/19, LFD 5/24</t>
  </si>
  <si>
    <t>YMLU5438499</t>
  </si>
  <si>
    <t>EN#2150328, INV#MP-202337633, T/R, GATEFEE5/15, empty return 5/22
- CONTI CONQUEST, (A1), YANG MING
- Reefer 9'6'' container
- reefer container, no genset needed
- Moored 5/14, discharged 5/14, LFD 5/18
- pier waiting was from 10:51-1:53pm additional 1hr. + split return chassis
- YML reefer container,  empty container will return to UIS and the chassis will return to terminal
- QC 5524559</t>
  </si>
  <si>
    <t>TGBU5195831</t>
  </si>
  <si>
    <t>EN#5126519, INV#JB2306, T/R, empty return 5/19
- COSCO SHIPPING LOTUS, (Z21), CMA
- Moored 5/12, discharged 5/13, LFD 5/18
- prepull 5/17
- have additional Empty Pick-up surcharge ($535 + 32% Fuel)</t>
  </si>
  <si>
    <t>CMAU9403280</t>
  </si>
  <si>
    <t>GHC (LEMON D-04037)</t>
  </si>
  <si>
    <r>
      <rPr>
        <rFont val="Arial"/>
        <color rgb="FF000000"/>
        <sz val="11.0"/>
      </rPr>
      <t xml:space="preserve">EN#5126520, INV#JB2304, T/R, </t>
    </r>
    <r>
      <rPr>
        <rFont val="Arial"/>
        <color rgb="FF000000"/>
        <sz val="11.0"/>
      </rPr>
      <t>empty return 5/18</t>
    </r>
    <r>
      <rPr>
        <rFont val="Arial"/>
        <color rgb="FF000000"/>
        <sz val="11.0"/>
      </rPr>
      <t xml:space="preserve">
- COSCO SHIPPING LOTUS, (Z20), CMA
- Moored 5/12, discharged 5/13, LFD 5/18</t>
    </r>
  </si>
  <si>
    <t>UETU5388797</t>
  </si>
  <si>
    <t>ORGANIC TEA
D-13206, D-14206, D-14220</t>
  </si>
  <si>
    <t>EN#5126376, INV#YD23-T01, T/R, GATEFEE5/10, empty return 5/19
- EVER LUCENT, (Z16), COSCO
- Moored 5/11, discharged 5/12, LFD 5/17
- Void duplicate Benz invoice 319549
- QC 5524559</t>
  </si>
  <si>
    <t>CMAU6352596</t>
  </si>
  <si>
    <t>GHC (LEMON D-04037), INSTANT TEA HERBAL BULK</t>
  </si>
  <si>
    <t>5524559
checking received item</t>
  </si>
  <si>
    <t>EN#5126518, INV#AIT2303, T/R, GATEFEE5/3, empty return 5/19
- PRESIDENT EISENHOWER, (Z19), CMA
- Moored 5/9, discharged 5/9, LFD 5/17
- QC 5524559</t>
  </si>
  <si>
    <t>EMCU8749902</t>
  </si>
  <si>
    <t>EN#5125928, INV#019/EXP-POP37648/03/2023, T/R, empty return 5/16
- CMA CGM T.ROOSEVELT, (Z7), EG
- Moored 5/8, discharged 5/9, LFD 5/12
- submitted without received PO
- have APM surcharge $250</t>
  </si>
  <si>
    <t>EGHU9858101</t>
  </si>
  <si>
    <t>PAPER LABEL, ALUMINIUM FOIL
(to Sun Ten)</t>
  </si>
  <si>
    <t>EN#2150365, INV#LFE-0412/23, T/R
- EVER LEADER, (A8), EG
- Moored 5/7, discharged 5/8, LFD 5/16
- FCL picked up 5/10</t>
  </si>
  <si>
    <t>EITU1602454</t>
  </si>
  <si>
    <t>EN#2150330, INV#POP-04/23, OBL5/5, empty return 5/15
- EVER LEADER, (A2), EG
- Moored 5/7, discharged 5/8, LFD 5/11
- prepull 5/8
- EG chassis refund (GW invoice 2150330-CREDIT)</t>
  </si>
  <si>
    <t>YMLU3529049</t>
  </si>
  <si>
    <r>
      <rPr>
        <rFont val="Arial"/>
        <color rgb="FF000000"/>
        <sz val="11.0"/>
      </rPr>
      <t xml:space="preserve">EN#5125812, INV#2137, T/R
- ONE MINATO, (Z5), YANG MING, </t>
    </r>
    <r>
      <rPr>
        <rFont val="Arial"/>
        <color rgb="FF000000"/>
        <sz val="11.0"/>
      </rPr>
      <t>empty return 5/9</t>
    </r>
    <r>
      <rPr>
        <rFont val="Arial"/>
        <color rgb="FF000000"/>
        <sz val="11.0"/>
      </rPr>
      <t xml:space="preserve">
- have an additional $250 GCT Bayonne Surcharge
- Moored 5/5, discharged 5/6, LFD 5/11</t>
    </r>
  </si>
  <si>
    <t>EGHU9348258</t>
  </si>
  <si>
    <t>GINGER CHEWS 4 OZ (PINEAPPLE COCONUT)</t>
  </si>
  <si>
    <t>5520698Y</t>
  </si>
  <si>
    <t>EN#5126115, INV#017/EXP-POP37583/03/2023, T/R, GATEFEE5/1, empty return 5/10
- EVER FAST, (Z12), EG
- Customs hold 4/27, provided ingredient lists
- customs released 4/28
- Moored 5/1, discharged 5/3, LFD 5/9
- not Evergreen chassis
- EG chassis refund, GW invoice 5126115-CREDIT
- QC 5520698, no lot#02272025, only have lot#02282025</t>
  </si>
  <si>
    <t>EMCU1663936</t>
  </si>
  <si>
    <t>EN#5125929, INV#018/EXP-POP37647/03/2023, T/R, GATEFEE5/1, empty return 5/12
- EVER FAST, (Z8), EG
- Customs hold 4/27, provided ingredient lists
- customs released 4/28
- Moored 5/1, discharged 5/3, LFD 5/9
- not Evergreen chassis, have chassis usage charge
- QC 5520698
- EG chassis refund (GW invoice 5125929-CREDIT)</t>
  </si>
  <si>
    <t>TRHU7507655</t>
  </si>
  <si>
    <t>EN#5125653, INV#015/EXP-POP37646/03/2023, T/R, GATEFEE5/1, empty return 5/9
- EVER FAST, (Y21), EG
- Customs hold 4/27, provided ingredient lists
- customs released 4/28
- Moored 5/1, discharged 5/4, LFD 5/10
- not Evergreen chassis, need to add chassis usage
- empty return pier waiting was from 11:10am- 1:18pm, additional 1hr
- EG chassis refund (GW invoice 5125653-CREDIT)
- QC 5520698</t>
  </si>
  <si>
    <t>ZCSU7051458</t>
  </si>
  <si>
    <t>EN#5125965, INV#JB2303, T/R, empty return 5/5
- MAERSK EINDHOVEN, (Z9), ZIM
- have an additional $250 APM Surcharge
- K80-5125965-4
- FDA hold for exam 4/26, inform GW once delivered
- Moored 4/29, discharged 5/1, LFD 5/4
- have additional Empty Pick-up surcharge ($535 + 32% Fuel)
- informed GW ready for FDA exam 5/5
- FDA inspection completed 5/10, no sample collected, so FDA didn't provide Receipt for Samples
- FDA released 5/11
- Received PO (Z9) submitted 5/5
- informed SK &amp; YG after released</t>
  </si>
  <si>
    <t>BMOU6976959</t>
  </si>
  <si>
    <t>EN#5125824, INV#POP23006-1, T/R, empty return 5/31
- TOKYO TRIUMPH, (Z4), CMA
- Sanitary cert sent to GW 4/4
- have an additional $250 Maher Surcharge (no Maher surcharge)
- 4/18 Mail back Sanitary cert to vendor to exchange Vet cert (37703, 37704, 37705), UPS 1Z86X23X0499894727, delivered 4/22
- Sanitary cert copy mailed back 4/27, UPS 1Z86X23X0496878956, ETA 5/8, delivered 5/5
- Moored 4/26, discharged 4/27, LFD 5/3
- original vet cert received 5/1, DHL 5039180263
- original Vet cert sent to GW 5/2
- Red eared sliders, need Fish &amp; Wildlife permit, approved 5/10
- have $250 surcharge for Exam Site Pick-up and split return
- Discharged 4/27, pending entry clearance, LFD 5/3
- FWS requires examination at exam site
- Picked up 5/12, pending Fish and Wildlife exam
- Pending red eared sliders info
- Update Receipt date (BP/ET)</t>
  </si>
  <si>
    <t>CMAU6791372</t>
  </si>
  <si>
    <t>GHC (D-04061), INSTANT TEA HERBAL BULK (A-6101G)</t>
  </si>
  <si>
    <t>EN#5126213, INV#AIT2302, T/R, GATEFEE4/21, empty return 5/4
- CMA CGM NEW JERSEY, (Z15), CMA
- Moored 4/25, discharged 4/25, LFD 5/4
- QC 5520698</t>
  </si>
  <si>
    <t>TGHU6960120</t>
  </si>
  <si>
    <t>EN#5125869, INV#JB2301, T/R, empty return 4/28
- CMA CGM TENERE, (Z6), CMA
- have an additional $250 Maher Surcharge
- Moored 4/22, discharged 4/23, LFD 4/27
- have additional Empty Pick-up surcharge ($535 + 32% Fuel)</t>
  </si>
  <si>
    <t>TTNU4236250</t>
  </si>
  <si>
    <t>EN#5126116, INV#2138, T/R, empty return 4/27
- MAERSK EMDEN, (Z13), MSC
- Moored 4/21, discharged 4/23, LFD 4/27
- prepull 4/24
- Per Sun, please refer to Receipt #30956 for exp date</t>
  </si>
  <si>
    <t>TRHU8114565</t>
  </si>
  <si>
    <t>EN#5125411, INV#013/EXP-POP37643/03/2023, T/R, empty return 4/25
- CMA CGM PANAMA, (Y14), EG
- have an additional $250 APM Surcharge
- Moored 4/19, discharged 4/19, LFD 4/25</t>
  </si>
  <si>
    <t>TEMU7158483</t>
  </si>
  <si>
    <t>EN#5125413, INV#POP23003, T/R, empty return 5/30
- OOCL BANGKOK, (Y15), EG
- received original vet cert 3/20
- sent original vet cert to GW 3/20
- No $250 Maher Surcharge
- Moored 4/18, discharged 4/18, LFD 4/24
- Discharged 4/18, pending entry clearance, LFD 4/24
- 4/21 Mailed back Vet cert to exchange revised Vet cert, UPS 1Z86X23X0497622149
- Vet cert mailed back 4/24
- Vet cert copy mailed back 4/27, UPS 1Z86X23X0496878956, ETA 5/8, delivered 5/5
- revised vet cert received 5/1, DHL 5039180263
- revised vet cert sent to GW 5/2
- Red eared sliders, need Fish &amp; Wildlife permit, approved 5/10
- have $250 surcharge for Exam Site Pick-up and split return of the equipment
- FWS requires examination at exam site
- Pending pickup 5/12 for Fish and Wildlife exam
- FWS = U.S. Fish and Wildlife Service
- FWS exam completed 5/18, released 5/24
- Ready for pickup at exam site 5/24
- Demurrage $6551.83
- Exam fees $2971.53
- Update Receipt date (BP/ET)
- revised Commerical Invoice 6/28</t>
  </si>
  <si>
    <t>TGBU4131112</t>
  </si>
  <si>
    <t>GHC LEMON (D-04037)</t>
  </si>
  <si>
    <t>EN#5126070, INV#HN-JB2302, T/R, GATEFEE 4/14, empty return 4/28
- APL OREGON, (Z10), CMA
- Moored 4/17, discharged 4/17, LFD 4/25
- deliver around 5pm
- QC 5520698</t>
  </si>
  <si>
    <t>EMCU8425082</t>
  </si>
  <si>
    <t>EN#5125652, INV#016/EXP-POP37610/03/2023, T/R, GATEFEE4/17, empty return 5/2
- EVER FOREVER, (Y20), EG
- Moored 4/16, discharged 4/19, LFD 4/28
- QC 5520698, no lot#01082025, only lot# 01222025</t>
  </si>
  <si>
    <t>297
(LCL)</t>
  </si>
  <si>
    <t>GCXU5429330</t>
  </si>
  <si>
    <t>EN#5126164, INV#US-230301, OBL4/14
- ONE HONOLULU, (Z14), ONE
- CFS = LCL
- 4/11 FDA request actual product packaging photos
- Moored 4/15, discharged 4/16, LFD 4/20
- FCL picked up 4/19
- 4/21 sent photos of actual products and labeling to GW
- FDA released 4/25</t>
  </si>
  <si>
    <t>CMAU0226245</t>
  </si>
  <si>
    <t>TEA
D-60011B, D-60012B, D-60015B, D-60017B, D-60013B</t>
  </si>
  <si>
    <r>
      <rPr>
        <rFont val="Arial"/>
        <color rgb="FF000000"/>
        <sz val="11.0"/>
      </rPr>
      <t xml:space="preserve">EN#5125674, INV#23TM020, OBL4/7, GATEFEE4/7, </t>
    </r>
    <r>
      <rPr>
        <rFont val="Arial"/>
        <color rgb="FF000000"/>
        <sz val="11.0"/>
      </rPr>
      <t>empty return 4/20</t>
    </r>
    <r>
      <rPr>
        <rFont val="Arial"/>
        <color rgb="FF000000"/>
        <sz val="11.0"/>
      </rPr>
      <t xml:space="preserve">
- CMA CGM CHILE, (Y22), CMA
- forwarder sent scanned OBL to GW
- Moored @ LA 3/29
- received original OBL from bank 4/7
- Moored 4/10, discharged 4/11, LFD 4/17</t>
    </r>
  </si>
  <si>
    <t>EGSU9066685</t>
  </si>
  <si>
    <t>EN#5125752, INV#POP23005, T/R, GATEFEE4/10, empty return 5/16
- EVER FINE, (Z2), EG
- Sanitary cert sent to GW 4/4
-  Moored 4/9, discharged 4/10, LFD 4/20
- 4/18 Mail back Sanitary cert to vendor to exchange Vet cert (37703, 37704, 37705), UPS 1Z86X23X0499894727, delivered 4/22
- Sanitary cert copy mailed back 4/27, UPS 1Z86X23X0496878956, ETA 5/8, delivered 5/5
- original vet cert received 5/1, DHL 5039180263
- original Vet cert sent to GW 5/2
- Red eared sliders, need Fish &amp; Wildlife permit, approved 5/10
- Fish &amp; Wildlife status:  released 5/11
- Customs/USDA status: released 5/11
- FDA status: HOLD 5/11, for review
- pay demurrage Through 2023-05-12, total $4565, LFD 4/20
- updated LFD 5/12
- use DCLI chassis, have chassis usage charge
- Benz invoice has no chassis charge, no request Dyna chassis refund</t>
  </si>
  <si>
    <t>364
(10PLTS)</t>
  </si>
  <si>
    <t>HMCU3053690</t>
  </si>
  <si>
    <t>EN#5125588, INV#?, T/R, empty return 4/13
- EVER FOND, (Y19), EG
- PO# 37456 &amp; 37671 updated to 37671
- Moored 4/6, discharged 4/8, LFD 4/13
- Prepull 4/12
- live unload,10 plts</t>
  </si>
  <si>
    <t>HMMU6422723</t>
  </si>
  <si>
    <t>GHC (TUMERIC, PLUM, DARK BROWN SUGAR, AMERICAN GINSENG)</t>
  </si>
  <si>
    <t>EN#5125116, INV#AIT2255, T/R, empty  return 4/14
- ONE FALCON, (Y13), HMM
- have an additional $250 GCT Bayonne Surcharge
- Moored 4/6, discharged 4/7, LFD 4/13
- delivered 4/11 without inform TH
- have additional Empty Pick-up surcharge ($535 + 32% Fuel)</t>
  </si>
  <si>
    <t>CMAU3319043</t>
  </si>
  <si>
    <t>GHC NATURAL LEMON, INSTANT TEA CHINESE HERBAL BULK</t>
  </si>
  <si>
    <t>EN#5125683, INV#AIT2301, T/R, GATEFEE3/31, empty return 4/14
- CMA CGM GEORGIA, (Z3), CMA
- Moored 4/5, discharged 4/5, LFD 4/12
- QC 5520698</t>
  </si>
  <si>
    <t>TCNU3635886</t>
  </si>
  <si>
    <t>5/12/2023
5/15/2023</t>
  </si>
  <si>
    <t>EN#5125751, INV#POP23004, T/R
- EVER FINE, (Z1), EG
- contain no milk, vendor only can provide sanitary cert, instead of vet health cert
- EN#5125751, 5125752 &amp; 5125824 are the same as shipment EN#5123421, i.e. don't have milk, and only have red-eared slider, ask GW to proceed as as EN#5123421
- Sanitary cert received 4/3 for PO# 37703, 37704, 37705
- Sanitary cert sent to GW 4/4
- Moored 4/3, discharged 4/5, LFD 4/17
- 4/18 Mail back Sanitary cert to vendor to exchange Vet cert (37703, 37704, 37705), UPS 1Z86X23X0499894727, delivered 4/22
- 4/27 mail back Sanitary cert copy to vendor, UPS 1Z86X23X0496878956, ETA 5/8, delivered 5/5
- moved to GO warehouse 4/26
- original vet cert received 5/1, DHL 5039180263
- original Vet cert sent to GW 5/2
- Red eared sliders, need Fish &amp; Wildlife permit, approved 5/10
- Pickup from GO warehouse, palletized in 28 plts, by 53' trailer
- per GW, customs released 5/15, and Fish &amp; Wildlife released 5/15
- Pending Lien Certificate from Evergreen
- 28 plts, Live unload</t>
  </si>
  <si>
    <t>TCNU3828735</t>
  </si>
  <si>
    <t>EN#5125547, INV#POP23002, T/R, GATEFEE4/3, empty return 4/11
- EVER FUTURE, (Y18), EG
- received original vet cert 3/20
- sent original vet cert to GW 3/20
- Moored 4/2, discharged 4/2, LFD 4/6
- Pier waiting was from 9:12-11:46am additional ½ hr
-  empty return pier waiting was from 11:05-1:20pm. additional 1 ½ hr</t>
  </si>
  <si>
    <t>TGBU6609176</t>
  </si>
  <si>
    <t>EN#5124560, INV#005/EXP-POP37511/01/2023, T/R, empty return 4/11
- EVER FAIR, (Y7), EG
- Moored 4/2, discharged 4/3, LFD 4/6
- MAHER terminal surcharge $250</t>
  </si>
  <si>
    <t>EGSU9107254</t>
  </si>
  <si>
    <r>
      <rPr>
        <rFont val="Arial"/>
        <color rgb="FF000000"/>
        <sz val="11.0"/>
      </rPr>
      <t xml:space="preserve">EN#5125538, INV#POP23001, T/R, </t>
    </r>
    <r>
      <rPr>
        <rFont val="Arial"/>
        <color rgb="FF000000"/>
        <sz val="11.0"/>
      </rPr>
      <t>empty return 4/6</t>
    </r>
    <r>
      <rPr>
        <rFont val="Arial"/>
        <color rgb="FF000000"/>
        <sz val="11.0"/>
      </rPr>
      <t xml:space="preserve">
- EVER FUTURE, (Y17), EG
- received original vet cert 3/20
- sent original vet cert to GW 3/20
- Moored 3/28, discharged 3/29, LFD 4/4
- Total amount is $33,156.14, instead of $33,292</t>
    </r>
  </si>
  <si>
    <t>840
(10 PLTS)</t>
  </si>
  <si>
    <t>EISU2215395</t>
  </si>
  <si>
    <t>EN#5125138, INV#20893243, T/R, empty return 3/23
- EVER LOTUS, (Y16), EG
- Moored 3/19, discharged 3/21, LFD 3/28
- PO#37671 changed to 37619
- prepull 3/22</t>
  </si>
  <si>
    <t>EITU9161801</t>
  </si>
  <si>
    <t>3/11/2023
3/13/2023</t>
  </si>
  <si>
    <t>5516363Y</t>
  </si>
  <si>
    <t>EN#5124876, IN#POP-01/23, OBL3/8, GATEFEE3/14, empty return 3/29
- EVER SUMMIT, (Y11), EG
- Moored 3/19, discharged 3/19, LFD 3/23
- pickup pier waiting was from 11:50-2:45pm additional 1hr
- empty return pier waiting was from 9:44-1:27pm additional 3hrs
- QC PL#5516363</t>
  </si>
  <si>
    <t>TGBU8042543</t>
  </si>
  <si>
    <t>EN#5124608, INV#EMI230000278, OBL2/16, GATEFEE3/13, empty return 3/21
- EVER LIBRA, (X9), EG
- Moored 3/13, discharged 3/13, LFD 3/17
- QC PL#5516363</t>
  </si>
  <si>
    <t>TGBU8030990</t>
  </si>
  <si>
    <t>GINGER CHEWS 1 LBS (LYCHEE), 8 OZ (BLOOD ORANGE)</t>
  </si>
  <si>
    <t>EN#5124565, INV#006/EXP-POP37512/01/2023, T/R, GATEFEE3/13, empty return 3/27
- EVER LIBRA, (Y8), EG
- no Evergreen chassis, will have chassis usage charge
- GW issues credit $80 for EG chassis refund, Invoice 5124565-CREDIT
- QC PL#5516363</t>
  </si>
  <si>
    <t>EMCU8483540</t>
  </si>
  <si>
    <t>3/5/2023
3/24/2023
4/5/2023</t>
  </si>
  <si>
    <t>EN#5124875, INV#POP-02/23, OBL3/8, empty return 3/15
- EVER LIVEN, (Y10), EG
- K80-5124875-6
- 3/7 FDA request ingredient list
- 3/8 FDA hold for exam/sample
- Moored 3/11, discharged 3/11, LFD 3/16
- Only F-87111 FDA released 3/5
- Notified FDA 3/15 for exam/sample location
- FDA only collected F-87110 for lab test 3/23
- F-87101 pending fda review 3/23, pending F-87110 test result, fda released 4/5
- F-87110 collected 3/23, pending lab test completion 4/11, lab analysis completed 4/5, pending FDA review, released 4/5
- F-87111 released 3/5
- F-87113 released 3/24
- F-87117 released 3/24
- Received PO (Y10) submitted &amp; posted 3/27, hold F-87101 &amp; F-87110
- inform ET to release F-87101 &amp; F-87110
- Claim FDA for collected sample?</t>
  </si>
  <si>
    <t>BMOU6409317</t>
  </si>
  <si>
    <t>GHC TURMERIC (D-04033), INSTANT CHINESE HERBAL BULK</t>
  </si>
  <si>
    <t>5513950+</t>
  </si>
  <si>
    <t>EN#5124904, INV#AIT2254, T/R, GATEFEE3/3, empty return 3/13
- CMA CGM NEW JERSEY, (Y12), CMA
- Moored 3/4, discharged 3/4, LFD 3/10
- WCCP chassis charge varies
- pier waiting was from 1:52-3:50pm additional 1hr
- QC PL#5513950</t>
  </si>
  <si>
    <t>EMCU8791271</t>
  </si>
  <si>
    <t>GINGER CHEWS 4 OZ (PEANUT, LEMON, MANGO)</t>
  </si>
  <si>
    <t>EN#5124114, INV#001/EXP-POP36842/01/2023, T/R, empty return 3/10
- TOLEDO TRIUMPH, (X22), EG
- have an additional $250 Maher Surcharge
- Moored 3/3, discharged 3/3, LFD 3/9
- have additional Empty Pick-up surcharge ($535 + 32% Fuel)
- prepull 3/6</t>
  </si>
  <si>
    <t>HDMU5589256</t>
  </si>
  <si>
    <t>SOAP
S-06011, S-06021, S-06031, S-06060, S-06012</t>
  </si>
  <si>
    <t>EN#5124116, INV#SS2104041-H, T/R, GATEFEE3/2, empty return 3/9
- ARGUS (IMO: 9262716), (Y2), HMM
- Waiting @ Mexico offshore 2/19
- At anchor 2/27, estimated berthing 3/1
- Moored 3/1, discharged 3/1, LFD 3/7
- No genset needed
- reefer empty will return to Con Global Oakland, split return charge fee applies</t>
  </si>
  <si>
    <t>TXGU5697895</t>
  </si>
  <si>
    <t>EN#5124115, INV#003/EXP-POP36972/01/2023, T/R, GATEFEE2/28, empty return 3/9
- EVER STEADY, (X21), EG
- Moored 3/1, discharged 2/28, LFD 3/6
- prepull 3/3 around 4pm, cannot deliver before 5pm, so deliver 3/6
- have pre-pull + yard parking
- pier waiting was from 9:30-10:58am, additional ½ hr.  for return empty
- QC PL#5513879</t>
  </si>
  <si>
    <t>TRHU5493275</t>
  </si>
  <si>
    <t>ORGANIC TEABAGS
D-13200N, D-13220N, D-14200N, D-15200N, D-18200N, D-18220N, D-14100N</t>
  </si>
  <si>
    <t>EN#5124175, INV#YD22-T12, T/R, empty return 3/7
- COSCO FORTUNE, (Y3), COSCO
- have an additional $250 Maher Surcharge
- Moored 2/27, discharged 3/1, LFD 3/7</t>
  </si>
  <si>
    <t>CLHU8872085</t>
  </si>
  <si>
    <t>GHC (LEMON D-04043  JUNE 22' production)</t>
  </si>
  <si>
    <r>
      <rPr>
        <rFont val="Arial"/>
        <color rgb="FF000000"/>
        <sz val="11.0"/>
      </rPr>
      <t xml:space="preserve">EN#5123566, INV#AIT2237A, T/R, </t>
    </r>
    <r>
      <rPr>
        <rFont val="Arial"/>
        <color rgb="FF000000"/>
        <sz val="11.0"/>
      </rPr>
      <t>empty return 3/2</t>
    </r>
    <r>
      <rPr>
        <rFont val="Arial"/>
        <color rgb="FF000000"/>
        <sz val="11.0"/>
      </rPr>
      <t xml:space="preserve">
- MSC ELENI, (X17), MSC
- have an additional $250 PNCT Surcharge
- Moored 2/25, discharged 2/25, LFD 3/2</t>
    </r>
  </si>
  <si>
    <t>SEKU5860586</t>
  </si>
  <si>
    <t>RED PANAX GINSENG EXT, GINKGO BILOBA, ULTRA JOINT EXT, INSTANT TEA CHINESE HERBAL BULK</t>
  </si>
  <si>
    <t>EN#5124236, INV#AIT2209KFY, T/R, GATEFEE2/21, empty return 3/7
- PRESIDENT CLEVELAND, (Y6), CMA
- Moored 2/26, discharged 2/27, LFD 3/3
- 2/27 customs released
- 2/28 freight released
- per forwarder, ELFD is 3/11
- QC PL#5513879</t>
  </si>
  <si>
    <t>TCNU6848611</t>
  </si>
  <si>
    <t>GHC NATURAL LEMON (D-04037)</t>
  </si>
  <si>
    <t>EN#5124235, INV#AIT2253, T/R, empty return 3/7
- ESSEN EXPRESS, (Y4), ONE
- have an additional $250 Global Terminal Surcharge
- Moored 2/25, discharged 2/26, LFD 3/2</t>
  </si>
  <si>
    <t>TEMU0748575</t>
  </si>
  <si>
    <t>EN#5124032, INV#2135, T/R, GATEFEE2/27, empty return 3/3
- YM UPWARD, (X20), YANG MING
- Waiting @ Mexico offshore 2/14
- At anchor 2/18, estimated berthing 2/24
- Moored 2/24, discharged 2/25, LFD 3/2
- 2/2 submitted PO part b (P-AGC-B)
- no PL
- prepull 3/1 @ 3:10pm, avoid heavy traffic, will deliver 3/2
- Pier waiting was from 11:45-3:10pm additional 1½ hr
- no per-pull and no yard parking charge
- QC PL#5513879</t>
  </si>
  <si>
    <t>TCNU7393965</t>
  </si>
  <si>
    <t>RED PANAX GINSENG EXT, GINKGO BILOBA, BEIJING ROYAL JELLY, ULTRA JOINT</t>
  </si>
  <si>
    <t>2/13/2023
2/14/2023</t>
  </si>
  <si>
    <t>EN#5123535, INV#AIT2207KFY, T/R, empty return 2/27 (per Etrans)
- CMA CGM KIMBERLEY, (X16), CMA
- have an additional $250 Maher Surcharge
- have additional Empty Pick-up surcharge ($535 + 32% Fuel)</t>
  </si>
  <si>
    <t>SEGU9315754</t>
  </si>
  <si>
    <t>RED GINSENG ROYAL JELLY (30x10cc, 10x10cc)</t>
  </si>
  <si>
    <t>EN#5123179, INV#2022TAT06, T/R, GATEFEE2/13, empty return 2/24 (per Benz)
- HYUNDAI EARTH, (X4), ONE
- At anchor 1/29, estimated berthing 2/15
- Reefer container, no genset needed
- additional charge for split return chassis
- QC PL#5513879</t>
  </si>
  <si>
    <t>EISU8539832</t>
  </si>
  <si>
    <t>EN#5123414, INV#228/EXP/INV/XII/2022, OBL1/11, empty return 2/22
- TALOS, (X7), EG
- Moored 2/14, discharged 2/15, LFD 2/22
- have an additional $250 Maher Surcharge</t>
  </si>
  <si>
    <t>CAIU9108620</t>
  </si>
  <si>
    <t>TEABAGS
D-13220, D-14200, D-18220, D-19200, D-14100, D-15100, D-17100, D-18100, D-18120, PI LO CHUN PACKING</t>
  </si>
  <si>
    <t>2/5/2023
2/6/2023</t>
  </si>
  <si>
    <t>EN#5123955, INV#YD22-T11, T/R, GATEFEE2/8, empty return 2/21
- EVER LEGION, (Y1), COSCO
- Moored 2/9, discharged 2/9, LFD 2/15
- pickup pier waiting was from 7:33-11:25am additional 2hrs
- have split return chassis charge fee
- QC PL#5513950</t>
  </si>
  <si>
    <t>OOCU8987798</t>
  </si>
  <si>
    <t>RED PANAX GINSENG EXT, ULTRA GINKGO PLUS, ULTRA JOINT EXT, INSTANT TEA BULK(A-6101G)</t>
  </si>
  <si>
    <t>EN#5123504, INV#AIT2208KFY, T/R, GATEFEE2/8, empty return 3/2
- EVER LEGION, (X14), COSCO
- Benz will deliver before &amp; after customs exam
- Benz pickup &amp; send to PCC for exam 2/10
- Benz transfer for exam container to PCC, have additional charge of $150
- 2/22 customs request ingredient list
- Customs examined 2/22, customs released 2/24, LFD 2/27
- customs exam fee $2135
- ELFD 2/15 or 2/16, have per diem
- 3/1 inform empty pickup
- QC PL#5513879
- detention $1205</t>
  </si>
  <si>
    <t>CCLU7722780</t>
  </si>
  <si>
    <r>
      <rPr>
        <rFont val="Arial"/>
        <color rgb="FF000000"/>
        <sz val="11.0"/>
      </rPr>
      <t xml:space="preserve">EN#5123613, INV#YNBYHP0000102, T/R, GATEFEE2/2, empty return 2/14
- EVER LASTING, (X19), COSCO
- Moored 2/4, discharged 2/5, LFD 2/9
- empty picked up 2/10, have yard storage, will return 2/14, no return allowed for 2/13
- additional charge of 2nd drop ($140) + 5days yard parking
</t>
    </r>
    <r>
      <rPr>
        <rFont val="Arial"/>
        <color rgb="FFFF0000"/>
        <sz val="11.0"/>
      </rPr>
      <t xml:space="preserve">- Benz invoice (pier waiting &amp; yard parking)?
</t>
    </r>
    <r>
      <rPr>
        <rFont val="Arial"/>
        <color rgb="FF000000"/>
        <sz val="11.0"/>
      </rPr>
      <t>- AN received on 3/14, urgent payment processing, due 1/26
- QC 5520698</t>
    </r>
  </si>
  <si>
    <t>SEGU5158908</t>
  </si>
  <si>
    <t>GHC NATURAL LEMON (D-04037), INSTANT TEA CHINESE HERBAL BULK (A-6101G)</t>
  </si>
  <si>
    <t>EN#5124237, INV#AIT2252, T/R, GATEFEE1/31, empty return 2/15
- CMA CGM SWORDFISH, (Y5), CMA
- Moored 2/4, discharged 2/5, LFD 2/13
- ready for pickup 2/8, LFD 2/13
- additional ½ hr for return empty, CMA ELFD 2/13?
- QC PL#5513950</t>
  </si>
  <si>
    <t>EMCU8750246</t>
  </si>
  <si>
    <t>EN#5123467, INV#230/EXP/INV/XII/2022, OBL1/11, GATEFEE1/31, empty return 2/10
- EVER LEARNED, (X11), EG
- Moored 2/1, discharged 2/1, LFD 2/7
- no Evergreen chassis, out gated with  DCLI Chassis, DCLI chassis needs to return to SSA terminal, split return to SSA charge fee applies
- QC PL#5513879</t>
  </si>
  <si>
    <t>EISU8484030</t>
  </si>
  <si>
    <t>EN#5123469, INV#232/EXP/INV/XII/2022, OBL1/11, GATEFEE1/31, empty return 2/6
- EVER LEARNED, (X13), EG
- Moored 2/1, discharged 2/1, LFD 2/7
- not Evergreen chassis, will have chassis usage charge
- return pier waiting was from 2:09-3:45pm additional ½ hr
- GW issues 5123469-CREDIT ($80) for freight refund
- QC PL#5513879</t>
  </si>
  <si>
    <t>EITU9076103</t>
  </si>
  <si>
    <t>5513879+</t>
  </si>
  <si>
    <t>EN#5123418, INV#229/EXP/INV/XII/2022, OBL1/11, GATEFEE1/31, empty return 2/8
- EVER LEARNED, (X8), EG
- Moored 2/1, discharged 2/1, LFD 2/7
- out gated with not Evergreen chassis
- additional pier waiting ½ hr  for empty return
- GW issues 5123418-CREDIT ($80) for freight refund
- QC PL#5513879</t>
  </si>
  <si>
    <t>EISU8361904</t>
  </si>
  <si>
    <t>SUNITY HERBAL JELLY</t>
  </si>
  <si>
    <t>EN#5123421, INV#POP22007, T/R, GATEFEE1/27, empty return 2/22
- EVER FRONT, (X9), EG
- urgent per WYL 1/20
- Moored 1/29, discharged 1/30, LFD 2/17
- no need QC sample per Billy</t>
  </si>
  <si>
    <t>TXGU5608861</t>
  </si>
  <si>
    <t>EN#5123110, INV#099/EXP-POP36828/12/2022, T/R, GATEFEE1/27, empty return 2/14
- EVER FRONT, (W21), EG
- Moored 1/29, discharged 1/31, LFD 2/6
- Prepull 2/9 at 4pm, cannot deliver before 5pm, so deliver 2/10
- 2/14 empty container destuffed and reused for export
- QC PL#5513879</t>
  </si>
  <si>
    <t>37456
37229</t>
  </si>
  <si>
    <t>11688
20PLTS</t>
  </si>
  <si>
    <t>TXGU6625328</t>
  </si>
  <si>
    <t>EN#5123534, INV#20887466, T/R, GATEFEE1/27, empty return 2/13
- EVER FRONT, (X15), EG
- Moored 1/29, discharged 1/31, LFD 2/13
- ready for pickup 2/9, LFD 2/13
- live unload
- QC PL#5513950</t>
  </si>
  <si>
    <t>FCIU9529905</t>
  </si>
  <si>
    <r>
      <rPr>
        <rFont val="Arial"/>
        <color rgb="FF000000"/>
        <sz val="11.0"/>
      </rPr>
      <t xml:space="preserve">GHC (NATURAL LEMON D04017)
</t>
    </r>
    <r>
      <rPr>
        <rFont val="Arial"/>
        <color rgb="FF000000"/>
        <sz val="11.0"/>
      </rPr>
      <t>(to RC Commerce)</t>
    </r>
  </si>
  <si>
    <t>EN#5123372, INV#AIT2249B, T/R, empty return 2/6
- CMA CGM OSIRIS, (X6), OOCL
- have an additional $250 Maher Surcharge
- Moored 1/28, discharged 1/30, LFD 2/3
- prepull LFD 2/3, additonal charges Pre-pull ($150), Storage ($50/day), Chassis ($40/day), Per Diems (TBA)</t>
  </si>
  <si>
    <t>OOCU6833140</t>
  </si>
  <si>
    <r>
      <rPr>
        <rFont val="Arial"/>
        <color rgb="FF000000"/>
        <sz val="11.0"/>
      </rPr>
      <t xml:space="preserve">ORGANIC TEABAGS
D-13400, D-15400 </t>
    </r>
    <r>
      <rPr>
        <rFont val="Arial"/>
        <color rgb="FF000000"/>
        <sz val="11.0"/>
      </rPr>
      <t>(to RC Commerce)</t>
    </r>
  </si>
  <si>
    <t>EN#5123371, INV#YD22-T10, T/R, empty return 2/3
- CMA CGM OSIRIS, (X5), COSCO
- have additional $250 Maher Surcharge
- Moored 1/28, discharged 1/30, LFD 2/3
- prepull 2/1</t>
  </si>
  <si>
    <t>EMCU8553993</t>
  </si>
  <si>
    <t>EN#5123111, INV#222/EXP/INV/XII/2022, OBL12/28, empty return 2/9
- EVER FRANK, (W22), EG
- Moored 1/26, discharged 1/29, LFD 2/6
- prepull 2/6
- per Sun, no DO found</t>
  </si>
  <si>
    <t>EMCU8438768</t>
  </si>
  <si>
    <r>
      <rPr>
        <rFont val="Arial"/>
        <color rgb="FF000000"/>
        <sz val="11.0"/>
      </rPr>
      <t xml:space="preserve">EN#5123468, INV#231/EXP/INV/XII/2022, OBL1/11, </t>
    </r>
    <r>
      <rPr>
        <rFont val="Arial"/>
        <color rgb="FF000000"/>
        <sz val="11.0"/>
      </rPr>
      <t>empty return 2/2</t>
    </r>
    <r>
      <rPr>
        <rFont val="Arial"/>
        <color rgb="FF000000"/>
        <sz val="11.0"/>
      </rPr>
      <t xml:space="preserve">
- EVER FRANK, (X12), EG
- Moored 1/26, discharged 1/23, LFD 2/2</t>
    </r>
  </si>
  <si>
    <t>TRHU8149920</t>
  </si>
  <si>
    <r>
      <rPr>
        <rFont val="Arial"/>
        <color rgb="FF000000"/>
        <sz val="11.0"/>
      </rPr>
      <t xml:space="preserve">GINGER CHEWS 1 KG (ORIGINAL, LEMON)
</t>
    </r>
    <r>
      <rPr>
        <rFont val="Arial"/>
        <color rgb="FF000000"/>
        <sz val="11.0"/>
      </rPr>
      <t>(to RC Commerce)</t>
    </r>
  </si>
  <si>
    <t>EN#5122623, INV#209/EXP/INV/XI/2022, OBL12/20, empty return 1/31
- CMA CGM CALLISTO, (W17), EG
- have an additional $250 APM Surcharge
- Moored 1/24, discharged 1/24, LFD 1/30
- DO, proforma Invoice (from Eric)
- prepull 1/27 (no request, no charge)</t>
  </si>
  <si>
    <t>EMCU8438726</t>
  </si>
  <si>
    <t>EN#5123180, INV#106/EXP-POP37419/12/2022, T/R, GATEFEE1/23, empty return 2/1
- EVER LIBRA, (X1), EG
- At anchor 1/22
- Moored 1/24, discharged 1/25, LFD 1/31
- QC PL#5513879</t>
  </si>
  <si>
    <t>FBLU0210524</t>
  </si>
  <si>
    <t>GHC (LEMON D-04043 JUNE 22' production)</t>
  </si>
  <si>
    <r>
      <rPr>
        <rFont val="Arial"/>
        <color rgb="FF000000"/>
        <sz val="11.0"/>
      </rPr>
      <t xml:space="preserve">EN#5123567, INV#AIT2237B, T/R, </t>
    </r>
    <r>
      <rPr>
        <rFont val="Arial"/>
        <color rgb="FF000000"/>
        <sz val="11.0"/>
      </rPr>
      <t>empty return 2/1</t>
    </r>
    <r>
      <rPr>
        <rFont val="Arial"/>
        <color rgb="FF000000"/>
        <sz val="11.0"/>
      </rPr>
      <t xml:space="preserve">
- MSC LONDON, (X18), MSC
- Moored 1/19, discharged 1/20, LFD?</t>
    </r>
  </si>
  <si>
    <t>EGHU8281170</t>
  </si>
  <si>
    <t>EN#5122836, INV#098/EXP-POP36974/11/2022, T/R, empty return 1/23
- TITAN, (W16), EG
- IMO: 9728928
- have an additional $250 Maher Surcharge
- Moored 1/15, discharged 1/15, LFD 1/20
- have empty pick-up charge ($535 + 32% Fuel)</t>
  </si>
  <si>
    <t>TGBU4442583</t>
  </si>
  <si>
    <t>5513879
5514781+(fr LA)</t>
  </si>
  <si>
    <t>EN#5122625, INV#096/EXP-POP37194/11/2022, T/R, GATEFEE1/16, empty return 1/24
- EVER FOCUS, (W14), EG
- Moored 1/14, discharged 1/15, LFD 1/23
- empty returned at 11:08am, pier waiting was from 9:50-11:08am, additional ½ hr wait time charge
- QC PL#5513879</t>
  </si>
  <si>
    <t>EISU9280659</t>
  </si>
  <si>
    <t>DONG QUAI RED DATE TEA(D-04020), TURMERIC GHC(D-04033)</t>
  </si>
  <si>
    <t>1/9/2023
1/8/2023</t>
  </si>
  <si>
    <t>EN#5123127, INV#AIT2239, T/R, empty return 1/23 (per Etrans)
- COSCO AZALEA, (X2), EG
- have an additional $250 Maher Surcharge
- Moored 1/13, discharged 1/13, LFD 1/20
- prepull 1/17
- One case of D04020 shortage</t>
  </si>
  <si>
    <t>TCNU1645993</t>
  </si>
  <si>
    <t>EN#5122513, INV#087/EXP-POP36840/11/2022, T/R, empty return 1/18
- CMA CGM HERMES, (W12), EG
- have an additional $250 APM Surcharge
- Moored 1/10, discharged 1/10, LFD 1/17
- prepull 1/13</t>
  </si>
  <si>
    <t>EGHU8453768</t>
  </si>
  <si>
    <t>EN#5122624, INV#206/EXP/INV/XI/2022, OBL12/20, empty return 1/19
- EVER FOREVER, (W15), EG
- have an additional $250 Maher Surcharge
- Moored 1/8, discharged 1/8, LFD 1/12</t>
  </si>
  <si>
    <t>TGHU5229445</t>
  </si>
  <si>
    <t>EN#5123198, INV#KB221210, OBL1/4, GATEFEE1/4, empty return 1/13
- PRESIDENTFDROOSEVELT, (X10), CMA
- Moored 1/7, discharged 1/7, LFD1/12
- pier waiting was from 10:55-1:46pm, additional 1hr.
- QC PL#5513879</t>
  </si>
  <si>
    <t>SEGU4858342</t>
  </si>
  <si>
    <t>RED PANAX GINSENG EXT, ULTRA GINKGO PLUS, ULTRA JOINT EXT, INSTANT TEA BULK</t>
  </si>
  <si>
    <t>EN#5122727, INV#AIT2206KFY, T/R, GATEFEE1/3, empty return 1/19
- PRESIDENTFDROOSEVELT, (W19), CMA
- USSPQ = San Pedro (near LA port)
- Moored 1/7, discharged 1/7, LFD 1/17
- QC PL#5513879
- QC PL#5514781, per LA, C-70121 is out of stock</t>
  </si>
  <si>
    <t>EMCU8628881</t>
  </si>
  <si>
    <r>
      <rPr>
        <rFont val="Arial"/>
        <color rgb="FF000000"/>
        <sz val="11.0"/>
      </rPr>
      <t xml:space="preserve">EN#2147812, INV#086/EXP-POP36827/11/2022, T/R, </t>
    </r>
    <r>
      <rPr>
        <rFont val="Arial"/>
        <color rgb="FF000000"/>
        <sz val="11.0"/>
      </rPr>
      <t>empty return 1/13</t>
    </r>
    <r>
      <rPr>
        <rFont val="Arial"/>
        <color rgb="FF000000"/>
        <sz val="11.0"/>
      </rPr>
      <t xml:space="preserve">
- APL SENTOSA, (W10), EG
- have additional $250 APM Surcharge
- Moored 1/4, discharged 1/5, LFD 1/10</t>
    </r>
  </si>
  <si>
    <t>EMCU8632238</t>
  </si>
  <si>
    <t>EN#2147814, INV#088/EXP-POP36973/11/2022, T/R, empty return 1/11
- APL SENTOSA, (W11), EG
- have an additional $250 APM Surcharge
- Moored 1/4, discharged 1/5, LFD 1/10</t>
  </si>
  <si>
    <t>KKFU7833408</t>
  </si>
  <si>
    <t>EN#5123131, INV#AIT2236C, T/R, empty return 1/11
- HYUNDAI NEPTUNE, (X3), ONE
- Moored 1/2, discharged 1/3, LFD 1/9</t>
  </si>
  <si>
    <t>Date (Arrived WH)</t>
  </si>
  <si>
    <t>75PLTS</t>
  </si>
  <si>
    <t>CSNU7152392
CSNU8047792</t>
  </si>
  <si>
    <t>SMALL PATCH</t>
  </si>
  <si>
    <t>12/28/2023
12/27/2023</t>
  </si>
  <si>
    <t>EN#2155142, INV#PI23-44, 23ILC028388, PO#38826, OBL12/20
- COSCO FRANCE, (TD4), COSCO
- Moored 12/22
- c#2392 - discharged 12/22, LFD 12/27, prepull 12/27, empty return 12/28
- c#7792 - discharged 12/22, LFD 12/27, prepull 12/26, empty return 12/28
- GW revised invoice
- OBL didn't pickup till 12/26, recreate overnight label 12/26 for sameday pickup, OBL 12/26, FedEx tracking 774605479666
- cannot cancel old OBL fedEx tracking 774565340302
- 774605479666 delivered 12/27</t>
  </si>
  <si>
    <t>33PLTS</t>
  </si>
  <si>
    <t>WHSU5849492</t>
  </si>
  <si>
    <t>EN#5132987, INV#PI23-43, 23ILC028348, PO#38751, OBL11/21, empty return 1/2
- NORFOLK EXPRESS, (TC20), WAN HAI
- have additional $150 APM Surcharge
- Moored 12/21, discharged 12/21, LFD 12/28</t>
  </si>
  <si>
    <t>NYKU4891823</t>
  </si>
  <si>
    <t>OINTMENT 10G, 18G, RED 18G</t>
  </si>
  <si>
    <t>EN#5133432, INV#PI23-89, 23ILC028426, PO#38752, OBL12/5, GATEFEE12/20, empty return 12/26
- YM UNICORN, (TC22), ONE
- Moored 12/19, discharged 12/19, LFD 12/26
- pickup pier waiting was from 8:46-11:10am additional ½ hr</t>
  </si>
  <si>
    <t>TEMU8848288</t>
  </si>
  <si>
    <t>EN#2155026, INV#PI23-91, 23ILC028425, PO#38824, OBL12/20, empty return 12/26
- YM UNIFORM, (TD2), ONE
- Moored 12/19, discharged 12/19, LFD 12/23
- 12/20 received OBL from bank
- prepull 12/21
- OBL FedEx 774564297335 delivered 12/27</t>
  </si>
  <si>
    <t>GCXU5353385</t>
  </si>
  <si>
    <r>
      <rPr>
        <rFont val="Arial"/>
        <color rgb="FF000000"/>
        <sz val="11.0"/>
      </rPr>
      <t xml:space="preserve">EN#5132855, INV#PI23-43, 23ILC028348, PO#38750, OBL11/27, </t>
    </r>
    <r>
      <rPr>
        <rFont val="Arial"/>
        <color rgb="FF000000"/>
        <sz val="11.0"/>
      </rPr>
      <t>empty return 12/20</t>
    </r>
    <r>
      <rPr>
        <rFont val="Arial"/>
        <color rgb="FF000000"/>
        <sz val="11.0"/>
      </rPr>
      <t xml:space="preserve">
- WAN HAI A07, (TC19), WAN HAI
- have additional $150 APM Surcharge
- Moored 12/14, discharged 12/15, LFD 12/21</t>
    </r>
  </si>
  <si>
    <t>WHSU5030940
WHSU5182964
WHSU2153073</t>
  </si>
  <si>
    <t>12/18/2023
12/20/2023
12/18/2023</t>
  </si>
  <si>
    <t>EN#5132769, INV#PI23-84, 23ILC028387, PO#38749, OBL11/27
- WAN HAI A07, (TC18), WAN HAI
- have additional $150/container APM Surcharge
- Moored 12/14
c#0940 - discharged 12/14, LFD 12/20, empty return 12/21
c#2964 - discharged 12/15, LFD 12/21, empty return 12/22
c#3073 - discharged 12/15, LFD 12/20, empty return 12/19</t>
  </si>
  <si>
    <t>WHSU6909410</t>
  </si>
  <si>
    <r>
      <rPr>
        <rFont val="Arial"/>
        <color rgb="FF000000"/>
        <sz val="11.0"/>
      </rPr>
      <t>EN#5132574, INV#PI23-43, 23ILC028348, PO#38748,</t>
    </r>
    <r>
      <rPr>
        <rFont val="Arial"/>
        <color rgb="FF000000"/>
        <sz val="11.0"/>
      </rPr>
      <t xml:space="preserve"> </t>
    </r>
    <r>
      <rPr>
        <rFont val="Arial"/>
        <color rgb="FF000000"/>
        <sz val="11.0"/>
      </rPr>
      <t xml:space="preserve">OBL11/13, </t>
    </r>
    <r>
      <rPr>
        <rFont val="Arial"/>
        <color rgb="FF000000"/>
        <sz val="11.0"/>
      </rPr>
      <t xml:space="preserve">empty return 12/14
</t>
    </r>
    <r>
      <rPr>
        <rFont val="Arial"/>
        <color rgb="FF000000"/>
        <sz val="11.0"/>
      </rPr>
      <t>- WAN HAI A10, (TC16), WAN HAI
- have additional $150 APM Surcharge
- Moored 12/7, discharged 12/8, LFD 12/14</t>
    </r>
  </si>
  <si>
    <t>WHSU4018302</t>
  </si>
  <si>
    <r>
      <rPr>
        <rFont val="Arial"/>
        <color rgb="FF000000"/>
        <sz val="11.0"/>
      </rPr>
      <t xml:space="preserve">EN#5132571, INV#PI23-82, T/R, PO#38747, </t>
    </r>
    <r>
      <rPr>
        <rFont val="Arial"/>
        <color rgb="FF000000"/>
        <sz val="11.0"/>
      </rPr>
      <t>empty return 12/14</t>
    </r>
    <r>
      <rPr>
        <rFont val="Arial"/>
        <color rgb="FF000000"/>
        <sz val="11.0"/>
      </rPr>
      <t xml:space="preserve">
- WAN HAI A10, (TC15), WAN HAI
- have additional $150 APM Surcharge
- Moored 12/7, discharged 12/8, LFD 12/13</t>
    </r>
  </si>
  <si>
    <t>TGHU6126950
WHLU5638160</t>
  </si>
  <si>
    <t>12/6/2023
12/6/2023</t>
  </si>
  <si>
    <t>EN#5132338, INV#PI23-43, 23ILC028348, PO#38653, OBL11/6
- WAN HAI A05, (TC13), WAN HAI
- have additional $150/contr APM Surcharge
- At anchor 11/29, moored 12/1
- c#6950 - discharged 12/2, LFD 12/7, empty return 12/7
- c#8160 - discharged 12/2, LFD 12/7, empty return 12/7</t>
  </si>
  <si>
    <t>TRHU2174757</t>
  </si>
  <si>
    <r>
      <rPr>
        <rFont val="Arial"/>
        <color rgb="FF000000"/>
        <sz val="11.0"/>
      </rPr>
      <t xml:space="preserve">EN#5132575, INV#PI23-83, 23ILC028390, PO#38656, OBL11/13, GATEFEE11/27, </t>
    </r>
    <r>
      <rPr>
        <rFont val="Arial"/>
        <color rgb="FF000000"/>
        <sz val="11.0"/>
      </rPr>
      <t>empty return 11/30</t>
    </r>
    <r>
      <rPr>
        <rFont val="Arial"/>
        <color rgb="FF000000"/>
        <sz val="11.0"/>
      </rPr>
      <t xml:space="preserve">
- YM UPSURGENCE, (TC17), ONE
- Moored 11/24, discharged 11/25, LFD 11/30</t>
    </r>
  </si>
  <si>
    <t>TEMU7866570</t>
  </si>
  <si>
    <t>EN#5132395, INV#PI23-85, 23ILC028389, PO#38655, OBL11/13, empty return 11/29
- YM UNANIMITY, (TC14), ONE
- Moored 11/22, discharged 11/26, LFD 11/30</t>
  </si>
  <si>
    <t>FCIU5652296</t>
  </si>
  <si>
    <r>
      <rPr>
        <rFont val="Arial"/>
        <color rgb="FF000000"/>
        <sz val="11.0"/>
      </rPr>
      <t xml:space="preserve">EN#5132231, INV#PI23-65, 23ILC028373, PO#38609, OBL10/25, </t>
    </r>
    <r>
      <rPr>
        <rFont val="Arial"/>
        <color rgb="FF000000"/>
        <sz val="11.0"/>
      </rPr>
      <t>empty return 11/30</t>
    </r>
    <r>
      <rPr>
        <rFont val="Arial"/>
        <color rgb="FF000000"/>
        <sz val="11.0"/>
      </rPr>
      <t xml:space="preserve">
- ONE HAWK, (TC12), ONE
- have Global Terminal surcharge ($150)
- Moored 11/21, discharged 11/22, LFD 11/29</t>
    </r>
  </si>
  <si>
    <t>GAOU6639010
GCXU2234818
TEMU8868556</t>
  </si>
  <si>
    <t xml:space="preserve">
11/24/2023
11/22/2023
11/24/2023</t>
  </si>
  <si>
    <t>EN#5131722, INV#PI23-81, 23ILC028349, PO#38544, OBL10/11
- ONE MUNCHEN, (TC9), ONE
- have additional $150/contr Global Terminal Surcharge
- Moored 11/18
- c#9010 - discharged 11/18, LFD 11/24, empty return 11/29
- c#4818 - discharged 11/19, LFD 11/24, empty return 11/28
- c#8556 - discharged 11/19, LFD 11/24, empty return 11/28</t>
  </si>
  <si>
    <t>WHLU4268754</t>
  </si>
  <si>
    <t>EN#5132089, INV#PI23-77, T/R, PO#38547, empty return 11/22
- COCHRANE, (TC11), WAN HAI
- have additional $150 APM surcharge
- Moored 11/16, discharged 11/16, LFD 11/22</t>
  </si>
  <si>
    <t>WHSU2381181
WHSU5520064</t>
  </si>
  <si>
    <t>11/21/2023
11/20/2023</t>
  </si>
  <si>
    <t>EN#5132036, INV#PI23-43, 23ILC028348, PO#38546, OBL10/18
- COCHRANE, (TC10), WAN HAI
- have additional $150/container APM surcharge
- Moored 11/16
- c#1181 - discharged 11/16, LFD 11/22, empty return 11/24
- c#0064 - discharged 11/16, LFD 11/22, empty return 11/21</t>
  </si>
  <si>
    <t>35PLTS</t>
  </si>
  <si>
    <t>GCXU5259384
TRHU1929020</t>
  </si>
  <si>
    <t>11/6/2023
11/6/2023</t>
  </si>
  <si>
    <t>EN#5131013, INV#PI23-75, 23ILC028292, PO#38457, OBL10/2
- TANGIER EXPRESS, (TC2), ONE
- have additional $150/container Global Terminal Surcharge
- At anchor 10/30, estimated berthing 10/31
- Moored 11/1
- c#9384 - discharged 11/2, LFD 11/8, empty return 11/9
- c#9020 - discharged 11/2, LFD 11/8, empty return 11/9</t>
  </si>
  <si>
    <t>BEAU4627130
KKFU7939982
NYKU4193571</t>
  </si>
  <si>
    <t>10/31/202
10/31/2023
11/1/2023</t>
  </si>
  <si>
    <t>EN#5130742, INV#PI23-75, 23ILC028292, PO#38424, OBL10/2
- YM WIDTH, (TB22), ONE
- have additional $150/container Global Surcharge
- Moored 10/26
- c#7130 - discharged 10/27, LFD 11/2, empty return 11/2
- c#9982 - discharged 10/27, LFD 11/2, empty return 11/2
- c#3571 - discharged 10/27, LFD 11/2, empty return 11/6</t>
  </si>
  <si>
    <t>WHLU4252130</t>
  </si>
  <si>
    <r>
      <rPr>
        <rFont val="Arial"/>
        <color rgb="FF000000"/>
        <sz val="11.0"/>
      </rPr>
      <t xml:space="preserve">EN#5131318, INV#PI23-70, T/R, PO#38459, </t>
    </r>
    <r>
      <rPr>
        <rFont val="Arial"/>
        <color rgb="FF000000"/>
        <sz val="11.0"/>
      </rPr>
      <t>empty return 10/30</t>
    </r>
    <r>
      <rPr>
        <rFont val="Arial"/>
        <color rgb="FF000000"/>
        <sz val="11.0"/>
      </rPr>
      <t xml:space="preserve">
- WAN HAI 623, (TC6), WAN HAI
- have additional $150 APM Surcharge
- Moored 10/25, discharged 10/25, LFD 10/31</t>
    </r>
  </si>
  <si>
    <t>KOCU4600890
KOCU4700420</t>
  </si>
  <si>
    <t>10/25/2023
10/26/2026</t>
  </si>
  <si>
    <r>
      <rPr>
        <rFont val="Arial"/>
        <color rgb="FF000000"/>
        <sz val="11.0"/>
      </rPr>
      <t>EN#2153451, INV#PI23-54, 23ILC028290, PO#38545, OBL10/13, GATEFEE10/23</t>
    </r>
    <r>
      <rPr>
        <rFont val="Arial"/>
        <color rgb="FFFF0000"/>
        <sz val="11.0"/>
      </rPr>
      <t xml:space="preserve">
</t>
    </r>
    <r>
      <rPr>
        <rFont val="Arial"/>
        <color rgb="FF000000"/>
        <sz val="11.0"/>
      </rPr>
      <t>- YM UBIQUITY, (TC8), HMM
- Moored 10/22
- c#0890 - discharged 10/22, LFD 10/26, empty return 10/25</t>
    </r>
    <r>
      <rPr>
        <rFont val="Arial"/>
        <color rgb="FFFF0000"/>
        <sz val="11.0"/>
      </rPr>
      <t xml:space="preserve">
</t>
    </r>
    <r>
      <rPr>
        <rFont val="Arial"/>
        <color rgb="FF000000"/>
        <sz val="11.0"/>
      </rPr>
      <t>- c#0420 - discharged 10/22, LFD 10/26, empty return 10/26</t>
    </r>
  </si>
  <si>
    <t>TCLU6889402
TCNU5504334</t>
  </si>
  <si>
    <t>OINTMENT 10G, 18G, 50G, RED 18G, WHITE 18G</t>
  </si>
  <si>
    <t>10/20/2023
10/20/2023</t>
  </si>
  <si>
    <t>EN#2153452, INV#PI23-80, 23ILC028350, PO#38543, OBL10/11
- YM UBIQUITY, (TC7), ONE
- Moored 10/17
- c#9402 - discharged 10/18, LFD 10/24, empty return 10/24
- c#4334 - discharged 10/19, LFD 10/24, empty return 10/24</t>
  </si>
  <si>
    <t>TLLU5453048</t>
  </si>
  <si>
    <t>EN#5131460, INV#PI23-79, 23ILC028351, PO#38542, OBL10/11, GATEFEE10/16, empty return 10/19
- YM UNIFORMITY, (TC4), ONE
- PO#38457 changed to 38542
- Moored 10/14, discharged 10/14, LFD 10/19</t>
  </si>
  <si>
    <t>OOLU7933601</t>
  </si>
  <si>
    <r>
      <rPr>
        <rFont val="Arial"/>
        <color rgb="FF000000"/>
        <sz val="11.0"/>
      </rPr>
      <t xml:space="preserve">EN#5130669, INV#PI23-64, T/R, PO#38418, </t>
    </r>
    <r>
      <rPr>
        <rFont val="Arial"/>
        <color rgb="FF000000"/>
        <sz val="11.0"/>
      </rPr>
      <t xml:space="preserve">empty return 10/19
</t>
    </r>
    <r>
      <rPr>
        <rFont val="Arial"/>
        <color rgb="FF000000"/>
        <sz val="11.0"/>
      </rPr>
      <t>- TITAN, (TB20), COSCO
- vessel IMO 9728928
- have additional $150 Maher Surcharge
- Moored 10/14, discharged 10/15, LFD 10/20</t>
    </r>
  </si>
  <si>
    <t>KKTU8035747</t>
  </si>
  <si>
    <r>
      <rPr>
        <rFont val="Arial"/>
        <color rgb="FF000000"/>
        <sz val="11.0"/>
      </rPr>
      <t xml:space="preserve">EN#2153007, INV#PI23-41, 23ILC028288, PO#38421, OBL9/22, GATEFEE10/12, </t>
    </r>
    <r>
      <rPr>
        <rFont val="Arial"/>
        <color rgb="FF000000"/>
        <sz val="11.0"/>
      </rPr>
      <t xml:space="preserve">empty return 10/17
</t>
    </r>
    <r>
      <rPr>
        <rFont val="Arial"/>
        <color rgb="FF000000"/>
        <sz val="11.0"/>
      </rPr>
      <t>- ONE COMMITMENT, (TC1), ONE
- Moored 10/10, discharged 10/11, LFD 10/17</t>
    </r>
  </si>
  <si>
    <t>NYKU9878249</t>
  </si>
  <si>
    <t>EN#2152884, INV#PI23-52, 23ILC028289, PO#38422, OBL9/22, empty return 10/18
- ONE OWL, (TB21), ONE
- Moored 10/9, discharged 10/9, LFD 10/13
- have Global terminal surcharge $150</t>
  </si>
  <si>
    <t>DFSU2488475
KOCU4638073</t>
  </si>
  <si>
    <t>10/13/2023
10/12/2023</t>
  </si>
  <si>
    <t>EN#2153157, INV#PI23-54, 23ILC028290, PO#38460, OBL9/27, GATEFEE 10/9 &amp; 10/10
- YM UNANIMITY, (TC5), HMM
- moored 10/8
- c#8475 - discharged 10/9, LFD10/13, gatefee 10/10, empty return 10/13
c#8073 - discharged 10/8, LFD 10/12, gatefee 10/9, empty return 10/12</t>
  </si>
  <si>
    <t>KOCU5053735
KOCU5136362</t>
  </si>
  <si>
    <t>10/10/2023
10/10/2023</t>
  </si>
  <si>
    <t>EN#5131012, INV#PI23-54, 23ILC028290, PO#38458, OBL9/27, GATEFEE10/4
- YM UPSURGENCE, (TC3), HMM
- Moored 10/4
- c#3735 - discharged 10/4, LFD 10/10, empty return 10/11, pier waiting was from 9:28-1:10pm additional 2hrs
- c#6362 - discharged 10/4, LFD 10/10, empty return 10/10, pier waiting was from 9:35-11:46am additional ½ hr
- eFolder</t>
  </si>
  <si>
    <t>MSMU5953510
TLLU8731918
TXGU6987029</t>
  </si>
  <si>
    <t>OINTMENT 10G, 18G, 50G, RED 18G</t>
  </si>
  <si>
    <t>9/29/2023
9/28/2023
9/29/2023</t>
  </si>
  <si>
    <t>EN#5130442, INV#PI23-63 &amp; PI23-67, 23ILC028248, PO#38417, OBL9/7
- MAERSK YUKON, (TB16), MSC
- forwarder mailing address is incorrrect
- have additional $150/container APM surcharge
- moored 9/22
- c#3510 - discharged 9/22, LFD 9/28, prepull 9/28, empty return 10/2
- c#1918 - discharged 9/23, LFD 9/28, empty return 10/2?
- c#7029 - discharged 9/22, LFD 9/28, prepull 9/28, empty return 10/2</t>
  </si>
  <si>
    <t>WHSU6482502</t>
  </si>
  <si>
    <r>
      <rPr>
        <rFont val="Arial"/>
        <color rgb="FF000000"/>
        <sz val="11.0"/>
      </rPr>
      <t xml:space="preserve">EN#2152737, INV#PI23-54, 23ILC028290, PO#38416, OBL9/1, GATEFEE9/15, </t>
    </r>
    <r>
      <rPr>
        <rFont val="Arial"/>
        <color rgb="FF000000"/>
        <sz val="11.0"/>
      </rPr>
      <t>empty return 9/28</t>
    </r>
    <r>
      <rPr>
        <rFont val="Arial"/>
        <color rgb="FF000000"/>
        <sz val="11.0"/>
      </rPr>
      <t xml:space="preserve">
- WAN HAI A11, (TB17), WAN HAI
- Moored 9/20, discharged 9/20, LFD 9/26</t>
    </r>
  </si>
  <si>
    <t>KKTU8185080
TCLU7821388</t>
  </si>
  <si>
    <t>9/26/2023
9/26/2023</t>
  </si>
  <si>
    <t>EN#5130631, INV#PI23-74, 23ILC028291, PO#38419, OBL9/14, GATEFEE 9/20
- YM UNIFORM, (TB18), ONE
- Moored 9/20
- c#5080 - discharged 9/20, LFD 9/26, empty return 9/26
- c#1388 - discharged 9/20, LFD 9/26, empty return 9/26
- first OBL delayed, FedEx tracking 773417515615, delivered 9/22
- second OBL sent,  FedEx tracking: 773478385504, delivered 9/21</t>
  </si>
  <si>
    <t>TGBU9690366
TRHU4114628
TRHU5317234</t>
  </si>
  <si>
    <t>9/25/2023
9/25/2023
9/26/2023</t>
  </si>
  <si>
    <t>EN#5129857, INV#PI23-63 &amp; PI23-67, 23ILC028248, PO#38283, OBL 8/16- ONE MINATO, (TB13), ONE
- request to update OBL forwarder mailing address to 266 Merrick Road, Suite 200, Lynbrook, NY 11563
- have additional $150/container Global surcharge
- At anchor 9/19, estimated berthing 9/21
- Moored 9/22
- c#0366 - discharged 9/22, LFD 9/27, empty return 9/27
- c#4628 - discharged 9/22, LFD 9/27, empty return 9/27
- c#7234 - discharged 9/22, LFD 9/27, empty return 9/29</t>
  </si>
  <si>
    <t>WHSU6410293</t>
  </si>
  <si>
    <t>EN#5129997, INV#PI23-38, 23ILC028252, PO#38449, OBL8/22, empty return 9/21
- WAN HAI A07, (TB14), WAN HAI
- have additional $150 APM surcharge
- Moored 9/17, discharged 9/17, LFD 9/21</t>
  </si>
  <si>
    <t>TGHU9056435</t>
  </si>
  <si>
    <t>RED 18G, WHITE 18G, OINTMENT 50G</t>
  </si>
  <si>
    <r>
      <rPr>
        <rFont val="Arial"/>
        <color rgb="FF000000"/>
        <sz val="11.0"/>
      </rPr>
      <t xml:space="preserve">EN#5130668, INV#PI23-76, 23ILC028293, PO#38420, OBL9/12, </t>
    </r>
    <r>
      <rPr>
        <rFont val="Arial"/>
        <color rgb="FF000000"/>
        <sz val="11.0"/>
      </rPr>
      <t>empty return 9/26</t>
    </r>
    <r>
      <rPr>
        <rFont val="Arial"/>
        <color rgb="FF000000"/>
        <sz val="11.0"/>
      </rPr>
      <t xml:space="preserve">
- MAERSK ALTAIR, (TB19), MSC
- received &amp; mailed OBL to forwarder 9/12
- Moored 9/12, discharged 9/15, LFD 9/20
- LFD extended 9/22</t>
    </r>
  </si>
  <si>
    <t>OOCU7891990
CSNU4079765</t>
  </si>
  <si>
    <t>9/13/2023
9/13/2023</t>
  </si>
  <si>
    <t>EN#5129555, INV#PI23-25,
23ILC028207, PO#38278, OBL8/10
- TRITON, (TB7), COSCO
- vessel IMO 9728916
- BALBOA = Port of Balboa, Panama
- have additional $150/container Maher surcharge
- c#1990 - moored 9/9, discharged 9/9, LFD 9/14, empty return 9/14
- c#9765 - moored 9/9, discharged 9/9, LFD, 9/14, empty return 9/13</t>
  </si>
  <si>
    <t>WHSU4025153</t>
  </si>
  <si>
    <t>RUB 113ML</t>
  </si>
  <si>
    <t>EN#5129722, INV#PI23-53, 23ILC028233, PO#38280, OBL8/10, GATEFEE8/31, empty return 9/13
- WAN HAI 351, (TB9), WAN HAI
- Moored 9/3, discharged 9/5, LFD 9/13
- driver checked in at 11:11am until 1:31pm finished returning it,1 ½ hr for pier waiting</t>
  </si>
  <si>
    <t>HLBU3430709
GCXU5927863</t>
  </si>
  <si>
    <t>9/7/2023
9/7/2023</t>
  </si>
  <si>
    <t>EN#5129970, INV#PI23-37, 23ILC028251, PO#38284, OBL8/21, GATEFEE 8/31
- YM UNIFORMITY, (TB15), HL
- Moored 8/31
- c#0709 - discharged 8/31, LFD 9/7, empty return 9/7
- c#7863 - dischaged 8/31, LFD 9/7, empty return 9/8</t>
  </si>
  <si>
    <t>BMOU6440842
APHU6819682</t>
  </si>
  <si>
    <t>9/5/2023
9/5/2023</t>
  </si>
  <si>
    <t>EN#5129251, INV#PI23-25, 23ILC028207, PO#38194, OBL7/24,
- TALOS, (TB6), CMA
- FedEx 772832549982
- have additional $150/container Maher surcharge
- Moored 8/30
- c#0842 - discharged 8/31, LFD 9/5, empty return 9/7
- c#9682 - discharged 8/30, LFD 9/5, empty return 9/6</t>
  </si>
  <si>
    <t>WHSU5885709
WHLU5709896
WHLU0318369</t>
  </si>
  <si>
    <t>RED 18G, OINTMENT 18G, WHITE 18G</t>
  </si>
  <si>
    <t>9/6/2023
9/6/2023
8/30/2023</t>
  </si>
  <si>
    <r>
      <rPr>
        <rFont val="Arial"/>
        <color rgb="FF000000"/>
        <sz val="11.0"/>
      </rPr>
      <t>EN#5129724, INV#PI23-62 &amp; PI23-66, 
23ILC028250, PO#38281, OBL8/16, GATEFEE8/24
- WAN HAI A03, (TB10), WAN HAI
- moored 8/27
- c#5709 - discharged 8/27, LFD 9/6, empty return 9/6
- c#9896 - discharged 8/27, LFD 9/6, empty return 9/6
- c#8369 - discharged 8/27, LFD 8/31, empty return 8/31</t>
    </r>
    <r>
      <rPr>
        <rFont val="Arial"/>
        <color rgb="FFFF0000"/>
        <sz val="11.0"/>
      </rPr>
      <t xml:space="preserve">
</t>
    </r>
    <r>
      <rPr>
        <rFont val="Arial"/>
        <color rgb="FF000000"/>
        <sz val="11.0"/>
      </rPr>
      <t>- c#8369, pier waiting 9:22-2:29pm additional 3hrs
- no receive supporting doc</t>
    </r>
  </si>
  <si>
    <t>WHSU0038912</t>
  </si>
  <si>
    <t>EN#5129438, INV#PI23-68, 
23ILC028249, PO#38282, OBL8/16, empty return 8/25
- WAN HAI A03, (TB11), WAN HAI
- prepull 8/24
- Moored 8/19, discharged 8/22, LFD 8/29</t>
  </si>
  <si>
    <t>OOCU4899873</t>
  </si>
  <si>
    <t>EN#5129437, INV#PI23-42, 23ILC028233, PO#38277, OBL7/31, GATEFEE 8/14, empty return 8/22
- CMA CGM PRIDE, (TB8), OOCL
- Moored 8/17, discharged 8/18, LFD 8/24</t>
  </si>
  <si>
    <t>CSNU7524946
RFCU2078404</t>
  </si>
  <si>
    <t>8/18/2023
8/16/2023</t>
  </si>
  <si>
    <t>EN#5129065, INV#PI23-25, 23ILC028207, PO#38193
- EVER MAX, (TB4), COSCO
- OBL 7/12 Fedex 772723541697
- have MAHER $150 charge
- Moored 8/13
- c#4946 - discharged 8/14, empty return 8/21
- c#8404 - discharged 8/14, prepull 8/13? , empty return 8/21</t>
  </si>
  <si>
    <t>61PLTS</t>
  </si>
  <si>
    <t>ONEU0138790
NYKU4736323
TGBU3182265</t>
  </si>
  <si>
    <t>OINTMENT 50G, 10G, 18G, RED 18G, WHITE 18G, 4G</t>
  </si>
  <si>
    <t>8/11/2023
8/14/2023
8/14/2023</t>
  </si>
  <si>
    <t>EN#5128671, INV#PI23-48 &amp; PI23-58, 23ILC028204, PO#38191
- ONE MONACO, (TB2), ONE
- OBL 7/12 Fedex 772723965776
- additional $150/container Global surcharge
- moored 8/9
- c#8790 - discharged 8/9, empty return 8/15
- c#6323 - discharged 8/10, empty return 8/17
- c#2265 - discharged 8/10, empty return 8/16</t>
  </si>
  <si>
    <t>2PLTS</t>
  </si>
  <si>
    <t>EN#6023315, INV#PI23-42; PO#38250
- (TB12)</t>
  </si>
  <si>
    <t>CXDU2274249</t>
  </si>
  <si>
    <t>EN#5129064, INV#PI23-57, T/R, PO#38192, GATEFEE 8/4, empty return 8/9
- YM UNIFORM, (TB5), HMM</t>
  </si>
  <si>
    <t>CMAU6758883
TCNU2940530</t>
  </si>
  <si>
    <t>8/2/2023
8/2/2023</t>
  </si>
  <si>
    <t>EN#5128670, INV#PI23-13, 23ILC028207, PO#38079, OBL7/3
- TAURUS, (TB3), CMA
- vessel IMO: 9728942
- have additional $150 Maher surcharge</t>
  </si>
  <si>
    <t>KOCU4301919
HDMU2680911</t>
  </si>
  <si>
    <t>8/1/2023
8/1/2023</t>
  </si>
  <si>
    <t>EN#5128479, INV#PI23-13, 23ILC028207, PO#38081, OBL7/3
- HYUNDAI DRIVE, (TA21), HMM
- have additional $150 GCT Bayonne Surcharge</t>
  </si>
  <si>
    <t>OOLU4344059</t>
  </si>
  <si>
    <t xml:space="preserve"> RUB 50G</t>
  </si>
  <si>
    <t>EN#2151396, INV#PI23-51, 23ILC028172, PO#38080, OBL6/23, empty return7/21
- GOTTFRIED SCHULTE, (TA20), OOC
- have an additional $150 Maher Surcharge</t>
  </si>
  <si>
    <t>WHSU2095439
WHSU5635989</t>
  </si>
  <si>
    <t>RED 18G, OINTMENT 18G, WHITE 18G, 4G</t>
  </si>
  <si>
    <t>7/24/2023
7/27/2023</t>
  </si>
  <si>
    <r>
      <rPr>
        <rFont val="Arial"/>
        <color rgb="FF000000"/>
        <sz val="11.0"/>
      </rPr>
      <t>EN#5128574, INV#PI23-55, 
23ILC028206, PO#38082, OBL6/30, GATEFEE7/14, empty return 7/24 &amp; 7/27</t>
    </r>
    <r>
      <rPr>
        <rFont val="Arial"/>
        <color rgb="FFFF0000"/>
        <sz val="11.0"/>
      </rPr>
      <t xml:space="preserve">
</t>
    </r>
    <r>
      <rPr>
        <rFont val="Arial"/>
        <color rgb="FF000000"/>
        <sz val="11.0"/>
      </rPr>
      <t>- WAN HAI A08, (TA22), WAN HAI
- c#5439, pier waiting was from 7:23-11:40am additional 2 ½ hrs</t>
    </r>
  </si>
  <si>
    <t>TLLU5601649
NYKU4756504
TCLU6447611</t>
  </si>
  <si>
    <t>OINTMENT 10G, 18G, 50G, RED 18G, 4G, WHITE 18G, 4G</t>
  </si>
  <si>
    <t>7/13/2023
7/13/2023
7/12/2023</t>
  </si>
  <si>
    <t>EN#5127563, INV#PI23-48, 23ILC028143, PO#38029, OBL6/5
- NEW YORK EXPRESS, (TA16), ONE
- have an additional $250/container GCT Bayonne Surcharge
- Moored 7/4
- c#1649, empty return 7/17
- c#6504, empty return 7/17
- c#7611, empty return 7/17</t>
  </si>
  <si>
    <t>TEMU0760056</t>
  </si>
  <si>
    <t>RED 18G, 4G</t>
  </si>
  <si>
    <t>EN#5128575, INV#PI23-60, 
23ILC028205, PO#38083, OBL6/30, empty return7/11
- YM UNIFORMITY, (TB1), ONE
- Moored 7/6, discharged 7/6, LFD 7/12
- prepull 7/10</t>
  </si>
  <si>
    <t>HLBU1783380</t>
  </si>
  <si>
    <t>EN#5127566, INV#PI23-50, T/R, PO#38028, empty return7/11
- DORTMUND EXPRESS, (TA17), HL
- have an additional $250 GCT Bayonne Surcharge
- Moored 7/1, discharged 7/3, LFD 7/7</t>
  </si>
  <si>
    <t>OOCU7844473
SEGU1550058</t>
  </si>
  <si>
    <t>6/22/2023
6/22/2023</t>
  </si>
  <si>
    <t>EN#2151202, INV#PI23-39, 23ILC028173, PO#38031, OBL6/14
- COSCO SHIPPING ALPS, (TA19), COSCO
- GW request invoice (NDC &amp; manufacturer DRN)
- Moored 6/16
- c#4473 - discharged 6/18, LFD 6/23, empty return 6/22
- c#0058 - discharged 6/17, LFD 6/22, prepull 6/21, empty return 6/28
- SEGU1550058 have per diem $375</t>
  </si>
  <si>
    <t>KOCU5126169</t>
  </si>
  <si>
    <t>EN#5127767, INV#PI23-14 &amp; PI23-39, 23ILC028173, OBL6/2, PO#38030, empty return 6/19
- YM UNIFORM, (TA18), HMM
- Moored 6/9, discharged 6/12, LFD?
- prepull 6/15</t>
  </si>
  <si>
    <t>HDMU5520060</t>
  </si>
  <si>
    <t>6/16/2023
Discharged LA, delivered OAK</t>
  </si>
  <si>
    <r>
      <rPr>
        <rFont val="Arial"/>
        <color rgb="FF000000"/>
        <sz val="11.0"/>
      </rPr>
      <t xml:space="preserve">EN#5127304, INV#PI23-27, 23ILC028142, PO#38027, OBL5/10, no GATEFEE (LCL), no empty return (LCL)
- ONE AQUILA, (TA13), HMM
- Port of discharge: LA
- Place of delivery: OAK
- Moored 6/6, discharged @ LA 6/9, LFD 6/15
- Picked up 6/9, pending transfer to OAK, ETA to OAK 6/15
- arrived OAK cfs warehouse 6/15, LFD 6/20, delivered to Livermore warehouse 6/16
- IT# 898275954
- STG Logistics
</t>
    </r>
    <r>
      <rPr>
        <rFont val="Arial"/>
        <color rgb="FF1155CC"/>
        <sz val="11.0"/>
        <u/>
      </rPr>
      <t>https://cwportal.stgusa.com/warehousingSTG/warehousing?event=TRACKING_RUN</t>
    </r>
  </si>
  <si>
    <t>WHSU6449783</t>
  </si>
  <si>
    <t>EN#5127358, INV#PI23-34, 23ILC028141, PO#37994, OBL5/24, GATEFEE5/26, empty return 6/9
- WAN HAI A09, (TA15), WAN HAI
- Moored 5/30, discharged 5/30, LFD 6/6
- ready for pickup, LFD 6/9</t>
  </si>
  <si>
    <t>WHSU6078147</t>
  </si>
  <si>
    <t>OINTMENT 10G, 18G, RED 18G, 4G, WHITE 18G</t>
  </si>
  <si>
    <t>EN#5127357, INV#PI23-49, 23ILC028140, PO#37975, OBL5/23, empty return 6/8
- WAN HAI A09, (TA14), WAN HAI
- OBL received &amp; mailed 5/23
- Moored 5/23, discharged 5/26, LFD 6/2
- Prepull 6/2</t>
  </si>
  <si>
    <t>TGBU6349660</t>
  </si>
  <si>
    <t>EN#5127231, INV#PI23-40, T/R, PO#37922, GATEFEE5/24, empty return 5/30
- YM UNIFORMITY, (TA12), HMM
- Moored 5/23, discharged 5/24, LFD 5/30</t>
  </si>
  <si>
    <t>CMAU7875190</t>
  </si>
  <si>
    <t>EN#5126019, INV#PI23-26, PO#37772, T/R, empty return 5/10
- TAURUS, (TA10), CMA
- IMO: 9728942
- have an additional $250 Maher Surcharge
- Moored 5/4, discharged 5/4, LFD 5/10</t>
  </si>
  <si>
    <t>WHSU2267970
WHLU5752995
WHLU5662398</t>
  </si>
  <si>
    <t>RED 4G, 18G, OINTMENT 18G, 50G, WHITE 4G</t>
  </si>
  <si>
    <t>5/1/2023
5/1/2023
5/2/2023</t>
  </si>
  <si>
    <t>EN#5126018, INV#PI23-33, 23ILC028092, PO#37771, OBL4/12
- WAN HAI 625, (TA9), WAN HAI
- E-Trans does not handle WAN HAI, Apex will deliver
- Moored 4/28
- c#7970 - discharged 4/28, LFD 5/4, empty return 5/1
- c#2995 - discharged 4/28, LFD 5/4, empty return 5/1
- c#2398 - discharged 4/28, LFD 5/4, prepull 5/1, empty return 5/3</t>
  </si>
  <si>
    <t>37601 replacement shipment</t>
  </si>
  <si>
    <t>CMAU9497382</t>
  </si>
  <si>
    <t>PATCH 4'S</t>
  </si>
  <si>
    <t>EN#5125591, INV#SDE230112002, PO#37601, T/R, empty return 4/28
- TOKYO TRIUMPH, (TA7), CMA
- Replacement shipment for PO#37601
- No LC, no Invoice#, no tax invoice
- Door move by Transglobe Express (vendor)
- All charges bill to Transglobe Express for this replacement shipment, POP no need to pay GW invoice
- Moored 4/26, discharged 4/26, LFD 5/2
- Received additonal 20 dz</t>
  </si>
  <si>
    <t>MSDU1765165</t>
  </si>
  <si>
    <t>EN#5125814, INV#PI23-04, 23ILC028066, PO#37770, OBL4/6, empty return 4/27
- MAERSK SAIGON, (TA6), MSC
- have an additional $250 PNCT Surcharge
- Moored 4/25, discharged 4/25, LFD 5/1</t>
  </si>
  <si>
    <t>NYKU3924223
TRHU4414184</t>
  </si>
  <si>
    <t>5/2/2023
4/28/2023</t>
  </si>
  <si>
    <t>EN#5126218, INV#PI23-34, 23ILC028093, PO#37884, OBL4/20
- YM UPWARD, (TA11), ONE
- Moored 4/23
- c#4223 - discharged 4/25, LFD 5/1, prepull 5/1, empty return 5/2
- c#4184 - discharged 4/23, LFD5/2, prepull 4/27, empty return 4/29</t>
  </si>
  <si>
    <t>NYKU4415200
NYKU4830324</t>
  </si>
  <si>
    <t>RED 18G, OINTMENT 18G, 50G, WHITE 18G, RED 4G, WHITE 4G</t>
  </si>
  <si>
    <t>4/17/2023
4/18/2023</t>
  </si>
  <si>
    <t>EN#5125412, INV#PI23-17 &amp; PI23-30-P, 23ILC028068, PO#37768, OBL3/23
- YM WARMTH, (TA4), ONE
- Moored 4/13
- c#5200 - discharged 4/14, LFD 4/20, empty return 4/17
- c#0324 - discharged 4/14, LFD 4/20, empty return 4/18
- both delivered without inform import@popus.com
- GLOBAL TERMINAL surcharge $250</t>
  </si>
  <si>
    <t>ONEU0286879</t>
  </si>
  <si>
    <r>
      <rPr>
        <rFont val="Arial"/>
        <color rgb="FF000000"/>
        <sz val="11.0"/>
      </rPr>
      <t xml:space="preserve">EN#5125813, INV#PI23-32, 23ILC028091, PO#37769, OBL4/6, GATEFEE4/14, </t>
    </r>
    <r>
      <rPr>
        <rFont val="Arial"/>
        <color rgb="FF000000"/>
        <sz val="11.0"/>
      </rPr>
      <t>empty return 4/19</t>
    </r>
    <r>
      <rPr>
        <rFont val="Arial"/>
        <color rgb="FF000000"/>
        <sz val="11.0"/>
      </rPr>
      <t xml:space="preserve">
- YM UNIFORM, (TA5), ONE
- Moored 4/13, discharged 4/14, LFD 4/19</t>
    </r>
  </si>
  <si>
    <t>37600 replacement shipment</t>
  </si>
  <si>
    <t>CMAU7144806</t>
  </si>
  <si>
    <t>EN#5125073, INV#SDE230112001, PO#37600, T/R, empty return 4/10
- No LC, no Invoice#, no tax invoice
- replacement shipment for PO#37600
- EVER FAME, (TA8), CMA
- Door move by Transglobe Express (vendor)
- bill all charges to Transglobe Express for this replacement shipment
- vendor in Taiwan will responsible for all customs related charges, so we not need to pay GW invoice 5125073
- Moored 4/4, discharged 4/4, LFD 4/11
- GW sent invoice 5125073 to TRANSGLOBE EXPRESS (door move trucker)</t>
  </si>
  <si>
    <t>MAGU5726433</t>
  </si>
  <si>
    <t>EN#5125197, INV#PI23-15, T/R, PO#37773, empty return 4/6
- EVER FAME, (TA1), CMA
- have an additional $250 Maher Surcharge
- Moored 4/4, discharged 4/5, LFD 4/11
- delivered 4/6 without inform TH</t>
  </si>
  <si>
    <t>TRHU4267571</t>
  </si>
  <si>
    <t>RED 18G, OINTMENT 18G, RED 4G, WHITE 4G</t>
  </si>
  <si>
    <r>
      <rPr>
        <rFont val="Arial"/>
        <color rgb="FF000000"/>
        <sz val="11.0"/>
      </rPr>
      <t xml:space="preserve">EN#5125292, INV#PI23-16 &amp; PI23-29-P, 23ILC028069, PO#37767, OBL3/23, GATEFEE3/31, </t>
    </r>
    <r>
      <rPr>
        <rFont val="Arial"/>
        <color rgb="FF000000"/>
        <sz val="11.0"/>
      </rPr>
      <t>empty return 4/6</t>
    </r>
    <r>
      <rPr>
        <rFont val="Arial"/>
        <color rgb="FF000000"/>
        <sz val="11.0"/>
      </rPr>
      <t xml:space="preserve">
- YM UNIFORMITY, (TA2), ONE
- reenter new credit card info for gate fee payment</t>
    </r>
  </si>
  <si>
    <t>MORU1142820</t>
  </si>
  <si>
    <t>RED 4G, WHITE 4G</t>
  </si>
  <si>
    <t>EN#5125293, INV#PI23-31-P, 23ILC028067, PO#37766, OBL3/23
- EVER FUTURE, (TA3), ONE
- Moored 3/28, discharged 3/28, LFD 4/3
- VACIS exam (xray) completed 3/30, picked up 4/3 for intensive exam
- first sent OBL delay due to Incorrect address &amp; Recipient moved
- 3/31 Resend OBL to Kesco Logistics Inc new address, 266 Merrick Road, Suite 200, Lynbrook, NY 11563
- 4/5 customs released
- first sent OBL delivered 4/6
- Customs released 4/5, pending reload at exam warehouse
- CFS warehouse LFD 4/13, pending delivery</t>
  </si>
  <si>
    <t>WHSU5192860
WHLU0406963</t>
  </si>
  <si>
    <t>OINTMENT 10G, 18G, WHITE 4G</t>
  </si>
  <si>
    <t>3/21/2023
3/23/2023</t>
  </si>
  <si>
    <t>EN#5125195, INV#PI23-18, 23ILC028067, PO#37742, OBL3/14
- WAN HAI A08, (TD22), WAN HAI
- Moored 3/17
- c#2860 - discharged 3/17, LFD 3/23, empty return 3/22
- c#6963 - discharged 3/17, LFD 3/23, prepull 3/22, empty return 3/24</t>
  </si>
  <si>
    <t>MSDU2066100</t>
  </si>
  <si>
    <t>REFUSED
3/29/2023</t>
  </si>
  <si>
    <t>EN#5124291, INV#PI23-05, 23ILC028025, PO#37603, OBL2/3, empty return 3/16
- MSC MARA, (TD16), MSC
- K80-5124291-6
- FDA detained 3/8
- Pending rationale document to FDA (HPH) - response by 3/28
- Moored 3/11, discharged 3/13, LFD?
- Customs and freight released, delivered to LA warehouse 3/15
- HPH decided to drop the appeal with FDA 3/28
- Pending HPH regulatory consultants respond to FDA, response date extended from 3/28 to 4/7?
- FDA refused 3/29, pending destroy by 6/27 (90 days from FDA notice 3)
- HPH has decided to destroy this FDA Refused shipment 4/13
- pending destroy by 6/27
(90 days from FDA notice 3)
- Using CBP Form 3499
- Destruction needs to be witnessed by FDA officer
- 5/31 FDA notification, POP can proceed with the destruction without FDA officer witnessing
- Pending Certificate of Destruction to close case with FDA and CBP 6/13
- Refusal Follow-up Completed 6/23</t>
  </si>
  <si>
    <t>TCNU4915109</t>
  </si>
  <si>
    <t>OINTMENT 10G, 18G, 50G, WHITE 4G</t>
  </si>
  <si>
    <t>EN#5124403, IN#PI23-08, 23ILC028004, PO#37663, OBL2/27, empty return 3/14
- YM UNICORN, (TD20), ONE
- received OBL from LL 2/27
- Moored 2/28, discharged 3/1, LFD 3/7
- have customs x-ray exam
- Customs non intrusive exam (NII, x-ray) needed
- prepull 3/6 @ 23:37
- per diem $300 (2 days)</t>
  </si>
  <si>
    <t>OOLU0509084</t>
  </si>
  <si>
    <t>EN#5124292, INV#PI23-03, 23ILC028002, PO#37604, OBL2/1, empty return 3/6
- CMA CGM T.JEFFERSON, (TD17), OOCL
- have an additional $250 APM Surcharge
- Moored 2/28, discharged 2/28, LFD 3/6</t>
  </si>
  <si>
    <t>WHSU2317177
WHSU5447359</t>
  </si>
  <si>
    <t xml:space="preserve">3/1/2023
3/1/2023
</t>
  </si>
  <si>
    <t>EN#5124402, INV#PI23-07, 23ILC028005, PO#37662, OBL2/10
- BRIGHTON, (TD19), WAN HAI
- Apex will deliver, Live unload 2 hrs free
- Apex trucking fee is $1400 + PCF $200 + chassis $50/day min 2 days, live unload 2 hours free and thereafter $80/hr
- Both moored 2/23, discharged 2/23, LFD 3/1
- c#7177 empty return 3/1
- c#7359 empty return 3/1</t>
  </si>
  <si>
    <t>APZU4354803</t>
  </si>
  <si>
    <t>2/27/2023
Replacement shipment EN#5125591</t>
  </si>
  <si>
    <t>EN#5123963, INV#PI23-02, T/R, PO#37601, empty return 2/28
- TEXAS TRIUMPH, (TD15), CMA
- HOLD &amp; QUARANTINE (Defect)
- have an additional $250 Maher Surcharge
- Moored 2/21, discharged 2/22, LFD 2/28
- Etrans has additional $250 for Exam Site Pick-up and split return of the equipment
- customs exam done &amp; freight released 2/23, LFD 2/24
- prepull 2/24, deliver 2/27
- per CMA, prepull 2/22?
- When delivered, quarantine for defect inspection
- custom exam fee $1159.23
- Replacement shipment EN#5125591
- No received PO, submitted docs 5/1 with received PO #37601 (replacement shipment)</t>
  </si>
  <si>
    <t>UACU8300064</t>
  </si>
  <si>
    <t>2/27/2023
Replacement shipment EN#5125073</t>
  </si>
  <si>
    <t>EN#5123702, INV#PI22-67, T/R, PO#37600, empty return 2/28
- MONACO BRIDGE, (TD13), HL
- have an additional $250 GCT Bayonne Surcharge
- HOLD &amp; QUARANTINE (Defect)
- Moored 2/20, discharged 2/21, LFD 2/27
- When delivered, quarantine for defect inspection
- Partial received PO submitted 3/14
- Replacement shipment EN#5125073</t>
  </si>
  <si>
    <t>ONEU1116141</t>
  </si>
  <si>
    <t>OINTMENT 10G, 18G, 50G, RED 4G, 18G,</t>
  </si>
  <si>
    <t>EN#5124404, INV#PI23-06, 23ILC028003, PO#37661, OBL2/10, GATEFEE2/21, empty return 3/1
- EVER FINE, (TD21), ONE
- Moored 2/20, discharged 2/22, LFD 2/28
- 2/28 out gated at 7:13pm, have Pier waiting was from 1:48-7:13pm additional 4 ½ hrs.+ per-pull + 2days yard parking
- prepull 2/28</t>
  </si>
  <si>
    <t>149PLTS</t>
  </si>
  <si>
    <t>NYKU5250995
GCXU5280334
TCNU4901091
ONEU0159529</t>
  </si>
  <si>
    <t>2/27/2023
2/23/2023
2/24/2023
2/24/2023</t>
  </si>
  <si>
    <t>EN#5124293, INV#PI23-01, 23ILC028024, PO#37602, OBL2/1
- MOL CHARISMA, (TD18), ONE
- EGSCA =  Egypt (EG) Suez Canal Authority (SCA)
- have an additional $250/container Global Terminal Surcharge
- Moored 2/17
- c#0995 - discharged 2/17, LFD 2/24, empty return 3/2
- c#0334 - discharged 2/18, LFD 2/24, empty return 3/1
- c#1091 - discharged 2/18, LFD 2/24, empty return 3/1
- c#9529 - discharged 2/18, LFD 2/24, empty return 2/24</t>
  </si>
  <si>
    <t>BMOU4719334</t>
  </si>
  <si>
    <r>
      <rPr>
        <rFont val="Arial"/>
        <color rgb="FF000000"/>
        <sz val="11.0"/>
      </rPr>
      <t>EN#5123758, INV#PI22-50, 22ILC027962, PO#37599,</t>
    </r>
    <r>
      <rPr>
        <rFont val="Arial"/>
        <color rgb="FFFF0000"/>
        <sz val="11.0"/>
      </rPr>
      <t xml:space="preserve"> </t>
    </r>
    <r>
      <rPr>
        <rFont val="Arial"/>
        <color rgb="FF000000"/>
        <sz val="11.0"/>
      </rPr>
      <t>OBL1/23
- MADRID BRIDGE, (TD14), YANG MING
- Moored 2/12, discharged 2/13, LFD 2/17
- FCL picked up 2/14, LCL warehouse LFD 2/20</t>
    </r>
  </si>
  <si>
    <t>TTNU4196857</t>
  </si>
  <si>
    <t>LINIMENT 57ML, PATCH 1'S</t>
  </si>
  <si>
    <t>EN#5123199, INV#PI22-55, PI22-62, PI22-68 &amp; PI22-70, 22ILC027963, PO#37509, OBL12/30, empty return 1/30
-  MSC AMSTERDAM, (TD7), MSC
- Moored 1/24, discharged 1/24, LFD?</t>
  </si>
  <si>
    <t>68PLTS</t>
  </si>
  <si>
    <t>WHSU5790429
WHLU5834727
WHSU5193676</t>
  </si>
  <si>
    <t>OINTMENT 10G, 18G, RED 18G, WHITE 18G, RED 4G, WHITE 4G</t>
  </si>
  <si>
    <t>1/19/2023
1/18/2023
1/18/2023</t>
  </si>
  <si>
    <t>EN#5123037, INV#PI22-71, 22ILC027966, PO#37508, OBL12/28
- WAN HAI 516, (TD10), WAN HAI
- E-Trans does not handle WAN HAI, need alternative trucker
- Apex will deliver, Live unload 2 hrs free
- Moored 1/15, discharged 1/15, LFD 1/20
- c#0429 - empty return 1/19
- c#4727 - empty return 1/18
- c#3676 - empty return 1/19</t>
  </si>
  <si>
    <t>143PLTS</t>
  </si>
  <si>
    <t>ONEU0055313
TRHU5585345
TRHU8342143
NYKU4192955</t>
  </si>
  <si>
    <t>LINIMENT 57ML, PATCH</t>
  </si>
  <si>
    <t>1/20/2023
1/20/2023
1/19/2023
1/19/2023</t>
  </si>
  <si>
    <t>EN#5123100, INV#PI22-64, PI22-66 &amp; PI22-72, 22ILC027964, PO#37507, OBL12/30
- CONTI ANNAPURNA, (TD12), ONE
- have an additional $250/container GCT Bayonne Surcharge
- Moored 1/14, discharged 1/14, LFD 1/20
- c#5313 - empty return 1/24
- c#5345 - empty return 1/23
- c#2143 - empty return 1/24
- c#2955 - empty return 1/23</t>
  </si>
  <si>
    <t>DFSU4219599</t>
  </si>
  <si>
    <t>EN#5122943, INV#PI22-60, T/R, PO#37499, empty return 1/18
- YM WIND, (TD9), HL
- have an additional $250 GCT Bayonne Surcharge
- Moored 1/9, discharged 1/10, LFD 1/14</t>
  </si>
  <si>
    <t>TRHU4498879</t>
  </si>
  <si>
    <t>EN#5123038, INV#PI22-69, 22ILC027965, PO#37498, OBL12/28, GATEFEE1/5, empty return 1/13
- EVER FEAT, (TD11), ONE
- Moored 1/8, discharged 1/9, LFD 1/13</t>
  </si>
  <si>
    <t>Last Updated: TS 1/12/17</t>
  </si>
  <si>
    <t>USDA, Custom release notification</t>
  </si>
  <si>
    <t>MSKU5806102</t>
  </si>
  <si>
    <t>Red Ginseng Royal Jelly(C-70050/C-70052)</t>
  </si>
  <si>
    <t>Rush</t>
  </si>
  <si>
    <t>EN#2056296-4; INV#2016TAT05; OBL sent 1/5</t>
  </si>
  <si>
    <t>30711/ 30757/ 30786/ 30758/ 30392/ NS2194/ NS2221</t>
  </si>
  <si>
    <t>EISU3938697</t>
  </si>
  <si>
    <t xml:space="preserve">AM GSG plastic Tray, covers, boxes; POP Demo cups; Banners; Bak Foong Pills, </t>
  </si>
  <si>
    <t>1/16 #5235049</t>
  </si>
  <si>
    <t>EN#2056090-1</t>
  </si>
  <si>
    <t>GESU6139488</t>
  </si>
  <si>
    <t>POP Organic Green Tea/ Jasmine Tea/ Oolong Tea, White Tea</t>
  </si>
  <si>
    <t>EN#2056217-0; INV#YD16-T25; OBL sent 12/12</t>
  </si>
  <si>
    <t>WHLU5411366</t>
  </si>
  <si>
    <t>GHC</t>
  </si>
  <si>
    <t>EN#2056295-6; INV#16NSS0342; OBL sent 12/23</t>
  </si>
  <si>
    <t>MSKU0932854</t>
  </si>
  <si>
    <t>EN#2055517-4; INV#YD16-T23; OBL sent 11/28</t>
  </si>
  <si>
    <t>CMAU0628938</t>
  </si>
  <si>
    <t xml:space="preserve">McVities </t>
  </si>
  <si>
    <t>EN#2056415-0; INV#93419789</t>
  </si>
  <si>
    <t>BSIU9518298</t>
  </si>
  <si>
    <t>EN#2055733-7; INV#16NSS0339</t>
  </si>
  <si>
    <t>APZU3858348</t>
  </si>
  <si>
    <t>Mykuali Noodle</t>
  </si>
  <si>
    <t>EN#2055263-5</t>
  </si>
  <si>
    <t>DFSU6887426</t>
  </si>
  <si>
    <t>GHC w/ Lemon (RUSH)</t>
  </si>
  <si>
    <t>EN#2055259-3; INV#16NSS0337</t>
  </si>
  <si>
    <t>WHLU6024891</t>
  </si>
  <si>
    <t>Organic Green Tea / Organic Jasmine Tea / Organic White Tea</t>
  </si>
  <si>
    <t>EN#2055168-6; INV#YD16-T22; OBL sent 11/28</t>
  </si>
  <si>
    <t>EISU1858268</t>
  </si>
  <si>
    <t>American Ginseng Instant Tea / Instant Wild American Ginseng Tea</t>
  </si>
  <si>
    <t>12/20 #5231606</t>
  </si>
  <si>
    <t>EN#2054896-3; INV#2001019-16; OBL sent 11/28</t>
  </si>
  <si>
    <t>CCLU6804944</t>
  </si>
  <si>
    <t>EN#2054618-1, INV#16NS0336; OBL sent 11/17; FDA doc Req 11/28</t>
  </si>
  <si>
    <t>MRKU9066738</t>
  </si>
  <si>
    <t>MyKuali noodles</t>
  </si>
  <si>
    <t>EN#2053530-9; ETA delayed 11/22</t>
  </si>
  <si>
    <t>MRKU3033300</t>
  </si>
  <si>
    <t>EN#2054293-3; PO#YD16-T21; OBL sent 11/14</t>
  </si>
  <si>
    <t>FCIU8486270</t>
  </si>
  <si>
    <t xml:space="preserve">GHC(D-04043/D-04011) </t>
  </si>
  <si>
    <t>EN#2054558-9, INV#16NSS0338; OBL sent 11/17; 7:24am-9:58am additional 1.5hr. $82.50</t>
  </si>
  <si>
    <t>HCIU2107432</t>
  </si>
  <si>
    <t>POP Instant Tea Latte (J-40130N)</t>
  </si>
  <si>
    <t>12/20 #5231606 #5231747</t>
  </si>
  <si>
    <t>EN#2054516-7</t>
  </si>
  <si>
    <t>FSCU8549892</t>
  </si>
  <si>
    <t>EN#2054253-7; INV#16NSS0335; OBL sent 11/10</t>
  </si>
  <si>
    <t>Instant Cappuccino 3 in 1, Instant Vietnamese Coffee 3 in 1</t>
  </si>
  <si>
    <t>12/15 #5231165</t>
  </si>
  <si>
    <t>EN#2054192-7; INV#199496</t>
  </si>
  <si>
    <t>MSKU0742197</t>
  </si>
  <si>
    <t>Green Tea/ Jasmine Tea/ Oolong Tea/ Pu-Erh Tea/ White Tea</t>
  </si>
  <si>
    <t>EN#2053559-8, INV#YD16-T20; OBL sent 10/24</t>
  </si>
  <si>
    <t>UACU4156154</t>
  </si>
  <si>
    <t>Shanghai Soap</t>
  </si>
  <si>
    <t>EN#2054094-5; INV#SS1608137-N; OBL sent 11/10</t>
  </si>
  <si>
    <t>TGHU5314315</t>
  </si>
  <si>
    <t>American Ginseng Candy</t>
  </si>
  <si>
    <t>EN#2053993-9; INV#2072</t>
  </si>
  <si>
    <t>YMLU5068408</t>
  </si>
  <si>
    <t>GHC / GHU w/lemon / GHC w/plum / GHC w/AM / Dong Quai &amp; Red Date Tea</t>
  </si>
  <si>
    <t>EN#2053927-7; INV#16NSS0334</t>
  </si>
  <si>
    <t>TEMU6560712</t>
  </si>
  <si>
    <t>POP Organic Green Tea/ Black Tea/ Dragon Well Green Tea/ Pi Lo Chun Green Tea</t>
  </si>
  <si>
    <t>12/15 #5231165 #5231209</t>
  </si>
  <si>
    <t>EN#2054190-1; INV#16TM062; OBL sent 11/9</t>
  </si>
  <si>
    <t>FBLU4090936</t>
  </si>
  <si>
    <t>Loc Maria Plain Crispy Crepes 1.25kg, Plain Crispy Brittany Crepes, Dentelle Rolled Wafer, Dentelle Fan Wafers, Plain Crispy Crepes 500g</t>
  </si>
  <si>
    <t>EN#2053531-7, INV #23779; Mother vessel changed ( ETA 11/2delayed from 11/2) 10/20</t>
  </si>
  <si>
    <t>MEDU4092862</t>
  </si>
  <si>
    <t>Loc Maria Plain Crispy Crepes 1.25kg, Dentelle Rolled Wafer, Dentelle Fan Wafers, Plain Crispy Crepes 500g</t>
  </si>
  <si>
    <t>EN #2053280-1; INV #23423</t>
  </si>
  <si>
    <t>TRHU2984721</t>
  </si>
  <si>
    <t>Korean Ginseng Tea, Tu Chung Tea, Young Ji Tea</t>
  </si>
  <si>
    <t>EN#2053453-4, INV# DW160922; OBL sent 10/17</t>
  </si>
  <si>
    <t>MRKU4728153</t>
  </si>
  <si>
    <t>Ginger candy</t>
  </si>
  <si>
    <t>EN#2052860-1; INV #30208; OBL sent 10/12</t>
  </si>
  <si>
    <t>MRKU2540090</t>
  </si>
  <si>
    <t>Am Gsg Instant Tea (A-62010A/A-62020F/A-62020), 
Wild Am. Gsg Instant Tea (A-61011, A-42017F)</t>
  </si>
  <si>
    <t>EN#2053075-5; INV#2001018-16; 10/31 FDA not yet released</t>
  </si>
  <si>
    <t>TEMU9054929</t>
  </si>
  <si>
    <t>Delacre Biscuit</t>
  </si>
  <si>
    <t>11/25 #5228244</t>
  </si>
  <si>
    <t>EN#2052775-1; INV #30184</t>
  </si>
  <si>
    <t>WHLU5764830</t>
  </si>
  <si>
    <t>Janpnese Green Tea/Jasmine Tea/Org. Oolong Tea/Pu Erh Tea/White Tea</t>
  </si>
  <si>
    <t>EN#2053222-3; INV#YD16-T19; OBL sent 10/17</t>
  </si>
  <si>
    <t>MRKU9074651</t>
  </si>
  <si>
    <t>EN#2052632-4; INV #30519</t>
  </si>
  <si>
    <t>YMMU6132038</t>
  </si>
  <si>
    <t>EN#2052852-8; INV #30478; OBL sent 10/18; ETA (delayed from 10/22) 10/21</t>
  </si>
  <si>
    <t>NYKU0758448</t>
  </si>
  <si>
    <t>Red Panax Gsg Ext,Ginkgo &amp; Red Panax,Ultra Ginkgo Plus,Am Gsg w Royal Jelly,Beijing Royal Jelly w Bee Poleen</t>
  </si>
  <si>
    <t>EN#2052854-4; INV#2001016-16; Pending Int. docs sent 10/24</t>
  </si>
  <si>
    <t>MSKU0532919</t>
  </si>
  <si>
    <t>Org. Green,Jasmine,Oolong,White,Black tea</t>
  </si>
  <si>
    <t>EN#2052696-9; INV#16TM030; OBL sent 10/24</t>
  </si>
  <si>
    <t>RFCU2195930</t>
  </si>
  <si>
    <t>Loc Maria Plain Crispy Crepes, Dentelle Rolled Wafer, Plan Crispy Crepes 500g</t>
  </si>
  <si>
    <t>EN#2053558-0, INV# 23842</t>
  </si>
  <si>
    <t>CCLU7651201</t>
  </si>
  <si>
    <t>Ginger Honey Crystals 10'/30'</t>
  </si>
  <si>
    <t>EN#2052983-1; INV #16NSS0333; OBL sent 10/17; Pending Int. docs sent 10/24</t>
  </si>
  <si>
    <t>KKFU1711130</t>
  </si>
  <si>
    <t>Red Panax Ginseng Ext,Ginkgo &amp; Red Panax Gsg,Ultra Ginkgo Plus,Ultra Joint Health.</t>
  </si>
  <si>
    <t>EN#2052856-9; INV#2001015-16; Pending Int. docs sent 10/21</t>
  </si>
  <si>
    <t>NYKU4831953</t>
  </si>
  <si>
    <t>Ginger/coffee candy</t>
  </si>
  <si>
    <t>EN#2052777-7; INV #30462; OBL sent 10/12</t>
  </si>
  <si>
    <t>MAGU5397343</t>
  </si>
  <si>
    <t>Ginger Honey Crystal(D-04010/D-04011)</t>
  </si>
  <si>
    <t>11/3 #5225471</t>
  </si>
  <si>
    <t>EN#2053074-8; INV#16NSS0332; OBL Sent 10/17; Pending Int. docs sent 10/18</t>
  </si>
  <si>
    <t>TCLU8254777</t>
  </si>
  <si>
    <t>Ginger, Coffee, White coffee, Gree tea candy</t>
  </si>
  <si>
    <t>EN#2052530-0; INV #30306; OBL sent 10/12</t>
  </si>
  <si>
    <t>MRKU0280271</t>
  </si>
  <si>
    <t>Panax Ginseng, Red Ginseng Royal, Royal Jelly and Ultra Strength Red Panax</t>
  </si>
  <si>
    <t>EN#2052338-8; INV#2016TAT03; OBL sent 10/18; Pending Int. docs sent 10/24</t>
  </si>
  <si>
    <t>CAIU9602248</t>
  </si>
  <si>
    <t>11/8 #5226052</t>
  </si>
  <si>
    <t>EN#2052137-4; INV #30463; OBL sent 9/26</t>
  </si>
  <si>
    <t>Ultimate 30673</t>
  </si>
  <si>
    <t>TCNU7480186</t>
  </si>
  <si>
    <t>Cheezheng Pain Reliving Plaster</t>
  </si>
  <si>
    <t>EN#2052959-1; INV #CZ16S014</t>
  </si>
  <si>
    <t>HLXU8071487</t>
  </si>
  <si>
    <t xml:space="preserve">EN#2052341-2; INV #16NSS0331: OBL sent 10/3   </t>
  </si>
  <si>
    <t>HLBU1818444</t>
  </si>
  <si>
    <t>EN#2052340-2; INV #16NSS0330; OBL sent 10/3</t>
  </si>
  <si>
    <t>TCLU8750735</t>
  </si>
  <si>
    <t>EN#2052425-3; INV #30379</t>
  </si>
  <si>
    <t>DFSU6380365</t>
  </si>
  <si>
    <t>Organic Green,Jasmine,Oolong,White tea</t>
  </si>
  <si>
    <t>10/4 #5221662</t>
  </si>
  <si>
    <t>EN#2052426-1; INV #YD16-T18; OBL sent 9/26</t>
  </si>
  <si>
    <t>KKTU6051179</t>
  </si>
  <si>
    <t>EN#2052776-9; INV #30188</t>
  </si>
  <si>
    <t>SEGU5052460</t>
  </si>
  <si>
    <t>EN#2052024-4; INV #30475; OBL sent 9/26</t>
  </si>
  <si>
    <t>TRLU7474415</t>
  </si>
  <si>
    <t>Ginger Candy, Kapal Api, Bontea</t>
  </si>
  <si>
    <t>EN#2051958-4; INV #30172; OBL sent 9/26</t>
  </si>
  <si>
    <t>30540/
NS2143/
NS2146</t>
  </si>
  <si>
    <t>SEGU9317206</t>
  </si>
  <si>
    <t>Shark Cartilage label(JPC); POP window evelopes(Emily/Alicia); cover lid(EY); POP Calendar 2017(MC);Books(MC/KY); CAP Calenar 2017(IC)</t>
  </si>
  <si>
    <t>EN#2052499-8</t>
  </si>
  <si>
    <t>MRKU5071870</t>
  </si>
  <si>
    <t>EN#:2050934-6</t>
  </si>
  <si>
    <t>FCIU8411820</t>
  </si>
  <si>
    <t>Gullon Biscuits</t>
  </si>
  <si>
    <t>EN#2052339-6</t>
  </si>
  <si>
    <t>NYKU3689720</t>
  </si>
  <si>
    <t>MyKuali Noodles</t>
  </si>
  <si>
    <t>EN#2051679-6; updated ITACS location 10/7</t>
  </si>
  <si>
    <t>TRIU8924805</t>
  </si>
  <si>
    <t>Loc Maria Crepes 1.25KG, Britanny Crepes, Dentelle, Gold Tin, and 500g Crepes, Waffer</t>
  </si>
  <si>
    <t>EN#2051949-3</t>
  </si>
  <si>
    <t>MOAU1426874</t>
  </si>
  <si>
    <t>Seirogan Toi 36, 100 400 Pills</t>
  </si>
  <si>
    <t>EN#2051252-2</t>
  </si>
  <si>
    <t>30344/30401</t>
  </si>
  <si>
    <t>CRXU3187450</t>
  </si>
  <si>
    <t>GSG Powder/Korean Ginseng Tea/Il Ju Young Ji tea/ Tu Chung Tea</t>
  </si>
  <si>
    <t>EN#2052123-4; 9/21: OBL sent.</t>
  </si>
  <si>
    <t>KKFU7687113</t>
  </si>
  <si>
    <t xml:space="preserve">American Ginseng Instant Tea + Wild </t>
  </si>
  <si>
    <t>10/4 #5221581</t>
  </si>
  <si>
    <t xml:space="preserve">EN:2051680-4; INV#2001017-16; 9/20: OBL sent. </t>
  </si>
  <si>
    <t>MAEU8356628</t>
  </si>
  <si>
    <t>Organic Green, Jasmine, Oolong, Pu-erh Tea</t>
  </si>
  <si>
    <t>EN#2051270-4; INV#YD16-T17; OBL sent 8/31</t>
  </si>
  <si>
    <t>TLLU1039554</t>
  </si>
  <si>
    <t>PGS Cough syrup 170ML</t>
  </si>
  <si>
    <t>EN #2052657-1</t>
  </si>
  <si>
    <t>AMFU8882418</t>
  </si>
  <si>
    <t>EN#2051433-8; 16NSS0328</t>
  </si>
  <si>
    <t>MSKU3398043</t>
  </si>
  <si>
    <t>Panax Ginseng 10cc*30&amp;10, Royal Jelly</t>
  </si>
  <si>
    <t>EN#2050826-4; 2016TAT04; 9/22: OBL sent.</t>
  </si>
  <si>
    <t>MSKU4162200</t>
  </si>
  <si>
    <t xml:space="preserve">MyKuali Noodles </t>
  </si>
  <si>
    <t>EN#2051432-0</t>
  </si>
  <si>
    <t>Ed Su</t>
  </si>
  <si>
    <t>YMMU4042737</t>
  </si>
  <si>
    <t>Sun Ten Lab - Am GSG RT- ALum Foil</t>
  </si>
  <si>
    <t>EN#2051498-1; LCL</t>
  </si>
  <si>
    <t>CAIU3817790</t>
  </si>
  <si>
    <t>EN#2052424-6</t>
  </si>
  <si>
    <t>TCLU7425200</t>
  </si>
  <si>
    <t>NZ Cammells MANUKA HONEY</t>
  </si>
  <si>
    <t>EN#2051172-2; T/R</t>
  </si>
  <si>
    <t>SZLU2009226</t>
  </si>
  <si>
    <t>Loc Maria Crepes 1.25KG, Britanny Crepes, Dentelle, Gold Tin, and 500g Crepes</t>
  </si>
  <si>
    <t>EN#2051271-2</t>
  </si>
  <si>
    <t>MRKU0845850</t>
  </si>
  <si>
    <t>AM GSG Candy</t>
  </si>
  <si>
    <t>EN#2051272-0 ; T/R</t>
  </si>
  <si>
    <t>TGHU9847971</t>
  </si>
  <si>
    <t>Loc Maria Crispy Crepe, Fan and Dentelles</t>
  </si>
  <si>
    <t>EN#2050868-6 TR</t>
  </si>
  <si>
    <t>NYKU4151508</t>
  </si>
  <si>
    <t>EN#2051114-4</t>
  </si>
  <si>
    <t>INKU2887787</t>
  </si>
  <si>
    <t>Instant Ginseng Tea</t>
  </si>
  <si>
    <t>EN#2050769-6; INV#2001013-16</t>
  </si>
  <si>
    <t>NYKU4986390</t>
  </si>
  <si>
    <t>Red Panax+Ginkgo+Ultra GSE</t>
  </si>
  <si>
    <t xml:space="preserve">EN#:2051173-0; 9/20: CONT was out gated at 9:01am driver will be there around 9:45am.
Pier waiting was from 7:17am-9:01am additional 1hr $ 55.00. Heavy weight - add an additional of $75+FS. </t>
  </si>
  <si>
    <t>MSKU4163866</t>
  </si>
  <si>
    <t>Honey Loaquat Candy 78g 148g 176g</t>
  </si>
  <si>
    <r>
      <rPr>
        <rFont val="Calibri"/>
        <color rgb="FF000000"/>
        <sz val="10.0"/>
      </rPr>
      <t xml:space="preserve">EN#2051171-4; T/R. </t>
    </r>
    <r>
      <rPr>
        <rFont val="Calibri"/>
        <color rgb="FFA4C2F4"/>
        <sz val="10.0"/>
      </rPr>
      <t xml:space="preserve">9/19: Pier waiting was from 7am-10:50am
Additional 3hrs $165.00. </t>
    </r>
  </si>
  <si>
    <t>TCLU1042360</t>
  </si>
  <si>
    <t>EN#:2051768-7</t>
  </si>
  <si>
    <t>APHU6806129</t>
  </si>
  <si>
    <t>EN#2050819-9</t>
  </si>
  <si>
    <t>BEAU2083064</t>
  </si>
  <si>
    <r>
      <rPr>
        <rFont val="Calibri"/>
        <color rgb="FF000000"/>
        <sz val="10.0"/>
      </rPr>
      <t xml:space="preserve">EN#2051273-8; INV#SS1606093-N. </t>
    </r>
    <r>
      <rPr>
        <rFont val="Calibri"/>
        <color rgb="FFA4C2F4"/>
        <sz val="10.0"/>
      </rPr>
      <t xml:space="preserve">9/16:CONT was out gated at 10:46am.  pier waiting was from 8:39am-10:46am additional 1hr $55.00.9/27:ONT was returned on 9/23 and LFD was 9/21.  It will be 2 days per-diem charge.  </t>
    </r>
  </si>
  <si>
    <t>ACLU2773966</t>
  </si>
  <si>
    <t>EN#:2051383-5; TR</t>
  </si>
  <si>
    <t>HLXU8206561</t>
  </si>
  <si>
    <t>EN#2050820-7;INV#16NSS0327</t>
  </si>
  <si>
    <t>PCIU8716250</t>
  </si>
  <si>
    <t>Organic Green/Jasmine/Oolong/White Tea</t>
  </si>
  <si>
    <r>
      <rPr>
        <rFont val="Calibri"/>
        <color rgb="FF000000"/>
        <sz val="10.0"/>
      </rPr>
      <t xml:space="preserve">EN#2050645-8; INV#YD16-T16; </t>
    </r>
    <r>
      <rPr>
        <rFont val="Calibri"/>
        <color rgb="FFA4C2F4"/>
        <sz val="10.0"/>
      </rPr>
      <t xml:space="preserve">Pier waiting was from 7:38am-8:58am additional ½ $27.50. 9/27: CONT was returned on 9/20 and LFD was 9/19.  It will be 1 day per-dime charge.  </t>
    </r>
  </si>
  <si>
    <t>MEDU9162113</t>
  </si>
  <si>
    <t>Loc Maria Crepe, Dentelles and Gold Tin</t>
  </si>
  <si>
    <r>
      <rPr>
        <rFont val="Calibri"/>
        <color rgb="FF000000"/>
        <sz val="10.0"/>
      </rPr>
      <t xml:space="preserve">EN#2050869-4;T/R; </t>
    </r>
    <r>
      <rPr>
        <rFont val="Calibri"/>
        <color rgb="FFA4C2F4"/>
        <sz val="10.0"/>
      </rPr>
      <t>Pier waiting was from 12:40pm-2:03pm additional ½ $27.50</t>
    </r>
  </si>
  <si>
    <t>NYKU4702299</t>
  </si>
  <si>
    <t>Ginger Candy + Bontea + Kapal Api</t>
  </si>
  <si>
    <t>EN#2050656-5: INV#</t>
  </si>
  <si>
    <t>PONU7402645</t>
  </si>
  <si>
    <t>Organic Teas: Green, White, Oolong</t>
  </si>
  <si>
    <t xml:space="preserve">EN#2050154-1; INV#YD16-T15 Sent OBL 8/2 </t>
  </si>
  <si>
    <t>30368/NS2117</t>
  </si>
  <si>
    <t>TRLU7432451</t>
  </si>
  <si>
    <t>Paper Boxes - AM GSG, Labels Wild AG, POP 2017 Calendars</t>
  </si>
  <si>
    <t>EN#:2050935-3</t>
  </si>
  <si>
    <t>MRKU5394298</t>
  </si>
  <si>
    <t>Organic Golden Monkey, Green, Black, Jasmine, Oolong, Puh-Erh</t>
  </si>
  <si>
    <t>EN#2050817-3</t>
  </si>
  <si>
    <t>MAGU5238629</t>
  </si>
  <si>
    <t>GHC 18gx10x36 18gx30x30</t>
  </si>
  <si>
    <t xml:space="preserve">EN#2051269-6; INV#16NSS0329 </t>
  </si>
  <si>
    <t>HLXU6549221</t>
  </si>
  <si>
    <t>Ginger Honey Crystal</t>
  </si>
  <si>
    <t>EN#:2050973-4; INV#16NSS0326; Pier waiting was from 7:41am-10:18am additional 1hr ½ $82.50.</t>
  </si>
  <si>
    <t>UACU3671530</t>
  </si>
  <si>
    <t>EN# 2050241-6; INV# SS1606092-N $35 for Express Mail</t>
  </si>
  <si>
    <t>PCIU2734805</t>
  </si>
  <si>
    <t xml:space="preserve">Instant Cappuccino 3 in 1 (J-40030N) </t>
  </si>
  <si>
    <r>
      <rPr>
        <rFont val="Calibri"/>
        <color rgb="FF000000"/>
        <sz val="10.0"/>
      </rPr>
      <t>EN# 2050153-3;</t>
    </r>
    <r>
      <rPr>
        <rFont val="Calibri"/>
        <color rgb="FF6D9EEB"/>
        <sz val="10.0"/>
      </rPr>
      <t xml:space="preserve">Pier waiting was from 8:56am-10:31am additional ½ $ 27.50. </t>
    </r>
  </si>
  <si>
    <t>GLDU9996367</t>
  </si>
  <si>
    <t>Ginger Chews Standing Pouch</t>
  </si>
  <si>
    <t>EN#2050818-1</t>
  </si>
  <si>
    <t>WHLU4318644</t>
  </si>
  <si>
    <t>American Ginseng Instant Tea + Wild 3gx100x30 and 3gx20x32pack and and 3gx20x96boxes Aluminum Film</t>
  </si>
  <si>
    <r>
      <rPr>
        <rFont val="Calibri"/>
        <color rgb="FF000000"/>
        <sz val="10.0"/>
      </rPr>
      <t xml:space="preserve">EN#2050270-5 ; INV# </t>
    </r>
    <r>
      <rPr>
        <rFont val="Calibri"/>
        <color rgb="FFA4C2F4"/>
        <sz val="10.0"/>
      </rPr>
      <t xml:space="preserve">Pier waiting was from 7:21am-8:38am additional ½ $27.50.  </t>
    </r>
  </si>
  <si>
    <t>HLXU8212688</t>
  </si>
  <si>
    <t>EN#2050215-0; INV#16NSS0324 OBL Sent 8/12; $1842 Port Test Fee</t>
  </si>
  <si>
    <t>BMOU5631490</t>
  </si>
  <si>
    <t>EN#2050216-8 ; INV#16NSS0325  OBL Sent 8/12 $1815 Port Test Fee</t>
  </si>
  <si>
    <t>UACU4081923</t>
  </si>
  <si>
    <t>Loc Maria Crispy Crepe and Dentelle</t>
  </si>
  <si>
    <t>EN#2050867-8 TR</t>
  </si>
  <si>
    <t>TRLU6883928</t>
  </si>
  <si>
    <t>Ginger Chews</t>
  </si>
  <si>
    <t>EN#2049995-1; INV#</t>
  </si>
  <si>
    <t>SEGU5025973</t>
  </si>
  <si>
    <t>Ginger Chew (F-04012S)</t>
  </si>
  <si>
    <t>EN#2049847-4</t>
  </si>
  <si>
    <t>FSCU8327344</t>
  </si>
  <si>
    <t>EN#2049848-2</t>
  </si>
  <si>
    <t>APZU3988784</t>
  </si>
  <si>
    <t>Kapal Api Coffee Candy and Bontea Original</t>
  </si>
  <si>
    <t>EN#2050675-5</t>
  </si>
  <si>
    <t>EMCU5367022</t>
  </si>
  <si>
    <t>Kuan Yuan Lian Cosmetics</t>
  </si>
  <si>
    <t>EN#2050361-2 ; INV# Telex Release</t>
  </si>
  <si>
    <t>30380/
30366/
30290</t>
  </si>
  <si>
    <t>TEMU3076284</t>
  </si>
  <si>
    <t>Plastic Space Holder for AG box 10mmand 5 mm, Plastic Cover Lid for 1/2lb and 1/4 lb and Soup Bags</t>
  </si>
  <si>
    <t>EN#2050362-0; INV#   Telex Release</t>
  </si>
  <si>
    <t>MSKU0583238</t>
  </si>
  <si>
    <t>EN#2049524-9; INV# 16NSS0322</t>
  </si>
  <si>
    <t>OOLU1263800</t>
  </si>
  <si>
    <t>Seirogan TOI-A Tablets 36, 100 Pills, 400 pills</t>
  </si>
  <si>
    <t>9/30: FDA detention</t>
  </si>
  <si>
    <t>EN#2050360-4 ; INV#  OBL 8/11</t>
  </si>
  <si>
    <t>PONU1812489</t>
  </si>
  <si>
    <t>AM GSG Candy: A-61115L, A-61116S, A-61117, A-61150</t>
  </si>
  <si>
    <t>EN#2049899-5; INV#2068-1</t>
  </si>
  <si>
    <t>EMCU5299400</t>
  </si>
  <si>
    <t>EN#2050188-9; INV#</t>
  </si>
  <si>
    <t>HDMU4760180</t>
  </si>
  <si>
    <t xml:space="preserve">Wing Wah Groceries </t>
  </si>
  <si>
    <t xml:space="preserve">EN#2049925-8; Pier waiting was from 8:03am-9:30am additional ½ $27.50.  </t>
  </si>
  <si>
    <t>NYKU3182700</t>
  </si>
  <si>
    <t>Disgestive Biscuit 400g (F-52740)</t>
  </si>
  <si>
    <t>EN#2049562-9</t>
  </si>
  <si>
    <t>YMMU4121327</t>
  </si>
  <si>
    <r>
      <rPr>
        <rFont val="Calibri"/>
        <color rgb="FF000000"/>
        <sz val="11.0"/>
      </rPr>
      <t xml:space="preserve">GHC 36bx (D-04010), GHC w/ Lemon (D-04041), GHC w/ Am. GSG (D-04030), GHC w/ Plum(D-04036), GHC w/ Dark Brown Sugar(D-41986), Dong Quai &amp; Red Date Tea(D-04020), </t>
    </r>
    <r>
      <rPr>
        <rFont val="Calibri"/>
        <color rgb="FFFF0000"/>
        <sz val="11.0"/>
      </rPr>
      <t>Coldaid/ Fluaid boxes</t>
    </r>
  </si>
  <si>
    <t>EN#2049881-3; INV# 16NSS0323</t>
  </si>
  <si>
    <t>YMMU4047148</t>
  </si>
  <si>
    <t>Shampoo and Body Wash from High Belem</t>
  </si>
  <si>
    <t>EN#2049996-9;  OBL Sent 8/10</t>
  </si>
  <si>
    <t>CPSU5100284</t>
  </si>
  <si>
    <t>EN#2049468-9 Pier waiting was from 11:47am-3:56pm additional 3hrs ½ $192.50</t>
  </si>
  <si>
    <t>SZLU9118933</t>
  </si>
  <si>
    <t>EN#2050213-5 INV#   Gen-set requested</t>
  </si>
  <si>
    <t>MRKU2839100</t>
  </si>
  <si>
    <t>Org. GT (D-13200N, D-13220N), Org. Jas (D-14200N), Org. Oolong (D-15200N, D-15220N)</t>
  </si>
  <si>
    <t>EN#2049114-9; INV#YD16-T13 NOP Certified</t>
  </si>
  <si>
    <t>DRYU4249231</t>
  </si>
  <si>
    <t>Am GSG R/J (A-61138), Panax GSG Extm(C-70113, C-70123), Beijin R/J (C-70214), Ultra Joint Health (C-70530)</t>
  </si>
  <si>
    <t>EN#2049113-1; INV# 2001011-16. Note: container is overweight (44,886Lbs) and will have an additional surcharge of $250.</t>
  </si>
  <si>
    <t>NYKU4879469</t>
  </si>
  <si>
    <t>Ginger Candy (F-04012), Coffee Candies (F-04100, F-04101), Bonetea GT Candies (Org.(F-04130), Apple (F-04132), Lemon(F-04131)</t>
  </si>
  <si>
    <t>EN#2049117-2 Sent OBL 7/27</t>
  </si>
  <si>
    <t>NYKU4198399</t>
  </si>
  <si>
    <t>Ginger Candy Stand Up Pouch(F-04012S)</t>
  </si>
  <si>
    <t>EN#2049116-4 Sent OBL 7/27</t>
  </si>
  <si>
    <t>GLDU9065554</t>
  </si>
  <si>
    <t>GT 20(D-13020N), Jasmine (D-14100N), TiKuanYin(D-16100N), Puerh (D-17100N), Jap GT (D-13300N)</t>
  </si>
  <si>
    <t>EN#2049723-7; INV# YD16-T14    7/25/OBL Sent, Payment Invoice given to Eva Tam 8/2; Container pulled on 8/11, delivered 8/12.</t>
  </si>
  <si>
    <t>28445/ 30304</t>
  </si>
  <si>
    <t>TCLU1271026</t>
  </si>
  <si>
    <t>EYS Bak Foong Pills/ Korean Red GSG Labels</t>
  </si>
  <si>
    <t>EN#2049469-7; T/R;</t>
  </si>
  <si>
    <t>Hongkong</t>
  </si>
  <si>
    <t>TEMU9040123</t>
  </si>
  <si>
    <t>Delcare (F-19504R, F-19609, F-19525, F-31108G)</t>
  </si>
  <si>
    <t xml:space="preserve">EN#2049027; LFD 8/2, pull 8/3 due to X-ray exam, $304 in demurrage. </t>
  </si>
  <si>
    <t>30249/ 30260</t>
  </si>
  <si>
    <t>YMLU3528675</t>
  </si>
  <si>
    <t>My Scheming Masks (JSUT)</t>
  </si>
  <si>
    <t xml:space="preserve">EN#2049380-6; Sent OBL 7/22 ; 8/5: COMT was out gated at 8:35am driver will be there around 9:15am.
Pier waiting was from 7:17am-8:35am additional ½ $ 27.50. </t>
  </si>
  <si>
    <t>NYKU5118206</t>
  </si>
  <si>
    <t>EN#2048701-4; OBL sent 7/7</t>
  </si>
  <si>
    <t>MSCU5600935</t>
  </si>
  <si>
    <t>Loc Maria (F-50140, F-50139, F-50143, F-50144, F-50145)</t>
  </si>
  <si>
    <t xml:space="preserve">EN#2049192-5;T/R; </t>
  </si>
  <si>
    <t>MSKU6043330</t>
  </si>
  <si>
    <t>EN#2048945-7; INV 2048945</t>
  </si>
  <si>
    <t>Am GSG Candy(A-61115L, A-61116S, A-61117, A-61150)</t>
  </si>
  <si>
    <t>EN#2048945-7; INV# 2065 Drop Pick+PNCT Terminal</t>
  </si>
  <si>
    <t>NYKU3657451</t>
  </si>
  <si>
    <t>Digestive Biscuit 400g (F-52740)</t>
  </si>
  <si>
    <t xml:space="preserve">EN#2049619-7; 7/28: CONT was out gated at 12:15pm; Pier waiting 8:58am-12:15pm, additional 2hrs ½ 137.50.  </t>
  </si>
  <si>
    <t>MSKU8883165</t>
  </si>
  <si>
    <t>GHC 30bg/36bx (D-04010/D-04011)</t>
  </si>
  <si>
    <t xml:space="preserve">EN#2048278-3; INV# 16NSS0319; OBL sent 7/7 PNCT Term </t>
  </si>
  <si>
    <t>PONU7612148</t>
  </si>
  <si>
    <t>EN#2048276-7; INV# 16NSS0321; OBL sent 7/7</t>
  </si>
  <si>
    <t>BMOU4176540</t>
  </si>
  <si>
    <t>EN#2048277-5; INV# 16NSS0322A1; OBL sent 7/7</t>
  </si>
  <si>
    <t>TCNU4005069</t>
  </si>
  <si>
    <t>GInger Candy (F-04012)</t>
  </si>
  <si>
    <t>EN#2048372-4;</t>
  </si>
  <si>
    <t>MSKU1174023</t>
  </si>
  <si>
    <t>EN# 2048620-6; INV# 16NSS0320</t>
  </si>
  <si>
    <t>OOLU3953908</t>
  </si>
  <si>
    <t>Saint Honor Snowy Moon Cake 20ft</t>
  </si>
  <si>
    <t>EN#2048703-0; OBL sent 7/12; split chassis $65</t>
  </si>
  <si>
    <t>MEDU4291020</t>
  </si>
  <si>
    <t>EN#2048344-3</t>
  </si>
  <si>
    <t>HDMU2673152</t>
  </si>
  <si>
    <t>EN#2048349-2; INV# SS1604063-N; OBL sent 7/12</t>
  </si>
  <si>
    <t>KKFU7826749</t>
  </si>
  <si>
    <t>Red Panax GSG Ext.(C-70121, C-70113), Ginkgo Biloba &amp; Red Panax Ext.(C-70310,C-70330), Ultra Ginkgo Plus(C-70433)</t>
  </si>
  <si>
    <t>EN#2048030-8; INV#2001008-16; OBL sent 6/27</t>
  </si>
  <si>
    <t>TEMU6509644</t>
  </si>
  <si>
    <t>Org. GT(D-13200N), Org. Jasmine (D-14200N), Org. Oolong (D-15200N), Org. White (D-18200N/D-18220N)</t>
  </si>
  <si>
    <t>EN#2048370-8; INV# YD16-T12; 7:21am-10:24am additional 2hrs $110.00</t>
  </si>
  <si>
    <t>OOLU3872426</t>
  </si>
  <si>
    <t>Saint Honor Moon Cake</t>
  </si>
  <si>
    <t>EN#2047980-5; INV# MC-O-2016005</t>
  </si>
  <si>
    <t>30245/ 30246</t>
  </si>
  <si>
    <t>OOLU6417426</t>
  </si>
  <si>
    <t>Paper Box- Am. GSG Capsule 50, Moon Cake</t>
  </si>
  <si>
    <t>EN#2048418-5</t>
  </si>
  <si>
    <t>OOLU6082826</t>
  </si>
  <si>
    <t>EN#2048371-6; Inv# MC-O-2016003; OBL sent 7/6; $ 65 for split return chassis; 8:28am-1:59pm additional 4hrs ½ $ 247.50</t>
  </si>
  <si>
    <t>TCNU5574970</t>
  </si>
  <si>
    <t>EN#2047935-9; OBL sent 6/27; 11am-1:48pm additional 2hrs $110.00</t>
  </si>
  <si>
    <t>APZU2123370</t>
  </si>
  <si>
    <t>EN# 2048323-7; 7:21am-11:08am additional 3hrs $ 165.00</t>
  </si>
  <si>
    <t>FCIU4540460</t>
  </si>
  <si>
    <t xml:space="preserve">Digestive Biscuit </t>
  </si>
  <si>
    <t>EN#2047069-7; $65 for split; 2:34pm-4:10pm additional ½ $27.50</t>
  </si>
  <si>
    <t>NYKU4918797</t>
  </si>
  <si>
    <t>EN#2047694-2; OBL sent 6/27</t>
  </si>
  <si>
    <t>YMLU5151111</t>
  </si>
  <si>
    <t>GHC 30bx (D-04010), GHC w/ Lemon (D-04041), GHC w/ Am. GSG (D-04030), GHC w/ Plum(D-04036), GHC w/ Dark Brown Sugar(D-41986), Dong Quai &amp; Red Date Tea(D-04020)</t>
  </si>
  <si>
    <t>EN#2048029-0; INV#16NSS0318 Drop Pick +$261</t>
  </si>
  <si>
    <t>TTNU5822702</t>
  </si>
  <si>
    <t>Loc Maria (F-50137, F-50138, F-50146, F-50140, F-50139, F-50143, F-501440)</t>
  </si>
  <si>
    <t>EN#2047396-4</t>
  </si>
  <si>
    <t>MRKU0828180</t>
  </si>
  <si>
    <t>Am. GSG Instant Tea (A-61011, A-42017, A-42017F, A-62010A, A-62020,A-62020F)</t>
  </si>
  <si>
    <t>EN#2047420-2; INV#2001009-16</t>
  </si>
  <si>
    <t>TEMU4793802</t>
  </si>
  <si>
    <t>Korean Red GSG Tea (K-80027, K-80024)</t>
  </si>
  <si>
    <t>EN#2048121-5; INV#KB160421; 7:40am-9:36am additional 1hr $ 55.00</t>
  </si>
  <si>
    <t>OOLU3949050</t>
  </si>
  <si>
    <t>EN#2048297-3; INV# MC-O-2016004; OBL 6/28/16</t>
  </si>
  <si>
    <t>MSKU8084600</t>
  </si>
  <si>
    <t>Org. GT (D-13200N), Org. Jas. (D-14200N), Org. Oolong (D-15200N), Org. White (D-18200N/D-18220N)</t>
  </si>
  <si>
    <t>EN#2046970-7; YD16-T10; OBL sent 6/7</t>
  </si>
  <si>
    <t>MAEU6386860</t>
  </si>
  <si>
    <t>Org. GT(D-13200N), Org. Jasmine (D-14220), Org Oolong (D-15200N). Org. White (D-18200N), Org. Black (D-19200, D-19220)</t>
  </si>
  <si>
    <t>EN#2047397-2; INV#16TM020</t>
  </si>
  <si>
    <t>TCLU1311290</t>
  </si>
  <si>
    <t>Tea Tin(30cs), mooncake tins, labels, Poster stand, Woven bag</t>
  </si>
  <si>
    <t>EN#2047897-1</t>
  </si>
  <si>
    <t>30107/ 30108</t>
  </si>
  <si>
    <t>TCLU1288332 SZLU9650669</t>
  </si>
  <si>
    <t>Wing Wah Moon Cake</t>
  </si>
  <si>
    <t>EN#2047899-7; Health Cet &amp; Import Permit mail out 6/22; 11:33am-1:39pm additional 1hr $55.00; 8:35am-9:44am additional ½ $27.50</t>
  </si>
  <si>
    <t>MEDU6464320</t>
  </si>
  <si>
    <t>Loc Maria (F-50139, F-50140, F-50143, F-50144)</t>
  </si>
  <si>
    <t>EN#2047928-4; EGF: $30+$10;  7:17am-8:41am additional ½ $ 27.50</t>
  </si>
  <si>
    <t>FCIU9091906</t>
  </si>
  <si>
    <t>Ginger Candy 124G (F-04012, F-04000)</t>
  </si>
  <si>
    <t>EN#2047156-2; OBL sent 6/7;</t>
  </si>
  <si>
    <t>ju</t>
  </si>
  <si>
    <t>PCIU8769542</t>
  </si>
  <si>
    <t>Org GT(D-13200N), Jasmine 100s(D-14100N), Ti Kuan Yin 100s(D-16100N), Puerh 100 (D-17100N)</t>
  </si>
  <si>
    <t>EN#2047884-9; INV# YD16-T11</t>
  </si>
  <si>
    <t>CCLU7849917</t>
  </si>
  <si>
    <t>GHC (D-04010, D-04011)</t>
  </si>
  <si>
    <t>EN#2047898-9; INV# 16NSS0316A1; OBL sent 6/21</t>
  </si>
  <si>
    <t>TEMU3970884</t>
  </si>
  <si>
    <t xml:space="preserve">Shanghai Soaps </t>
  </si>
  <si>
    <t>EN#2047428-5; INV#SS1604062-N; OBL sent 6/20;  10:57am-1:15pm additional 1hr ½ $ 82.50</t>
  </si>
  <si>
    <t>CMAU4508247</t>
  </si>
  <si>
    <t>NZ Honey Clover Honey(J-55500), Kamahi 500g (J-55502)</t>
  </si>
  <si>
    <t>EN#2048120-7; INV# 183393</t>
  </si>
  <si>
    <t>OOLU3635189</t>
  </si>
  <si>
    <t>Digestive Biscuit (F-52740)</t>
  </si>
  <si>
    <t>EN#2048121-5; INV#KB160421</t>
  </si>
  <si>
    <t>MAGU2214135</t>
  </si>
  <si>
    <t>Pally Digestive, Country and Wholewheat Biscuit (F-94790, F-94791, F-94792)</t>
  </si>
  <si>
    <t>EN#2047784-1; INV#160046</t>
  </si>
  <si>
    <t>TCNU6019210</t>
  </si>
  <si>
    <t>PKG Material- AM GSG Powder Glass Bottles</t>
  </si>
  <si>
    <t>EN#2047413-7; Inv# LL-160104-1</t>
  </si>
  <si>
    <t>PONU7278180</t>
  </si>
  <si>
    <t>GHC 30 (D-04011)</t>
  </si>
  <si>
    <t>EN#2046680-2, 16NSS0316; OBL sent 6/7. This shipment arrived in NY 6/15/2016 and was held for exam and was pulled out from terminal and moved to exam site on 6/17/2016 and Customs and CST did not release until 7/6/2016 and empty was not returned until 7/11/2016. So per diem is needed</t>
  </si>
  <si>
    <t>UACU8530642</t>
  </si>
  <si>
    <t>GHC w/ Lemon 36bx (D-04041), GHC 30bg (D-04011)</t>
  </si>
  <si>
    <t>EN#2046505-1; 16NSS0315; OBL sent 6/7</t>
  </si>
  <si>
    <t>TTNU3582238</t>
  </si>
  <si>
    <t>Honey Loquat Candy (F-11076A, F-11077, F-11148A, F-11178A)</t>
  </si>
  <si>
    <t>EN#2047158-8； 7:21am-9:11am additional 1hr $55.; Split chassis $65</t>
  </si>
  <si>
    <t>NYKU0743540</t>
  </si>
  <si>
    <t>EN#2047028-3; OBL sent 6/7</t>
  </si>
  <si>
    <t xml:space="preserve">NS1932/ 29865/ 30009 </t>
  </si>
  <si>
    <t>EMCU1209965</t>
  </si>
  <si>
    <t>Nt Wt Labels, Garlic Tablets Labels, GSG 1/4lb Cover lids, Envelopes, catalogs, Office furnitures</t>
  </si>
  <si>
    <t>EN#2047159-6;  8:08am-9:42am additional ½ $ 27.50</t>
  </si>
  <si>
    <t>MSKU6232293</t>
  </si>
  <si>
    <t>Am GSG Extm (C-70021, C-70052)</t>
  </si>
  <si>
    <t>EN#2046192-8; INV# 2016TAT02; OBL sent 5/18</t>
  </si>
  <si>
    <t>TCLU1906106</t>
  </si>
  <si>
    <t>Delcare</t>
  </si>
  <si>
    <t>EN#2045875-9;  7:47am-9:48am additional 1hr $ 55.00; split chassis $65</t>
  </si>
  <si>
    <t>TCKU9139889</t>
  </si>
  <si>
    <t>GHC 36, 30 (D-04011/D-04010)</t>
  </si>
  <si>
    <t>EN#2046681-0; 16NSS0317; OBL sent 5/24; split return$65; 11:45am-3:03pm additional 2hrs ½ $ 137.50; split chassis $65</t>
  </si>
  <si>
    <t>GESU6852360</t>
  </si>
  <si>
    <t xml:space="preserve">EN#2047008-5; </t>
  </si>
  <si>
    <t>MRKU9175913</t>
  </si>
  <si>
    <t>MY Kuali Noodles (J-75001, J-75002, J-75003, J-75004)</t>
  </si>
  <si>
    <t>EN#2045873-4; 7:18am-11:21am additional 3hrs $ 165</t>
  </si>
  <si>
    <t>MAGU4885786</t>
  </si>
  <si>
    <t>Panax GSG Ext (C-70121, C-70123), Ultra Gingko Plus (C-70430), Ultra Joint Health(C-70530)</t>
  </si>
  <si>
    <t>EN#2045654-8; 2001006-16; overweight $150</t>
  </si>
  <si>
    <t>FSCU9077595</t>
  </si>
  <si>
    <t>GHC 30bgs/36bx(D-04010, D-04011)</t>
  </si>
  <si>
    <t>EN#2045895-7; 16NSS0314; OBL sent 5/19</t>
  </si>
  <si>
    <t>MSKU0516477</t>
  </si>
  <si>
    <t>Org. GT (D-13200N, D-13220N), Org. Jas (D-14200N), Org. Oolong (D-15200N), Org. White (D-18200N)</t>
  </si>
  <si>
    <t>EN#2045481-6; Inv# YD16-T08; OBL sent 4/26</t>
  </si>
  <si>
    <t>FSCU8779220</t>
  </si>
  <si>
    <t>Org. GT(D-13200N), Org. Jasmine (D-14200N/D-14220), Org. White (D-18200N), Org. Black (D-19200, D-19220), Gift Tea Bulk</t>
  </si>
  <si>
    <t xml:space="preserve">EN# 2046434-6; 16TM015; OBL sent 5/20 </t>
  </si>
  <si>
    <t>MRKU0719678</t>
  </si>
  <si>
    <t>AM GSG Candy (A-61116S, A-61117, A-61150)</t>
  </si>
  <si>
    <t>EN# 2046290-0; Pier Diem 3days $315</t>
  </si>
  <si>
    <t>WHLU4211424</t>
  </si>
  <si>
    <t>Am. GSG Instant Tea (A-61011, A-42017, A-42017F, A-62010A, A-62020F)</t>
  </si>
  <si>
    <t>EN#2046016-9; INV#2001007-16; OBL sent 5/19;  7:29am-8:40am additional ½ $27.50</t>
  </si>
  <si>
    <t>CBHU8539201</t>
  </si>
  <si>
    <t>EN#2045655-5; 16NSS0312; OBL sent 5/9</t>
  </si>
  <si>
    <t>PCIU8178386</t>
  </si>
  <si>
    <t>Org GT (D-13220N), Org. Jasmine (D-14200N), Org. Oolong (D-15200N), Pu-Erh (D-17100N), Org. White20/100 (D-18200N/D-18220N)</t>
  </si>
  <si>
    <t>EN#2045947-6; INV# YD16-T09; 7:20am-11:43am additional 3hrs ½ $192.50;</t>
  </si>
  <si>
    <t>NS2042</t>
  </si>
  <si>
    <t>EISU9225266</t>
  </si>
  <si>
    <t>YNBY Display Materials; Marketing materials CFS</t>
  </si>
  <si>
    <t>EN#2046046-6</t>
  </si>
  <si>
    <t>CCLU4546861</t>
  </si>
  <si>
    <t>Am. GSG Extm (C-70020, C-70021, C-70050, C-70113)</t>
  </si>
  <si>
    <t>EN#2045874-2; INV#2016TAT01; OBL sent 5/18; 8:32-9:58 additional ½ hour $27.50</t>
  </si>
  <si>
    <t>EMCU9723266</t>
  </si>
  <si>
    <t>GHC w/ Lemon 30bg (D-04043)</t>
  </si>
  <si>
    <t>EN#2045892-4; 16NSS0309; OBL sent 5/18; Demurrage $120;  7:54-9:31 additional ½ hour $27.50</t>
  </si>
  <si>
    <t>MORU1102616</t>
  </si>
  <si>
    <t>Cheezheng Patches CFS</t>
  </si>
  <si>
    <t>EN# 2045600-1</t>
  </si>
  <si>
    <t>TGSU2004536</t>
  </si>
  <si>
    <t>Shanghai Soaps **</t>
  </si>
  <si>
    <t>EN#2045415-4; INV# SS1603033; OBL sent 5/9; 1 hr 7:26- 9:33 am $55; split chassis return $65</t>
  </si>
  <si>
    <t>MSKU7182005</t>
  </si>
  <si>
    <t>Honey Loquat Candy (F-11076A, F-11078, F-11148A, F-11178A)</t>
  </si>
  <si>
    <t>EN#2045480-8; 1 hour. 9:19 am-10:57 am $55.00</t>
  </si>
  <si>
    <t>30012/ 30014</t>
  </si>
  <si>
    <t>TEMU0236049</t>
  </si>
  <si>
    <t>MS Facial Masks 20'SD</t>
  </si>
  <si>
    <t>EN#2045649-8; JST-16017; Pier waiting 8:48-11:14 with additional 1 ½ hour $82.50</t>
  </si>
  <si>
    <t>TEMU7778000</t>
  </si>
  <si>
    <t>EN#2045114-3; OBL sent 4/26</t>
  </si>
  <si>
    <t>MSKU6254796</t>
  </si>
  <si>
    <t>Am GSG Candy (A-61150, A-61117)</t>
  </si>
  <si>
    <t>EN# 2045018-6; INV#2062</t>
  </si>
  <si>
    <t>MRKU3731450</t>
  </si>
  <si>
    <t>EN# 2044802-4; INV# 16NSS0310; OBL sent 4/14</t>
  </si>
  <si>
    <t>OAK - LA</t>
  </si>
  <si>
    <t>NYKU3742960</t>
  </si>
  <si>
    <t>Digestive Biscuit</t>
  </si>
  <si>
    <t>EN# 2044456-9/2046780; Shipper had booked to ship to OAK and rail to LA</t>
  </si>
  <si>
    <t>HLXU6132270</t>
  </si>
  <si>
    <t>GHC 30bgs</t>
  </si>
  <si>
    <t>EN#2045019-4; INV# 16NSS0313; Terminal Surcharge of $170</t>
  </si>
  <si>
    <t>MSCU6973105</t>
  </si>
  <si>
    <t>Loc Maria (F-50139, F-50140, F-50143, F-50144, F-50145)</t>
  </si>
  <si>
    <t>EN# 2045298-4; 11:26am-1:25pm additional 1hr $ 55</t>
  </si>
  <si>
    <t>SEGU5253145</t>
  </si>
  <si>
    <t>GT (D-13100N), Org. GT (D-13200N), Jasmine (D-14100N), Pu-erh (D-17100N)</t>
  </si>
  <si>
    <t>EN#2045020-2; INV# YD16-T07; OBL sent 4/11; 9:28am-2:24pm additional 4hrs $ 220</t>
  </si>
  <si>
    <t>SEGU4431509</t>
  </si>
  <si>
    <t>Korean Red Ginseng Powder</t>
  </si>
  <si>
    <t>EN#2045330-5; INV#KI-POP-02-16; OBL sent 4/21</t>
  </si>
  <si>
    <t>MSCU4747330</t>
  </si>
  <si>
    <t>EN# 2045297-6</t>
  </si>
  <si>
    <t>UACU3121554</t>
  </si>
  <si>
    <t>EN#2045570-6</t>
  </si>
  <si>
    <t>DRYU4118273</t>
  </si>
  <si>
    <t>My Kuali Noodles (J-75001, J-75002, J-75003)</t>
  </si>
  <si>
    <t>EN#2044663-0</t>
  </si>
  <si>
    <t>TCLU6283288</t>
  </si>
  <si>
    <t>Seirogan M-96100, M-96400, M-96036</t>
  </si>
  <si>
    <t>EN# 2044644-0; OBL sent 4/11</t>
  </si>
  <si>
    <t>YMMU4034599</t>
  </si>
  <si>
    <t>EN# 2045094-7; INV#16NSS0311; 7:18am-10:46am additonal 2hrs ½ $ 137.50.</t>
  </si>
  <si>
    <t>TCLU5298175</t>
  </si>
  <si>
    <t>GT(D-13100N), Jasmine (D-14100N), Oolong (D-15100N), White (D-18100N/ D-18120N)</t>
  </si>
  <si>
    <t>EN#2004105-2; YD16-T05; OBL sent 3/16</t>
  </si>
  <si>
    <t>UACU8444441</t>
  </si>
  <si>
    <t>Am. GSG Extm (C-70113, C-70330, C-70430, C-70433, C-70214)</t>
  </si>
  <si>
    <t>EN#2044748-9; INV#2001003-16; OBL sent 4/14;  8:41am-11:21am additional 2hrs $ 110</t>
  </si>
  <si>
    <t>TCLU3614612</t>
  </si>
  <si>
    <t>Coldaid/ Fluaid in bulk; Am GSG Instant Tea (A-62020F, A-62010A, A-62020) *</t>
  </si>
  <si>
    <t>EN#2044643-2; INV# 2001005-16; OBL sent 4/14;8:37am-1:39pm additional 4hrs $220+$65 split return chassis.</t>
  </si>
  <si>
    <t>MAGU5798860</t>
  </si>
  <si>
    <t>Org GT(D-13200N), Org Oolong (D-15200N), Org Jas. (D-14200N), Org White 20/100  (D-18200N/D-18220N)</t>
  </si>
  <si>
    <t>EN# 2044518-6; INV# YD16-T06; OBL sent 3/31; 8:10am-11:20am additional 2hrs ½  $ 137.50</t>
  </si>
  <si>
    <t>EISU9199465</t>
  </si>
  <si>
    <t>EN#2044299-3; OBL sent 4/5; 9:58am-11:12am additional ½ $ 27.50</t>
  </si>
  <si>
    <t>UACU3405967</t>
  </si>
  <si>
    <t>EN#2044020-3; SS1601012-N; OBL sent 4/5</t>
  </si>
  <si>
    <t>MRKU5914804</t>
  </si>
  <si>
    <t>EN#2043966-8; OBL sent 3/22</t>
  </si>
  <si>
    <t>CXDU2191566</t>
  </si>
  <si>
    <t>Gift Tea Generic Tin &amp; Tea boxes</t>
  </si>
  <si>
    <t>EN#2044671-3; 11:40am-2:42pm additional 2hrs $ 110</t>
  </si>
  <si>
    <t>TEMU5639535</t>
  </si>
  <si>
    <t>Instant Cappuccino 3 in 1 (J-40030N), Instant Vietnamese Coffee 3 in 1 (J-40035)</t>
  </si>
  <si>
    <t>EN# 2044202-7; OBL sent 3/28; 9:25am-12:18pm additional 2hrs $110</t>
  </si>
  <si>
    <t>BEAU2242084</t>
  </si>
  <si>
    <t>Korean Red GSG Instant Tea (K-80027/K-80024); sachets sample (K-80024B)</t>
  </si>
  <si>
    <t>EN#2044360-3; Inv# K0030516</t>
  </si>
  <si>
    <t>CAIU8162397</t>
  </si>
  <si>
    <t>GT (D-13100N), Oolong (D-15100N), Org Oolong (D-15200N), Puerh (D-17100N), White (D-18100N)</t>
  </si>
  <si>
    <t>EN# 2044104-5; YD16-T04; OBL sent 3/16;  7:12am-8:54am additional 1hr $55</t>
  </si>
  <si>
    <t>MRKU4402830</t>
  </si>
  <si>
    <t>Am GSG Candy (A-61116, A-61115, A-61150)</t>
  </si>
  <si>
    <t>EN# 2044455-1</t>
  </si>
  <si>
    <t>CMAU5086892</t>
  </si>
  <si>
    <t>Org GT 20/100 (D-13200N/D-13220N), Org. Black (D-19200), Org. Jasmine (D-14200N), Org White(D-18200N), Org Oolong(D-15200N)</t>
  </si>
  <si>
    <t>EN#2044242-3; 16TM010; OBL sent 3/31</t>
  </si>
  <si>
    <t>NYKU5742716</t>
  </si>
  <si>
    <t>Ginger Candy(F-04012), Coffe Candy, White Coffee Candy, Bontea Candies</t>
  </si>
  <si>
    <t>EN#2043844-7; Inc#021/EXP/PI/I/2016_R1; OBL sent 3/22</t>
  </si>
  <si>
    <t>29883/ 29897</t>
  </si>
  <si>
    <t>EMCU5369112</t>
  </si>
  <si>
    <t>MS Masks - 5 pallets</t>
  </si>
  <si>
    <t>EN#2044239-9</t>
  </si>
  <si>
    <t>OOLU1488941</t>
  </si>
  <si>
    <t>EN# 2044457-7</t>
  </si>
  <si>
    <t>MRKU3578280</t>
  </si>
  <si>
    <t>EN#2043446-1; Inv# 2059</t>
  </si>
  <si>
    <t>WHLU4203666</t>
  </si>
  <si>
    <t>Am GSG Instant Tea (A-62010A), Wild Am. GSG Instant Tea (A-61011, A-42017F)</t>
  </si>
  <si>
    <t>EN# 2043780-3; Inv# 2001004-16;OBL sent 3/18/16; chassis fee</t>
  </si>
  <si>
    <t>MRKU2743138</t>
  </si>
  <si>
    <t>GT (D-13100N), Jap GT (D-13300N), Jas. (D-14100N), TKY (D-16100N), White (D-18120N)</t>
  </si>
  <si>
    <t>EN# 2043361-2; YD16-T03</t>
  </si>
  <si>
    <t>TGHU6849142</t>
  </si>
  <si>
    <t>GHC 30bx (D-04010), 36bg (D-04011)</t>
  </si>
  <si>
    <t>EN# 2043659-9; Inv# 16NSS0308; OBL sent 3/11; 7:51am-9:38am additional 1hr $55</t>
  </si>
  <si>
    <t>APZU4746527</t>
  </si>
  <si>
    <t>Red Panax GSG Ext.(C-70121, C-70123), Ginkgo Biloba &amp; Red Panax Ext.(C-70310,C-70330), Ultra Joing Health (C-70530), Am. GSg &amp; Bee Pollen(A-61138)</t>
  </si>
  <si>
    <t>EN#2042537-8; INV#2001001-16; OBL sent 2/16; overweight $150</t>
  </si>
  <si>
    <t>CBHU8866570</t>
  </si>
  <si>
    <t>EN# 2043495-8; Inv# 16NSS0307; OBL 3/8/16; additional exam and trucking charges</t>
  </si>
  <si>
    <t>FCIU4803675</t>
  </si>
  <si>
    <t>Pally</t>
  </si>
  <si>
    <t>EN#204650-8; INV# 160021</t>
  </si>
  <si>
    <t>OCGU8038771</t>
  </si>
  <si>
    <t>EN#2042773-9;</t>
  </si>
  <si>
    <t>HLXU3480646</t>
  </si>
  <si>
    <t>EN#2042363-9; 8:36am-4:15pm additional 7hrs $385.00; $ 65 for split return chassis</t>
  </si>
  <si>
    <t>TEMU9078345</t>
  </si>
  <si>
    <t>Korean Red GSG Powder (K-88002)</t>
  </si>
  <si>
    <t>EN#2043094-9; INV# KI-POP01-16</t>
  </si>
  <si>
    <t>APHU7272476</t>
  </si>
  <si>
    <t>EN#2042243-3; OBL sent 2/8</t>
  </si>
  <si>
    <t>MSKU6481275</t>
  </si>
  <si>
    <t>EN# 2043012-1</t>
  </si>
  <si>
    <t>Huang Pu</t>
  </si>
  <si>
    <t>PCIU8156617</t>
  </si>
  <si>
    <t>GT (D-13100N), Jasmine (D-14100N), Oolong (D-15100N), Pu-erh (D-17100N), White (D-18100N)</t>
  </si>
  <si>
    <t>EN#2042865-3; INV# YD16-T02; OBL sent 2/8</t>
  </si>
  <si>
    <t>MRKU7835263</t>
  </si>
  <si>
    <t>EN# 2042605-3</t>
  </si>
  <si>
    <t>HASU1214894</t>
  </si>
  <si>
    <t>POP Cookies (F-10101, F-10102, F-10103, F-10104, F-10105, F-10106) 20FT</t>
  </si>
  <si>
    <t>EN#2041391-1; OBL sent 2/2; 11:25am-2:22pm additional $110+$65 split pick up chassis +4times gate fee.</t>
  </si>
  <si>
    <t>XINU1585478</t>
  </si>
  <si>
    <t>YNBY Toothpaste (M-41063, M-41064)</t>
  </si>
  <si>
    <t>EN# 2043157-4; INV#YNBYME0000012; OBL sent 2/16</t>
  </si>
  <si>
    <t>CBHU8234584</t>
  </si>
  <si>
    <t>GHC 30bgs; coldaid/ fluaid empty boxes</t>
  </si>
  <si>
    <t>EN#2042538-6; INV# 16NSS0305; OBL sent 2/16;  7:27am-8:38am additional ½ $ 27.50</t>
  </si>
  <si>
    <t>UESU4766944</t>
  </si>
  <si>
    <t>Org. GT(D-13200N), Org. Oolong(D-15200N), Org. Black(D-19200)50cs; Gift Tea Bulks (D-60011B, D-60012B, D-60013B, D-60014B, D-60015B, D-60016B, D-60017B, D-60021B, D-60022B, D-60023B)</t>
  </si>
  <si>
    <t>EN#2042432-2; INV#16TM008</t>
  </si>
  <si>
    <t>CLHU8936955</t>
  </si>
  <si>
    <t>Am. GSG Candy (A-61116, A-61115, A-61117)</t>
  </si>
  <si>
    <t>EN# 2042364-7; INV#2058; additional of $65 for split pick up chassis</t>
  </si>
  <si>
    <t>NYKU4853459</t>
  </si>
  <si>
    <t>EN#2042039-5; OBL sent 2/8</t>
  </si>
  <si>
    <t>MRKU3240523</t>
  </si>
  <si>
    <t>GHC30 (D-04011)</t>
  </si>
  <si>
    <t>EN#2041897-7; INV# 16NSS0306</t>
  </si>
  <si>
    <t>29716/29741/29796/29718</t>
  </si>
  <si>
    <t>HMMU9030813</t>
  </si>
  <si>
    <t>Labels: Am. GSG Capsuies, K Red GSG Caps, AG Grade Level, Fish Oil; Paper Box - AM GSG Capsule; Plastic Space Holder</t>
  </si>
  <si>
    <t>EN#2042434-8; INV#01182016</t>
  </si>
  <si>
    <t>YMMU4135212</t>
  </si>
  <si>
    <t>EN#2042324-1; INV#16NSS0304</t>
  </si>
  <si>
    <t>MRKU3474840</t>
  </si>
  <si>
    <t xml:space="preserve">Org. Jas(D-14200N), Org. Oolong(D-15200N, D-15220N), Org. White(D-18200N, D-18220N) </t>
  </si>
  <si>
    <t>EN# 2041933-0; INV# YD16-T01; OBL sent 1/29</t>
  </si>
  <si>
    <t>BMOU4523980</t>
  </si>
  <si>
    <t>Am GSG RT-Tag; AM GSG RT-Alum Foil Door to Door to Sun Ten Lab</t>
  </si>
  <si>
    <t>EN#2042502-2; IN#LFE-012116</t>
  </si>
  <si>
    <t>TEMU7153603</t>
  </si>
  <si>
    <t>EN#2042244-1; OBL sent 1/29;  8:22am-11:45am additional 2hrs ½ $ 137.50.</t>
  </si>
  <si>
    <t>MRKU9810916</t>
  </si>
  <si>
    <t>EN#2041557-7;  additional $65 for split pick up chassis</t>
  </si>
  <si>
    <t>MSKU6811084</t>
  </si>
  <si>
    <t>Amer. GSG Inst. Tea (A-62010A, A-62020F, A-62020), Wild Amer. GSG Inst. Tea (A-61011, A-42017F)</t>
  </si>
  <si>
    <t>EN#2040928-1; INV# 2001022-15</t>
  </si>
  <si>
    <t>TEMU6244740</t>
  </si>
  <si>
    <t>EN# 2041839-9; INV#002/EXP/INV/I/2016; OBL sent 1/29</t>
  </si>
  <si>
    <t>TCLU5626799</t>
  </si>
  <si>
    <t>Org. GT 20/100(D-13200N/D-13220N), Org. White 20/100 (D-18200N/D-18220N), Org. Black (D-19200) 350cs</t>
  </si>
  <si>
    <t>EN#2041787-0; INV# 16TM005</t>
  </si>
  <si>
    <t>MSKU8153784</t>
  </si>
  <si>
    <t>GT (D-13100N), Jap GT (D-13300N), Org. Jas. (D-14200N), Pu-erh (D-17100N), White (D-18100N)</t>
  </si>
  <si>
    <t>EN# 2040992-7; YD15-T25</t>
  </si>
  <si>
    <t>OOLU1825976</t>
  </si>
  <si>
    <t>EN#2042216-9</t>
  </si>
  <si>
    <t>PONU7861412</t>
  </si>
  <si>
    <t>GT 100 (D-13100N), Org. Jas (D-14200N), Org. Oolong 20/100 (D-15200N/ D-15220N), Org. White (D-18200N)</t>
  </si>
  <si>
    <t>EN# 2040602-2; YD15-T23 OBL 1/5</t>
  </si>
  <si>
    <t>DFSU1694661</t>
  </si>
  <si>
    <t>Pine Panax GSG Ext 10s/30s (C-70020/C-70021); Red GSG R/Jelly 10s/30s (C-70050/C-70052)</t>
  </si>
  <si>
    <t>EN#2042040-3; INV#2015TAT04; OBL 1/25</t>
  </si>
  <si>
    <t>PCIU1974680</t>
  </si>
  <si>
    <t>POP Instant Capucinno 3in1 (J-40030N)</t>
  </si>
  <si>
    <t>EN# 2040990-1; INV# 2015900341; OBL sent 1/25</t>
  </si>
  <si>
    <t>OOLU0405217</t>
  </si>
  <si>
    <t>POP Cookies (F-10101, F-10102, F-10103, F-10104, F-10105, F-10106)</t>
  </si>
  <si>
    <t>EN# 2041390-3</t>
  </si>
  <si>
    <t>APZU4821493</t>
  </si>
  <si>
    <t>Panax GSG Ext (C-70113, C-70123), Ginkgo &amp; Red Ext (C-70330), Ultra Gingko Plus (C-70430)</t>
  </si>
  <si>
    <t>EN# 2040686-5 ; INV# 2001021-15; overweight surcharge of $250</t>
  </si>
  <si>
    <t>APMU8041771</t>
  </si>
  <si>
    <t>GHC 30/36 (D-04010, D-04011)</t>
  </si>
  <si>
    <t>EN#2040927-3; INV# 16NSS0303 OBL sent 1/13</t>
  </si>
  <si>
    <t>MRKU4977346</t>
  </si>
  <si>
    <t>Org. GT (D-13200N), Org. Jas. (D-14200N), Org. Oolong (D-15220N), Org. White (D-18200N), Org. Black Tea (D-19200) 441cs</t>
  </si>
  <si>
    <t>EN# 2040931-5; INV# 15TM050</t>
  </si>
  <si>
    <t>MSKU4343718</t>
  </si>
  <si>
    <t>EN#2040932-3; INV# 1512-00179</t>
  </si>
  <si>
    <t>OCGO2025165</t>
  </si>
  <si>
    <t>Korean GSG Instant Tea (K-80027)</t>
  </si>
  <si>
    <t>EN# 2041439-8; INC#KO121515 OBL sent 1/13; additional 4hrs $220</t>
  </si>
  <si>
    <t>MSKU9612358</t>
  </si>
  <si>
    <t>Am. GSG Candy(A-6116, A-6115, A-61150)</t>
  </si>
  <si>
    <t>EN# 2041558-5</t>
  </si>
  <si>
    <t>29664/ 29719</t>
  </si>
  <si>
    <t>YMLU5704460</t>
  </si>
  <si>
    <t>JSUT Masks</t>
  </si>
  <si>
    <t>EN# 2041333-3; INV#JST-15036; OBL sent 1/15; additional 3hrs $ 165.00</t>
  </si>
  <si>
    <t>BSIU4058570</t>
  </si>
  <si>
    <t>Seirogan M-96100, M-96400</t>
  </si>
  <si>
    <t>EN# 2040601-4; INV# US-151201 OBL sent 12/29</t>
  </si>
  <si>
    <t>TRLU7563873</t>
  </si>
  <si>
    <t>EN#2040456-3; INV# 149 OBL sent 1/5</t>
  </si>
  <si>
    <t>NYKU3848782</t>
  </si>
  <si>
    <t>EN# 2040541-2; INV# 1512-00098</t>
  </si>
  <si>
    <t>TORU5303045</t>
  </si>
  <si>
    <t>Ginger Honey Crystal 36bx 30bg (D-04010, D-04011)</t>
  </si>
  <si>
    <t>EN# 2040359-9; INV# 16NSS0301</t>
  </si>
  <si>
    <t>MRKU4267771</t>
  </si>
  <si>
    <t>EN# 2039918-5; YD15-T24</t>
  </si>
  <si>
    <t>COUNTA of Date</t>
  </si>
  <si>
    <t>Grand Total</t>
  </si>
  <si>
    <t>USDA Customs Release Notification</t>
  </si>
  <si>
    <t xml:space="preserve"> ETA Port Date</t>
  </si>
  <si>
    <t>Arrived Date</t>
  </si>
  <si>
    <t>Delivery Schedule</t>
  </si>
  <si>
    <t>Week</t>
  </si>
  <si>
    <t>Vendors</t>
  </si>
  <si>
    <t>Categories</t>
  </si>
  <si>
    <t>TLLU5153924</t>
  </si>
  <si>
    <r>
      <rPr>
        <rFont val="Arial"/>
        <color rgb="FF000000"/>
        <sz val="11.0"/>
      </rPr>
      <t xml:space="preserve">ORGANIC TEA
D-13400, D-15400
</t>
    </r>
    <r>
      <rPr>
        <rFont val="Arial"/>
        <color rgb="FF000000"/>
        <sz val="11.0"/>
      </rPr>
      <t>(to RC Commerce)</t>
    </r>
  </si>
  <si>
    <r>
      <rPr>
        <rFont val="Arial"/>
        <color rgb="FF000000"/>
        <sz val="11.0"/>
      </rPr>
      <t xml:space="preserve">EN#2164043, INV#YD24-T18, T/R, </t>
    </r>
    <r>
      <rPr>
        <rFont val="Arial"/>
        <color rgb="FF000000"/>
        <sz val="11.0"/>
      </rPr>
      <t>empty return 1/13</t>
    </r>
    <r>
      <rPr>
        <rFont val="Arial"/>
        <color rgb="FF000000"/>
        <sz val="11.0"/>
      </rPr>
      <t xml:space="preserve">
- EVER FOCUS, (E7), EG
- have additional $150 Maher Surcharge
- Moored 12/31, discharged 1/2, LFD 1/8
- prepulled 1/7, delivered 1/8
- Eric provided Proforma Invoice &amp; DO
- Jimmy received PO in DC</t>
    </r>
  </si>
  <si>
    <t>OTHERS</t>
  </si>
  <si>
    <t>EGHU8359371</t>
  </si>
  <si>
    <t>GINGER CHEWS 4OZ &amp; 1 LB (ORIGINAL)</t>
  </si>
  <si>
    <r>
      <rPr>
        <rFont val="Arial"/>
        <color rgb="FF000000"/>
        <sz val="11.0"/>
      </rPr>
      <t xml:space="preserve">EN#2164967, INV#262/EXP/INV/XI/2024, T/R, </t>
    </r>
    <r>
      <rPr>
        <rFont val="Arial"/>
        <color rgb="FF000000"/>
        <sz val="11.0"/>
      </rPr>
      <t>empty return 1/13</t>
    </r>
    <r>
      <rPr>
        <rFont val="Arial"/>
        <color rgb="FF000000"/>
        <sz val="11.0"/>
      </rPr>
      <t xml:space="preserve">
- CMA CGM HERMES, (E20), EG
- Moored 12/29, discharged 1/3, LFD 1/8</t>
    </r>
    <r>
      <rPr>
        <rFont val="Arial"/>
        <color rgb="FF000000"/>
        <sz val="11.0"/>
      </rPr>
      <t xml:space="preserve">
</t>
    </r>
    <r>
      <rPr>
        <rFont val="Arial"/>
        <color rgb="FF000000"/>
        <sz val="11.0"/>
      </rPr>
      <t>- Prepulled 1/7, delivered 1/8</t>
    </r>
  </si>
  <si>
    <t>PTA</t>
  </si>
  <si>
    <t>GC</t>
  </si>
  <si>
    <t>GAOU7231173</t>
  </si>
  <si>
    <r>
      <rPr>
        <rFont val="Arial"/>
        <color rgb="FF000000"/>
        <sz val="11.0"/>
      </rPr>
      <t xml:space="preserve">EN#2164239, INV#259/EXP/INV/XI/2024, T/R, </t>
    </r>
    <r>
      <rPr>
        <rFont val="Arial"/>
        <color rgb="FF000000"/>
        <sz val="11.0"/>
      </rPr>
      <t>empty return 1/8</t>
    </r>
    <r>
      <rPr>
        <rFont val="Arial"/>
        <color rgb="FF000000"/>
        <sz val="11.0"/>
      </rPr>
      <t xml:space="preserve">
- CMA CGM HERMES, (E14), EG
- Moored 12/29, discharged 1/3, LFD 1/8
- Prepulled 1/6, delivered 1/7</t>
    </r>
  </si>
  <si>
    <t>FFAU2958238</t>
  </si>
  <si>
    <t>ORGANIC TEA
D-13206, D-13212, D-14206, D-14212, D-17206, D-18206, D-18212, D-19206, D-19212</t>
  </si>
  <si>
    <r>
      <rPr>
        <rFont val="Arial"/>
        <color rgb="FF000000"/>
        <sz val="11.0"/>
      </rPr>
      <t xml:space="preserve">1/6/2025
</t>
    </r>
    <r>
      <rPr>
        <rFont val="Arial"/>
        <color rgb="FFFF0000"/>
        <sz val="11.0"/>
      </rPr>
      <t>Pending per diem</t>
    </r>
  </si>
  <si>
    <t>pending
4 tea from GC/ Y</t>
  </si>
  <si>
    <t>DA</t>
  </si>
  <si>
    <t>EN#2164872, INV#YD24-T15, T/R, GATEFEE12/30, empty return 1/13
- EVER LASTING, (F13), COSCO
- Moored 12/29, discharged 12/29, LFD1/6 (per AN)
- ELFD 1/9, have per diem</t>
  </si>
  <si>
    <t>TIIU4625937</t>
  </si>
  <si>
    <t>GHC D-04011, GHC LEMON D-04043, GHC TURMERIC D-04033, INSTANT TEA BULK</t>
  </si>
  <si>
    <r>
      <rPr>
        <rFont val="Arial"/>
        <color rgb="FF000000"/>
        <sz val="11.0"/>
      </rPr>
      <t>1/7/2025</t>
    </r>
    <r>
      <rPr>
        <rFont val="Arial"/>
        <color rgb="FFFF0000"/>
        <sz val="11.0"/>
      </rPr>
      <t xml:space="preserve">
Pending per diem</t>
    </r>
  </si>
  <si>
    <t>EN#2164839, INV#AIT2404, T/R, GATEFEE12/30, empty return 1/14
- EVER LASTING, (F8), EG
- Moroed 12/29, discharged 12/29, LFD 1/6
- ELFD 1/13, have per diem</t>
  </si>
  <si>
    <t>LA-NJ</t>
  </si>
  <si>
    <t>FCIU9888490</t>
  </si>
  <si>
    <t>1/6/2025
Transferred to NJ 1/13/2025</t>
  </si>
  <si>
    <t>EN#2164586, INV#SH00017084, T/R, empty return 1/8
- COSCO SHIPPING ANDES, (F6), OOCL
- Moored 12/26, discharged 12/28, LFD 1/4
- prepulled 1/3, delivered 1/6
- delivered to LA warehouse 1/6, then all transfer to NJ for receiving (#6767)
- #6767 transferred to NJ 1/13</t>
  </si>
  <si>
    <t>WHSU5704478</t>
  </si>
  <si>
    <r>
      <rPr>
        <rFont val="Arial"/>
        <color rgb="FF000000"/>
        <sz val="11.0"/>
      </rPr>
      <t xml:space="preserve">EN#2164002, INV#2024.11.003, T/R, GATEFEE12/30, </t>
    </r>
    <r>
      <rPr>
        <rFont val="Arial"/>
        <color rgb="FF000000"/>
        <sz val="11.0"/>
      </rPr>
      <t>empty return 1/9</t>
    </r>
    <r>
      <rPr>
        <rFont val="Arial"/>
        <color rgb="FF000000"/>
        <sz val="11.0"/>
      </rPr>
      <t xml:space="preserve">
- WAN HAI A11, (E4), WAN HAI
- At anchor 12/24, estimated berthing 12/29
- Moored 12/29, discharged 12/30, LFD 1/6</t>
    </r>
  </si>
  <si>
    <t>EMCU8853917</t>
  </si>
  <si>
    <r>
      <rPr>
        <rFont val="Arial"/>
        <color rgb="FF000000"/>
        <sz val="11.0"/>
      </rPr>
      <t xml:space="preserve">GHC D-04016
</t>
    </r>
    <r>
      <rPr>
        <rFont val="Arial"/>
        <color rgb="FF000000"/>
        <sz val="11.0"/>
      </rPr>
      <t>(to RC Commerce)</t>
    </r>
  </si>
  <si>
    <t>EN#2164054, INV#JB2440, T/R, empty return 1/2
- COSCO SHIPPING LOTUS, (E8), EG
- have additional $150 Maher Surcharge
- Moored 12/23, discharged 12/24, LFD 1/2
- Live unload
- prepulled 12/30, delivered 1/2
- Eric provided Proforma Invoice &amp; DO
- Jimmy received PO in DC</t>
  </si>
  <si>
    <t>EMCU1752313</t>
  </si>
  <si>
    <t>TEA LATTE, MATCHA LATTE</t>
  </si>
  <si>
    <r>
      <rPr>
        <rFont val="Arial"/>
        <color rgb="FF000000"/>
        <sz val="11.0"/>
      </rPr>
      <t xml:space="preserve">EN#2163349, INV#EMI240002511, OBL11/13, </t>
    </r>
    <r>
      <rPr>
        <rFont val="Arial"/>
        <color rgb="FF000000"/>
        <sz val="11.0"/>
      </rPr>
      <t>empty return 1/2</t>
    </r>
    <r>
      <rPr>
        <rFont val="Arial"/>
        <color rgb="FF000000"/>
        <sz val="11.0"/>
      </rPr>
      <t xml:space="preserve">
- TALOS, (C17), EG
- have additional $150 Maher Surcharge
- Moored 12/23, discharged 12/24, LFD 1/2</t>
    </r>
  </si>
  <si>
    <t>EGSU9544531</t>
  </si>
  <si>
    <t>EN#2163650, INV#E/SNA/2024/00152, T/R, empty return 1/6
- TALOS, (D4), EG
- have additional $150 Maher Surcharge
- Moored 12/23, discharged 12/24, LFD 1/2
- Terminal Holiday Closings: (12/24, 12/25, 12/31, 01/01/25)
- prepulled 12/30, delivered 1/2</t>
  </si>
  <si>
    <t>SNA</t>
  </si>
  <si>
    <t>ZCSU7256289</t>
  </si>
  <si>
    <t>EN#2163841, INV#SO00007680, T/R, empty return 1/7
- CHASTINE MAERSK, (D21), ZIM
- have additional $150 APM Surcharge
- At anchor 12/23, estimated berthing 12/27
- Moored 12/27, discharged 12/27, LFD 1/6
- prepulled 1/3, delivered 1/6</t>
  </si>
  <si>
    <t>EMCU1638804</t>
  </si>
  <si>
    <t>GCH D-04011, GHC LEMON D-04043</t>
  </si>
  <si>
    <r>
      <rPr>
        <rFont val="Arial"/>
        <color rgb="FF000000"/>
        <sz val="11.0"/>
      </rPr>
      <t xml:space="preserve">EN#2164513, INV#JB2452, T/R, </t>
    </r>
    <r>
      <rPr>
        <rFont val="Arial"/>
        <color rgb="FF000000"/>
        <sz val="11.0"/>
      </rPr>
      <t>empty return 1/2</t>
    </r>
    <r>
      <rPr>
        <rFont val="Arial"/>
        <color rgb="FF000000"/>
        <sz val="11.0"/>
      </rPr>
      <t xml:space="preserve">
- COSCO PORTUGAL, (F11), EG
- Moored 12/21, discharged 12/22, LFD 12/28</t>
    </r>
  </si>
  <si>
    <t>TIIU5216960</t>
  </si>
  <si>
    <t>EN#2164512, INV#229/EXP/INV/X/2024, T/R, empty return 12/27
- TRITON, (E19), EG
- have an additional $150 Maher Surcharge
- Moored 12/17, discharged 12/17, LFD 12/23</t>
  </si>
  <si>
    <t>EISU8355901</t>
  </si>
  <si>
    <t>GINGER CHEWS 8 OZ (BLOOD ORANGE, ASSORTED)</t>
  </si>
  <si>
    <t>EN#2163412, INV#E/SNA/2024/00147, T/R, empty return 12/30
- TRITON, (C13), EG
- have an additional $150 Maher Surcharge
- Vessel IMO 9728916
- Moored 12/17, discharged 12/18, LFD 12/26</t>
  </si>
  <si>
    <t>ZCSU6736534</t>
  </si>
  <si>
    <t>EN#2163646, INV#SH00017001, T/R, empty return 12/23
- MARIA Y, (D6), ZIM
- Moored 12/15, discharged 12/15, LFD 12/19
- have an additional $150 PNCT Surcharge</t>
  </si>
  <si>
    <t>TRHU5112960</t>
  </si>
  <si>
    <t>GINGER CHEWS 4 OZ (ORIGINAL), HARD CANDY (1KG)</t>
  </si>
  <si>
    <t>EN#2164547, INV#245/EXP/INV/X/2024, T/R, empty return 12/20
- APL SENTOSA, (D17), EG
- Moored 12/15, discharged 12/15, LFD 12/19</t>
  </si>
  <si>
    <t>CAAU8873788</t>
  </si>
  <si>
    <t>RED PANAX GINSENG EXTRACT, GINKGO BILOBA, ULTRA GINKGO PLUS</t>
  </si>
  <si>
    <t>EN#2163392, INV#HR2406, T/R, empty return 12/23
- GUDRUN MAERSK, (C21), MAEU
- have an additional $150 APM Surcharge
- At anchor 12/14, estimated berthing 12/16
- Moored 12/17, discharged 12/18, LFD 12/26</t>
  </si>
  <si>
    <t>EMCU8555189</t>
  </si>
  <si>
    <t>GINGER HARD CANDY 4 OZ</t>
  </si>
  <si>
    <r>
      <rPr>
        <rFont val="Arial"/>
        <color rgb="FF000000"/>
        <sz val="11.0"/>
      </rPr>
      <t xml:space="preserve">EN#2164548, INV#244/EXP/INV/X/2024, T/R, GATEFEE12/11, </t>
    </r>
    <r>
      <rPr>
        <rFont val="Arial"/>
        <color rgb="FF000000"/>
        <sz val="11.0"/>
      </rPr>
      <t>empty return 12/26</t>
    </r>
    <r>
      <rPr>
        <rFont val="Arial"/>
        <color rgb="FF000000"/>
        <sz val="11.0"/>
      </rPr>
      <t xml:space="preserve">
- EVER MACH, (D12), EG
- Moored 12/12, discharged 12/13, LFD 12/19</t>
    </r>
  </si>
  <si>
    <t>EMCU9944797</t>
  </si>
  <si>
    <t>EN#2163851, INV#E/SNA/2024/00157, T/R, GATEFEE12/11, empty return 12/18
- EVER MACH, (D16), EG
- moored 12/12, discharged 12/13, LFD 12/19</t>
  </si>
  <si>
    <t>TGCU5447346</t>
  </si>
  <si>
    <t>GINGER CHEWS 1 LB (LEMON, MANGO, LYCHEE, BLOOD ORANGE)</t>
  </si>
  <si>
    <r>
      <rPr>
        <rFont val="Arial"/>
        <color rgb="FF000000"/>
        <sz val="11.0"/>
      </rPr>
      <t>12/17/2024</t>
    </r>
    <r>
      <rPr>
        <rFont val="Arial"/>
        <b/>
        <color rgb="FFFF0000"/>
        <sz val="11.0"/>
      </rPr>
      <t xml:space="preserve">
</t>
    </r>
    <r>
      <rPr>
        <rFont val="Arial"/>
        <color rgb="FFFF0000"/>
        <sz val="11.0"/>
      </rPr>
      <t>Pending per diem</t>
    </r>
  </si>
  <si>
    <t>EN#2163852, INV#E/SNA/2024/00158, T/R, GATEFEE12/11, empty return 12/26
- EVER MACH, (D15), EG
- moored 12/12, discharged 12/13, LFD 12/19
- ELFD 12/23, terminal closed 12/24 &amp; 12/25, have per diem</t>
  </si>
  <si>
    <t>EISU8552705</t>
  </si>
  <si>
    <t>GINGER CHEWS 8 OZ (ORIGINAL, LEMON) HARD CANDY 1KG</t>
  </si>
  <si>
    <r>
      <rPr>
        <rFont val="Arial"/>
        <color rgb="FF000000"/>
        <sz val="11.0"/>
      </rPr>
      <t xml:space="preserve">
12/20/2024</t>
    </r>
    <r>
      <rPr>
        <rFont val="Arial"/>
        <color rgb="FFFF0000"/>
        <sz val="11.0"/>
      </rPr>
      <t xml:space="preserve">
Pending per diem</t>
    </r>
  </si>
  <si>
    <t>EN#2163761, INV#246/EXP/INV/XI/2024, T/R, GATEFEE12/11, empty return 1/3
- EVER MACH, (D14), EG
- moored 12/12, discharged 12/13, LFD 12/22
- 12/26 respot
- ELFD 12/30, have per diem</t>
  </si>
  <si>
    <t>GCXU6037205</t>
  </si>
  <si>
    <r>
      <rPr>
        <rFont val="Arial"/>
        <color rgb="FF000000"/>
        <sz val="11.0"/>
      </rPr>
      <t>12/18/2024</t>
    </r>
    <r>
      <rPr>
        <rFont val="Arial"/>
        <color rgb="FFFF0000"/>
        <sz val="11.0"/>
      </rPr>
      <t xml:space="preserve">
Pending per diem</t>
    </r>
  </si>
  <si>
    <t>EN#2163732, INV#E/SNA/2024/00154, T/R, GATEFEE12/11, empty return 12/27
- EVER MACH, (D10), EG
- Moored 12/12, discharged 12/12, LFD 12/18
- ELFD 12/26, have per diem</t>
  </si>
  <si>
    <t>EMCU9984486</t>
  </si>
  <si>
    <r>
      <rPr>
        <rFont val="Arial"/>
        <color rgb="FF000000"/>
        <sz val="11.0"/>
      </rPr>
      <t>12/19/2024</t>
    </r>
    <r>
      <rPr>
        <rFont val="Arial"/>
        <color rgb="FFFF0000"/>
        <sz val="11.0"/>
      </rPr>
      <t xml:space="preserve">
Pending per diem</t>
    </r>
  </si>
  <si>
    <t>EN#2163523, INV#238/EXP/INV/X/2024, T/R, GATEFEE12/11, empty return 1/2
- EVER MACH, (C22), EG
- Moored 12/12, discharged 12/13, LFD 12/19
- 12/26 respot
- ELFD 12/27, have per diem
- empty return pier waiting was from 9-10:46am additional 1hr.</t>
  </si>
  <si>
    <t>EGSU1272437</t>
  </si>
  <si>
    <r>
      <rPr>
        <rFont val="Arial"/>
        <color rgb="FF000000"/>
        <sz val="11.0"/>
      </rPr>
      <t xml:space="preserve">12/19/2024
</t>
    </r>
    <r>
      <rPr>
        <rFont val="Arial"/>
        <color rgb="FFFF0000"/>
        <sz val="11.0"/>
      </rPr>
      <t>Pending per diem</t>
    </r>
  </si>
  <si>
    <t>EN#2163654, INV#E/SNA/2024/00150, T/R, GATEFEE12/11, empty return 12/30
- EVER MACH, (D5), EG
- Terminal very busy &amp; congested, don’t  guarantee pick up
- Moored 12/12, discharged 12/12, LFD 12/19
- 12/26 respot
- ELFD 12/27, have per diem</t>
  </si>
  <si>
    <t>EGSU1270938</t>
  </si>
  <si>
    <t>EN#2163316, INV#E/SNA2024/00146, T/R, empty return 12/18
- TEXAS TRIUMPH, (C12), EG
- have an additional $150 Maher Surcharge
- Moored 12/10, discharged 12/10, LFD 12/16</t>
  </si>
  <si>
    <t>TCLU4310002</t>
  </si>
  <si>
    <t>EN#2164041, INV#20241008, T/R, empty return 12/16
- COSCO BELGIUM, (E6), EG
- Paper bags from China subject to Anti-Dumping duties, need collateral?
- Moored 12/8, discharged 12/8, LFD 12/12
- prepulled 12/10, delivered 12/11</t>
  </si>
  <si>
    <t>TGBU4261395</t>
  </si>
  <si>
    <t>EN#2163833, INV#PO40189, T/R, GATEFEE12/3, empty return 12/18
- YM MODESTY, (D18), ONE
- mailed original vet &amp; sanitary cert to GW 12/4
- Moored 12/7, discharged 12/8, LFD 12/12
- have additional heavy weight charge $120</t>
  </si>
  <si>
    <t>EISU8518784</t>
  </si>
  <si>
    <t>GHC D-04061, GHC LEMON D-04037</t>
  </si>
  <si>
    <t>EN#2163117, INV#JB2441, T/R, empty return 12/16
- EVER FAME, (C6), EG
- have an additional $150 Maher Surcharge
- Moored 12/6, discharged 12/7, LFD 12/12
- prepulled 12/12, delivered 12/13</t>
  </si>
  <si>
    <t>FSCU4978728</t>
  </si>
  <si>
    <t>EN#2163677, INV#2165, T/R, empty return 12/17
- OOCL BANGKOK, (D11), EG
- have an additional $150 Maher Surcharge
- Moored 12/6, discharged 12/8, LFD 12/12
- prepulled 12/12, delivered 12/16</t>
  </si>
  <si>
    <t>HDMU6673700</t>
  </si>
  <si>
    <t>EN#2163834, INV#PO40191, T/R
- YM UNANIMITY, (D19), HMM, empty return 12/11
- mailed original vet &amp; sanitary cert to GW 12/4
- Moored 12/4, discharged 12/4, LFD?
- Prepull 12/5, and outgated 12/6 @ 12:16am</t>
  </si>
  <si>
    <t>EMCU8878643</t>
  </si>
  <si>
    <r>
      <rPr>
        <rFont val="Arial"/>
        <color rgb="FF000000"/>
        <sz val="11.0"/>
      </rPr>
      <t xml:space="preserve">EN#2163171, INV#E/SNA/2024/00137, T/R, empty return 12/13
- EVER MAST, (B16), EG
- have an additional $150 Maher Surcharge
- Moored 12/3, discharged 12/4, LFD 12/9
- prepulled 12/9, </t>
    </r>
    <r>
      <rPr>
        <rFont val="Arial"/>
        <color rgb="FF000000"/>
        <sz val="11.0"/>
      </rPr>
      <t>delivered 12/12</t>
    </r>
  </si>
  <si>
    <t>EMCU8652996</t>
  </si>
  <si>
    <t>EN#2162863, INV#E/SNA/2024/00134, T/R, empty return 12/12
- EVER MAST, (B12), EG
- have an additional $150 Maher Surcharge
- Moored 12/3, discharged 12/3, LFD 12/9
- prepulled 12/9, delivered 12/11</t>
  </si>
  <si>
    <t>EMCU9955024</t>
  </si>
  <si>
    <t>EN#2163312, INV#226/EXP/INV/X/2024, T/R, empty return 12/11
- CMA CGM LEO, (C15), EG
- have an additional $150 APM Surcharge
- Moored 12/2, discharged 12/3, LFD 12/6
- Prepulled 12/5, delivered 12/10</t>
  </si>
  <si>
    <t>EGSU9439367</t>
  </si>
  <si>
    <r>
      <rPr>
        <rFont val="Arial"/>
        <color rgb="FF000000"/>
        <sz val="11.0"/>
      </rPr>
      <t xml:space="preserve">GINGER CHEWS 1 LBS (ORIGINAL), 4 OZ (ORIGINAL), </t>
    </r>
    <r>
      <rPr>
        <rFont val="Arial"/>
        <color rgb="FF000000"/>
        <sz val="11.0"/>
      </rPr>
      <t>HARD CANDY BULK</t>
    </r>
  </si>
  <si>
    <t>EN#2163158, INV#225/EXP/INV/X/2024, T/R, empty return 12/10
- CMA CGM LEO, (C8), EG
- have an additional $150 APM Surcharge
- Moored 12/2, discharged 12/3, LFD 12/6
- Prepulled 12/5, delivered 12/9</t>
  </si>
  <si>
    <t>TRHU8964785</t>
  </si>
  <si>
    <t>GINGER CHEWS 8 OZ (MANGO, LYCHEE, ASSORTED)</t>
  </si>
  <si>
    <t>EN#2163116, INV#E/SNA/2024/00138, T/R, empty return 12/9
- CMA CGM LEO, (B22), EG
- have an additional $150 APM Surcharge
- Moored 12/2, discharged 12/3, LFD 12/6</t>
  </si>
  <si>
    <t>TEMU6282859</t>
  </si>
  <si>
    <t>GHC D-04011, LEMON D-04043, TURMERIC D-04033, A-6101G</t>
  </si>
  <si>
    <r>
      <rPr>
        <rFont val="Arial"/>
        <color rgb="FF000000"/>
        <sz val="11.0"/>
      </rPr>
      <t xml:space="preserve">EN#2163653, INV#AIT2403, T/R, GATEFEE12/2, </t>
    </r>
    <r>
      <rPr>
        <rFont val="Arial"/>
        <color rgb="FF000000"/>
        <sz val="11.0"/>
      </rPr>
      <t>empty return 12/6</t>
    </r>
    <r>
      <rPr>
        <rFont val="Arial"/>
        <color rgb="FF000000"/>
        <sz val="11.0"/>
      </rPr>
      <t xml:space="preserve">
- EVER FUTURE, (D8), EG
- Moored 12/1, discharged 12/1, LFD 12/8</t>
    </r>
  </si>
  <si>
    <t>EGSU1279128</t>
  </si>
  <si>
    <t>EN#2163850, INV#232/EXP/INV/X/2024, T/R, GATEFEE11/27, empty return 12/9
- EVER MILD, (C14), EG
- Moored 11/27, discharged 11/27, LFD 12/8
- prepulled 12/5, delivered 12/6, due to quake/tsunami warning for Oakland &amp; Bay Area
- Pier waiting: 10:08-3:09pm additional 3hrs + prepull charge</t>
  </si>
  <si>
    <t>TXGU6134052</t>
  </si>
  <si>
    <t>GINGER CHEWS 8 OZ (MANGO, ORANGE, ASSORTED)</t>
  </si>
  <si>
    <t>EN#2163839, INV#E/SNA/2024/00143, T/R, GATEFEE11/27, empty return 12/11
- EVER MILD, (C11), EG
- Moored 11/27, discharged 11/27, LFD 12/8
- changed PO site ID from 2 to 1</t>
  </si>
  <si>
    <t>TIIU4264310</t>
  </si>
  <si>
    <t>EN#2163651, INV#E/SNA/2024/00148, T/R, GATEFEE11/27, empty return 12/9
- EVER MILD, (C18), EG
- First palletized ginger chew, 21 plts, Live Unload
- Moored 11/27, discharged 11/29, LFD 12/8, extended 12/9</t>
  </si>
  <si>
    <t>TXGU7398070</t>
  </si>
  <si>
    <t>EN#2163205, INV#E/SNA/2024/00144, T/R, GATEFEE11/27, empty return 12/13
- EVER MILD, (C10), EG
- Moored 11/27, discharged 11/29, LFD 12/8, extended 12/9</t>
  </si>
  <si>
    <t>TIIU4373157</t>
  </si>
  <si>
    <r>
      <rPr>
        <rFont val="Arial"/>
        <color rgb="FF000000"/>
        <sz val="11.0"/>
      </rPr>
      <t xml:space="preserve">12/10/2024
</t>
    </r>
    <r>
      <rPr>
        <rFont val="Arial"/>
        <color rgb="FFFF0000"/>
        <sz val="11.0"/>
      </rPr>
      <t>Pending per diem</t>
    </r>
  </si>
  <si>
    <t>EN#2163164, INV#227/EXP/INV/X/2024, T/R, GATEFEE11/27, empty return 12/17
- EVER MILD, (C9), EG
- Moored 11/27, discharged 11/29, LFD 12/8, extended LFD 12/9
- Container was out gated at 4:35pm on 12/9, has prepull charge &amp; storage
- ELFD 12/13, have per diem</t>
  </si>
  <si>
    <t>TCNU6272146</t>
  </si>
  <si>
    <t>GHC D-04011, D-04061, GHC LEMON D-04037, GHC TURMERIC D-04033</t>
  </si>
  <si>
    <r>
      <rPr>
        <rFont val="Arial"/>
        <color rgb="FF000000"/>
        <sz val="11.0"/>
      </rPr>
      <t xml:space="preserve">EN#2164001, INV#JB2451, T/R, </t>
    </r>
    <r>
      <rPr>
        <rFont val="Arial"/>
        <color rgb="FF000000"/>
        <sz val="11.0"/>
      </rPr>
      <t>empty return 12/11</t>
    </r>
    <r>
      <rPr>
        <rFont val="Arial"/>
        <color rgb="FF000000"/>
        <sz val="11.0"/>
      </rPr>
      <t xml:space="preserve">
- CSCL AUTUMN, (D22), EG
- Moored 11/27, discharged 11/30, LFD 12/5</t>
    </r>
  </si>
  <si>
    <t>EGSU1363120</t>
  </si>
  <si>
    <t>GINGER CHEWS 4 OZ (LEMON, MANGO, BLOOD ORANGE)</t>
  </si>
  <si>
    <t>EN#2162858, INV#E/SNA/2024/00128, T/R, empty return 12/9
- EVER MAGI, (B2), EG
- have an additional $150 Maher Surcharge
- Moored 11/27, discharged 11/28, LFD 12/4
- prepulled 12/4, delivered 12/6</t>
  </si>
  <si>
    <t>EMCU8718630</t>
  </si>
  <si>
    <r>
      <rPr>
        <rFont val="Arial"/>
        <color rgb="FF000000"/>
        <sz val="11.0"/>
      </rPr>
      <t xml:space="preserve">GINGER CHEWS 1 KG (ORIGINAL)
</t>
    </r>
    <r>
      <rPr>
        <rFont val="Arial"/>
        <color rgb="FF000000"/>
        <sz val="11.0"/>
      </rPr>
      <t>(to RC Commerce)</t>
    </r>
  </si>
  <si>
    <t>EN#2162806, INV#211/EXP/INV/IX/2024, T/R, empty return 12/4
- EVER MAGI, (A20), EG
-  have an additional $150 Maher Surcharge
- deliver to RC
- Moored 11/27, discharged 11/27, LFD 12/4
- prepulled 12/3, delivered 12/4
- Eric provided Proforma Invoice &amp; DO</t>
  </si>
  <si>
    <t>EGSU9299877</t>
  </si>
  <si>
    <t>EN#2162916, INV#205/EXP/INV/IX/2024, T/R, empty return 12/5
- EVER MAGI, (A17), EG
- have an additional $150 Maher Surcharge
- Moored 11/27, discharged 11/27, LFD 12/4</t>
  </si>
  <si>
    <t>EITU1087945</t>
  </si>
  <si>
    <t>GHC D-04011, D-04061</t>
  </si>
  <si>
    <t>EN#2163652, INV#JB2442, T/R, empty return 12/6
- COSCO SHIPPING PEONY, (D7), EG
- have an additional $150 Maher Surcharge
- Moored 11/27, discharged 11/28, LFD 12/4
- Prepulled 12/4, delivered 12/5</t>
  </si>
  <si>
    <t>EGSU1359959</t>
  </si>
  <si>
    <t>EN#2162962, INV#E/SNA/2024/00136, T/R, empty return 12/4
- CMA CGM MEXICO, (B17), EG
- have an additional $150 Maher Surcharge
- Moored 11/26, discharged 11/27, LFD 12/3</t>
  </si>
  <si>
    <t>TXGU7246210</t>
  </si>
  <si>
    <t>EN#2162868, INV#E/SNA/2024/00133, T/R, empty return 12/3
- CMA CGM MEXICO, (B8), EG
- have an additional $150 Maher Surcharge
- Moored 11/26, discharged 11/26, LFD 12/3</t>
  </si>
  <si>
    <t>EMCU8948123</t>
  </si>
  <si>
    <t>GINGER CHEWS 2 OZ (ORIGINAL LEMON)</t>
  </si>
  <si>
    <t>EN#2163172, INV#E/SNA/2024/0139, T/R, empty return 12/9
- CMA CGM A. LINCOLN, (C5), EG
Moored 11/24, discharged 11/26, LFD 12/2
- prepulled 12/2, delivered 12/3</t>
  </si>
  <si>
    <t>EITU9178300</t>
  </si>
  <si>
    <t>EN#2163126, INV#E/SNA/2024/00141, T/R, empty return 12/10
- CMA CGM A. LINCOLN, (C3), EG
Moored 11/24, discharged 11/26, LFD 12/2
- prepulled 12/2, delivered 12/3</t>
  </si>
  <si>
    <t>EMCU8898151</t>
  </si>
  <si>
    <r>
      <rPr>
        <rFont val="Arial"/>
        <color rgb="FF000000"/>
        <sz val="11.0"/>
      </rPr>
      <t xml:space="preserve">GHC LEMON D-04017
</t>
    </r>
    <r>
      <rPr>
        <rFont val="Arial"/>
        <color rgb="FF000000"/>
        <sz val="11.0"/>
      </rPr>
      <t>(to RC Commerce)</t>
    </r>
  </si>
  <si>
    <t>EN#2162913, INV#JB2439, T/R, empty return 11/29
- COSCO FAITH, (B14), EG
- have an additional $150 Maher Surcharge
- Moored 11/21, discharged 11/22, LFD 11/29
- Live unload
- prepulled 11/27, delivered 11/29
- Eric provided Proforma Invoice &amp; DO
- Jimmy eceived PO in DC</t>
  </si>
  <si>
    <t>APHU6412085</t>
  </si>
  <si>
    <r>
      <rPr>
        <rFont val="Arial"/>
        <color rgb="FF000000"/>
        <sz val="11.0"/>
      </rPr>
      <t xml:space="preserve">GHC D-04016, GHC TURMERIC D-04018
</t>
    </r>
    <r>
      <rPr>
        <rFont val="Arial"/>
        <color rgb="FF000000"/>
        <sz val="11.0"/>
      </rPr>
      <t>(to RC Commerce)</t>
    </r>
  </si>
  <si>
    <t>EN#2163118, INV#JB2437A, T/R, empty return 11/29
- COSCO FAITH, (C7), CMA
- have an additional $150 Maher Surcharge
- Moored 11/21, discharged 11/22, LFD 11/27
- prepull 11/26 (waived)
- Eric provided Proforma Invoice &amp; DO
- Jimmy received PO in DC</t>
  </si>
  <si>
    <t>EITU9217768</t>
  </si>
  <si>
    <t>GINGER CHEWS 1 LB, 4 OZ (ORIGINAL)</t>
  </si>
  <si>
    <t>EN#2163133, INV#231/EXP/INV/X/2024, T/R, empty return 12/2
- EVER MILD, (C16), EG
- Moored 11/21, discharged 11/21, LFD 12/1</t>
  </si>
  <si>
    <t>TIIU4614357</t>
  </si>
  <si>
    <t>GINGER CHEWS 8 OZ (MANGO, LYCHEE, BLOOD ORANGE, ASSORTED)</t>
  </si>
  <si>
    <t>EN#2162871, INV#E/SNA/2024/00127, T/R, empty return 11/27
- CMA CGM RIGOLETTO, (A22), EG
- have an additional $150 APM Surcharge
- Moored 11/20, discharged 11/21, LFD 11/26
- Empty Pick-up surcharge ($535 + 30% Fuel)</t>
  </si>
  <si>
    <t>FFAU2146867</t>
  </si>
  <si>
    <r>
      <rPr>
        <rFont val="Arial"/>
        <color rgb="FF000000"/>
        <sz val="11.0"/>
      </rPr>
      <t xml:space="preserve">EN#2162912, INV#POP-02/24, OBL11/18, GATEFEE11/18, </t>
    </r>
    <r>
      <rPr>
        <rFont val="Arial"/>
        <color rgb="FF000000"/>
        <sz val="11.0"/>
      </rPr>
      <t>empty return 11/29</t>
    </r>
    <r>
      <rPr>
        <rFont val="Arial"/>
        <color rgb="FF000000"/>
        <sz val="11.0"/>
      </rPr>
      <t xml:space="preserve">
- CMA CGM SYMI, (B13), EG
- Moored 11/19, discharged 11/19, LFD 11/25</t>
    </r>
  </si>
  <si>
    <t>GAOU6369384</t>
  </si>
  <si>
    <t>1MM POTATO CRACKER</t>
  </si>
  <si>
    <r>
      <rPr>
        <rFont val="Arial"/>
        <color rgb="FF000000"/>
        <sz val="11.0"/>
      </rPr>
      <t xml:space="preserve">EN#2163608, INV#JYPOP20241014, T/R, </t>
    </r>
    <r>
      <rPr>
        <rFont val="Arial"/>
        <color rgb="FF000000"/>
        <sz val="11.0"/>
      </rPr>
      <t>empty return 11/25</t>
    </r>
    <r>
      <rPr>
        <rFont val="Arial"/>
        <color rgb="FF000000"/>
        <sz val="11.0"/>
      </rPr>
      <t xml:space="preserve">
- EVER FRONT, (D2), EG
- Moored 11/17, discharged 11/19, LFD 11/26</t>
    </r>
  </si>
  <si>
    <t>EGHU3718817</t>
  </si>
  <si>
    <r>
      <rPr>
        <rFont val="Arial"/>
        <color rgb="FF000000"/>
        <sz val="11.0"/>
      </rPr>
      <t xml:space="preserve">EN#2162985, INV#20241008, T/R, </t>
    </r>
    <r>
      <rPr>
        <rFont val="Arial"/>
        <color rgb="FF000000"/>
        <sz val="11.0"/>
      </rPr>
      <t>empty return 11/21</t>
    </r>
    <r>
      <rPr>
        <rFont val="Arial"/>
        <color rgb="FF000000"/>
        <sz val="11.0"/>
      </rPr>
      <t xml:space="preserve">
- EVER FRONT, (B19), EG
- Moored 11/17, discharged 11/19, LFD 11/24
- 10 plts, Live unload</t>
    </r>
  </si>
  <si>
    <t>EITU0107693</t>
  </si>
  <si>
    <t>RICHY BISCUITS</t>
  </si>
  <si>
    <r>
      <rPr>
        <rFont val="Arial"/>
        <color rgb="FF000000"/>
        <sz val="11.0"/>
      </rPr>
      <t xml:space="preserve">EN#2163350, INV#RGN/POP-0224, T/R, </t>
    </r>
    <r>
      <rPr>
        <rFont val="Arial"/>
        <color rgb="FF000000"/>
        <sz val="11.0"/>
      </rPr>
      <t>empty return 11/26</t>
    </r>
    <r>
      <rPr>
        <rFont val="Arial"/>
        <color rgb="FF000000"/>
        <sz val="11.0"/>
      </rPr>
      <t xml:space="preserve">
- EVER FRONT, (C19), EG
- Moored 11/17, discharged 11/18, LFD 11/24
- must be pickup 11/22, terminal closed 11/23 &amp; 11/24
- Urgent T/R 11/21</t>
    </r>
  </si>
  <si>
    <t>160
(LCL)</t>
  </si>
  <si>
    <t>HDMU5591016</t>
  </si>
  <si>
    <t>SOAP (S-06012)</t>
  </si>
  <si>
    <t>EN#2163335, INV#SS2405033-H-2, T/R, no GATEFEE (LCL)
- HMM TOPAZ, (C20), HMM
- Moored 11/15, discharged 11/16, LFD 11/21
- FCL picked up 11/18, FCL empty return 11/26, customs exam done 12/2, LCL ready for pickup 12/4, LCL LFD 12/11, GW will deliver LCL</t>
  </si>
  <si>
    <t>SEGU9270270</t>
  </si>
  <si>
    <t>EN#2162518, INV#94337380, T/R, no PL, GATEFEE11/11, empty return 11/19
- NYK RUMINA, (A18), ONE
- requested AN vis ONE online
- Moored 11/14, discharged 11/14, LFD 11/18
- no genset needed
- Empty container was returned to CGI and chassis was returned to terminal, split return charge applies</t>
  </si>
  <si>
    <t>YMMU4066390</t>
  </si>
  <si>
    <t>WING WAH COOKIES &amp; DESSERT</t>
  </si>
  <si>
    <r>
      <rPr>
        <rFont val="Arial"/>
        <color rgb="FF000000"/>
        <sz val="11.0"/>
      </rPr>
      <t xml:space="preserve">EN#2163034, INV#WW129/2024, T/R, GATEFEE11/13, </t>
    </r>
    <r>
      <rPr>
        <rFont val="Arial"/>
        <color rgb="FF000000"/>
        <sz val="11.0"/>
      </rPr>
      <t>empty return 11/21</t>
    </r>
    <r>
      <rPr>
        <rFont val="Arial"/>
        <color rgb="FF000000"/>
        <sz val="11.0"/>
      </rPr>
      <t xml:space="preserve">
- YM WISH, (C1), YANG MING
- Moored 11/14, discharged 11/15, LFD 11/20</t>
    </r>
  </si>
  <si>
    <t>TGBU7082789</t>
  </si>
  <si>
    <t>GINGER CHEWS 8 OZ (ORIGINAL LEMON)</t>
  </si>
  <si>
    <r>
      <rPr>
        <rFont val="Arial"/>
        <color rgb="FF000000"/>
        <sz val="11.0"/>
      </rPr>
      <t xml:space="preserve">EN#2162865, INV#214/EXP/INV/IX/2024, T/R, GATEFEE11/13, </t>
    </r>
    <r>
      <rPr>
        <rFont val="Arial"/>
        <color rgb="FF000000"/>
        <sz val="11.0"/>
      </rPr>
      <t>empty return 11/27</t>
    </r>
    <r>
      <rPr>
        <rFont val="Arial"/>
        <color rgb="FF000000"/>
        <sz val="11.0"/>
      </rPr>
      <t xml:space="preserve">
- EVER MEMO, (B7), EG
- Moored 11/14, discharged 11/15, LFD 11/21</t>
    </r>
  </si>
  <si>
    <t>EITU9347484</t>
  </si>
  <si>
    <r>
      <rPr>
        <rFont val="Arial"/>
        <color theme="1"/>
        <sz val="11.0"/>
      </rPr>
      <t xml:space="preserve">EN#2162870, INV#E/SNA/2024/00132, T/R, GATEFEE11/13, </t>
    </r>
    <r>
      <rPr>
        <rFont val="Arial"/>
        <color theme="1"/>
        <sz val="11.0"/>
      </rPr>
      <t>empty return 11/22</t>
    </r>
    <r>
      <rPr>
        <rFont val="Arial"/>
        <color theme="1"/>
        <sz val="11.0"/>
      </rPr>
      <t xml:space="preserve">
- EVER MEMO, (B5), EG
- Moored 11/14, discharged 11/15, LFD 11/21</t>
    </r>
  </si>
  <si>
    <t>TIIU5052188</t>
  </si>
  <si>
    <t>EN#2162864, INV#E/SNA/2024/00130, T/R, GATEFEE11/13, empty return 11/25
- EVER MEMO, (B3), EG
- Moored 11/14, discharged 11/15, LFD 11/21
- scheduled pickup 11/20, but moved to closed area, will have additional attempt charge $75
- No need QC sample, vendor will mail sample directly</t>
  </si>
  <si>
    <t>EMCU8892256</t>
  </si>
  <si>
    <t>GINGER CHEWS 4 OZ (LEMON, MANGO, LYCHEE, BLOOD ORANGE)</t>
  </si>
  <si>
    <r>
      <rPr>
        <rFont val="Arial"/>
        <color rgb="FF000000"/>
        <sz val="11.0"/>
      </rPr>
      <t xml:space="preserve">EN#2162869, INV#E/SNA/2024/00131, T/R, </t>
    </r>
    <r>
      <rPr>
        <rFont val="Arial"/>
        <color rgb="FF000000"/>
        <sz val="11.0"/>
      </rPr>
      <t>empty return 11/19</t>
    </r>
    <r>
      <rPr>
        <rFont val="Arial"/>
        <color rgb="FF000000"/>
        <sz val="11.0"/>
      </rPr>
      <t xml:space="preserve">
- EVER MEMO, (B4), EG
- Moored 11/8, discharged 11/10, LFD 11/17</t>
    </r>
  </si>
  <si>
    <t>KKTU6084784</t>
  </si>
  <si>
    <t>EN#2161521, INV#94337997, T/R, no PL, empty return 11/12
- NYK REMUS, (A21), ONE
- need running reefer for delivery
- additional charges of $300 genset fee + $150 per day, if drop and pick
- Moored 11/6, discharged 11/7, LFD 11/8
- self request AN via ONE online
- LFD 11/8, didn't deliver 11/8 due to flat tire, trucker will waive the genset fee for 11/9 &amp; 11/10
- Invoice# USN316824, one day detention charge $265</t>
  </si>
  <si>
    <t>ONEU0420437</t>
  </si>
  <si>
    <r>
      <rPr>
        <rFont val="Arial"/>
        <color rgb="FF000000"/>
        <sz val="11.0"/>
      </rPr>
      <t xml:space="preserve">EN#2162731, INV#136143, T/R, </t>
    </r>
    <r>
      <rPr>
        <rFont val="Arial"/>
        <color rgb="FF000000"/>
        <sz val="11.0"/>
      </rPr>
      <t>empty return 11/13</t>
    </r>
    <r>
      <rPr>
        <rFont val="Arial"/>
        <color rgb="FF000000"/>
        <sz val="11.0"/>
      </rPr>
      <t xml:space="preserve">
- NYK REMUS, (B6), ONE
- Moored 11/6, discharged 11/8, LFD 11/12
- Drop instead of Live unload, because need to return empty KKTU6084784</t>
    </r>
  </si>
  <si>
    <t>EGSU9530461</t>
  </si>
  <si>
    <r>
      <rPr>
        <rFont val="Arial"/>
        <color rgb="FF000000"/>
        <sz val="11.0"/>
      </rPr>
      <t xml:space="preserve">11/15/2024
</t>
    </r>
    <r>
      <rPr>
        <rFont val="Arial"/>
        <color rgb="FFFF0000"/>
        <sz val="11.0"/>
      </rPr>
      <t>Pending per diem</t>
    </r>
  </si>
  <si>
    <t>EN#2162104, INV#INV-E/2024/00121, T/R, empty return 11/19
- TAURUS, (Z22), EG
- have an additional $150 Maher Surcharge
- vessel IMO 9728942
- Moored 11/6, discharged 11/7, LFD 11/14
- Prepulled 11/14 (waived), delivered 11/15
- have additional Empty Pick-up surcharge ($535 + 30% Fuel)</t>
  </si>
  <si>
    <t>EMCU1807606</t>
  </si>
  <si>
    <r>
      <rPr>
        <rFont val="Arial"/>
        <color rgb="FF000000"/>
        <sz val="11.0"/>
      </rPr>
      <t xml:space="preserve">11/14/2024
</t>
    </r>
    <r>
      <rPr>
        <rFont val="Arial"/>
        <color rgb="FFFF0000"/>
        <sz val="11.0"/>
      </rPr>
      <t>Pending per diem</t>
    </r>
  </si>
  <si>
    <t>EN#2162414, INV#E/SNA/2024/00124, T/R, empty return 11/15
- CMA CGM PANAMA, (A15), EG
- have an additional $150 APM Surcharge
- Moored 11/4, discharged 11/4, LFD 11/8
- Prepulled 11/8, delivered 11/14</t>
  </si>
  <si>
    <t>EMCU8494118</t>
  </si>
  <si>
    <r>
      <rPr>
        <rFont val="Arial"/>
        <color rgb="FF000000"/>
        <sz val="11.0"/>
      </rPr>
      <t xml:space="preserve">GINGER CHEWS 1 KG (LEMON), HARD CANDY
</t>
    </r>
    <r>
      <rPr>
        <rFont val="Arial"/>
        <color rgb="FF000000"/>
        <sz val="11.0"/>
      </rPr>
      <t>(to RC Commerce)</t>
    </r>
  </si>
  <si>
    <t>EN#2162332, INV#199/EXP/INV/IX/2024, T/R, empty return 11/12
- CMA CGM PANAMA, (A11), EG
- have an additional $150 APM Surcharge
- Moored 11/4, discharged 11/5, LFD 11/11
- Prepulled 11/8, delivered 11/11
- Eric provided Proforma Invoice &amp; DO
- Jimmy received PO in DC</t>
  </si>
  <si>
    <t>MSKU9889907</t>
  </si>
  <si>
    <r>
      <rPr>
        <rFont val="Arial"/>
        <color rgb="FF000000"/>
        <sz val="11.0"/>
      </rPr>
      <t xml:space="preserve">RED PANAX GINSENG EXTRACT, </t>
    </r>
    <r>
      <rPr>
        <rFont val="Arial"/>
        <color rgb="FF000000"/>
        <sz val="11.0"/>
      </rPr>
      <t>GINKGO BILOBA</t>
    </r>
    <r>
      <rPr>
        <rFont val="Arial"/>
        <color rgb="FF000000"/>
        <sz val="11.0"/>
      </rPr>
      <t>, ULTRA GINKGO PLUS</t>
    </r>
  </si>
  <si>
    <r>
      <rPr>
        <rFont val="Arial"/>
        <color rgb="FF000000"/>
        <sz val="11.0"/>
      </rPr>
      <t xml:space="preserve">11/15/2024
</t>
    </r>
    <r>
      <rPr>
        <rFont val="Arial"/>
        <color rgb="FFFF0000"/>
        <sz val="11.0"/>
      </rPr>
      <t>Pending per diem</t>
    </r>
  </si>
  <si>
    <t>EN#2163097, INV#HR2405, T/R, empty return 11/15
- CORNELIA MAERSK, (C2), MAEU
- have an additional $150 APM Surcharge
- Moored 11/3, discharged 11/5, LFD 11/11
- prepulled 11/8, delivered 11/15
- Pre-pull ($150), Storage ($50/day), Chassis $40/day, and Per Diems (TBA)</t>
  </si>
  <si>
    <t>EITU1029830</t>
  </si>
  <si>
    <r>
      <rPr>
        <rFont val="Arial"/>
        <color rgb="FF000000"/>
        <sz val="11.0"/>
      </rPr>
      <t xml:space="preserve">GHC D-04016, GHC MOCHA D-04021
</t>
    </r>
    <r>
      <rPr>
        <rFont val="Arial"/>
        <color rgb="FF000000"/>
        <sz val="11.0"/>
      </rPr>
      <t>(to RC Commerce)</t>
    </r>
  </si>
  <si>
    <t>EN#2162791, INV#JB2437, T/R, empty return 11/7
- OOCL BRUSSELS, (B9), EG
- have an additional $150 Maher Surcharge
- Moored 11/2, discharged 11/5, LFD 11/8
- prepulled 11/6 (didn't request)
- Eric provided Proforma Invoice &amp; DO
- Jimmy received PO in DC</t>
  </si>
  <si>
    <t>MRSU0218832</t>
  </si>
  <si>
    <t>RED GINSENG ROYAL JELLY, GOJI ON THE GO</t>
  </si>
  <si>
    <r>
      <rPr>
        <rFont val="Arial"/>
        <color rgb="FF000000"/>
        <sz val="11.0"/>
      </rPr>
      <t xml:space="preserve">EN#2162795, INV#2024TAT03, T/R, </t>
    </r>
    <r>
      <rPr>
        <rFont val="Arial"/>
        <color rgb="FF000000"/>
        <sz val="11.0"/>
      </rPr>
      <t>empty return 11/12</t>
    </r>
    <r>
      <rPr>
        <rFont val="Arial"/>
        <color rgb="FF000000"/>
        <sz val="11.0"/>
      </rPr>
      <t xml:space="preserve">
- CORNELIA MAERSK, (B11), MAEU
- have an additional $150 APM Surcharge
- Moored 11/3, discharged 11/3, LFD 11/7
- Live unload
- per Etrans, empty return 11/8 instead 11/12</t>
    </r>
  </si>
  <si>
    <t>DFSU4285883</t>
  </si>
  <si>
    <t>HONEY LOQUAT CANDY (F-11079 New)</t>
  </si>
  <si>
    <r>
      <rPr>
        <rFont val="Arial"/>
        <color rgb="FF000000"/>
        <sz val="11.0"/>
      </rPr>
      <t xml:space="preserve">EN#2162792, INV#MP-202439805, T/R, GATEFEE10/30, </t>
    </r>
    <r>
      <rPr>
        <rFont val="Arial"/>
        <color rgb="FF000000"/>
        <sz val="11.0"/>
      </rPr>
      <t>empty return 11/8</t>
    </r>
    <r>
      <rPr>
        <rFont val="Arial"/>
        <color rgb="FF000000"/>
        <sz val="11.0"/>
      </rPr>
      <t xml:space="preserve">
- ONE CONTRIBUTION, (B10), HMM
- Moored 11/2, discharged 11/3, LFD 11/7</t>
    </r>
  </si>
  <si>
    <t>172
(LCL)
(4 PLTS)</t>
  </si>
  <si>
    <t>EMCU5357770</t>
  </si>
  <si>
    <t>CALENDARS &amp; ENVELOPES</t>
  </si>
  <si>
    <t>EN#2162920, INV#SI2409093, T/R, no GATEFEE (LCL), no PL
- EVER MAX, (B15), EG
- custom exam hold, have exam fee
- Moored 11/1, discharged 11/2, LFD 11/7
- ready for exam 11/12, customs exam done/released 11/13
- per Eva T, Linda not need to receive PO in DC</t>
  </si>
  <si>
    <t>EGHU9624551</t>
  </si>
  <si>
    <r>
      <rPr>
        <rFont val="Arial"/>
        <color rgb="FF000000"/>
        <sz val="11.0"/>
      </rPr>
      <t xml:space="preserve">EN#2163025, INV#JYPOP20240923, T/R, GATEFEE11/1, </t>
    </r>
    <r>
      <rPr>
        <rFont val="Arial"/>
        <color rgb="FF000000"/>
        <sz val="11.0"/>
      </rPr>
      <t>empty return 11/8</t>
    </r>
    <r>
      <rPr>
        <rFont val="Arial"/>
        <color rgb="FF000000"/>
        <sz val="11.0"/>
      </rPr>
      <t xml:space="preserve">
- EVER MAX, (B21), EG
- Moored 11/1, discharged 11/2, LFD 11/7</t>
    </r>
  </si>
  <si>
    <t>EITU9248291</t>
  </si>
  <si>
    <r>
      <rPr>
        <rFont val="Arial"/>
        <color rgb="FF000000"/>
        <sz val="11.0"/>
      </rPr>
      <t xml:space="preserve">EN#2162861, INV#208/EXP/INV/IX/2024, T/R, GATEFEE11/1, </t>
    </r>
    <r>
      <rPr>
        <rFont val="Arial"/>
        <color rgb="FF000000"/>
        <sz val="11.0"/>
      </rPr>
      <t>empty return 11/13</t>
    </r>
    <r>
      <rPr>
        <rFont val="Arial"/>
        <color rgb="FF000000"/>
        <sz val="11.0"/>
      </rPr>
      <t xml:space="preserve">
- EVER MAX, (A19), EG
- Moored 11/1, discharged 11/2, LFD 11/7</t>
    </r>
  </si>
  <si>
    <t>GAOU6954814</t>
  </si>
  <si>
    <t>GINGER CHEWS 4 OZ (MANGO, LYCHEE, BLOOD ORANGE)</t>
  </si>
  <si>
    <t>EN#2161951, INV#INV-E/2024/00116, T/R, empty return 11/8
- CMA CGM T.JEFFERSON, (Z6), EG
-  have additional APM surcharge ($150)
- Moored 10/30, discharged 10/31, LFD 11/4
- Prepulled 11/4, delivered 11/7</t>
  </si>
  <si>
    <t>EMCU8283856</t>
  </si>
  <si>
    <t>GINGER CHEWS 1 LB (LEMON, MANGO, LYCHEE)</t>
  </si>
  <si>
    <r>
      <rPr>
        <rFont val="Arial"/>
        <color rgb="FF000000"/>
        <sz val="11.0"/>
      </rPr>
      <t xml:space="preserve">11/8/2024
</t>
    </r>
    <r>
      <rPr>
        <rFont val="Arial"/>
        <color rgb="FFFF0000"/>
        <sz val="11.0"/>
      </rPr>
      <t>Pending per diem</t>
    </r>
  </si>
  <si>
    <t>EN#2162106, INV#INV-E/2024/00119, T/R, empty return 11/12
- CMA CGM T.JEFFERSON, (A1), EG
- have APM surcharge ($150)
- Moored 10/30, discharged 10/31, LFD 11/4
- Prepulled 11/4, delivered 11/8</t>
  </si>
  <si>
    <t>EMCU1727970</t>
  </si>
  <si>
    <r>
      <rPr>
        <rFont val="Arial"/>
        <color rgb="FF000000"/>
        <sz val="11.0"/>
      </rPr>
      <t xml:space="preserve">11/11/2024
</t>
    </r>
    <r>
      <rPr>
        <rFont val="Arial"/>
        <color rgb="FFFF0000"/>
        <sz val="11.0"/>
      </rPr>
      <t>Pending per diem</t>
    </r>
  </si>
  <si>
    <t>EN#2162007, INV#181/EXP/INV/VIII/2024, T/R, empty return 11/12
- CMA CGM T.JEFFERSON, (Z14), EG
- have APM surcharge ($150)
- Moored 10/30, discharged 10/31, LFD 11/4
- Prepulled 11/4, delivered 11/11</t>
  </si>
  <si>
    <t>EGHU9708117</t>
  </si>
  <si>
    <r>
      <rPr>
        <rFont val="Arial"/>
        <color rgb="FF000000"/>
        <sz val="11.0"/>
      </rPr>
      <t xml:space="preserve">11/13/2024
</t>
    </r>
    <r>
      <rPr>
        <rFont val="Arial"/>
        <color rgb="FFFF0000"/>
        <sz val="11.0"/>
      </rPr>
      <t>Pending per diem</t>
    </r>
  </si>
  <si>
    <r>
      <rPr>
        <rFont val="Arial"/>
        <color rgb="FF000000"/>
        <sz val="11.0"/>
      </rPr>
      <t xml:space="preserve">EN#2162010, INV#INV-E/2024/00118, T/R, </t>
    </r>
    <r>
      <rPr>
        <rFont val="Arial"/>
        <color rgb="FF000000"/>
        <sz val="11.0"/>
      </rPr>
      <t xml:space="preserve">empty return </t>
    </r>
    <r>
      <rPr>
        <rFont val="Arial"/>
        <color rgb="FF000000"/>
        <sz val="11.0"/>
      </rPr>
      <t xml:space="preserve">11/14
- CMA CGM T.JEFFERSON, (Z13), EG
- have APM surcharge ($150)
- Moored 10/30, discharged 10/31, LFD 11/5
- Prepulled 11/5, </t>
    </r>
    <r>
      <rPr>
        <rFont val="Arial"/>
        <color rgb="FF000000"/>
        <sz val="11.0"/>
      </rPr>
      <t>delivered 11/13</t>
    </r>
  </si>
  <si>
    <t>XHCU5374462</t>
  </si>
  <si>
    <r>
      <rPr>
        <rFont val="Arial"/>
        <color rgb="FF000000"/>
        <sz val="11.0"/>
      </rPr>
      <t xml:space="preserve">11/12/2024
</t>
    </r>
    <r>
      <rPr>
        <rFont val="Arial"/>
        <color rgb="FFFF0000"/>
        <sz val="11.0"/>
      </rPr>
      <t>Pending per diem</t>
    </r>
  </si>
  <si>
    <t>EN#2161963, INV#INV-E/2024/00115, T/R, empty return 11/13
- CMA CGM T.JEFFERSON, (Z8), EG
- have additional APM surcharge ($150)
- Moored 10/30, discharged 10/31, LFD 11/5
- Prepulled 11/5, delivered 11/12</t>
  </si>
  <si>
    <t>TRHU4626136</t>
  </si>
  <si>
    <r>
      <rPr>
        <rFont val="Arial"/>
        <color rgb="FF000000"/>
        <sz val="11.0"/>
      </rPr>
      <t>EN#2162151, INV#188/EXP/INV/IX/2024, T/R, GATEFEE10/28
- CMA CGM T.ROOSEVELT, (A2), EG
- product uploaded to wrong container &amp; delivered to other recipient (Fusion Gourmet @ LA)
- Fusion Gourmet returned the product, palletized, 30 plts, Live Unload
- this container TRHU4626136 will be delivered directly by Benz to Fusion Gourmet
- TRHU4626136 moored 10/29, discharged 10/29, LFD 11/4</t>
    </r>
    <r>
      <rPr>
        <rFont val="Arial"/>
        <color rgb="FFFF0000"/>
        <sz val="11.0"/>
      </rPr>
      <t xml:space="preserve">
</t>
    </r>
    <r>
      <rPr>
        <rFont val="Arial"/>
        <color rgb="FF000000"/>
        <sz val="11.0"/>
      </rPr>
      <t>- TRHU4626136 picked up 10/30, delivered to Fusion Gourmet 11/1
- pickup pier waiting from 8:55-11:33am additional ½ hr.
- Driver deliver to Fusion Gourmet from 8am-2pm  additional 4hrs for live unloading waiting
- empty return 11/4</t>
    </r>
  </si>
  <si>
    <t>EISU8570463</t>
  </si>
  <si>
    <t>GINGER CHEWS 1 LB (LEMON, BLOOD ORANGE)</t>
  </si>
  <si>
    <t>EN#2161693, INV#INV-E/2024/00109, T/R, empty return 11/6
- TITAN, (Y18), EG
- have additional $150 Maher Surcharge
- moored 10/27, discharged 10/28, LFD 11/1
- prepulled 11/1, delivered 11/5</t>
  </si>
  <si>
    <t>EGHU9798070</t>
  </si>
  <si>
    <t>EN#2161658, INV#172/EXP/INV/VIII/2024, T/R, empty return 11/7
- TITAN, (Y17), EG
- have additional $150 Maher Surcharge
- moored 10/27, discharged 10/28, LFD 11/1
- prepulled 11/1, delivered 11/6</t>
  </si>
  <si>
    <t>EMCU8525311</t>
  </si>
  <si>
    <r>
      <rPr>
        <rFont val="Arial"/>
        <color rgb="FF000000"/>
        <sz val="11.0"/>
      </rPr>
      <t xml:space="preserve">EN#2161629, INV#168/EXP/INV/VIII/2024, T/R, </t>
    </r>
    <r>
      <rPr>
        <rFont val="Arial"/>
        <color rgb="FF000000"/>
        <sz val="11.0"/>
      </rPr>
      <t>empty return 11/1</t>
    </r>
    <r>
      <rPr>
        <rFont val="Arial"/>
        <color rgb="FF000000"/>
        <sz val="11.0"/>
      </rPr>
      <t xml:space="preserve">
- TITAN, (Y11), EG
- have an additional $150 Maher Surcharge
- Moored 10/27, discharged 10/27, LFD 10/31</t>
    </r>
  </si>
  <si>
    <t>TLLU7779326</t>
  </si>
  <si>
    <t>EN#2161888, INV#167/EXP/INV/VIII/2024, T/R, empty return 11/4
- TITAN, (Y15), EG
- have additional $150 Maher Surcharge
- Moored 10/27, discharged 10/27, LFD 10/31
- prepulled 10/31, delivered 11/1</t>
  </si>
  <si>
    <t>TIIU4785405</t>
  </si>
  <si>
    <t>THAI TEA 12s/24s</t>
  </si>
  <si>
    <t>EN#2161718, INV#EMI240001953, OBL9/11, empty return 11/6
- TITAN, (Z1), EG
- have additional $150 Maher Surcharge
- vessel IMO 9728928
- moored 10/27, discharged 10/28, LFD 11/1
- prepulled 11/1, delivered 11/4</t>
  </si>
  <si>
    <t>TEMU6475713</t>
  </si>
  <si>
    <t>GHC D-04011, GHC LEMON D-04043, GHC TURMERIC D-04033</t>
  </si>
  <si>
    <t>EN#2162706, INV#JB2450, T/R, empty return 11/7
- COSCO SHIPPING ALPS, (B1), EG
- Moored 10/26, discharged 10/28, LFD 11/1
- revised GW invoice</t>
  </si>
  <si>
    <t>WHSU6670900</t>
  </si>
  <si>
    <r>
      <rPr>
        <rFont val="Arial"/>
        <color rgb="FF000000"/>
        <sz val="11.0"/>
      </rPr>
      <t xml:space="preserve">EN#2162008, INV#INV-E/2024/00117, T/R, GATEFEE10/22, </t>
    </r>
    <r>
      <rPr>
        <rFont val="Arial"/>
        <color rgb="FF000000"/>
        <sz val="11.0"/>
      </rPr>
      <t>empty return 11/6</t>
    </r>
    <r>
      <rPr>
        <rFont val="Arial"/>
        <color rgb="FF000000"/>
        <sz val="11.0"/>
      </rPr>
      <t xml:space="preserve">
- WAN HAI 512, (Z15), WAN HAI
- Moored 10/25, discharged 10/25, LFD 10/31</t>
    </r>
  </si>
  <si>
    <t>WHSU5181269</t>
  </si>
  <si>
    <t>EN#2161818, INV#INV-E/2024/00113, T/R, GATEFEE10/22, empty return 11/6
- WAN HAI 512, (Z3), WAN HAI
- Moored 10/25, discharged 10/25, LFD 10/31
- pickup pier waiting was from 8:18-11:33am additional 1 ½ hr
- respot 11/4</t>
  </si>
  <si>
    <t>CBHU9489240</t>
  </si>
  <si>
    <r>
      <rPr>
        <rFont val="Arial"/>
        <color rgb="FF000000"/>
        <sz val="11.0"/>
      </rPr>
      <t xml:space="preserve">EN#2162349, INV#SO00007416, T/R
- OOCL BERLIN, (A14), OOCL, </t>
    </r>
    <r>
      <rPr>
        <rFont val="Arial"/>
        <color rgb="FF000000"/>
        <sz val="11.0"/>
      </rPr>
      <t>empty return 10/31</t>
    </r>
    <r>
      <rPr>
        <rFont val="Arial"/>
        <color rgb="FF000000"/>
        <sz val="11.0"/>
      </rPr>
      <t xml:space="preserve">
- have additional Maher surcharge ($150)
- Moored 10/24, discharged 10/26, LFD 10/31</t>
    </r>
  </si>
  <si>
    <t>TRHU8093415</t>
  </si>
  <si>
    <t>EN#2162206, INV#192/EXP/INV/IX/2024, T/R, GATEFEE10/22, empty return 11/5
- EVER MEGA, (A7), EG
- Moored 10/23, discharged 10/24, LFD 10/30
- respot 10/31</t>
  </si>
  <si>
    <t>EMCU8502770</t>
  </si>
  <si>
    <r>
      <rPr>
        <rFont val="Arial"/>
        <color rgb="FF000000"/>
        <sz val="11.0"/>
      </rPr>
      <t xml:space="preserve">EN#2163185, INV#195/EXP/INV/IX/2024, T/R, GATEFEE10/22, </t>
    </r>
    <r>
      <rPr>
        <rFont val="Arial"/>
        <color rgb="FF000000"/>
        <sz val="11.0"/>
      </rPr>
      <t>empty return 11/1</t>
    </r>
    <r>
      <rPr>
        <rFont val="Arial"/>
        <color rgb="FF000000"/>
        <sz val="11.0"/>
      </rPr>
      <t xml:space="preserve">
- EVER MEGA, (C4), EG
- Moored 10/23, discharged 10/23, LFD 10/29</t>
    </r>
  </si>
  <si>
    <t>EMCU1619363</t>
  </si>
  <si>
    <r>
      <rPr>
        <rFont val="Arial"/>
        <color rgb="FF000000"/>
        <sz val="11.0"/>
      </rPr>
      <t xml:space="preserve">EN#2162208, INV#193/EXP/INV/IX/2024, T/R, GATEFEE10/22, </t>
    </r>
    <r>
      <rPr>
        <rFont val="Arial"/>
        <color rgb="FF000000"/>
        <sz val="11.0"/>
      </rPr>
      <t>empty return 11/4</t>
    </r>
    <r>
      <rPr>
        <rFont val="Arial"/>
        <color rgb="FF000000"/>
        <sz val="11.0"/>
      </rPr>
      <t xml:space="preserve">
- EVER MEGA, (A8), EG
- Moored 10/23, discharged 10/23, LFD 10/29
- respot 10/30</t>
    </r>
  </si>
  <si>
    <t>EMCU1540084</t>
  </si>
  <si>
    <r>
      <rPr>
        <rFont val="Arial"/>
        <color rgb="FF000000"/>
        <sz val="11.0"/>
      </rPr>
      <t xml:space="preserve">EN#2162205, INV#E/SNA/2024/00123, T/R, GATEFEE10/22, </t>
    </r>
    <r>
      <rPr>
        <rFont val="Arial"/>
        <color rgb="FF000000"/>
        <sz val="11.0"/>
      </rPr>
      <t>empty return 10/30</t>
    </r>
    <r>
      <rPr>
        <rFont val="Arial"/>
        <color rgb="FF000000"/>
        <sz val="11.0"/>
      </rPr>
      <t xml:space="preserve">
- EVER MEGA, (A6), EG
- Moored 10/23, discharged 10/23, LFD 10/29</t>
    </r>
  </si>
  <si>
    <t>TGBU9963080</t>
  </si>
  <si>
    <r>
      <rPr>
        <rFont val="Arial"/>
        <color rgb="FF000000"/>
        <sz val="11.0"/>
      </rPr>
      <t xml:space="preserve">EN#2161628, INV#169/EXP/INV/VIII/2024, T/R, </t>
    </r>
    <r>
      <rPr>
        <rFont val="Arial"/>
        <color rgb="FF000000"/>
        <sz val="11.0"/>
      </rPr>
      <t>empty return 10/29</t>
    </r>
    <r>
      <rPr>
        <rFont val="Arial"/>
        <color rgb="FF000000"/>
        <sz val="11.0"/>
      </rPr>
      <t xml:space="preserve">
- CMA CGM ZEPHYR, (Y13), EG
- have additional $150 APM Surcharge
- Moored 10/22, discharged 10/22, LFD 10/28</t>
    </r>
  </si>
  <si>
    <t>EMCU8651454</t>
  </si>
  <si>
    <r>
      <rPr>
        <rFont val="Arial"/>
        <color rgb="FF000000"/>
        <sz val="11.0"/>
      </rPr>
      <t xml:space="preserve">EN#2161627, INV#INV-E/2024/00108, T/R, </t>
    </r>
    <r>
      <rPr>
        <rFont val="Arial"/>
        <color rgb="FF000000"/>
        <sz val="11.0"/>
      </rPr>
      <t>empty return 10/28</t>
    </r>
    <r>
      <rPr>
        <rFont val="Arial"/>
        <color rgb="FF000000"/>
        <sz val="11.0"/>
      </rPr>
      <t xml:space="preserve">
- CMA CGM ZEPHYR, (Y14), EG
- have additional $150 APM Surcharge
- Moored 10/22, discharged 10/22, LFD 10/28</t>
    </r>
  </si>
  <si>
    <t>MSDU6321179</t>
  </si>
  <si>
    <t>GINGER CHEWS 4 OZ (LEMON, MANGO, LYCHEE)</t>
  </si>
  <si>
    <t>EN#2161962, INV#INV-E/2024/00114, T/R, empty return 10/31
- MSC BREMERHAVEN, (Z7), MSC
- have an additional $150 PNCT Surcharge
- Moored 10/22, discharged 10/22, LFD 10/28
- prepulled 10/28, deliver 10/29</t>
  </si>
  <si>
    <t>WHSU5609249</t>
  </si>
  <si>
    <r>
      <rPr>
        <rFont val="Arial"/>
        <color rgb="FF000000"/>
        <sz val="11.0"/>
      </rPr>
      <t xml:space="preserve">EN#2161885, INV#INV-E/2024/00112, T/R, </t>
    </r>
    <r>
      <rPr>
        <rFont val="Arial"/>
        <color rgb="FF000000"/>
        <sz val="11.0"/>
      </rPr>
      <t>empty return 11/1</t>
    </r>
    <r>
      <rPr>
        <rFont val="Arial"/>
        <color rgb="FF000000"/>
        <sz val="11.0"/>
      </rPr>
      <t xml:space="preserve">
- SEASPAN BEYOND, (Z5), WAN HAI
- Moored 10/21, discharged 10/25, LFD 10/30</t>
    </r>
  </si>
  <si>
    <t>EMCU8938510</t>
  </si>
  <si>
    <t>GINGER CHEWS 1 LB (ORIGINAL), 4 OZ (ORIGINAL)</t>
  </si>
  <si>
    <r>
      <rPr>
        <rFont val="Arial"/>
        <color rgb="FF000000"/>
        <sz val="11.0"/>
      </rPr>
      <t xml:space="preserve">EN#2161498, INV#162/EXP/INV/VII/2024, T/R, </t>
    </r>
    <r>
      <rPr>
        <rFont val="Arial"/>
        <color rgb="FF000000"/>
        <sz val="11.0"/>
      </rPr>
      <t>empty return 10/29</t>
    </r>
    <r>
      <rPr>
        <rFont val="Arial"/>
        <color rgb="FF000000"/>
        <sz val="11.0"/>
      </rPr>
      <t xml:space="preserve">
- EVER FORTUNE, (Y10), EG
- have $150 Maher Surcharge
- Moored 10/21, discharged 10/22, LFD 10/28</t>
    </r>
  </si>
  <si>
    <t>TXGU6071231</t>
  </si>
  <si>
    <t>EN#2162152, INV#190/EXP/INV/IX/2024, T/R, empty return 10/30
- CMA CGM T.ROOSEVELT, (A3), EG
- Moored 10/20, discharged 10/20, LFD?
- terminal does not have appointment to return empty, may have per diem</t>
  </si>
  <si>
    <t>FFAU4769383</t>
  </si>
  <si>
    <t>GINGER CHEWS 4 OZ (LEMON, PINEAPPLE COCONUT)</t>
  </si>
  <si>
    <r>
      <rPr>
        <rFont val="Arial"/>
        <color rgb="FF000000"/>
        <sz val="11.0"/>
      </rPr>
      <t xml:space="preserve">EN#2161659, INV#INV-E/2024/00110, T/R, </t>
    </r>
    <r>
      <rPr>
        <rFont val="Arial"/>
        <color rgb="FF000000"/>
        <sz val="11.0"/>
      </rPr>
      <t>empty return 10/28</t>
    </r>
    <r>
      <rPr>
        <rFont val="Arial"/>
        <color rgb="FF000000"/>
        <sz val="11.0"/>
      </rPr>
      <t xml:space="preserve">
- MAERSK SALINA, (Y16), MAEU
- have additional $150 PNCT Surcharge
- Moored 10/18, discharged 10/19, LFD 10/24</t>
    </r>
  </si>
  <si>
    <t>TRHU8185548</t>
  </si>
  <si>
    <t>EN#2162862, INV#136384, T/R, empty return 10/25
- SEATRADE BLUE, (B20), CMA
- have additional $350 ($275?) PLNY Surcharge
- Moored 10/17, discharged 10/17, LFD 10/23
- live unload</t>
  </si>
  <si>
    <t>EMCU8874740</t>
  </si>
  <si>
    <r>
      <rPr>
        <rFont val="Arial"/>
        <color rgb="FF000000"/>
        <sz val="11.0"/>
      </rPr>
      <t xml:space="preserve">EN#2162089, INV#187/EXP/INV/IX/2024, T/R, GATEFEE10/14, </t>
    </r>
    <r>
      <rPr>
        <rFont val="Arial"/>
        <color rgb="FF000000"/>
        <sz val="11.0"/>
      </rPr>
      <t>empty return 10/23</t>
    </r>
    <r>
      <rPr>
        <rFont val="Arial"/>
        <color rgb="FF000000"/>
        <sz val="11.0"/>
      </rPr>
      <t xml:space="preserve">
- EVER MACH, (Z20), EG
- Moored 10/14, discharged 10/15, LFD 10/20</t>
    </r>
  </si>
  <si>
    <t>EITU9323707</t>
  </si>
  <si>
    <r>
      <rPr>
        <rFont val="Arial"/>
        <color rgb="FF000000"/>
        <sz val="11.0"/>
      </rPr>
      <t xml:space="preserve">EN#2162092, INV#INV-E/2024/00120, T/R, GATEFEE10/14, </t>
    </r>
    <r>
      <rPr>
        <rFont val="Arial"/>
        <color rgb="FF000000"/>
        <sz val="11.0"/>
      </rPr>
      <t>empty return 10/21</t>
    </r>
    <r>
      <rPr>
        <rFont val="Arial"/>
        <color rgb="FF000000"/>
        <sz val="11.0"/>
      </rPr>
      <t xml:space="preserve">
- EVER MACH, (Z21), EG
- Moored 10/14, discharged 10/15, LFD 10/20</t>
    </r>
  </si>
  <si>
    <t>EMCU8911166</t>
  </si>
  <si>
    <r>
      <rPr>
        <rFont val="Arial"/>
        <color rgb="FF000000"/>
        <sz val="11.0"/>
      </rPr>
      <t xml:space="preserve">EN#2162009, INV#182/EXP/INV/VIII/2024, T/R, GATEFEE10/14, </t>
    </r>
    <r>
      <rPr>
        <rFont val="Arial"/>
        <color rgb="FF000000"/>
        <sz val="11.0"/>
      </rPr>
      <t>empty return 10/24</t>
    </r>
    <r>
      <rPr>
        <rFont val="Arial"/>
        <color rgb="FF000000"/>
        <sz val="11.0"/>
      </rPr>
      <t xml:space="preserve">
- EVER MACH, (Z16), EG
- Moored 10/14, discharged 10/15, LFD 10/21</t>
    </r>
  </si>
  <si>
    <t>EMCU9915546</t>
  </si>
  <si>
    <t>EN#2161971, INV#180/EXP/INV/VIII/2024, T/R, GATEFEE10/14, empty return 10/25
- EVER MACH, (Z10), EG
- Moored 10/14, discharged 10/15, LFD 10/21
- respot 10/23</t>
  </si>
  <si>
    <t>EGHU9867417</t>
  </si>
  <si>
    <r>
      <rPr>
        <rFont val="Arial"/>
        <color rgb="FF000000"/>
        <sz val="11.0"/>
      </rPr>
      <t xml:space="preserve">EN#2162286, INV#2163, T/R, GATEFEE10/14, </t>
    </r>
    <r>
      <rPr>
        <rFont val="Arial"/>
        <color rgb="FF000000"/>
        <sz val="11.0"/>
      </rPr>
      <t>empty return 10/23</t>
    </r>
    <r>
      <rPr>
        <rFont val="Arial"/>
        <color rgb="FF000000"/>
        <sz val="11.0"/>
      </rPr>
      <t xml:space="preserve">
- EVER MACH, (A9), EG
- Moored 10/14, discharged 10/15, LFD 10/21</t>
    </r>
  </si>
  <si>
    <t>185
(LCL)</t>
  </si>
  <si>
    <t>KKFU7796855</t>
  </si>
  <si>
    <t>PL#5582694</t>
  </si>
  <si>
    <t>item received 1/29</t>
  </si>
  <si>
    <t>EN#2162961, INV#US-240901, OBL10/8
- ONE HANNOVER, (B18), ONE
- Moored 10/13, discharged 10/13, LFD 10/17
- FCL picked up 10/16, FCL empty return 10/18</t>
  </si>
  <si>
    <t>GAOU6915905</t>
  </si>
  <si>
    <t>TEABAGS
D-13106, D-13306, D-14106, D-15106, D-16106, D-17106, D-18106, D-18120N</t>
  </si>
  <si>
    <r>
      <rPr>
        <rFont val="Arial"/>
        <color rgb="FF000000"/>
        <sz val="11.0"/>
      </rPr>
      <t xml:space="preserve">EN#2162302, INV#YD24-T13, T/R, </t>
    </r>
    <r>
      <rPr>
        <rFont val="Arial"/>
        <color rgb="FF000000"/>
        <sz val="11.0"/>
      </rPr>
      <t>empty return 10/23</t>
    </r>
    <r>
      <rPr>
        <rFont val="Arial"/>
        <color rgb="FF000000"/>
        <sz val="11.0"/>
      </rPr>
      <t xml:space="preserve">
- COSCO SHIPPING ROSE, (A10), EG
- have $150 Maher Surcharge
- Moored 10/12, discharged 10/13, LFD 10/17</t>
    </r>
  </si>
  <si>
    <t>BEAU5072802</t>
  </si>
  <si>
    <t>ORGANIC TEABAGS
D-13206, D-13220N, D-14206, D-14220, D-15206,D-18206, D-19206</t>
  </si>
  <si>
    <t>EN#2161974, INV#YD24-T11, T/R, empty return 10/18
- COSCO SHIPPING ROSE, (Z11), EG
- have $150 Maher Surcharge
- Moored 10/12, discharged 10/12, LFD 10/17</t>
  </si>
  <si>
    <t>KKFU6730154</t>
  </si>
  <si>
    <t>EN#2162416, INV#94336403, T/R, no PL, empty return 10/16
- RDO CONCORD, (A16), ONE
- Need genset for reefer
- per BL, genset carrying temperature is +18 C
- E-Trans does not handle reefer containers as genset is needed, Apex will deliver
- Moored 10/12, discharged 10/12, LFD 10/15
- prepulled 10/15, delivered 10/16, live unload
- live unload waiting 80 min, waiting charge $106.40</t>
  </si>
  <si>
    <t>EGSU3281715</t>
  </si>
  <si>
    <t>EN#2162333, INV#?, T/R, empty return 10/17
- COSCO SPAIN, (A12), EG
- At anchor 10/11
- Moored 10/11, discharged 10/11, LFD 10/18
- Live unload</t>
  </si>
  <si>
    <t>FCIU7523390</t>
  </si>
  <si>
    <r>
      <rPr>
        <rFont val="Arial"/>
        <color rgb="FF000000"/>
        <sz val="11.0"/>
      </rPr>
      <t xml:space="preserve">EN#2162341, INV#JB2449, T/R, </t>
    </r>
    <r>
      <rPr>
        <rFont val="Arial"/>
        <color rgb="FF000000"/>
        <sz val="11.0"/>
      </rPr>
      <t>empty return 10/18</t>
    </r>
    <r>
      <rPr>
        <rFont val="Arial"/>
        <color rgb="FF000000"/>
        <sz val="11.0"/>
      </rPr>
      <t xml:space="preserve">
- CSCL AUTUMN, (A13), EG
- Moored 10/10, discharged 10/13, LFD 10/18</t>
    </r>
  </si>
  <si>
    <t>EMCU8973656</t>
  </si>
  <si>
    <r>
      <rPr>
        <rFont val="Arial"/>
        <color rgb="FF000000"/>
        <sz val="11.0"/>
      </rPr>
      <t xml:space="preserve">EN#2161379, INV#INV-E/2024/00104, T/R, </t>
    </r>
    <r>
      <rPr>
        <rFont val="Arial"/>
        <color rgb="FF000000"/>
        <sz val="11.0"/>
      </rPr>
      <t>empty return 10/17</t>
    </r>
    <r>
      <rPr>
        <rFont val="Arial"/>
        <color rgb="FF000000"/>
        <sz val="11.0"/>
      </rPr>
      <t xml:space="preserve">
- CMA CGM HERMES, (X22), EG
- have $150 APM Surcharge
- Moored 10/9, discharged 10/10, LFD 10/15</t>
    </r>
  </si>
  <si>
    <t>TGBU4046751</t>
  </si>
  <si>
    <r>
      <rPr>
        <rFont val="Arial"/>
        <color rgb="FF000000"/>
        <sz val="11.0"/>
      </rPr>
      <t xml:space="preserve">EN#2162011, INV#183/EXP/INV/VIII/2024, T/R, </t>
    </r>
    <r>
      <rPr>
        <rFont val="Arial"/>
        <color rgb="FF000000"/>
        <sz val="11.0"/>
      </rPr>
      <t>empty return 10/16</t>
    </r>
    <r>
      <rPr>
        <rFont val="Arial"/>
        <color rgb="FF000000"/>
        <sz val="11.0"/>
      </rPr>
      <t xml:space="preserve">
- EVER MACH, (Z17), EG
- Moored 10/8, discharged 10/9, LFD 10/17</t>
    </r>
  </si>
  <si>
    <t>NYKU0729305</t>
  </si>
  <si>
    <r>
      <rPr>
        <rFont val="Arial"/>
        <color rgb="FF000000"/>
        <sz val="11.0"/>
      </rPr>
      <t xml:space="preserve">EN#2161592, INV#PO39655, T/R, </t>
    </r>
    <r>
      <rPr>
        <rFont val="Arial"/>
        <color rgb="FF000000"/>
        <sz val="11.0"/>
      </rPr>
      <t>empty return 10/16</t>
    </r>
    <r>
      <rPr>
        <rFont val="Arial"/>
        <color rgb="FF000000"/>
        <sz val="11.0"/>
      </rPr>
      <t xml:space="preserve">
- HMM DREAM, (Y12), ONE
- 8/27 mailed original health and sanitary cert to GW
- have $150 Global Terminal Surcharge
- At anchor 10/4
- Moored 10/7, discharged 10/9, LFD 10/16</t>
    </r>
  </si>
  <si>
    <t>BEAU4558702</t>
  </si>
  <si>
    <t>GHC PLUM D-04036, GHC TURMERIC D-04032, GHC D-04061, GHC ASG D-04030, GHC LEMON D-04037, GHC DONG QUAI REA DATE D-04020</t>
  </si>
  <si>
    <r>
      <rPr>
        <rFont val="Arial"/>
        <color rgb="FF000000"/>
        <sz val="11.0"/>
      </rPr>
      <t xml:space="preserve">EN#2162150, INV#JB2448, T/R, </t>
    </r>
    <r>
      <rPr>
        <rFont val="Arial"/>
        <color rgb="FF000000"/>
        <sz val="11.0"/>
      </rPr>
      <t>empty return 10/10</t>
    </r>
    <r>
      <rPr>
        <rFont val="Arial"/>
        <color rgb="FF000000"/>
        <sz val="11.0"/>
      </rPr>
      <t xml:space="preserve">
- COSCO TAICANG, (A4), EG
- Moored 10/4, discharged 10/5, LFD 10/10</t>
    </r>
  </si>
  <si>
    <t>TCNU2890927</t>
  </si>
  <si>
    <t>EN#2162156, INV#JB2436, T/R, empty return 10/11
- COSCO DEVELOPMENT, (A5), EG
- have $150 Maher Surcharge
- FDA hold for exam 9/30, notify FDA once delivered
- K80-2162156-1
- Moored 10/4, discharged 10/6, LFD 10/10
- Informed FDA ready for exam 10/10, FDA Examination Pending 10/11
- FDA collected samples 10/24, collected 2 bags each of Original and Lemon
- FDA released 10/28, without lab test</t>
  </si>
  <si>
    <t>EISU9290929</t>
  </si>
  <si>
    <r>
      <rPr>
        <rFont val="Arial"/>
        <color rgb="FF000000"/>
        <sz val="11.0"/>
      </rPr>
      <t xml:space="preserve">EN#2161793, INV#175/EXP/INV/VIII/2024, T/R, GATEFEE10/2, </t>
    </r>
    <r>
      <rPr>
        <rFont val="Arial"/>
        <color rgb="FF000000"/>
        <sz val="11.0"/>
      </rPr>
      <t>empty return 10/11</t>
    </r>
    <r>
      <rPr>
        <rFont val="Arial"/>
        <color rgb="FF000000"/>
        <sz val="11.0"/>
      </rPr>
      <t xml:space="preserve">
- EVER FRANK, (Z2), EG
- Moored 10/3, discharged 10/3, LFD 10/9</t>
    </r>
  </si>
  <si>
    <t>SEKU4404196</t>
  </si>
  <si>
    <t>EN#2161933, INV#PO39838, T/R, GATEFEE 9/26, empty return 10/10
- ONE COMPETENCE, (Z9), ONE
- 9/17 mailed original health and sanitary cert to GW
- Moored 10/1, discharged 10/1, LFD 10/7</t>
  </si>
  <si>
    <t>CAAU6810820</t>
  </si>
  <si>
    <r>
      <rPr>
        <rFont val="Arial"/>
        <color rgb="FF000000"/>
        <sz val="11.0"/>
      </rPr>
      <t xml:space="preserve">EN#2161357, INV#INV-E/2024/00103, T/R, </t>
    </r>
    <r>
      <rPr>
        <rFont val="Arial"/>
        <color rgb="FF000000"/>
        <sz val="11.0"/>
      </rPr>
      <t>empty return 10/9</t>
    </r>
    <r>
      <rPr>
        <rFont val="Arial"/>
        <color rgb="FF000000"/>
        <sz val="11.0"/>
      </rPr>
      <t xml:space="preserve">
- EVER FEAT, (X18), EG
- Moored 9/27, discharged 9/28, LFD 10/3
- prepulled 9/30, delivered 10/7</t>
    </r>
  </si>
  <si>
    <t>FFAU1593520</t>
  </si>
  <si>
    <t>EN#2161315, INV#INV-E/2024/00103, T/R, empty return 10/8
- EVER FEAT, (X18), EG
- have $150 Maher Surcharge
- Moored 9/27, discharged 9/28, LFD 10/3
- prepulled 9/30, delivered 10/7</t>
  </si>
  <si>
    <t>EMCU8862903</t>
  </si>
  <si>
    <t>EN#2161103, INV#154/EXP/INV/VII/2024, T/R, empty return 10/7
- EVER FEAT, (X8), EG
- have $150 Maher Surcharge
- Moored 9/27, discharged 9/28, LFD 10/3
- prepulled 9/30, delivered 10/4</t>
  </si>
  <si>
    <t>CXDU2180026</t>
  </si>
  <si>
    <t>EN#2160921, INV#146/EXP/INV/VII/2024, T/R, empty return 10/7
- MAERSK LIMA, (W21), MSC
- have $150 APM Surcharge
- Moored 9/27, discharged 9/28, LFD 10/3
- prepulled 9/30, delivered 10/3</t>
  </si>
  <si>
    <t>WHSU6041045</t>
  </si>
  <si>
    <r>
      <rPr>
        <rFont val="Arial"/>
        <color rgb="FF000000"/>
        <sz val="11.0"/>
      </rPr>
      <t xml:space="preserve">EN#2161483, INV#PO39654, T/R, GATEFEE 9/23, </t>
    </r>
    <r>
      <rPr>
        <rFont val="Arial"/>
        <color rgb="FF000000"/>
        <sz val="11.0"/>
      </rPr>
      <t>empty return 10/4</t>
    </r>
    <r>
      <rPr>
        <rFont val="Arial"/>
        <color rgb="FF000000"/>
        <sz val="11.0"/>
      </rPr>
      <t xml:space="preserve">
- WAN HAI A16, (Y9), WAN HAI
- 8/27 mailed original health and sanitary cert to GW
-9/24 JY sent GW the actual USDA permit
- moored 9/27, discharged 9/27, LFD 10/3</t>
    </r>
  </si>
  <si>
    <t>TRHU4564538</t>
  </si>
  <si>
    <r>
      <rPr>
        <rFont val="Arial"/>
        <color rgb="FF000000"/>
        <sz val="11.0"/>
      </rPr>
      <t xml:space="preserve">EN#2161722, INV#INV-E/2024/00111, T/R, </t>
    </r>
    <r>
      <rPr>
        <rFont val="Arial"/>
        <color rgb="FF000000"/>
        <sz val="11.0"/>
      </rPr>
      <t>empty return 10/10</t>
    </r>
    <r>
      <rPr>
        <rFont val="Arial"/>
        <color rgb="FF000000"/>
        <sz val="11.0"/>
      </rPr>
      <t xml:space="preserve">
- EVER FRANK, (Y22), EG
- moored 9/26, discharged 9/30, LFD 10/6</t>
    </r>
  </si>
  <si>
    <t>WHSU5200610</t>
  </si>
  <si>
    <t>EN#2161784, INV#JYPOP20240801, T/R, GATEFEE9/24, empty return 10/3
- WAN HAI 360, (Z4), WAN HAI
- Moored 9/26, discharged 9/26, LFD 10/2</t>
  </si>
  <si>
    <t>EITU1402440</t>
  </si>
  <si>
    <r>
      <rPr>
        <rFont val="Arial"/>
        <color rgb="FF000000"/>
        <sz val="11.0"/>
      </rPr>
      <t xml:space="preserve">ORGANIC TEA
D-13400, D-15400
</t>
    </r>
    <r>
      <rPr>
        <rFont val="Arial"/>
        <color rgb="FF000000"/>
        <sz val="11.0"/>
      </rPr>
      <t>(to RC Commerce)</t>
    </r>
  </si>
  <si>
    <t>EN#2161975, INV#YD24-T12, T/R, empty return 10/7
- COSCO HARMONY, (Z12), EG
- have $150 Maher Surcharge
- Moored 9/25, discharged 9/26, LFD 10/2
- prepulled 9/27, delivered to RC 10/2
- have Pre-pull ($150), Storage ($50/day), Chassis ($40/day) and Per Diems (TBA)
- Eric provided Proforma Invoice &amp; DO
- Jeremy received PO in DC</t>
  </si>
  <si>
    <t>CAIU7470944</t>
  </si>
  <si>
    <t>EN#2162012, INV#PO39839, T/R, empty return 10/7
- ONE COMPETENCE, (Z18), HMM
- 9/17 mailed original health and sanitary cert to GW
- Moored 9/24, discharged 9/28, LFD 10/4</t>
  </si>
  <si>
    <t>KOCU5176534</t>
  </si>
  <si>
    <t>EN#2162013, INV#PO39837, T/R, empty return 10/8
- ONE COMPETENCE, (Z19), HMM
- 9/17 mailed original health and sanitary cert to GW
- Moored 9/24, discharged 9/27, LFD 10/3
- Terminals closed due to Lithium-ion battery fire
- prepulled 10/3</t>
  </si>
  <si>
    <t>TIIU5284440</t>
  </si>
  <si>
    <t>EN#2161168, INV#099/EXP-POP39430/07/2024, T/R, empty return 10/7
- APL SENTOSA, (X9), EG
- have $150 APM Surcharge
- moored 9/24, discharged 9/25, LFD 9/30
- prepulled 9/30, delivered 10/1</t>
  </si>
  <si>
    <t>MSMU8255010</t>
  </si>
  <si>
    <t>EN#2160880, INV#143/EXP/INV/VII/2024, T/R, empty return 10/7
- MSC SWEDEN, (W18), MSC
- have $150 PNCT Surcharge
- Moored 9/23, discharged 9/24, LFD 9/28
- prepulled 9/27, delivered 9/30
- ports strike 9/30, may have per diem</t>
  </si>
  <si>
    <t>EISU8255749</t>
  </si>
  <si>
    <r>
      <rPr>
        <rFont val="Arial"/>
        <color rgb="FF000000"/>
        <sz val="11.0"/>
      </rPr>
      <t xml:space="preserve">EN#2161387, INV#JB2435, T/R, </t>
    </r>
    <r>
      <rPr>
        <rFont val="Arial"/>
        <color rgb="FF000000"/>
        <sz val="11.0"/>
      </rPr>
      <t>empty return 9/27</t>
    </r>
    <r>
      <rPr>
        <rFont val="Arial"/>
        <color rgb="FF000000"/>
        <sz val="11.0"/>
      </rPr>
      <t xml:space="preserve">
- EVER FAITH, (Y1), EG
- have $150 Maher Surcharge
- moored 9/22, discharged 9/22, LFD 9/26
- Customs had performed Ship Side Exams, exam fee $668.45</t>
    </r>
  </si>
  <si>
    <t>EMCU8218260</t>
  </si>
  <si>
    <r>
      <rPr>
        <rFont val="Arial"/>
        <color rgb="FF000000"/>
        <sz val="11.0"/>
      </rPr>
      <t xml:space="preserve">EN#2161389, INV#JB2434, T/R, </t>
    </r>
    <r>
      <rPr>
        <rFont val="Arial"/>
        <color rgb="FF000000"/>
        <sz val="11.0"/>
      </rPr>
      <t>empty return 9/30</t>
    </r>
    <r>
      <rPr>
        <rFont val="Arial"/>
        <color rgb="FF000000"/>
        <sz val="11.0"/>
      </rPr>
      <t xml:space="preserve">
- EVER FAITH, (Y2), EG
- have $150 Maher Surcharge
- Moored 9/22, discharged 9/23, LFD 9/27</t>
    </r>
  </si>
  <si>
    <t>TEMU6058495</t>
  </si>
  <si>
    <t>GHC D-04061, GHC LEMON D-04037, GHC TURMERIC D-04032</t>
  </si>
  <si>
    <r>
      <rPr>
        <rFont val="Arial"/>
        <color rgb="FF000000"/>
        <sz val="11.0"/>
      </rPr>
      <t xml:space="preserve">EN#2161310, INV#JB2433, T/R, </t>
    </r>
    <r>
      <rPr>
        <rFont val="Arial"/>
        <color rgb="FF000000"/>
        <sz val="11.0"/>
      </rPr>
      <t>empty return 9/26</t>
    </r>
    <r>
      <rPr>
        <rFont val="Arial"/>
        <color rgb="FF000000"/>
        <sz val="11.0"/>
      </rPr>
      <t xml:space="preserve">
- EVER FAITH, (X19), EG
- have $150 Maher Surcharge
- Moored 9/22, discharged 9/22, LFD 9/26</t>
    </r>
  </si>
  <si>
    <t>TGHU8814741</t>
  </si>
  <si>
    <t>EN#2161226, INV#94324488, T/R, no PL, GATEFEE 9/18, empty return 10/1
- NYK NEBULA, (X13), ONE
- no chocolate, no genset needed
- Moored 9/20, discharged 9/21, LFD 9/26</t>
  </si>
  <si>
    <t>EGHU9102433</t>
  </si>
  <si>
    <t>GHC D-04061, GHC ASG D-04030, DONG QUAI RED DATE D-04020</t>
  </si>
  <si>
    <r>
      <rPr>
        <rFont val="Arial"/>
        <color rgb="FF000000"/>
        <sz val="11.0"/>
      </rPr>
      <t xml:space="preserve">EN#2161661, INV#JB2438, T/R, </t>
    </r>
    <r>
      <rPr>
        <rFont val="Arial"/>
        <color rgb="FF000000"/>
        <sz val="11.0"/>
      </rPr>
      <t>empty return 9/26</t>
    </r>
    <r>
      <rPr>
        <rFont val="Arial"/>
        <color rgb="FF000000"/>
        <sz val="11.0"/>
      </rPr>
      <t xml:space="preserve">
- COSCO EXCELLENCE, (Y19), EG
- have $150 Maher Surcharge
- Moored 9/19, discharged 9/20, LFD 9/26</t>
    </r>
  </si>
  <si>
    <t>FFAU2510520</t>
  </si>
  <si>
    <r>
      <rPr>
        <rFont val="Arial"/>
        <color rgb="FF000000"/>
        <sz val="11.0"/>
      </rPr>
      <t xml:space="preserve">EN#2160784, INV#138/EXP/INV/VII/2024, T/R, </t>
    </r>
    <r>
      <rPr>
        <rFont val="Arial"/>
        <color rgb="FF000000"/>
        <sz val="11.0"/>
      </rPr>
      <t>empty return 9/25</t>
    </r>
    <r>
      <rPr>
        <rFont val="Arial"/>
        <color rgb="FF000000"/>
        <sz val="11.0"/>
      </rPr>
      <t xml:space="preserve">
- MAERSK SYDNEY, (W12), MSC
- have additional $150 PNCT Surcharge
- Moored 9/18, discharged 9/18, LFD 9/24</t>
    </r>
  </si>
  <si>
    <t>ONEU1361468</t>
  </si>
  <si>
    <r>
      <rPr>
        <rFont val="Arial"/>
        <color rgb="FF000000"/>
        <sz val="11.0"/>
      </rPr>
      <t xml:space="preserve">EN#2161273, INV#94324409, T/R, no PL, empty return 9/24
- NYK NEBULA, (X17), ONE
- FDA hold for exam 9/13
- Notify GW/FDA when ready at warehouse
- K80-2161273-5
- prepull 9/18, deliver 9/19
- Moored 9/17, discharged 9/17, LFD 9/23
- ready for FDA for exam 9/20, informed FDA 9/23, FDA colleted samples 9/30, FDA took </t>
    </r>
    <r>
      <rPr>
        <rFont val="Arial"/>
        <color rgb="FFFF0000"/>
        <sz val="11.0"/>
      </rPr>
      <t>33 each samples?</t>
    </r>
    <r>
      <rPr>
        <rFont val="Arial"/>
        <color rgb="FF000000"/>
        <sz val="11.0"/>
      </rPr>
      <t xml:space="preserve">
- Sample Received by FDA Lab 10/3, expected lab work completion 10/22
- FDA Examination Completed 10/4, Lab analysis in progress 10/8
- lab analysis completed 10/21, pending FDA review to determine admissibility
- FDA released 10/21
- received demurrage invoice 1/24/2025 (ONE invoice# USN303973, $330)</t>
    </r>
  </si>
  <si>
    <t>EISU8208794</t>
  </si>
  <si>
    <r>
      <rPr>
        <rFont val="Arial"/>
        <color rgb="FF000000"/>
        <sz val="11.0"/>
      </rPr>
      <t xml:space="preserve">GINGER CHEWS 1 KG (ASSORTED)
</t>
    </r>
    <r>
      <rPr>
        <rFont val="Arial"/>
        <color rgb="FF000000"/>
        <sz val="11.0"/>
      </rPr>
      <t>(to RC Commerce)</t>
    </r>
  </si>
  <si>
    <t>EN#2160992, INV#095/EXP-POP39444/07/2024, T/R, empty return 9/23
- TRITON, (W22), EG
- vessel IMO 9728916
- have $150 Maher Surcharge
- deliver to RC, live unload
- Moored 9/16, discharged 9/17, LFD 9/23
- prepull 9/20, deliver 9/23
- Unload waiting time charge = (2.5hr – 2hr Free) x $95/hr = $47.50
- Eric provided signed Proforma Invoice &amp; DO
- BP received PO in DC</t>
  </si>
  <si>
    <t>EGSU9253198</t>
  </si>
  <si>
    <t>EN#2161227, INV#157/EXP/INV/VII/2024, T/R, GATEFEE9/16, empty return 9/27
- EVER MAX, (X12), EG
- At anchor 9/16
- Moored 9/17, discharged 9/18, LFD 9/23
- Pickup pier waiting was from 11:15-2:09pm additional 1hr</t>
  </si>
  <si>
    <t>EMCU8575550</t>
  </si>
  <si>
    <t>LV</t>
  </si>
  <si>
    <t>EN#2161228, INV#101/EXP-POP39205/07/2024, T/R, GATEFEE9/16, empty return 9/26
- EVER MAX, (X11), EG
- At anchor 9/16
- Moored 9/17, discharged 9/18, LFD 9/23</t>
  </si>
  <si>
    <t>EITU9175507</t>
  </si>
  <si>
    <r>
      <rPr>
        <rFont val="Arial"/>
        <color rgb="FF000000"/>
        <sz val="11.0"/>
      </rPr>
      <t xml:space="preserve">EN#2161452, INV#RGS/POP-0124, T/R,  </t>
    </r>
    <r>
      <rPr>
        <rFont val="Arial"/>
        <color rgb="FF000000"/>
        <sz val="11.0"/>
      </rPr>
      <t>empty return 9/25</t>
    </r>
    <r>
      <rPr>
        <rFont val="Arial"/>
        <color rgb="FF000000"/>
        <sz val="11.0"/>
      </rPr>
      <t xml:space="preserve">
- EVER FRONT, (Y8), EG
- moored 9/16, discharged 9/17, LFD 9/26</t>
    </r>
  </si>
  <si>
    <t>YMMU6473369</t>
  </si>
  <si>
    <t>EN#2161055, INV#153/EXP/INV/VII/2024, T/R, empty return 9/24
- ONE SWAN, (X6), YANG MING
- have additional $150 Port Liberty Bayonne Surcharge
- moored 9/16, discharged 9/16, LFD 9/20</t>
  </si>
  <si>
    <t>SEKU4072620</t>
  </si>
  <si>
    <r>
      <rPr>
        <rFont val="Arial"/>
        <color rgb="FF000000"/>
        <sz val="11.0"/>
      </rPr>
      <t xml:space="preserve">EN#2161005, INV#151/EXP/INV/VII/2024, T/R, </t>
    </r>
    <r>
      <rPr>
        <rFont val="Arial"/>
        <color rgb="FF000000"/>
        <sz val="11.0"/>
      </rPr>
      <t>empty return 9/20</t>
    </r>
    <r>
      <rPr>
        <rFont val="Arial"/>
        <color rgb="FF000000"/>
        <sz val="11.0"/>
      </rPr>
      <t xml:space="preserve">
- ONE SWAN, (X1), YANG MING
- Moored 9/16, discharged 9/16, LFD 9/20</t>
    </r>
  </si>
  <si>
    <t>159
(LCL)</t>
  </si>
  <si>
    <t>TEMU6082974</t>
  </si>
  <si>
    <t>AM GSG TEA ENVELOPE
(LCL, 5 PLTS)</t>
  </si>
  <si>
    <t>EN#2161694, INV#LFE-0801/24, T/R, no GATEFEE (LCL)
- EVER MEGA, (Y20), EG
- Moored 9/11, discharged 9/12, LFD 9/18
- FCL pickup 9/16, FCL empty return 9/18
- 9/19 Linda received PO in DC</t>
  </si>
  <si>
    <t>EITU9362914</t>
  </si>
  <si>
    <r>
      <rPr>
        <rFont val="Arial"/>
        <color rgb="FF000000"/>
        <sz val="11.0"/>
      </rPr>
      <t xml:space="preserve">EN#2161662, INV#JYPOP202400731, T/R, </t>
    </r>
    <r>
      <rPr>
        <rFont val="Arial"/>
        <color rgb="FF000000"/>
        <sz val="11.0"/>
      </rPr>
      <t>empty return 9/18</t>
    </r>
    <r>
      <rPr>
        <rFont val="Arial"/>
        <color rgb="FF000000"/>
        <sz val="11.0"/>
      </rPr>
      <t xml:space="preserve">
- EVER MAX, (Y21), EG
- FDA request ingredients for all products
- K80-2161662-9
- Moored 9/10, discharged 9/12, </t>
    </r>
    <r>
      <rPr>
        <rFont val="Arial"/>
        <color rgb="FF000000"/>
        <sz val="11.0"/>
      </rPr>
      <t>LFD 9/19</t>
    </r>
  </si>
  <si>
    <t>EGSU9317918</t>
  </si>
  <si>
    <t>EN#2161377, INV#102/EXP-POP39381/07/2024, T/R, empty return 9/19
- EVER MAX, (X16), EG
- Moored 9/10, discharged 9/12, LFD 9/19
- changed PO site from 2 to 3 for Sun receiving</t>
  </si>
  <si>
    <t>TRHU8778965</t>
  </si>
  <si>
    <t>ORGANIC TEABAGS
D-13206, D-13220N, D-14206, D-15206, D-18206, D-18220N, D-19206</t>
  </si>
  <si>
    <t>EN#2161430, INV#YD24-T10, T/R, GATEFEE9/9, empty return 9/17
- EVER FAIR, (Y7), EG
- Moored 9/10, discharged 9/10, LFD 9/16</t>
  </si>
  <si>
    <t>TIIU4238711</t>
  </si>
  <si>
    <t>ORGANIC TEABAGS
D-13206, D-15206, D-15220N, D-17206, D-18206, D-18220N, D-19206, D-19220</t>
  </si>
  <si>
    <r>
      <rPr>
        <rFont val="Arial"/>
        <color rgb="FF000000"/>
        <sz val="11.0"/>
      </rPr>
      <t xml:space="preserve">EN#2161426, INV#YD24-T09, T/R, </t>
    </r>
    <r>
      <rPr>
        <rFont val="Arial"/>
        <color rgb="FF000000"/>
        <sz val="11.0"/>
      </rPr>
      <t>empty return 9/16</t>
    </r>
    <r>
      <rPr>
        <rFont val="Arial"/>
        <color rgb="FF000000"/>
        <sz val="11.0"/>
      </rPr>
      <t xml:space="preserve">
- COSCO CAMELLIA, (Y4), EG
- have additional $150 Maher Surcharge
- Moored 9/7, discharged 9/8, LFD 9/12</t>
    </r>
  </si>
  <si>
    <t>EITU1585830</t>
  </si>
  <si>
    <t>EN#2161311, INV#JB2432, T/R, empty return 9/16
- COSCO CAMELLIA, (X20), EG
- have additional $150 Maher Surcharge
- moored 9/7, discharged 9/9, LFD 9/13
- have additional Empty Pick-up surcharge ($535 + 32% Fuel)</t>
  </si>
  <si>
    <t>EMCU1680907</t>
  </si>
  <si>
    <t>EN#2160727, INV#092/EXP-POP39378/07/2024, T/R, empty return 9/10
- CMA CGM A. LINCOLN, (W7), EG
- have additional $150 APM Surcharge
- Moored 9/3, discharged 9/3, LFD 9/9</t>
  </si>
  <si>
    <t>TXGU6698181</t>
  </si>
  <si>
    <r>
      <rPr>
        <rFont val="Arial"/>
        <color rgb="FF000000"/>
        <sz val="11.0"/>
      </rPr>
      <t xml:space="preserve">EN#2160902, INV#137/EXP/INV/VII/2024, T/R, </t>
    </r>
    <r>
      <rPr>
        <rFont val="Arial"/>
        <color rgb="FF000000"/>
        <sz val="11.0"/>
      </rPr>
      <t>empty return 9/10</t>
    </r>
    <r>
      <rPr>
        <rFont val="Arial"/>
        <color rgb="FF000000"/>
        <sz val="11.0"/>
      </rPr>
      <t xml:space="preserve">
- CMA CGM A. LINCOLN, (W20), EG
- have additional $150 APM Surcharge
- Moored 9/3, discharged 9/3, LFD 9/9</t>
    </r>
  </si>
  <si>
    <t>CAAU6810760</t>
  </si>
  <si>
    <t>EN#2161084, INV#EMI240001582, OBL8/12, GATEFEE8/30, empty return 9/12
- CMA CGM C COLOMB, (X7), EG
- Moored 9/1, discharged 9/3, LFD 9/10</t>
  </si>
  <si>
    <t>HDMU6698631</t>
  </si>
  <si>
    <t>RED PANAX GINSENG, GINKGO BILOBA, ULTRA GINKGO PLUS</t>
  </si>
  <si>
    <r>
      <rPr>
        <rFont val="Arial"/>
        <color rgb="FF000000"/>
        <sz val="11.0"/>
      </rPr>
      <t xml:space="preserve">EN#2161427, INV#HR2404, T/R, </t>
    </r>
    <r>
      <rPr>
        <rFont val="Arial"/>
        <color rgb="FF000000"/>
        <sz val="11.0"/>
      </rPr>
      <t>empty return 9/13</t>
    </r>
    <r>
      <rPr>
        <rFont val="Arial"/>
        <color rgb="FF000000"/>
        <sz val="11.0"/>
      </rPr>
      <t xml:space="preserve">
- AL QIBLA EXPRESS, (Y6), HMM
- Moored 9/1, discharged 9/4, LFD 9/10</t>
    </r>
  </si>
  <si>
    <t>EISU9473468</t>
  </si>
  <si>
    <r>
      <rPr>
        <rFont val="Arial"/>
        <color rgb="FF000000"/>
        <sz val="11.0"/>
      </rPr>
      <t xml:space="preserve">EN#2161007, INV#JB2430, T/R, </t>
    </r>
    <r>
      <rPr>
        <rFont val="Arial"/>
        <color rgb="FF000000"/>
        <sz val="11.0"/>
      </rPr>
      <t>empty return 9/6</t>
    </r>
    <r>
      <rPr>
        <rFont val="Arial"/>
        <color rgb="FF000000"/>
        <sz val="11.0"/>
      </rPr>
      <t xml:space="preserve">
- COSCO FAITH, (X3), EG
- have additional $150 Maher Surcharge
- Moored 8/31, discharged 9/1, LFD 9/6</t>
    </r>
  </si>
  <si>
    <t>EMCU1583208</t>
  </si>
  <si>
    <t>EN#2161404, INV#141/EXP/INV/VII/2024, T/R, GATEFEE 8/30, empty return 9/10
- EVER MACH, (Y5), EG
- Moored 8/31, discharged 8/31, LFD 9/8</t>
  </si>
  <si>
    <t>BSIU9757950</t>
  </si>
  <si>
    <r>
      <rPr>
        <rFont val="Arial"/>
        <color rgb="FF000000"/>
        <sz val="11.0"/>
      </rPr>
      <t xml:space="preserve">EN#2161274, INV#JYPOP202400630, T/R, </t>
    </r>
    <r>
      <rPr>
        <rFont val="Arial"/>
        <color rgb="FF000000"/>
        <sz val="11.0"/>
      </rPr>
      <t>empty return 9/11</t>
    </r>
    <r>
      <rPr>
        <rFont val="Arial"/>
        <color rgb="FF000000"/>
        <sz val="11.0"/>
      </rPr>
      <t xml:space="preserve">
- TS MUNDRA, (X15), TS LINES
- Moored 8/31, discharged 8/31, LFD 9/6
- prepull 9/5, deliver 9/6
- FDA request photos of actual products, all labeled sides, container &amp; boxes
- K80-2161274-3
- TX provided pictures from the vendor</t>
    </r>
  </si>
  <si>
    <t>TGBU6628073</t>
  </si>
  <si>
    <r>
      <rPr>
        <rFont val="Arial"/>
        <color rgb="FF000000"/>
        <sz val="11.0"/>
      </rPr>
      <t xml:space="preserve">EN#2160323, INV#114/EXP/INV/VI/2024, T/R, </t>
    </r>
    <r>
      <rPr>
        <rFont val="Arial"/>
        <color rgb="FF000000"/>
        <sz val="11.0"/>
      </rPr>
      <t>empty return 9/9</t>
    </r>
    <r>
      <rPr>
        <rFont val="Arial"/>
        <color rgb="FF000000"/>
        <sz val="11.0"/>
      </rPr>
      <t xml:space="preserve">
- EVER MAGI, (V15), EG
- have additional $150 Maher Surcharge
- Moored 8/31, discharged 8/31, LFD 9/6</t>
    </r>
  </si>
  <si>
    <t>GCXU5389789</t>
  </si>
  <si>
    <r>
      <rPr>
        <rFont val="Arial"/>
        <color rgb="FF000000"/>
        <sz val="11.0"/>
      </rPr>
      <t xml:space="preserve">EN#2161019, INV#133914, T/R, </t>
    </r>
    <r>
      <rPr>
        <rFont val="Arial"/>
        <color rgb="FF000000"/>
        <sz val="11.0"/>
      </rPr>
      <t>empty return 9/9</t>
    </r>
    <r>
      <rPr>
        <rFont val="Arial"/>
        <color rgb="FF000000"/>
        <sz val="11.0"/>
      </rPr>
      <t xml:space="preserve">
- NYK CONSTELLATION, (X4), ONE
- Moored 8/30, discharged 8/31, LFD 9/6</t>
    </r>
  </si>
  <si>
    <t>ONEU5579329</t>
  </si>
  <si>
    <t>EN#2161275, INV#PO39600, T/R, empty return 9/6
- WAN HAI A03, (X14), ONE
- 8/27 mailed original health and sanitary cert to GW
- Moored 8/28, discharged 8/30, LFD 9/5</t>
  </si>
  <si>
    <t>EMCU1585582</t>
  </si>
  <si>
    <r>
      <rPr>
        <rFont val="Arial"/>
        <color rgb="FF000000"/>
        <sz val="11.0"/>
      </rPr>
      <t xml:space="preserve">EN#2161181, INV#JB2431, T/R, </t>
    </r>
    <r>
      <rPr>
        <rFont val="Arial"/>
        <color rgb="FF000000"/>
        <sz val="11.0"/>
      </rPr>
      <t>empty return 9/3</t>
    </r>
    <r>
      <rPr>
        <rFont val="Arial"/>
        <color rgb="FF000000"/>
        <sz val="11.0"/>
      </rPr>
      <t xml:space="preserve">
- COSCO SHIPPING PEONY, (X10), EG
- have additional $150 Maher Surcharge
- Moored 8/28, discharged 8/29, LFD 9/5
- Live unload</t>
    </r>
  </si>
  <si>
    <t>207
(LCL)</t>
  </si>
  <si>
    <t>ONEU0135569</t>
  </si>
  <si>
    <t>EN#2161460, INV#US-240701, OBL8/19
- ONE HENRY HUDSON, (Y3), ONE
- Moored 8/23, discharged 8/24, LFD 8/29
-  FCL pickup 8/26, FCL empty return 8/27
- FDA request actual product labeling
- K80-2161460-8
- GW submitted actual product labeling 9/3</t>
  </si>
  <si>
    <t>EMCU8452160</t>
  </si>
  <si>
    <t>EN#2160842, INV#094/EXP-POP39204/07/204, T/R, GATEFEE8/22, empty return 9/9
- EVER FRANK, (W17), EG
- Moored 8/23, discharged 8/23, LFD 8/29
- prepull 8/29, deliver 9/5
- ELFD 9/5, empty return 9/9, have per diem</t>
  </si>
  <si>
    <t>TXGU5701634</t>
  </si>
  <si>
    <t>EN#2161008, INV#JB2429, T/R, empty return 8/30
- COSCO JASMINE, (X2), EG
- have additional $150 Maher Surcharge
- Moored 8/22, discharged 8/24, LFD 8/29
- have Empty Pick-up surcharge ($535 + 32% Fuel)</t>
  </si>
  <si>
    <t>EMCU8894670</t>
  </si>
  <si>
    <t>GINGER CHEWS 4 OZ (LEMON, LYCHEE, BLOOD ORANGE)</t>
  </si>
  <si>
    <t>EN#2159961, INV#074/EXP-POP39183/06/2024, T/R, empty return 8/30
- CMA CGM SYMI, (U20), EG
- have additional $150 APM Surcharge
- Moored 8/21, discharged 8/22, LFD 8/28</t>
  </si>
  <si>
    <t>GAOU6990719</t>
  </si>
  <si>
    <t>EN#2160277, INV#083/EXP-POP39189/06/2024, T/R, empty return 8/29
- CMA CGM SYMI, (V13), EG
- have additional $150 APM Surcharge
- Moored 8/21, discharged 8/21, LFD 8/27</t>
  </si>
  <si>
    <t>BSIU8112690</t>
  </si>
  <si>
    <t>EN#2160102, INV#076/EXP-POP39180/06/2024, T/R, empty return 8/27
- CMA CGM SYMI, (V3), EG
- have additional $150 APM Surcharge
- Moored 8/21, discharged 8/21, LFD 8/27</t>
  </si>
  <si>
    <t>TCLU4323458</t>
  </si>
  <si>
    <r>
      <rPr>
        <rFont val="Arial"/>
        <color rgb="FF000000"/>
        <sz val="11.0"/>
      </rPr>
      <t xml:space="preserve">EN#2161054, INV#SS2405033-H, T/R, GATEFEE8/21, </t>
    </r>
    <r>
      <rPr>
        <rFont val="Arial"/>
        <color rgb="FF000000"/>
        <sz val="11.0"/>
      </rPr>
      <t>empty return 9/3</t>
    </r>
    <r>
      <rPr>
        <rFont val="Arial"/>
        <color rgb="FF000000"/>
        <sz val="11.0"/>
      </rPr>
      <t xml:space="preserve">
- EVER LAUREL, (X5), EG
- Moored 8/21, discharged 8/21, LFD 8/27</t>
    </r>
  </si>
  <si>
    <t>MSMU8268146</t>
  </si>
  <si>
    <t>EN#2160617, INV#131/EXP/INV/VII/2024, T/R, GATEFEE8/14
- GERD MAERSK, (W10), MSC
- Moored 8/19, discharged 8/20, LFD 8/23
- 8/26 respot to loading dock
- ELFD 8/28, empty return 8/30, have per diem
- need to pay 2-day per diem, $280
- Pier waiting was from 11:51-1:21pm additional ½ hr for empty return</t>
  </si>
  <si>
    <t>MEDU7873719</t>
  </si>
  <si>
    <t>EN#2160618, INV#129/EXP/INV/VII/2024, T/R, GATEFEE8/14, empty return 8/27
- GERD MAERSK, (W8), MSC
- Moored 8/19, discharged 8/19, LFD 8/23
- request Transcon for MSC invoice (chassis charge)
- Benz invoice has not chassis fee</t>
  </si>
  <si>
    <t>MSMU7900865</t>
  </si>
  <si>
    <t>EN#2160616, INV#130/EXP/INV/VII/2024, T/R, GATEFEE8/14, empty return 8/28
- GERD MAERSK, (W9), MSC
- Moored 8/19, discharged 8/19, LFD 8/23</t>
  </si>
  <si>
    <t>MSDU6252709</t>
  </si>
  <si>
    <t>EN#2160441, INV#122/EXP/INV/VI2024, T/R, GATEFEE8/13, empty return 8/21
- MSC SOLA, (W2), MSC
- moored 8/17, discharged 8/18, LFD 8/22</t>
  </si>
  <si>
    <t>MSMU7049420</t>
  </si>
  <si>
    <t>EN#2160443, INV#124/EXP/INV/VI/2024, T/R, GATEFEE8/13, empty return 8/26
- MSC SOLA, (W4), MSC
- Moored 8/17, discharged 8/18, LFD 8/22</t>
  </si>
  <si>
    <t>MSMU5789027</t>
  </si>
  <si>
    <t>EN#2160442, INV#123/EXP/INV/VI/2024, T/R, GATEFEE8/13, empty return 8/23
- MSC SOLA, (W3), MSC
- Moored 8/17, discharged 8/18, LFD 8/22</t>
  </si>
  <si>
    <t>FCIU9473658</t>
  </si>
  <si>
    <r>
      <rPr>
        <rFont val="Arial"/>
        <color rgb="FF000000"/>
        <sz val="11.0"/>
      </rPr>
      <t xml:space="preserve">EN#2160696, INV#JB2428, T/R, </t>
    </r>
    <r>
      <rPr>
        <rFont val="Arial"/>
        <color rgb="FF000000"/>
        <sz val="11.0"/>
      </rPr>
      <t>empty return 8/26</t>
    </r>
    <r>
      <rPr>
        <rFont val="Arial"/>
        <color rgb="FF000000"/>
        <sz val="11.0"/>
      </rPr>
      <t xml:space="preserve">
- COSCO SAKURA, (W15), EG
- have additional $150 per container Maher Surcharge
- Moored 8/16, discharged 8/17, LFD 8/22</t>
    </r>
  </si>
  <si>
    <t>EITU1469573</t>
  </si>
  <si>
    <t>GHC D-04061, GHC LEMON D-04037, GHC TURMERIC D-04032, INSTANT CHINESE HERBAL BULK</t>
  </si>
  <si>
    <t>EN#2160901, INV#AIT2402, T/R, GATEFEE8/13, empty return 8/22
- EVER FORWARD, (W19), EG
- Moored 8/14, discharged 8/14, LFD 8/20</t>
  </si>
  <si>
    <t>EGHU8421441</t>
  </si>
  <si>
    <r>
      <rPr>
        <rFont val="Arial"/>
        <color rgb="FF000000"/>
        <sz val="11.0"/>
      </rPr>
      <t xml:space="preserve">EN#2160276, INV#079/EXP-POP39191/06/2024, T/R, </t>
    </r>
    <r>
      <rPr>
        <rFont val="Arial"/>
        <color rgb="FF000000"/>
        <sz val="11.0"/>
      </rPr>
      <t>empty return 8/20</t>
    </r>
    <r>
      <rPr>
        <rFont val="Arial"/>
        <color rgb="FF000000"/>
        <sz val="11.0"/>
      </rPr>
      <t xml:space="preserve">
- TAURUS, (V12), EG
- have additional $150 Maher Surcharge
- TAURUS IMO 9728942
- Moored 8/13, discharged 8/14, LFD 8/20</t>
    </r>
  </si>
  <si>
    <t>GESU5747272</t>
  </si>
  <si>
    <t>EN#2160413, INV#132993, T/R, empty return 8/20
- NYK DEMETER, (W11), ONE
- Moored 8/12, discharged 8/12, LFD 8/17</t>
  </si>
  <si>
    <t>MSCU4958713</t>
  </si>
  <si>
    <t>EN#2160362, INV#121/EXP/INV/VI/2024, T/R, GATEFEE8/7, empty return 8/20
- MSC VIRGO, (V20), MSC
- customs hold 8/6, customs released after reviewing docs
- Moored 8/12, discharged 8/12, LFD 8/16</t>
  </si>
  <si>
    <t>TLLU8717951</t>
  </si>
  <si>
    <t>EN#2160419, INV#120/EXP/INV/VI/2024, T/R, GATEFEE8/7, empty return 8/20
- MSC VIRGO, (V22), MSC
- Moored 8/12, discharged 8/12, LFD 8/16
-  Benz issue credit memo ($260) for chassis refund</t>
  </si>
  <si>
    <t>CAAU5876119</t>
  </si>
  <si>
    <t>GHC D-04061, GHC LEMON D-04037, GHC PLUM D-04036, GHC DARK BROWN SUGAR D-41986</t>
  </si>
  <si>
    <r>
      <rPr>
        <rFont val="Arial"/>
        <color rgb="FF000000"/>
        <sz val="11.0"/>
      </rPr>
      <t xml:space="preserve">EN#2160513, INV#JB2427, T/R, </t>
    </r>
    <r>
      <rPr>
        <rFont val="Arial"/>
        <color rgb="FF000000"/>
        <sz val="11.0"/>
      </rPr>
      <t>empty return 8/15</t>
    </r>
    <r>
      <rPr>
        <rFont val="Arial"/>
        <color rgb="FF000000"/>
        <sz val="11.0"/>
      </rPr>
      <t xml:space="preserve">
- OOCL BRUSSELS, (W5), EG
- have additional $150 Maher Surcharge
- Moored 8/11, discharged 8/13, LFD 8/19</t>
    </r>
  </si>
  <si>
    <t>EMCU9902913</t>
  </si>
  <si>
    <t>GHC D-04061, GHC D-04037, GHC TURMERIC D-04032, INSTANT CHINESE HERBAL BULK</t>
  </si>
  <si>
    <t>EN#2160726, INV#AIT2401, T/R, GATEFEE8/7, empty return 8/16
- EVER LASTING, (W14), EG
- Moored 8/8, discharged 8/8, LFD 8/15</t>
  </si>
  <si>
    <t>TGBU7287140</t>
  </si>
  <si>
    <t>GHC D-04061, GHC AM GSG D-04030, GHC DARK BROWN SUGAR D-41986, GHC PLUM D-04036, GHC LEMON D-04037, GHC TURMERIC D-04032</t>
  </si>
  <si>
    <t>EN#2160773, INV#JB2425, T/R, GATEFEE8/7, empty return 8/15
- EVER LASTING, (W16), EG
- customs hold 8/7, released 8/9
- Moored 8/8, discharged 8/8, LFD 8/15</t>
  </si>
  <si>
    <t>TLLU8503163</t>
  </si>
  <si>
    <t>EN#2160455, INV#088/EXP-POP39203/06/2024, T/R, empty return 8/15
- EVER FORTUNE, (W1), EG
- Moored 8/7, discharged 8/7, LFD 8/14
- prepull 8/12, deliver 8/13</t>
  </si>
  <si>
    <t>WHSU6942399</t>
  </si>
  <si>
    <t>EN#2160293, INV#2162, T/R, empty return 8/13
- CHARLESTON EXPRESS, (V14), WAN HAI
- have additional $150 APM Surcharge
- Moored 8/5, discharged 8/5, LFD 8/9
- have an additional Empty Pick-up surcharge ($535 + 32% Fuel)</t>
  </si>
  <si>
    <t>EMCU8314710</t>
  </si>
  <si>
    <t>EN#2160326, INV#085/EXP-POP39202/06/2024, T/R, GATEFEE8/1, empty return 8/9
- EVER MAX, (V16), EG
- Moored 8/2, discharged 8/3, LFD 8/11</t>
  </si>
  <si>
    <t>TRHU8157757</t>
  </si>
  <si>
    <t>EN#2160099, INV#077/EXP-POP39201/06/2024, T/R, GATEFEE8/1, empty return 8/14
- EVER MAX, (V2), EG
- Moored 8/2, discharged 8/3, LFD 8/12</t>
  </si>
  <si>
    <t>TRHU8155965</t>
  </si>
  <si>
    <r>
      <rPr>
        <rFont val="Arial"/>
        <color rgb="FF000000"/>
        <sz val="11.0"/>
      </rPr>
      <t xml:space="preserve">EN#2160127, INV#POP-01/24, OBL7/29, </t>
    </r>
    <r>
      <rPr>
        <rFont val="Arial"/>
        <color rgb="FF000000"/>
        <sz val="11.0"/>
      </rPr>
      <t>empty return 8/12</t>
    </r>
    <r>
      <rPr>
        <rFont val="Arial"/>
        <color rgb="FF000000"/>
        <sz val="11.0"/>
      </rPr>
      <t xml:space="preserve">
- EVER FRONT, (V4), EG
- received &amp; mailed OBL 7/29
- Moored 7/31, discharged 8/3, LFD 8/8</t>
    </r>
  </si>
  <si>
    <t>TGBU6782495</t>
  </si>
  <si>
    <t>EN#2160667, INV#JB2422, T/R, GATEFEE7/30, empty return 8/7
- EVER LOADING, (W13), EG
- Moored 7/31, discharged 7/31, LFD 8/6
- pickup pier waiting was from 11:15-1:33pm additional ½ hr.
- empty return 1:50-3:09pm, pier waiting additional ½ hr</t>
  </si>
  <si>
    <t>EMCU9930005</t>
  </si>
  <si>
    <r>
      <rPr>
        <rFont val="Arial"/>
        <color rgb="FF000000"/>
        <sz val="11.0"/>
      </rPr>
      <t xml:space="preserve">EN#2160070, INV#075/EXP-POP38959/06/2024, T/R, </t>
    </r>
    <r>
      <rPr>
        <rFont val="Arial"/>
        <color rgb="FF000000"/>
        <sz val="11.0"/>
      </rPr>
      <t>empty return 8/5</t>
    </r>
    <r>
      <rPr>
        <rFont val="Arial"/>
        <color rgb="FF000000"/>
        <sz val="11.0"/>
      </rPr>
      <t xml:space="preserve">
- EVER MAX, (U22), EG
- Moored 7/27, discharged 7/28, LFD 8/2</t>
    </r>
  </si>
  <si>
    <t>EMCU8948165</t>
  </si>
  <si>
    <t>EN#2160148, INV#078/EXP-POP38962/06/2024, T/R, empty return 8/5
- EVER MAX, (V5), EG
- Moored 7/27, discharged 7/28, LFD 8/2</t>
  </si>
  <si>
    <t>LA-ST</t>
  </si>
  <si>
    <t>220
(LCL)</t>
  </si>
  <si>
    <t>TCNU6504236</t>
  </si>
  <si>
    <t>ALUMINIUM FOIL &amp; TAG
(to Sun Ten, 7 PLTS)</t>
  </si>
  <si>
    <t>EN#2160333, INV#LFE-0619/24, T/R
- EVER FEAT, (V19), EG
- 7/23 provided Test Certificate to GW
- Moored 7/24, discharged 7/25, LFD 8/1
- FCL pickup 7/29, FCL empty return 7/30
- LCL delivered to Sun Ten</t>
  </si>
  <si>
    <t>SKYU8194559</t>
  </si>
  <si>
    <t>RED PANAX GINSENG EXTRACT, ULTRA GINKGO PLUS, AMERICAN GINSENG ROYAL JELLY, BEIJING ROYAL JELLY</t>
  </si>
  <si>
    <r>
      <rPr>
        <rFont val="Arial"/>
        <color rgb="FF000000"/>
        <sz val="11.0"/>
      </rPr>
      <t>EN#2160069, INV#HR2403, T/R, empty return 8/2 (per Etrans)
- HMM DIAMOND, (U21), HMM
- have additional $150 Port Liberty Surcharge (Global)
- have additional $325 for split-return to INTEGRATED, Old Bridge, NJ
- Moored 7/24, discharged 7/26, LFD 8/1
- K80-2160069-8
- All released 7/29, except Ultra Ginkgo Plus
- special SOC container, split return charge $325</t>
    </r>
    <r>
      <rPr>
        <rFont val="Arial"/>
        <color rgb="FFFF0000"/>
        <sz val="11.0"/>
      </rPr>
      <t xml:space="preserve">
</t>
    </r>
    <r>
      <rPr>
        <rFont val="Arial"/>
        <color rgb="FF000000"/>
        <sz val="11.0"/>
      </rPr>
      <t>- have additional Empty Pick-up surcharge ($535 + 32% Fuel)
- empty returned to Integrated Industries (off-depot) 8/2
- 8/5 informed FDA ready for exam
- 8/7 FDA collected sample (3 bx Ultra Ginkgo Plus)
- 8/9 lab test in progress
- 8/12 Grace request post PO &amp; hold Ginkgo Plus
- 8/15 - FDA released Ultra Ginkgo Plus</t>
    </r>
  </si>
  <si>
    <t>EMCU8402600</t>
  </si>
  <si>
    <t>ORGANIC TEABAGS
D-13206, D-13220N, D-14206, D-14220, D-15206, D-15220N, D-17206, D-18206, D-18220N</t>
  </si>
  <si>
    <t>EN#2160518, INV#YD24-T08, T/R, empty return 7/30
- EVER LOADING, (W6), EG
- Moored 7/24, discharged 7/24, LFD?
- prepull 7/25</t>
  </si>
  <si>
    <t>EGHU8271629</t>
  </si>
  <si>
    <t>CAPPUCCINO, THAI TEA</t>
  </si>
  <si>
    <t>EN#2159808, INV#EMI240001014, OBL6/14, empty return 7/30
- TITAN, (U10), EG
- have additional $150 Maher Surcharge
- vessel IMO 9728928
- Moored 7/24, discharged 7/25, LFD 7/30</t>
  </si>
  <si>
    <t>EITU1466682</t>
  </si>
  <si>
    <t>EN#2159765, INV#067/EXP-POP38960/05/2024, T/R, empty return 8/1
- TITAN, (U6), EG
- have additional $150 Maher Surcharge
- Moored 7/24, discharged 7/25, LFD 7/30</t>
  </si>
  <si>
    <t>EGHU9476623</t>
  </si>
  <si>
    <t>EN#2159508, INV#063/EXP-POP38970/05/2024, T/R, empty return 7/31
- TITAN, (T18), EG
- have additional $150 Maher Surcharge
- Moored 7/24, discharged 7/25, LFD 7/30</t>
  </si>
  <si>
    <t>KKFU6746130</t>
  </si>
  <si>
    <t>EN#2160415, INV#94314424, T/R, no PL, empty return 7/30
- TUBUL, (U7), ONE
- Has chocolate, need genset for delivery
- E-Trans doesn't handle genset, Apex will deliver, sent DO to Apex
- genset carrying temperature is +18 C
- Moored 7/23, discharged 7/24, LFD 7/26
- prepull 7/26, deliver 7/29
- Per forwarder, we as the consignee need to pay the terminal handling charges (ONE invoice)</t>
  </si>
  <si>
    <t>TXGU5794909</t>
  </si>
  <si>
    <t>GHC TURMERIC D-04033, GHC LEMON D-04043</t>
  </si>
  <si>
    <r>
      <rPr>
        <rFont val="Arial"/>
        <color rgb="FF000000"/>
        <sz val="11.0"/>
      </rPr>
      <t xml:space="preserve">EN#2160222, INV#JB2416, T/R, </t>
    </r>
    <r>
      <rPr>
        <rFont val="Arial"/>
        <color rgb="FF000000"/>
        <sz val="11.0"/>
      </rPr>
      <t>empty return 7/29</t>
    </r>
    <r>
      <rPr>
        <rFont val="Arial"/>
        <color rgb="FF000000"/>
        <sz val="11.0"/>
      </rPr>
      <t xml:space="preserve">
- COSCO SHIPPING LOTUS, (V10), EG
- have additional $150 Maher Surcharge
- Moored 7/22, discharged 7/24, LFD 7/30</t>
    </r>
  </si>
  <si>
    <t>EITU1091122</t>
  </si>
  <si>
    <t>EN#2160318, INV#JB2421, T/R, GATEFEE7/19, empty return 7/30
- EVER FAITH, (V17), EG
- Moored 7/20, discharged 7/20, LFD 7/25
-  empty return 9:20-10:33am pier waiting additional ½ hr</t>
  </si>
  <si>
    <t>TCNU6805219</t>
  </si>
  <si>
    <t>GHC D-04061, GHC D-04037</t>
  </si>
  <si>
    <r>
      <rPr>
        <rFont val="Arial"/>
        <color rgb="FF000000"/>
        <sz val="11.0"/>
      </rPr>
      <t xml:space="preserve">EN#2160211, INV#JB2426, T/R, </t>
    </r>
    <r>
      <rPr>
        <rFont val="Arial"/>
        <color rgb="FF000000"/>
        <sz val="11.0"/>
      </rPr>
      <t>empty return 7/29</t>
    </r>
    <r>
      <rPr>
        <rFont val="Arial"/>
        <color rgb="FF000000"/>
        <sz val="11.0"/>
      </rPr>
      <t xml:space="preserve">
- COSCO AZALEA, (V9), EG
- have additional $150 Maher Surcharge
- Moored 7/18, discharged 7/20, LFD 7/25</t>
    </r>
  </si>
  <si>
    <t>TGBU8619717</t>
  </si>
  <si>
    <t>EN#2159537, INV#095/EXP/INV/V/2024, T/R, empty return 7/25
- CMA CGM J. ADAMS, (T19), EG
- Moored 7/17, discharged 7/18, LFD 7/24
- have additional $150 APM Surcharge</t>
  </si>
  <si>
    <t>TGBU8037418</t>
  </si>
  <si>
    <r>
      <rPr>
        <rFont val="Arial"/>
        <color rgb="FF000000"/>
        <sz val="11.0"/>
      </rPr>
      <t xml:space="preserve">EN#2159398, INV#093/EXP/INV/V/2024, T/R, </t>
    </r>
    <r>
      <rPr>
        <rFont val="Arial"/>
        <color rgb="FF000000"/>
        <sz val="11.0"/>
      </rPr>
      <t>empty return 7/25</t>
    </r>
    <r>
      <rPr>
        <rFont val="Arial"/>
        <color rgb="FF000000"/>
        <sz val="11.0"/>
      </rPr>
      <t xml:space="preserve">
- CMA CGM J. ADAMS, (T9), EG
- have additional $150 APM Surcharge
- Moored 7/17, discharged 7/19, LFD 7/24</t>
    </r>
  </si>
  <si>
    <t>EMCU1789436</t>
  </si>
  <si>
    <r>
      <rPr>
        <rFont val="Arial"/>
        <color rgb="FF000000"/>
        <sz val="11.0"/>
      </rPr>
      <t xml:space="preserve">GINGER CHEWS PLUS+ 3 OZ (ORIGINAL) </t>
    </r>
    <r>
      <rPr>
        <rFont val="Arial"/>
        <color rgb="FF000000"/>
        <sz val="11.0"/>
      </rPr>
      <t>4 OZ (PINEAPPLE COCONUT)</t>
    </r>
  </si>
  <si>
    <t>EN#2159400, INV#058/EXP-POP38951/05/2024, T/R, empty return 7/24
- CMA CGM J. ADAMS, (T7), EG
- have additional $150 APM Surcharge
- Moored 7/17, discharged 7/18, LFD 7/24</t>
  </si>
  <si>
    <t>TGBU7887356</t>
  </si>
  <si>
    <r>
      <rPr>
        <rFont val="Arial"/>
        <color rgb="FF000000"/>
        <sz val="11.0"/>
      </rPr>
      <t xml:space="preserve">EN#2159399, INV#056/EXP-POP38979/05/2024, T/R, </t>
    </r>
    <r>
      <rPr>
        <rFont val="Arial"/>
        <color rgb="FF000000"/>
        <sz val="11.0"/>
      </rPr>
      <t>empty return 7/24</t>
    </r>
    <r>
      <rPr>
        <rFont val="Arial"/>
        <color rgb="FF000000"/>
        <sz val="11.0"/>
      </rPr>
      <t xml:space="preserve">
- CMA CGM J. ADAMS, (T10), EG
- have additional $150 APM Surcharge
- Moored 7/17, discharged 7/18, LFD 7/24</t>
    </r>
  </si>
  <si>
    <t>EMCU8738657</t>
  </si>
  <si>
    <t>EN#2159878, INV#102/EXP/INV/V/2024, T/R, GATEFEE7/16, empty return 7/25
- EVER MACH, (U14), EG
- Moored 7/16, discharged 7/17, LFD 7/22
- pickup pier waiting was 9:13-11:38am additional ½ hr</t>
  </si>
  <si>
    <t>EMCU8209592</t>
  </si>
  <si>
    <r>
      <rPr>
        <rFont val="Arial"/>
        <color rgb="FF000000"/>
        <sz val="11.0"/>
      </rPr>
      <t xml:space="preserve">EN#2160065, INV#JB2417, T/R, </t>
    </r>
    <r>
      <rPr>
        <rFont val="Arial"/>
        <color rgb="FF000000"/>
        <sz val="11.0"/>
      </rPr>
      <t>empty return 7/23</t>
    </r>
    <r>
      <rPr>
        <rFont val="Arial"/>
        <color rgb="FF000000"/>
        <sz val="11.0"/>
      </rPr>
      <t xml:space="preserve">
- COSCO HARMONY, (V1), EG
- have additional $150 Maher Surcharge
- Moored 7/15, discharged 7/17, LFD 7/23</t>
    </r>
  </si>
  <si>
    <t>CAAU5342495</t>
  </si>
  <si>
    <t>ORGANIC TEABAGS
D-13206, D-13220N, D-14206, D-14220, D-15206, D-18206, D-19206, D-19220N</t>
  </si>
  <si>
    <r>
      <rPr>
        <rFont val="Arial"/>
        <color rgb="FF000000"/>
        <sz val="11.0"/>
      </rPr>
      <t xml:space="preserve">EN#2160184, INV#YD24-T07, T/R, </t>
    </r>
    <r>
      <rPr>
        <rFont val="Arial"/>
        <color rgb="FF000000"/>
        <sz val="11.0"/>
      </rPr>
      <t>empty return 7/23</t>
    </r>
    <r>
      <rPr>
        <rFont val="Arial"/>
        <color rgb="FF000000"/>
        <sz val="11.0"/>
      </rPr>
      <t xml:space="preserve">
- COSCO HARMONY, (V8), EG
- have additional $150 Maher Surcharge
- Moored 7/15, discharged 7/16, LFD 7/22</t>
    </r>
  </si>
  <si>
    <t>TEMU6444780</t>
  </si>
  <si>
    <t>TEABAGS
D-13106, D-13020N, D-13306, D-14106, D-15106, D-16106, D-17106, D-18106, D-18120</t>
  </si>
  <si>
    <t>EN#2160129, INV#YD24-T06, T/R, GATEFEE 7/15, empty return 7/24
- EVER LIBERAL, (V6), EG
- Moored 7/14, discharged 7/15, LFD 7/18
- respot twice on 7/18
- respot 7/22</t>
  </si>
  <si>
    <t>CAIU6593271</t>
  </si>
  <si>
    <t>EN#2160332, INV#KB240605, OBL7/10, empty return 7/19
- HMM PROMISE, (V18), SM LINE
- Moored 7/12, discharged 7/14, LFD 7/18
- prepull 7/15, deliver 7/16
- 7/16 Provided the picture of actual product labeling (all sides) &amp; products out of container to FDA
- 7/17 Provided pictures of the inside Korean Ginseng Tea (opened boxes), all labeled sides to FDA
- 7/17 Provided photo of inner product to FDA
- K80-2160332-0
- FDA released TU CHUNG TEA, YOUNG JI TEA on 7/7, released KOREAN GINSENG TEA on 7/17
- ELFD 7/19, but only night appt to return, so may have per diem</t>
  </si>
  <si>
    <t>CAAU7488880</t>
  </si>
  <si>
    <r>
      <rPr>
        <rFont val="Arial"/>
        <color rgb="FF000000"/>
        <sz val="11.0"/>
      </rPr>
      <t>EN#2159840, INV#PO39417, T/R,</t>
    </r>
    <r>
      <rPr>
        <rFont val="Arial"/>
        <color rgb="FF000000"/>
        <sz val="11.0"/>
      </rPr>
      <t xml:space="preserve"> empty return 7/23</t>
    </r>
    <r>
      <rPr>
        <rFont val="Arial"/>
        <color rgb="FF000000"/>
        <sz val="11.0"/>
      </rPr>
      <t xml:space="preserve">
- EVER FAME, (U16), EG
- original Vet &amp; Sanitary cert mailed to GW 6/19
- have additional $150 Maher Surcharge
- Moored 7/12, discharged 7/14, LFD 7/18</t>
    </r>
  </si>
  <si>
    <t>TRHU8371286</t>
  </si>
  <si>
    <t>EN#2159738, INV#068/EXP-POP38961/05/2024, T/R, GATEFEE7/8, empty return 7/19
- EVER FRANK, (T22), EG
- Moored 7/9, discharged 7/9, LFD 7/15
- respot 7/15
- bob tail from Oakland to pick up empty</t>
  </si>
  <si>
    <t>EGHU9466522</t>
  </si>
  <si>
    <t>EN#2159843, INV#069/EXP-POP38975/05/2024, T/R, GATEFEE7/8, empty return 7/23
- EVER FRANK, (U11), EG
- Moored 7/9, discharged 7/9, LFD 7/16
- respot 7/19
- ELFD 7/22, empty return 7/23, have one day per diem</t>
  </si>
  <si>
    <t>EITU9186230</t>
  </si>
  <si>
    <t>EN#2159872, INV#070/EXP-POP39187/05/2024, T/R, GATEFEE7/8, empty return 7/19
- EVER FRANK, (U13), EG
- Moored 7/9, discharged 7/9, LFD 7/16
- respot 7/16</t>
  </si>
  <si>
    <t>TRDU6795059</t>
  </si>
  <si>
    <t>EN#2159924, INV#JB2420, T/R, GATEFEE7/8, empty return 7/22
- HYUNDAI EARTH, (U19), HMM
- Moored 7/9, discharged 7/10, LFD 7/16
- pickup pier waiting was from 7:55-10:48am additional 1hr
- Offhired to Conex West  per HY line, split chassis charge fee applies
- respot 7/18
- ELFD 7/19, empty return 7/22, have per diem</t>
  </si>
  <si>
    <t>KOCU4177454</t>
  </si>
  <si>
    <t>EN#2159841, INV#POP24006, T/R, empty return 7/17
- HYUNDAI FORWARD, (U17), HMM
- original Vet &amp; Sanitary cert mailed to GW 6/19
- prepull 7/11, deliver 7/15
- Moored 7/8, discharged 7/9, LFD?</t>
  </si>
  <si>
    <t>EMCU8355703</t>
  </si>
  <si>
    <t>EN#2159494, INV#059/EXP-POP38974/05/2024, T/R, empty return 7/18
- TAIPEI TRIUMPH, (T12), EG
- have additional $150 Maher Surcharge
- Moored 7/7, discharged 7/8, LFD 7/12
- have additional Empty Pick-up surcharge ($535 + 32% Fuel)</t>
  </si>
  <si>
    <t>TRHU7508040</t>
  </si>
  <si>
    <r>
      <rPr>
        <rFont val="Arial"/>
        <color rgb="FF000000"/>
        <sz val="11.0"/>
      </rPr>
      <t xml:space="preserve">EN#2159279, INV#050/EXP-POP38783/05/2024, T/R, </t>
    </r>
    <r>
      <rPr>
        <rFont val="Arial"/>
        <color rgb="FF000000"/>
        <sz val="11.0"/>
      </rPr>
      <t>empty return 7/15</t>
    </r>
    <r>
      <rPr>
        <rFont val="Arial"/>
        <color rgb="FF000000"/>
        <sz val="11.0"/>
      </rPr>
      <t xml:space="preserve">
- CMA CGM LEO, (T2), EG
- have additional $150 APM Surcharge
- Moored 7/5, discharged 7/5, LFD 7/11</t>
    </r>
  </si>
  <si>
    <t>KKFU7899956</t>
  </si>
  <si>
    <r>
      <rPr>
        <rFont val="Arial"/>
        <color rgb="FF000000"/>
        <sz val="11.0"/>
      </rPr>
      <t xml:space="preserve">EN#2159842, INV#PO39416, T/R, </t>
    </r>
    <r>
      <rPr>
        <rFont val="Arial"/>
        <color rgb="FF000000"/>
        <sz val="11.0"/>
      </rPr>
      <t>empty return 7/16</t>
    </r>
    <r>
      <rPr>
        <rFont val="Arial"/>
        <color rgb="FF000000"/>
        <sz val="11.0"/>
      </rPr>
      <t xml:space="preserve">
- ONE MANHATTAN, (U15), ONE
- original Vet &amp; Sanitary cert mailed to GW 6/19
- Moored 7/3, discharged 7/7, LFD 7/11
- was not able to pull out night 7/11 due to heavy congestion, next appt 7/12, LFD 7/11, so one day of demurrage is needed
- PO#39416 was supposed to ship to OAK, but shipped to the LA
- Urgent per Winson</t>
    </r>
  </si>
  <si>
    <t>BMOU3149129</t>
  </si>
  <si>
    <t>WW EVERYDAY ITEMS</t>
  </si>
  <si>
    <t>VL</t>
  </si>
  <si>
    <t>EN#2159732, INV#WW46/2024, T/R, GATEFEE7/2, empty return 7/12
- YM WISH, (U4), YANG MING
- paper bags have Anti-dumping &amp; Countervailing duties
- Moored 7/3, discharged 7/5, LFD 7/11
- pickup pier waiting was from 9:22-11:32am additional ½ hr</t>
  </si>
  <si>
    <t>GCXU8002390</t>
  </si>
  <si>
    <t>EN#2159731, INV#WW50/2024, T/R, GATEFEE7/2, empty return 7/9
- YM WISH, (U2), YANG MING
- paper bags have Anti-dumping &amp; Countervailing duties
- 6/20 received original CI, PL &amp; Health Cert
- 6/21 original Health cert mailed to GW
- Reefer, no genset needed
- Moored 7/3, discharged 7/5, LFD 7/11
- empty container was returned to UIS and chassis was returned to terminal, so split charge fee applies</t>
  </si>
  <si>
    <t>YMLU8951268</t>
  </si>
  <si>
    <r>
      <rPr>
        <rFont val="Arial"/>
        <color rgb="FF000000"/>
        <sz val="11.0"/>
      </rPr>
      <t xml:space="preserve">EN#2159645, INV#JYPOP20240419, T/R, GATEFEE7/3, </t>
    </r>
    <r>
      <rPr>
        <rFont val="Arial"/>
        <color rgb="FF000000"/>
        <sz val="11.0"/>
      </rPr>
      <t>empty return 7/16</t>
    </r>
    <r>
      <rPr>
        <rFont val="Arial"/>
        <color rgb="FF000000"/>
        <sz val="11.0"/>
      </rPr>
      <t xml:space="preserve">
- YM WISH, (T21), YANG MING
- Moored 7/3, discharged 7/5, LFD 7/11
- respot 7/12 when deliver EMCU8491612</t>
    </r>
  </si>
  <si>
    <t>SEKU9337613</t>
  </si>
  <si>
    <t>EN#2159730, INV#WW49/2024, T/R, GATEFEE7/2, empty return 7/15
- YM WISH, (U3), YANG MING
- 6/20 received original CI, PL &amp; Health Cert
- 6/21 original Health cert mailed to GW
- Reefer, no genset needed
- Moored 7/3, discharged 7/5, LFD 7/11
- pickup Pier waiting was from 11:30-1:48pm additional ½ hr
- YML Reefer container was returned to UIS and chassis was returned to terminal, split return chassis charge fee applies</t>
  </si>
  <si>
    <t>YMLU5438441</t>
  </si>
  <si>
    <t>EN#2159729, INV#WW48/2024, T/R, GATEFEE7/2, empty return 7/11
- YM WISH, (U1), YANG MING
- 6/20 received original CI, PL &amp; Health Cert
- 6/21 original Health cert mailed to GW
- Reefer, no genset needed
- Moored 7/3, discharged 7/5, LFD 7/11
- container returned to UIS and the chassis returned to terminal, Split return to terminal charge fee applies</t>
  </si>
  <si>
    <t>126
(LCL)</t>
  </si>
  <si>
    <t>OTPU6484156</t>
  </si>
  <si>
    <t>POP TEA
D-60011B, D-60012B, D-60013B, D-60014B, D-60015B, D-60017B, D-60023B</t>
  </si>
  <si>
    <t>EN#2159881, INV#24TM032, OBL6/19, no GATEFEE (LCL), FCL empty return 7/10
- YM WISH, (U18), YANG MING
- Moored 7/3, discharged 7/5, LFD 7/11</t>
  </si>
  <si>
    <t>EMCU8491612</t>
  </si>
  <si>
    <t>ORGANIC TEABAGS
D-13206, D-13220N, D-14206, D-15206, D-17206, D-18206, D-18220N</t>
  </si>
  <si>
    <t>EN#2160130, INV#YD24-T05, T/R, GATEFEE7/3, empty return 7/18
- EVER LAUREL, (V7), EG
- Moored 7/3, discharged 7/3, LFD 7/14
- available for pickup 7/9, LFD 7/14
- re-spot 7/15 &amp; 7/18</t>
  </si>
  <si>
    <t>GCXU5818796</t>
  </si>
  <si>
    <t>GHC D-04016, GHC PASSION FRUIT D-04035
(to RC Commerce)</t>
  </si>
  <si>
    <t>EN#2159493, INV#JB2418, T/R, empty return 7/9
- HOLSATIA, (T14), MAEU
- have additional $150 Maher Surcharge
- Moored 7/2, discharged 7/2, LFD 7/9
- prepull 7/8, delivered 7/9
- Eric provided Proforma Invoice &amp; DO 7/10
- Jimmy received PO in DC 7/11</t>
  </si>
  <si>
    <t>MSKU9475173</t>
  </si>
  <si>
    <t>GHC
D-04061, D-04030, D-04037</t>
  </si>
  <si>
    <r>
      <rPr>
        <rFont val="Arial"/>
        <color rgb="FF000000"/>
        <sz val="11.0"/>
      </rPr>
      <t xml:space="preserve">EN#2159329, INV#JB2414, T/R, </t>
    </r>
    <r>
      <rPr>
        <rFont val="Arial"/>
        <color rgb="FF000000"/>
        <sz val="11.0"/>
      </rPr>
      <t>empty return 7/15</t>
    </r>
    <r>
      <rPr>
        <rFont val="Arial"/>
        <color rgb="FF000000"/>
        <sz val="11.0"/>
      </rPr>
      <t xml:space="preserve">
- MAERSK LIMA, (T6), MAEU
- have additional $150 APM Surcharge
- Moored 7/2, discharged 7/6, LFD 7/11</t>
    </r>
  </si>
  <si>
    <t>500
(17 PLTS)</t>
  </si>
  <si>
    <t>EN#6027699, INV#090/EXPAIRPOP38951/06/2024, T/R
- airline?, (V21)
- part of PO#38951, air shipment, partial post
-INV# revised</t>
  </si>
  <si>
    <t>TGBU9975543</t>
  </si>
  <si>
    <t>EN#2159507, INV#062/EXP-POP38613/05/2024, T/R, GATEFEE7/1, empty return 7/10
- EVER MAST, (T17), EG
- Moored 6/30, discharged 7/1, LFD 7/9</t>
  </si>
  <si>
    <t>TXGU5659880</t>
  </si>
  <si>
    <t>EN#2159504, INV#061/EXP-POP38958/05/2024, T/R, GATEFEE7/1, empty return 7/16
- EVER MAST, (T15), EG
- Moored 6/30, discharged 7/1, LFD 7/11
- split return chassis charge + 2 hrs. pier waiting from 8:06-12pm</t>
  </si>
  <si>
    <t>TXGU5658862</t>
  </si>
  <si>
    <t>EN#2159505, INV#064/EXP-POP38973/05/2024, T/R, GATEFEE7/1, empty return 7/17
- EVER MAST, (T16), EG
- Moored 6/30, discharged 7/1, LFD 7/11
- respot 7/15
- respot 7/16</t>
  </si>
  <si>
    <t>EGSU9431983</t>
  </si>
  <si>
    <t>EN#2159401, INV#055/EXP-POP38978/05/2024, T/R, GATEFEE7/1, empty return 7/10
- EVER MAST, (T8), EG
- Moored 6/30, discharged 7/1, LFD 7/9</t>
  </si>
  <si>
    <t>127
(LCL)</t>
  </si>
  <si>
    <t>TTNU8315255</t>
  </si>
  <si>
    <t>SEIROGAN 100 PILLS</t>
  </si>
  <si>
    <t>EN#2160231, INV#US-240501, OBL7/2, empty return 7/2
- NYK VIRGO, (V11), ONE
- OBL received 7/1, mailed to forwarder 7/2
- Moored 6/28, discharged 6/28, LFD 7/6
- provided picture of actual product labeling (all sides) &amp; products out of container to FDA 7/8</t>
  </si>
  <si>
    <t>YMMU1014285</t>
  </si>
  <si>
    <t>EN#2159771, INV#MP-202439293, T/R, GATEFEE 6/26, empty return 7/8
- YM UTILITY, (U9), YANG MING
- Moored 6/27, discharged 6/28, LFD 7/5
- 12:38-2pm finished empty returning, additional ½ hr. pier waiting</t>
  </si>
  <si>
    <t>MSKU9837499</t>
  </si>
  <si>
    <t>GHC D-04061, GHC D-04037, GHC TURMERIC D-04032</t>
  </si>
  <si>
    <t>EN#2159492, INV#JB2415, T/R, empty return 7/5 (per Etrans)
- UTE, (T13), MAEU
- have additional $150 APM Surcharge
- Moored 6/26, discharged 6/26, LFD 7/2
- changed terminal to Maher terminal as APM to congested
- have additional Empty Pick-up surcharge ($535 + 32%)</t>
  </si>
  <si>
    <t>39178
39230</t>
  </si>
  <si>
    <t>TLLU2540853</t>
  </si>
  <si>
    <t>KOREAN GINSENG TEA, TU CHUNG TEA, YOUNG JI TEA, KOREAN RED GINSENG POWDER FOR TEA</t>
  </si>
  <si>
    <t>EN#2159766, INV#KB240503, OBL6/12, GATEFEE6/25, empty return 7/9
- HMM EMERALD, (U8), HMM
- Moored 6/27, discharged 6/28, LFD 7/8
- pickup Pier waiting was from 8:11-10:42am additional ½ hr</t>
  </si>
  <si>
    <t>DFSU6955027</t>
  </si>
  <si>
    <t>EN#2159762, INV#JB2419, T/R, GATEFEE6/25, empty return 7/3
- HMM EMERALD, (U5), HMM
- Moored 6/27, discharged 6/28, LFD 7/8</t>
  </si>
  <si>
    <t>EISU8583558</t>
  </si>
  <si>
    <t>EN#2159613, INV#065/EXP-POP38972/05/2024, T/R, empty return 7/9
- EVER MAST, (T20), EG
- Moored 6/24, discharged 6/26, LFD 7/7</t>
  </si>
  <si>
    <t>CXRU1492066</t>
  </si>
  <si>
    <r>
      <rPr>
        <rFont val="Arial"/>
        <color rgb="FF000000"/>
        <sz val="11.0"/>
      </rPr>
      <t xml:space="preserve">EN#2159330, INV#SH00014015, T/R, </t>
    </r>
    <r>
      <rPr>
        <rFont val="Arial"/>
        <color rgb="FF000000"/>
        <sz val="11.0"/>
      </rPr>
      <t>empty return 6/26</t>
    </r>
    <r>
      <rPr>
        <rFont val="Arial"/>
        <color rgb="FF000000"/>
        <sz val="11.0"/>
      </rPr>
      <t xml:space="preserve">
- COSCO EXCELLENCE, (U12), COSCO
- reefer container, not genset needed
- have additional $150 Maher Surcharge
- Moored 6/20, discharged 6/21, LFD 6/25</t>
    </r>
  </si>
  <si>
    <t>GESU5798161</t>
  </si>
  <si>
    <t>EN#2159408, INV#2160, T/R, GATEFEE6/17, empty return 7/1
- YM UNANIMITY, (T11), YANG MING
- Moored 6/20, discharged 6/20, LFD 6/26
- only have 6/26 pm appointment
- prepull 6/26, deliver 6/27
- pickup pier waiting from 1:05-7:36pm, additional 4 ½ hrs, &amp; prepull charge</t>
  </si>
  <si>
    <t>EMCU1637500</t>
  </si>
  <si>
    <t>MYKUALI NOODLES</t>
  </si>
  <si>
    <r>
      <rPr>
        <rFont val="Arial"/>
        <color rgb="FF000000"/>
        <sz val="11.0"/>
      </rPr>
      <t xml:space="preserve">EN#2158979, INV#INV-000132, T/R, </t>
    </r>
    <r>
      <rPr>
        <rFont val="Arial"/>
        <color rgb="FF000000"/>
        <sz val="11.0"/>
      </rPr>
      <t xml:space="preserve">empty return 6/27
</t>
    </r>
    <r>
      <rPr>
        <rFont val="Arial"/>
        <color rgb="FF000000"/>
        <sz val="11.0"/>
      </rPr>
      <t>- CMA CGM CASSIOPEIA, (S19), EG
- have additional $150 APM Surcharge
- At anchor 6/20, estimated berthing 6/22
- Moored 6/22, discharged 6/23, LFD 6/27</t>
    </r>
  </si>
  <si>
    <t>TGBU6524485</t>
  </si>
  <si>
    <r>
      <rPr>
        <rFont val="Arial"/>
        <color rgb="FF000000"/>
        <sz val="11.0"/>
      </rPr>
      <t xml:space="preserve">EN#2158682, INV#046/EXP-POP38954NY/04/2024, T/R, </t>
    </r>
    <r>
      <rPr>
        <rFont val="Arial"/>
        <color rgb="FF000000"/>
        <sz val="11.0"/>
      </rPr>
      <t>empty return 7/1</t>
    </r>
    <r>
      <rPr>
        <rFont val="Arial"/>
        <color rgb="FF000000"/>
        <sz val="11.0"/>
      </rPr>
      <t xml:space="preserve">
- CMA CGM CASSIOPEIA, (S15), EG
-  have additional $150 APM Surcharge
- At anchor 6/20, estimated berthing 6/22
- Moored 6/22, discharged 6/23, LFD 6/27
- freight released 6/26</t>
    </r>
  </si>
  <si>
    <t>EITU9401029</t>
  </si>
  <si>
    <t>EN#2158985, INV#INV-000134, T/R, empty return 6/28
- EVER FAVOR, (S22), EG
- Moored 6/20, discharged 6/21, LFD 6/27</t>
  </si>
  <si>
    <t>EMCU9903463</t>
  </si>
  <si>
    <t>GINGER CHEWS 1 LB &amp; 4 OZ (ORIGINAL)</t>
  </si>
  <si>
    <r>
      <rPr>
        <rFont val="Arial"/>
        <color rgb="FF000000"/>
        <sz val="11.0"/>
      </rPr>
      <t xml:space="preserve">EN#2158821, INV#078/EXP/INV/IV/2024, T/R, </t>
    </r>
    <r>
      <rPr>
        <rFont val="Arial"/>
        <color rgb="FF000000"/>
        <sz val="11.0"/>
      </rPr>
      <t>empty return 6/26</t>
    </r>
    <r>
      <rPr>
        <rFont val="Arial"/>
        <color rgb="FF000000"/>
        <sz val="11.0"/>
      </rPr>
      <t xml:space="preserve">
- CMA CGM CHILE, (S17), EG
- have additional $150 APM Surcharge
- Moored 6/17, discharged 6/18, LFD 6/24</t>
    </r>
  </si>
  <si>
    <t>SUDU6741782</t>
  </si>
  <si>
    <r>
      <rPr>
        <rFont val="Arial"/>
        <color rgb="FF000000"/>
        <sz val="11.0"/>
      </rPr>
      <t xml:space="preserve">GHC D-04016
</t>
    </r>
    <r>
      <rPr>
        <rFont val="Arial"/>
        <color rgb="FF000000"/>
        <sz val="11.0"/>
      </rPr>
      <t>(to RC Commerce)</t>
    </r>
  </si>
  <si>
    <t>EN#2159096, INV#JB2413, T/R, empty return 6/19
- MAERSK NEW DELHI, (T1), MAEU
- have additional $150 APM Surcharge
- deliver to RC
- Moored 6/12, discharged 6/12, LFD 6/18
- prepull 6/17
- Proforma Invoice &amp; DO (Eric)
- Received PO in DC (Jimmy)</t>
  </si>
  <si>
    <t>TIIU4043258</t>
  </si>
  <si>
    <t>GHC LEMON D-04037, TURMERIC D-04032, GHC D-04061</t>
  </si>
  <si>
    <t>EN#2158980, INV#JB2412, T/R, empty return 6/14
- OOCL BANGKOK, (S21), EG
- have additional $150 Maher Surcharge
- Moored 6/6, discharged 6/8, LFD 6/13
- have an additional Empty Pick-up surcharge ($535 + 32% Fuel)</t>
  </si>
  <si>
    <t>BMOU5240686</t>
  </si>
  <si>
    <t>ORGANIC TEABAGS
D-13206, D-14206, D-15206, D-15220N, D-17206, D-18206, D-18220N</t>
  </si>
  <si>
    <r>
      <rPr>
        <rFont val="Arial"/>
        <color rgb="FF000000"/>
        <sz val="11.0"/>
      </rPr>
      <t xml:space="preserve">EN#2159328, INV#YD24-T03, T/R, </t>
    </r>
    <r>
      <rPr>
        <rFont val="Arial"/>
        <color rgb="FF000000"/>
        <sz val="11.0"/>
      </rPr>
      <t>empty return 6/12</t>
    </r>
    <r>
      <rPr>
        <rFont val="Arial"/>
        <color rgb="FF000000"/>
        <sz val="11.0"/>
      </rPr>
      <t xml:space="preserve">
- OOCL BANGKOK, (T5), COSCO
- have additional $150 Maher Surcharge
- Moored 6/6, discharged 6/8, LFD 6/13
- pending AN?</t>
    </r>
  </si>
  <si>
    <t>210
(3 PLTS)</t>
  </si>
  <si>
    <t>EMCU1757038</t>
  </si>
  <si>
    <t>EN#2159317, INV#20240516?, T/R
- EVER FRONT, (T4), EG
- 3 PLTS, LCL
- Moored 6/3, discharged 6/4, LFD 6/11
- Pending FCL pickup, then LCL delivery
- FCL picked up 6/6, LCL LFD 6/11</t>
  </si>
  <si>
    <t>EMCU8712009</t>
  </si>
  <si>
    <r>
      <rPr>
        <rFont val="Arial"/>
        <color rgb="FF000000"/>
        <sz val="11.0"/>
      </rPr>
      <t xml:space="preserve">EN#2158177, INV#042/EXP-POP38628NY/04/2024, T/R, </t>
    </r>
    <r>
      <rPr>
        <rFont val="Arial"/>
        <color rgb="FF000000"/>
        <sz val="11.0"/>
      </rPr>
      <t>empty return 6/10</t>
    </r>
    <r>
      <rPr>
        <rFont val="Arial"/>
        <color rgb="FF000000"/>
        <sz val="11.0"/>
      </rPr>
      <t xml:space="preserve">
- CMA CGM C COLOMB, (S4), EG
- have additional $150 APM Surcharge
- Mooed 6/3, discharged 6/3, LFD 6/7</t>
    </r>
  </si>
  <si>
    <t>EMCU8670177</t>
  </si>
  <si>
    <r>
      <rPr>
        <rFont val="Arial"/>
        <color rgb="FF000000"/>
        <sz val="11.0"/>
      </rPr>
      <t xml:space="preserve">EN#2158131, INV#041/EXP-POP38626NY/04/2024, T/R, </t>
    </r>
    <r>
      <rPr>
        <rFont val="Arial"/>
        <color rgb="FF000000"/>
        <sz val="11.0"/>
      </rPr>
      <t>empty return 6/6</t>
    </r>
    <r>
      <rPr>
        <rFont val="Arial"/>
        <color rgb="FF000000"/>
        <sz val="11.0"/>
      </rPr>
      <t xml:space="preserve">
- CMA CGM C COLOMB, (R22), EG
- have additional $150 APM Surcharge
- Moored 6/3, discharged 6/3, LFD 6/7</t>
    </r>
  </si>
  <si>
    <t>TXGU6076357</t>
  </si>
  <si>
    <r>
      <rPr>
        <rFont val="Arial"/>
        <color rgb="FF000000"/>
        <sz val="11.0"/>
      </rPr>
      <t xml:space="preserve">EN#2158202, INV#044/EXP-POP38615OAK/04/2024, T/R, GATEFEE5/31, </t>
    </r>
    <r>
      <rPr>
        <rFont val="Arial"/>
        <color rgb="FF000000"/>
        <sz val="11.0"/>
      </rPr>
      <t>empty return 6/11</t>
    </r>
    <r>
      <rPr>
        <rFont val="Arial"/>
        <color rgb="FF000000"/>
        <sz val="11.0"/>
      </rPr>
      <t xml:space="preserve">
- EVER FAR, (S5), EG
- Moored 6/1, discharged 6/2, LFD 6/6</t>
    </r>
  </si>
  <si>
    <t>EGHU9731842</t>
  </si>
  <si>
    <r>
      <rPr>
        <rFont val="Arial"/>
        <color rgb="FF000000"/>
        <sz val="11.0"/>
      </rPr>
      <t xml:space="preserve">EN#2158203, INV#045/EXP-POP38630OAK/04/2024, T/R, GATEFEE5/31, </t>
    </r>
    <r>
      <rPr>
        <rFont val="Arial"/>
        <color rgb="FF000000"/>
        <sz val="11.0"/>
      </rPr>
      <t>empty return 6/7</t>
    </r>
    <r>
      <rPr>
        <rFont val="Arial"/>
        <color rgb="FF000000"/>
        <sz val="11.0"/>
      </rPr>
      <t xml:space="preserve">
- EVER FAR, (S6), EG
- Moored 6/1, discharged 6/1, LFD 6/6</t>
    </r>
  </si>
  <si>
    <t>OOCU8764330</t>
  </si>
  <si>
    <r>
      <rPr>
        <rFont val="Arial"/>
        <color rgb="FF000000"/>
        <sz val="11.0"/>
      </rPr>
      <t xml:space="preserve">ORGANIC TEABAGS 
D-13400, D-15400
</t>
    </r>
    <r>
      <rPr>
        <rFont val="Arial"/>
        <color rgb="FF000000"/>
        <sz val="11.0"/>
      </rPr>
      <t>(to RC Commerce)</t>
    </r>
  </si>
  <si>
    <t>EN#2158586, INV#YD24-T04, T/R, empty return 6/5
- COSCO SAKURA, (S10), COSCO
- have additional $150 Maher Surcharge
- Moored 5/29, discharged 5/30, LFD 6/5
- prepull 6/4, deliver 6/5
- Delivered to RC 6/5
- Eric provide Proforma Invoice &amp; DO
- Jimmy receive PO in DC</t>
  </si>
  <si>
    <t>EMCU8447380</t>
  </si>
  <si>
    <r>
      <rPr>
        <rFont val="Arial"/>
        <color rgb="FF000000"/>
        <sz val="11.0"/>
      </rPr>
      <t xml:space="preserve">EN#2158142, INV#074/EXP/INV/IV/2024, T/R, </t>
    </r>
    <r>
      <rPr>
        <rFont val="Arial"/>
        <color rgb="FF000000"/>
        <sz val="11.0"/>
      </rPr>
      <t>empty return 6/4</t>
    </r>
    <r>
      <rPr>
        <rFont val="Arial"/>
        <color rgb="FF000000"/>
        <sz val="11.0"/>
      </rPr>
      <t xml:space="preserve">
- EVER FAR, (S2), EG
- Moored 5/27, discharged 5/28, LFD 6/3</t>
    </r>
  </si>
  <si>
    <t>SLEU2289481</t>
  </si>
  <si>
    <r>
      <rPr>
        <rFont val="Arial"/>
        <color rgb="FF000000"/>
        <sz val="11.0"/>
      </rPr>
      <t xml:space="preserve">EN#2158523, INV#2024TAT02, T/R, </t>
    </r>
    <r>
      <rPr>
        <rFont val="Arial"/>
        <color rgb="FF000000"/>
        <sz val="11.0"/>
      </rPr>
      <t>empty return 6/6 (per Etrans)</t>
    </r>
    <r>
      <rPr>
        <rFont val="Arial"/>
        <color rgb="FF000000"/>
        <sz val="11.0"/>
      </rPr>
      <t xml:space="preserve">
- MAERSK SARAT, (S14), MAEU
- have additional $150 APM Surcharge
- $75 surcharge for SOC empty return to Stockton St, Newark
- Moored 5/27, discharged 5/29, LFD 6/4</t>
    </r>
  </si>
  <si>
    <t>EMCU1845587</t>
  </si>
  <si>
    <t>GHC PLUM D-04036, GHC TURMERIC D-04032, GHC D-04061, GHC GSG D-04030</t>
  </si>
  <si>
    <r>
      <rPr>
        <rFont val="Arial"/>
        <color rgb="FF000000"/>
        <sz val="11.0"/>
      </rPr>
      <t xml:space="preserve">EN#2158765, INV#JB2409, T/R, </t>
    </r>
    <r>
      <rPr>
        <rFont val="Arial"/>
        <color rgb="FF000000"/>
        <sz val="11.0"/>
      </rPr>
      <t>empty return 6/3</t>
    </r>
    <r>
      <rPr>
        <rFont val="Arial"/>
        <color rgb="FF000000"/>
        <sz val="11.0"/>
      </rPr>
      <t xml:space="preserve">
- COSCO SHIPPING PEONY, (S16), EG
- have additional $150 Maher Surcharge
- Moored 5/24, discharged 5/25, LFD 5/31</t>
    </r>
  </si>
  <si>
    <t>EMCU8376692</t>
  </si>
  <si>
    <r>
      <rPr>
        <rFont val="Arial"/>
        <color rgb="FF000000"/>
        <sz val="11.0"/>
      </rPr>
      <t xml:space="preserve">EN#2158143, INV#071/EXP/INV/III/2024, T/R, GATEFEE5/21, </t>
    </r>
    <r>
      <rPr>
        <rFont val="Arial"/>
        <color rgb="FF000000"/>
        <sz val="11.0"/>
      </rPr>
      <t>empty return 6/4</t>
    </r>
    <r>
      <rPr>
        <rFont val="Arial"/>
        <color rgb="FF000000"/>
        <sz val="11.0"/>
      </rPr>
      <t xml:space="preserve">
- CMA CGM MEXICO, (S1), EG
- Moored 5/24, discharged 5/24, LFD 5/31</t>
    </r>
  </si>
  <si>
    <t>EMCU1647160</t>
  </si>
  <si>
    <r>
      <rPr>
        <rFont val="Arial"/>
        <color rgb="FF000000"/>
        <sz val="11.0"/>
      </rPr>
      <t xml:space="preserve">EN#2157896, INV#037/EXP-POP38610NY/03/2024, T/R, </t>
    </r>
    <r>
      <rPr>
        <rFont val="Arial"/>
        <color rgb="FF000000"/>
        <sz val="11.0"/>
      </rPr>
      <t>empty return 5/31</t>
    </r>
    <r>
      <rPr>
        <rFont val="Arial"/>
        <color rgb="FF000000"/>
        <sz val="11.0"/>
      </rPr>
      <t xml:space="preserve">
- CMA CGM ZEPHYR, (R8), EG
- POP pay freight invoice
- have additional $150 APM Surcharge
- Moored 5/24, discharged 5/25, LFD 5/31</t>
    </r>
  </si>
  <si>
    <t>EITU9252537</t>
  </si>
  <si>
    <t>EN#2157895, INV#038/EXP-POP38629NY/03/2024, T/R, empty return 6/3
- CMA CGM ZEPHYR, (R7), EG
- POP pay freight invoice
- have additional $150 APM Surcharge
- Moored 5/24, discharged 5/24, LFD 5/31</t>
  </si>
  <si>
    <t>KOCU5248911</t>
  </si>
  <si>
    <t>GHC PLUM D-04036, TURMERIC D-04032, D-04033, LEMON D-04043, BROWN SUGAR D-41986</t>
  </si>
  <si>
    <t>EN#2158966, INV#JB2411, T/R, empty return 5/31
- YM TROPHY, (S20), HMM
- Moored 5/21, discharged 5/23, LFD 5/30
- prepull 5/29, deliver 5/30</t>
  </si>
  <si>
    <t>EGHU8433289</t>
  </si>
  <si>
    <r>
      <rPr>
        <rFont val="Arial"/>
        <color rgb="FF000000"/>
        <sz val="11.0"/>
      </rPr>
      <t xml:space="preserve">EN#2158130, INV#073/EXP/INV/IV/2024, T/R, GATEFEE5/20, </t>
    </r>
    <r>
      <rPr>
        <rFont val="Arial"/>
        <color rgb="FF000000"/>
        <sz val="11.0"/>
      </rPr>
      <t>empty return 5/28</t>
    </r>
    <r>
      <rPr>
        <rFont val="Arial"/>
        <color rgb="FF000000"/>
        <sz val="11.0"/>
      </rPr>
      <t xml:space="preserve">
- EVER FEAT, (S3), EG
- Moored 5/19, discharged 5/19, LFD 5/23</t>
    </r>
  </si>
  <si>
    <t>CAIU9141254</t>
  </si>
  <si>
    <t>EN#2158059, INV#PO39174, T/R, empty return 5/30
- HMM AMETHYST, (R20) , ONE
- mailed vet cert &amp; sanitary cert to GW 4/26, FedEx 776125807691
- freight invoice FIT24DNB040080 paid 4/26
- have additional $150 GCT Bayonne Surcharge
- Moored 5/18, discharged 5/18, LFD 5/23
- prepull 5/23, deliver 5/24</t>
  </si>
  <si>
    <t>HMMU6263200</t>
  </si>
  <si>
    <r>
      <rPr>
        <rFont val="Arial"/>
        <color rgb="FF000000"/>
        <sz val="11.0"/>
      </rPr>
      <t xml:space="preserve">EN#2158524, INV#KB240410, OBL4/29, </t>
    </r>
    <r>
      <rPr>
        <rFont val="Arial"/>
        <color rgb="FF000000"/>
        <sz val="11.0"/>
      </rPr>
      <t>empty return 5/29</t>
    </r>
    <r>
      <rPr>
        <rFont val="Arial"/>
        <color rgb="FF000000"/>
        <sz val="11.0"/>
      </rPr>
      <t xml:space="preserve">
- HMM AMETHYST, (S11), HMM
- Moored 5/18, discharged 5/19, LFD 5/23
- live unload</t>
    </r>
  </si>
  <si>
    <t>EGHU9842189</t>
  </si>
  <si>
    <t>EN#2158128, INV#051/EXP/INV/III/2024, T/R, empty return 5/24
- EVER MAX, (R21), EG
- have additional $150 Maher Surcharge
- Moored 5/17, discharged 5/17, LFD 5/23</t>
  </si>
  <si>
    <t>BMOU5174012</t>
  </si>
  <si>
    <t>GHC PLUM D-04036, GHC TURMERIC D-04032, GHC D-04061, GHC LEMON D-04043</t>
  </si>
  <si>
    <t>EN#2158522, INV#JB2410, T/R, GATEFEE5/15, empty return 6/6
- YM TOPMOST, (S13), HMM
- Moored 5/16, discharged 5/16, LFD 5/22
- transtainer is blocking the yard location and cannot be accessed, terminal hold, LFD will be extended
- attempt pickup pier waiting on 5/22 was from 7:41-2:33pm additional 7 hr
- LFD extended 6/5</t>
  </si>
  <si>
    <t>351
(12 PLTS)</t>
  </si>
  <si>
    <t>EN#6027158, INV#054/EXP/AIR-POP39160/05/2024, T/R
- TK79, IST-SFO, (T3)
- K80-6027158-3
- PILOT AIR FREIGHT will deliver
- GW advance freight invoice</t>
  </si>
  <si>
    <t>GCXU5322492</t>
  </si>
  <si>
    <r>
      <rPr>
        <rFont val="Arial"/>
        <color rgb="FF000000"/>
        <sz val="11.0"/>
      </rPr>
      <t xml:space="preserve">EN#2157710, INV#033/EXP-POP38363NY/03/2024, T/R, </t>
    </r>
    <r>
      <rPr>
        <rFont val="Arial"/>
        <color rgb="FF000000"/>
        <sz val="11.0"/>
      </rPr>
      <t>empty return 5/21</t>
    </r>
    <r>
      <rPr>
        <rFont val="Arial"/>
        <color rgb="FF000000"/>
        <sz val="11.0"/>
      </rPr>
      <t xml:space="preserve">
- CMA CGM J.MADISON, (R3), EG
- have additional $150 APM Surcharge
- Moored 5/13, discharged 5/15, LFD 5/21</t>
    </r>
  </si>
  <si>
    <t>EITU9404291</t>
  </si>
  <si>
    <t>EN#2157908, INV#039/EXP-POP38631LA/03/2024, T/R, empty return 5/23
- EVER FEAT, (R12), EG
- Moored 5/13, discharged 5/15, LFD 5/21
- prepull 5/20, deliver 5/21</t>
  </si>
  <si>
    <t>CAAU5723697</t>
  </si>
  <si>
    <t>GHC TURMERIC D-04033, GHC D-04011</t>
  </si>
  <si>
    <t>EN#2158235, INV#JB2406, T/R, empty return 5/20
- COSCO SHIPPING ROSE, (S8), EG
- have additional $150 Maher Surcharge
- FDA hold 5/10, inform GW once ready for exam
- K80-2158235-9
- Moored 5/14, discharged 5/15, LFD 5/20
- informed FDA ready for exam 5/20
- FDA came to inspect 5/22, no sample collected, released 5/24</t>
  </si>
  <si>
    <t>EGHU9723364</t>
  </si>
  <si>
    <t>GHC ASSORTED D-04040, GHC MOCHA D-04034</t>
  </si>
  <si>
    <t>EN#2158012, INV#JB2401, T/R, empty return 5/22
- COSCO SHIPPING ROSE, (R17), EG
- have additional $150 Maher Surcharge
- FDA hold 5/10, inform GW once ready for exam
- K80-2158012-2
- Moored 5/14, discharged 5/16, LFD 5/22
- informed FDA ready for exam 5/22
- FDA released 5/23 without came for inspection
- Pending FDA Action Notice 2?</t>
  </si>
  <si>
    <t>TRHU8524030</t>
  </si>
  <si>
    <t>EN#2157866, INV#034/EXP-POP38627OAK/03/2024, T/R, GATEFEE5/10, empty return 5/21
- CMA CGM OSIRIS, (R2), EG
- changing POD from NY to OAK, vendor will cover the POD charging charge, bill back POD changing charge to vendor
- Moored 5/13, discharged 5/13, LFD 5/17
- Bill back POD changing charge to vendor, Debit Note# 2024-045
- Moored 5/13, discharged 5/13, LFD 5/17
- Line released 5/15
- Empty container returned to SSA/OICT, DCLI chassis returned to ETS terminal, Split return charge fee applies</t>
  </si>
  <si>
    <t>MSKU8992124</t>
  </si>
  <si>
    <t>RED PANAX GINSENG, GINKGO BILOBA, ULTRA GINKGO PLUS, ULTRA JOINT HEALTH</t>
  </si>
  <si>
    <t>EN#2157708, INV#HR2402, T/R, empty return 5/23
- MAERSK SINGAPORE, (R1), MAEU
- have additional $150 APM Surcharge
- moored 5/11, discharged 5/13, LFD 5/22
- FDA hold 5/18, all released, except Ultra Ginkgo Plus
- K80-2157708-6
- informed FDA 5/24 ready for exam, FDA came for collect sample 6/4, officer collected 3 boxes from 3 different cases for the lab test
- lab test in process 6/5, Expected Lab Completion Date is Not Available.
- lab test completed 6/10, pending FDA review
- FDA released Ultra Ginkgo Plus 6/11</t>
  </si>
  <si>
    <t>MRKU2074027</t>
  </si>
  <si>
    <t>GHC LEMON D-04043, GHC D-04011</t>
  </si>
  <si>
    <r>
      <rPr>
        <rFont val="Arial"/>
        <color rgb="FF000000"/>
        <sz val="11.0"/>
      </rPr>
      <t xml:space="preserve">EN#2158521, INV#JB2408, T/R, </t>
    </r>
    <r>
      <rPr>
        <rFont val="Arial"/>
        <color rgb="FF000000"/>
        <sz val="11.0"/>
      </rPr>
      <t>empty return 5/16</t>
    </r>
    <r>
      <rPr>
        <rFont val="Arial"/>
        <color rgb="FF000000"/>
        <sz val="11.0"/>
      </rPr>
      <t xml:space="preserve">
- MSC PALOMA, (S12), MAEU
- prepull 5/13, deliver 5/14
- Moored 5/9, discharged 5/11, LFD 5/16</t>
    </r>
  </si>
  <si>
    <t>400
(15 PLTS)</t>
  </si>
  <si>
    <t>GINGER CHEWS PLUS+ 3 OZ (ORIGINAL, LEMON), 4 OZ (PINEAPPLE COCONUT)</t>
  </si>
  <si>
    <t>EN#6027021, INV#048/EXP-POP39161-AIR/04/2024, T/R
- VS0023, LHR-LAX, (S18)
- K80-6027021-3
- GW advance freight charge
- 15 PLTS
- GW will deliver, LFD 5/8
- Pending custom inspection 5/8, then GW will deliver
- customs inspection done 5/8
- POP will pay air freight invoice
- freight forwarder arranged delivery to Livermore warehouse, so no GW trucking invoice.</t>
  </si>
  <si>
    <t>KOCU4502317</t>
  </si>
  <si>
    <r>
      <rPr>
        <rFont val="Arial"/>
        <color rgb="FF000000"/>
        <sz val="11.0"/>
      </rPr>
      <t xml:space="preserve">EN#2158179, INV#PO39173, T/R, GATEFEE5/8, empty return 5/17
- YM UNIFORMITY, (S7), HMM
- mailed vet cert &amp; sanitary cert to GW 4/26, FedEx 776125807691
- freight invoice FIT24DNB040165 paid 4/26
- Moored 5/7, discharged 5/7, LFD 5/13
- ELFD 5/16, empty return 5/17, have 1-day per diem
</t>
    </r>
    <r>
      <rPr>
        <rFont val="Arial"/>
        <color rgb="FFFF0000"/>
        <sz val="11.0"/>
      </rPr>
      <t>- Pending per diem (HMM)?</t>
    </r>
  </si>
  <si>
    <t>TGBU5124972</t>
  </si>
  <si>
    <t>ORGANIC TEABAGS
D-13206, D-14206, D-14220, D-15220N, D-18206, D-18220N, D-19206, D-19220</t>
  </si>
  <si>
    <t>QC#13179
QC#13180</t>
  </si>
  <si>
    <t>EN#2158271, INV#YD24-T02, T/R, GATEFEE5/7
- EVER FORE, (S9), COSCO
- Moored 5/7, discharged 5/8, LFD 5/14
- ELFD 5/17, empty return 5/20, have 3-day per diem</t>
  </si>
  <si>
    <t>EITU1595611</t>
  </si>
  <si>
    <t>EN#2157898, INV#JB2405, T/R, empty return 5/13
- OOCL BERLIN, (R10), EG
- have additional $150 Maher Surcharge
- FDA hold 4/24, inform GW once ready for exam
- K80-2157898-5
- Moored 5/5, discharged 5/6, LFD 5/10
- have additional Empty Pick-up surcharge ($535 + 32%)
- informed FDA ready for exam 5/13
- FDA came to inspect 5/22, released 5/22</t>
  </si>
  <si>
    <t>BMOU4866058</t>
  </si>
  <si>
    <r>
      <rPr>
        <rFont val="Arial"/>
        <color rgb="FF000000"/>
        <sz val="11.0"/>
      </rPr>
      <t xml:space="preserve">EN#2157812, INV#061/EXP/INV/III/2024, T/R, GATEFEE5/6, </t>
    </r>
    <r>
      <rPr>
        <rFont val="Arial"/>
        <color rgb="FF000000"/>
        <sz val="11.0"/>
      </rPr>
      <t xml:space="preserve">empty return 5/15
</t>
    </r>
    <r>
      <rPr>
        <rFont val="Arial"/>
        <color rgb="FF000000"/>
        <sz val="11.0"/>
      </rPr>
      <t>- EVER FAVOR, (R5), EG
- Moored 5/5, discharged 5/5, LFD 5/9
- empty return 12:14-2:02pm additional pier waiting 1hr</t>
    </r>
  </si>
  <si>
    <t>TXGU5651071</t>
  </si>
  <si>
    <t>EN#2157813, INV#062/EXP/INV/III/2024, T/R, GATEFEE5/6, empty return 5/14
- EVER FAVOR, (R4), EG
- Moored 5/5, discharged 5/5, LFD 5/9
- pickup pier waiting was from 11:15-1:35pm additional ½ hr</t>
  </si>
  <si>
    <t>CAAU5215443</t>
  </si>
  <si>
    <t>EN#2157542, INV#054/EXP/INV/III/2024, T/R, GATEFEE5/6, empty return 5/10
- EVER FAVOR, (Q19), EG
- Moored 5/5, discharged 5/5, LFD 5/9
- pickup pier waiting was from 7:59-10:52am additional 1hr</t>
  </si>
  <si>
    <t>TGBU6513412</t>
  </si>
  <si>
    <r>
      <rPr>
        <rFont val="Arial"/>
        <color rgb="FF000000"/>
        <sz val="11.0"/>
      </rPr>
      <t>EN#2157538, INV#055/EXP/INV/III/2024, T/R, GATEFEE5/6,</t>
    </r>
    <r>
      <rPr>
        <rFont val="Arial"/>
        <color rgb="FF000000"/>
        <sz val="11.0"/>
      </rPr>
      <t xml:space="preserve"> empty return 5/9</t>
    </r>
    <r>
      <rPr>
        <rFont val="Arial"/>
        <color rgb="FF000000"/>
        <sz val="11.0"/>
      </rPr>
      <t xml:space="preserve">
- EVER FAVOR, (Q18), EG
- Moored 5/5, discharged 5/5, LFD 5/9</t>
    </r>
  </si>
  <si>
    <t>TXGU5840028</t>
  </si>
  <si>
    <t>EN#2157924, INV#EMI240000592, OBL4/23, GATEFEE5/6, empty return 5/13
- EVER FAVOR, (R13), EG
- Moored 5/5, discharged 5/5, LFD 5/9
- received Benz invoice (chassis) 7/12</t>
  </si>
  <si>
    <t>SUDU6780161</t>
  </si>
  <si>
    <t>EN#2158035, INV#PO39175, T/R, empty return 5/7
- UTE, (R19), MAEU
- mailed vet cert &amp; sanitary cert to GW 4/26, FedEx 776125807691
- freight invoice FIT24DNB040074 paid 4/26
- Moored 4/29, discharged 4/29, LFD 5/6
- Prepull 5/5, deliver 5/6</t>
  </si>
  <si>
    <t>TXGU6816113</t>
  </si>
  <si>
    <t xml:space="preserve">
GINGER CHEWS 4 OZ (LEMON, MANGO)</t>
  </si>
  <si>
    <r>
      <rPr>
        <rFont val="Arial"/>
        <color rgb="FF000000"/>
        <sz val="11.0"/>
      </rPr>
      <t xml:space="preserve">EN#2157897, INV#036/EXP-POP38614OAK/03/2024, T/R, GATEFEE4/29, </t>
    </r>
    <r>
      <rPr>
        <rFont val="Arial"/>
        <color rgb="FF000000"/>
        <sz val="11.0"/>
      </rPr>
      <t>empty return 5/9</t>
    </r>
    <r>
      <rPr>
        <rFont val="Arial"/>
        <color rgb="FF000000"/>
        <sz val="11.0"/>
      </rPr>
      <t xml:space="preserve">
- EVER MAGI, (R9), EG
- Moored 4/28, discharged 4/29, LFD 4/7</t>
    </r>
  </si>
  <si>
    <t>SZLU9280754</t>
  </si>
  <si>
    <t>SAADEDDIN SWEETS &amp; CHOCOLATE</t>
  </si>
  <si>
    <t>EN#2157545, INV#280124, T/R, empty return 5/2
- MSC GREENWICH, (Q20), MSC
- E-Trans does not handle genset delivery, Apex will deliver with genset
- Moored 4/27, discharged 4/27, LFD 4/30
- LFD extended to 5/1
- Prepull 5/1, deliver 5/2, live unload
- Prepull and storage charge will apply</t>
  </si>
  <si>
    <t>SAUDI ARABIA</t>
  </si>
  <si>
    <t>BSIU9158400</t>
  </si>
  <si>
    <r>
      <rPr>
        <rFont val="Arial"/>
        <color rgb="FF000000"/>
        <sz val="11.0"/>
      </rPr>
      <t xml:space="preserve">EN#2158011, INV#JB2402, T/R, </t>
    </r>
    <r>
      <rPr>
        <rFont val="Arial"/>
        <color rgb="FF000000"/>
        <sz val="11.0"/>
      </rPr>
      <t>empty return 5/1</t>
    </r>
    <r>
      <rPr>
        <rFont val="Arial"/>
        <color rgb="FF000000"/>
        <sz val="11.0"/>
      </rPr>
      <t xml:space="preserve">
- YM TARGET, (R16), HMM
- Moored 4/25, discharged 4/25, LFD 5/1</t>
    </r>
  </si>
  <si>
    <t>EMCU8855674</t>
  </si>
  <si>
    <r>
      <rPr>
        <rFont val="Arial"/>
        <color rgb="FF000000"/>
        <sz val="11.0"/>
      </rPr>
      <t xml:space="preserve">EN#2156623, INV#010/EXP/INV/I/2024, T/R, </t>
    </r>
    <r>
      <rPr>
        <rFont val="Arial"/>
        <color rgb="FF000000"/>
        <sz val="11.0"/>
      </rPr>
      <t>empty return 4/30</t>
    </r>
    <r>
      <rPr>
        <rFont val="Arial"/>
        <color rgb="FF000000"/>
        <sz val="11.0"/>
      </rPr>
      <t xml:space="preserve">
- TOLEDO TRIUMPH, (P16), EG
- changed POD from OAK to NY
- have additional $150 Maher Surcharge
- Moored 4/24, discharged 4/24, LFD 4/30</t>
    </r>
  </si>
  <si>
    <t>EMCU9968274</t>
  </si>
  <si>
    <t>EN#2156531, INV#013/EXP-POP38782NY/01/2024, T/R, empty return 5/1
- TOLEDO TRIUMPH, (P6), EG
- have additional $150 Maher Surcharge
- Moored 4/24, discharged 4/24, LFD 4/30
- have Empty Pick-up surcharge ($535 + 32% Fuel)</t>
  </si>
  <si>
    <t>FFAU1590199</t>
  </si>
  <si>
    <t>GHC (D-04061) GHC TURMERIC (D-04032)</t>
  </si>
  <si>
    <t>EN#2157684, INV#JB2404, T/R, empty return 4/29
- CMA CGM CENTAURUS, (Q21), EG
- have additional $150 Maher Surcharge
- K80-2157684-9
- Pending FDA review 4/17
- FDA hold 4/17, inform FDA once ready for exam
- moored 4/23, discharged 4/23, LFD 4/29
- FDA hold 4/17, informed FDA ready for exam 4/25
- FDA Examination Pending 4/26
- FDA came for exam 4/29, released 4/29, FDA didn't take samples, not sure if took photos
- D-04032 only received 192 cs, instead of 200 cs (GC), due to 8 cases couldn't fit, not enough time to amend, will be supplemented next time</t>
  </si>
  <si>
    <t>120
(LCL)</t>
  </si>
  <si>
    <t>FCIU7256210</t>
  </si>
  <si>
    <t>ALUMINIUM FOIL &amp; TAG
(to Sun Ten)</t>
  </si>
  <si>
    <t>EN#2157963, INV#LFE-0327/24, T/R, empty return 4/30
- EVER MAGI, (R14), EG
- Moored 4/22, discharged 4/24, FCL ready for pickup 4/26, LFD 5/1
- FCL picked up 4/29, pending LCL ready &amp; deliver to Sun Ten
- Sandy provide signed received PO &amp; PL</t>
  </si>
  <si>
    <t>TGBU4014116</t>
  </si>
  <si>
    <r>
      <rPr>
        <rFont val="Arial"/>
        <color rgb="FF000000"/>
        <sz val="11.0"/>
      </rPr>
      <t xml:space="preserve">EN#2157811, INV#035/EXP-POP38952LA/03/2024, T/R, </t>
    </r>
    <r>
      <rPr>
        <rFont val="Arial"/>
        <color rgb="FF000000"/>
        <sz val="11.0"/>
      </rPr>
      <t>empty return 5/6 (reuse for export)</t>
    </r>
    <r>
      <rPr>
        <rFont val="Arial"/>
        <color rgb="FF000000"/>
        <sz val="11.0"/>
      </rPr>
      <t xml:space="preserve">
- EVER MAGI, (R6), EG
- Moored 4/22, discharged 4/25, LFD 5/1</t>
    </r>
  </si>
  <si>
    <t>EGSU9317775</t>
  </si>
  <si>
    <t>EN#2157539, INV#053/EXP/INV/III/2024, T/R, empty return 5/3 (reuse for export)
- EVER MAGI, (Q16), EG
- Moored 4/22, discharged 4/23, LFD 4/30
- prepull 4/30</t>
  </si>
  <si>
    <t>TRHU8488591</t>
  </si>
  <si>
    <t>GHC LEMON D-04043, D-04043, GHC D-04011</t>
  </si>
  <si>
    <t>EN#2158038, INV#JB2407, T/R, empty return 5/1 (per GW invoice)
- MSC GAIA, (R18), MAEU
- Moored 4/21, discharged 4/24, LFD 4/29</t>
  </si>
  <si>
    <t>MRSU4831890</t>
  </si>
  <si>
    <t>RED PANAX GINSENG EXTRACT, GINKGO BILOBA, ULTRA GINKGO PLUS, BEIJING ROYAL JELLY</t>
  </si>
  <si>
    <r>
      <rPr>
        <rFont val="Arial"/>
        <color rgb="FF000000"/>
        <sz val="11.0"/>
      </rPr>
      <t>EN#2156937, INV#HR2401, T/R, GATEFEE4/19,</t>
    </r>
    <r>
      <rPr>
        <rFont val="Arial"/>
        <color rgb="FF000000"/>
        <sz val="11.0"/>
      </rPr>
      <t xml:space="preserve"> empty return 4/30</t>
    </r>
    <r>
      <rPr>
        <rFont val="Arial"/>
        <color rgb="FF000000"/>
        <sz val="11.0"/>
      </rPr>
      <t xml:space="preserve">
- MAERSK ALFIRK, (P21), MAEU
- Moored 4/21, discharged 4/22, LFD 4/26</t>
    </r>
  </si>
  <si>
    <t>TGBU7059182</t>
  </si>
  <si>
    <r>
      <rPr>
        <rFont val="Arial"/>
        <color rgb="FF000000"/>
        <sz val="11.0"/>
      </rPr>
      <t>GINGER CHEWS 1 KG</t>
    </r>
    <r>
      <rPr>
        <rFont val="Arial"/>
        <color rgb="FF000000"/>
        <sz val="11.0"/>
      </rPr>
      <t xml:space="preserve"> </t>
    </r>
    <r>
      <rPr>
        <rFont val="Arial"/>
        <color rgb="FF000000"/>
        <sz val="11.0"/>
      </rPr>
      <t xml:space="preserve">(ORIGINAL, LEMON)
</t>
    </r>
    <r>
      <rPr>
        <rFont val="Arial"/>
        <color rgb="FF000000"/>
        <sz val="11.0"/>
      </rPr>
      <t>(deliver to NJ, then RC Commerce pickup)</t>
    </r>
  </si>
  <si>
    <t>EN#2156930, INV#028/EXP/INV/II/2024, T/R, empty return 4/25
- TAIPEI TRIUMPH, (P19), EG
- have additional $150 Maher Surcharge
- Moored 4/19, discharged 4/20, LFD 4/25
- RC closed 4/17–5/1 for vacation
- deliver to NJ warehouse 4/24, then RC will pickup May last week, RC picked up 5/28
- per YG, no need for signed proforma invoice, POP has invoiced RC Commerce on 5/28/24</t>
  </si>
  <si>
    <t>EMCU8336299</t>
  </si>
  <si>
    <r>
      <rPr>
        <rFont val="Arial"/>
        <color rgb="FF000000"/>
        <sz val="11.0"/>
      </rPr>
      <t xml:space="preserve">EN#2157069, INV#034/EXP/INV/II/2024, T/R, </t>
    </r>
    <r>
      <rPr>
        <rFont val="Arial"/>
        <color rgb="FF000000"/>
        <sz val="11.0"/>
      </rPr>
      <t>empty return 4/25</t>
    </r>
    <r>
      <rPr>
        <rFont val="Arial"/>
        <color rgb="FF000000"/>
        <sz val="11.0"/>
      </rPr>
      <t xml:space="preserve">
- APL PARIS, (Q6), EG
- have additional $150 APM Surcharge
- Moored 4/18, discharged 4/19, LFD 4/25</t>
    </r>
  </si>
  <si>
    <t>TLLU8522796</t>
  </si>
  <si>
    <r>
      <rPr>
        <rFont val="Arial"/>
        <color rgb="FF000000"/>
        <sz val="11.0"/>
      </rPr>
      <t xml:space="preserve">EN#2157070, INV#033/EXP/INV/II/2024, T/R, </t>
    </r>
    <r>
      <rPr>
        <rFont val="Arial"/>
        <color rgb="FF000000"/>
        <sz val="11.0"/>
      </rPr>
      <t>empty return 4/24</t>
    </r>
    <r>
      <rPr>
        <rFont val="Arial"/>
        <color rgb="FF000000"/>
        <sz val="11.0"/>
      </rPr>
      <t xml:space="preserve">
- APL PARIS, (Q5), EG
- have additional $150 APM Surcharge
- Moored 4/18, discharged 4/19, LFD 4/25</t>
    </r>
  </si>
  <si>
    <t>EGSU9204531</t>
  </si>
  <si>
    <r>
      <rPr>
        <rFont val="Arial"/>
        <color rgb="FF000000"/>
        <sz val="11.0"/>
      </rPr>
      <t xml:space="preserve">EN#2158129, INV#025/EXP-POP38616OAK/02/2024, T/R, GATEFEE4/19, </t>
    </r>
    <r>
      <rPr>
        <rFont val="Arial"/>
        <color rgb="FF000000"/>
        <sz val="11.0"/>
      </rPr>
      <t>empty return 4/26</t>
    </r>
    <r>
      <rPr>
        <rFont val="Arial"/>
        <color rgb="FF000000"/>
        <sz val="11.0"/>
      </rPr>
      <t xml:space="preserve">
- CMA CGM LEO, (Q10), EG
- changing port from NY to OAK
- changing POD charge applied
- Moored 4/19, discharged 4/19, LFD 4/25</t>
    </r>
  </si>
  <si>
    <t>EMCU8388883</t>
  </si>
  <si>
    <r>
      <rPr>
        <rFont val="Arial"/>
        <color rgb="FF000000"/>
        <sz val="11.0"/>
      </rPr>
      <t xml:space="preserve">EN#2157068, INV#024/EXP-POP38624NY/02/2024, T/R, </t>
    </r>
    <r>
      <rPr>
        <rFont val="Arial"/>
        <color rgb="FF000000"/>
        <sz val="11.0"/>
      </rPr>
      <t>empty return 4/23</t>
    </r>
    <r>
      <rPr>
        <rFont val="Arial"/>
        <color rgb="FF000000"/>
        <sz val="11.0"/>
      </rPr>
      <t xml:space="preserve">
- APL PARIS, (Q1), EG
- have additional $150 APM Surcharge
- Moored 4/18, discharged 4/19, LFD 4/25</t>
    </r>
  </si>
  <si>
    <t>KOCU4039630</t>
  </si>
  <si>
    <t>EN#2157899, INV#JB2342, T/R, empty return 4/26
- YM TUTORIAL, (R11), HMM
- FDA hold 4/14, pending container &amp; ACTUAL product labeling pictures
- K80-2157899-3
- Moored 4/17, discharged 4/19, LFD 4/25
- provided container &amp; ACTUAL product labeling pictures to FDA 4/25, pending FDA release
- FDA released 4/29</t>
  </si>
  <si>
    <t>TGBU4440003</t>
  </si>
  <si>
    <r>
      <rPr>
        <rFont val="Arial"/>
        <color rgb="FF000000"/>
        <sz val="11.0"/>
      </rPr>
      <t xml:space="preserve">EN#2157550, INV#028/EXP-POP38784LA/03/2024, T/R, </t>
    </r>
    <r>
      <rPr>
        <rFont val="Arial"/>
        <color rgb="FF000000"/>
        <sz val="11.0"/>
      </rPr>
      <t>empty return 4/24</t>
    </r>
    <r>
      <rPr>
        <rFont val="Arial"/>
        <color rgb="FF000000"/>
        <sz val="11.0"/>
      </rPr>
      <t xml:space="preserve">
- EVER FRONT, (Q15), EG
- Moored 4/17, discharged 4/19, LFD 4/25</t>
    </r>
  </si>
  <si>
    <t>TLLU7965439</t>
  </si>
  <si>
    <r>
      <rPr>
        <rFont val="Arial"/>
        <color rgb="FF000000"/>
        <sz val="11.0"/>
      </rPr>
      <t xml:space="preserve">EN#2157551, INV#039/EXP/INV/II/2024, T/R, GATEFEE4/15, </t>
    </r>
    <r>
      <rPr>
        <rFont val="Arial"/>
        <color rgb="FF000000"/>
        <sz val="11.0"/>
      </rPr>
      <t>empty return 4/24</t>
    </r>
    <r>
      <rPr>
        <rFont val="Arial"/>
        <color rgb="FF000000"/>
        <sz val="11.0"/>
      </rPr>
      <t xml:space="preserve">
- EVER FAR, (Q7), EG
- changing POD from OAK to NY
- changing POD charge may apply
- 3/13 cannot change POD from OAK to NY
- Moored 4/15, discharged 4/16, LFD 4/22</t>
    </r>
  </si>
  <si>
    <t>EISU8525968</t>
  </si>
  <si>
    <t>EN#2158049, INV#041/EXP/INV/II/2024, T/R, GATEFEE4/15, empty return 4/25
- EVER FAR, (Q9), EG
- Moored 4/15, discharged 4/16, LFD 4/22</t>
  </si>
  <si>
    <t>TGBU7026091</t>
  </si>
  <si>
    <t>GINGER CHEWS 4 OZ (MANGO, BLOOD ORANGE)</t>
  </si>
  <si>
    <r>
      <rPr>
        <rFont val="Arial"/>
        <color rgb="FF000000"/>
        <sz val="11.0"/>
      </rPr>
      <t xml:space="preserve">EN#2156172, INV#004/EXP-POP38617NY/01/2024, T/R, </t>
    </r>
    <r>
      <rPr>
        <rFont val="Arial"/>
        <color rgb="FF000000"/>
        <sz val="11.0"/>
      </rPr>
      <t>empty return 4/22</t>
    </r>
    <r>
      <rPr>
        <rFont val="Arial"/>
        <color rgb="FF000000"/>
        <sz val="11.0"/>
      </rPr>
      <t xml:space="preserve">
- THALASSA MANA, (N9), EG
- have additional $150 Maher Surcharge
- Moored 4/14, discharged 4/14, LFD 4/18</t>
    </r>
  </si>
  <si>
    <t>EMCU8927835</t>
  </si>
  <si>
    <r>
      <rPr>
        <rFont val="Arial"/>
        <color rgb="FF000000"/>
        <sz val="11.0"/>
      </rPr>
      <t xml:space="preserve">EN#2156173, INV#006/EXP-POP38480NY/01/2024, T/R, </t>
    </r>
    <r>
      <rPr>
        <rFont val="Arial"/>
        <color rgb="FF000000"/>
        <sz val="11.0"/>
      </rPr>
      <t>empty return 4/17</t>
    </r>
    <r>
      <rPr>
        <rFont val="Arial"/>
        <color rgb="FF000000"/>
        <sz val="11.0"/>
      </rPr>
      <t xml:space="preserve">
- THALASSA MANA, (N13), EG
- have additional $150 Maher Surcharge
- Moored 4/14, discharged 4/14, LFD 4/18</t>
    </r>
  </si>
  <si>
    <t>EITU1349270</t>
  </si>
  <si>
    <t>ORGANIC TEABAGS
D-13206, D-13220N, D-14220, D-15206, D-15220N, D-18206, D-18220N, D-19206, D-19220</t>
  </si>
  <si>
    <r>
      <rPr>
        <rFont val="Arial"/>
        <color rgb="FF000000"/>
        <sz val="11.0"/>
      </rPr>
      <t xml:space="preserve">EN#2157510, INV#YD24-T01, T/R, </t>
    </r>
    <r>
      <rPr>
        <rFont val="Arial"/>
        <color rgb="FF000000"/>
        <sz val="11.0"/>
      </rPr>
      <t>empty return 4/18</t>
    </r>
    <r>
      <rPr>
        <rFont val="Arial"/>
        <color rgb="FF000000"/>
        <sz val="11.0"/>
      </rPr>
      <t xml:space="preserve">
- COSCO FORTUNE, (Q17), EG
- have additional $150 Maher Surcharge
- Moored 4/12, discharged 4/13, LFD 4/18</t>
    </r>
  </si>
  <si>
    <t>EGHU8285242</t>
  </si>
  <si>
    <r>
      <rPr>
        <rFont val="Arial"/>
        <color rgb="FF000000"/>
        <sz val="11.0"/>
      </rPr>
      <t xml:space="preserve">EN#2158120, INV#045/EXP/INV/III/2024, T/R, </t>
    </r>
    <r>
      <rPr>
        <rFont val="Arial"/>
        <color rgb="FF000000"/>
        <sz val="11.0"/>
      </rPr>
      <t>empty return 4/18</t>
    </r>
    <r>
      <rPr>
        <rFont val="Arial"/>
        <color rgb="FF000000"/>
        <sz val="11.0"/>
      </rPr>
      <t xml:space="preserve">
- EVER FAR, (R15), EG
- Penalties from Customs for late ISF filing?
- Moored 4/11, discharged 4/12, </t>
    </r>
    <r>
      <rPr>
        <rFont val="Arial"/>
        <color rgb="FF000000"/>
        <sz val="11.0"/>
      </rPr>
      <t>LFD 4/18</t>
    </r>
  </si>
  <si>
    <t>KOCU4444490</t>
  </si>
  <si>
    <t>GHC LEMON(D-04043,D-04037), GHC(D-04061)</t>
  </si>
  <si>
    <t>EN#2157690, INV#JB2403, T/R, empty return 4/17
- YM TRAVEL, (Q22), HMM
- FDA hold 4/4, pending ACTUAL product labeling pictures
- K80-2157690-6
- Moored 4/9, discharged 4/11, LFD 4/17
- submitted ACTUAL product labeling pictures 4/16
- FDA released 4/17</t>
  </si>
  <si>
    <t>EGHU9674697</t>
  </si>
  <si>
    <t>EN#2157280, INV#JB2339, T/R, empty return 4/12
- CMA CGM CALLISTO, (Q12), EG
- have additional $150 Maher Surcharge
- Moored 4/7, discharged 4/8, LFD 4/11
- have an additional Empty Pick-up surcharge ($535 + 32% Fuel)</t>
  </si>
  <si>
    <t>EMCU8541626</t>
  </si>
  <si>
    <r>
      <rPr>
        <rFont val="Arial"/>
        <color rgb="FF000000"/>
        <sz val="11.0"/>
      </rPr>
      <t xml:space="preserve">EN#2156545, INV#009/EXP/INV/I/2024, T/R, </t>
    </r>
    <r>
      <rPr>
        <rFont val="Arial"/>
        <color rgb="FF000000"/>
        <sz val="11.0"/>
      </rPr>
      <t>empty return 4/11</t>
    </r>
    <r>
      <rPr>
        <rFont val="Arial"/>
        <color rgb="FF000000"/>
        <sz val="11.0"/>
      </rPr>
      <t xml:space="preserve">
- TALOS, (P9), EG
- have Maher Terminal $150 surcharge
- Moored 4/7, discharged 4/8, LFD 4/12</t>
    </r>
  </si>
  <si>
    <t>DRYU9680540</t>
  </si>
  <si>
    <r>
      <rPr>
        <rFont val="Arial"/>
        <color rgb="FF000000"/>
        <sz val="11.0"/>
      </rPr>
      <t xml:space="preserve">ORGANIC TEABAGS
D-15400
</t>
    </r>
    <r>
      <rPr>
        <rFont val="Arial"/>
        <color rgb="FF000000"/>
        <sz val="11.0"/>
      </rPr>
      <t>(to RC Commerce)</t>
    </r>
  </si>
  <si>
    <t>EN#2157349, INV#YD23-T19, T/R, empty return 4/11
- CMA CGM CALLISTO, (Q13), EG
- have additional $150 Maher Surcharge
- Moored 4/7, discharged 4/8, LFD 4/11
- prepull 4/10
- received Proforma Invoice &amp; DO  from Eric
- Jimmy entered received PO in DC
- Pending final NOPIC? (GC)</t>
  </si>
  <si>
    <t>EMCU8908820</t>
  </si>
  <si>
    <r>
      <rPr>
        <rFont val="Arial"/>
        <color rgb="FF000000"/>
        <sz val="11.0"/>
      </rPr>
      <t xml:space="preserve">EN#2156830, INV#018/EXP-POP38611NY/02/2024, T/R, </t>
    </r>
    <r>
      <rPr>
        <rFont val="Arial"/>
        <color rgb="FF000000"/>
        <sz val="11.0"/>
      </rPr>
      <t>empty return 4/10</t>
    </r>
    <r>
      <rPr>
        <rFont val="Arial"/>
        <color rgb="FF000000"/>
        <sz val="11.0"/>
      </rPr>
      <t xml:space="preserve">
- CMA CGM A. LINCOLN, (P15), EG
- have additional $150 APM Surcharge
- Moored 4/5, discharged 4/5, LFD 4/11</t>
    </r>
  </si>
  <si>
    <t>TEMU9360003</t>
  </si>
  <si>
    <t>SAADEDDIN SWEETS &amp; CHOCOLATE (NEW)</t>
  </si>
  <si>
    <t>EN#2157049, INV#290124, T/R, empty return 4/9
- ONE HANGZHOU BAY, (Q4), HL
- Need genset for pickup, additional charges for genset per day
- Not palletized, cannot do live unload
- Moored 4/3, discharged 4/3, LFD?
- K80-2157049-5
- FDA hold for exam 4/1, informed FDA for exam 4/5, FDA examination pending 4/11
- FDA collected sample 4/23, pending lab test
- FDA collected 42 TIN of F-58111 + 30 TIN of F-58112
- All items released, except F-58111 &amp; F-58112
- sample received by FDA Lab 4/25, expected lab test complete 5/13 &amp; 5/2
- F-58111 lab test expected complete 5/13
- F-58112 lab test completed 5/2, pending FDA review, released 5/6
- F-58111 lab test completed 5/9, pending FDA review, fully released 5/10</t>
  </si>
  <si>
    <t>MRKU2154858</t>
  </si>
  <si>
    <r>
      <rPr>
        <rFont val="Arial"/>
        <color rgb="FF000000"/>
        <sz val="11.0"/>
      </rPr>
      <t xml:space="preserve">EN#2157035, INV#JB2341, T/R, </t>
    </r>
    <r>
      <rPr>
        <rFont val="Arial"/>
        <color rgb="FF000000"/>
        <sz val="11.0"/>
      </rPr>
      <t>empty return 4/9</t>
    </r>
    <r>
      <rPr>
        <rFont val="Arial"/>
        <color rgb="FF000000"/>
        <sz val="11.0"/>
      </rPr>
      <t xml:space="preserve">
- MAERSK SHAMS, (Q3), MAEU
- have additional $150 APM Surcharge
- Moored 4/3, discharged 4/4, LFD 4/10</t>
    </r>
  </si>
  <si>
    <t>EMCU1771801</t>
  </si>
  <si>
    <r>
      <rPr>
        <rFont val="Arial"/>
        <color rgb="FF000000"/>
        <sz val="11.0"/>
      </rPr>
      <t xml:space="preserve">EN#2156836, INV#020/EXP/INV/I/2024, T/R, </t>
    </r>
    <r>
      <rPr>
        <rFont val="Arial"/>
        <color rgb="FF000000"/>
        <sz val="11.0"/>
      </rPr>
      <t>empty return 4/8</t>
    </r>
    <r>
      <rPr>
        <rFont val="Arial"/>
        <color rgb="FF000000"/>
        <sz val="11.0"/>
      </rPr>
      <t xml:space="preserve">
- CMA CGM BRAZIL, (P17), EG
- have additional APM $150 surcharge
- Moored, discharged, LFD 4/5</t>
    </r>
  </si>
  <si>
    <t>HMMU6036660</t>
  </si>
  <si>
    <t>EN#2157427, INV#JB2344, T/R, empty return 4/4
- YM TROPHY, (Q14), HMM
- K80-2157427-3
- Pending FDA review 3/27
- FDA hold 3/27 for exam
- Moored 3/31, discharged 3/31, LFD 4/5
- informed FDA for exam 4/3
- FDA come to exam 4/22, take photo only, without taking sample
- FDA released 4/22</t>
  </si>
  <si>
    <t>TRHU7274105</t>
  </si>
  <si>
    <t>QC#13178</t>
  </si>
  <si>
    <t>EN#2156835, INV#026/EXP/INV/II/2024, T/R, GATEFEE3/29, empty return 4/8
- EVER FOREVER, (P18), EG
- Moored 3/30, discharged 3/30, LFD 4/7, actual LFD 4/5
- print screen info</t>
  </si>
  <si>
    <t>EMCU9972274</t>
  </si>
  <si>
    <t>EN#2156749, INV#016/EXP-POP38625OAK/02/2024, T/R, GATEFEE3/29, empty return 4/5
- EVER FOREVER, (P12), EG
- Moored 3/30, discharged 3/30, LFD 4/7, actual LFD 4/5
- print screen info</t>
  </si>
  <si>
    <t>TGBU6298393</t>
  </si>
  <si>
    <t>EN#2156929, INV#017/EXP-POP38618NY/02/2024, T/R, GATEFEE3/27, empty return 4/17
- CMA CGM C COLOMB, (P14), EG
- change from NY to OAK, additonal charge may apply
- Moored 3/30, discharged 3/31, LFD 4/12
- print screen info
- QC F-04073 lot#12152025 out of stock</t>
  </si>
  <si>
    <t>GAOU6277082</t>
  </si>
  <si>
    <t>GHC LEMON(D-04043)</t>
  </si>
  <si>
    <r>
      <rPr>
        <rFont val="Arial"/>
        <color rgb="FF000000"/>
        <sz val="11.0"/>
      </rPr>
      <t xml:space="preserve">EN#2157033, INV#JB2343, T/R, </t>
    </r>
    <r>
      <rPr>
        <rFont val="Arial"/>
        <color rgb="FF000000"/>
        <sz val="11.0"/>
      </rPr>
      <t>empty return 4/4</t>
    </r>
    <r>
      <rPr>
        <rFont val="Arial"/>
        <color rgb="FF000000"/>
        <sz val="11.0"/>
      </rPr>
      <t xml:space="preserve">
- COSCO EXCELLENCE, (Q2), EG
- have additional $150 Maher Surcharge
- Moored 3/29, discharged 3/30, LFD 4/4</t>
    </r>
  </si>
  <si>
    <t>EITU1390099</t>
  </si>
  <si>
    <t>ALUMINIUM FOIL (HERBAL TEA)
(to Sun Ten)</t>
  </si>
  <si>
    <t>EN#2157220, INV#LFE-0227/24, T/R
- EVER FOREVER, (Q11), EG
- Moored 3/25, discharged 3/27, LFD 4/4
- FCL pickup 2/28, empty return 2/29, pending LCL delivery to Sun Ten</t>
  </si>
  <si>
    <t>MRKU2220538</t>
  </si>
  <si>
    <r>
      <rPr>
        <rFont val="Arial"/>
        <color rgb="FF000000"/>
        <sz val="11.0"/>
      </rPr>
      <t xml:space="preserve">EN#2157157, INV#2158, T/R, </t>
    </r>
    <r>
      <rPr>
        <rFont val="Arial"/>
        <color rgb="FF000000"/>
        <sz val="11.0"/>
      </rPr>
      <t>empty return 4/1</t>
    </r>
    <r>
      <rPr>
        <rFont val="Arial"/>
        <color rgb="FF000000"/>
        <sz val="11.0"/>
      </rPr>
      <t xml:space="preserve">
- MSC ROSA M, (Q8), MAEU
- Moored 3/25, discharged 3/27, LFD 4/3</t>
    </r>
  </si>
  <si>
    <t>BSIU9968130</t>
  </si>
  <si>
    <t>TEABAGS
D-13106, D-14106, D-15106, D-17106</t>
  </si>
  <si>
    <t>EN#2156957, INV#YD23-T18, T/R, empty return 3/28
- CMA CGM MUSCA, (P22), EG
- have additional $150 Maher Terminal surcharge
- Moored 3/23, discharged 3/23, LFD 3/28
- have additional Empty Pick-up surcharge ($525 + 32% Fuel)</t>
  </si>
  <si>
    <t>TCKU4762514</t>
  </si>
  <si>
    <t>EN#2156707, INV#2157, T/R, empty return 3/27
- HYUNDAI HOPE, (P13), YANG MING
- have additional $150 terminal surcharge
- Moored 3/18, discharged 3/20, LFD 3/26</t>
  </si>
  <si>
    <t>XHCU5564293</t>
  </si>
  <si>
    <t>QC#13177
QC#13178</t>
  </si>
  <si>
    <r>
      <rPr>
        <rFont val="Arial"/>
        <color rgb="FF000000"/>
        <sz val="11.0"/>
      </rPr>
      <t xml:space="preserve">EN#2156469, INV#2024TAT01, T/R, GATEFEE3/15, </t>
    </r>
    <r>
      <rPr>
        <rFont val="Arial"/>
        <color rgb="FF000000"/>
        <sz val="11.0"/>
      </rPr>
      <t>empty return 4/4 (per Benz)</t>
    </r>
    <r>
      <rPr>
        <rFont val="Arial"/>
        <color rgb="FF000000"/>
        <sz val="11.0"/>
      </rPr>
      <t xml:space="preserve">
- GERD MAERSK, (P5), MAEU
- Moored 3/16, discharged 3/18, LFD 4/1
- pickup pier waiting was from 8:11-10:33am additional ½ hr
- Container was return to Conex West this noon and the chassis was returned to terminal.  Split return charge fee applies
- print screen info</t>
    </r>
  </si>
  <si>
    <t>EMCU1803405</t>
  </si>
  <si>
    <t>GINGER CHEWS 8 OZ (LYCHEE, MANGO)</t>
  </si>
  <si>
    <t>EN#2156391, INV#009/EXP-POP38619OAK/01/2024, T/R, GATEFEE3/15, empty return 3/22
- EVER FEAT, (N20), EG
- Moored 3/16, discharged 3/17, LFD 3/21
- print screen info</t>
  </si>
  <si>
    <t>GAOU6403386</t>
  </si>
  <si>
    <t>GINGER CHEWS 4 OZ (MANGO, LEMON)</t>
  </si>
  <si>
    <t>EN#2156389, INV#011/EXP-POP38623OAK/01/2024, T/R, GATEFEE3/15, empty return 3/26
- EVER FEAT, (N21), EG
- Moored 3/16, discharged 3/17, LFD 3/21
- print screen info</t>
  </si>
  <si>
    <t>TGBU7142677</t>
  </si>
  <si>
    <r>
      <rPr>
        <rFont val="Arial"/>
        <color rgb="FF000000"/>
        <sz val="11.0"/>
      </rPr>
      <t xml:space="preserve">EN#2155844, INV#244/EXP/INV/XII/2023, T/R, </t>
    </r>
    <r>
      <rPr>
        <rFont val="Arial"/>
        <color rgb="FF000000"/>
        <sz val="11.0"/>
      </rPr>
      <t>empty return 3/22</t>
    </r>
    <r>
      <rPr>
        <rFont val="Arial"/>
        <color rgb="FF000000"/>
        <sz val="11.0"/>
      </rPr>
      <t xml:space="preserve">
- TEXAS TRIUMPH, (M20), EG
- old BL 080300576756 canceled, new BL 080300576748
- have additional $150 Maher Surcharge
- Moored 3/16, discharged 3/16, LFD 3/22
- The goods collapsed again inside the container</t>
    </r>
  </si>
  <si>
    <t>TGBU6985002</t>
  </si>
  <si>
    <t>EN#5134585, INV#235/EXP/INV/XII/2023, T/R, empty return 3/22
- TEXAS TRIUMPH, (M11), EG
- have additional $150 Maher Surcharge
- Moored 3/16, discharged 3/16, LFD 3/22
- prepull 3/19</t>
  </si>
  <si>
    <t>TGBU9961426</t>
  </si>
  <si>
    <r>
      <rPr>
        <rFont val="Arial"/>
        <color rgb="FF000000"/>
        <sz val="11.0"/>
      </rPr>
      <t xml:space="preserve">EN#2155798, INV#115/EXP-POP38357/12/2023, T/R, </t>
    </r>
    <r>
      <rPr>
        <rFont val="Arial"/>
        <color rgb="FF000000"/>
        <sz val="11.0"/>
      </rPr>
      <t>empty return 3/20</t>
    </r>
    <r>
      <rPr>
        <rFont val="Arial"/>
        <color rgb="FF000000"/>
        <sz val="11.0"/>
      </rPr>
      <t xml:space="preserve">
- TEXAS TRIUMPH, (M14), EG
- have additional $150 Maher Surcharge
- Moored 3/16, discharged 3/17, LFD 3/22</t>
    </r>
  </si>
  <si>
    <t>TGBU6619765</t>
  </si>
  <si>
    <t>EN#2156390, INV#010/EXP-POP38362NY/01/2024, T/R, empty return 3/21
- ERVING, (N19), EG
- have additional $150 APM Surcharge
- Moored 3/15, discharged 3/16, LFD 3/21</t>
  </si>
  <si>
    <t>SEKU6292747</t>
  </si>
  <si>
    <t>QC#13179</t>
  </si>
  <si>
    <t>EN#2156470, INV#94277752, T/R, no PL, GATEFEE3/15, empty return 3/25
- NYK RUMINA, (P4), HL
- Moored 3/14, discharged 3/15, LFD 3/21
- container empty will return to Conglobal Oakland and chassis will return to terminal, will have additional split return charge
- empty pier waiting from 9:45-11:30am additional 1 hr + split return chassis charge
- print screen info</t>
  </si>
  <si>
    <t>TXGU6624110</t>
  </si>
  <si>
    <t>EN#2156388, INV#008/EXP-POP38621LA/01/2024, T/R, empty return 3/26
- EVER FEAT, (N18), EG
- Moored 3/12, discharged 3/13, LFD 3/21
- Prepull 3/20, deliver 3/21</t>
  </si>
  <si>
    <t>EMCU9972103</t>
  </si>
  <si>
    <r>
      <rPr>
        <rFont val="Arial"/>
        <color rgb="FF000000"/>
        <sz val="11.0"/>
      </rPr>
      <t xml:space="preserve">EN#2156546, INV#014/EXP-POP38622LA/01/2024, T/R, </t>
    </r>
    <r>
      <rPr>
        <rFont val="Arial"/>
        <color rgb="FF000000"/>
        <sz val="11.0"/>
      </rPr>
      <t>empty return 3/19</t>
    </r>
    <r>
      <rPr>
        <rFont val="Arial"/>
        <color rgb="FF000000"/>
        <sz val="11.0"/>
      </rPr>
      <t xml:space="preserve">
- EVER FEAT, (P7), EG
- Moored 3/12, discharged 3/13, LFD 3/20</t>
    </r>
  </si>
  <si>
    <t>TEMU1606744</t>
  </si>
  <si>
    <t>EN#2156471, INV#94277521, T/R, no PL, empty return 3/15
- NYK RUMINA, (P1), HL
- Moored 3/10, discharged 3/10, LFD 3/14</t>
  </si>
  <si>
    <t>HASU4468001</t>
  </si>
  <si>
    <t>1MM POTATO CRACKER (NEW)</t>
  </si>
  <si>
    <r>
      <rPr>
        <rFont val="Arial"/>
        <color rgb="FF000000"/>
        <sz val="11.0"/>
      </rPr>
      <t xml:space="preserve">EN#2156340, INV#JYPOP20240123, T/R, </t>
    </r>
    <r>
      <rPr>
        <rFont val="Arial"/>
        <color rgb="FF000000"/>
        <sz val="11.0"/>
      </rPr>
      <t>empty return 3/19</t>
    </r>
    <r>
      <rPr>
        <rFont val="Arial"/>
        <color rgb="FF000000"/>
        <sz val="11.0"/>
      </rPr>
      <t xml:space="preserve">
- GUDRUN MAERSK, (N22), MAEU
- TX provide fair market values
- have additional $150 APM Surcharge
- Moored 3/9, discharged 3/9, LFD 3/14
- pickup appointment 3/13 canceled due to terminal machine down</t>
    </r>
  </si>
  <si>
    <t>SMCU1296161</t>
  </si>
  <si>
    <t>EN#2156907, INV#KB240203, OBL2/29
- SM YANTIAN, (P20), SM
- Moored 3/4, discharged 3/5, LFD 3/8
- FCL picked up 3/5, FCL empty return 3/11
- not CFS, is FCL</t>
  </si>
  <si>
    <t>TGBU9964066</t>
  </si>
  <si>
    <t>QC#13173</t>
  </si>
  <si>
    <t>EN#2156544, INV#008/EXP/INV/I/2024, T/R, GATEFEE3/4, empty return 3/14
- EVER FUTURE, (P8), EG
- Moored 3/4, discharged 3/4, LFD 3/10
- ready for pickup 3/6, LFD 3/11
- print screen info</t>
  </si>
  <si>
    <t>EISU9379467</t>
  </si>
  <si>
    <t>GHC(D-04061), GHC LEMON(D-04037)</t>
  </si>
  <si>
    <t>EN#2156535, INV#JB2340, T/R, empty return 3/7
- COSCO PRIDE, (P10), EG
- Moored 3/3, discharged 3/4, LFD 3/8
- have additional $150 Maher Surcharge
- have additional Empty Pick-up surcharge ($535 + 32% Fuel)</t>
  </si>
  <si>
    <t>TLLU7692165</t>
  </si>
  <si>
    <t>EN#5135360, INV#JB2337, T/R, empty return 3/5
- COSCO SHIPPING ROSE, (N17), EG
- have additional $150 Maher Surcharge
- Moored 2/27, discharged 2/28, LFD 3/4</t>
  </si>
  <si>
    <t>EMCU9975000</t>
  </si>
  <si>
    <r>
      <rPr>
        <rFont val="Arial"/>
        <color rgb="FF000000"/>
        <sz val="11.0"/>
      </rPr>
      <t xml:space="preserve">EN#5135036, INV#001/EXP-POP38479NY/01/2024, T/R, </t>
    </r>
    <r>
      <rPr>
        <rFont val="Arial"/>
        <color rgb="FF000000"/>
        <sz val="11.0"/>
      </rPr>
      <t>empty return 3/6</t>
    </r>
    <r>
      <rPr>
        <rFont val="Arial"/>
        <color rgb="FF000000"/>
        <sz val="11.0"/>
      </rPr>
      <t xml:space="preserve">
- CMA CGM MEXICO, (N7), EG
- have additional $150 APM Surcharge
- Moored 2/27, discharged 2/28, LFD 3/5</t>
    </r>
  </si>
  <si>
    <t>EITU9166742</t>
  </si>
  <si>
    <t>QC#13175</t>
  </si>
  <si>
    <t>EN#2155843, INV#240/EXP/INV/XII/2023, T/R, GATEFEE2/26, empty return 3/7
- EVER FAVOR, (M18), EG
- Moored 2/25, discharged 2/25, LFD 3/1, actual LFD 3/3
- respot 3/5 (charged in Invoice 321942)
- print screen info</t>
  </si>
  <si>
    <t>EMCU8850693</t>
  </si>
  <si>
    <t>QC#13174</t>
  </si>
  <si>
    <r>
      <rPr>
        <rFont val="Arial"/>
        <color rgb="FF000000"/>
        <sz val="11.0"/>
      </rPr>
      <t xml:space="preserve">EN#2155841, INV#238/EXP/INV/XII/2023, T/R, GATEFEE 2/26, empty return 2/29
- EVER FAVOR, (M17), EG
- Moored 2/25, discharged 2/25, LFD 2/29
- print screen info
- Benz voided invoice 322179
- Benz voided invoice 322429
</t>
    </r>
    <r>
      <rPr>
        <rFont val="Arial"/>
        <color rgb="FFFF0000"/>
        <sz val="11.0"/>
      </rPr>
      <t>- pending Benz invoice (chassis)?</t>
    </r>
  </si>
  <si>
    <t>EGHU8335528</t>
  </si>
  <si>
    <t>EN#2155842, INV#239/EXP/INV/XII/2023, T/R, GATEFEE2/26, empty return 3/7
- EVER FAVOR, (M19), EG
- Moored 2/25, discharged 2/26, LFD 3/3
- 3/5 respot (charged in Invoice 321942)
- print screen info</t>
  </si>
  <si>
    <t>EMCU1764232</t>
  </si>
  <si>
    <t>EN#2155065, INV#005/EXP-POP38356OAK(REPL)/01/2024, T/R, GATEFEE2/26, empty return 3/5
- EVER FAVOR, (N12), EG
- replacement for TGBU9933379
- Moored 2/25, discharged 2/26, LFD 2/29
- 2cs shortage on the Blood Orange 4oz (debit memo)
- 3/5 respot empty (charged in Invoice 321942)
- print screen info
- Shortage 2cs Blood Orange? void debit memo</t>
  </si>
  <si>
    <t>TRHU6923160</t>
  </si>
  <si>
    <t>EN#2156174, INV#002/EXP-POP38444OAK/01/2024, T/R, GATEFEE2/26, empty return 3/1
- EVER FAVOR, (N11), EG
- Moored 2/25, discharged 2/26, LFD 2/29
- print screen info</t>
  </si>
  <si>
    <t>TGBU9927714</t>
  </si>
  <si>
    <t>EN#2156175, INV#003/EXP-POP38359OAK/01/2024, T/R, GATEFEE2/26, empty return 2/29
- EVER FAVOR, (N10), EG
- Moored 2/25, discharged 2/26, LFD 3/3
- print screen info</t>
  </si>
  <si>
    <t>TXGU5838930</t>
  </si>
  <si>
    <t>GHC D-04061 GHC TURMERIC D-04032, GHC MATCHA D-04024 , D-04030</t>
  </si>
  <si>
    <t>EN#2156197, INV#JB2336, T/R, empty return 3/4
- OOCL KOREA, (N16), EG
- have additional $150 Maher Surcharge
- Moored 2/24, discharged 2/26, LFD 2/29
- prepull 2/29, deliver 3/1</t>
  </si>
  <si>
    <t>MSKU1898918</t>
  </si>
  <si>
    <t>QC#13176
QC#13177</t>
  </si>
  <si>
    <t>EN#2155945, INV#HR2309, T/R, GATEFEE2/21, empty return 3/13
- GUTHORM MAERSK, (M22), MAEU
- Moored 2/25, discharged 2/25, LFD 2/29
- ready for pickup 3/2, LFD 3/11
- print screen info</t>
  </si>
  <si>
    <t>BMOU6726728</t>
  </si>
  <si>
    <t>GHC MOCHA (D-04034), INSTANT CHINESE HERBAL BULK (A-6101G)</t>
  </si>
  <si>
    <t>from GC</t>
  </si>
  <si>
    <t>QC#13170</t>
  </si>
  <si>
    <t>EN#2156387, INV#AIT2314, T/R, GATEFEE2/20, empty return 3/5
- CMA CGM FLORIDA, (P3), CMA
- At anchor 2/23, estimated berthing 2/24
- Moored 2/25, discharged 2/25, LFD 2/29
- print screen info
- when pickup empty return, respot EMCU1764232, EITU9166742, EGHU83355
- QC D-04034 from Grace</t>
  </si>
  <si>
    <t>SEGU6666138</t>
  </si>
  <si>
    <t>HERBAL DRINK</t>
  </si>
  <si>
    <r>
      <rPr>
        <rFont val="Arial"/>
        <color rgb="FF000000"/>
        <sz val="11.0"/>
      </rPr>
      <t xml:space="preserve">EN#5134836, INV#PO38854, T/R, </t>
    </r>
    <r>
      <rPr>
        <rFont val="Arial"/>
        <color rgb="FF000000"/>
        <sz val="11.0"/>
      </rPr>
      <t>empty return 3/1</t>
    </r>
    <r>
      <rPr>
        <rFont val="Arial"/>
        <color rgb="FF000000"/>
        <sz val="11.0"/>
      </rPr>
      <t xml:space="preserve">
- CMA CGM OSIRIS, (N4), OOCL
- original Sanitary Cert sent to GW 1/18
- have additional $150 APM Surcharge
- Moored 2/22, discharged 2/23, LFD 2/29</t>
    </r>
  </si>
  <si>
    <t>GCXU5949348</t>
  </si>
  <si>
    <r>
      <rPr>
        <rFont val="Arial"/>
        <color rgb="FF000000"/>
        <sz val="11.0"/>
      </rPr>
      <t xml:space="preserve">GHC, GHC LEMON D-04016/D-04017
</t>
    </r>
    <r>
      <rPr>
        <rFont val="Arial"/>
        <color rgb="FF000000"/>
        <sz val="11.0"/>
      </rPr>
      <t>(to RC Commerce)</t>
    </r>
  </si>
  <si>
    <t>EN#2155730, INV#JB2330, T/R, empty return 2/29
- YM WARMTH, (M10), HL
- Moored 2/22, discharged 2/23, LFD 2/29
- have Global Terminal surcharge ($150)
- prepull 2/28, deliver 2/29
- Eric provide Proforma Invoice &amp; DO
- Jimmy received PO in DC</t>
  </si>
  <si>
    <t>EITU9342501</t>
  </si>
  <si>
    <r>
      <rPr>
        <rFont val="Arial"/>
        <color rgb="FF000000"/>
        <sz val="11.0"/>
      </rPr>
      <t xml:space="preserve">EN#5134928, INV#JB2334, T/R, </t>
    </r>
    <r>
      <rPr>
        <rFont val="Arial"/>
        <color rgb="FF000000"/>
        <sz val="11.0"/>
      </rPr>
      <t>empty return 2/29</t>
    </r>
    <r>
      <rPr>
        <rFont val="Arial"/>
        <color rgb="FF000000"/>
        <sz val="11.0"/>
      </rPr>
      <t xml:space="preserve">
- EVER FINE, (N1), EG
- have additional $150 Maher Surcharge
- Moored 2/22, discharged 2/23, LFD 2/29</t>
    </r>
  </si>
  <si>
    <t>GLDU9788445</t>
  </si>
  <si>
    <t>EN#2156573, INV#94279177, no PL, empty return 2/28
- TUBUL, (P11), HL
- have additional $150 Maher Surcharge
- Moored 2/22, discharged 2/22, LFD 2/28</t>
  </si>
  <si>
    <t>HMMU6379530</t>
  </si>
  <si>
    <r>
      <rPr>
        <rFont val="Arial"/>
        <color rgb="FF000000"/>
        <sz val="11.0"/>
      </rPr>
      <t xml:space="preserve">EN#5134930, INV#MP-202338735, T/R, </t>
    </r>
    <r>
      <rPr>
        <rFont val="Arial"/>
        <color rgb="FF000000"/>
        <sz val="11.0"/>
      </rPr>
      <t>empty return 2/29</t>
    </r>
    <r>
      <rPr>
        <rFont val="Arial"/>
        <color rgb="FF000000"/>
        <sz val="11.0"/>
      </rPr>
      <t xml:space="preserve">
- YM WARMTH, (N2), HMM
- have additional $150 Global Surcharge
- Moored 2/22, discharged 2/23, LFD 2/28</t>
    </r>
  </si>
  <si>
    <t>BMOU5569558</t>
  </si>
  <si>
    <t>EN#5135033, INV#2152, T/R, empty return 3/4
- YM WARMTH, (N6), YANG MING
- have additional $150 Global Surcharge
- Moored 2/22, discharged 2/23, LFD 2/29
- Prepull 2/29, deliver 3/1</t>
  </si>
  <si>
    <t>EITU9449357</t>
  </si>
  <si>
    <r>
      <rPr>
        <rFont val="Arial"/>
        <color rgb="FF000000"/>
        <sz val="11.0"/>
      </rPr>
      <t xml:space="preserve">EN#5135075, INV#005/EXP/INV/I/2024, T/R, </t>
    </r>
    <r>
      <rPr>
        <rFont val="Arial"/>
        <color rgb="FF000000"/>
        <sz val="11.0"/>
      </rPr>
      <t>empty return 3/1</t>
    </r>
    <r>
      <rPr>
        <rFont val="Arial"/>
        <color rgb="FF000000"/>
        <sz val="11.0"/>
      </rPr>
      <t xml:space="preserve">
- EVER FAVOR, (N8), EG
- Moored 2/20, discharged 2/21, LFD?
- ready for pickup 2/22, LFD 2/29</t>
    </r>
  </si>
  <si>
    <t>TGBU6998782</t>
  </si>
  <si>
    <t>GHC MATCHA D-04034 (NEW)</t>
  </si>
  <si>
    <r>
      <rPr>
        <rFont val="Arial"/>
        <color rgb="FF000000"/>
        <sz val="11.0"/>
      </rPr>
      <t xml:space="preserve">EN#2156196, INV#JB2338, T/R, </t>
    </r>
    <r>
      <rPr>
        <rFont val="Arial"/>
        <color rgb="FF000000"/>
        <sz val="11.0"/>
      </rPr>
      <t>empty return 2/23</t>
    </r>
    <r>
      <rPr>
        <rFont val="Arial"/>
        <color rgb="FF000000"/>
        <sz val="11.0"/>
      </rPr>
      <t xml:space="preserve">
- COSCO JASMINE, (N15), EG
- have additional $150 Maher Surcharge
- Moored 2/17, discharged 2/18, LFD 2/23</t>
    </r>
  </si>
  <si>
    <t>GCXU5813726</t>
  </si>
  <si>
    <r>
      <rPr>
        <rFont val="Arial"/>
        <color rgb="FF000000"/>
        <sz val="11.0"/>
      </rPr>
      <t xml:space="preserve">EN#2156394, INV#2154, T/R, </t>
    </r>
    <r>
      <rPr>
        <rFont val="Arial"/>
        <color rgb="FF000000"/>
        <sz val="11.0"/>
      </rPr>
      <t>empty return 2/27</t>
    </r>
    <r>
      <rPr>
        <rFont val="Arial"/>
        <color rgb="FF000000"/>
        <sz val="11.0"/>
      </rPr>
      <t xml:space="preserve">
- ONE FOCUS, (P2), MAEU
- Moored 2/15, discharged 2/21, LFD 2/24</t>
    </r>
  </si>
  <si>
    <t>BMOU5223647</t>
  </si>
  <si>
    <t>TEABAGS
D-14106, D-14106, D-15106, D17106</t>
  </si>
  <si>
    <t>QC#13175
QC#13176</t>
  </si>
  <si>
    <t>EN#2156184, INV#YD23-T17, T/R, GATEFEE2/13, empty return 2/27
- EVER LEADING, (N14), COSCO
- Moored 2/14, discharged 2/15, LFD 2/22
- empty was returned to ETS, chassis was returned to SSA terminal, split return charge fee applies
- print screen info
- QC PL#5556276, only case available</t>
  </si>
  <si>
    <t>TGBU7269234</t>
  </si>
  <si>
    <r>
      <rPr>
        <rFont val="Arial"/>
        <color rgb="FF000000"/>
        <sz val="11.0"/>
      </rPr>
      <t xml:space="preserve">EN#2155646, INV#113/EXP-POP38360/12/2023, T/R, </t>
    </r>
    <r>
      <rPr>
        <rFont val="Arial"/>
        <color rgb="FF000000"/>
        <sz val="11.0"/>
      </rPr>
      <t>empty return 2/22</t>
    </r>
    <r>
      <rPr>
        <rFont val="Arial"/>
        <color rgb="FF000000"/>
        <sz val="11.0"/>
      </rPr>
      <t xml:space="preserve">
- CMA CGM J. ADAMS, (M12), EG
- have additional $150 APM Surcharge
- Moored 2/12, discharged 2/14, LFD 2/21</t>
    </r>
  </si>
  <si>
    <t>SKIU9098169</t>
  </si>
  <si>
    <t>EN#2155806, INV#112/EXP-POP38355(REPL)/12/2023, T/R, empty return 2/21
- CMA CGM J. ADAMS, (M8), EG
- replacement for recall EMCU8527335
- have additional $150 APM Surcharge
- Moored 2/12, discharged 2/14, LFD 2/21</t>
  </si>
  <si>
    <t>YMMU1216630</t>
  </si>
  <si>
    <r>
      <rPr>
        <rFont val="Arial"/>
        <color rgb="FF000000"/>
        <sz val="11.0"/>
      </rPr>
      <t xml:space="preserve">EN#5134835, INV#PO38853, T/R, GATEFEE2/9, </t>
    </r>
    <r>
      <rPr>
        <rFont val="Arial"/>
        <color rgb="FF000000"/>
        <sz val="11.0"/>
      </rPr>
      <t>empty return2/28</t>
    </r>
    <r>
      <rPr>
        <rFont val="Arial"/>
        <color rgb="FF000000"/>
        <sz val="11.0"/>
      </rPr>
      <t xml:space="preserve">
- ONE COLUMBA, (N3), YANG MING
- original Sanitary Cert sent to GW 1/18
- At anchor 2/8, estimated berthing 2/16
- Moored 2/16, discharged 2/16, LFD 2/23
- print screen info</t>
    </r>
  </si>
  <si>
    <t>KOCU4319760</t>
  </si>
  <si>
    <r>
      <rPr>
        <rFont val="Arial"/>
        <color rgb="FF000000"/>
        <sz val="11.0"/>
      </rPr>
      <t xml:space="preserve">EN#2155659, INV#JB2333, T/R, </t>
    </r>
    <r>
      <rPr>
        <rFont val="Arial"/>
        <color rgb="FF000000"/>
        <sz val="11.0"/>
      </rPr>
      <t>empty return 2/16</t>
    </r>
    <r>
      <rPr>
        <rFont val="Arial"/>
        <color rgb="FF000000"/>
        <sz val="11.0"/>
      </rPr>
      <t xml:space="preserve">
- TANGIER EXPRESS, (M16), HMM
- have additional $150 Port Liberty Bayonne Surcharge
- At anchor 2/4, estimated berthing 2/7
- Moored 2/8, discharged 2/10, LFD 2/16
- have additional Empty Pick-up Surcharge ($535 + 32% Fuel)</t>
    </r>
  </si>
  <si>
    <t>TRHU5763025</t>
  </si>
  <si>
    <r>
      <rPr>
        <rFont val="Arial"/>
        <color rgb="FF000000"/>
        <sz val="11.0"/>
      </rPr>
      <t xml:space="preserve">EN#2155269, INV#223/EXP/INV/XII/2023, T/R, </t>
    </r>
    <r>
      <rPr>
        <rFont val="Arial"/>
        <color rgb="FF000000"/>
        <sz val="11.0"/>
      </rPr>
      <t>empty return 2/14</t>
    </r>
    <r>
      <rPr>
        <rFont val="Arial"/>
        <color rgb="FF000000"/>
        <sz val="11.0"/>
      </rPr>
      <t xml:space="preserve">
- CMA CGM LAPEROUSE, (L21), EG
- have additional $150 APM Surcharge
- Moored 2/7, discharged 2/8, LFD 2/13</t>
    </r>
  </si>
  <si>
    <t>EMCU1594007</t>
  </si>
  <si>
    <r>
      <rPr>
        <rFont val="Arial"/>
        <color rgb="FF000000"/>
        <sz val="11.0"/>
      </rPr>
      <t xml:space="preserve">EN#5134063, INV#224/EXP/INV/XII/2023, T/R, </t>
    </r>
    <r>
      <rPr>
        <rFont val="Arial"/>
        <color rgb="FF000000"/>
        <sz val="11.0"/>
      </rPr>
      <t>empty return 2/15</t>
    </r>
    <r>
      <rPr>
        <rFont val="Arial"/>
        <color rgb="FF000000"/>
        <sz val="11.0"/>
      </rPr>
      <t xml:space="preserve">
- CMA CGM LAPEROUSE, (M1), EG
- have additional $150 APM Surcharge
- Moored 2/7, discharged 2/8, LFD 2/13</t>
    </r>
  </si>
  <si>
    <t>YMMU6569429</t>
  </si>
  <si>
    <t>EN#5134725, INV#2151, T/R, GATEFEE2/6, empty return 2/13
- YM UBIQUITY, (M21), YANG MING
- Moored 2/4, discharged 2/5, LFD 2/9
- print screen info</t>
  </si>
  <si>
    <t>SEGU3579153</t>
  </si>
  <si>
    <r>
      <rPr>
        <rFont val="Arial"/>
        <color rgb="FF000000"/>
        <sz val="11.0"/>
      </rPr>
      <t xml:space="preserve">EN#2155048, INV#94263895, T/R, no PL, </t>
    </r>
    <r>
      <rPr>
        <rFont val="Arial"/>
        <color rgb="FF000000"/>
        <sz val="11.0"/>
      </rPr>
      <t>empty return 2/9</t>
    </r>
    <r>
      <rPr>
        <rFont val="Arial"/>
        <color rgb="FF000000"/>
        <sz val="11.0"/>
      </rPr>
      <t xml:space="preserve">
- NYK REMUS, (L12), HL
- Moored 2/3, discharged 2/4, LFD?</t>
    </r>
  </si>
  <si>
    <t>CAIU9902081</t>
  </si>
  <si>
    <r>
      <rPr>
        <rFont val="Arial"/>
        <color rgb="FF000000"/>
        <sz val="11.0"/>
      </rPr>
      <t xml:space="preserve">GHC LEMON
</t>
    </r>
    <r>
      <rPr>
        <rFont val="Arial"/>
        <color rgb="FF000000"/>
        <sz val="11.0"/>
      </rPr>
      <t>(to RC Commerce)</t>
    </r>
  </si>
  <si>
    <t>EN#5134122, INV#JB2328, T/R, empty return 2/9
- AIN SNAN EXPRESS, (M2), HMM
- have additional $150 Port Liberty Bayonne Surcharge
- need signed Proforma Invoice &amp; DO from RC
- At anchor 1/31
- Moored 2/3, discharged 2/4, LFD 2/8
- prepull 2/7
- Unloading completed and no detention waiting time was incurred
- Proforma Invoice &amp; DO from Eric H
- Received PO (DC) from Jimmy</t>
  </si>
  <si>
    <t>TRHU6844857</t>
  </si>
  <si>
    <t>EN#5133974, INV#108/EXP-POP38349/12/2023, T/R, empty return 2/14
- CMA CGM LEO, (L20), EG
- have additional $150 APM Surcharge
- Moored 1/31, discharged 2/1, LFD 2/6
- empty pickup 2/12, pending return 2/14?</t>
  </si>
  <si>
    <t>TGCU5199050</t>
  </si>
  <si>
    <t>EN#2154965, INV#HR2308, T/R, empty return 2/7
- ULSAN EXPRESS, (L8), ONE
- have additional $150 Global Surcharge
- At anchor 1/24, estimated berthing 1/28
- Moored 1/29, discharged 1/31, LFD 2/6</t>
  </si>
  <si>
    <t>EMCU8231153</t>
  </si>
  <si>
    <t>EN#2155796, INV#233/EXP/INV/XII/2023, T/R, empty return 2/1 (reused for export)
- EVER FOREVER, (M13), EG
- Moored 1/23, discharged 1/24, LFD 1/31
- prepull 1/30 @ 1:30am
- EG &amp; GW issue chassis refund
- Evergreen confirmed trucker didn't use Evergreen chassis, GW didn't void Credit Memo 2155796-Credit, and POP will pay Invoice 2155796-A</t>
  </si>
  <si>
    <t>TGBU8648931</t>
  </si>
  <si>
    <t>EN#2155535, INV#111/EXP-POP38612/12/2023, T/R, empty return 2/5
- EVER FOREVER, (M3), EG
- Moored 1/23, discharged 1/25, LFD 1/31
- Prepull 1/30, deliver 1/31
- EG &amp; GW issue chassis refund</t>
  </si>
  <si>
    <t>TCLU4309613</t>
  </si>
  <si>
    <t>QC#13169</t>
  </si>
  <si>
    <t>EN#2155543, INV# 2149, T/R, GATEFEE1/22, empty return 1/31
- EVER FEAT, (M4), EG
- Moored 1/23, discharged 1/23, LFD 1/29
- print screen info
- use EG chassis</t>
  </si>
  <si>
    <t>TCKU7517850</t>
  </si>
  <si>
    <t>EN#2155542, INV#JB2332, T/R, empty return 1/31
- GEORG MAERSK, (M5), MAEU
- have additional $150 APM Surcharge
- Moored 1/22, discharged 1/23, LFD 1/26
- prepull 1/26, deliver 1/30
- Pre-pull ($150), Storage ($50/day), Per Diems (TBA)
- have additional Empty Pick-up surcharge ($535 + 32%)</t>
  </si>
  <si>
    <t>CAAU5974711</t>
  </si>
  <si>
    <t>GHC (D-04061, D-04030), GHC LEMON (D-04037)</t>
  </si>
  <si>
    <t>EN#2155823, INV#JB2335, T/R, empty return 1/30
- OOCL BRUSSELS, (M9), CMA
- Moored 1/21, discharged 1/25, LFD 1/29</t>
  </si>
  <si>
    <t>EGHU8321020</t>
  </si>
  <si>
    <t>EN#2154993, INV#215/EXP/INV/XI/2023, T/R, empty return 1/30
- EVER MACH, (L9), EG
- have additional $150 Maher Surcharge
- Moored 1/21, discharged 1/21, LFD 1/25
- prepull 1/25, deliver 1/26</t>
  </si>
  <si>
    <t>EITU9165411</t>
  </si>
  <si>
    <t>EN#5134837, INV#PO38855, T/R, empty return 1/25
- EVER FEAT, (N5), EG
- original Sanitary Cert sent to GW 1/18
- Moored 1/17, discharged 1/19, LFD 1/25
- FDA hold 1/10
- K80-5134837-4
- Pending ACTUAL product labeling picture
- Pending container with the container# picture
-  GW submit product labeling &amp; container# picture 1/24
- pending FDA review 1/25
- FDA detained 1/29, pending FDA Action Notice for violation charges
- Need to provide documentation of the manufacturer's name and address with the FCE and SID information, respond by 2/16
- per trucker, prepull 1/22
- GW submitted POP letterhead to FDA 2/5
- FDA released 2/5</t>
  </si>
  <si>
    <t>CMAU9424262</t>
  </si>
  <si>
    <r>
      <rPr>
        <rFont val="Arial"/>
        <color rgb="FF000000"/>
        <sz val="11.0"/>
      </rPr>
      <t>NEW</t>
    </r>
    <r>
      <rPr>
        <rFont val="Arial"/>
        <color rgb="FF000000"/>
        <sz val="11.0"/>
      </rPr>
      <t xml:space="preserve"> - GHC ASSORTED (D-04040)</t>
    </r>
  </si>
  <si>
    <t>EN#5134037, INV#JB2320, T/R, empty return 1/26
- COSCO HARMONY, (L22), CMA
- have additional $150 Maher Surcharge
- FDA hold for exam 1/16
- K80-5134037-1
- Moored 1/17, discharged 1/18, LFD 1/24
- inform FDA for exam 1/24
- received PO submitted 1/25
- FDA released without collecting any sample 1/31
- Pending FDA Action Notice 2 (GW)?</t>
  </si>
  <si>
    <t>SEGU6435761</t>
  </si>
  <si>
    <r>
      <rPr>
        <rFont val="Arial"/>
        <color rgb="FF000000"/>
        <sz val="11.0"/>
      </rPr>
      <t>GHC (</t>
    </r>
    <r>
      <rPr>
        <rFont val="Arial"/>
        <color rgb="FF000000"/>
        <sz val="11.0"/>
      </rPr>
      <t>TUMERIC, LEMON, MATCHA</t>
    </r>
    <r>
      <rPr>
        <rFont val="Arial"/>
        <color rgb="FF000000"/>
        <sz val="11.0"/>
      </rPr>
      <t xml:space="preserve">), INSTANT TEA CHINESE HERBAL BULK </t>
    </r>
    <r>
      <rPr>
        <rFont val="Arial"/>
        <color rgb="FF000000"/>
        <sz val="11.0"/>
      </rPr>
      <t>A-6101G</t>
    </r>
  </si>
  <si>
    <t>EN#2155729, INV#AIT2313, T/R, GATEFEE1/17, empty return 2/2
- CMA CGM NEW JERSEY, (M15), CMA
- At anchor 1/17, estimated 1/23
- Moored 1/21, discharged 1/21, LFD 1/25
- ready for pickup 1/25, LFD 1/30
- print screen info
-  QC D-04024 from Grace</t>
  </si>
  <si>
    <t>TEMU6400015</t>
  </si>
  <si>
    <r>
      <rPr>
        <rFont val="Arial"/>
        <color rgb="FF000000"/>
        <sz val="11.0"/>
      </rPr>
      <t xml:space="preserve">EN#2155163, INV#2148, T/R, </t>
    </r>
    <r>
      <rPr>
        <rFont val="Arial"/>
        <color rgb="FF000000"/>
        <sz val="11.0"/>
      </rPr>
      <t>empty return 1/29</t>
    </r>
    <r>
      <rPr>
        <rFont val="Arial"/>
        <color rgb="FF000000"/>
        <sz val="11.0"/>
      </rPr>
      <t xml:space="preserve">
- COSCO HARMONY, (L19), EG
- have additional $150 Maher Surcharge
- Moored 1/17, discharged 1/19, LFD 1/25</t>
    </r>
  </si>
  <si>
    <t>EMCU8495201</t>
  </si>
  <si>
    <t>EN#2155118, INV#219/EXP/INV/XI/2023, T/R, GATEFEE1/15, empty return 1/25
- EVER FAIR, (L16), EG
- Moored 1/16, discharged 1/17, LFD 1/22
- no EG chassis, Benz will bill chassis charge
- trucker use EG chassis, Benz issue chassis refund (revised invoice)
- print screen info</t>
  </si>
  <si>
    <t>TCLU1524865</t>
  </si>
  <si>
    <t>GHC D-04061 /GHC LEMON D-04037/ BAN LAN GEN D-02030B/ INSTANT TEA CHINESE BULK A-6101G</t>
  </si>
  <si>
    <t>1/3/2024
1/5/2024</t>
  </si>
  <si>
    <t>EN#2155540, INV#AIT2312, T/R, GATEFEE1/8, empty return 1/23
- CMA CGM FLORIDA, (M7), CMA
- K80-2155540-5
- FDA release GHC, GHC LEMON 1/3
- FDA request  INSTANT TEA CHINESE HERBAL &amp; BAN LAN GEN labels/photos 1/3
- FDA release BAN LAN GEN EXTRACT TEA, INSTANT TEA CHINESE BULK 1/5
- At anchor 1/8, estimated berthing 1/11
- Moored 1/11, discharged 1/11, LFD 1/19
- on WCCP chassis. WCCP chassis first 4 days - $ 45/day min 2days, 5th day to 14th day - $ 85/day
- print screen info</t>
  </si>
  <si>
    <t>TRHU8717527</t>
  </si>
  <si>
    <t>EN#2155066, INV#102/EXP-POP38350/11/2023, T/R, GATEFEE1/5, empty return 1/16
- EVER FUTURE, (L6), EG
- Moored 1/7, discharged 1/7, LFD 1/11
- Recall 15 cs LYCHEE
- out gated with not Evergreen chassis, have chassis usage charge
- chassis refund by EG/GW
- print screen info</t>
  </si>
  <si>
    <t>CMAU9070723</t>
  </si>
  <si>
    <t>EN#2154952, INV#2147, T/R, empty return 1/17
- TITAN, (L5), CMA
- have additional $150 Maher Surcharge
- Moored 1/6, discharged 1/6, LFD 1/11
- prepull 1/11, deliver 1/12
- have additional Empty Pick-up surcharge ($535 + 32% Fuel)</t>
  </si>
  <si>
    <t>MSDU5693994</t>
  </si>
  <si>
    <t xml:space="preserve">RED PANAX GINSENG EXTRACT, GINKGO BILOBA EXTRACT, ULTRA JOINT HEALTH, AG ROYAL JELLY, BEIJING ROYAL JELLY </t>
  </si>
  <si>
    <t>EN#5132988, INV#HR2307, T/R, empty return 1/12
- MSC NATASHA XIII, (K9), MSC
- have additional $150 PNCT Surcharge
- additional $200 for overweight surcharge (43,122 LBS)
- legal weight limit is 43,000 Lbs
- Moored 1/5, discharged 1/7, LFD 1/11
- prepull 1/11, deliver 1/12</t>
  </si>
  <si>
    <t>TRHU6123233</t>
  </si>
  <si>
    <t>ASSORTED GHC (D-04040)</t>
  </si>
  <si>
    <t>EN#2155541, INV#JB2331, T/R, empty return 1/9
- COSCO DENMARK, (M6), CMA
- Moored 1/3, discharged 1/4, LFD 1/7
- FDA request pictures of actual product labeling</t>
  </si>
  <si>
    <t>EMCU1624837</t>
  </si>
  <si>
    <t>EN#2154886, INV#205/EXP/INV/XI/2023, T/R, empty return 1/12
- CMA CGM C COLOMB, (L3), EG
- have additional $150 APM Surcharge
- Moored 1/4, discharged 1/5, LFD 1/11</t>
  </si>
  <si>
    <t>OOLU6868440</t>
  </si>
  <si>
    <t>ORGANIC TEABAGS
D-13206, D-14206, D-15206, D-19206</t>
  </si>
  <si>
    <t>EN#2155141, INV#YD23-T16, T/R, empty return 1/11
- CMA CGM MUSCA, (L18), COSCO
- have additional $150 Maher Surcharge
- Moored 1/3, discharged 1/4, LFD 1/10</t>
  </si>
  <si>
    <t>EMCU8835929</t>
  </si>
  <si>
    <t>EN#2154994, INV#212/EXP/INV/XI/2023, T/R, empty return 1/11
- EVER FUTURE, (L10), EG
- Moored 1/2, discharged 1/4, LFD 1/10
- prepull 1/8
- EG/GW issue chassis refund</t>
  </si>
  <si>
    <t>ETA Date</t>
  </si>
  <si>
    <t>Arrive WH Date</t>
  </si>
  <si>
    <t>WHSU5963910</t>
  </si>
  <si>
    <t>RED 4G, 18G, OINTMENT 18G, WHITE 4G, 18G</t>
  </si>
  <si>
    <t>received</t>
  </si>
  <si>
    <r>
      <rPr>
        <rFont val="Arial"/>
        <color rgb="FF000000"/>
        <sz val="11.0"/>
      </rPr>
      <t xml:space="preserve">EN#2164283, INV#PI24-135, 24ILC028916, PO#40380, OBL12/20, GATEFEE12/31, </t>
    </r>
    <r>
      <rPr>
        <rFont val="Arial"/>
        <color rgb="FF000000"/>
        <sz val="11.0"/>
      </rPr>
      <t>empty return 1/9</t>
    </r>
    <r>
      <rPr>
        <rFont val="Arial"/>
        <color rgb="FF000000"/>
        <sz val="11.0"/>
      </rPr>
      <t xml:space="preserve">
- SEASPAN BEYOND, (TB7), WAN HAI
- At anchor 1/1
- Moored 1/5, discharged 1/5, LFD 1/9</t>
    </r>
  </si>
  <si>
    <t>TCKU3682712</t>
  </si>
  <si>
    <t>EN#2163600, INV#PI24-114, 24ILC028876, PO#40236, OBL11/13, empty return 1/8
- ONE WREN, (TA18), ONE
- have an additional $150 Port Liberty Bayonne Surcharge
- Moored 12/29, discharged 12/30, LFD 1/7</t>
  </si>
  <si>
    <t>WHLU5565187
BHCU5002761</t>
  </si>
  <si>
    <t>12/27/2024
12/27/2024</t>
  </si>
  <si>
    <t>EN#2163745, INV#PI24-17, 24ILC028864, PO#40369, OBL12/10
- BALTIMORE EXPRESS, (TA20), WAN HAI
- have additional $150 per container APM Surcharge
- moored12/19
- c#5787 - discharged 12/19, LFD 12/27, empty return 12/27
- c#2761 - discharged 12/19, LFD 12/27, empty return 12/30</t>
  </si>
  <si>
    <t>ONEU5626415
FDCU0612198</t>
  </si>
  <si>
    <t>OINTMENT 18G, 50G,  WHITE 18G, RED 4G</t>
  </si>
  <si>
    <t>1/2/2025
1/2/2025</t>
  </si>
  <si>
    <t>EN#2163601, INV#PI24-132, 24ILC028877, PO#40234, OBL11/13
- YM WARRANTY, (TA19), ONE
- have additional $150/ container Port Liberty Bayonne (aka Global) Surcharge
- moored 12/23
- c#6415 - discharged 12/26, LFD 1/2, prepulled 12/30, empty return 1/3
- c#2198 - discharged 12/28, LFD 1/6, empty return 1/3</t>
  </si>
  <si>
    <t>OOCU5027129</t>
  </si>
  <si>
    <t>EN#2164429, INV#PI24-21, 24ILC028896, PO#40377, OBL12/10, empty return 12/26
- COSCO THAILAND, (TB9), COSCO
- Moored 12/16, discharged 12/18, LFD 12/23</t>
  </si>
  <si>
    <t>FFAU5641761</t>
  </si>
  <si>
    <t>EN#2163536, INV#PI24-94, 24ILC028846, PO#40233, OBL11/13, empty return 12/18
- CMA CGM CHILE, (TA15), OOCL
- have an additional $150 APM Surcharge
- Moored 12/14, discharged 12/14, LFD 12/19
- 1/2 discrepancy issue with this PO, Francis is checking with the manufacturer to confirm the QTY</t>
  </si>
  <si>
    <t>OOLU2990743</t>
  </si>
  <si>
    <r>
      <rPr>
        <rFont val="Arial"/>
        <color theme="1"/>
        <sz val="11.0"/>
      </rPr>
      <t xml:space="preserve">EN#2163537, INV#PI24-88 &amp; PI24-96, 24ILC028859, PO#40230, OBL11/13, </t>
    </r>
    <r>
      <rPr>
        <rFont val="Arial"/>
        <color theme="1"/>
        <sz val="11.0"/>
      </rPr>
      <t>empty return 12/18</t>
    </r>
    <r>
      <rPr>
        <rFont val="Arial"/>
        <color theme="1"/>
        <sz val="11.0"/>
      </rPr>
      <t xml:space="preserve">
- CMA CGM CHILE, (TA14), OOCL
- have an additional $150 APM Surcharge
- Moored 12/14, discharged 12/15, LFD 12/19</t>
    </r>
  </si>
  <si>
    <t>TCNU6322458
OOCU4974920</t>
  </si>
  <si>
    <t>12/18/2024
12/18/2024</t>
  </si>
  <si>
    <t>EN#2163995, INV#PI24-19, 24ILC028866, PO#40373, OBL12/10, GATEFEE12/11
- EVER MACH, (TA22), COSCO
- moored 12/12
- c#2458 - discharged 12/13, LFD 12/19, empty return 12/19
- c#4920 - discharged 12/12, LFD 12/18, empty return 12/18
- c#2548 - 12/17 pickup pier waiting was from 10:17 – 5pm additional 7 hrs, no night gate, pickup again 12/18
- c#2458 - pickup 12/18 pier waiting 8:06-11:15am additional 1 hr</t>
  </si>
  <si>
    <t>WHSU4030268</t>
  </si>
  <si>
    <t>EN#2163492, INV#PI24-77, T/R, PO#40232, empty return 12/18
- WAN HAI A15, (TA11), WAN HAI
- have an additional $150 APM Surcharge
- Moored 12/11, discharged 12/13, LFD 12/18</t>
  </si>
  <si>
    <t>OOCU0620717</t>
  </si>
  <si>
    <t>EN#2163534, INV#PI24-87 &amp; PI24-95, 24ILC028857, PO#40229, OBL11/13, GATEFEE12/9, empty return 12/16
- CMA CGM ARGENTINA, (TA16), OOCL
- Moored 12/11, discharged 12/12, LFD 12/18
- pickup pier waiting was from 7:39-11:09am additional 1 ½ hr</t>
  </si>
  <si>
    <t>MSMU6468295</t>
  </si>
  <si>
    <t>WHITE 18G</t>
  </si>
  <si>
    <t>EN#2164072, INV#PI24-137, 24ILC028914, PO#40344, OBL12/4
- GUNHILDE MAERSK, (TB4), MSC
- APM Terminal @ LA
- Moored 12/4, discharged 12/5, FCL LFD 12/9, FCL picked up 12/10, FCL empty return 12/11, LCL ready for pickup 12/11, LCL LFD 12/19</t>
  </si>
  <si>
    <t>TSSU5198233</t>
  </si>
  <si>
    <t>EN#2163442, INV#PI24-89 &amp; PI24-97, 24ILC028858, PO#40228, OBL11/13, empty return 12/6
- TS SINGAPORE, (TA12), TS LINES
- Moored 11/26, discharged 11/26, LFD 12/4
- prepulled 12/3</t>
  </si>
  <si>
    <t>38PLTS</t>
  </si>
  <si>
    <t>TLLU2588230
KOCU4420970</t>
  </si>
  <si>
    <t xml:space="preserve">OINTMENT 10G, 50G, RED 18G, WHITE 4G, 18G </t>
  </si>
  <si>
    <t>12/3/2024
11/29/2024</t>
  </si>
  <si>
    <t>EN#2163599, INV#PI24-131 &amp; PI24-138, 24ILC028878, PO#40235, OBL11/13, GATEFEE11/18
- YM UTILITY, (TA17), HMM
- At anchor 11/25
- Moored 11/26
- c#8230 - discharged 11/26, LFD 12/3, empty return 12/3
- c#0970 - discharged 11/26, LFD 11/30, empty return 11/29
- QC PL# 5600909 revised, no all items picked</t>
  </si>
  <si>
    <t>GCXU5240922</t>
  </si>
  <si>
    <t>5600914
(void)</t>
  </si>
  <si>
    <t>EN#2162945, INV#PI24-93, 24ILC028817, PO#40224, OBL10/30, GATEFEE11/18, empty return 11/27
- ONE HELSINKI, (TA9), ONE
- Moored 11/25, discharged 11/25, LFD 12/2
- QC PL#5600914 void, items not found</t>
  </si>
  <si>
    <t>YMMU6809469</t>
  </si>
  <si>
    <t>EN#2162790, INV#PI24-85, 24ILC028830, PO#40126, OBL10/8
- ONE MINATO, (TA5), YANG MING
- Moored 11/21, discharged 11/22, LFD 11/29, FCL picked up 11/27, FCL empty return 12/2</t>
  </si>
  <si>
    <t>WHSU4031639</t>
  </si>
  <si>
    <t>EN#2162859, INV#PI24-69, T/R PO#40129, empty return 11/22
- CHARLESTON EXPRESS, (TA7), WAN HAI
- have an additional $150 APM Surcharge
- Moored 11/18, discharged 11/18, LFD 11/22
- prepulled 11/21(waived), delivered 11/22</t>
  </si>
  <si>
    <t>TEMU4226820
ZCSU7614823</t>
  </si>
  <si>
    <t>11/20/2024
11/20/2024</t>
  </si>
  <si>
    <r>
      <rPr>
        <rFont val="Arial"/>
        <color rgb="FF000000"/>
        <sz val="11.0"/>
      </rPr>
      <t xml:space="preserve">EN#2163440, INV#PI24-133, 24ILC028879, PO#40231, OBL11/13
- ZIM CHARLESTON, (TA13), ZIM
- Moored 11/15
- c#6820 - discharged 11/15, LFD 11/20, prepulled 11/19, </t>
    </r>
    <r>
      <rPr>
        <rFont val="Arial"/>
        <color rgb="FF000000"/>
        <sz val="11.0"/>
      </rPr>
      <t>delivered 11/20</t>
    </r>
    <r>
      <rPr>
        <rFont val="Arial"/>
        <color rgb="FF000000"/>
        <sz val="11.0"/>
      </rPr>
      <t xml:space="preserve">, empty return 11/20
- c#4823 - discharged 11/15, LFD 11/20, prepulled 11/19, </t>
    </r>
    <r>
      <rPr>
        <rFont val="Arial"/>
        <color rgb="FF000000"/>
        <sz val="11.0"/>
      </rPr>
      <t>delivered 11/20</t>
    </r>
    <r>
      <rPr>
        <rFont val="Arial"/>
        <color rgb="FF000000"/>
        <sz val="11.0"/>
      </rPr>
      <t>, empty return 11/21</t>
    </r>
  </si>
  <si>
    <t>WHLU5540173
WHSU5849213
WHSU5591807</t>
  </si>
  <si>
    <t>OINTMENT 10G, 18G, 50G, RED 4G, 18G, WHITE 18G</t>
  </si>
  <si>
    <t>11/19/2024
11/18/2024
11/18/2024</t>
  </si>
  <si>
    <t>EN#2162673, INV#PI24-126, 24ILC028821, PO#40123, OBL10/8
- WAN HAI A08, (TA3), WAN HAI
- have an additional $150/contr APM Surcharge
- moored 11/10
- c#0173 - discharged 11/12, LFD 11/18, prepulled 11/18, empty return 11/21
- c#9213 - discharged 11/12, LFD 11/18, empty return 11/19
- c#1807 - discharged 11/12, LFD 11/18, empty return 11/19</t>
  </si>
  <si>
    <t>DFSU7763327
WHSU4010678</t>
  </si>
  <si>
    <t>11/15/2024
11/18/2024</t>
  </si>
  <si>
    <t>EN#2162541, INV#PI24-14, 24ILC028810, PO#40124, OBL10/8
- WAN HAI A08, (TD21), WAN HAI
- have an additional $150/contr APM Surcharge
- moored 11/10
- c#3327 - discharged 11/12, LFD 11/15, empty return 11/19
- c#0678 - discharged 11/12, LFD 11/18, empty return 11/19</t>
  </si>
  <si>
    <t>HMMU6148891
HDMU4776463</t>
  </si>
  <si>
    <t>11/13/2024
11/12/2024</t>
  </si>
  <si>
    <t>EN#2163102, INV#PI24-16, 24ILC028863, PO#40227, OBL10/30, GATEFEE11/4
- YM UNIFORMITY, (TA10), HMM
- Moored 11/7
- c#8891 - discharged 11/7, LFD 11/13, empty return 11/13
- c#6463 - discharged 11/7, LFD 11/12, empty return 11/12
- HMMU6148891 empty returned pier waiting was from 11:18-1:10pm additional 1hr.</t>
  </si>
  <si>
    <t>WHLU5809895</t>
  </si>
  <si>
    <r>
      <rPr>
        <rFont val="Arial"/>
        <color rgb="FF000000"/>
        <sz val="11.0"/>
      </rPr>
      <t xml:space="preserve">EN#2162303, INV#PI24-14, 24ILC028810, PO#40063, OBL10/8, </t>
    </r>
    <r>
      <rPr>
        <rFont val="Arial"/>
        <color rgb="FF000000"/>
        <sz val="11.0"/>
      </rPr>
      <t>empty return 11/14</t>
    </r>
    <r>
      <rPr>
        <rFont val="Arial"/>
        <color rgb="FF000000"/>
        <sz val="11.0"/>
      </rPr>
      <t xml:space="preserve">
- LOS ANGELES EXPRESS, (TD18), WAN HAI
- have an additional $150 APM Surcharge
- Moored 11/6, discharged 11/6, LFD 11/12</t>
    </r>
  </si>
  <si>
    <t>TLLU2054553</t>
  </si>
  <si>
    <r>
      <rPr>
        <rFont val="Arial"/>
        <color rgb="FF000000"/>
        <sz val="11.0"/>
      </rPr>
      <t xml:space="preserve">EN#2162789, INV#PI24-86, 24ILC028832, PO#40127, OBL10/14, </t>
    </r>
    <r>
      <rPr>
        <rFont val="Arial"/>
        <color rgb="FF000000"/>
        <sz val="11.0"/>
      </rPr>
      <t>empty return 11/6</t>
    </r>
    <r>
      <rPr>
        <rFont val="Arial"/>
        <color rgb="FF000000"/>
        <sz val="11.0"/>
      </rPr>
      <t xml:space="preserve">
- COSCO SHIPPING ANDES, (TA6), COSCO
- Moored 10/3, discharged 11/4, LFD 11/8</t>
    </r>
  </si>
  <si>
    <t>LA-OAK</t>
  </si>
  <si>
    <t>YMLU8720865</t>
  </si>
  <si>
    <t>EN#2162786, INV#PI24-84, 24ILC028831, PO#40125, OBL10/8, no GATEFEE (LCL)
- ONE HARBOUR, (TA4), YANG MING
- Discharged @ LA, then transfer to OAK
- moored @ LA 10/31, discharged 11/3, FCL pickup 11/4, FCL empty return 11/5</t>
  </si>
  <si>
    <t>FFAU3034619</t>
  </si>
  <si>
    <r>
      <rPr>
        <rFont val="Arial"/>
        <color rgb="FF000000"/>
        <sz val="11.0"/>
      </rPr>
      <t xml:space="preserve">EN#2162123, INV#PI24-11, 24ILC028771, PO#39993, OBL 9/25, </t>
    </r>
    <r>
      <rPr>
        <rFont val="Arial"/>
        <color rgb="FF000000"/>
        <sz val="11.0"/>
      </rPr>
      <t>empty return 11/1</t>
    </r>
    <r>
      <rPr>
        <rFont val="Arial"/>
        <color rgb="FF000000"/>
        <sz val="11.0"/>
      </rPr>
      <t xml:space="preserve">
- TITAN, (TD15), COSCO
- vessel IMO 9728928
- have additional Maher surcharge ($150) 
- Moored 10/27, discharged 10/28, LFD 11/1</t>
    </r>
  </si>
  <si>
    <t>WHLU5694796
WHSU5856280
WHLU0436778</t>
  </si>
  <si>
    <t>10/31/2024
10/31/2024
10/30/2024</t>
  </si>
  <si>
    <t>EN#2162109, INV#PI24-122, 24ILC028809, PO#39992, OBL9/25
- NORFOLK EXPRESS, (TD12), WAN HAI
- have additional $150/container APM Surcharge
- Moored 10/25
- c#4796 - discharged 10/25, LFD 10/31, empty return 11/2
- c#6280 - discharged 10/25, LFD 10/31, empty return 10/31
- c#6778 - discharged 10/25, LFD 10/31, empty return 10/31</t>
  </si>
  <si>
    <t>WHSU5820436</t>
  </si>
  <si>
    <r>
      <rPr>
        <rFont val="Arial"/>
        <color rgb="FF000000"/>
        <sz val="11.0"/>
      </rPr>
      <t xml:space="preserve">EN#2162626, INV#PI24-127, 24ILC028820, PO#40120, OBL10/8, </t>
    </r>
    <r>
      <rPr>
        <rFont val="Arial"/>
        <color rgb="FF000000"/>
        <sz val="11.0"/>
      </rPr>
      <t>empty return 10/30</t>
    </r>
    <r>
      <rPr>
        <rFont val="Arial"/>
        <color rgb="FF000000"/>
        <sz val="11.0"/>
      </rPr>
      <t xml:space="preserve">
- SEASPAN BEYOND, (TA2), WAN HAI
- Moored 10/21, discharged 10/23, LFD?</t>
    </r>
  </si>
  <si>
    <t>OOCU4727072</t>
  </si>
  <si>
    <r>
      <rPr>
        <rFont val="Arial"/>
        <color rgb="FF000000"/>
        <sz val="11.0"/>
      </rPr>
      <t xml:space="preserve">EN#2162860, INV#PI24-18, 24ILC028811, PO#40128, OBL10/14, </t>
    </r>
    <r>
      <rPr>
        <rFont val="Arial"/>
        <color rgb="FF000000"/>
        <sz val="11.0"/>
      </rPr>
      <t>empty return 10/24</t>
    </r>
    <r>
      <rPr>
        <rFont val="Arial"/>
        <color rgb="FF000000"/>
        <sz val="11.0"/>
      </rPr>
      <t xml:space="preserve">
- COSCO BELGIUM, (TA8), COSCO
- Moored 10/20, discharged 10/20, LFD 10/24</t>
    </r>
  </si>
  <si>
    <t>ONEU5475495</t>
  </si>
  <si>
    <t>OINTMENT 10G, 18G, RED 18G, WHITE 4G, 18G</t>
  </si>
  <si>
    <r>
      <rPr>
        <rFont val="Arial"/>
        <color rgb="FF000000"/>
        <sz val="11.0"/>
      </rPr>
      <t xml:space="preserve">EN#2162624, INV#PI24-125, 24ILC028822, PO#40122, OBL10/8, GATEFEE10/14, </t>
    </r>
    <r>
      <rPr>
        <rFont val="Arial"/>
        <color rgb="FF000000"/>
        <sz val="11.0"/>
      </rPr>
      <t>empty return 10/23</t>
    </r>
    <r>
      <rPr>
        <rFont val="Arial"/>
        <color rgb="FF000000"/>
        <sz val="11.0"/>
      </rPr>
      <t xml:space="preserve">
- YM UNANIMITY, (TA1), ONE
- Moored 10/18, discharged 10/18, LFD 10/24</t>
    </r>
  </si>
  <si>
    <t>56PLTS</t>
  </si>
  <si>
    <t>TGBU1098920
WHSU5072946
WHSU5629590</t>
  </si>
  <si>
    <t>RED 4G, 18G, OINTMENT 18G, 50G, WHITE 18G</t>
  </si>
  <si>
    <t>10/23/2024
10/22/2024
10/23/2024</t>
  </si>
  <si>
    <t>EN#2161726, INV#PI24-118, 24ILC028788, PO#39988, OBL9/11
- ATLANTA EXPRESS, (TD17), WAN HAI
- have additional $150/contr APM Surcharge
- moored 10/17
- c#8920 - discharged 10/18, LFD 10/23, empty return 10/24
- c#2946 - discharged 10/18, LFD 10/23, empty return 10/22
- c#9590 - discharged 10/18, LFD 10/23, empty return 10/25</t>
  </si>
  <si>
    <t>FSCU5064521
OOLU9685696</t>
  </si>
  <si>
    <t>10/18/2024
10/17/2024</t>
  </si>
  <si>
    <t>EN#2162380, INV#PI24-13, 24ILC028808, PO#40065, OBL10/1, GATEFEE10/14
- EVER MACH, (TD20), COSCO
- moored 10/14
- c#4521 - discharged 10/15, LFD?, empty return 10/18
- c#5696 - discharged 10/14, LFD?, empty return 10/17
- OOLU9685696 has split return chassis charge
- FSCU5064521 empty return pier waiting was from 10:58-1:42pm additional 1hr
- lot# 026161097 not available for QC</t>
  </si>
  <si>
    <t>WHLU4304213</t>
  </si>
  <si>
    <r>
      <rPr>
        <rFont val="Arial"/>
        <color rgb="FF000000"/>
        <sz val="11.0"/>
      </rPr>
      <t xml:space="preserve">EN#2161565, INV#PI24-62, T/R, PO#39986, </t>
    </r>
    <r>
      <rPr>
        <rFont val="Arial"/>
        <color rgb="FF000000"/>
        <sz val="11.0"/>
      </rPr>
      <t>empty return 10/22</t>
    </r>
    <r>
      <rPr>
        <rFont val="Arial"/>
        <color rgb="FF000000"/>
        <sz val="11.0"/>
      </rPr>
      <t xml:space="preserve">
- WAN HAI A10, (TD3), WAN HAI
- have $150 APM Surcharge
- Moored 10/15, discharged 10/16, LFD 10/21</t>
    </r>
  </si>
  <si>
    <t>WHSU6829016</t>
  </si>
  <si>
    <t>EN#2162125, INV#PI24-121, 24ILC028812, PO#40060, OBL9/25, GATEFEE10/7, empty return 10/16
- SEASPAN BRAVO, (TD13), WAN HAI
- Moored 10/12, discharged 10/12, LFD 10/17
- T-31520: lot# C240413 &amp; C240423 not available for QC
- T-22010: lot# C240410 &amp; C240431 not available for QC
- T-31510: lot# C240406 &amp; C240407 not available for QC
- T-31510R: lot# C240394 not available for QC</t>
  </si>
  <si>
    <t>WHLU5655470
DFSU7615166</t>
  </si>
  <si>
    <t>10/16/2024
10/16/2024</t>
  </si>
  <si>
    <t>EN#2161447, INV#PI24-11, 24ILC028771, PO#39982, OBL9/3
- WAN HAI A17, (TD2), WAN HAI
- have $150/container APM Surcharge
- moored 10/11
- c#5470 - discharged 10/11, LFD 10/16, empty return 10/18
- c#5166 - discharged 10/11, LFD 10/16, empty return 10/18</t>
  </si>
  <si>
    <t>CSNU1998423</t>
  </si>
  <si>
    <t>NSR 50G</t>
  </si>
  <si>
    <r>
      <rPr>
        <rFont val="Arial"/>
        <color rgb="FF000000"/>
        <sz val="11.0"/>
      </rPr>
      <t xml:space="preserve">EN#2161890, INV#PI24-52, 24ILC028792, PO#39990, OBL9/11, </t>
    </r>
    <r>
      <rPr>
        <rFont val="Arial"/>
        <color rgb="FF000000"/>
        <sz val="11.0"/>
      </rPr>
      <t>empty return 10/16</t>
    </r>
    <r>
      <rPr>
        <rFont val="Arial"/>
        <color rgb="FF000000"/>
        <sz val="11.0"/>
      </rPr>
      <t xml:space="preserve">
- OOCL KOREA, (TD9), OOCL
- have $150 Maher Surcharge
- Moored 10/9, discharged 10/9, LFD 10/15</t>
    </r>
  </si>
  <si>
    <t>OOLU0698922</t>
  </si>
  <si>
    <r>
      <rPr>
        <rFont val="Arial"/>
        <color rgb="FF000000"/>
        <sz val="11.0"/>
      </rPr>
      <t xml:space="preserve">EN#2161889, INV#PI24-90, 24ILC028785, PO#39991, OBL9/11, </t>
    </r>
    <r>
      <rPr>
        <rFont val="Arial"/>
        <color rgb="FF000000"/>
        <sz val="11.0"/>
      </rPr>
      <t>empty return 10/16</t>
    </r>
    <r>
      <rPr>
        <rFont val="Arial"/>
        <color rgb="FF000000"/>
        <sz val="11.0"/>
      </rPr>
      <t xml:space="preserve">
- OOCL KOREA, (TD8), OOCL
- have $150 Maher Surcharge
- Moored 10/9, discharged 10/9, LFD 10/15</t>
    </r>
  </si>
  <si>
    <t>YMLU8811667</t>
  </si>
  <si>
    <t>EN#2161835, INV#PI24-49, 24ILC028737, PO#39989, OBL9/5
- ONE AQUILA, (TD6), YANG MING
- At anchor 10/4, then another At anchor 10/9, estimated berthing 10/13
- Moored 10/11, discharged 10/14, LFD 10/17
- FCL picked up 10/15, FCL empty return 10/17, pending LCL delivery</t>
  </si>
  <si>
    <t>OOLU9274530</t>
  </si>
  <si>
    <t>EN#2162204, INV#PI24-10, 24ILC028756, PO#40062, OBL9/25, GATEFEE10/7, empty return 10/11
- EVER FAR, (TD16), COSCO
- moored 10/7, discharged 10/8, LFD?
- T-32206: lot# 026161093 not available for QC</t>
  </si>
  <si>
    <t>DFSU4349313</t>
  </si>
  <si>
    <t>EN#2162353, INV#PI24-15, 24ILC028813, PO#40064, OBL10/1, empty return 10/10
- COSCOSHIPPING DENALI, (TD19), COSCO
- Moored 10/5, discharged 10/6, LFD 10/10</t>
  </si>
  <si>
    <t>WHSU6282905</t>
  </si>
  <si>
    <t>OINTMENT 10G, 18G, RED 18G, WHITE 18G</t>
  </si>
  <si>
    <t>EN#2162126, INV#PI24-123, 24ILC028807, PO#40061, OBL9/25, empty return 10/8
- SEASPAN BRAVO, (TD14), WAN HAI
- Moored 10/2, discharged 10/3, LFD?</t>
  </si>
  <si>
    <t>TXGU6848996</t>
  </si>
  <si>
    <t>EN#2161833, INV#PI24-48, 24ILC028740, PO#39984, OBL9/11, empty return 10/2
- LIDIA, (TD4), TS LINES
- At anchor 9/27
- Moored 9/28, discharged 9/28, LFD 10/3
- prepulled 10/1</t>
  </si>
  <si>
    <t>TGBU3270685
TIIU5625973</t>
  </si>
  <si>
    <t>OINTMENT 10G, 18G, RED 18G, WHITE 4G</t>
  </si>
  <si>
    <t>10/3/2024
10/2/2024</t>
  </si>
  <si>
    <t>5610997/Y</t>
  </si>
  <si>
    <t>EN#2161836, INV#PI24-117, 24ILC028789, PO#39980, OBL9/11, GATEFEE9/23
- WAN HAI A16, (TD7), WAN HAI
- Moored 9/27
- c#0685 - discharged 9/28, LFD 10/3, empty return 10/3
- c#5973 - discharged 9/27, LFD 10/3, empty return 10/2
- TGBU3270685 pickup pier waiting: 7:10-9:40am additional ½ hr
- T-31520: lot# C240343 &amp; C240413 not available for QC
- T-22010: lot# C240368 not available for QC
- T-31510: lot# C240359 &amp; C240395 not available for QC
- T-31510R: lot# C240283 not available for QC
- only T-10030N has QC sample</t>
  </si>
  <si>
    <t>EN#9035167, INV#PI24-92, T/R, PO#40059
- KUL-IST-JFK, (TD22)
- Crane Worldwide will deliver
- actually POP (or GW) should arrange pickup
- Crane Worldwide trucking invoice $1300</t>
  </si>
  <si>
    <t>DFSU6666282</t>
  </si>
  <si>
    <t>EN#2161834, INV#PI24-50, 24ILC028738, PO#39983, OBL9/5, no GATEFEE (LCL)
- ONE HONOLULU, (TD5), HMM
- discharged @ LA, then transfer to OAK
- moored @ LA 9/26, discharged 9/28, LFD? FCL picked up 10/3, FCL empty return 10/4
- LCL LFD 10/9, pending transfer to OAK eta 10/7
- Terminals closed due to Lithium-ion battery fire
- LCL ETA to OAK 10/7, LFD 10/10
- T-47010: lot# M240439 &amp; M240440 not available for QC</t>
  </si>
  <si>
    <t>BEAU5989936
WHSU6745717
WHSU5823585</t>
  </si>
  <si>
    <t xml:space="preserve">OINTMENT 10G, 18G, 50G, RED 4G, 18G, WHITE 4G, 18G </t>
  </si>
  <si>
    <t>9/24/2025
9/25/2024
9/25/2024</t>
  </si>
  <si>
    <t>EN#2161281, INV#PI24-111, 24ILC028739, PO#39845, OBL9/3
- WAN HAI 516, (TC21), WAN HAI
- have $150/container APM Surcharge
- At anchor 9/19, estimated berthing 9/21
- moored 9/21
- c#9936 - discharged 9/21, LFD 9/26, empty return 9/25
- c#5717 - discharged 9/21, LFD 9/26, empty return 9/27
- c#3585 - discharged 9/21, LFD 9/26, empty return 9/27</t>
  </si>
  <si>
    <t>ZIMU2794418
ZCSU7063016</t>
  </si>
  <si>
    <t>OINTMENT 10G, 18G, RED 4G, 18G, WHITE 18G</t>
  </si>
  <si>
    <t>9/18/2024
9/18/2024</t>
  </si>
  <si>
    <t>EN#2162018, INV#PI24-119, 24ILC028790, PO#39978, OBL9/11
- ZIM FALCON, (TD11), ZIM
- moored 9/14
- c#4418 - discharged 9/15, LFD 9/19, empty return 9/20
- c#3016 - discharged 9/15, LFD 9/19, empty return 9/19</t>
  </si>
  <si>
    <t>BEAU4802531</t>
  </si>
  <si>
    <r>
      <rPr>
        <rFont val="Arial"/>
        <color rgb="FF000000"/>
        <sz val="11.0"/>
      </rPr>
      <t>EN#2160903, INV#PI24-08, 24ILC028716, PO#39734, OBL8/12,</t>
    </r>
    <r>
      <rPr>
        <rFont val="Arial"/>
        <color rgb="FF000000"/>
        <sz val="11.0"/>
      </rPr>
      <t xml:space="preserve"> empty return 9/19</t>
    </r>
    <r>
      <rPr>
        <rFont val="Arial"/>
        <color rgb="FF000000"/>
        <sz val="11.0"/>
      </rPr>
      <t xml:space="preserve">
- BALTIMORE EXPRESS, (TC16), WAN HAI
- have additional $150 APM Surcharge
- Moored 9/12, discharged 9/12, LFD 9/18</t>
    </r>
  </si>
  <si>
    <t>EN#9035128, INV#PI24-92, T/R, PO#39950
- KUL-TPE-SFO, CI0004, (TD10)
- Arrived 9/3, LFD 9/4
- NDC# different from previous shipment, PO#39563
- per Will, need transfer 85% (7,650 dz) to NJ
- no trucking charge from GW, door move by vendor
- Estimated air freight SGD32,000
- Estimated Clearance &amp; Delivery from SFO to POP warehouse USD2,800
- T-33202: lot# M245001 &amp; M245003 not available for QC</t>
  </si>
  <si>
    <t>WHLU5843755
WHSU2015496</t>
  </si>
  <si>
    <t>9/12/2024
9/12/2024</t>
  </si>
  <si>
    <t>EN#2160653, INV#PI24-91, T/R, PO#39728
- WAN HAI A15, (TC12), WAN HAI
- have additional $150/container APM Surcharge
- At anchor 9/3, estimated berthing 9/5
- moored 9/5
- c#3755 - discharged 9/7, LFD 9/12, empty return 9/13
- c#5496 - discharged 9/6, LFD 9/12, empty return 9/13</t>
  </si>
  <si>
    <t>CSNU1843587</t>
  </si>
  <si>
    <r>
      <rPr>
        <rFont val="Arial"/>
        <color rgb="FF000000"/>
        <sz val="11.0"/>
      </rPr>
      <t xml:space="preserve">EN#2161099, INV#PI24-54, 24ILC028729, PO#39733, OBL8/12, </t>
    </r>
    <r>
      <rPr>
        <rFont val="Arial"/>
        <color rgb="FF000000"/>
        <sz val="11.0"/>
      </rPr>
      <t>empty return 9/5</t>
    </r>
    <r>
      <rPr>
        <rFont val="Arial"/>
        <color rgb="FF000000"/>
        <sz val="11.0"/>
      </rPr>
      <t xml:space="preserve">
- COSCO BELGIUM, (TC17), COSCO
- Moored 8/31, discharged 8/31, LFD 9/6
- prepull 9/4, deliver 9/5</t>
    </r>
  </si>
  <si>
    <t>YMLU8707457
TGHU5307471</t>
  </si>
  <si>
    <t>9/9/2024
9/10/2024</t>
  </si>
  <si>
    <t>EN#2160900, INV#PI24-08, 24ILC028716, PO#39730, OBL7/29
- AL QIBLA EXPRESS, (TC15), YANG MING
- have additional $150/container Port Liberty Bayonne Surcharge
- moored 9/1
- c#7457 - discharged 9/3, LFD 9/9, empty return 9/10
- c#7471 - discharged 9/5, LFD 9/11, empty return 9/11</t>
  </si>
  <si>
    <t>FCIU5670026
TRHU5105528</t>
  </si>
  <si>
    <t>9/6/2024
9/5/2024</t>
  </si>
  <si>
    <t>5611016/Y</t>
  </si>
  <si>
    <r>
      <rPr>
        <rFont val="Arial"/>
        <color rgb="FF000000"/>
        <sz val="11.0"/>
      </rPr>
      <t>EN#2161101, INV#PI24-110, 24ILC028741, PO#39842, OBL 8/19, GATEFEE8/19
-</t>
    </r>
    <r>
      <rPr>
        <rFont val="Arial"/>
        <b/>
        <color rgb="FF000000"/>
        <sz val="11.0"/>
      </rPr>
      <t xml:space="preserve"> </t>
    </r>
    <r>
      <rPr>
        <rFont val="Arial"/>
        <color rgb="FF000000"/>
        <sz val="11.0"/>
      </rPr>
      <t>YM MUTUALITY, (TC19), ONE
- At anchor 8/23, estimated berthing 8/26
- moored 8/26
- c#0026 - discharged 8/27, LFD 9/3, prepull 9/3, deliver 9/6, ELFD 9/9, empty return 9/6, cannot deliver 9/5 due to blockage in storage yard, will waive one day storage
- c#5528 - discharged 8/27, LFD 8/30, prepull 8/30, deliver 9/5, ELFD 9/6, empty return 9/5
- FCIU5670026 pickup pier waiting was from 10:52-2:56pm additional 2hrs
- T-31510R: lot# C240283 not available for QC
- T-31510: lot# C240287, C240351, C240286 not available for QC
- T-31520: lot# C240279 not available for QC
- T-22010: lot# C240278 &amp; C240361 not available for QC</t>
    </r>
  </si>
  <si>
    <t>WHSU2703842</t>
  </si>
  <si>
    <t>EN#2160492, INV#PI24-73, 24ILC028702, PO#39611, OBL7/12, empty return 9/10
- WAN HAI A09, (TC10), WAN HAI
- have additional $150 APM Surcharge
- At anchor 8/26, estimated berthing 8/29
- Moored 8/29, discharged 8/30, LFD 9/6</t>
  </si>
  <si>
    <t>CSNU4044666</t>
  </si>
  <si>
    <r>
      <rPr>
        <rFont val="Arial"/>
        <color rgb="FF000000"/>
        <sz val="11.0"/>
      </rPr>
      <t xml:space="preserve">EN#2161388, INV#PI24-12, 24ILC028757, </t>
    </r>
    <r>
      <rPr>
        <rFont val="Arial"/>
        <color rgb="FF000000"/>
        <sz val="11.0"/>
      </rPr>
      <t>PO#39916,</t>
    </r>
    <r>
      <rPr>
        <rFont val="Arial"/>
        <color rgb="FF000000"/>
        <sz val="11.0"/>
      </rPr>
      <t xml:space="preserve"> OBL8/20, </t>
    </r>
    <r>
      <rPr>
        <rFont val="Arial"/>
        <color rgb="FF000000"/>
        <sz val="11.0"/>
      </rPr>
      <t>empty return 9/3</t>
    </r>
    <r>
      <rPr>
        <rFont val="Arial"/>
        <color rgb="FF000000"/>
        <sz val="11.0"/>
      </rPr>
      <t xml:space="preserve">
- COSCO SPAIN, (TD1), COSCO
- Moored 8/24, discharged 8/28, LFD 8/31
- prepull 8/29, deliver 8/30</t>
    </r>
  </si>
  <si>
    <t>TCNU7312074</t>
  </si>
  <si>
    <t>EN#2161100, INV#PI24-10, 24ILC028756, PO#39732, OBL8/12, GATEFEE8/14, empty return 8/21
- YM UBIQUITY, (TC18), HMM
- Moored 8/18, discharged 8/19, LFD 8/23
- T-32206: lot# 026161093 not available for QC</t>
  </si>
  <si>
    <t>WHSU6122677
WHSU6327147</t>
  </si>
  <si>
    <t>8/21/2024
8/21/2024</t>
  </si>
  <si>
    <t>EN#2160356, INV#PI24-105 &amp; PI24-109, 24ILC028707, PO#39565, OBL7/11
- SAVANNAH EXPRESS, (TC5), WAN HAI
- Moored 8/17
- c#2677 - discharged 8/19, LFD 8/22, empty return 8/21
- c#7147 - discharged 8/19, LFD 8/22, empty return 8/21</t>
  </si>
  <si>
    <t>FSCU5033480</t>
  </si>
  <si>
    <r>
      <rPr>
        <rFont val="Arial"/>
        <color rgb="FF000000"/>
        <sz val="11.0"/>
      </rPr>
      <t xml:space="preserve">EN#2161280, INV#PI24-58, T/R, PO#39844, </t>
    </r>
    <r>
      <rPr>
        <rFont val="Arial"/>
        <color rgb="FF000000"/>
        <sz val="11.0"/>
      </rPr>
      <t>empty return 8/21</t>
    </r>
    <r>
      <rPr>
        <rFont val="Arial"/>
        <color rgb="FF000000"/>
        <sz val="11.0"/>
      </rPr>
      <t xml:space="preserve">
- COSCOSHIPPING DENALI, (TC22), COSCO
- Moored 8/17, discharged 8/18, LFD 8/22</t>
    </r>
  </si>
  <si>
    <t>TGHU6158515</t>
  </si>
  <si>
    <r>
      <rPr>
        <rFont val="Arial"/>
        <color rgb="FF000000"/>
        <sz val="11.0"/>
      </rPr>
      <t xml:space="preserve">EN#2160741, INV#PI24-09, 24ILC028713, PO#39731, OBL7/29, </t>
    </r>
    <r>
      <rPr>
        <rFont val="Arial"/>
        <color rgb="FF000000"/>
        <sz val="11.0"/>
      </rPr>
      <t xml:space="preserve">empty return 8/23
</t>
    </r>
    <r>
      <rPr>
        <rFont val="Arial"/>
        <color rgb="FF000000"/>
        <sz val="11.0"/>
      </rPr>
      <t xml:space="preserve">- SEASPAN BEYOND, (TC14), WAN HAI
- Moored 8/15, discharged 8/17, </t>
    </r>
    <r>
      <rPr>
        <rFont val="Arial"/>
        <color rgb="FF000000"/>
        <sz val="11.0"/>
      </rPr>
      <t>LFD?</t>
    </r>
    <r>
      <rPr>
        <rFont val="Arial"/>
        <color rgb="FF000000"/>
        <sz val="11.0"/>
      </rPr>
      <t xml:space="preserve">
- Prepull 8/22 6pm, deliver 8/23</t>
    </r>
  </si>
  <si>
    <t>CSLU2110273</t>
  </si>
  <si>
    <t>EN#2160489, INV#PI24-46, 24ILC028696, PO#39614, OBL7/12, empty return 8/19
- OOCL SINGAPORE, (TC7), COSCO
-  have additional $150 per container Maher Surcharge
- moored 8/15, discharged 8/15, LFD 8/21</t>
  </si>
  <si>
    <t>34PLTS</t>
  </si>
  <si>
    <t>TGBU1095990
WHSU5459576</t>
  </si>
  <si>
    <t>8/13/2024
8/13/2024</t>
  </si>
  <si>
    <t>EN#2161169, INV#PI24-112, 24ILC028742, PO#39843, OBL8/14 (by EWB)
- WAN HAI 355, (TC20), WAN HAI
- moored 8/11
- c#5990 - discharged 8/11, LFD 8/15, empty return 8/13
- c#9576 - discharged 8/11, LFD 8/15, empty return 8/13
- EWB mailed original OBL to forwarder directly 8/14</t>
  </si>
  <si>
    <t>WHLU5581629</t>
  </si>
  <si>
    <r>
      <rPr>
        <rFont val="Arial"/>
        <color rgb="FF000000"/>
        <sz val="11.0"/>
      </rPr>
      <t xml:space="preserve">EN#2160694, INV#PI24-45, 24ILC028697, PO#39729, OBL7/24, </t>
    </r>
    <r>
      <rPr>
        <rFont val="Arial"/>
        <color rgb="FF000000"/>
        <sz val="11.0"/>
      </rPr>
      <t>empty return 8/15</t>
    </r>
    <r>
      <rPr>
        <rFont val="Arial"/>
        <color rgb="FF000000"/>
        <sz val="11.0"/>
      </rPr>
      <t xml:space="preserve">
- WAN HAI A11, (TC11), WAN HAI
- Moored 8/9, discharged 8/10, </t>
    </r>
    <r>
      <rPr>
        <rFont val="Arial"/>
        <color rgb="FF000000"/>
        <sz val="11.0"/>
      </rPr>
      <t xml:space="preserve">LFD?
</t>
    </r>
    <r>
      <rPr>
        <rFont val="Arial"/>
        <color rgb="FF000000"/>
        <sz val="11.0"/>
      </rPr>
      <t>- prepull 8/14, deliver 8/15</t>
    </r>
  </si>
  <si>
    <t>HPCU4756516
HPCU4756521</t>
  </si>
  <si>
    <t>OINTMENT 10G, 18G, RED 4G, 18G, WHITE 4G</t>
  </si>
  <si>
    <t>8/9/2024
8/8/2024</t>
  </si>
  <si>
    <t>EN#2160161, INV#PI24-82, 24ILC028657, PO#39561, OBL7/11
- CHARLESTON EXPRESS, (TC1), WAN HAI
- have additional $150 per container APM Surcharge
- Moored 8/5
- c#6516 - discharged 8/6, LFD 8/12, empty return 8/12
- c#6521 - discharged 8/5, LFD 8/9, empty return 8/9</t>
  </si>
  <si>
    <t>TEMU1775596</t>
  </si>
  <si>
    <t>EN#2160695, INV#PI24-07, 24ILC028709, PO#39735, OBL7/24, GATEFEE8/1, empty return 8/6
- YM UPSURGENCE, (TC13), HL
- Moored 8/1, discharged 8/1, LFD 8/7 (per HL)
- container empty to UIS, split return charge fee applies
- T-32206: lot# 026161089 not available for QC</t>
  </si>
  <si>
    <r>
      <rPr>
        <rFont val="Arial"/>
        <color rgb="FF000000"/>
        <sz val="11.0"/>
      </rPr>
      <t xml:space="preserve">9PLTS
</t>
    </r>
    <r>
      <rPr>
        <rFont val="Arial"/>
        <color rgb="FF000000"/>
        <sz val="11.0"/>
      </rPr>
      <t>(LCL)</t>
    </r>
  </si>
  <si>
    <t>HMMU6314652</t>
  </si>
  <si>
    <t>EN#2160358, INV#PI24-47, PI24-47, PO#39562, OBL6/28, no GATEFEE (LCL)
- ONE COMMITMENT, (TC4), HMM
- Moored @ LA 7/27, discharged 7/31, LFD 8/4, FCL picked up 8/2, FCL empty return 8/5, pending LCL to OAK 8/7
- IT# 898593091
- T-47010: lot# M240304, M240305, M240306 not available for QC</t>
  </si>
  <si>
    <t>60PLTS</t>
  </si>
  <si>
    <t>TCKU7715516
WHLU5569963</t>
  </si>
  <si>
    <t>8/2/2024
8/2/2024</t>
  </si>
  <si>
    <t>EN#2160077, INV#PI24-05, 24ILC028671, PO#39558, OBL6/28
- WAN HAI A08, (TB22), WAN HAI
- have additional $150 per container APM Surcharge
- Moored 7/28
- c#5516 - discharged 7/30, LFD 8/3, empty return 8/6
- c#9963 - discharged 7/30, LFD 8/3, empty return 8/5</t>
  </si>
  <si>
    <t>TCKU7043617</t>
  </si>
  <si>
    <t>EN#2160491, INV#PI24-07, 24ILC028709, PO#39612, OBL7/12, GATEFEE7/22, empty return 8/2
- WAN HAI A16, (TC9), WAN HAI
- Moored 7/29, discharged 7/29, LFD 8/2</t>
  </si>
  <si>
    <t>TEMU4232231
ZCSU7608538</t>
  </si>
  <si>
    <t>7/26/2024
7/29/2024</t>
  </si>
  <si>
    <t>EN#2159739, INV#PI24-05, 24ILC028671, PO#39557, OBL6/19
- ZIM PEARL, (TB18), ZIM
- have additional $150/container Maher Surcharge
- moored 7/22
- c#2231 - discharged 7/23, LFD 7/26, empty return 7/26
c#8538 - discharged 7/24, LFD 7/30, empty return 8/1
- freight released 7/23</t>
  </si>
  <si>
    <t>WHSU4025343</t>
  </si>
  <si>
    <t>EN#2160488, INV#PI24-63, 24ILC028703, PO#39563, OBL7/10, GATEFEE7/16, empty return 7/25
- WAN HAI 723, (TC3), WAN HAI
- VERY URGENT
- Moored 7/21, discharged 7/21, LFD 7/25
- empty return pier waiting additional ½ hr</t>
  </si>
  <si>
    <t>WHSU2207375</t>
  </si>
  <si>
    <t>OINTMENT 10G, 18G, RED 4G, 18G</t>
  </si>
  <si>
    <r>
      <rPr>
        <rFont val="Arial"/>
        <color rgb="FF000000"/>
        <sz val="11.0"/>
      </rPr>
      <t xml:space="preserve">EN#2160275, INV#PI24-104, 24ILC028706, PO#39564, OBL7/11, GATEFEE7/16, </t>
    </r>
    <r>
      <rPr>
        <rFont val="Arial"/>
        <color rgb="FF000000"/>
        <sz val="11.0"/>
      </rPr>
      <t>empty return 7/24</t>
    </r>
    <r>
      <rPr>
        <rFont val="Arial"/>
        <color rgb="FF000000"/>
        <sz val="11.0"/>
      </rPr>
      <t xml:space="preserve">
- WAN HAI 723, (TC2), WAN HAI
- Moored 7/21, discharged 7/21, LFD 7/25</t>
    </r>
  </si>
  <si>
    <t>CAIU9880188</t>
  </si>
  <si>
    <r>
      <rPr>
        <rFont val="Arial"/>
        <color rgb="FF000000"/>
        <sz val="11.0"/>
      </rPr>
      <t xml:space="preserve">EN#2159846, INV#PI24-44, 24ILC028659, PO#39448, OBL6/5
- ONE EAGLE, (TB16), HMM
- Moored 7/18, discharged 7/22, LFD 7/25
- FCL picked up 7/22, </t>
    </r>
    <r>
      <rPr>
        <rFont val="Arial"/>
        <color rgb="FF000000"/>
        <sz val="11.0"/>
      </rPr>
      <t xml:space="preserve">FCL empty return 7/24
</t>
    </r>
    <r>
      <rPr>
        <rFont val="Arial"/>
        <color rgb="FF000000"/>
        <sz val="11.0"/>
      </rPr>
      <t>- LCL LFD 7/26</t>
    </r>
  </si>
  <si>
    <t>WHSU5017717</t>
  </si>
  <si>
    <r>
      <rPr>
        <rFont val="Arial"/>
        <color rgb="FF000000"/>
        <sz val="11.0"/>
      </rPr>
      <t xml:space="preserve">EN#2160490, INV#PI24-06, 24ILC028710, PO#39613, OBL7/12, </t>
    </r>
    <r>
      <rPr>
        <rFont val="Arial"/>
        <color rgb="FF000000"/>
        <sz val="11.0"/>
      </rPr>
      <t>empty return 7/23</t>
    </r>
    <r>
      <rPr>
        <rFont val="Arial"/>
        <color rgb="FF000000"/>
        <sz val="11.0"/>
      </rPr>
      <t xml:space="preserve">
- WAN HAI A16, (TC8), WAN HAI
- Moored 7/18, discharged 7/21, </t>
    </r>
    <r>
      <rPr>
        <rFont val="Arial"/>
        <color rgb="FF000000"/>
        <sz val="11.0"/>
      </rPr>
      <t>LFD?</t>
    </r>
  </si>
  <si>
    <t>40PTLS</t>
  </si>
  <si>
    <t>TCNU7970310</t>
  </si>
  <si>
    <t xml:space="preserve">OINTMENT 10G, 18G, 50G, RED 4G, 18G, WHITE 18G </t>
  </si>
  <si>
    <t>EN#2160357, INV#PI24-106, 24ILC028705, PO#39566, OBL7/11, empty return 7/18
- YM UNIFORMITY, (TC6), ONE
- OBL received 7/10, mailed out 7/11
- Moored 7/12, discharged 7/13, LFD 7/18
- prepull 7/17, deliver 7/18</t>
  </si>
  <si>
    <t>WHSU5031145</t>
  </si>
  <si>
    <t>RED 4G, 18G, OINTMENT 18G, WHITE 4G</t>
  </si>
  <si>
    <t>EN#2159960, INV#PI24-81, 24ILC028658, PO#39560, OBL6/28, GATEFEE7/3, empty return 7/16
- WAN HAI A03, (TB21), WAN HAI
- Moored 7/10, discharged 7/10, LFD 7/16
- empty return pier waiting was from 4:04-7:23pm additional 1 ½ hr</t>
  </si>
  <si>
    <t>NYKU3914800</t>
  </si>
  <si>
    <t>EN#2159159, INV#PI24-40, 24ILC028619, PO#39395, OBL5/24, empty return 7/2
- ONE COMPETENCE, (TB12), ONE
- Moored 6/30, discharged 7/1, LFD 7/6
- prepull 7/1, deliver 7/2</t>
  </si>
  <si>
    <t>WHLU5667342
WHSU5542295
WHSU6827250</t>
  </si>
  <si>
    <r>
      <rPr>
        <rFont val="Arial"/>
        <color rgb="FF000000"/>
        <sz val="11.0"/>
      </rPr>
      <t xml:space="preserve">7/5/2024
7/5/2024
</t>
    </r>
    <r>
      <rPr>
        <rFont val="Arial"/>
        <color rgb="FF000000"/>
        <sz val="11.0"/>
      </rPr>
      <t>7/9/2024</t>
    </r>
  </si>
  <si>
    <t>EN#2159199, INV#PI24-75 &amp; PI24-79, 24ILC028623, PO#39396, OBL5/24
- WAN HAI A07, (TB13), WAN HAI
- have additional $150/container APM Surcharge
- Moored 6/30
- c#7342 - discharged 7/2, LFD 7/9, empty return 7/5
- c#2295 - discharged 7/2, LFD 7/9, empty return 7/5
- c#7250 - discharged 7/2, LFD 7/9, empty return 7/12</t>
  </si>
  <si>
    <t>TEMU9676394</t>
  </si>
  <si>
    <r>
      <rPr>
        <rFont val="Arial"/>
        <color rgb="FF000000"/>
        <sz val="11.0"/>
      </rPr>
      <t xml:space="preserve">EN#2159845, INV#PI24-43, 24ILC028660, PO#39449, OBL6/5, </t>
    </r>
    <r>
      <rPr>
        <rFont val="Arial"/>
        <color rgb="FF000000"/>
        <sz val="11.0"/>
      </rPr>
      <t xml:space="preserve">FCL empty return 7/10
</t>
    </r>
    <r>
      <rPr>
        <rFont val="Arial"/>
        <color rgb="FF000000"/>
        <sz val="11.0"/>
      </rPr>
      <t>- NYK VIRGO, (TB17), HMM
- Moored 6/30, discharged 7/2, LFD?</t>
    </r>
    <r>
      <rPr>
        <rFont val="Arial"/>
        <color rgb="FF000000"/>
        <sz val="11.0"/>
      </rPr>
      <t xml:space="preserve">
</t>
    </r>
    <r>
      <rPr>
        <rFont val="Arial"/>
        <color rgb="FF000000"/>
        <sz val="11.0"/>
      </rPr>
      <t>- FCL picked up 7/8, LCL LFD 7/12, pending LCL delivery</t>
    </r>
  </si>
  <si>
    <t>TLLU2537649
KOCU4917910</t>
  </si>
  <si>
    <t>7/3/2024
7/1/2024</t>
  </si>
  <si>
    <t>EN#2159880, INV#PI24-51, T/R, PO#39451, GATEFEE6/24
- YM UTILITY, (TB20), HMM
- moored 6/27
- c#7649 - discharged 6/27, LFD 7/3, empty return 7/3
- c#7910 - discharged 6/27, LFD 7/3, empty return 7/1</t>
  </si>
  <si>
    <t>WHSU6580828</t>
  </si>
  <si>
    <r>
      <rPr>
        <rFont val="Arial"/>
        <color rgb="FF000000"/>
        <sz val="11.0"/>
      </rPr>
      <t xml:space="preserve">EN#2159529, INV#PI24-04, 24ILC028637, PO#39447, OBL6/5, GATEFEE6/18, </t>
    </r>
    <r>
      <rPr>
        <rFont val="Arial"/>
        <color rgb="FF000000"/>
        <sz val="11.0"/>
      </rPr>
      <t>empty return 6/27</t>
    </r>
    <r>
      <rPr>
        <rFont val="Arial"/>
        <color rgb="FF000000"/>
        <sz val="11.0"/>
      </rPr>
      <t xml:space="preserve">
- WAN HAI A11, (TB15), WAN HAI
- Moored 6/22, discharged 6/23, LFD 6/27</t>
    </r>
  </si>
  <si>
    <t>WHLU0349971
WHSU4056719</t>
  </si>
  <si>
    <t>6/21/2024
6/21/2024</t>
  </si>
  <si>
    <t>EN#2159434, INV#PI24-51, T/R, PO#39446, GATEFEE6/11
- SEASPAN BEYOND, (TB14), WAN HAI
- Moored 6/15
- c#9971 - discharged 6/15, LFD 6/21, empty return 6/21
- c#6719 - discharged 6/15, LFD 6/21, empty return 6/21</t>
  </si>
  <si>
    <r>
      <rPr>
        <rFont val="Arial"/>
        <color rgb="FF000000"/>
        <sz val="11.0"/>
      </rPr>
      <t xml:space="preserve">6PLTS
</t>
    </r>
    <r>
      <rPr>
        <rFont val="Arial"/>
        <color rgb="FF000000"/>
        <sz val="11.0"/>
      </rPr>
      <t>(LCL)</t>
    </r>
  </si>
  <si>
    <t>TEMU7056882</t>
  </si>
  <si>
    <t>EN#2158891, INV#PI24-41, 24ILC028618, PO#39364, OBL5/9
- ONE AQUILA, (TB7), YANG MING
- PO#39365 changed to 39364
- Moored 6/14, discharged 6/14, LFD 6/21
- FCL picked up 6/18, pending LCL delivery</t>
  </si>
  <si>
    <t>WHSU6921842</t>
  </si>
  <si>
    <t>EN#2159737, INV#PI24-83, 24ILC028661, PO#39450, OBL6/10, empty return 6/15
- WAN HAI 357, (TB19), WAN HAI
- Moored 6/11, discharged 6/12, LFD?</t>
  </si>
  <si>
    <t>OOLU9207505</t>
  </si>
  <si>
    <r>
      <rPr>
        <rFont val="Arial"/>
        <color rgb="FF000000"/>
        <sz val="11.0"/>
      </rPr>
      <t xml:space="preserve">EN#2158676, INV#PI24-02, 24ILC028586, PO#39361, OBL5/9, </t>
    </r>
    <r>
      <rPr>
        <rFont val="Arial"/>
        <color rgb="FF000000"/>
        <sz val="11.0"/>
      </rPr>
      <t>empty return 6/10</t>
    </r>
    <r>
      <rPr>
        <rFont val="Arial"/>
        <color rgb="FF000000"/>
        <sz val="11.0"/>
      </rPr>
      <t xml:space="preserve">
- EVER FOREVER, (TB4), COSCO
- have additional $150 Maher Surcharge
- Moored 6/6, discharged 6/6, LFD 6/12</t>
    </r>
  </si>
  <si>
    <t>TCLU8837223</t>
  </si>
  <si>
    <r>
      <rPr>
        <rFont val="Arial"/>
        <color rgb="FF000000"/>
        <sz val="11.0"/>
      </rPr>
      <t xml:space="preserve">EN#2158940, INV#PI24-76 &amp; PI24-80, 24ILC028621, PO#39397, OBL5/24, </t>
    </r>
    <r>
      <rPr>
        <rFont val="Arial"/>
        <color rgb="FF000000"/>
        <sz val="11.0"/>
      </rPr>
      <t>empty return 6/5</t>
    </r>
    <r>
      <rPr>
        <rFont val="Arial"/>
        <color rgb="FF000000"/>
        <sz val="11.0"/>
      </rPr>
      <t xml:space="preserve">
- YM UNICORN, (TB9), ONE
- Moored 5/31, discharged 6/1, LFD 6/6</t>
    </r>
  </si>
  <si>
    <t>FBIU5400688</t>
  </si>
  <si>
    <t>EN#2158890, INV#PI24-42, 24ILC028620, PO#39363, OBL5/9, no GATEFEE (LCL)
- NYK ORION, (TB8), ONE
- ETA to LA 5/30, then LCL to OAK eta 6/5
- Moored 5/30, discharged 5/30, FCL LFD 6/5
- FCL picked up 6/5, pending customs exam, FCL empty return 6/13
- customs exam @ LA 6/6
- LCL @ LA LFD 6/18, pending LCL to OAK, then LCL delivery
- LCL @ OAK LFD 6/20</t>
  </si>
  <si>
    <t>KOCU5000442</t>
  </si>
  <si>
    <t>EN#2159030, INV#PI24-04, 24ILC028637, PO#39366, OBL5/14, GATEFEE5/24, empty return 5/31
- YM UPWARD, (TB11), HMM
- Moored 5/27, discharged 5/27, LFD 5/31</t>
  </si>
  <si>
    <t>FBIU5196384</t>
  </si>
  <si>
    <t>EN#2158767, INV#, PI23-93, 24ILC028588, PO#39360, OBL 5/9, no GATEFEE (LCL)
- ONE HANNOVER, (TB6), ONE
- ETA to LA 5/25, then LCL to OAK eta 6/1
- Moored 5/25, discharged 5/25, FCL LFD 5/30, updated FCL LFD 6/7
- FCL picked up 6/5, empty return 6/7
- have VACIS EXAM 6/4
- LCL LFD @ LA 6/12, pending LCL to OAK
- LCL LFD 6/13, pending LCL delivery</t>
  </si>
  <si>
    <t>KKTU8140300</t>
  </si>
  <si>
    <t>KLO 57 ML</t>
  </si>
  <si>
    <t>EN#2158258, INV#PI23-37, 24ILC028554, PO#39359, OBL4/26, empty return 5/30
- ONE HANNOVER, (TB3), ONE
- Moored 5/25, discharged 5/26, LFD 5/30
- prepull 5/29, deliver 5/30</t>
  </si>
  <si>
    <t>82PLTS</t>
  </si>
  <si>
    <t>WHSU6222130
WHSU6226408
WHSU6366499</t>
  </si>
  <si>
    <t>5/28/2024
5/29/2024
5/24/2024</t>
  </si>
  <si>
    <t>EN#2158006, INV#PI24-67 &amp; PI24-72, 24ILC028590, PO#39358, OBL4/19
- WAN HAI 613, (TA22), WAN HAI
- have additional $150/container APM Surcharge
- moored 5/21
- c#2130 - discharged 5/22, LFD 5/29, empty return 5/28
- c#6408 - discharged 5/22, LFD 5/29, empty return 5/31
- c#6499 - discharged 5/22, LFD 5/29, empty return 5/24</t>
  </si>
  <si>
    <t>NYKU4813918</t>
  </si>
  <si>
    <t>RED 18G, OINTMENT 50G</t>
  </si>
  <si>
    <t>EN#2158677, INV#PI24-74 &amp; PI24-78, 24ILC028622, PO#39362, OBL5/9, GATEFEE5/20, empty return 5/23
- YM UBIQUITY, (TB5), ONE
- Moored 5/18, discharged 5/18, LFD 5/23</t>
  </si>
  <si>
    <t>WHSU2377197
WHSU6520829</t>
  </si>
  <si>
    <t>5/22/2024
5/22/2024</t>
  </si>
  <si>
    <t>EN#2158009, INV#PI24-02, 24ILC028586, PO#39357, OBL4/19
- WAN HAI A15, (TA19), WAN HAI
- have additional $150/container APM Surcharge
- moored 5/18
- c#7197 - discharged 5/19, LFD 5/23, empty return 5/22
- c#0829 - discharged 5/18, LFD 5/23, empty return 5/24</t>
  </si>
  <si>
    <t>ONEU7029487</t>
  </si>
  <si>
    <t>EN#2158211, INV#PI24-38, 24ILC028555, PO#39356, OBL4/19
- ONE OWL, (TB2), ONE
- Moored 5/18, discharged 5/19, LFD 5/23
- FCL picked up 5/21, empty return 5/23
- LCL LFD 5/28, pending LCL delivery
- pickup delay due to incorrect HBL#
- LCL prepull 5/24, deliver 5/28</t>
  </si>
  <si>
    <t>CSNU6115218</t>
  </si>
  <si>
    <t>EN#2159029, INV#PI24-03, 24ILC028591, PO#39365, OBL5/14, empty return 5/20
- COSCO SPAIN, (TB10), COSCO
- Moored 5/16, discharged 5/16, LFD 5/22
- PO#39364 changed to 39365</t>
  </si>
  <si>
    <t>WHLU5749836
WHSU6438053</t>
  </si>
  <si>
    <t>5/16/2024
5/16/2024</t>
  </si>
  <si>
    <t>EN#2157822, INV#PI24-02, 24ILC028586, PO#39224, OBL4/10
- WAN HAI A09, (TA18), WAN HAI
- have additional $150/container APM Surcharge
- Moored 5/13
- c#9836 - discharged 5/13, LFD 5/17, empty return 5/17
- c#8053 - discharged 5/13, LFD 5/17, empty return 5/17</t>
  </si>
  <si>
    <t>HDMU5588990</t>
  </si>
  <si>
    <t>EN#2158210, INV#PI24-39, 24ILC028556, PO#39355, OBL4/19, no GATEFEE (LCL)
- SEASPAN ADONIS, (TB1), HMM
- ETA to LA 5/14, then LCL to OAK eta 5/22
- Moored 5/11, discharged 5/14, LFD?
- FCL pickup 5/17, empty return 5/20
- LCL arrived OAK 5/22, LFD 5/27, pending LCL delivery
- IT# 898527324</t>
  </si>
  <si>
    <t>YMLU8736440</t>
  </si>
  <si>
    <t>EN#2157891, INV#PI23-87, 24ILC028566, PO#39222, OBL4/4, FCL empty return 5/17
- ONE CRANE, (TA14), YANG MING
- Moored 5/11, discharged 5/11, LFD 5/16
- FCL picked up 5/15, LCL LFD 5/21, pending LCL delivery</t>
  </si>
  <si>
    <t>86PLTS</t>
  </si>
  <si>
    <t>FCIU6219850
WHSU5771917
WHSU6385101
WHSU6826742</t>
  </si>
  <si>
    <t>5/13/2024
5/10/2024
5/9/2024
5/13/2024</t>
  </si>
  <si>
    <t>EN#2157689, INV#PI24-60 &amp; PI24-65, 24ILC028538, PO#39220, OBL4/2
- SAVANNAH EXPRESS, (TA16), WAN HAI
- have additional APM surcharge ($150)
- Piece count mismatch between MBL and HBL?
- moored5/6
- c#9850 - discharged 5/7, LFD 5/13, empty return 5/13
- c#1917 - discharged 5/7, LFD 5/13, empty return 5/13
- c#5101 - discharged 5/7, LFD 5/13, empty return 5/9
- c#6742 - discharged 5/7, LFD 5/13, empty return 5/13</t>
  </si>
  <si>
    <t>HMMU5418652</t>
  </si>
  <si>
    <t>EN#2157892, INV#PI23-69, 24ILC028565, PO#39221, OBL4/4, No GATEFEE (LCL), FCL empty return 5/9
- YM UNIFORMITY, (TA13), HMM
- ETA to LA 4/29, then LCL to OAK
- IT# 898518456
- moored @ LA 5/1, discharged 5/1, FCL LFD 5/7, FCL picked up 5/7
- LCL ready for pickup 5/9, LCL LFD 5/15
- xray exam</t>
  </si>
  <si>
    <t>WHSU5711836</t>
  </si>
  <si>
    <t>EN#2158008, INV#PI24-66 &amp; PI24-71, 24ILC028589, PO#39225, OBL4/19, GATEFEE4/23, empty return 5/7
- WAN HAI A02, (TA20), WAN HAI
- Moored 5/1, discharged 5/2,  LFD 5/8
- pickup pier waiting was from 8-10:24am additional ½ hr
- split return chassis charges</t>
  </si>
  <si>
    <t>WHSU6910642</t>
  </si>
  <si>
    <t>EN#2157654, INV#PI23-23-LA &amp; PI24-34, 24ILC028554, PO#39223, OBL4/4, empty return 4/30
- WAN HAI A02, (TA17), WAN HAI
- Moored 4/24, discharged 4/25, LFD 4/30
- prepull 4/26, deliver 4/26</t>
  </si>
  <si>
    <t>SEGU5931767</t>
  </si>
  <si>
    <t>EN#2158007, INV#PI24-68, 24ILC028587, PO#39298, OBL4/19, FCL empty return 4/29
- CMA CGM MUMBAI, (TA21), ONE
- Moored 4/22, discharged 4/23, LFD 4/29
- FCL picked up 4/25, pending LCL delivery, LCL LFD 5/1</t>
  </si>
  <si>
    <t>WHSU0055503</t>
  </si>
  <si>
    <t>EN#2157425, INV#PI23-23-NJ &amp; PI24-35, 24ILC028555, PO#39142, OBL3/20, empty return 4/26
- WAN HAI A08, (TA9), WAN HAI
- have additional $150 APM Surcharge
- Moored 4/22, discharged 4/22, LFD 4/29</t>
  </si>
  <si>
    <t>MOAU1422035</t>
  </si>
  <si>
    <t>EN#2157495, INV#PI23-23-SF &amp; PI24-36, 24ILC028556, PO#39143, OBL3/20, GATEFEE4/22, empty return 4/26
- ONE HANOI, (TA11), ONE
- Moored 4/20, discharged 4/21, LFD 4/25
- Drop 4/25 &amp; pickup empty 4/26
- pickup empty EGSU9204531 when drop MOAU1422035, the trucker forget KLO is live unload
- have ½ hour pickup pier waiting time, from 11:42 am-2:00 pm</t>
  </si>
  <si>
    <t>WHLU5736778
WHLU5766860</t>
  </si>
  <si>
    <t>4/19/2024
4/19/2024</t>
  </si>
  <si>
    <t>EN#2157216, INV#PI23-72, 24ILC028511, PO#39141, OBL3/14
- NORFOLK EXPRESS, (TA8), WAN HAI
- have additional $150/contr APM Surcharge
- moored 4/18
- c#6778 - discharged 4/18, LFD 4/24, empty return 4/19
- c#6860 - discahrged 4/18, LFD 4/24, empty return 4/19</t>
  </si>
  <si>
    <t>WHLU5673577</t>
  </si>
  <si>
    <t>EN#2157012, INV#PI23-72, 24ILC028511, PO#39138, OBL3/8, empty return 4/17
- WAN HAI 622, (TA5), WAN HAI
- have additional $150 APM Surcharge
- Moored 4/14, discharged 4/14, LFD 4/18</t>
  </si>
  <si>
    <t>WHSU2106359
WHSU6804722</t>
  </si>
  <si>
    <t>4/17/2024
4/17/2024</t>
  </si>
  <si>
    <t>EN#2157617, INV#PI24-59 &amp; PI24-64, 24ILC028543, PO#39219, OBL4/2, GATEFEE4/10
- WAN HAI A11, (TA15), WAN HAI
- moored 4/14
- c#6359 - discharged 4/14, LFD 4/19, prepull 4/16, pickup pier waiting 10:40am – 5:44 pm, empty return 4/17
- c#4722 - discharged 4/14, LFD 4/19, empty return 4/17</t>
  </si>
  <si>
    <t>WHSU5588819
WHSU6033353</t>
  </si>
  <si>
    <t>4/19/2024
4/18/2024</t>
  </si>
  <si>
    <t>EN#2157541, INV#PI24-01, 24ILC028569, PO#39217, OBL3/26, GATEFEE4/10
- WAN HAI A11, (TA12), WAN HAI
- moored 4/14
- c#8819 - discharged 4/14, LFD 4/19, empty return 4/19
c#3353 - discharged 4/14, LFD 4/19, empty return 4/18
- per Ed, start issue QC PL from this shipment &amp; Luis will pick up QC items
- WHSU5588819 have additional Pier waiting time 1.5 hrs</t>
  </si>
  <si>
    <t>MSMU1698891</t>
  </si>
  <si>
    <r>
      <rPr>
        <rFont val="Arial"/>
        <color rgb="FF000000"/>
        <sz val="11.0"/>
      </rPr>
      <t xml:space="preserve">EN#2157217, INV#PI24-53, 24ILC028539, PO#39139, OBL3/8, </t>
    </r>
    <r>
      <rPr>
        <rFont val="Arial"/>
        <color rgb="FF000000"/>
        <sz val="11.0"/>
      </rPr>
      <t xml:space="preserve">empty return 4/17
</t>
    </r>
    <r>
      <rPr>
        <rFont val="Arial"/>
        <color rgb="FF000000"/>
        <sz val="11.0"/>
      </rPr>
      <t>- SAN FRANCISCA, (TA7), MSC
- have additional $150 PNCT Surcharge
- At anchor 4/12, estimated berthing 4/14
- Moored 4/13, discharged 4/14, LFD 4/17</t>
    </r>
  </si>
  <si>
    <t>TGHU6290157</t>
  </si>
  <si>
    <t>RED 18G, WHITE 18G, OINTMENT 18G, 50G</t>
  </si>
  <si>
    <t>EN#2157382, INV#PI24-61, PI24-61, 24ILC028544, PO#39144, OBL3/20, empty return 3/28
- WAN HAI 363, (TA10), WAN HAI
- Moored 3/22, discharged 3/23, LFD 3/28</t>
  </si>
  <si>
    <t>79PLTS</t>
  </si>
  <si>
    <t>WHSU5267341
WHSU5965580
WHSU6378859</t>
  </si>
  <si>
    <t>3/17/2024
3/19/2024</t>
  </si>
  <si>
    <t>3/27/2024
3/26/2024
3/25/2024</t>
  </si>
  <si>
    <t>EN#2156487, INV#PI24-56, 24ILC028494, PO#39055, OBL2/8
- WAN HAI A07, (TA2), WAN HAI
- have additional $150 APM terminal surcharge
- Moored 3/22
- c#7341 - discharged 3/23, LFD 3/28, empty return 3/27
- c#5580 - discharged 3/22, LFD 3/28, empty return 3/26
- c#8859 - discharged 3/22, LFD 3/28, empty return 3/26</t>
  </si>
  <si>
    <t>TCLU2340815</t>
  </si>
  <si>
    <t>EN#2156465, INV#PI23-11/22-NJ, 24ILC028491, PO#39003, OBL2/6, empty return 4/1
- ONE EAGLE, (TD21), ONE
- have additional $150 Global Terminal surcharge
- At anchor 3/19, estimated berthing 3/21
- Moored 3/21, discharged 3/22, LFD 3/28</t>
  </si>
  <si>
    <t>WHLU5834542
WHLU5765821</t>
  </si>
  <si>
    <t>3/19/2024
3/19/2024</t>
  </si>
  <si>
    <t>EN#2157099, INV#PI23-73, 24ILC028509, PO#39140, OBL3/8
- WAN HAI 353, (TA6), WAN HAI
- Moored 3/16
- c#4542 - discharged 3/16, LFD 3/21, prepull 3/18, empty return 3/19, prepull $120/container
- c#5821 - discharged 3/16, LFD 3/21, prepulll 3/18, empty return 3/20</t>
  </si>
  <si>
    <t>WHLU0401600
WHSU5755367</t>
  </si>
  <si>
    <t>3/7/2024
3/6/2024</t>
  </si>
  <si>
    <t>EN#2156209, INV#PI23-59, 23ILC028456, PO#38999, OBL2/1
- WAN HAI A13, (TD16), WAN HAI
-  have additional $150/container APM Surcharge
- Moored 3/4
- c#1600 - discharged 3/5, LFD 3/11, empty return 3/8
- c#5367 - discharged 3/5, LFD 3/8, empty return 3/6</t>
  </si>
  <si>
    <t>TCNU5887320</t>
  </si>
  <si>
    <t>EN#2156833, INV#PI23-73, 24ILC028509, PO#39084, OBL2/27, empty return 3/5
- YM UNANIMITY, (TA4), HMM
- Moored 3/2, discharged 3/3, LFD?
- prepull 3/4, deliver 3/5</t>
  </si>
  <si>
    <t>TRHU6462387</t>
  </si>
  <si>
    <t>EN#2156366, INV#PI23-11/22-LA, 24ILC028490, PO#39002, OBL2/6, empty return 3/8
- ONE HARBOUR, (TD17), ONE
- Moored 3/1, discharged 3/1, LFD 3/7
- prepull 3/7, deliver 3/8</t>
  </si>
  <si>
    <t>HDMU6698919
HDMU6685948</t>
  </si>
  <si>
    <t>3/5/2024
3/5/2024</t>
  </si>
  <si>
    <t>EN#2156637, INV#PI23-71, 24ILC028510, PO#39054, OBL2/13, GATEFEE2/28
- YM UPSURGENCE, (TA3), HMM
- Moored 2/28
- c#8919 - discharged 2/28, LFD 3/5, empty return 3/5, empty pier waiting was from 11:30-1:25pm additional 1hr
- c#5948 - discharged 2/28, LFD 3/5, empty return 3/5, empty pier waiting was from 10:45-12pm additional ½ hr</t>
  </si>
  <si>
    <t>HMMU5476812</t>
  </si>
  <si>
    <t>EN#2156486, INV#PI23-11/22-SF, 24ILC028492, PO#39001, OBL2/6, no GATEFEE (LCL), FCL empty return 3/12
- ONE ARCADIA, (TA1), HMM
- ETA to LA 2/26, ETA to OAK 3/3
- Moored 2/26, discharged 2/27, LFD 3/1 - FCL picked up 3/1, LCL ready @ LA STG warehouse 3/9, LCL LFD 3/13, ETA to OAK 3/14, LCL delivered 3/18</t>
  </si>
  <si>
    <t>WHSU6758226</t>
  </si>
  <si>
    <t>EN#2156400, INV#PI24-55, 24ILC028493, PO#39004, OBL2/8, GATEFEE2/21, empty return 3/11
- WAN HAI A05, (TD19), WAN HAI
- Moored 2/26, discharged 2/26, LFD 3/11
- ready for pickup 3/3, LFD 3/11
- empty return pier waiting was from 11:45-1:40pm additional 1hr</t>
  </si>
  <si>
    <t>KOCU4742323</t>
  </si>
  <si>
    <t>EN#2156466, INV#PI23-71, 24ILC028510, PO#39053, OBL2/13, GATEFEE2/23, empty return 2/27
- YM UNIFORM, (TD22), HMM
- Moored 2/22, discharged 2/22, LFD  2/28</t>
  </si>
  <si>
    <t>67PLTS</t>
  </si>
  <si>
    <t>SEGU1832339
WHSU5903274
TCKU7531170</t>
  </si>
  <si>
    <t>2/12/2024
2/13/2024</t>
  </si>
  <si>
    <t>2/22/2024
2/23/2024
2/23/2024</t>
  </si>
  <si>
    <t>EN#2155648, INV#PI23-95, 23ILC028457, PO#38876, OBL1/9
- VALENCE, (TD11), WAN HAI
- have additional $150 per container APM Surcharge
- moored 2/17
- c#2339 - discharged 2/17, LFD 2/23, empty return 2/22
c#3274 - discharged 2/17, LFD 2/23, empty return 2/23
c#1170 - discharged 2/17, LFD 2/23, empty return 2/23</t>
  </si>
  <si>
    <t>WHSU0181409</t>
  </si>
  <si>
    <t>EN#2156464, INV#PI24-57, 24ILC028495, PO#39005, OBL2/8, empty return 2/21
- WAN HAI A05, (TD20), WAN HAI
- Moored 2/17, discharged 2/17, LFD 2/23</t>
  </si>
  <si>
    <t>WHSU6593804
WHLU5811660</t>
  </si>
  <si>
    <t>2/28/2024
2/26/2024</t>
  </si>
  <si>
    <t>EN#2156367, INV#PI23-61, 23ILC028455, PO#39000, OBL2/6
- WAN HAI A05, (TD18), WAN HAI
- moored 2/17
- c#3804 - discharged 2/20, LFD 2/29, prepull 2/27 (late), deliver 2/28, empty return 2/28
- c#1660 - discharged 2/18, LFD 2/27, empty return 2/26</t>
  </si>
  <si>
    <t>87PLTS</t>
  </si>
  <si>
    <t>CAIU6030128
TGBU4902544
OOLU9273702</t>
  </si>
  <si>
    <t>2/16/2024
2/16/2024
2/16/2024</t>
  </si>
  <si>
    <t>EN#2155795, INV#PI23-59, 23ILC028456, PO#38997, OBL1/15
- EVER FORTUNE, (TD14), COSCO
- have additional $150 per container Maher Surcharge
- Moored 2/14
- c#0128 - discharged 2/14, LFD 2/21, empty return 2/16
- c#2544 - discharged 2/14, LFD 2/20, empty return 2/21
- c#3702 - discharged 2/14, LFD 2/20, empty return 2/16</t>
  </si>
  <si>
    <t>GCXU5221727</t>
  </si>
  <si>
    <t>KLO 57ML, MUSCLE RUB 60G, MUSCLE GEL 60G</t>
  </si>
  <si>
    <r>
      <rPr>
        <rFont val="Arial"/>
        <color rgb="FF000000"/>
        <sz val="11.0"/>
      </rPr>
      <t xml:space="preserve">EN#2155645, INV#PI23-12-NJ, PI23-78, PI23-88, 23ILC028459, PO#38874, OBL1/9, </t>
    </r>
    <r>
      <rPr>
        <rFont val="Arial"/>
        <color rgb="FF000000"/>
        <sz val="11.0"/>
      </rPr>
      <t>empty return 2/23</t>
    </r>
    <r>
      <rPr>
        <rFont val="Arial"/>
        <color rgb="FF000000"/>
        <sz val="11.0"/>
      </rPr>
      <t xml:space="preserve">
- ONE FALCON, (TD9), ONE
- have additional $150 Port Liberty Bayonne Surcharge
- At anchor 2/12, estimated berthing 2/13
- Moored 2/13, discharged 2/15, LFD 2/22</t>
    </r>
  </si>
  <si>
    <t>WHLU4271531</t>
  </si>
  <si>
    <r>
      <rPr>
        <rFont val="Arial"/>
        <color rgb="FF000000"/>
        <sz val="11.0"/>
      </rPr>
      <t xml:space="preserve">EN#2155536, INV#PI23-86, T/R, PO#38879, </t>
    </r>
    <r>
      <rPr>
        <rFont val="Arial"/>
        <color rgb="FF000000"/>
        <sz val="11.0"/>
      </rPr>
      <t>empty return 2/16</t>
    </r>
    <r>
      <rPr>
        <rFont val="Arial"/>
        <color rgb="FF000000"/>
        <sz val="11.0"/>
      </rPr>
      <t xml:space="preserve">
- WAN HAI A09, (TD6), WAN HAI
- have additional $150 APM Surcharge
- Moored 2/8, discharged 2/9, LFD 2/15</t>
    </r>
  </si>
  <si>
    <t>TEMU1668638</t>
  </si>
  <si>
    <t>EN#2156176, INV#PI23-61, 23ILC028455, PO#38998, OBL1/24, empty return 2/7
- YM UPWARD, (TD15), HMM
- Pending review by FDA compliance staff 2/1
- Moored 2/3, discharged 2/4, LFD?
- prepull 2/6
- FDA detained 2/9, respond by 3/1
- K80-2156176-7
- Response submitted 2/26, FDA released 2/26</t>
  </si>
  <si>
    <t>TGBU9698140</t>
  </si>
  <si>
    <t>EN#5134354, INV#PI23-12-LA, 23ILC028458, PO#38873, OBL1/9, empty return 2/1
- ONE HOUSTON, (TD7), ONE
- Moored 1/26, discharged 1/28, LFD 2/1
- prepull 1/31, delivered 2/1</t>
  </si>
  <si>
    <t>TCLU3818180
FCIU8967050</t>
  </si>
  <si>
    <t>1/26/2024
1/25/2024</t>
  </si>
  <si>
    <t>EN#2155647, INV#PI23-96, 23ILC028453, PO#38929, OBL1/18
- HYUNDAI FORCE, (TD10), ONE
- moored 1/22
- c#8180 - discharged 1/24, LFD 1/29, prepull 1/25, empty return 1/27
- c#7050 - discharged 1/24, LFD 1/27, empty return 1/25</t>
  </si>
  <si>
    <t>SZLU9427486</t>
  </si>
  <si>
    <t>EN#2155663, INV#PI23-12-SF, 23ILC028454, PO#38875, OBL1/9, no GATEFEE (LCL), empty return 1/26
- ONE OLYMPUS, (TD8), HMM
- Moored @ LA 1/22, discharged 1/22, picked up 1/24, pending transfer to OAK
- delivered 2/1 without appointment</t>
  </si>
  <si>
    <t>INKU2367147</t>
  </si>
  <si>
    <t>EN#5134584, INV#PI23-56, 23ILC028452, PO#38878, OBL1/9, GATEFEE1/22, empty return 1/24
- YM UNANIMITY, (TD13), HMM
- Moored 1/21, discharged 1/21, LFD 1/25
- split return chassis charge fee applies</t>
  </si>
  <si>
    <t>FCIU9843705</t>
  </si>
  <si>
    <t>EN#5134583, INV#PI23-94, 23ILC028460, PO#38877, OBL1/9, GATEFEE1/12, empty return 1/31
- COSCO CAMELLIA, (TD12), COSCO
- Moored 1/20, discharged 1/21, LFD 1/25
- ready for pickup 1/25, LFD 1/30</t>
  </si>
  <si>
    <t>ZCSU7279860</t>
  </si>
  <si>
    <r>
      <rPr>
        <rFont val="Arial"/>
        <color rgb="FF000000"/>
        <sz val="11.0"/>
      </rPr>
      <t xml:space="preserve">EN#2154856, INV#PI23-43, 23ILC028348, PO#38907, OBL12/5, </t>
    </r>
    <r>
      <rPr>
        <rFont val="Arial"/>
        <color rgb="FF000000"/>
        <sz val="11.0"/>
      </rPr>
      <t xml:space="preserve">empty return 1/24 (per Etrans)
</t>
    </r>
    <r>
      <rPr>
        <rFont val="Arial"/>
        <color rgb="FF000000"/>
        <sz val="11.0"/>
      </rPr>
      <t>- ZIM AMERICA, (TD1), ZIM
- have additional $150 Maher Surcharge
- Moored 1/18, discharged 1/18, LFD 1/24</t>
    </r>
  </si>
  <si>
    <t>WHSU2144554
WHSU6919207</t>
  </si>
  <si>
    <t>1/14/2024
1/16/2024</t>
  </si>
  <si>
    <t>1/22/2024
1/23/2024</t>
  </si>
  <si>
    <t>EN#2155135, INV#PI23-90, 23ILC028427, PO#38825, OBL12/20,
- SAVANNAH EXPRESS, (TD3), WAN HAI
- have additional $150/contr APM Surcharge
- Moored 1/17
- c#4554 - discharged 1/17, LFD 1/23, empty return 1/25
- c#9207 - discharged 1/18, LFD 1/24, empty return 1/24</t>
  </si>
  <si>
    <t>INKU2681707
WBPU7006900</t>
  </si>
  <si>
    <t>1/12/2024
1/12/2024</t>
  </si>
  <si>
    <t>EN#5134065, INV#PI23-56, 23ILC028452, PO#38872, OBL1/3, GATEFEE1/10
- YM UPSURGENCE, (TD5), HMM
- Moored 1/9
- c#1707 -  discharged 1/9, LFD 1/12? empty return 1/12
- c#6900 - discharged 1/9, LFD 1/12? empty return 1/12
- have split return chassis fee
- WBPU7006900 have additional ½ hr for return pier waiting</t>
  </si>
  <si>
    <t>DFSU3023209
WHSU5948617
WHSU5309560</t>
  </si>
  <si>
    <t>1/5/2024
1/8/2024
1/8/2024</t>
  </si>
  <si>
    <t>EN#5133375, INV#PI23-43, 23ILC028348, PO#38753, OBL12/5
- WAN HAI A08, (TC21), WAN HAI
- have additional $150/contr APM Surcharge
- GW advance ASL invoice OI-11010-23, though it's above $4500 (per Juliana verbal approval)
- moored 1/2
- c#3209 - discharged 1/3, LFD 1/8, empty return 1/5
- c#8617 - discharged 1/2, LFD 1/8, empty return 1/8
- c#9560 - discharged 1/2, LFD 1/8, empty return 1/9</t>
  </si>
  <si>
    <t>EMCU1831705</t>
  </si>
  <si>
    <t>GHC TURMERIC D-04033, GHC LEMON D-04043, GHC D-04061</t>
  </si>
  <si>
    <r>
      <rPr>
        <rFont val="Arial"/>
        <color rgb="FF000000"/>
        <sz val="11.0"/>
      </rPr>
      <t>EN#2173837, INV#JB2536, T/R,</t>
    </r>
    <r>
      <rPr>
        <rFont val="Arial"/>
        <color rgb="FF000000"/>
        <sz val="11.0"/>
      </rPr>
      <t xml:space="preserve"> empty return 1/8
</t>
    </r>
    <r>
      <rPr>
        <rFont val="Arial"/>
        <color rgb="FF000000"/>
        <sz val="11.0"/>
      </rPr>
      <t>- COSCO HARMONY, (Y2), EG
- total tariffs 33.9%
- have additional $150 Maher Surcharge
- GC providee ingredient labels
- Moored 12/31, discharged 1/4, LFD 1/8</t>
    </r>
  </si>
  <si>
    <t>TRHU1192680</t>
  </si>
  <si>
    <r>
      <rPr>
        <rFont val="Arial"/>
        <color rgb="FF000000"/>
        <sz val="11.0"/>
      </rPr>
      <t xml:space="preserve">EN#2174031, INV#20251031, T/R, </t>
    </r>
    <r>
      <rPr>
        <rFont val="Arial"/>
        <color rgb="FF000000"/>
        <sz val="11.0"/>
      </rPr>
      <t xml:space="preserve">empty return 1/6
</t>
    </r>
    <r>
      <rPr>
        <rFont val="Arial"/>
        <color rgb="FF000000"/>
        <sz val="11.0"/>
      </rPr>
      <t>- EVER MAGUS, (Z5), EG
- total tariffs 45 &amp; 30.7%
- JD provided renewed IFTP
- Moored 12/30, discharged 1/3, LFD 1/8
- prepulled 1/5, delivered 1/6
- Drop</t>
    </r>
  </si>
  <si>
    <t>OTHER</t>
  </si>
  <si>
    <t>MSBU1441385</t>
  </si>
  <si>
    <t>EN#2174317, INV#151602, T/R, empty return 1/2
- HENRIKA SCHULTE, (Y11), MSC
- total tariffs 15%
- 20 plts, Live unload
- have additional $150 PNCT Surcharge
- Moored 12/26, discharged 12/28, LFD 1/5
- prepulled 12/30</t>
  </si>
  <si>
    <t>OOCU8746893</t>
  </si>
  <si>
    <t>ORGANIC TEA
D-13206, D-14206, D-15206, D-17206, D-18206, D-19206</t>
  </si>
  <si>
    <t>EN#2174429, INV#YD25-T15, T/R, empty return 1/6
- COSCO BELGIUM, (Y13), COSCO
- total tariffs 17.5%
- Moored 12/26, discharged 12/27, LFD 1/2
- Prepulled 12/30, delivered 12/31</t>
  </si>
  <si>
    <t>TIIU5708888</t>
  </si>
  <si>
    <t>THAI TEA, MATCHA LATTE, CAPPUCCINO, TEA LATTE</t>
  </si>
  <si>
    <t>EN#2174088, INV#EMI250001011, OBL12/15, empty return 1/8
- EVER MAGIC, (Y10), EG
- total tariffs 19% &amp; ($0.305/KG + 8.5%)
- Moored 12/26, discharged 12/27, LFD 1/5
- prepulled 1/5, delivered 1/6</t>
  </si>
  <si>
    <t>TIIU4253022</t>
  </si>
  <si>
    <t>THAI TEA, MATCHA LATTE</t>
  </si>
  <si>
    <t>EN#2173995, INV#EMI250001010, OBL12/15, empty return 1/5
- EVER MAGIC, (Y8), EG
- total tariffs 19% &amp; ($0.305/KG + 8.5%)
- Moored 12/26, discharged 12/26, LFD 1/2</t>
  </si>
  <si>
    <t>NYKU0763980</t>
  </si>
  <si>
    <t>EN#2174334, INV#151603, T/R, empty return 1/9
- CMA CGM FIDELIO, (Y9), ONE
- total tariffs 15%
- 33 plts, Live unload
- have additional $150 Port Liberty Bayonne (Global) Surcharge
- Moored 12/26, discharged 12/26, LFD 1/6</t>
  </si>
  <si>
    <t>EGSU1204746</t>
  </si>
  <si>
    <r>
      <rPr>
        <rFont val="Arial"/>
        <color rgb="FF000000"/>
        <sz val="11.0"/>
      </rPr>
      <t xml:space="preserve">GHC LEMON D-04017, GHC TURMERIC D-04018
</t>
    </r>
    <r>
      <rPr>
        <rFont val="Arial"/>
        <color rgb="FF000000"/>
        <sz val="11.0"/>
      </rPr>
      <t>(to RC Commerce)</t>
    </r>
  </si>
  <si>
    <t>EN#2173836, INV#JB2543, T/R, empty return 1/6
- OOCL LILAC, (Y1), EG
- total tariffs 33.9%
- have additional $150 Maher Surcharge
- Moored 12/24, discharged 12/29, LFD 1/6
- prepull 1/5</t>
  </si>
  <si>
    <t>EGSU6405580</t>
  </si>
  <si>
    <t>GINGER CHEWS 8 OZ (BLOOD ORANGE), QC SAMPLE</t>
  </si>
  <si>
    <t>EN#2173389, INV#E/SNA/2025/00133, T/R, empty return 1/6
- EVER MAGNA, (X18), EG
- total tariffs 24.6%
- have additional $150 Maher Surcharge
- Moored 12/22, discharged 12/23, LFD 1/2
- prepull 12/29</t>
  </si>
  <si>
    <t>EGSU9553472</t>
  </si>
  <si>
    <t>GINGER CHEWS 1 LBS (ORIGINAL), QC SAMPLE</t>
  </si>
  <si>
    <t>EN#2173246, INV#207/EXP/INV/X/2025, T/R, empty return 1/6
- EVER MAGNA, (X16), EG
- total tariffs 24.6%
- have an additional $150 Maher Surcharge
- Moored 12/22, discharged 12/23, LFD 1/2</t>
  </si>
  <si>
    <t>CAIU7147119</t>
  </si>
  <si>
    <t>GHC D-04011, D-04061, GHC LEMON D-04043, GHC AGSG D-04030</t>
  </si>
  <si>
    <r>
      <rPr>
        <rFont val="Arial"/>
        <color rgb="FF000000"/>
        <sz val="11.0"/>
      </rPr>
      <t xml:space="preserve">12/24/2025
</t>
    </r>
    <r>
      <rPr>
        <rFont val="Arial"/>
        <color rgb="FFFF0000"/>
        <sz val="11.0"/>
      </rPr>
      <t>Pending per diem?</t>
    </r>
  </si>
  <si>
    <t>EN#2173929, INV#JB2540, T/R, empty return 12/31
- HMM DAON, (X20), HMM
- total tariffs 33.9%
- Moored 12/19, discharged 12/21, LFD 12/26
- prepulled 12/23</t>
  </si>
  <si>
    <t>EISU8319273</t>
  </si>
  <si>
    <r>
      <rPr>
        <rFont val="Arial"/>
        <color rgb="FF000000"/>
        <sz val="11.0"/>
      </rPr>
      <t xml:space="preserve">GHC D-04016
</t>
    </r>
    <r>
      <rPr>
        <rFont val="Arial"/>
        <color rgb="FF000000"/>
        <sz val="11.0"/>
      </rPr>
      <t>(to RC Commerce)</t>
    </r>
  </si>
  <si>
    <t>EN#2173580, INV#JB2542, T/R, empty return 12/30
- COSCO AZALEA, (X21), EG
- total tariffs 33.9%
- GC provided ingredient list to FDA
- have an additional $150 Maher Surcharge
- Moored 12/18, discharged 12/21, LFD 12/29
- prepulled 12/26</t>
  </si>
  <si>
    <t>EGSU9145207</t>
  </si>
  <si>
    <t>GHC D-04011, D-04061, GHC PASSION FRUIT D-04048</t>
  </si>
  <si>
    <t>EN#2173579, INV#JB2535, T/R, empty return 12/29
- COSCO AZALEA, (X22), EG
- total tariffs 33.9%
- have an additional $150 Maher Surcharge
- Moored 12/18, discharged 12/21, LFD 12/29
- prepull 12/22</t>
  </si>
  <si>
    <t>CAAU5721272</t>
  </si>
  <si>
    <t>AM GSG CANDY, QC SAMPLE</t>
  </si>
  <si>
    <t>5642452 / Y</t>
  </si>
  <si>
    <t>EN#2173783, INV#2183, T/R, GATEFEE12/16, empty return 12/31
- EVER MOST, (W16), EG
- total tariffs 50.6%
- Moored 12/17, discharged 12/17, LFD 12/26
- respot 12/24</t>
  </si>
  <si>
    <t>EGSU9339481</t>
  </si>
  <si>
    <t>GINGER CHEWS 2 OZ (LEMON), QC SAMPLE</t>
  </si>
  <si>
    <t>EN#2172992, INV#E/SNA/2025/00131, T/R, empty return 12/23
- EVER MAST, (X15), EG
- total tariffs 24.6%
- have additional $150 Maher Surcharge
- Moored 12/17, discharged 12/18, LFD 12/26
- prepull 12/19</t>
  </si>
  <si>
    <t>TGBU7295700</t>
  </si>
  <si>
    <t>GHC D-04011, D-04061, GHC DARK BROWN SUGAR D-41986</t>
  </si>
  <si>
    <r>
      <rPr>
        <rFont val="Arial"/>
        <color rgb="FF000000"/>
        <sz val="11.0"/>
      </rPr>
      <t xml:space="preserve">EN#2173232, INV#JB2534, T/R, </t>
    </r>
    <r>
      <rPr>
        <rFont val="Arial"/>
        <color rgb="FF000000"/>
        <sz val="11.0"/>
      </rPr>
      <t xml:space="preserve">emtpy return 12/22
</t>
    </r>
    <r>
      <rPr>
        <rFont val="Arial"/>
        <color rgb="FF000000"/>
        <sz val="11.0"/>
      </rPr>
      <t>- THESEUS, (W8), EG
- total tariffs 33.9%
- have additional $150 Maher Surcharge
- Moored 12/15, discharged 12/15, LFD 12/19</t>
    </r>
  </si>
  <si>
    <t>OOCU7821930</t>
  </si>
  <si>
    <t>ORGANIC TEA
D-13206, D-13212, D-14206, D-14212, D-15206, D-15212, D-17206, D-18206, D-18212, D-19206</t>
  </si>
  <si>
    <r>
      <rPr>
        <rFont val="Arial"/>
        <color rgb="FF000000"/>
        <sz val="11.0"/>
      </rPr>
      <t xml:space="preserve">12/17/2025
</t>
    </r>
    <r>
      <rPr>
        <rFont val="Arial"/>
        <color rgb="FFFF0000"/>
        <sz val="11.0"/>
      </rPr>
      <t>Pending per diem</t>
    </r>
  </si>
  <si>
    <t>5642453 / Y</t>
  </si>
  <si>
    <t>EN#2173539, INV#YD25-T13, T/R, GATEFEE12/12, empty return 12/26
- EVER LEADING, (X17), COSCO
- total tariffs 17.5%
- Moored 12/14, discharged 12/15, LFD 12/18
- Pier waiting was from 9:29-1:17pm additional 2hr</t>
  </si>
  <si>
    <t>TXGU5830858</t>
  </si>
  <si>
    <t>GINGER CHEWS 8 OZ (ORIGINAL, LEMON), QC SAMPLE</t>
  </si>
  <si>
    <t>EN#2173239, INV#209/EXP/INV/X/2025, T/R, GATEFEE12/11, empty return 12/29
- EVER MODE, (X14), EG
- total tariffs 24.6%
- Moored 12/12, discharged 12/12, LFD 12/18</t>
  </si>
  <si>
    <t>EGSU1325959</t>
  </si>
  <si>
    <t>GINGER CHEWS 4 OZ (ORIGINAL), QC SAMPLE</t>
  </si>
  <si>
    <t>EN#2173244, INV#208/EXP/INV/X/2025, T/R, GATEFEE12/11, empty return 12/18
- EVER MODE, (X13), EG
- total tariffs 24.6%
- Moored 12/12, discharged 12/12, LFD 12/18
- Live unload (trucking $525)</t>
  </si>
  <si>
    <t>HAMU2440493</t>
  </si>
  <si>
    <t>ORGANIC TEA
D-13206, D-14206, D-15206, D-15212, D-17206, D-18206, D-18212, D-19206, D-19212</t>
  </si>
  <si>
    <r>
      <rPr>
        <rFont val="Arial"/>
        <color rgb="FF000000"/>
        <sz val="11.0"/>
      </rPr>
      <t xml:space="preserve">EN#2173044, INV#YD25-T12, T/R, </t>
    </r>
    <r>
      <rPr>
        <rFont val="Arial"/>
        <color rgb="FF000000"/>
        <sz val="11.0"/>
      </rPr>
      <t xml:space="preserve">empty return 12/18
</t>
    </r>
    <r>
      <rPr>
        <rFont val="Arial"/>
        <color rgb="FF000000"/>
        <sz val="11.0"/>
      </rPr>
      <t>- WAN HAI A08, (W9), HLCU
- total tariffs 17.5%
- have an additional $150 APM Surcharge
- Moored 12/12, discharged 12/12, LFD 12/18</t>
    </r>
  </si>
  <si>
    <t>268 (LCL)</t>
  </si>
  <si>
    <t>TCLU8909853</t>
  </si>
  <si>
    <t>SEIROGAN 36, 100 PILLS</t>
  </si>
  <si>
    <r>
      <rPr>
        <rFont val="Arial"/>
        <color rgb="FF000000"/>
        <sz val="11.0"/>
      </rPr>
      <t>EN#2173951, INV#US-251101, OBL12/11</t>
    </r>
    <r>
      <rPr>
        <rFont val="Arial"/>
        <color rgb="FFFF0000"/>
        <sz val="11.0"/>
      </rPr>
      <t xml:space="preserve">
</t>
    </r>
    <r>
      <rPr>
        <rFont val="Arial"/>
        <color rgb="FF000000"/>
        <sz val="11.0"/>
      </rPr>
      <t>- ONE HAMBURG, (Y7), ONE</t>
    </r>
    <r>
      <rPr>
        <rFont val="Arial"/>
        <color rgb="FFFF0000"/>
        <sz val="11.0"/>
      </rPr>
      <t xml:space="preserve">
</t>
    </r>
    <r>
      <rPr>
        <rFont val="Arial"/>
        <color rgb="FF000000"/>
        <sz val="11.0"/>
      </rPr>
      <t>- total tariffs 15% &amp; 56.4% (steel)</t>
    </r>
    <r>
      <rPr>
        <rFont val="Arial"/>
        <color rgb="FFFF0000"/>
        <sz val="11.0"/>
      </rPr>
      <t xml:space="preserve">
</t>
    </r>
    <r>
      <rPr>
        <rFont val="Arial"/>
        <color rgb="FF000000"/>
        <sz val="11.0"/>
      </rPr>
      <t>- FG provided steel or aluminum info
- Moored 12/10, discharged 12/10, FCL LFD 12/16, FCL picked up 12/12, FCL empty return 12/12</t>
    </r>
  </si>
  <si>
    <t>EGSU1842015</t>
  </si>
  <si>
    <r>
      <rPr>
        <rFont val="Arial"/>
        <color rgb="FF000000"/>
        <sz val="11.0"/>
      </rPr>
      <t xml:space="preserve">EN#2173238, INV#210/EXP/INV/X/2025, T/R, </t>
    </r>
    <r>
      <rPr>
        <rFont val="Arial"/>
        <color rgb="FF000000"/>
        <sz val="11.0"/>
      </rPr>
      <t xml:space="preserve">empty return 12/10
</t>
    </r>
    <r>
      <rPr>
        <rFont val="Arial"/>
        <color rgb="FF000000"/>
        <sz val="11.0"/>
      </rPr>
      <t>- EVER MODE, (X12), EG
- total tariffs 24.6%
- Moored 12/6, discharged 12/7, LFD 12/14
- also submit internal invoice</t>
    </r>
  </si>
  <si>
    <t>OOLU0364165</t>
  </si>
  <si>
    <r>
      <rPr>
        <rFont val="Arial"/>
        <color rgb="FF000000"/>
        <sz val="11.0"/>
      </rPr>
      <t xml:space="preserve">EN#2173191, INV#SH00020429 &amp; SI00015782, T/R, </t>
    </r>
    <r>
      <rPr>
        <rFont val="Arial"/>
        <color rgb="FF000000"/>
        <sz val="11.0"/>
      </rPr>
      <t xml:space="preserve">empty return 12/11
</t>
    </r>
    <r>
      <rPr>
        <rFont val="Arial"/>
        <color rgb="FF000000"/>
        <sz val="11.0"/>
      </rPr>
      <t>- OOCL BANGKOK, (W4), OOCL
- total tariffs 20 &amp; 43.5%
- have an additional $150 Maher Surcharge
- Moored 12/5, discharged 12/6, LFD 12/11
- Live unload</t>
    </r>
  </si>
  <si>
    <t>SLEU2498434</t>
  </si>
  <si>
    <t>RED GINSENG ROYAL JELLY
C-70052</t>
  </si>
  <si>
    <t>5642680 / Y</t>
  </si>
  <si>
    <t>EN#2173192, INV#2025TAT04, T/R, GATEFEE12/2, empty return 12/15 (per Benz)
- GERNER MAERSK, (W7), MAEU
- total tariffs 33.9% (non-aluminum) &amp; 73.9% (aluminium)
- Moored 12/4, discharged 12/5, LFD 12/11</t>
  </si>
  <si>
    <t>EGHU9684714</t>
  </si>
  <si>
    <t>EN#2172942, INV#2179, T/R, empty return 12/15
- CMA CGM ARGENTINA, (W6), EG
- total tariffs 50.6%
- have an additional $150 Port Liberty Bayonne (Global) Surcharge
- Moored 12/3, discharged 12/5, LFD 12/11
- have additional Empty Pick-up Surcharge ($535 + 30% Fuel)</t>
  </si>
  <si>
    <t>EMCU8734857</t>
  </si>
  <si>
    <t>GINGER CHEWS 2 OZ (ORIGINAL, LEMON), QC SAMPLE</t>
  </si>
  <si>
    <t>EN#2173008, INV#E/SNA/2025/00130, T/R, GATEFEE12/3, empty return 12/18
- EVER MACH, (W22), EG
- total tariffs 24.6%
- Moored 12/3, discharged 12/3, LFD 12/9</t>
  </si>
  <si>
    <t>TIIU6494749</t>
  </si>
  <si>
    <t>GINGER CHEW PLUS+ 3 OZ (ORIGINAL, LEMON), QC SAMPLE</t>
  </si>
  <si>
    <r>
      <rPr>
        <rFont val="Arial"/>
        <color rgb="FF000000"/>
        <sz val="11.0"/>
      </rPr>
      <t xml:space="preserve">EN#2172842, INV#E/SNA/2025/00125, T/R, </t>
    </r>
    <r>
      <rPr>
        <rFont val="Arial"/>
        <color rgb="FF000000"/>
        <sz val="11.0"/>
      </rPr>
      <t xml:space="preserve">empty return 12/11
</t>
    </r>
    <r>
      <rPr>
        <rFont val="Arial"/>
        <color rgb="FF000000"/>
        <sz val="11.0"/>
      </rPr>
      <t>- EVER MATCH, (X11), EG</t>
    </r>
    <r>
      <rPr>
        <rFont val="Arial"/>
        <color rgb="FF000000"/>
        <sz val="11.0"/>
      </rPr>
      <t xml:space="preserve">
</t>
    </r>
    <r>
      <rPr>
        <rFont val="Arial"/>
        <color rgb="FF000000"/>
        <sz val="11.0"/>
      </rPr>
      <t>- total tariffs 24.6%
- have additional $150 Maher Surcharge
- Moored 12/2, discharged 12/3, LFD 12/9</t>
    </r>
  </si>
  <si>
    <t>EGSU1532637</t>
  </si>
  <si>
    <t>GINGER CHEWS 8 OZ (MANGO, LYCHEE), QC SAMPLE</t>
  </si>
  <si>
    <r>
      <rPr>
        <rFont val="Arial"/>
        <color rgb="FF000000"/>
        <sz val="11.0"/>
      </rPr>
      <t xml:space="preserve">EN#2172845, INV#E/SNA/2025/00124. T/R, </t>
    </r>
    <r>
      <rPr>
        <rFont val="Arial"/>
        <color rgb="FF000000"/>
        <sz val="11.0"/>
      </rPr>
      <t>empty return 12/9</t>
    </r>
    <r>
      <rPr>
        <rFont val="Arial"/>
        <color rgb="FF000000"/>
        <sz val="11.0"/>
      </rPr>
      <t xml:space="preserve">
- EVER MATCH, (X10), EG
- total tariffs 24.6%
- have additional $150 Maher Surcharge
- Moored 12/2, discharged 12/3, LFD 12/9
- prepulled 12/4</t>
    </r>
  </si>
  <si>
    <t>GAOU7242970</t>
  </si>
  <si>
    <t>EN#2173018, INV#190/EXO/INV/X/2025, T/R, empty return 12/5
- EVER MATCH, (X9), EG
- total tariffs 24.6%
- have additional $150 Maher Surcharge
- Moored 12/2, discharged 12/3, LFD 12/8
- prepulled 12/4</t>
  </si>
  <si>
    <t>TXGU7521441</t>
  </si>
  <si>
    <r>
      <rPr>
        <rFont val="Arial"/>
        <color rgb="FF000000"/>
        <sz val="11.0"/>
      </rPr>
      <t xml:space="preserve">EN#2172703, INV#184/EXP/INV/IX/2025, T/R, </t>
    </r>
    <r>
      <rPr>
        <rFont val="Arial"/>
        <color rgb="FF000000"/>
        <sz val="11.0"/>
      </rPr>
      <t>empty return 12/9</t>
    </r>
    <r>
      <rPr>
        <rFont val="Arial"/>
        <color rgb="FF000000"/>
        <sz val="11.0"/>
      </rPr>
      <t xml:space="preserve">
- EVER MATCH, (X8), EG
- total tariffs 24.6%
- have additional $150 Maher Surcharge
- Moored 12/2, discharged 12/4, LFD 12/9
- live unload</t>
    </r>
  </si>
  <si>
    <t>EGHU8502651</t>
  </si>
  <si>
    <r>
      <rPr>
        <rFont val="Arial"/>
        <color rgb="FF000000"/>
        <sz val="11.0"/>
      </rPr>
      <t xml:space="preserve">EN#2172702, INV#186/EXP/INV/X/2025, T/R, </t>
    </r>
    <r>
      <rPr>
        <rFont val="Arial"/>
        <color rgb="FF000000"/>
        <sz val="11.0"/>
      </rPr>
      <t xml:space="preserve">empty return 12/9
</t>
    </r>
    <r>
      <rPr>
        <rFont val="Arial"/>
        <color rgb="FF000000"/>
        <sz val="11.0"/>
      </rPr>
      <t>- EVER MATCH, (X7), EG
- total tariffs 24.6%
- have additional $150 Maher Surcharge
- Moored 12/2, discharged 12/2, LFD 12/8</t>
    </r>
  </si>
  <si>
    <t>CSNU5563840</t>
  </si>
  <si>
    <t>TEA
D-13106, D-13306, D-14106, D-15106, D-16106, D-17106, D-18106, D-18012</t>
  </si>
  <si>
    <t>EN#2172978, INV#YD25-T10, T/R, empty return 12/8
- COSCOSHIPPING ORCHID, (V17), COSCO
- total tariffs 27.5%
- have additional $150 Maher Surcharge
- Moored 11/29, discharged, LFD 12/4
- prepulled 12/3</t>
  </si>
  <si>
    <t>HMMU6533650</t>
  </si>
  <si>
    <t>RED PANAX GINSENG EXTRACT, GINKGO BILOBA, ULTRA GINGKGO PLUS, ULTRA JOINT HEALTH</t>
  </si>
  <si>
    <t>5642681 / Y</t>
  </si>
  <si>
    <t>EN#2173102, INV#HR-2508, T/R, GATEFEE11/28, empty return 12/8
- HMM PEARL, (W3), HMM
- total tariffs 33.9% (non-aluminum) &amp; 73.9% (aluminium)
- GC provided aluminium info
- Moored 11/30, discharged 11/30, LFD 12/4</t>
  </si>
  <si>
    <t>SZLU2035396</t>
  </si>
  <si>
    <t>5642682 / Y</t>
  </si>
  <si>
    <t>EN#2173126, INV#94438846, T/R, GATEFEE11/28, empty return 12/4
- NYK ROMULUS, (V20), ONE
- total tariffs 10%
- No need genset
- Moored 11/29, discharged 11/29, LFD 12/2
- additional split return chassis charge</t>
  </si>
  <si>
    <t>EMCU8737774</t>
  </si>
  <si>
    <t>GINGER CHEWS 4 OZ (ORIGINAL, LEMON), QC SAMPLE</t>
  </si>
  <si>
    <r>
      <rPr>
        <rFont val="Arial"/>
        <color rgb="FF000000"/>
        <sz val="11.0"/>
      </rPr>
      <t xml:space="preserve">EN#2173245, INV#199/EXP/INV/X/2025, T/R, </t>
    </r>
    <r>
      <rPr>
        <rFont val="Arial"/>
        <color rgb="FF000000"/>
        <sz val="11.0"/>
      </rPr>
      <t xml:space="preserve">empty return 12/3
</t>
    </r>
    <r>
      <rPr>
        <rFont val="Arial"/>
        <color rgb="FF000000"/>
        <sz val="11.0"/>
      </rPr>
      <t>- EVER MACH, (X6), EG
- total tariffs 24.6%
- Moored 11/28, discharged 11/29, LFD 12/4</t>
    </r>
  </si>
  <si>
    <t>MRKU2224180</t>
  </si>
  <si>
    <t>RED PANAX GINSENG EXTRACT, GINKGO BILOBA, ULTRA JOINT HEALTH, BEIJING ROYAL JELLY</t>
  </si>
  <si>
    <r>
      <rPr>
        <rFont val="Arial"/>
        <color rgb="FF000000"/>
        <sz val="11.0"/>
      </rPr>
      <t xml:space="preserve">EN#2172867, INV#HR2507, T/R, </t>
    </r>
    <r>
      <rPr>
        <rFont val="Arial"/>
        <color rgb="FF000000"/>
        <sz val="11.0"/>
      </rPr>
      <t xml:space="preserve">empty return 12/3
</t>
    </r>
    <r>
      <rPr>
        <rFont val="Arial"/>
        <color rgb="FF000000"/>
        <sz val="11.0"/>
      </rPr>
      <t>- FRANKFURT EXPRESS, (V14), MAEU
- total tariffs 33.9% (non-aluminum) &amp; 73.9% (aluminium)
- have an additional $150 APM Surcharge
- Moored 11/26, discharged 11/26, LFD 12/3</t>
    </r>
  </si>
  <si>
    <t>EMCU8825290</t>
  </si>
  <si>
    <t>GHC D-04011, GHC TURMERIC D-04033, GHC LEMON D-04043</t>
  </si>
  <si>
    <t>EN#2172815, INV#JB2533, T/R, empty return 12/4
- TOLEDO TRIUMPH, (V12), EG
-  total tariffs 33.9%
- have an additional $150 Maher Surcharge
- Moored 11/26, discharged 11/26, LFD 12/3
- prepulled 12/2
- FDA released 12/10</t>
  </si>
  <si>
    <t>EITU1531406</t>
  </si>
  <si>
    <r>
      <rPr>
        <rFont val="Arial"/>
        <color rgb="FF000000"/>
        <sz val="11.0"/>
      </rPr>
      <t xml:space="preserve">GHC D-04016
</t>
    </r>
    <r>
      <rPr>
        <rFont val="Arial"/>
        <color rgb="FF000000"/>
        <sz val="11.0"/>
      </rPr>
      <t>(to RC Commerce)</t>
    </r>
  </si>
  <si>
    <t>EN#2172977, INV#JB2541, T/R, empty return 12/4
- OOCL FRANCE, (W2), EG
- total tariffs 33.9%
- have an additional $150 Maher Surcharge
- Moored 11/25, discharged 11/28, LFD 12/4
- prepull 12/3
- received Proforma Invoice &amp; DO from Eric</t>
  </si>
  <si>
    <t>TXGU8319327</t>
  </si>
  <si>
    <t>GINGER CHEWS 8 OZ (MANGO), QC SAMPLE</t>
  </si>
  <si>
    <t>EN#2172797, INV#E/SNA/2025/00121, T/R, GATEFEE11/24, empty return 12/4
- EVER MILD, (W15), EG
- total tariffs 24.6%
- Moored 11/24, discharged 11/25, LFD 12/1</t>
  </si>
  <si>
    <t>TRHU8088384</t>
  </si>
  <si>
    <t>EN#2172798, INV#E/SNA/2025/00122, T/R, GATEFEE11/24, empty return 12/12
- EVER MILD, (W14), EG
- total tariffs 24.6%
- Moored 11/24, discharged 11/25, LFD 12/2
- Prepulled 12/2, delivered 12/8
- respot 12/12</t>
  </si>
  <si>
    <t>EMCU9933508</t>
  </si>
  <si>
    <t>GINGER CHEWS 8 OZ (LYCHEE), QC SAMPLE</t>
  </si>
  <si>
    <t>EN#2172869, INV#E/SNA/2025/00128, T/R, GATEFEE11/24, empty return 12/18
- EVER MILD, (X5), EG
- total tariffs 24.6%
- Moored 11/24, discharged 11/25, LFD 12/4
- prepulled 12/4, delivered 12/10
- respot 12/15</t>
  </si>
  <si>
    <t>TXGU7382243</t>
  </si>
  <si>
    <t>GINGER CHEW PLUS+ 3 OZ (ORIGINAL), QC SAMPLE</t>
  </si>
  <si>
    <t>EN#2172871, INV#E/SNA/2025/00126, T/R, GATEFEE11/24, empty return 12/11
- EVER MILD, (X4), EG
- total tariffs 24.6%
- Moored 11/24, discharged 11/25, LFD 12/2
- Prepulled 12/2, delivered 12/4</t>
  </si>
  <si>
    <t>CAAU5879400</t>
  </si>
  <si>
    <t>EN#2172870, INV#E/SNA/2025/00127, T/R, GATEFEE11/24, empty return 12/9
- EVER MILD, (X3), EG
- total tariffs 24.6%
- Moored 11/24, discharged 11/25, LFD 12/2
- respot 12/4</t>
  </si>
  <si>
    <t>FFAU5106528</t>
  </si>
  <si>
    <t>GINGER CHEWS 8 OZ (ASSORTED), QC SAMPLE</t>
  </si>
  <si>
    <t>EN#2172943, INV#E/SNA/2025/00129, T/R, GATEFEE11/24, empty return 12/4
- EVER MILD, (X2), EG
- total tariffs 24.6%
- Moored 11/24, discharged 11/25, LFD 12/2
- Prepulled 12/1, delivered 12/2</t>
  </si>
  <si>
    <t>TXGU6149089</t>
  </si>
  <si>
    <t>EN#2172843, INV#193/EXP/INV/X/2025, T/R, GATEFEE11/24, empty return 12/24
- EVER MILD, (X1), EG
- total tariffs 24.6%
- Moored 11/24, discharged 11/25, LFD 12/3
- Prepulled 12/3, delivered 12/9
- respot 12/16 &amp; 12/24
- free 10 calendar day after pickup, so 5 days per diem, and per diem invoice PF2512005278 is $1000</t>
  </si>
  <si>
    <t>TGBU9968307</t>
  </si>
  <si>
    <t>1MM CRACKER</t>
  </si>
  <si>
    <t>EN#2173086, INV#JYPOP20251008, T/R, GATEFEE11/24, empty return 12/9
- EVER MILD, (V19), EG
- total tariffs 45%
- Moored 11/24, discharged 11/25, LFD 12/3
- Prepulled 12/3, delivered 12/8
- empty return Pier waiting was from 2:09-3:49pm additional 1hr.</t>
  </si>
  <si>
    <t>TXGU7517499</t>
  </si>
  <si>
    <t>GINGER CHEWS 2 OZ (ORIGINAL), QC SAMPLE</t>
  </si>
  <si>
    <r>
      <rPr>
        <rFont val="Arial"/>
        <color rgb="FF000000"/>
        <sz val="11.0"/>
      </rPr>
      <t xml:space="preserve">EN#2172665, INV#E/SNA/2025/00118, T/R, </t>
    </r>
    <r>
      <rPr>
        <rFont val="Arial"/>
        <color rgb="FF000000"/>
        <sz val="11.0"/>
      </rPr>
      <t xml:space="preserve">empty return 12/1
</t>
    </r>
    <r>
      <rPr>
        <rFont val="Arial"/>
        <color rgb="FF000000"/>
        <sz val="11.0"/>
      </rPr>
      <t>- EVER MODEL, (W21), EG
- total tariffs 24.6%
- have an additional $150 Maher Surcharge
- Moored 11/24, discharged 11/24, LFD 12/1</t>
    </r>
  </si>
  <si>
    <t>EGSU6397139</t>
  </si>
  <si>
    <r>
      <rPr>
        <rFont val="Arial"/>
        <color rgb="FF000000"/>
        <sz val="11.0"/>
      </rPr>
      <t xml:space="preserve">EN#2172666, INV#E/SNA/2025/00115, T/R, </t>
    </r>
    <r>
      <rPr>
        <rFont val="Arial"/>
        <color rgb="FF000000"/>
        <sz val="11.0"/>
      </rPr>
      <t>empty return 12/1</t>
    </r>
    <r>
      <rPr>
        <rFont val="Arial"/>
        <color rgb="FF000000"/>
        <sz val="11.0"/>
      </rPr>
      <t xml:space="preserve">
- EVER MODEL, (W20), EG
- total tariffs 24.6%
- have an additional $150 Maher Surcharge
- Moored 11/24, discharged 11/24, LFD 12/1</t>
    </r>
  </si>
  <si>
    <t>EGSU6397951</t>
  </si>
  <si>
    <t>GINGER CHEWS 4 OZ (MANGO, BLOOD ORANGE, PINEAPPLE COCONUT), QC SAMPLE</t>
  </si>
  <si>
    <r>
      <rPr>
        <rFont val="Arial"/>
        <color rgb="FF000000"/>
        <sz val="11.0"/>
      </rPr>
      <t xml:space="preserve">EN#2172667, INV#E/SNA/2025/00114, T/R, </t>
    </r>
    <r>
      <rPr>
        <rFont val="Arial"/>
        <color rgb="FF000000"/>
        <sz val="11.0"/>
      </rPr>
      <t xml:space="preserve">empty return 11/26
</t>
    </r>
    <r>
      <rPr>
        <rFont val="Arial"/>
        <color rgb="FF000000"/>
        <sz val="11.0"/>
      </rPr>
      <t>- EVER MODEL, (W19), EG
- total tariffs 24.6%
- Live unload, 21 plts
- have an additional $150 Maher Surcharge
- Moored 11/24, discharged 11/24, LFD 12/1</t>
    </r>
  </si>
  <si>
    <t>EGSU6393257</t>
  </si>
  <si>
    <r>
      <rPr>
        <rFont val="Arial"/>
        <color rgb="FF000000"/>
        <sz val="11.0"/>
      </rPr>
      <t xml:space="preserve">EN#2172663, INV#E/SNA/2025/00117, T/R, </t>
    </r>
    <r>
      <rPr>
        <rFont val="Arial"/>
        <color rgb="FF000000"/>
        <sz val="11.0"/>
      </rPr>
      <t xml:space="preserve">empty return 12/2
</t>
    </r>
    <r>
      <rPr>
        <rFont val="Arial"/>
        <color rgb="FF000000"/>
        <sz val="11.0"/>
      </rPr>
      <t>- EVER MODEL, (W18), EG
- total tariffs 24.6%
- have an additional $150 Maher Surcharge
- Moored 11/24, discharged 11/25, LFD 12/1</t>
    </r>
  </si>
  <si>
    <t>EGSU6396533</t>
  </si>
  <si>
    <t>EN#2172664, INV#E/SNA/2025/00116, T/R, empty return 11/28
- EVER MODEL, (W17), EG
- total tariffs 24.6%
- have an additional $150 Maher Surcharge
- Moored 11/24, discharged 11/24, LFD 12/1</t>
  </si>
  <si>
    <t>OOLU4928345</t>
  </si>
  <si>
    <r>
      <rPr>
        <rFont val="Arial"/>
        <color rgb="FF000000"/>
        <sz val="11.0"/>
      </rPr>
      <t xml:space="preserve">ORGANIC TEA
D-13400, D-15400
</t>
    </r>
    <r>
      <rPr>
        <rFont val="Arial"/>
        <color rgb="FF000000"/>
        <sz val="11.0"/>
      </rPr>
      <t>(to RC Commerce)</t>
    </r>
  </si>
  <si>
    <t>EN#2172959, INV#YD25-T09, T/R, empty return 11/26
- OOCL IRIS, (V16), COSCO
- total tariffs 27.5%
- have an additional $150 Maher Surcharge
- Moored 11/20, discharged 11/21, LFD 11/26
- prepulled 11/25, delivered 11/26
- received Proforma Invoice &amp; DO from Eric</t>
  </si>
  <si>
    <t>HPGU2246267</t>
  </si>
  <si>
    <t>5643777 / Y</t>
  </si>
  <si>
    <t>EN#2172674, INV#2025TAT03, T/R, GATEFEE11/18, empty return 12/2 (per Benz)
- GUSTAV MAERSK, (V5), MAEU
- total tariffs 33.9% (non-aluminum) &amp; 73.9% (aluminium)
- provided breakdown information of aluminum content
- Moored 11/20, discharged 11/21, LFD 11/28
-  split return chassis charge fee applies</t>
  </si>
  <si>
    <t>MSKU0449872</t>
  </si>
  <si>
    <t>BEE &amp; FLOWER SOAP</t>
  </si>
  <si>
    <t>EN#2173109, INV#SS2508049-H, T/R, GATEFEE11/18, empty return 12/2
- GUSTAV MAERSK, (W1), MAEU
- total tariffs 45%
- Moored 11/20, discharged 11/21, LFD 11/28</t>
  </si>
  <si>
    <t>SFCAC2026Calendar</t>
  </si>
  <si>
    <t>4
(LCL)</t>
  </si>
  <si>
    <t>TIIU4985609</t>
  </si>
  <si>
    <t>CALENDAR</t>
  </si>
  <si>
    <r>
      <rPr>
        <rFont val="Arial"/>
        <color rgb="FF000000"/>
        <sz val="11.0"/>
      </rPr>
      <t>EN#2173231, INV#202510, T/R, no GATEFEE (LCL)</t>
    </r>
    <r>
      <rPr>
        <rFont val="Arial"/>
        <color rgb="FF000000"/>
        <sz val="11.0"/>
      </rPr>
      <t xml:space="preserve">
</t>
    </r>
    <r>
      <rPr>
        <rFont val="Arial"/>
        <color rgb="FF000000"/>
        <sz val="11.0"/>
      </rPr>
      <t>- XIN FEI ZHOU, (V22) COSCO</t>
    </r>
    <r>
      <rPr>
        <rFont val="Arial"/>
        <color rgb="FF000000"/>
        <sz val="11.0"/>
      </rPr>
      <t xml:space="preserve">
- total tariffs 0%
</t>
    </r>
    <r>
      <rPr>
        <rFont val="Arial"/>
        <color rgb="FF000000"/>
        <sz val="11.0"/>
      </rPr>
      <t>- Maisie/Vivian (HK) provided calendar info
- Moored 11/18, discharged 11/19, FCL LFD 11/25, FCL picked up 11/21, FCL empty return 11/25, LCL to OAK eta 11/27, LCL LFD 12/1, LFD extended to 12/2?</t>
    </r>
  </si>
  <si>
    <t>EGSU1171540</t>
  </si>
  <si>
    <t>GINGER CHEWS 8 OZ (MANGO, ASSORTED), QC SAMPLE</t>
  </si>
  <si>
    <t>EN#2172844, INV#E/SNA/2025/00123, T/R, GATEFEE11/18, empty return 11/28
- EVER MACRO, (W13), EG
- total tariffs 24.6%
- Moored 11/18, discharged 11/19, LFD 11/25
- Pier waiting was from 8:48-11:03am additional ½ hr</t>
  </si>
  <si>
    <t>EGSU9252313</t>
  </si>
  <si>
    <t>EN#2172662, INV#E/SNA/2025/00119, T/R, GATEFEE11/17, empty return 11/26
- EVER MACRO, (V10), EG
- total tariffs 24.6%
- Moored 11/18, discharged 11/19, LFD 11/25
- pier waiting was from 11:38-2pm additional ½ hr.</t>
  </si>
  <si>
    <t>EGHU9377765</t>
  </si>
  <si>
    <r>
      <rPr>
        <rFont val="Arial"/>
        <color rgb="FF000000"/>
        <sz val="11.0"/>
      </rPr>
      <t xml:space="preserve">EN#2172183, INV#177/EXP/INV/IX/2025, T/R, </t>
    </r>
    <r>
      <rPr>
        <rFont val="Arial"/>
        <color rgb="FF000000"/>
        <sz val="11.0"/>
      </rPr>
      <t xml:space="preserve">empty return 11/24
</t>
    </r>
    <r>
      <rPr>
        <rFont val="Arial"/>
        <color rgb="FF000000"/>
        <sz val="11.0"/>
      </rPr>
      <t>- EVER MAGI, (U16), EG</t>
    </r>
    <r>
      <rPr>
        <rFont val="Arial"/>
        <color rgb="FF000000"/>
        <sz val="11.0"/>
      </rPr>
      <t xml:space="preserve">
</t>
    </r>
    <r>
      <rPr>
        <rFont val="Arial"/>
        <color rgb="FF000000"/>
        <sz val="11.0"/>
      </rPr>
      <t>- total tariffs 24.6%
- have an additional $150 Maher Surcharge
- Moored 11/18, discharged 11/19, LFD 11/24
- live unload</t>
    </r>
  </si>
  <si>
    <t>960
(LCL)</t>
  </si>
  <si>
    <t>YMLU8722024</t>
  </si>
  <si>
    <t>EN#2172655, INV#WW109/2025, T/R, no GATEFEE (LCL)
- YM UTILITY, (V13), YANG MING
- total tariffs 20-36%
- Moored 11/17, discharged 11/17, LFD 11/21, FCL pickup 11/19, FCL empty return 11/20, then LCL delivery
- GW deliver LCL
- LFD 11/26, 14 exchange pallets</t>
  </si>
  <si>
    <t>EGHU9863427</t>
  </si>
  <si>
    <t>EN#2173390, INV#172/EXP/INV/IX/2025, T/R, empty return 11/24
- TOKYO TRIUMPH, (W10), EG
- total tariffs 24.6%
- have an additional $150 Maher Surcharge
- Moored 11/15, discharged 11/16, LFD 11/20
- prepulled 11/20, delivered 11/21</t>
  </si>
  <si>
    <t>TGBU4039114</t>
  </si>
  <si>
    <t>GINGER CHEWS 1 LBS (MANGO, BLOOD ORANGE), QC SAMPLE</t>
  </si>
  <si>
    <t>EN#2172100, INV#E/SNA/2025/00101, T/R, empty return 11/25
- TOKYO TRIUMPH, (U7), EG
- total tariffs 34.6%
- have an additional $150 Maher Surcharge
- Moored 11/15, discharged 11/16, LFD 11/20
- Prepulled 11/20, delivered 11/21</t>
  </si>
  <si>
    <t>TIIU5193231</t>
  </si>
  <si>
    <t>EN#2172102, INV#E/SNA/2025/00100, T/R, empty return 11/26
- TOKYO TRIUMPH, (U8), EG
- total tariffs 24.6%
- have an additional $150 Maher Surcharge
- Moored 11/15, discharged 11/16, LFD 11/20
- Prepulled 11/20, delivered 11/24</t>
  </si>
  <si>
    <t>EITU1745223</t>
  </si>
  <si>
    <r>
      <rPr>
        <rFont val="Arial"/>
        <color rgb="FF000000"/>
        <sz val="11.0"/>
      </rPr>
      <t xml:space="preserve">EN#2172547, INV#JB2532, T/R, </t>
    </r>
    <r>
      <rPr>
        <rFont val="Arial"/>
        <color rgb="FF000000"/>
        <sz val="11.0"/>
      </rPr>
      <t xml:space="preserve">empty return 11/21
</t>
    </r>
    <r>
      <rPr>
        <rFont val="Arial"/>
        <color rgb="FF000000"/>
        <sz val="11.0"/>
      </rPr>
      <t>- TOKYO TRIUMPH, (V3), EG
- total tariffs 33.9%
- have an additional $150 Maher Surcharge
- Moored 11/15, discharged 11/15, LFD 11/20</t>
    </r>
  </si>
  <si>
    <t>MAGU5279269</t>
  </si>
  <si>
    <t>GHC D-04011, DONG QUAI RED DATE TEA D-04020, GHC LEMON D-04043, INSTANT TEA CHINESE BULK A-6101G</t>
  </si>
  <si>
    <t>5644230 / Y</t>
  </si>
  <si>
    <t>EN#2172882, INV#AIT2506, T/R, GATEFEE11/13, empty return 11/25
- EVER FORWARD, (V21), EG
- total tariffs 33.9%
- Moored 11/14, discharged 11/14, LFD 11/20
- Driver wait outside terminal waiting for check in since 10:15am until 1:05pm check in, so prepull 11/20, deliver 11/21
- not able to prepull 11/20, terminal extend the LFD to 11/21, so pickup 11/21</t>
  </si>
  <si>
    <t>MRKU5182869</t>
  </si>
  <si>
    <t>EN#2172538, INV#HR2506, T/R, empty return 11/20
- KANDLA EXPRESS, (V2), MAEU
- total tariffs 33.9% (non-aluminum) &amp; 73.9% (aluminium)
- Packaging has steel or aluminum conten, GC provided exact values &amp; net weight
- Subject to the Section 232 Steel/Aluminum tariffs (50%)
- have an additional $150 APM Surcharge
- Moored 11/12, discharged 11/13, LFD 11/19</t>
  </si>
  <si>
    <t>TRHU6843866</t>
  </si>
  <si>
    <t>EN#2173152, INV#2180, T/R, empty return 11/18
- EVER MACRO, (W5), EG
- total tariffs 50.6%
- Moored 11/12, discharged 11/12, LFD 11/18, ready for pickup 11/13</t>
  </si>
  <si>
    <t>EGSU6310247</t>
  </si>
  <si>
    <r>
      <rPr>
        <rFont val="Arial"/>
        <color rgb="FF000000"/>
        <sz val="11.0"/>
      </rPr>
      <t xml:space="preserve">EN#2172976, INV#RGN/POP-0225, T/R, </t>
    </r>
    <r>
      <rPr>
        <rFont val="Arial"/>
        <color rgb="FF000000"/>
        <sz val="11.0"/>
      </rPr>
      <t xml:space="preserve">empty return 11/19
</t>
    </r>
    <r>
      <rPr>
        <rFont val="Arial"/>
        <color rgb="FF000000"/>
        <sz val="11.0"/>
      </rPr>
      <t>- EVER MACRO, (V18), EG
- total tariffs 20%
- moored 11/12, discharged 11/12, LFD 11/19</t>
    </r>
  </si>
  <si>
    <t>ONEU5817983</t>
  </si>
  <si>
    <r>
      <rPr>
        <rFont val="Arial"/>
        <color rgb="FF000000"/>
        <sz val="11.0"/>
      </rPr>
      <t xml:space="preserve">EN#2172551, INV#E/SNA/2025/00113, T/R, </t>
    </r>
    <r>
      <rPr>
        <rFont val="Arial"/>
        <color rgb="FF000000"/>
        <sz val="11.0"/>
      </rPr>
      <t xml:space="preserve">empty return 11/20
</t>
    </r>
    <r>
      <rPr>
        <rFont val="Arial"/>
        <color rgb="FF000000"/>
        <sz val="11.0"/>
      </rPr>
      <t>- ONE EAGLE, (V15), ONE
- total tariffs 24.6%
- have an additional $150 Port Liberty Bayonne (Global) Surcharge
- Moored 11/12, discharged 11/12, LFD 11/18</t>
    </r>
  </si>
  <si>
    <t>ONEU6018868</t>
  </si>
  <si>
    <t>GINGER CHEWS 8 OZ (LYCHEE, BLOOD ORANGE, ASSORTED), QC SAMPLE</t>
  </si>
  <si>
    <r>
      <rPr>
        <rFont val="Arial"/>
        <color rgb="FF000000"/>
        <sz val="11.0"/>
      </rPr>
      <t xml:space="preserve">EN#2172554, INV#E/SNA/2025/00110, T/R, </t>
    </r>
    <r>
      <rPr>
        <rFont val="Arial"/>
        <color rgb="FF000000"/>
        <sz val="11.0"/>
      </rPr>
      <t xml:space="preserve">empty return 11/18
</t>
    </r>
    <r>
      <rPr>
        <rFont val="Arial"/>
        <color rgb="FF000000"/>
        <sz val="11.0"/>
      </rPr>
      <t>- ONE EAGLE, (W11), ONE
- total tariffs 24.6%
- have an additional $150 Port Liberty Bayonne (Global) Surcharge
- Moored 11/12, discharged 11/12, LFD 11/18</t>
    </r>
  </si>
  <si>
    <t>GCXU5250860</t>
  </si>
  <si>
    <t>GINGER CHEWS 4 OZ (LEMON, BLOOD ORANGE), QC SAMPLE</t>
  </si>
  <si>
    <r>
      <rPr>
        <rFont val="Arial"/>
        <color rgb="FF000000"/>
        <sz val="11.0"/>
      </rPr>
      <t xml:space="preserve">EN#2172553, INV#E/SNA/2025/00112, T/R, </t>
    </r>
    <r>
      <rPr>
        <rFont val="Arial"/>
        <color rgb="FF000000"/>
        <sz val="11.0"/>
      </rPr>
      <t xml:space="preserve">empty return 11/19
</t>
    </r>
    <r>
      <rPr>
        <rFont val="Arial"/>
        <color rgb="FF000000"/>
        <sz val="11.0"/>
      </rPr>
      <t>- ONE EAGLE, (V4), ONE
- total tariffs 24.6%
- 21 plts, Live unload
-  have an additional $150 Port Liberty Bayonne (Global) Surcharge
- Moored 11/12, discharged 11/12, LFD 11/18</t>
    </r>
  </si>
  <si>
    <t>ONEU1867055</t>
  </si>
  <si>
    <r>
      <rPr>
        <rFont val="Arial"/>
        <color rgb="FF000000"/>
        <sz val="11.0"/>
      </rPr>
      <t xml:space="preserve">EN#2172400, INV#E/SNA/2025/00111, T/R, </t>
    </r>
    <r>
      <rPr>
        <rFont val="Arial"/>
        <color rgb="FF000000"/>
        <sz val="11.0"/>
      </rPr>
      <t xml:space="preserve">empty return 11/20
</t>
    </r>
    <r>
      <rPr>
        <rFont val="Arial"/>
        <color rgb="FF000000"/>
        <sz val="11.0"/>
      </rPr>
      <t>- ONE EAGLE, (W12), ONE</t>
    </r>
    <r>
      <rPr>
        <rFont val="Arial"/>
        <color rgb="FF000000"/>
        <sz val="11.0"/>
      </rPr>
      <t xml:space="preserve">
</t>
    </r>
    <r>
      <rPr>
        <rFont val="Arial"/>
        <color rgb="FF000000"/>
        <sz val="11.0"/>
      </rPr>
      <t>- total tariffs 24.6%
- have an additional $150 Port Liberty Bayonne (Global) Surcharge
- Moored 11/12, discharged 11/12, LFD 11/18</t>
    </r>
  </si>
  <si>
    <t>EGSU9462829</t>
  </si>
  <si>
    <t>EN#2172230, INV#176/EXP/INV/IX/2025, T/R, GATEFEE11/12, empty return 11/21
- APL ESPLANADE, (U19), EG
- total tariffs 24.6%
- Moored 11/11, discharged 11/11, LFD 11/17
- pickup pier waiting was from 7:41-11:22am additional 2hr</t>
  </si>
  <si>
    <t>EITU9314897</t>
  </si>
  <si>
    <t>EN#2172556, INV#181/EXP/INV/IX/2025, T/R, GATEFEE11/10, empty return 11/24
- EVER MEMO, (V11), EG
- total tariffs 24.6%
- Moored 11/11, discharged 11/12, LFD 11/18</t>
  </si>
  <si>
    <t>EGSU9270030</t>
  </si>
  <si>
    <r>
      <rPr>
        <rFont val="Arial"/>
        <color rgb="FF000000"/>
        <sz val="11.0"/>
      </rPr>
      <t>EN#2171980, INV#E/SNA/2025/00099,</t>
    </r>
    <r>
      <rPr>
        <rFont val="Arial"/>
        <color rgb="FF000000"/>
        <sz val="11.0"/>
      </rPr>
      <t xml:space="preserve"> </t>
    </r>
    <r>
      <rPr>
        <rFont val="Arial"/>
        <color rgb="FF000000"/>
        <sz val="11.0"/>
      </rPr>
      <t>T/R,</t>
    </r>
    <r>
      <rPr>
        <rFont val="Arial"/>
        <color rgb="FF000000"/>
        <sz val="11.0"/>
      </rPr>
      <t xml:space="preserve"> empty return 11/17
</t>
    </r>
    <r>
      <rPr>
        <rFont val="Arial"/>
        <color rgb="FF000000"/>
        <sz val="11.0"/>
      </rPr>
      <t>- TAURUS, (U3), EG
- total tariffs 24.6%
- have an additional $150 Maher Surcharge
- moored 11/8, discharged 11/9, LFD 11/14</t>
    </r>
  </si>
  <si>
    <t>EMCU8928282</t>
  </si>
  <si>
    <r>
      <rPr>
        <rFont val="Arial"/>
        <color rgb="FF000000"/>
        <sz val="11.0"/>
      </rPr>
      <t xml:space="preserve">EN#2172431, INV#EMI250000846, OBL10/28, </t>
    </r>
    <r>
      <rPr>
        <rFont val="Arial"/>
        <color rgb="FF000000"/>
        <sz val="11.0"/>
      </rPr>
      <t xml:space="preserve">empty return 11/13
</t>
    </r>
    <r>
      <rPr>
        <rFont val="Arial"/>
        <color rgb="FF000000"/>
        <sz val="11.0"/>
      </rPr>
      <t>- CMA CGM LIBRA, (V1), EG
- total tariffs 19%
- have an additional $150 Port Liberty Bayonne (Global) Surcharge
- moored 11/8, discharged 11/8, LFD 11/14</t>
    </r>
  </si>
  <si>
    <t>TRHU1352685</t>
  </si>
  <si>
    <t>HONEY LOQUAT CANDY
F-11076A, F-11178A</t>
  </si>
  <si>
    <t>5644232 / Y</t>
  </si>
  <si>
    <t>EN#2172548, INV#MP-202541443, T/R, GATEFEE10/31, empty return 11/14
- YM UNIFORM, (V6), YANG MING
- total tariffs 60.6%
- additional one invoice to accounting
- Moored 11/4, discharged 11/5, LFD 11/10</t>
  </si>
  <si>
    <t>EISU8520014</t>
  </si>
  <si>
    <t>EN#2172555, INV#178/EXP/INV/IX/2025, T/R, empty return 11/12
- APL ESPLANADE, (V9), EG
- total tariffs 24.6%
- Moored 11/4, discharged 11/6, LFD 11/13</t>
  </si>
  <si>
    <t>TIIU4904720</t>
  </si>
  <si>
    <t>EN#2172229, INV#162/EXP/INV/VIII/2025, T/R, empty return 11/5
- TITAN, (U18), EG
- total tariffs 24.6%
- have an additional $150 Maher Surcharge
- Moored 10/31, discharged 11/1, LFD 11/7</t>
  </si>
  <si>
    <t>EGSU1535641</t>
  </si>
  <si>
    <t>EN#2172364, INV#E/SNA/2025/00108, T/R, GATEFEE10/27, empty return 11/13
- EVER MAGIC, (V8), EG
- total tariffs 24.6%
- Moored 10/25, discharged 10/26, LFD 10/30, updated LFD 11/3
- prepulled 11/3, delivered 11/7
- pickup Pier waiting: 1:05-3:25pm additional ½ hr. + pre-pull + 5 days yard parking</t>
  </si>
  <si>
    <t>EGSU1499499</t>
  </si>
  <si>
    <t>EN#2172289, INV#E/SNA/2025/00107, T/R, GATEFEE10/27, empty return 11/7
- EVER MAGIC, (U22), EG
- total tariffs 24.6%
- Moored 10/25, discharged 10/26, LFD 10/30
- prepulled 10/30, delivered 11/5
- empty return Pier waiting: 12:12-1:34pm additional ½ hr</t>
  </si>
  <si>
    <t>GCXU6342575</t>
  </si>
  <si>
    <t>GINGER CHEWS 4 OZ (ORIGINAL, HARD), QC SAMPLE</t>
  </si>
  <si>
    <r>
      <rPr>
        <rFont val="Arial"/>
        <color rgb="FF000000"/>
        <sz val="11.0"/>
      </rPr>
      <t>EN#2172184, INV#174/EXP/INV/IX/2025, T/R, GATEFEE10/27, empty return 11/13
- EVER MAGIC, (U17), EG
- total tariffs 24.6%
- K80-2172184-1</t>
    </r>
    <r>
      <rPr>
        <rFont val="Arial"/>
        <color rgb="FFFF0000"/>
        <sz val="11.0"/>
      </rPr>
      <t xml:space="preserve">
</t>
    </r>
    <r>
      <rPr>
        <rFont val="Arial"/>
        <color rgb="FF000000"/>
        <sz val="11.0"/>
      </rPr>
      <t>- FDA hold 10/22, informed ready for exam 11/10, FDA came exam 12/1 &amp; collect sample (2 cs F-04111), lab test completed 12/10, FDA released 12/10</t>
    </r>
    <r>
      <rPr>
        <rFont val="Arial"/>
        <color rgb="FFFF0000"/>
        <sz val="11.0"/>
      </rPr>
      <t xml:space="preserve">
</t>
    </r>
    <r>
      <rPr>
        <rFont val="Arial"/>
        <color rgb="FF000000"/>
        <sz val="11.0"/>
      </rPr>
      <t>- Write off 2 cs F-04111 once posted (PL#5638931)
- Moored 10/25, discharged 10/26, LFD 10/30, updated LFD 11/3
- prepulled 11/3, delivered 11/5</t>
    </r>
    <r>
      <rPr>
        <rFont val="Arial"/>
        <color rgb="FFFF0000"/>
        <sz val="11.0"/>
      </rPr>
      <t xml:space="preserve">
</t>
    </r>
    <r>
      <rPr>
        <rFont val="Arial"/>
        <color rgb="FF000000"/>
        <sz val="11.0"/>
      </rPr>
      <t>- Pier waiting was from 11:37-2: 00pm additional ½ hr
- respot 11/7</t>
    </r>
  </si>
  <si>
    <t>TXGU7384647</t>
  </si>
  <si>
    <t>GINGER CHEWS 8 OZ (MANGO, LYCHEE, BLOOD ORANGE), QC SAMPLE</t>
  </si>
  <si>
    <t>EN#2172365, INV#E/SNA/2025/00109, T/R, GATEFEE10/27, empty return 11/12
- EVER MAGIC, (V7), EG
- total tariffs 24.6%
- Moored 10/25, discharged 10/26, LFD 10/30
- respot 11/5
- terminal closed 11/11</t>
  </si>
  <si>
    <t>FFAU4868088</t>
  </si>
  <si>
    <t>EN#2172144, INV#173/EXP/INV/IX/2025, T/R, GATEFEE10/27, empty return 11/6
- EVER MAGIC, (U15), EG
- total tariffs 24.6%
- Moored 10/25, discharged 10/26, LFD 10/30
- pickup pier waiting: 10:10-1:51pm additional 2hrs
- respot 10/31</t>
  </si>
  <si>
    <t>EGHU8201405</t>
  </si>
  <si>
    <t>GINGER CHEWS 8 OZ (LEMON, MANGO, BLOOD ORANGE), QC SAMPLE</t>
  </si>
  <si>
    <t>EN#2172146, INV#E/SNA/2025/00105, T/R, GATEFEE10/27, empty return 10/30
- EVER MAGIC, (U10), EG
- total tariffs 24.6%
- 21 plts, Live unload
- Moored 10/25, discharged 10/26, LFD 10/30, updated ETA 11/2
- pickup Pier waiting: 7:25 – 10:05am additional 1hr</t>
  </si>
  <si>
    <t>TXGU7377545</t>
  </si>
  <si>
    <t>EN#2172147, INV#E/SNA/2025/00106, T/R, GATEFEE10/27, empty return 11/3
- EVER MAGIC, (U11), EG
- total tariffs 24.6%
- Moored 10/25, discharged 10/26, LFD 10/30
- respot 10/28
- K80-2172147-8
- FDA hold 10/27, released 2 bags of sample, informed ready for exam 11/3, FDA collected 10 bags of samples 11/4, but returned collected samples 11/6, fully released 11/14
- forward returned sample to David as QC samples
- issue PL#5634146 for 2 cases of F-04076 (lot# 09102027) for write off</t>
  </si>
  <si>
    <t>TIIU4263078</t>
  </si>
  <si>
    <t>EN#2172182, INV#E/SNA/2025/00102, T/R, GATEFEE10/27, empty return 11/7
- EVER MAGIC, (U14), EG
- total tariffs 24.6%
- Moored 10/25, discharged 10/26, LFD 10/30
- respot 10/31
- empty return Pier waiting: 2:25-3:36pm additional ½ hr</t>
  </si>
  <si>
    <t>EGSU1028272</t>
  </si>
  <si>
    <t>EN#2172101, INV#E/SNA/2025/00104, T/R, GATEFEE10/27, empty return 11/14
- EVER MAGIC, (U9), EG
- total tariffs 24.6%
- Moored 10/25, discharged 10/26, LFD 10/30, updated LFD 11/3
- prepulled 11/3, delivered 11/7
- have prepull charge &amp; 3 days storage</t>
  </si>
  <si>
    <t>TIIU5402645</t>
  </si>
  <si>
    <t>GINGER CHEWS 8 OZ (MANGO, BLOOD ORANGE, ASSORTED), QC SAMPLE</t>
  </si>
  <si>
    <t>EN#2172181, INV#E/SNA/2025/00103, T/R, GATEFEE10/27, empty return 11/3
- EVER MAGIC, (U13), EG
- total tariffs 24.6%
- Moored 10/25, discharged 10/26, LFD 10/30</t>
  </si>
  <si>
    <t>TLLU7936488</t>
  </si>
  <si>
    <t>GINGER CHEWS 1 KG (ORIGINAL), QC SAMPLE
(to RC Commerce)</t>
  </si>
  <si>
    <t>EN#2171817, INV#159/EXP/INV/VIII/2025, T/R, empty return 11/3
- TAIPEI TRIUMPH, (T17), EG
-  total tariffs 24.6%
- have an additional $150 Maher Surcharge
- Moored 10/23, discharged 10/23, LFD 10/29
- prepulled 10/29, delivered 10/30
- unloading Waiting Time Charge = (3.25hr – 2hr Free) x $95/hr = $118.75</t>
  </si>
  <si>
    <t>BEAU6310865</t>
  </si>
  <si>
    <r>
      <rPr>
        <rFont val="Arial"/>
        <color rgb="FF000000"/>
        <sz val="11.0"/>
      </rPr>
      <t>EN#2171581, INV#152/EXP/INV/VIII/2025, T/R,</t>
    </r>
    <r>
      <rPr>
        <rFont val="Arial"/>
        <color rgb="FF000000"/>
        <sz val="11.0"/>
      </rPr>
      <t xml:space="preserve"> empty return 10/28
</t>
    </r>
    <r>
      <rPr>
        <rFont val="Arial"/>
        <color rgb="FF000000"/>
        <sz val="11.0"/>
      </rPr>
      <t>- TAIPEI TRIUMPH, (T9), EG</t>
    </r>
    <r>
      <rPr>
        <rFont val="Arial"/>
        <color rgb="FF000000"/>
        <sz val="11.0"/>
      </rPr>
      <t xml:space="preserve">
</t>
    </r>
    <r>
      <rPr>
        <rFont val="Arial"/>
        <color rgb="FF000000"/>
        <sz val="11.0"/>
      </rPr>
      <t>- total tariffs 24.6%
- have an additional $150 Maher Surcharge
- moored 10/23, discharged 1023, LFD 10/29
- have additional Empty Pick-up surcharge ($535 + 30% Fuel)</t>
    </r>
  </si>
  <si>
    <t>EGSU6388029</t>
  </si>
  <si>
    <t>GINGER CHEWS 4 OZ (ORIGINAL), HARD CANDY 4 OZ, QC SAMPLE</t>
  </si>
  <si>
    <r>
      <rPr>
        <rFont val="Arial"/>
        <color rgb="FF000000"/>
        <sz val="11.0"/>
      </rPr>
      <t xml:space="preserve">EN#2172148, INV#161/EXP/INV/VIII/2025, T/R, </t>
    </r>
    <r>
      <rPr>
        <rFont val="Arial"/>
        <color rgb="FF000000"/>
        <sz val="11.0"/>
      </rPr>
      <t xml:space="preserve">empty return 10/29
</t>
    </r>
    <r>
      <rPr>
        <rFont val="Arial"/>
        <color rgb="FF000000"/>
        <sz val="11.0"/>
      </rPr>
      <t>- TAIPEI TRIUMPH, (T19), EG
- total tariffs 24.6%
- have an additional $150 Maher Surcharge
- Moored 10/23, discharged 10/23, LFD 10/29
- Live unload</t>
    </r>
  </si>
  <si>
    <t>EMCU1577735</t>
  </si>
  <si>
    <r>
      <rPr>
        <rFont val="Arial"/>
        <color rgb="FF000000"/>
        <sz val="11.0"/>
      </rPr>
      <t>EN#2171515, INV#151/EXP/INV/VIII/2025, T/R,</t>
    </r>
    <r>
      <rPr>
        <rFont val="Arial"/>
        <color rgb="FF000000"/>
        <sz val="11.0"/>
      </rPr>
      <t xml:space="preserve"> empty return 10/28
</t>
    </r>
    <r>
      <rPr>
        <rFont val="Arial"/>
        <color rgb="FF000000"/>
        <sz val="11.0"/>
      </rPr>
      <t>- TAIPEI TRIUMPH, (T8), EG
- total tariffs 24.6%</t>
    </r>
    <r>
      <rPr>
        <rFont val="Arial"/>
        <color rgb="FF000000"/>
        <sz val="11.0"/>
      </rPr>
      <t xml:space="preserve">
</t>
    </r>
    <r>
      <rPr>
        <rFont val="Arial"/>
        <color rgb="FF000000"/>
        <sz val="11.0"/>
      </rPr>
      <t>- have an additional $150 Maher Surcharge
- Moored 10/23, discharged 10/23, LFD 10/29
- Live unload</t>
    </r>
  </si>
  <si>
    <t>EGSU1120619</t>
  </si>
  <si>
    <t>EN#2172103, INV#166/EXP/INV/IX/2025, T/R, GATEFEE10/20, empty return 10/31
- EVER MAX, (U12), EG
- total tariffs 24.6%
- moored 10/19, discharged 10/20, LFD 10/26</t>
  </si>
  <si>
    <t>GAOU7228312</t>
  </si>
  <si>
    <r>
      <rPr>
        <rFont val="Arial"/>
        <color rgb="FF000000"/>
        <sz val="11.0"/>
      </rPr>
      <t xml:space="preserve">EN#2172064, INV#JB2531, T/R, </t>
    </r>
    <r>
      <rPr>
        <rFont val="Arial"/>
        <color rgb="FF000000"/>
        <sz val="11.0"/>
      </rPr>
      <t xml:space="preserve">empty return 10/24
</t>
    </r>
    <r>
      <rPr>
        <rFont val="Arial"/>
        <color rgb="FF000000"/>
        <sz val="11.0"/>
      </rPr>
      <t>- COSCO FAITH, (U6), EG</t>
    </r>
    <r>
      <rPr>
        <rFont val="Arial"/>
        <color rgb="FF000000"/>
        <sz val="11.0"/>
      </rPr>
      <t xml:space="preserve">
</t>
    </r>
    <r>
      <rPr>
        <rFont val="Arial"/>
        <color rgb="FF000000"/>
        <sz val="11.0"/>
      </rPr>
      <t>- total tariffs 43.9%
- have an additional $150 Maher Surcharge
- Moored 10/20, discharged 10/22, LFD 10/27</t>
    </r>
  </si>
  <si>
    <t>EITU9211116</t>
  </si>
  <si>
    <t xml:space="preserve">GHC D-04011, GHC TUMERIC D-04033, GHC PASSION FRUIT D-04048, INSTANT TEA CHINESE HERBAL BULK A-6101G </t>
  </si>
  <si>
    <t>5544236 / Y</t>
  </si>
  <si>
    <t>EN#2172225, INV#AIT2505, T/R, GATEFEE10/15, empty return 10/29
- EVER FRANK, (U2), EG
- total tariffs 43.9%
- Moored 10/16, discharged 10/16, LFD 10/22
- ETS terminal has no 40’ chassis, driver go to other terminal to pick up chassis, it will be additional split pick up charge
- Pier waiting was from 9-1:31pm additional 2 ½ hr</t>
  </si>
  <si>
    <t>EGSU9677730</t>
  </si>
  <si>
    <t>GHC PLUM D-04036, GHC PASSION FRUIT D-04038, GHC MATCHA D-04024, GHC D-04061</t>
  </si>
  <si>
    <t>5544237 / Y</t>
  </si>
  <si>
    <t>EN#2172012, INV#JB2530, T/R, GATEFEE10/10, empty return 10/17
- EVER LASTING, (U4), EG
- total tariffs 43.9%
- Moored 10/11, discharged 10/11, LFD 10/16</t>
  </si>
  <si>
    <t>ONEU5275814</t>
  </si>
  <si>
    <t>GHC D-04011, GHC PASSION FRUIT D-04048, GHC DARK BROWN SUGAR D-41986</t>
  </si>
  <si>
    <r>
      <rPr>
        <rFont val="Arial"/>
        <color rgb="FF000000"/>
        <sz val="11.0"/>
      </rPr>
      <t xml:space="preserve">EN#2172252, INV#JB2539, T/R, </t>
    </r>
    <r>
      <rPr>
        <rFont val="Arial"/>
        <color rgb="FF000000"/>
        <sz val="11.0"/>
      </rPr>
      <t xml:space="preserve">empty return 10/17
</t>
    </r>
    <r>
      <rPr>
        <rFont val="Arial"/>
        <color rgb="FF000000"/>
        <sz val="11.0"/>
      </rPr>
      <t>- YM WONDERLAND, (U21), ONE
- total tariffs 43.9%
- Moored 10/10, discharged 10/13, LFD 10/17</t>
    </r>
  </si>
  <si>
    <t>EGSU9402060</t>
  </si>
  <si>
    <r>
      <rPr>
        <rFont val="Arial"/>
        <color rgb="FF000000"/>
        <sz val="11.0"/>
      </rPr>
      <t xml:space="preserve">EN#2171201, INV#140/EXP/INV/VIII/2025, T/R, </t>
    </r>
    <r>
      <rPr>
        <rFont val="Arial"/>
        <color rgb="FF000000"/>
        <sz val="11.0"/>
      </rPr>
      <t xml:space="preserve">empty return 10/17
</t>
    </r>
    <r>
      <rPr>
        <rFont val="Arial"/>
        <color rgb="FF000000"/>
        <sz val="11.0"/>
      </rPr>
      <t>- CMA CGM PANAMA, (S9), EG</t>
    </r>
    <r>
      <rPr>
        <rFont val="Arial"/>
        <color rgb="FF000000"/>
        <sz val="11.0"/>
      </rPr>
      <t xml:space="preserve">
</t>
    </r>
    <r>
      <rPr>
        <rFont val="Arial"/>
        <color rgb="FF000000"/>
        <sz val="11.0"/>
      </rPr>
      <t>- total tariffs 24.6%
- have an additional $150 Port Liberty Bayonne Surcharge (Global)
- Moored 10/9, discharged 10/10, LFD 10/17</t>
    </r>
  </si>
  <si>
    <t>EGSU1370135</t>
  </si>
  <si>
    <t>EN#2171739, INV#E/SNA/2025/00098, T/R, GATEFEE10/8, empty return 10/23
- EVER MOST, (T13), EG
- total tariffs 24.6%
- moored 10/8, discharged 10/10, LFD 10/19
- empty return pier waiting: 7-8:17am additional ½ hr</t>
  </si>
  <si>
    <t>EISU8366130</t>
  </si>
  <si>
    <t>EN#2171787, INV#154/EXP/INV/VIII/2025, T/R, GATEFEE10/8, empty return 10/27
- EVER MOST, (T16), EG
- total tariffs 24.6%
- Moored 10/8, discharged 10/9, LFD 10/19
- K80-2171787-2
- FDA hold 1 bx QC sample F-04070 10/16, others released, informed ready for exam 10/24, pending exam 11/4 @ 9:30am
- FDA examed sample 11/4, but didn't collect sample, fully released 11/14</t>
  </si>
  <si>
    <t>TLLU5791087</t>
  </si>
  <si>
    <r>
      <rPr>
        <rFont val="Arial"/>
        <color rgb="FF000000"/>
        <sz val="11.0"/>
      </rPr>
      <t xml:space="preserve">EN#2171740, INV#155/EXP/INV/VIII/2025, T/R, GATEFEE10/8, </t>
    </r>
    <r>
      <rPr>
        <rFont val="Arial"/>
        <color rgb="FF000000"/>
        <sz val="11.0"/>
      </rPr>
      <t xml:space="preserve">empty return 10/22
</t>
    </r>
    <r>
      <rPr>
        <rFont val="Arial"/>
        <color rgb="FF000000"/>
        <sz val="11.0"/>
      </rPr>
      <t>- EVER MOST, (T18), EG
- total tariffs 24.6%
- Moored 10/8, discharged 10/9, LFD 10/19</t>
    </r>
  </si>
  <si>
    <t>CAAU6813429</t>
  </si>
  <si>
    <t>EN#2171691, INV#E/SNA/2025/00094, T/R, empty return 10/14
- EVER META, (T7), EG
- total tariffs 24.6%
- have an additional $150 Maher Surcharge
- Moored 10/6, discharged 10/8, LFD 10/15
- have additional Empty Pick-up surcharge ($535 + 30%)
- prepulled 10/10, delivered 10/13</t>
  </si>
  <si>
    <t>EMCU8617655</t>
  </si>
  <si>
    <t>GINGER CHEWS 4 OZ (MANGO), QC SAMPLE</t>
  </si>
  <si>
    <r>
      <rPr>
        <rFont val="Arial"/>
        <color rgb="FF000000"/>
        <sz val="11.0"/>
      </rPr>
      <t xml:space="preserve">EN#2171317, INV#E/SNA/2025/00092, T/R, </t>
    </r>
    <r>
      <rPr>
        <rFont val="Arial"/>
        <color rgb="FF000000"/>
        <sz val="11.0"/>
      </rPr>
      <t xml:space="preserve">empty return 10/15
</t>
    </r>
    <r>
      <rPr>
        <rFont val="Arial"/>
        <color rgb="FF000000"/>
        <sz val="11.0"/>
      </rPr>
      <t>- EVER META, (T6), EG
- 21 plts, Live unload
- total tariffs 24.6%
- have an additional $150 Maher Surcharge
- Moored 10/6, discharged 10/8, LFD 10/15</t>
    </r>
  </si>
  <si>
    <t>EGHU9341079</t>
  </si>
  <si>
    <t>GINGER CHEWS 4 OZ (MANGO, LYCHEE), QC SAMPLE</t>
  </si>
  <si>
    <r>
      <rPr>
        <rFont val="Arial"/>
        <color rgb="FF000000"/>
        <sz val="11.0"/>
      </rPr>
      <t xml:space="preserve">EN#2171318, INV#E/SNA/2025/00091, T/R, </t>
    </r>
    <r>
      <rPr>
        <rFont val="Arial"/>
        <color rgb="FF000000"/>
        <sz val="11.0"/>
      </rPr>
      <t xml:space="preserve">empty return 10/14
</t>
    </r>
    <r>
      <rPr>
        <rFont val="Arial"/>
        <color rgb="FF000000"/>
        <sz val="11.0"/>
      </rPr>
      <t>- EVER META, (T5), EG</t>
    </r>
    <r>
      <rPr>
        <rFont val="Arial"/>
        <color rgb="FF000000"/>
        <sz val="11.0"/>
      </rPr>
      <t xml:space="preserve">
</t>
    </r>
    <r>
      <rPr>
        <rFont val="Arial"/>
        <color rgb="FF000000"/>
        <sz val="11.0"/>
      </rPr>
      <t>- total tariffs 24.6%
- 21 plts, Live unload
- have an additional $150 Maher Surcharge
- Moored 10/6, discharged 10/8, LFD 10/15</t>
    </r>
  </si>
  <si>
    <t>EGSU9896830</t>
  </si>
  <si>
    <t>GINGER CHEWS 4 OZ (BLOOD ORANGE, PINEAPPLE COCONUT), QC SAMPLE</t>
  </si>
  <si>
    <r>
      <rPr>
        <rFont val="Arial"/>
        <color rgb="FF000000"/>
        <sz val="11.0"/>
      </rPr>
      <t xml:space="preserve">EN#2171350, INV#E/SNA/2025/00093, T/R, </t>
    </r>
    <r>
      <rPr>
        <rFont val="Arial"/>
        <color rgb="FF000000"/>
        <sz val="11.0"/>
      </rPr>
      <t xml:space="preserve">empty return 10/10
</t>
    </r>
    <r>
      <rPr>
        <rFont val="Arial"/>
        <color rgb="FF000000"/>
        <sz val="11.0"/>
      </rPr>
      <t>- EVER META, (T4), EG</t>
    </r>
    <r>
      <rPr>
        <rFont val="Arial"/>
        <color rgb="FF000000"/>
        <sz val="11.0"/>
      </rPr>
      <t xml:space="preserve">
</t>
    </r>
    <r>
      <rPr>
        <rFont val="Arial"/>
        <color rgb="FF000000"/>
        <sz val="11.0"/>
      </rPr>
      <t>- total tariffs 24.6%</t>
    </r>
    <r>
      <rPr>
        <rFont val="Arial"/>
        <color rgb="FF000000"/>
        <sz val="11.0"/>
      </rPr>
      <t xml:space="preserve">
</t>
    </r>
    <r>
      <rPr>
        <rFont val="Arial"/>
        <color rgb="FF000000"/>
        <sz val="11.0"/>
      </rPr>
      <t>- 21 plts, Live unload
- have an additional $150 Maher Surcharge
- Moored 10/6, discharged 10/8, LFD 10/15</t>
    </r>
  </si>
  <si>
    <t>EISU8552520</t>
  </si>
  <si>
    <t>EN#2171741， INV#158/EXP/INV/VIII/2025, T/R, empty return 10/7
- EVER MOST, (T14), EG
- total tariffs 24.6%
- Moored 10/3, discharged 10/4, LFD 10/9
- prepulled 10/6, delivered 10/7</t>
  </si>
  <si>
    <t>EMCU1568230</t>
  </si>
  <si>
    <t>EN#2171427, INV#150/EXP/INV/VIII/2025, T/R, GATEFEE10/1, empty return 10/16
- EVER MACH, (T3), EG
- total tariffs 24.6%
- Moored 10/2, discharged 10/3, LFD 10/8
- cases fell out when opened container door for unloading
- have informed vendor 10/9 to better secure cases within container</t>
  </si>
  <si>
    <t>TIIU4289658</t>
  </si>
  <si>
    <t>GINGER CHEWS 8 OZ (ORIGINAL), QC SAMPLE</t>
  </si>
  <si>
    <r>
      <rPr>
        <rFont val="Arial"/>
        <color rgb="FF000000"/>
        <sz val="11.0"/>
      </rPr>
      <t xml:space="preserve">EN#2171497, INV#148/EXP/INV/VIII/2025, T/R, GATEFEE10/1, </t>
    </r>
    <r>
      <rPr>
        <rFont val="Arial"/>
        <color rgb="FF000000"/>
        <sz val="11.0"/>
      </rPr>
      <t xml:space="preserve">empty return 10/14
</t>
    </r>
    <r>
      <rPr>
        <rFont val="Arial"/>
        <color rgb="FF000000"/>
        <sz val="11.0"/>
      </rPr>
      <t>- EVER MACH, (T2), EG
- total tariffs 24.6%
- Moored 10/2, discharged 10/3, LFD 10/8
- cases fell out when opened container door for unloading
- have informed vendor 10/9 to better secure cases within container</t>
    </r>
  </si>
  <si>
    <t>TRHU4423150</t>
  </si>
  <si>
    <t>EN#2171319, INV#E/SNA/2025/00090, T/R, empty return 10/8
- EVER MODE, (S19), EG
- total tariffs 24.6%
- have an additional $150 Maher Surcharge
- moored 9/30, discharged 10/1, LFD 10/7
- have additional Empty Pick-up surcharge ($535 + 30% Fuel)</t>
  </si>
  <si>
    <t>EMCU8954152</t>
  </si>
  <si>
    <t>EN#2171320, INV#E/SNA/2025/00089, T/R, empty return 10/6
- EVER MODE, (S18), EG
- total tariffs 24.6%
- have an additional $150 Maher Surcharge
- moored 9/30, discharged 10/1, LFD 10/7</t>
  </si>
  <si>
    <t>CAAU7996556</t>
  </si>
  <si>
    <t>GINGER CHEWS 4 OZ (MANGO, LYCHEE, PINEAPPLE COCONUT), QC SAMPLE</t>
  </si>
  <si>
    <r>
      <rPr>
        <rFont val="Arial"/>
        <color rgb="FF000000"/>
        <sz val="11.0"/>
      </rPr>
      <t xml:space="preserve">EN#2171231, INV#E/SNA/2025/00086, T/R, </t>
    </r>
    <r>
      <rPr>
        <rFont val="Arial"/>
        <color rgb="FF000000"/>
        <sz val="11.0"/>
      </rPr>
      <t>empty return 10/3</t>
    </r>
    <r>
      <rPr>
        <rFont val="Arial"/>
        <color rgb="FF000000"/>
        <sz val="11.0"/>
      </rPr>
      <t xml:space="preserve">
- EVER MODE, (S10), EG
- total tariffs 24.6%
- 21 plts, Live unload
- have an additional $150 Maher Surcharge
- Moored 9/30, discharged 10/1, LFD 10/7</t>
    </r>
  </si>
  <si>
    <t>EGSU9835202</t>
  </si>
  <si>
    <r>
      <rPr>
        <rFont val="Arial"/>
        <color rgb="FF000000"/>
        <sz val="11.0"/>
      </rPr>
      <t xml:space="preserve">GINGER CHEWS 1 KG (ASSORTED), QC SAMPLE
</t>
    </r>
    <r>
      <rPr>
        <rFont val="Arial"/>
        <color rgb="FF000000"/>
        <sz val="11.0"/>
      </rPr>
      <t>(to RC Commerce)</t>
    </r>
  </si>
  <si>
    <t>EN#2171253, INV#E/SNA/2025/00087, T/R, empty return 10/6
- EVER MODE, (S12), EG
- total tariffs 24.6%
- have an additional $150 Maher Surcharge
- moored 9/30, discharged 10/1, LFD 10/6
- prepulled 10/3, delivered 10/6
- unloading Waiting Time Charge = (3.25hr – 2hr Free) x $95/hr = $118.75
- K80-2171253-5
- FDA hold 10/6 (QC sample), other released, informed ready for exam 10/9, come collected sample 10/16, lab test in progress 10/20, expected complete 11/4, lab test completed 10/28, pending review result, FDA released 11/6
- K80-2171253-5
- FDA rehold all shipment 10/16</t>
  </si>
  <si>
    <t>TRHU8296080</t>
  </si>
  <si>
    <r>
      <rPr>
        <rFont val="Arial"/>
        <color rgb="FF000000"/>
        <sz val="11.0"/>
      </rPr>
      <t xml:space="preserve">EN#2171516, INV#149/EXP/INV/VIII/2025, T/R, </t>
    </r>
    <r>
      <rPr>
        <rFont val="Arial"/>
        <color rgb="FF000000"/>
        <sz val="11.0"/>
      </rPr>
      <t xml:space="preserve">empty return 10/1
</t>
    </r>
    <r>
      <rPr>
        <rFont val="Arial"/>
        <color rgb="FF000000"/>
        <sz val="11.0"/>
      </rPr>
      <t>- EVER MACH, (S22), EG
- total tariffs 24.6%
- Moored 9/26, discharged 9/27, LFD 10/3</t>
    </r>
  </si>
  <si>
    <t>41205
41204</t>
  </si>
  <si>
    <t>1870
1000</t>
  </si>
  <si>
    <t>ONEU2653377
TGBU4659460</t>
  </si>
  <si>
    <t>9/30/2025
9/29/2025</t>
  </si>
  <si>
    <t>EN#2171450, INV#147649 &amp; 147650, T/R
- NYK NEBULA, (S15), ONE
- total tariffs 15%
- Moored 9/25
- c#3377 - discharged 9/26, LFD 10/1, empty return 9/30
- c#9460 - discharged 9/25, LFD 9/30, empty return 9/29
- both live unload</t>
  </si>
  <si>
    <t>EGSU9607687</t>
  </si>
  <si>
    <t>GHC LEMON D-04037, GHC D-04061</t>
  </si>
  <si>
    <t>EN#2171415, INV#JB2514, T/R, empty return 9/29
- COSCO AZALEA, (S13), EG
- total tariffs 43.9%
- have additional $150 Maher Surcharge
- Moored 9/24, discharged 9/24, LFD 9/30
- dent in the middle of container, Etrans will inform shipping line</t>
  </si>
  <si>
    <t>FFAU4887236</t>
  </si>
  <si>
    <t>GINGER CHEWS 8 OZ (BLOOD ORANGE, PINEAPPLE COCONUT, COLA), QC SAMPLE</t>
  </si>
  <si>
    <t>EN#2171126, INV#E/SNA/2025/00083, T/R, empty return 10/1
- EVER MAGNA, (U5), EG
- total tariffs 24.6%
- have additional $150 Maher Surcharge
- Moored 9/22, discharged 9/22, LFD 9/26
- prepulled 9/26, delivered 9/30
- have additional Empty Pick-up charge ($535 + 30% Fuel)</t>
  </si>
  <si>
    <t>TLLU4909869</t>
  </si>
  <si>
    <t>GINGER CHEWS 8 OZ (BLOOD ORANGE, ASSORTED), QC SAMPLE</t>
  </si>
  <si>
    <t>EN#2170950, INV#E/SNA/2025/00080, T/R, empty return 9/30
- EVER MAGNA, (S6), EG
- total tariffs 24.6%
- have additional $150 Maher Surcharge
- Moored 9/22, discharged 9/22, LFD 9/26
- prepulled 9/26, delivered 9/30</t>
  </si>
  <si>
    <t>EGSU1558251</t>
  </si>
  <si>
    <t>GINGER HARD CANDY 4 OZ, 4 OZ (ORIGINAL), QC SAMPLE</t>
  </si>
  <si>
    <r>
      <rPr>
        <rFont val="Arial"/>
        <color rgb="FF000000"/>
        <sz val="11.0"/>
      </rPr>
      <t>EN#2170959, INV#131/EXP/INV/VII/2025, T/R, empty return 10/1
- EVER MAGNA, (T21), EG
- total tariffs 24.6%
- have additional $150 Maher Surcharge
- K80-2170959-8
- FDA hold 9/18, came to collect sample 10/2 (17 bags of F-03805), lab test in progress 10/9, expected complete 9/28, FDA released 10/20</t>
    </r>
    <r>
      <rPr>
        <rFont val="Arial"/>
        <color rgb="FFFF0000"/>
        <sz val="11.0"/>
      </rPr>
      <t xml:space="preserve">
</t>
    </r>
    <r>
      <rPr>
        <rFont val="Arial"/>
        <color rgb="FF000000"/>
        <sz val="11.0"/>
      </rPr>
      <t>- Moored 9/22, discharged 8/23, LFD 9/29
- prepulled 9/29, delivered 10/1</t>
    </r>
  </si>
  <si>
    <t>EITU1846445</t>
  </si>
  <si>
    <t>EN#2171125, INV#E/SNA/2025/00084, T/R, empty return 9/30
- EVER MAGNA, (T22), EG
- total tariffs 24.6%
- have additional $150 Maher Surcharge
- Moored 9/22, discharged 9/22, LFD 9/26
- Prepulled 9/26, delivered 9/30</t>
  </si>
  <si>
    <t>TXGU5827520</t>
  </si>
  <si>
    <t>EN#2171079, INV#134/EXP/INV/VII/2025, T/R, empty return 9/26
- CMA CGM ANDROMEDA, (S21), EG
- total tariffs 24.6%
- K80-2171079-4
- FDA hold 9/18, informed ready for exam 9/24, come exam 9/30, released 9/30
- have additional $150 Port Liberty Surcharge (Global)
- Moored 9/21, discharged 9/21, LFD 9/25</t>
  </si>
  <si>
    <t>EMCU8751221</t>
  </si>
  <si>
    <t>EN#2170786, INV#125/EXP/INV/VII/2025, T/R, empty return 9/29
- CMA CGM ANDROMEDA, (S1), EG
- total tariffs 24.6%
- have additional $150 Port Liberty Surcharge (Global)
- K80-2170786-5
- FDA hold 9/18, informed ready for exam 9/30, came to collect sample 10/2 (8 bags of F-04070), lab test in progress 10/9, expected complete 9/28, lab test completed 10/17, submission under technical review 11/3, lab analysis results are borderline, entry was sent to the Center for further review, FDA released 12/22
- moored 9/21, discharged 9/22, LFD 9/26​</t>
  </si>
  <si>
    <t>TIIU6480067</t>
  </si>
  <si>
    <t>GINGER CHEWS 4 OZ (LEMON), QC SAMPLE</t>
  </si>
  <si>
    <r>
      <rPr>
        <rFont val="Arial"/>
        <color rgb="FF000000"/>
        <sz val="11.0"/>
      </rPr>
      <t xml:space="preserve">EN#2171013, INV#E/SNA/2025/00082, T/R, </t>
    </r>
    <r>
      <rPr>
        <rFont val="Arial"/>
        <color rgb="FF000000"/>
        <sz val="11.0"/>
      </rPr>
      <t>empty return 9/25</t>
    </r>
    <r>
      <rPr>
        <rFont val="Arial"/>
        <color rgb="FF000000"/>
        <sz val="11.0"/>
      </rPr>
      <t xml:space="preserve">
- CMA CGM ANDROMEDA, (S5), CMA
- total tariffs 24.6%</t>
    </r>
    <r>
      <rPr>
        <rFont val="Arial"/>
        <color rgb="FF000000"/>
        <sz val="11.0"/>
      </rPr>
      <t xml:space="preserve">
</t>
    </r>
    <r>
      <rPr>
        <rFont val="Arial"/>
        <color rgb="FF000000"/>
        <sz val="11.0"/>
      </rPr>
      <t>- 21 plts, Live unload
- have additional $150 Port Liberty Surcharge (Global Terminal)
- Moored 9/21, discharged 9/21, LFD 9/25</t>
    </r>
  </si>
  <si>
    <t>EGSU1269834</t>
  </si>
  <si>
    <t>5644368 / Y</t>
  </si>
  <si>
    <t>EN#2171487, INV#JB2522, T/R, GATEFEE9/19, empty return 10/1
- EVER FAITH, (T1), EG
-  total tariffs 43.9%
- FDA request product photo &amp; ingredient list
- Moored 9/19, discharged 9/20, LFD 9/28
- per EMC (EG), LFD is 9/25</t>
  </si>
  <si>
    <t>EMCU8486555</t>
  </si>
  <si>
    <r>
      <rPr>
        <rFont val="Arial"/>
        <color rgb="FF434343"/>
        <sz val="11.0"/>
      </rPr>
      <t>EN#2171582, INV#E/SNA/2025/00097, T/R,</t>
    </r>
    <r>
      <rPr>
        <rFont val="Arial"/>
        <color rgb="FF434343"/>
        <sz val="11.0"/>
      </rPr>
      <t xml:space="preserve"> empty return 9/24
</t>
    </r>
    <r>
      <rPr>
        <rFont val="Arial"/>
        <color rgb="FF434343"/>
        <sz val="11.0"/>
      </rPr>
      <t>- EVER MILD, (S20), EG
- total tariffs 24.6%
- Moored 9/19, discharged 9/20, LFD 9/25</t>
    </r>
  </si>
  <si>
    <t>HPCU4843164</t>
  </si>
  <si>
    <t>GINGER HARD CANDY 4 OZ, QC SAMPLE</t>
  </si>
  <si>
    <t>EN#2170475, INV#118/EXP/INV/VII/2025, T/R, empty return 9/19
- TEXAS TRIUMPH, (R13), EG
- total tariffs 15.6%
- K80-2170475-5
- FDA hold 9/12, informed ready for exam 9/24, come exam 9/30, released 9/30
- have additional $150 Maher Surcharge
- Moored 9/16, discharged 9/16, LFD 9/22</t>
  </si>
  <si>
    <t>EGSU1535235</t>
  </si>
  <si>
    <t>EN#2170474, INV#116/EXP/INV/VII/2025, T/R, empty return 9/22
- TEXAS TRIUMPH, (R12), EG
- total tariffs 15.6%
- K80-2170474-8
- FDA hold 9/12, informed ready for exam 9/24, released 9/30 without come to exam 
- have additional $150 Maher Surcharge
- Moored 9/16, discharged 9/17, LFD 9/23</t>
  </si>
  <si>
    <t>TXGU5537686</t>
  </si>
  <si>
    <t>EN#2171026, INV#E/SNA/2025/00081, T/R, empty return 9/24
- TEXAS TRIUMPH, (S7), EG
- total tariffs 24.6%
- have an additional $150 Maher Surcharge
- Moored 9/16, discharged 9/17, LFD 9/23
- K80-2171026-5
- FDA hold 9/18, informed ready for exam 9/24, come exam 9/30, released 9/30
-  container floor damage once delivered, informed Aini about the damaged floor</t>
  </si>
  <si>
    <t>EMCU9903817</t>
  </si>
  <si>
    <t>EN#2170563, INV#E/SNA/2025/00071, T/R, empty return 9/19
- TEXAS TRIUMPH, (R18), EG
- total tariffs 24.6%
- have additional $150 Maher Surcharge
- Moored 9/16, discharged 9/16, LFD 9/22
- K80-2170563-8
- FDA hold 9/18, informed ready for exam 9/22, FDA came exam 9/23 without collected sample, released 9/23</t>
  </si>
  <si>
    <t>TXGU7530295</t>
  </si>
  <si>
    <t>EN#2170564, INV#E/SIN/2025/00070, T/R, empty return 9/23
- TEXAS TRIUMPH, (R17), EG
- total tariffs 24.6%
- have an additional $150 Maher Surcharge
- Moored 9/16, discharged 9/17, LFD 9/23
- K80-2170564-6
- FDA hold 9/18, informed ready for exam 9/22, FDA released 9/23 without exam</t>
  </si>
  <si>
    <t>EMCU8293582</t>
  </si>
  <si>
    <t>GINGER CHEWS 8 OZ (LYCHEE, BLOOD ORANGE), QC SAMPLE</t>
  </si>
  <si>
    <t>EN#2171123, INV#E/SNA/2025/00085, T/R, GATEFEE9/15, empty return 9/26
- EVER MACRO, (T20), EG
- total tariffs 24.6%
- Moored 9/15, discharged 9/17, LFD 9/23
- K80-2171123-0
- FDA hold 9/19, informed ready for exam 9/26, came to collect sample 10/10 (1 cs F-04074 &amp; 1 cs F-04075), lab test in progress 10/15, expected complete 10/28, lab test completed 10/23, pending FDA review result, FDA released 10/27, 6 bags sample pending release
- empty return pier waiting was from 12:17-1:47pm additional ½ hr
- FDA exam write off, 1 cs F-04074 (exp 7/27/2027), 1cs F-04075 (exp 7/28/2027), PL#5634341 submitted
-  6 bags sample finally released 1/27/2026</t>
  </si>
  <si>
    <t>SKIU9139421</t>
  </si>
  <si>
    <t>5644377 / Y</t>
  </si>
  <si>
    <t>EN#2171351, INV#2025.07.002, T/R, GATEFEE9/12, empty return 9/22
- CMA CGM ARGENTINA, (T15), COSCO
- total tariffs 19%
- Moored 9/15, discharged 9/16, LFD 9/19
- have additional Split return charge
- have split return charge and 1.5 hrs. pier waiting time</t>
  </si>
  <si>
    <t>341
(LCL)</t>
  </si>
  <si>
    <t>CAIU5678380</t>
  </si>
  <si>
    <r>
      <rPr>
        <rFont val="Arial"/>
        <color rgb="FF000000"/>
        <sz val="11.0"/>
      </rPr>
      <t>EN#2171904, INV#US-250801, OBL9/8,</t>
    </r>
    <r>
      <rPr>
        <rFont val="Arial"/>
        <color rgb="FFFF0000"/>
        <sz val="11.0"/>
      </rPr>
      <t xml:space="preserve">
</t>
    </r>
    <r>
      <rPr>
        <rFont val="Arial"/>
        <color rgb="FF000000"/>
        <sz val="11.0"/>
      </rPr>
      <t>- ONE HUMBER, (U2), ONE</t>
    </r>
    <r>
      <rPr>
        <rFont val="Arial"/>
        <color rgb="FFFF0000"/>
        <sz val="11.0"/>
      </rPr>
      <t xml:space="preserve">
</t>
    </r>
    <r>
      <rPr>
        <rFont val="Arial"/>
        <color rgb="FF000000"/>
        <sz val="11.0"/>
      </rPr>
      <t>- total tariffs 15%</t>
    </r>
    <r>
      <rPr>
        <rFont val="Arial"/>
        <color rgb="FFFF0000"/>
        <sz val="11.0"/>
      </rPr>
      <t xml:space="preserve">
</t>
    </r>
    <r>
      <rPr>
        <rFont val="Arial"/>
        <color rgb="FF000000"/>
        <sz val="11.0"/>
      </rPr>
      <t>- OBL received &amp; mailed out 9/8
- Moored 9/10, discharged 9/13, FCL LFD 9/18
- FCL picked up 9/18, FCL empty return 9/19
- 6 plts, delivered without notice
- trucker asked for 6 exchange pallets</t>
    </r>
  </si>
  <si>
    <t>GAOU6921235</t>
  </si>
  <si>
    <t>EN#2170670, INV#E/SNA/2025/00073, T/R, empty return 9/16
- EVER MAST, (R21), EG
- total tariffs 15.6%
- have additional $150 Maher Surcharge
- moored 9/11, discharged 9/11, LFD 9/17
- K80-2170670-1
- FDA hold 9/11, informed FDA ready for exam 9/18, FDA came exam 9/23 without collected sample, released 9/23
- prepulled 9/12, delivered 9/15</t>
  </si>
  <si>
    <t>TXGU7761988</t>
  </si>
  <si>
    <t>GINGER CHEWS 4 OZ (COLA), QC SAMPLE</t>
  </si>
  <si>
    <t>EN#2170671, INV#E/SNA/2025/00072, T/R, empty return 9/17
- EVER MAST, (R20), EG
- total tariffs 15.6%
- 21 plts, Live unload
- have additional $150 Maher Surcharge
- Moored 9/11, discharged 9/11, LFD 9/17
- K80-2170671-9
- FDA hold 9/10, informed ready for exam 9/17, FDA came exam 9/23 without collected sample, released 9/23</t>
  </si>
  <si>
    <t>TXGU5841723</t>
  </si>
  <si>
    <t>EN#2170542, INV#103/EXP/INV/VI/2025, T/R, empty return 9/18
- EVER MAST, (Q14), EG
- total tariffs 15.6%
- have additional $150 Maher Surcharge
- Moored 9/11, discharged 9/11, LFD 9/17
- K80-2170542-2
- FDA hold 9/11, informed FDA ready for exam 9/18, FDA came exam 9/23 without collected sample, released 9/23
- this container has damages through the whole floor, per Jimmy, this damage was not caused by NJ warehouse forklift, Etrans fixed the damage before return the empty
- informed Dharma about the damaged floor</t>
  </si>
  <si>
    <t>EGSU9616570</t>
  </si>
  <si>
    <r>
      <rPr>
        <rFont val="Arial"/>
        <color rgb="FF000000"/>
        <sz val="11.0"/>
      </rPr>
      <t>EN#2171379, INV#102/EXP/INV/VI/2025, T/R, empty return 9/19</t>
    </r>
    <r>
      <rPr>
        <rFont val="Arial"/>
        <color rgb="FF000000"/>
        <sz val="11.0"/>
      </rPr>
      <t xml:space="preserve">
</t>
    </r>
    <r>
      <rPr>
        <rFont val="Arial"/>
        <color rgb="FF000000"/>
        <sz val="11.0"/>
      </rPr>
      <t>- EVER MAST, (R6), EG</t>
    </r>
    <r>
      <rPr>
        <rFont val="Arial"/>
        <color rgb="FF000000"/>
        <sz val="11.0"/>
      </rPr>
      <t xml:space="preserve">
</t>
    </r>
    <r>
      <rPr>
        <rFont val="Arial"/>
        <color rgb="FF000000"/>
        <sz val="11.0"/>
      </rPr>
      <t>-</t>
    </r>
    <r>
      <rPr>
        <rFont val="Arial"/>
        <color rgb="FF000000"/>
        <sz val="11.0"/>
      </rPr>
      <t xml:space="preserve"> total tariffs 15.6%
</t>
    </r>
    <r>
      <rPr>
        <rFont val="Arial"/>
        <color rgb="FF000000"/>
        <sz val="11.0"/>
      </rPr>
      <t>- have additional $150 Maher Surcharge
- Moored 9/11, discharged 9/11, LFD 9/17
- K80-2171379-8
- FDA hold 9/10, informed ready for exam 9/18, FDA came exam 9/23 without collected sample, released 9/23</t>
    </r>
  </si>
  <si>
    <t>40811
(Part B)</t>
  </si>
  <si>
    <t>EITU0580279</t>
  </si>
  <si>
    <r>
      <rPr>
        <rFont val="Arial"/>
        <color rgb="FF000000"/>
        <sz val="11.0"/>
      </rPr>
      <t xml:space="preserve">EN#2171353, INV#20250812, T/R, </t>
    </r>
    <r>
      <rPr>
        <rFont val="Arial"/>
        <color rgb="FF000000"/>
        <sz val="11.0"/>
      </rPr>
      <t xml:space="preserve">empty return 9/15
</t>
    </r>
    <r>
      <rPr>
        <rFont val="Arial"/>
        <color rgb="FF000000"/>
        <sz val="11.0"/>
      </rPr>
      <t>- EVER MACRO, (S11), EG
- total tariffs 20%
- 10 plts, Live unload
- Moored 9/10, discharged 9/12, LFD 9/17</t>
    </r>
  </si>
  <si>
    <t>GCXU6321968</t>
  </si>
  <si>
    <t>GINGER CHEWS 4 OZ (LEMON, MANGO, LYCHEE, BLOOD ORANGE), QC SAMPLES</t>
  </si>
  <si>
    <t>EN#2171449, INV#E/SNA/2025/00095, T/R, empty return 9/19
- EVER MACRO, (S17), EG
- total tariffs 24.6%
- 21 plts, Live unload
- Moored 9/10, discharged 9/11, LFD 917
- K80-2171449-9
- FDA hold 9/11, informed ready for exam 9/19, came to collect sample 10/9, lab test in progress 10/17, expected complete 11/3, lab test completed 10/23, pending FDA review result, FDA released 10/23
- Sun sent PL for sample collected by FDA, Jenny process write off for PL# 5632906.</t>
  </si>
  <si>
    <t>TLLU5494690</t>
  </si>
  <si>
    <t>EN#2170947, INV#E/SNA/2025/00079, T/R, GATEFEE9/8, empty return 9/17
- NYK VESTA, (U1), ONE
- total tariffs 24.6%
- Moored 9/9, discharged 9/10, LFD 9/15
- K80-2170947-3
- FDA hold 9/9, informed ready for exam 9/19, pending exam 10/14, FDA didn't come 10/14, pending new exam date 10/29 @ 12:30-1 pm
- FDA released Assorted &amp; QC sample 10/31
- FDA collected sample 10/29, once posted, write off 1 cs F-04073 (Mango 8oz), PL#5634340
- Lab test in progress 10/31, expected complete 11/18, lab test completed 11/4, pending review result
- FDA finally fully released 1/27/2026</t>
  </si>
  <si>
    <t>TGBU8636761</t>
  </si>
  <si>
    <t>SEALER &amp; SHRINK WRAP MACHINES</t>
  </si>
  <si>
    <r>
      <rPr>
        <rFont val="Arial"/>
        <color rgb="FF000000"/>
        <sz val="11.0"/>
      </rPr>
      <t>EN#2171352, INV#T-1140806001, T/R
- EVER MEMO, (S16), EG
- total tariffs 20%</t>
    </r>
    <r>
      <rPr>
        <rFont val="Arial"/>
        <color rgb="FFFF0000"/>
        <sz val="11.0"/>
      </rPr>
      <t xml:space="preserve">
</t>
    </r>
    <r>
      <rPr>
        <rFont val="Arial"/>
        <color rgb="FF000000"/>
        <sz val="11.0"/>
      </rPr>
      <t>- Moored 9/9, discharged 9/9, FCL LFD 9/15
- FCL pickup 9/10, FCL empty return 9/12</t>
    </r>
    <r>
      <rPr>
        <rFont val="Arial"/>
        <color rgb="FFFF0000"/>
        <sz val="11.0"/>
      </rPr>
      <t xml:space="preserve">
</t>
    </r>
    <r>
      <rPr>
        <rFont val="Arial"/>
        <color rgb="FF000000"/>
        <sz val="11.0"/>
      </rPr>
      <t>- LCL LFD 9/19</t>
    </r>
  </si>
  <si>
    <t>FBIU5193359</t>
  </si>
  <si>
    <t>EN#2170962, INV#94417241, T/R, empty return 9/9
- NYK METEOR, (S4), ONE
- total tariffs 10%
- need genset, drop
- Moored 9/6, discharged 9/7, LFD 9/9
- genset charge $300</t>
  </si>
  <si>
    <t>TIIU4499356</t>
  </si>
  <si>
    <r>
      <rPr>
        <rFont val="Arial"/>
        <color rgb="FF000000"/>
        <sz val="11.0"/>
      </rPr>
      <t xml:space="preserve">EN#2171124, INV#RGN/POP-0125, T/R, </t>
    </r>
    <r>
      <rPr>
        <rFont val="Arial"/>
        <color rgb="FF000000"/>
        <sz val="11.0"/>
      </rPr>
      <t xml:space="preserve">empty return 9/12
</t>
    </r>
    <r>
      <rPr>
        <rFont val="Arial"/>
        <color rgb="FF000000"/>
        <sz val="11.0"/>
      </rPr>
      <t>- EVER MEMO, (S14), EG</t>
    </r>
    <r>
      <rPr>
        <rFont val="Arial"/>
        <color rgb="FF000000"/>
        <sz val="11.0"/>
      </rPr>
      <t xml:space="preserve">
</t>
    </r>
    <r>
      <rPr>
        <rFont val="Arial"/>
        <color rgb="FF000000"/>
        <sz val="11.0"/>
      </rPr>
      <t>- total tariffs 20%</t>
    </r>
    <r>
      <rPr>
        <rFont val="Arial"/>
        <color rgb="FF000000"/>
        <sz val="11.0"/>
      </rPr>
      <t xml:space="preserve">
</t>
    </r>
    <r>
      <rPr>
        <rFont val="Arial"/>
        <color rgb="FF000000"/>
        <sz val="11.0"/>
      </rPr>
      <t>- prepulled 9/8, delivered 9/9</t>
    </r>
  </si>
  <si>
    <t>EITU9129060</t>
  </si>
  <si>
    <t>GINGER CHEWS PLUS+ 3 OZ (ORIGINAL, LEMON), QC SAMPLE</t>
  </si>
  <si>
    <t>EN#2170295, INV#E/SNA/2025/00069, T/R, empty return 9/15
- EVER MASS, (R10), EG
- total tariffs 15.6%
- have additional $150 Maher Surcharge
- Moored 9/2, discharged 9/4, LFD 9/10
- have an additional Empty Pick-up Surcharge $535 + 30% Fuel</t>
  </si>
  <si>
    <t>EMCU9974298</t>
  </si>
  <si>
    <r>
      <rPr>
        <rFont val="Arial"/>
        <color rgb="FF000000"/>
        <sz val="11.0"/>
      </rPr>
      <t xml:space="preserve">EN#2170294, INV#E/SNA/2025/00067, T/R, </t>
    </r>
    <r>
      <rPr>
        <rFont val="Arial"/>
        <color rgb="FF000000"/>
        <sz val="11.0"/>
      </rPr>
      <t xml:space="preserve">empty return 9/8
</t>
    </r>
    <r>
      <rPr>
        <rFont val="Arial"/>
        <color rgb="FF000000"/>
        <sz val="11.0"/>
      </rPr>
      <t>- EVER MASS, (R5), EG
- total tariffs 15.6%
- 21 plts, Live unload
- have additional $150 Maher Surcharge
- Moored 9/2, discharged 9/4, LFD 9/10</t>
    </r>
  </si>
  <si>
    <t>TRHU8359275</t>
  </si>
  <si>
    <r>
      <rPr>
        <rFont val="Arial"/>
        <color rgb="FF000000"/>
        <sz val="11.0"/>
      </rPr>
      <t xml:space="preserve">EN#2170296, INV#E/SNA/2025/00068, T/R, </t>
    </r>
    <r>
      <rPr>
        <rFont val="Arial"/>
        <color rgb="FF000000"/>
        <sz val="11.0"/>
      </rPr>
      <t xml:space="preserve">empty return 9/9
</t>
    </r>
    <r>
      <rPr>
        <rFont val="Arial"/>
        <color rgb="FF000000"/>
        <sz val="11.0"/>
      </rPr>
      <t>- EVER MASS, (R4), EG
- total tariffs 15.6%
- 21 plts, Live unload
- have additional $150 Maher Surcharge
- Moored 9/2, discharged 9/4, LFD 9/10</t>
    </r>
  </si>
  <si>
    <t>EGSU1300842</t>
  </si>
  <si>
    <t>EN#2170879, INV#E/SNA/2025/00077, T/R, GATEFEE9/2, empty return 9/12
- EVER MAGUS, (T12), EG
- total tariffs 24.6%
- moored 9/2, discharged 9/3, LFD 9/9</t>
  </si>
  <si>
    <t>TGBU9912170</t>
  </si>
  <si>
    <t>GINGER CHEWS 4 OZ (LEMON, MANGO), QC SAMPLE</t>
  </si>
  <si>
    <t>EN#2170949, INV#E/SNA/2025/00076, T/R, GATEFEE9/2, empty return 9/9
- EVER MAGUS, (T11), EG
- total tariffs 24.6%
- 21 plts, Live unload
- moored 9/2, discharged 9/3, LFD 9/9</t>
  </si>
  <si>
    <t>TIIU5134373</t>
  </si>
  <si>
    <t>EN#2170948, INV#E/SNA/2025/00078, T/R, GATEFEE9/2, empty return 9/8
- EVER MAGUS, (T10), EG
- total tariffs 24.6%
- 21 plts, Live unload
- moored 9/2, discharged 9/2, LFD 9/9</t>
  </si>
  <si>
    <t>ECMU7244916</t>
  </si>
  <si>
    <t>EN#2170787, INV#E/SNA/2025/00075, T/R, GATEFEE8/26, empty return 9/9
- CMA CGM FLORIDA, (S3), CMA
- total tariffs 24.6%
- Moored 8/29, discharged 8/29, LFD 9/5</t>
  </si>
  <si>
    <t>CMAU3789999</t>
  </si>
  <si>
    <t>EN#2170788, INV#E/SNA/2025/00074, T/R, GATEFEE8/26, empty return 9/9
- CMA CGM FLORIDA, (S2), CMA
- total tariffs 24.6%
- Moored 8/29, discharged 8/29, LFD 9/5</t>
  </si>
  <si>
    <t>MSNU5437441</t>
  </si>
  <si>
    <t>EN#2170194, INV#E/SNA/2025/00066, T/R, GATEFEE8/20
- MSC ALEXANDRA, (Q16), MSC
- total tariffs 15.6%
- Moored 8/25, discharged 8/25, LFD 8/29
- ELFD 9/4, empty return 9/5, have per diem $25
- respot 9/3
- Benz wasn't using own chassis, so issued credit memo ($364)
- pay forwarder chassis fee ($110)</t>
  </si>
  <si>
    <t>BMOU6137646</t>
  </si>
  <si>
    <t>EN#2170278, INV#107/EXP/INV/VII/2025, T/R, GATEFEE8/18, empty return 9/2
- YM UPSURGENCE, (S8), YANG MING
- total tariffs 15.6%
- moored 8/23, discharged 8/23, LFD 8/28</t>
  </si>
  <si>
    <t>EGSU1134588</t>
  </si>
  <si>
    <t>GINGER CHEWS 8 OZ (ORIGINAL, LEMON), QC SAMPLES</t>
  </si>
  <si>
    <t>EN#2170345, INV#111/EXP/INV/VII/2025, T/R, GATEFEE8/20, empty return 9/3
- EVER MAX, (Q22), EG
- total tariffs 15.6%
- Moored 8/21, discharged 8/21, LFD 8/28</t>
  </si>
  <si>
    <t>EMCU1669019</t>
  </si>
  <si>
    <r>
      <rPr>
        <rFont val="Arial"/>
        <color rgb="FF000000"/>
        <sz val="11.0"/>
      </rPr>
      <t>EN#2170266, INV#110/EXP/INV/VII/2025, T/R, GATEFEE8/20</t>
    </r>
    <r>
      <rPr>
        <rFont val="Arial"/>
        <color rgb="FF000000"/>
        <sz val="11.0"/>
      </rPr>
      <t xml:space="preserve">
</t>
    </r>
    <r>
      <rPr>
        <rFont val="Arial"/>
        <color rgb="FF000000"/>
        <sz val="11.0"/>
      </rPr>
      <t xml:space="preserve">- EVER MAX, (R8), EG
- total tariffs 15.6%
- Moored 8/21, discharged 8/21, LFD 8/28
- cases fall out when opened container door
- ELFD 9/4, empty return 9/5, </t>
    </r>
    <r>
      <rPr>
        <rFont val="Arial"/>
        <color rgb="FF000000"/>
        <sz val="11.0"/>
      </rPr>
      <t>have per diem?</t>
    </r>
  </si>
  <si>
    <t>EGSU1702327</t>
  </si>
  <si>
    <t>GINGER HARD CANDY 4 OZ, GINGER CHEWS 4 OZ (ORIGINAL), QC SAMPLE</t>
  </si>
  <si>
    <t>EN#2170293, INV#112/EXP/INV/VII/2025, T/R, GATEFEE8/20, empty return 9/4
- EVER MAX, (R7), EG
- total tariffs 15.6%
- Moored 8/21, discharged 8/21, LFD 8/28
- respot 9/2
- respot 9/3</t>
  </si>
  <si>
    <t>TRHU5611676</t>
  </si>
  <si>
    <t>GINGER CHEWS 4 OZ (LYCHEE, BLOOD ORANGE), QC SAMPLE</t>
  </si>
  <si>
    <r>
      <rPr>
        <rFont val="Arial"/>
        <color rgb="FF000000"/>
        <sz val="11.0"/>
      </rPr>
      <t xml:space="preserve">EN#2170133, INV#E/SNA/2025/00063, T/R, </t>
    </r>
    <r>
      <rPr>
        <rFont val="Arial"/>
        <color rgb="FF000000"/>
        <sz val="11.0"/>
      </rPr>
      <t xml:space="preserve">empty return 8/27
</t>
    </r>
    <r>
      <rPr>
        <rFont val="Arial"/>
        <color rgb="FF000000"/>
        <sz val="11.0"/>
      </rPr>
      <t>- ONE MADRID, (Q19), ONE
- total tariffs 15.6%
- 21 plts, live unload
- have additional Global Terminal (aka Port Liberty-Bayonne) surcharge $150
- Moored 8/19, discharged 8/20, LFD 8/25</t>
    </r>
  </si>
  <si>
    <t>CMAU9529664</t>
  </si>
  <si>
    <r>
      <rPr>
        <rFont val="Arial"/>
        <color rgb="FF000000"/>
        <sz val="11.0"/>
      </rPr>
      <t xml:space="preserve">EN#2170456, INV#E/SNA/2025/00064, T/R, </t>
    </r>
    <r>
      <rPr>
        <rFont val="Arial"/>
        <color rgb="FF000000"/>
        <sz val="11.0"/>
      </rPr>
      <t xml:space="preserve">empty return 8/25
</t>
    </r>
    <r>
      <rPr>
        <rFont val="Arial"/>
        <color rgb="FF000000"/>
        <sz val="11.0"/>
      </rPr>
      <t>- APL ESPLANADE, (Q18), CMA
- total tariffs 15.6%
- 21 plts, Live unload
- have additional Global Terminal (aka Port Liberty-Bayonne) surcharge ($150)
- Moored 8/18, discharged 8/19, LFD 8/25</t>
    </r>
  </si>
  <si>
    <t>SEKU5631358</t>
  </si>
  <si>
    <r>
      <rPr>
        <rFont val="Arial"/>
        <color rgb="FF000000"/>
        <sz val="11.0"/>
      </rPr>
      <t xml:space="preserve">EN#2170134, INV#E/SNA/2025/00065, T/R, </t>
    </r>
    <r>
      <rPr>
        <rFont val="Arial"/>
        <color rgb="FF000000"/>
        <sz val="11.0"/>
      </rPr>
      <t xml:space="preserve">empty return 8/25
</t>
    </r>
    <r>
      <rPr>
        <rFont val="Arial"/>
        <color rgb="FF000000"/>
        <sz val="11.0"/>
      </rPr>
      <t>- APL ESPLANADE, (Q17), CMA
- total tariffs 15.6%
- 21 plts, Live unload
- have additional Global Terminal (aka Port Liberty-Bayonne) surcharge ($150)
- Moored 8/18, discharged 8/19, LFD 8/25</t>
    </r>
  </si>
  <si>
    <t>EMCU8413688</t>
  </si>
  <si>
    <t>GINGER HARD CANDY 1 KG, QC SAMPLE
(to RC Commerce)</t>
  </si>
  <si>
    <t>EN#2169638, INV#094/EXP/INV/VI/2025, T/R, empty return 8/26
- APL ESPLANADE, (P12), EG
- total tariffs 15.6%
- have additional Global Terminal (aka Port Liberty-Bayonne) surcharge ($150)
- Moored 8/18, discharged 8/19, LFD 8/25
- prepulled 8/25, delivered 8/26</t>
  </si>
  <si>
    <t>FFAU6002092</t>
  </si>
  <si>
    <t>EN#2170023, INV#E/SNA/2025/00060, T/R, GATEFEE8/13, empty return 8/27
- CMA CGM CHILE, (Q12), CMA
- total tariffs 15.6%
- Moored 8/17, discharged 8/18, LFD 8/21
- pickup pier waiting was from 7:53-10:54am additional 1hr
- ELFD 8/26, empty return 8/27, have per diem?</t>
  </si>
  <si>
    <t>CMAU9663420</t>
  </si>
  <si>
    <t>EN#2169771, INV#E/SNA/2025/00061, T/R, GATEFEE8/13, empty return 8/25
- CMA CGM CHILE , (P19), CMA
- total tariffs 15.6%
- Moored 8/17, discharged 8/18, LFD 8/21</t>
  </si>
  <si>
    <t>FFAU1185909</t>
  </si>
  <si>
    <t>ORGANIC TEA
D-13206, D-13212, D-14206, D-15206, D-17206, D-18206, D-19206</t>
  </si>
  <si>
    <t>EN#2170339, INV#YD25-T08, T/R, empty return 8/22
- COSCO CAMELLIA, (R16), EG
- total tariffs 37.5%
- have additional Maher surcharge ($150)
- Moored 8/16, discharged 8/17, LFD 8/21
- have an additional Empty Pick-up surcharge ($535 + 30% Fuel)</t>
  </si>
  <si>
    <t>EGSU1100839</t>
  </si>
  <si>
    <t>CAPPUCCINO, THAI TEA, MATCHA LATTE</t>
  </si>
  <si>
    <t>EN#2169773, INV#EMI250000500, OBL7/31, empty return 8/21
- TOKYO TRIUMPH, (P21), EG
- total tariffs 10% &amp; ($0.305/KG + 8.5%)
- have additional $150 Maher Surcharge
- Moored 8/15, discharged 8/15, LFD 8/21</t>
  </si>
  <si>
    <t>TRHU5202240</t>
  </si>
  <si>
    <t>EN#2169654, INV#088/EXP/INV/VI/2025, T/R, empty return 8/21
- TOKYO TRIUMPH, (P9), EG
- total tariffs 15.6%
- Palletized, Live Unload
- have additional $150 Maher Surcharge
- Moored 8/15, discharged 8/15, LFD 8/21</t>
  </si>
  <si>
    <t>EGHU8334075</t>
  </si>
  <si>
    <r>
      <rPr>
        <rFont val="Arial"/>
        <color rgb="FF000000"/>
        <sz val="11.0"/>
      </rPr>
      <t xml:space="preserve">EN#2170274, INV#109/EXP/INV/VII/2025, T/R, </t>
    </r>
    <r>
      <rPr>
        <rFont val="Arial"/>
        <color rgb="FF000000"/>
        <sz val="11.0"/>
      </rPr>
      <t xml:space="preserve">empty return 8/25
</t>
    </r>
    <r>
      <rPr>
        <rFont val="Arial"/>
        <color rgb="FF000000"/>
        <sz val="11.0"/>
      </rPr>
      <t>- EVER MAX, (R9), EG
- total tariffs 15.6%
- 21 plts, live unload
- moored 8/14, discharged 8/18, LFD 8/24</t>
    </r>
  </si>
  <si>
    <t>GAOU6463180</t>
  </si>
  <si>
    <r>
      <rPr>
        <rFont val="Arial"/>
        <color rgb="FF000000"/>
        <sz val="11.0"/>
      </rPr>
      <t>EN#2170281, INV#108/EXP/INV/VII/2025, T/R,</t>
    </r>
    <r>
      <rPr>
        <rFont val="Arial"/>
        <color rgb="FF000000"/>
        <sz val="11.0"/>
      </rPr>
      <t xml:space="preserve"> empty return 8/21
</t>
    </r>
    <r>
      <rPr>
        <rFont val="Arial"/>
        <color rgb="FF000000"/>
        <sz val="11.0"/>
      </rPr>
      <t>- EVER MAX, (R19), EG
- total tariffs 15.6%
- moored 8/14, discharged 8/16, LFD 8/20
- Prepulled 8/19, delievered 8/20</t>
    </r>
  </si>
  <si>
    <t>HMMU6811474</t>
  </si>
  <si>
    <t>RED PANAX GINSENG EXTRACT (C-70121/C-70123/C-70113)</t>
  </si>
  <si>
    <r>
      <rPr>
        <rFont val="Arial"/>
        <color rgb="FF000000"/>
        <sz val="11.0"/>
      </rPr>
      <t xml:space="preserve">EN#2170261, INV#HR2505, T/R, GATEFEE8/12, </t>
    </r>
    <r>
      <rPr>
        <rFont val="Arial"/>
        <color rgb="FF000000"/>
        <sz val="11.0"/>
      </rPr>
      <t xml:space="preserve">empty return 8/21
</t>
    </r>
    <r>
      <rPr>
        <rFont val="Arial"/>
        <color rgb="FF000000"/>
        <sz val="11.0"/>
      </rPr>
      <t>- HMM OPAL, (Q21), HMM
- total tariffs 43.9%
- customs released 8/13
- Moored 8/13, discharged 8/13, LFD 8/19</t>
    </r>
  </si>
  <si>
    <t>TCKU6462650</t>
  </si>
  <si>
    <t>GHC PLUM D-04036, GHC MATCHA D-04024, GHC D-04061</t>
  </si>
  <si>
    <t>EN#2169815, INV#JB2510, T/R, empty return 8/14
- SOFIA EXPRESS, (Q1), HL
- total tariffs 43.9%
- have additional $150 APM Surcharge
- Moored 8/10, discharged 8/10, LFD 8/14
- have additional Empty Pick-up surcharge ($535 + 30%)</t>
  </si>
  <si>
    <r>
      <rPr>
        <rFont val="Arial"/>
        <color rgb="FF0000FF"/>
        <sz val="11.0"/>
        <u/>
      </rPr>
      <t xml:space="preserve">40811
</t>
    </r>
    <r>
      <rPr>
        <rFont val="Arial"/>
        <sz val="11.0"/>
      </rPr>
      <t>(Part A)</t>
    </r>
  </si>
  <si>
    <t>EMCU6270530</t>
  </si>
  <si>
    <r>
      <rPr>
        <rFont val="Arial"/>
        <color rgb="FF000000"/>
        <sz val="11.0"/>
      </rPr>
      <t>EN#2170435, INV#20250630, T/R,</t>
    </r>
    <r>
      <rPr>
        <rFont val="Arial"/>
        <color rgb="FF000000"/>
        <sz val="11.0"/>
      </rPr>
      <t xml:space="preserve"> empty return 8/18
</t>
    </r>
    <r>
      <rPr>
        <rFont val="Arial"/>
        <color rgb="FF000000"/>
        <sz val="11.0"/>
      </rPr>
      <t>- EVER MOST, (R15), EG
- total tariffs 10-16.4%
- 10 plts, Live unload
- Moored 8/9, discharged 8/13, LFD 8/18</t>
    </r>
  </si>
  <si>
    <t>EITU9339452</t>
  </si>
  <si>
    <r>
      <rPr>
        <rFont val="Arial"/>
        <color rgb="FF000000"/>
        <sz val="11.0"/>
      </rPr>
      <t xml:space="preserve">EN#2169997, INV#JB2528, T/R, </t>
    </r>
    <r>
      <rPr>
        <rFont val="Arial"/>
        <color rgb="FF000000"/>
        <sz val="11.0"/>
      </rPr>
      <t>empty return 8/13</t>
    </r>
    <r>
      <rPr>
        <rFont val="Arial"/>
        <color rgb="FF000000"/>
        <sz val="11.0"/>
      </rPr>
      <t xml:space="preserve">
- COSCO FAITH, (Q10), EG
- total tariffs 43.9%
- additional Maher surcharge ($150)
- Moored 8/6, discharged 8/7, LFD 8/13</t>
    </r>
  </si>
  <si>
    <t>EISU8583352</t>
  </si>
  <si>
    <t>EN#2170025, INV#E/SNA/2025/00062, T/R, GATEFEE8/6, empty return 8/15
- EVER MACH, (Q13), EG
- total tariffs 15.6%
- Moored 8/5, discharged 8/6, LFD 8/12
- empty return pier waiting was from 9:09-10:49am additional 1hr</t>
  </si>
  <si>
    <t>TIIU5597315</t>
  </si>
  <si>
    <t>GINGER CHEW 8 OZ (ORIGINAL, LEMON), QC SAMPLE</t>
  </si>
  <si>
    <t>EN#2170617, INV#104/EXP/INV/VI/2025, T/R, GATEFEE8/6, empty return 8/14
- EVER MACH, (R11), EG
- total tariffs 15.6%
- Moored 8/5, discharged 8/6, LFD 8/12
- pickup Pier waiting was from 7:06-9:59am additional 1hr</t>
  </si>
  <si>
    <t>154
(LCL)</t>
  </si>
  <si>
    <t>CCLU7426453</t>
  </si>
  <si>
    <t>EN#2170477, INV#SI2507060, T/R
- OOCL VIOLET, (R22), OOCL
- 3 plts
- FCL discharged @ LA, then LCL transfer to OAK
- total tariffs: calendars 0%, envelopes 30%
- moored 8/4, discharged 8/9, LFD 8/13
- FCL pickup 8/12, FCL empty return 8/13
- LCL LFD 8/20, GW will deliver</t>
  </si>
  <si>
    <t>YMMU6638962</t>
  </si>
  <si>
    <r>
      <rPr>
        <rFont val="Arial"/>
        <color rgb="FF000000"/>
        <sz val="11.0"/>
      </rPr>
      <t xml:space="preserve">EN#2170304, INV#100/EXP/INV/VI/2025, T/R, </t>
    </r>
    <r>
      <rPr>
        <rFont val="Arial"/>
        <color rgb="FF000000"/>
        <sz val="11.0"/>
      </rPr>
      <t>empty return 8/8</t>
    </r>
    <r>
      <rPr>
        <rFont val="Arial"/>
        <color rgb="FF000000"/>
        <sz val="11.0"/>
      </rPr>
      <t xml:space="preserve">
- YM UBIQUITY, (R2), YANG MING
- total tariffs 15.6%
- Moored 8/2, discharged 8/3, LFD 8/7
- prepulled 8/6, delivered 8/7</t>
    </r>
  </si>
  <si>
    <t>MRKU9904701</t>
  </si>
  <si>
    <t>RED GINSENG ROYAL JELLY
C-70050, C-70052</t>
  </si>
  <si>
    <t xml:space="preserve">EN#2169756, INV#2025TAT02, T/R, GATEFEE7/31, empty return 8/11
- GUSTAV MAERSK, (P20), MAEU
- total tariffs 43.9%
- Moored 8/1, discharged 8/2, LFD 8/7
- prepulled 8/7 @ 3:45pm, cannot be delivered 8/7 due to traffic, so delivered 8/8
- have prepull &amp; storage </t>
  </si>
  <si>
    <t>EGSU9581427</t>
  </si>
  <si>
    <t>EN#2169657, INV#EMI250000487, OBL7/31, GATEFEE7/31, empty return 8/12
- CMA CGM ARCTIC, (P17), EG
- total tariffs 10% &amp; ($0.305/KG + 8.5%)
- Moored 8/1, discharged 8/2, LFD 8/7</t>
  </si>
  <si>
    <t>CMAU7605359</t>
  </si>
  <si>
    <t>EN#2170318, INV#145987, T/R, empty return 7/31
- COSCO HOPE, (Q15), CMA
- total tariffs 10%
- have additional $150 Global Terminal surcharge
- Moored 7/29, discharged 7/30, LFD 8/5
- Live unload</t>
  </si>
  <si>
    <t>EMCU8559380</t>
  </si>
  <si>
    <r>
      <rPr>
        <rFont val="Arial"/>
        <color rgb="FF000000"/>
        <sz val="11.0"/>
      </rPr>
      <t xml:space="preserve">EN#2169728, INV#E/SNA/2025/00054, T/R, </t>
    </r>
    <r>
      <rPr>
        <rFont val="Arial"/>
        <color rgb="FF000000"/>
        <sz val="11.0"/>
      </rPr>
      <t xml:space="preserve">empty return 8/4
</t>
    </r>
    <r>
      <rPr>
        <rFont val="Arial"/>
        <color rgb="FF000000"/>
        <sz val="11.0"/>
      </rPr>
      <t>- TITAN, (P14), EG
- total tariffs 15.6%
- have Maher surcharge ($150)
- Moored 7/29, discharged 7/30, LFD 8/5
- 21 plts, Live unload</t>
    </r>
  </si>
  <si>
    <t>WHSU6806448</t>
  </si>
  <si>
    <t>EN#2170424, INV#092/EXP/INV/VI/2025, T/R, GATEFEE 7/25, empty return 8/8
- WAN HAI A18, (P18), WAN HAI
- total tariffs 15.6%
- Moored 7/28, discharged 7/29, LFD 8/4
- pier waiting was from 7:28-10:53am additional 1 ½ hr
- respot empty 8/8</t>
  </si>
  <si>
    <t>EMCU8605422</t>
  </si>
  <si>
    <t>EN#2169449, INV#E/SNA/2025/00059, T/R, empty return 8/8
- TITAN, (P2), EG
- total tariffs 15.6%
- additional Maher surcharge ($150)
- Moored 7/29, discharged 7/30, LFD 8/5
- have an additional Empty Pick-up Surcharge $535 + 30% Fuel</t>
  </si>
  <si>
    <t>CAAU5881769</t>
  </si>
  <si>
    <t>GINGER CHEWS 4 OZ (LEMON, LYCHEE, BLOOD ORANGE), QC SAMPLE</t>
  </si>
  <si>
    <r>
      <rPr>
        <rFont val="Arial"/>
        <color rgb="FF000000"/>
        <sz val="11.0"/>
      </rPr>
      <t xml:space="preserve">EN#2169727, INV#E/SNA/2025/00055, T/R, </t>
    </r>
    <r>
      <rPr>
        <rFont val="Arial"/>
        <color rgb="FF000000"/>
        <sz val="11.0"/>
      </rPr>
      <t>empty return 8/1</t>
    </r>
    <r>
      <rPr>
        <rFont val="Arial"/>
        <color rgb="FF000000"/>
        <sz val="11.0"/>
      </rPr>
      <t xml:space="preserve">
- TITAN, (P15), EG
- total tariffs 15.6%</t>
    </r>
    <r>
      <rPr>
        <rFont val="Arial"/>
        <color rgb="FF000000"/>
        <sz val="11.0"/>
      </rPr>
      <t xml:space="preserve">
</t>
    </r>
    <r>
      <rPr>
        <rFont val="Arial"/>
        <color rgb="FF000000"/>
        <sz val="11.0"/>
      </rPr>
      <t>- additional Maher surcharge ($150)
- Moored 7/29, discharged 7/30, LFD 8/5
- 21 plts, Live unload</t>
    </r>
  </si>
  <si>
    <t>EGHU9097907</t>
  </si>
  <si>
    <r>
      <rPr>
        <rFont val="Arial"/>
        <color rgb="FF000000"/>
        <sz val="11.0"/>
      </rPr>
      <t xml:space="preserve">GHC LEMON D-04017, GHC COCONUT D-04047
</t>
    </r>
    <r>
      <rPr>
        <rFont val="Arial"/>
        <color rgb="FF000000"/>
        <sz val="11.0"/>
      </rPr>
      <t>(to RC Commerce)</t>
    </r>
  </si>
  <si>
    <r>
      <rPr>
        <rFont val="Arial"/>
        <color rgb="FF000000"/>
        <sz val="11.0"/>
      </rPr>
      <t xml:space="preserve">EN#2169465, INV#JB2507, T/R, </t>
    </r>
    <r>
      <rPr>
        <rFont val="Arial"/>
        <color rgb="FF000000"/>
        <sz val="11.0"/>
      </rPr>
      <t xml:space="preserve">empty return 8/4
</t>
    </r>
    <r>
      <rPr>
        <rFont val="Arial"/>
        <color rgb="FF000000"/>
        <sz val="11.0"/>
      </rPr>
      <t>- EVER TOP, (P5), EG
- total tariffs 43.9%
- discharged 7/27, LFD 7/31
- prepulled 7/31</t>
    </r>
  </si>
  <si>
    <t>EITU1059898</t>
  </si>
  <si>
    <r>
      <rPr>
        <rFont val="Arial"/>
        <color rgb="FF000000"/>
        <sz val="11.0"/>
      </rPr>
      <t xml:space="preserve">GHC D-04016
</t>
    </r>
    <r>
      <rPr>
        <rFont val="Arial"/>
        <color rgb="FF000000"/>
        <sz val="11.0"/>
      </rPr>
      <t>(to RC Commerce)</t>
    </r>
  </si>
  <si>
    <r>
      <rPr>
        <rFont val="Arial"/>
        <color rgb="FF000000"/>
        <sz val="11.0"/>
      </rPr>
      <t xml:space="preserve">EN#2169596, INV#JB2457, T/R, </t>
    </r>
    <r>
      <rPr>
        <rFont val="Arial"/>
        <color rgb="FF000000"/>
        <sz val="11.0"/>
      </rPr>
      <t xml:space="preserve">empty return 7/31
</t>
    </r>
    <r>
      <rPr>
        <rFont val="Arial"/>
        <color rgb="FF000000"/>
        <sz val="11.0"/>
      </rPr>
      <t>- EVER TOP, (P7), EG</t>
    </r>
    <r>
      <rPr>
        <rFont val="Arial"/>
        <color rgb="FF000000"/>
        <sz val="11.0"/>
      </rPr>
      <t xml:space="preserve">
</t>
    </r>
    <r>
      <rPr>
        <rFont val="Arial"/>
        <color rgb="FF000000"/>
        <sz val="11.0"/>
      </rPr>
      <t>- total tariffs 43.9%
- additional Maher surcharge ($150)
- Moored 7/27, discharged 7/27, LFD 7/31
- prepulled 7/30</t>
    </r>
  </si>
  <si>
    <t>GAOU6935429</t>
  </si>
  <si>
    <t>GHC D-04011, GHC TURMERIC D-04033, GHC LEMON D-04043, GHC ASSORTED D-04040, INSTANT TEA CHINESE HERBAL BULK A-6101G</t>
  </si>
  <si>
    <t>5628529/Y</t>
  </si>
  <si>
    <t>EN#2169939, INV#AIT2502, T/R, GATEFEE7/23, empty return 8/6
- EVER LEARNED, (Q7), EG
- total tariffs 43.9%
- Moored 7/27, discharged 7/28, LFD 7/31</t>
  </si>
  <si>
    <t>EITU1239293</t>
  </si>
  <si>
    <t>GHC D-04011, GHC TURMERIC D-04033, GHC ASSORTED D-04040, GHC LEMON D-04043</t>
  </si>
  <si>
    <r>
      <rPr>
        <rFont val="Arial"/>
        <color rgb="FF000000"/>
        <sz val="11.0"/>
      </rPr>
      <t xml:space="preserve">EN#2170145, INV#JB2529, T/R, </t>
    </r>
    <r>
      <rPr>
        <rFont val="Arial"/>
        <color rgb="FF000000"/>
        <sz val="11.0"/>
      </rPr>
      <t xml:space="preserve">empty return 8/6
</t>
    </r>
    <r>
      <rPr>
        <rFont val="Arial"/>
        <color rgb="FF000000"/>
        <sz val="11.0"/>
      </rPr>
      <t>- CSCL SOUTH CHINA SEA, (R3), EG
- total tariffs 43.9%
- Moored 7/27, discharged 7/30, LFD 8/5</t>
    </r>
  </si>
  <si>
    <t>MRSU7676755</t>
  </si>
  <si>
    <t>RED PANAX GINSENG EXTRACT, AG ROYAL JELLY BEE POLLEN</t>
  </si>
  <si>
    <t>EN#2169831, INV#HR-2504, T/R, GATEFEE7/22, empty return 8/5
- GERDA MAERSK, (Q5), MAEU
- total tariffs 43.9%
- Moored 7/26, discharged 7/26, SSL LFD 7/31 (per Rosa, follow this LFD) or Port LFD 8/1
- per forwarder, ELFD is 8/7, instead of 8/5</t>
  </si>
  <si>
    <t>CAAU5348934</t>
  </si>
  <si>
    <t>GHC D-04011, GHC D-04043</t>
  </si>
  <si>
    <r>
      <rPr>
        <rFont val="Arial"/>
        <color rgb="FF000000"/>
        <sz val="11.0"/>
      </rPr>
      <t xml:space="preserve">EN#2169840, INV#JB2513, T/R, </t>
    </r>
    <r>
      <rPr>
        <rFont val="Arial"/>
        <color rgb="FF000000"/>
        <sz val="11.0"/>
      </rPr>
      <t>empty return 7/31</t>
    </r>
    <r>
      <rPr>
        <rFont val="Arial"/>
        <color rgb="FF000000"/>
        <sz val="11.0"/>
      </rPr>
      <t xml:space="preserve">
- OOCL BERLIN, (Q6), EG
- total tariffs 43.9%</t>
    </r>
    <r>
      <rPr>
        <rFont val="Arial"/>
        <color rgb="FF000000"/>
        <sz val="11.0"/>
      </rPr>
      <t xml:space="preserve">
</t>
    </r>
    <r>
      <rPr>
        <rFont val="Arial"/>
        <color rgb="FF000000"/>
        <sz val="11.0"/>
      </rPr>
      <t>- additional Maher surcharge ($150)
- have additional Empty Pick-up surcharge $535 + 30% Fuel</t>
    </r>
  </si>
  <si>
    <t>EGSU9656681</t>
  </si>
  <si>
    <t>EN#2169832, INV#085/EXP/INV/VI/2025, T/R, GATEFEE7/23, empty return 8/6
- EVER BALMY, (Q3), EG
- total tariffs 15.6%
- respot 8/5
- respot 8/6</t>
  </si>
  <si>
    <t>OTPU6494513</t>
  </si>
  <si>
    <t>WING WAH MOONCAKES, ICY MOONCAKES</t>
  </si>
  <si>
    <t xml:space="preserve">EN#2169896, INV#WW58B/2025, T/R, GATEFEE7/21, empty return 7/31
- MOL COURAGE, (Q8), YANG MING
- total tariffs 30%
- need genset (-5 C)
- Health Cert mailed to GW 7/11 (Tracking #882719345996)
- split pickup genset chassis
- empty returned to UIS. Pier waiting was from 11:45-1:15pm additional ½ hr. </t>
  </si>
  <si>
    <t>EITU9064587</t>
  </si>
  <si>
    <t>POP TEA
D-60011B, D-60012B, D-60013B, D-60023B, D-60014B, D-60015B, D-60017B</t>
  </si>
  <si>
    <r>
      <rPr>
        <rFont val="Arial"/>
        <color rgb="FF000000"/>
        <sz val="11.0"/>
      </rPr>
      <t>EN#2170137, INV#25TM020, OBL 7/22, no GATEFEE (LCL), empty return 7/28
- EVER MACRO, (Q20), EG
- total tariffs 37.5%</t>
    </r>
    <r>
      <rPr>
        <rFont val="Arial"/>
        <color rgb="FFFF0000"/>
        <sz val="11.0"/>
      </rPr>
      <t xml:space="preserve">
</t>
    </r>
    <r>
      <rPr>
        <rFont val="Arial"/>
        <color rgb="FF000000"/>
        <sz val="11.0"/>
      </rPr>
      <t>- LCL LFD 8/5
- OBL delivered to forwarder 7/29, freight release 7/29</t>
    </r>
  </si>
  <si>
    <t>EMCU5691411</t>
  </si>
  <si>
    <t>ALUMINIUM FOIL
(to Sun Ten, 8 PLTS)</t>
  </si>
  <si>
    <t>EN#2170159, INV#LF-140603, T/R, empty return 7/29
- EVER MILD, (R1), EG
- total tariffs 10+50%</t>
  </si>
  <si>
    <t>WHSU8077638</t>
  </si>
  <si>
    <t>EN#2169666, INV#090/EXP/INV/VI/2025, T/R, GATEFEE 7/21
- WAN HAI A12, (P11), WAN HAI
- total tariffs 15.6%
- respot 8/6
- ELFD 8/5, empty return 8/8, have per diem $443.10
- per diem day rate $140 x 3 days</t>
  </si>
  <si>
    <t>WHSU5928288</t>
  </si>
  <si>
    <r>
      <rPr>
        <rFont val="Arial"/>
        <color theme="1"/>
        <sz val="11.0"/>
      </rPr>
      <t>EN#2169665, INV#089/EXP/INV/VI/2025, T/R, GATEFEE 7/21,</t>
    </r>
    <r>
      <rPr>
        <rFont val="Arial"/>
        <color theme="1"/>
        <sz val="11.0"/>
      </rPr>
      <t xml:space="preserve"> empty return 8/4
</t>
    </r>
    <r>
      <rPr>
        <rFont val="Arial"/>
        <color theme="1"/>
        <sz val="11.0"/>
      </rPr>
      <t>- WAN HAI A12, (P10), WAN HAI
- total tariffs 15.6%
- respot 7/31</t>
    </r>
  </si>
  <si>
    <t>TIIU4874863</t>
  </si>
  <si>
    <t>GHC D-04011, GHC TURMERIC D-04033, GHC LEMON D-04043, INSTANT TEA CHINESE HERBAL BULK A-6101G</t>
  </si>
  <si>
    <r>
      <rPr>
        <rFont val="Arial"/>
        <color rgb="FF000000"/>
        <sz val="11.0"/>
      </rPr>
      <t xml:space="preserve">EN#2169716, INV#AIT2503, T/R, GATEFEE7/21, </t>
    </r>
    <r>
      <rPr>
        <rFont val="Arial"/>
        <color rgb="FF000000"/>
        <sz val="11.0"/>
      </rPr>
      <t xml:space="preserve">empty return 7/31
</t>
    </r>
    <r>
      <rPr>
        <rFont val="Arial"/>
        <color rgb="FF000000"/>
        <sz val="11.0"/>
      </rPr>
      <t>- EVER FORE, (P16), EG
- total tariffs 43.9%</t>
    </r>
  </si>
  <si>
    <t>TIIU5431237</t>
  </si>
  <si>
    <r>
      <rPr>
        <rFont val="Arial"/>
        <color rgb="FF000000"/>
        <sz val="11.0"/>
      </rPr>
      <t xml:space="preserve">EN#2169838, INV#YD25-T04, T/R, </t>
    </r>
    <r>
      <rPr>
        <rFont val="Arial"/>
        <color rgb="FF000000"/>
        <sz val="11.0"/>
      </rPr>
      <t xml:space="preserve">empty return 7/28
</t>
    </r>
    <r>
      <rPr>
        <rFont val="Arial"/>
        <color rgb="FF000000"/>
        <sz val="11.0"/>
      </rPr>
      <t>- EVER LEARNED, (Q4), EG
- total tariffs 37.5%</t>
    </r>
  </si>
  <si>
    <t>MSMU6235729</t>
  </si>
  <si>
    <t>EN#2169400, INV#E/SNA/2025/00053, T/R, GATEFEE7/15, empty return 7/30
- MSC MARTINA MARIA, (N18), MSC
- total tariffs 15.6%
- have empty pickup waiting time (10:40-11:10am) additional ½ hr waiting time</t>
  </si>
  <si>
    <t>ONEU0288526</t>
  </si>
  <si>
    <r>
      <rPr>
        <rFont val="Arial"/>
        <color rgb="FF000000"/>
        <sz val="11.0"/>
      </rPr>
      <t>EN#2169401, INV#94403179, T/R, GATEFEE7/14, empty return 7/25</t>
    </r>
    <r>
      <rPr>
        <rFont val="Arial"/>
        <color rgb="FFFF0000"/>
        <sz val="11.0"/>
      </rPr>
      <t xml:space="preserve">
</t>
    </r>
    <r>
      <rPr>
        <rFont val="Arial"/>
        <color rgb="FF000000"/>
        <sz val="11.0"/>
      </rPr>
      <t>- NYK REMUS, (N17), ONE
- total tariffs 10%
- no need genset
- have additional 1 hour drop off waiting time</t>
    </r>
  </si>
  <si>
    <t>GCXU8001900</t>
  </si>
  <si>
    <t>WING WAH MOONCAKES</t>
  </si>
  <si>
    <r>
      <rPr>
        <rFont val="Arial"/>
        <color rgb="FF000000"/>
        <sz val="11.0"/>
      </rPr>
      <t>EN#2169499, INV#WW45/2025, T/R, GATEFEE 7/10, empty return 7/21</t>
    </r>
    <r>
      <rPr>
        <rFont val="Arial"/>
        <color rgb="FF000000"/>
        <sz val="11.0"/>
      </rPr>
      <t xml:space="preserve">
</t>
    </r>
    <r>
      <rPr>
        <rFont val="Arial"/>
        <color rgb="FF000000"/>
        <sz val="11.0"/>
      </rPr>
      <t>- YM UPWARD, (P6), YANG MING
- total tariffs 30% / 70%</t>
    </r>
    <r>
      <rPr>
        <rFont val="Arial"/>
        <color rgb="FF000000"/>
        <sz val="11.0"/>
      </rPr>
      <t xml:space="preserve">
</t>
    </r>
    <r>
      <rPr>
        <rFont val="Arial"/>
        <color rgb="FF000000"/>
        <sz val="11.0"/>
      </rPr>
      <t>- Health cert mail to GW 7/10 (Tracking #882687289560)
- reefer empty will return to UIS per YML, charge fee applies</t>
    </r>
  </si>
  <si>
    <t>SEGU1466939</t>
  </si>
  <si>
    <t>HONEY LOQUAT CANDY
F-11076A, F-11077, F-11078, F-11148A, F-11178A</t>
  </si>
  <si>
    <t>EN#2169645, INV#MP-202540994, T/R, GATEFEE 7/10, empty return 7/24
- YM UNICORN, (P13), YANG MING
- total tariffs 60.6%</t>
  </si>
  <si>
    <t>EGSU1230133</t>
  </si>
  <si>
    <t>EN#2169464, INV#E/SNA/2025/00056, T/R, GATEFEE 7/10, empty return 7/23
- EVER MAGUS, (P4), EG
- total tariffs 15.6%</t>
  </si>
  <si>
    <t>EMCU1544855</t>
  </si>
  <si>
    <t>GINGER CHEWS 1 KG (ASSORTED), QC SAMPLE</t>
  </si>
  <si>
    <r>
      <rPr>
        <rFont val="Arial"/>
        <color rgb="FF000000"/>
        <sz val="11.0"/>
      </rPr>
      <t>EN#2169049, INV#E/SNA/2025/00052, T/R, empty return 7/21 (Live-unloaded but driver cannot make it back on time. Hence return the following business day)
- TRITON, (N9), EG
- total tariffs 15.6%</t>
    </r>
    <r>
      <rPr>
        <rFont val="Arial"/>
        <color rgb="FFFF0000"/>
        <sz val="11.0"/>
      </rPr>
      <t xml:space="preserve">
</t>
    </r>
    <r>
      <rPr>
        <rFont val="Arial"/>
        <color rgb="FF000000"/>
        <sz val="11.0"/>
      </rPr>
      <t>- Pre-pull ($150), Storage ($50/dayx3), Chassis $40/day, and Per Diems (TBA)
- Waiting Time Charge = (2.5hr – 2hr Free) x $95/hr = $47.50</t>
    </r>
  </si>
  <si>
    <t>GCXU6359285</t>
  </si>
  <si>
    <r>
      <rPr>
        <rFont val="Arial"/>
        <color rgb="FF000000"/>
        <sz val="11.0"/>
      </rPr>
      <t>EN#2168977, INV#E/SNA/2025/00049, T/R, empty return 7/15
- TRITON, (N5), EG
- total tariffs 15.6%</t>
    </r>
    <r>
      <rPr>
        <rFont val="Arial"/>
        <color rgb="FFFF0000"/>
        <sz val="11.0"/>
      </rPr>
      <t xml:space="preserve">
</t>
    </r>
    <r>
      <rPr>
        <rFont val="Arial"/>
        <color rgb="FF000000"/>
        <sz val="11.0"/>
      </rPr>
      <t>- have additional $150 Maher Surcharge</t>
    </r>
  </si>
  <si>
    <t>WHSU8100281</t>
  </si>
  <si>
    <t>EN#2169114, INV#075/EXP/INV/V/2025, T/R, empty return 7/21
- WAN HAI A15, (N14), WAN HAI
- total tariffs 15.6%
- $150 APM Surcharge
- have an additional Empty Pick-up surcharge ($535 + 30% Fuel).</t>
  </si>
  <si>
    <t>TIIU6787752</t>
  </si>
  <si>
    <r>
      <rPr>
        <rFont val="Arial"/>
        <color rgb="FF000000"/>
        <sz val="11.0"/>
      </rPr>
      <t>EN#2169115, INV#074/EXP/INV/V/2025, T/R, empty return 7/15
- WAN HAI A15, (N13), WAN HAI
- total tariffs 15.6%</t>
    </r>
    <r>
      <rPr>
        <rFont val="Arial"/>
        <color rgb="FFFF0000"/>
        <sz val="11.0"/>
      </rPr>
      <t xml:space="preserve">
</t>
    </r>
    <r>
      <rPr>
        <rFont val="Arial"/>
        <color rgb="FF000000"/>
        <sz val="11.0"/>
      </rPr>
      <t>- 21 plts (Live unload)
- have additional $150 APM Surcharge</t>
    </r>
  </si>
  <si>
    <t>TCLU8888302</t>
  </si>
  <si>
    <r>
      <rPr>
        <rFont val="Arial"/>
        <color rgb="FF000000"/>
        <sz val="11.0"/>
      </rPr>
      <t>EN#2169798, INV#JYPOP20250604, T/R, empty return 7/22</t>
    </r>
    <r>
      <rPr>
        <rFont val="Arial"/>
        <color rgb="FFFF0000"/>
        <sz val="11.0"/>
      </rPr>
      <t xml:space="preserve">
</t>
    </r>
    <r>
      <rPr>
        <rFont val="Arial"/>
        <color rgb="FF000000"/>
        <sz val="11.0"/>
      </rPr>
      <t>- EVER MEMO, (P22), EG</t>
    </r>
    <r>
      <rPr>
        <rFont val="Arial"/>
        <color rgb="FFFF0000"/>
        <sz val="11.0"/>
      </rPr>
      <t xml:space="preserve">
</t>
    </r>
    <r>
      <rPr>
        <rFont val="Arial"/>
        <color rgb="FF000000"/>
        <sz val="11.0"/>
      </rPr>
      <t>- total tariffs 55%</t>
    </r>
  </si>
  <si>
    <t>EMCU1805671</t>
  </si>
  <si>
    <t>GINGER CHEWS 1 KG (ORIGINAL), QC SAMPLE</t>
  </si>
  <si>
    <t>EN#2168534, INV#064/EXP/INV/IV/2025, T/R, empty return 7/17 
- EVER MODE, (M17), EG
- total tariffs 15.6%</t>
  </si>
  <si>
    <t>EGHU3728287</t>
  </si>
  <si>
    <t>ESSENCE OF CHICKEN DRINK</t>
  </si>
  <si>
    <t>- EN#8NP-0809929-7
- EVER MODE, (Q11), EG
- customs cleaered by KHONG GUAN
- deliver by E-Trans
- additional Maher surcharge ($150)</t>
  </si>
  <si>
    <t>OOCU8587549</t>
  </si>
  <si>
    <t>ORGANIC TEA 
D-13206, D-13212, D-14206, D-15206, D-17206, D-18206, D-19206</t>
  </si>
  <si>
    <r>
      <rPr>
        <rFont val="Arial"/>
        <color rgb="FF000000"/>
        <sz val="11.0"/>
      </rPr>
      <t>EN#2169342, INV#YD25-T07, T/R, empty return 7/11</t>
    </r>
    <r>
      <rPr>
        <rFont val="Arial"/>
        <color rgb="FFFF0000"/>
        <sz val="11.0"/>
      </rPr>
      <t xml:space="preserve">
</t>
    </r>
    <r>
      <rPr>
        <rFont val="Arial"/>
        <color rgb="FF000000"/>
        <sz val="11.0"/>
      </rPr>
      <t>- COSCO AZALEA, (P3), COSCO
- total tariffs 37.5%</t>
    </r>
    <r>
      <rPr>
        <rFont val="Arial"/>
        <color rgb="FFFF0000"/>
        <sz val="11.0"/>
      </rPr>
      <t xml:space="preserve">
</t>
    </r>
    <r>
      <rPr>
        <rFont val="Arial"/>
        <color rgb="FF000000"/>
        <sz val="11.0"/>
      </rPr>
      <t>- BL# 6419162650
- have additional $150 Maher Surcharge
- Moored 7/7, discharged 7/8, LFD 7/14</t>
    </r>
  </si>
  <si>
    <t>WHSU0219470</t>
  </si>
  <si>
    <t>EN#2169369, INV#2174, T/R, GATEFEE7/3, empty return 7/18
- WAN HAI 721, (N20), WAN HAI
- total tariffs 60.6%</t>
  </si>
  <si>
    <t>HLBU6053390</t>
  </si>
  <si>
    <t>EN#2168749, INV#94392287, T/R, no PL, empty return 7/14 (Live unloaded)
- SEASPAN THAMES, (M13), HL
- total tariffs 10%
- port corrected from NJ to LA
- need genset (temp 18C)
- not door move, GW will deliver
- GW provide triaxle &amp; genset charges
- USDA released 7/11</t>
  </si>
  <si>
    <t>CAAU5883099</t>
  </si>
  <si>
    <t>GHC D-04061, GHC AM GSG D-04030, GHC LEMON D-04037, INSTANT TEA CHINESE HERBAL BULK A-6101G</t>
  </si>
  <si>
    <t>EN#2169371, INV#AIT2504, T/R, GATEFEE7/7, empty return 7/19
- EVER FRONT, (N22), EG
- total tariffs 43.9%
- Moored 7/6, discharged 7/6, LFD 7/17
- LFD 7/13, eModal shows 7/14 as earliest, 1day Demurrage fee might apply
- FDA requested ingredient list for TEA CHINESE HERBAL 3 IN BULK
- pre-pull charge + 4 days yard parking</t>
  </si>
  <si>
    <t>TLLU4761004</t>
  </si>
  <si>
    <t>ORGANIC TEA
D-13206, D-14206, D-15206, D-18206, D-19206</t>
  </si>
  <si>
    <r>
      <rPr>
        <rFont val="Arial"/>
        <color rgb="FF000000"/>
        <sz val="11.0"/>
      </rPr>
      <t>EN#2169823, INV#YD25-T05, T/R, empty return 7/14</t>
    </r>
    <r>
      <rPr>
        <rFont val="Arial"/>
        <color rgb="FFFF0000"/>
        <sz val="11.0"/>
      </rPr>
      <t xml:space="preserve">
</t>
    </r>
    <r>
      <rPr>
        <rFont val="Arial"/>
        <color rgb="FF000000"/>
        <sz val="11.0"/>
      </rPr>
      <t>- EVER LADEN, (Q2), EG
- total tariffs 37.5%
- Moored 7/1, discharged 7/4, LFD 7/9</t>
    </r>
  </si>
  <si>
    <t>TLLU7752006</t>
  </si>
  <si>
    <t>GHC D-04011, GHC TURMERIC D-04033, GHC ASSORTED D-04040</t>
  </si>
  <si>
    <t>EN#2169480, INV#JB2523, T/R, empty return 7/9
- EVER LADEN, (P8), EG
- total tariffs 43.9%
- Moored 7/1, discharged 7/1, LFD 7/6
- prepulled 7/6, delivered 7/7</t>
  </si>
  <si>
    <t>HLBU9803564</t>
  </si>
  <si>
    <t>EN#2169243, INV#94402816, T/R
- HELLA, (P1), HL
- total tariffs 10%
- need genset (temp 18C)
- 40 reefer, instead of 45 reefer
- have additional $150 APM Surcharge
- Etrans cannot deliver, Apex will deliver
- Moored 6/28, discharged 6/29, LFD 7/1
- Live unload
- pickup 7/1, empty return 7/2</t>
  </si>
  <si>
    <t>TCNU6513618</t>
  </si>
  <si>
    <t>TEA
D-13106, D-13012, D-13306, D-14106, D-15106, D-16106, D-17106, D-18106</t>
  </si>
  <si>
    <r>
      <rPr>
        <rFont val="Arial"/>
        <color rgb="FF000000"/>
        <sz val="11.0"/>
      </rPr>
      <t>EN#2169091, INV#YD25-T03, T/R,</t>
    </r>
    <r>
      <rPr>
        <rFont val="Arial"/>
        <color rgb="FFFF0000"/>
        <sz val="11.0"/>
      </rPr>
      <t xml:space="preserve"> </t>
    </r>
    <r>
      <rPr>
        <rFont val="Arial"/>
        <color rgb="FF000000"/>
        <sz val="11.0"/>
      </rPr>
      <t>empty return 7/8
- COSCO SHIPPING ROSE, (N15), COSCO
- BL# 6417881860
- total tariffs 37.5%
- have additional $150 Maher Surcharge
- Moored 6/28, discharged 6/29, LFD 7/3
- have additional Empty Pick-up surcharge ($535 + 32%).</t>
    </r>
  </si>
  <si>
    <t>EMCU8667466</t>
  </si>
  <si>
    <t>GHC LEMON D-04037, GHC D-04061, DONG QUAI RED DATE D-04020</t>
  </si>
  <si>
    <r>
      <rPr>
        <rFont val="Arial"/>
        <color rgb="FF000000"/>
        <sz val="11.0"/>
      </rPr>
      <t xml:space="preserve">EN#2169030, INV#JB2511, T/R, </t>
    </r>
    <r>
      <rPr>
        <rFont val="Arial"/>
        <color rgb="FF000000"/>
        <sz val="11.0"/>
      </rPr>
      <t>empty return 7/2</t>
    </r>
    <r>
      <rPr>
        <rFont val="Arial"/>
        <color rgb="FF000000"/>
        <sz val="11.0"/>
      </rPr>
      <t xml:space="preserve">
- COSCO SHIPPING ROSE, (N10), EG
- total tariffs 43.9%</t>
    </r>
    <r>
      <rPr>
        <rFont val="Arial"/>
        <color rgb="FF000000"/>
        <sz val="11.0"/>
      </rPr>
      <t xml:space="preserve">
</t>
    </r>
    <r>
      <rPr>
        <rFont val="Arial"/>
        <color rgb="FF000000"/>
        <sz val="11.0"/>
      </rPr>
      <t>- have additional $150 Maher Surcharge
- Moored 6/28, discharged 6/28, LFD 7/3</t>
    </r>
  </si>
  <si>
    <t>EMCU8830399</t>
  </si>
  <si>
    <r>
      <rPr>
        <rFont val="Arial"/>
        <color rgb="FF000000"/>
        <sz val="11.0"/>
      </rPr>
      <t>EN#2169037, INV#EMI250000365, OBL6/19, GATEFEE 6/23,</t>
    </r>
    <r>
      <rPr>
        <rFont val="Arial"/>
        <color rgb="FF000000"/>
        <sz val="11.0"/>
      </rPr>
      <t xml:space="preserve"> empty return 6/30
</t>
    </r>
    <r>
      <rPr>
        <rFont val="Arial"/>
        <color rgb="FF000000"/>
        <sz val="11.0"/>
      </rPr>
      <t>- EVER MAGI, (N12), EG
- total tariffs 10% &amp; ($0.305/KG + 8.5%)
- Moored 6/21, discharged 6/22, LFD 6/26</t>
    </r>
  </si>
  <si>
    <t>EGSU9387432</t>
  </si>
  <si>
    <r>
      <rPr>
        <rFont val="Arial"/>
        <color rgb="FF000000"/>
        <sz val="11.0"/>
      </rPr>
      <t xml:space="preserve">EN#2168975, INV#E/SNA/2025/00051, T/R, GATEFEE 6/23, </t>
    </r>
    <r>
      <rPr>
        <rFont val="Arial"/>
        <color rgb="FF000000"/>
        <sz val="11.0"/>
      </rPr>
      <t xml:space="preserve">empty return 7/2
</t>
    </r>
    <r>
      <rPr>
        <rFont val="Arial"/>
        <color rgb="FF000000"/>
        <sz val="11.0"/>
      </rPr>
      <t>- EVER MAGI, (N3), EG
- total tariffs 15.6%
- Moored 6/21, discharged 6/22, LFD 6/29</t>
    </r>
  </si>
  <si>
    <t>EGSU9623610</t>
  </si>
  <si>
    <t>EN#2168976, INV#E/SNA/2025/00050, T/R, GATEFEE 6/23, empty return 2/27
- EVER MAGI, (N4), EG
- total tariffs 15.6%
- Moored 6/21, discharged 6/22, LFD 6/26</t>
  </si>
  <si>
    <t>CSNU7385780</t>
  </si>
  <si>
    <t>GHC TURMERIC D-04032, GHC LEMON D-04037, GHC D-04061</t>
  </si>
  <si>
    <r>
      <rPr>
        <rFont val="Arial"/>
        <color rgb="FF000000"/>
        <sz val="11.0"/>
      </rPr>
      <t xml:space="preserve">EN#2169031, INV#JB2512, T/R, </t>
    </r>
    <r>
      <rPr>
        <rFont val="Arial"/>
        <color rgb="FF000000"/>
        <sz val="11.0"/>
      </rPr>
      <t>empty return 6/25</t>
    </r>
    <r>
      <rPr>
        <rFont val="Arial"/>
        <color rgb="FF000000"/>
        <sz val="11.0"/>
      </rPr>
      <t xml:space="preserve">
- COSCOSHIPPING ORCHID, (N11), OOCL
- have additional $150 Maher Surcharge
- total tariffs 43.9%
- moored 6/21, discharged 6/22, LFD 6/26</t>
    </r>
  </si>
  <si>
    <t>TCNU3969970</t>
  </si>
  <si>
    <t>EN#2168730, INV#067/EXP/INV/IV/2025, T/R, empty return 6/23
- ONE MILANO, (M21), YANG MING
- have additional $150 Port Liberty Bayonne (Global) Surcharge
- total tariffs 15.6%
- 21 plts (Live unload)
- Moored 6/19, discharged 6/20, LFD 6/26</t>
  </si>
  <si>
    <t>TIIU6041315</t>
  </si>
  <si>
    <t>EN#2168741, INV#E/SNA/2025/00047, T/R,  empty return 6/27
- CMA CGM JEAN GABRIEL, (M22), EG
- have additional $150 Port Liberty Bayonne (Global) Surcharge
- total tariffs 15.6%
- Moored 6/19, discharged 6/20, LFD 6/26
- have additional Empty Pick-up surcharge ($535 + 30% Fuel).</t>
  </si>
  <si>
    <t>EGSU9808948</t>
  </si>
  <si>
    <r>
      <rPr>
        <rFont val="Arial"/>
        <color rgb="FF000000"/>
        <sz val="11.0"/>
      </rPr>
      <t xml:space="preserve">EN#2168626, INV#E/SNA/2025/00046, T/R, </t>
    </r>
    <r>
      <rPr>
        <rFont val="Arial"/>
        <color rgb="FF000000"/>
        <sz val="11.0"/>
      </rPr>
      <t>empty return 6/26</t>
    </r>
    <r>
      <rPr>
        <rFont val="Arial"/>
        <color rgb="FF000000"/>
        <sz val="11.0"/>
      </rPr>
      <t xml:space="preserve">
- CMA CGM JEAN GABRIEL, (M19), EG
- have additional $150 Port Liberty Bayonne (Global) Surcharge
- total tariffs 15.6%
- Moored 6/19, discharged 6/20, LFD 6/26</t>
    </r>
  </si>
  <si>
    <t>350
(LCL)</t>
  </si>
  <si>
    <t>ONEU9273316</t>
  </si>
  <si>
    <r>
      <rPr>
        <rFont val="Arial"/>
        <color rgb="FF000000"/>
        <sz val="11.0"/>
      </rPr>
      <t>EN#2169349, INV#US-250501, OBL6/16
- NYK VENUS, (N19), ONE
- total tariffs 16.4%</t>
    </r>
    <r>
      <rPr>
        <rFont val="Arial"/>
        <color rgb="FF000000"/>
        <sz val="11.0"/>
      </rPr>
      <t xml:space="preserve">
</t>
    </r>
    <r>
      <rPr>
        <rFont val="Arial"/>
        <color rgb="FF000000"/>
        <sz val="11.0"/>
      </rPr>
      <t>- Moored 6/18, discharged 6/20, LFD 6/25
- FCL picked up 6/23,</t>
    </r>
    <r>
      <rPr>
        <rFont val="Arial"/>
        <color rgb="FF000000"/>
        <sz val="11.0"/>
      </rPr>
      <t xml:space="preserve"> FCL empty return 6/25
</t>
    </r>
    <r>
      <rPr>
        <rFont val="Arial"/>
        <color rgb="FF000000"/>
        <sz val="11.0"/>
      </rPr>
      <t>- GW deliver LCL</t>
    </r>
  </si>
  <si>
    <t>EMCU8458147</t>
  </si>
  <si>
    <t>IRVINS POTATO CHIPS, SALMON SKIN</t>
  </si>
  <si>
    <r>
      <rPr>
        <rFont val="Arial"/>
        <color rgb="FFFF0000"/>
        <sz val="11.0"/>
      </rPr>
      <t>EN#?</t>
    </r>
    <r>
      <rPr>
        <rFont val="Arial"/>
        <color rgb="FF000000"/>
        <sz val="11.0"/>
      </rPr>
      <t xml:space="preserve">, INV#2500033, T/R
- CMA CGM J. ADAMS, (N21), EG, empty return 6/25
</t>
    </r>
    <r>
      <rPr>
        <rFont val="Arial"/>
        <color rgb="FFFF0000"/>
        <sz val="11.0"/>
      </rPr>
      <t>- total tariffs?</t>
    </r>
    <r>
      <rPr>
        <rFont val="Arial"/>
        <color rgb="FF000000"/>
        <sz val="11.0"/>
      </rPr>
      <t xml:space="preserve">
- COCOBA USA filed ISF
- door move by vendor</t>
    </r>
    <r>
      <rPr>
        <rFont val="Arial"/>
        <color rgb="FFFF0000"/>
        <sz val="11.0"/>
      </rPr>
      <t xml:space="preserve">
</t>
    </r>
    <r>
      <rPr>
        <rFont val="Arial"/>
        <color rgb="FF000000"/>
        <sz val="11.0"/>
      </rPr>
      <t>- Moored 6/15, discharged 6/16, LFD 6/20
- picked up 6/18, customs hold for exam 6/12
- POP pay freight invoice</t>
    </r>
  </si>
  <si>
    <t>SINGAPORE</t>
  </si>
  <si>
    <t>TIIU6240908</t>
  </si>
  <si>
    <t>TEA LATTE, QC SAMPLE</t>
  </si>
  <si>
    <t>EN#2168823, INV#EMI250000358, OBL6/2, GATEFEE6/16, empty return 6/25
- EVER MACH, (N2), EG
- total tariffs 10% &amp; ($0.305/KG + 8.5%)
- Moored 6/16, discharged 6/16, LFD 6/23</t>
  </si>
  <si>
    <t>GCXU6437011</t>
  </si>
  <si>
    <t>GHC TURMERIC D-04032, GHC D-04061, GHC BROWN SUGAR D-41986</t>
  </si>
  <si>
    <r>
      <rPr>
        <rFont val="Arial"/>
        <color rgb="FF000000"/>
        <sz val="11.0"/>
      </rPr>
      <t xml:space="preserve">EN#2168962, INV#JB2520, T/R, GATEFEE6/12, </t>
    </r>
    <r>
      <rPr>
        <rFont val="Arial"/>
        <color rgb="FF000000"/>
        <sz val="11.0"/>
      </rPr>
      <t xml:space="preserve">empty return 6/20
</t>
    </r>
    <r>
      <rPr>
        <rFont val="Arial"/>
        <color rgb="FF000000"/>
        <sz val="11.0"/>
      </rPr>
      <t>- EVER FAITH, (N8), EG
- total tariffs 43.9%
- Moored 6/12, discharged 6/13, LFD 6/19, updated LFD 6/22
- port closed 6/19</t>
    </r>
  </si>
  <si>
    <t>TLLU8980593</t>
  </si>
  <si>
    <r>
      <rPr>
        <rFont val="Arial"/>
        <color rgb="FF000000"/>
        <sz val="11.0"/>
      </rPr>
      <t xml:space="preserve">EN#2168237, INV#E/SNA/2025/00039, T/R, </t>
    </r>
    <r>
      <rPr>
        <rFont val="Arial"/>
        <color rgb="FF000000"/>
        <sz val="11.0"/>
      </rPr>
      <t>empty return 6/12</t>
    </r>
    <r>
      <rPr>
        <rFont val="Arial"/>
        <color rgb="FF000000"/>
        <sz val="11.0"/>
      </rPr>
      <t xml:space="preserve">
- EVER MAX, (M12), EG
- total tariffs 15.6%
- have additional $150 Maher Surcharge
- Moored 6/9, discharged 6/10, LFD 6/16</t>
    </r>
  </si>
  <si>
    <t>TXGU6565091</t>
  </si>
  <si>
    <t>EN#2168334, INV#E/SNA/2025/00041, T/R, empty return 6/16
- EVER MAX, (M15), EG
- total tariffs 15.6%
- have additional $150 Maher Surcharge
- Moored 6/9, discharged 6/10, LFD 6/16
- have additional Empty Pick-up surcharge ($535 + 30% Fuel)</t>
  </si>
  <si>
    <t>EISU8516605</t>
  </si>
  <si>
    <r>
      <rPr>
        <rFont val="Arial"/>
        <color rgb="FF000000"/>
        <sz val="11.0"/>
      </rPr>
      <t xml:space="preserve">EN#2168335, INV#E/SNA/2025/00040, T/R,  </t>
    </r>
    <r>
      <rPr>
        <rFont val="Arial"/>
        <color rgb="FF000000"/>
        <sz val="11.0"/>
      </rPr>
      <t>empty return 6/13</t>
    </r>
    <r>
      <rPr>
        <rFont val="Arial"/>
        <color rgb="FF000000"/>
        <sz val="11.0"/>
      </rPr>
      <t xml:space="preserve">
- EVER MAX, (M14), EG
- total tariffs 15.6%</t>
    </r>
    <r>
      <rPr>
        <rFont val="Arial"/>
        <color rgb="FF000000"/>
        <sz val="11.0"/>
      </rPr>
      <t xml:space="preserve">
</t>
    </r>
    <r>
      <rPr>
        <rFont val="Arial"/>
        <color rgb="FF000000"/>
        <sz val="11.0"/>
      </rPr>
      <t>- have additional $150 Maher Surcharge
- Moored 6/9, discharged 6/11, LFD 6/16</t>
    </r>
  </si>
  <si>
    <t>OOCU0370855</t>
  </si>
  <si>
    <t>EN#2168963, INV#20250516, T/R, empty return 6/11
- OOCL MALAYSIA, (N7), COSCO
- total tariffs 35.3-55.0%
- FDA request LACF (Low Acid Canned Food) dimensions
- Unpalletized (Drop unload)
- Moored 6/8, discharged 6/8, LFD 6/12</t>
  </si>
  <si>
    <t>GAOU7265701</t>
  </si>
  <si>
    <r>
      <rPr>
        <rFont val="Arial"/>
        <color rgb="FF000000"/>
        <sz val="11.0"/>
      </rPr>
      <t xml:space="preserve">EN#2168539, INV#E/SNA/2025/00043, T/R, </t>
    </r>
    <r>
      <rPr>
        <rFont val="Arial"/>
        <color rgb="FF000000"/>
        <sz val="11.0"/>
      </rPr>
      <t>empty return 6/12</t>
    </r>
    <r>
      <rPr>
        <rFont val="Arial"/>
        <color rgb="FF000000"/>
        <sz val="11.0"/>
      </rPr>
      <t xml:space="preserve">
- APL SENTOSA, (M18), EG
- total tariffs 15.6%
- Moored 6/5, discharged 6/9, LFD 6/13
- prepulled 6/10, delivered 6/11</t>
    </r>
  </si>
  <si>
    <t>SEGU1790188</t>
  </si>
  <si>
    <r>
      <rPr>
        <rFont val="Arial"/>
        <color rgb="FF000000"/>
        <sz val="11.0"/>
      </rPr>
      <t xml:space="preserve">EN#2168959, INV#143998, T/R, </t>
    </r>
    <r>
      <rPr>
        <rFont val="Arial"/>
        <color rgb="FF000000"/>
        <sz val="11.0"/>
      </rPr>
      <t>empty return 6/9</t>
    </r>
    <r>
      <rPr>
        <rFont val="Arial"/>
        <color rgb="FF000000"/>
        <sz val="11.0"/>
      </rPr>
      <t xml:space="preserve">
- COSCO HOPE, (N6), CMA
- total tariffs 10%
- have an additional $150 Maher Surcharge
- Live unload
- Moored 6/4, discharged 6/5, LFD 6/10</t>
    </r>
  </si>
  <si>
    <t>TXGU7988797</t>
  </si>
  <si>
    <r>
      <rPr>
        <rFont val="Arial"/>
        <color rgb="FF000000"/>
        <sz val="11.0"/>
      </rPr>
      <t xml:space="preserve">EN#2168627, INV#E/SNA/2025/00045, T/R, GATEFEE5/29
- PRESIDENT MONROE, (M20), CMA
- total tariffs 15.6%
- Moored 6/3, discharged 6/3, LFD 6/9
- ELFD 6/12, empty return 6/16, </t>
    </r>
    <r>
      <rPr>
        <rFont val="Arial"/>
        <color rgb="FF000000"/>
        <sz val="11.0"/>
      </rPr>
      <t>have per diem?</t>
    </r>
  </si>
  <si>
    <t>HMMU6423329</t>
  </si>
  <si>
    <r>
      <rPr>
        <rFont val="Arial"/>
        <color rgb="FF000000"/>
        <sz val="11.0"/>
      </rPr>
      <t xml:space="preserve">EN#2168694, INV#250320, OBL5/15, </t>
    </r>
    <r>
      <rPr>
        <rFont val="Arial"/>
        <color rgb="FF000000"/>
        <sz val="11.0"/>
      </rPr>
      <t>empty return 6/6</t>
    </r>
    <r>
      <rPr>
        <rFont val="Arial"/>
        <color rgb="FF000000"/>
        <sz val="11.0"/>
      </rPr>
      <t xml:space="preserve">
- HMM DRIVE, (M10), HMM
- total tariffs 10%
- forwarder address need to be updated
- wrong mailing address, forwarder picked up the OBL from Fedex
- have an additional $150 Port Liberty Bayonne (Global) Surcharge
- Moored 6/1, discharged 6/2, LFD 6/5</t>
    </r>
  </si>
  <si>
    <t>EGSU3599157</t>
  </si>
  <si>
    <t>BRAND'S ESSENCE OF CHICKEN</t>
  </si>
  <si>
    <t>EN#8NP-0809446-2, INV#8007516531, T/R, empty return 6/6
- THESEUS, (N16), EG
- customs cleared by KHONG GUAN customs broker
- have additional Maher surcharge ($150)
- total tariffs 16.4%
- Moored 5/30, discharged 5/30, LFD 6/5
- customs released 6/2
- have additional Empty Pick-up Surcharge ($535 + 30%)</t>
  </si>
  <si>
    <t>EGSU9539622</t>
  </si>
  <si>
    <t>EN#2168401, INV#E/SNA/2025/00042, T/R, GATEFEE5/29, empty return 6/6
- EVER MILD, (M16), EG
- total tariffs 15.6%
- moored 5/30, discharged 5/30, LFD 6/5</t>
  </si>
  <si>
    <t>CAAU9456789</t>
  </si>
  <si>
    <t>EN#2167810, INV#E/SNA/2025/00038, T/R, empty return 6/5
- GREENFIELD, (M4), MSC
- total tariffs 15.6%
- have additional $150 PNCT Surcharge
- Moored 5/29, discharged 5/30, LFD 6/4</t>
  </si>
  <si>
    <t>CAAU8056181</t>
  </si>
  <si>
    <t>EN#2167793, INV#E/SNA/2025/00037, T/R, empty return 6/5
- GREENFIELD, (M1), MSC
- total tariffs 15.6%
- have additional $150 PNCT Surcharge
- Moored 5/29, discharged 5/30, LFD 6/4</t>
  </si>
  <si>
    <t>TIIU5448369</t>
  </si>
  <si>
    <r>
      <rPr>
        <rFont val="Arial"/>
        <color rgb="FF000000"/>
        <sz val="11.0"/>
      </rPr>
      <t xml:space="preserve">EN#2167765, INV#E/SNA/2025/00034, T/R, </t>
    </r>
    <r>
      <rPr>
        <rFont val="Arial"/>
        <color rgb="FF000000"/>
        <sz val="11.0"/>
      </rPr>
      <t>empty return 5/29</t>
    </r>
    <r>
      <rPr>
        <rFont val="Arial"/>
        <color rgb="FF000000"/>
        <sz val="11.0"/>
      </rPr>
      <t xml:space="preserve">
- CMA CGM CHILE, (L22), EG
- total tariffs 5.6%
- have additional $150 APM Surcharge
- Moored 5/24, discharged 5/24, LFD 5/30</t>
    </r>
  </si>
  <si>
    <t>MSBU6703913</t>
  </si>
  <si>
    <r>
      <rPr>
        <rFont val="Arial"/>
        <color rgb="FF000000"/>
        <sz val="11.0"/>
      </rPr>
      <t xml:space="preserve">EN#2167663, INV#054/EXP/INV/III/2025, T/R, GATEFEE5/15, </t>
    </r>
    <r>
      <rPr>
        <rFont val="Arial"/>
        <color rgb="FF000000"/>
        <sz val="11.0"/>
      </rPr>
      <t>empty return 5/30</t>
    </r>
    <r>
      <rPr>
        <rFont val="Arial"/>
        <color rgb="FF000000"/>
        <sz val="11.0"/>
      </rPr>
      <t xml:space="preserve">
- CAPE KORTIA, (L17), MSC
- total tariffs 5.6%
- Moroed 5/20, discharged 5/20, LFD 5/27
- empty return pier waiting was from 12:28-1:45pm additional ½ hr.</t>
    </r>
  </si>
  <si>
    <t>FFAU3709610</t>
  </si>
  <si>
    <t>EN#2168328, INV#048/EXP/INV/III/2025, T/R, GATEFEE5/15
- CAPE KORTIA, (L18), MSC
- total tariffs 5.6%
- Moroed 5/20, discharged 5/20, LFD 5/27
- ELFD 5/30, empty return 6/4, have per diem
- MSC chassis charge $110
- MSC per diem charge $75</t>
  </si>
  <si>
    <t>FSCU8023017</t>
  </si>
  <si>
    <t>EN#2168130, INV#049/EXP/INV/III/2025, T/R, GATEFEE5/15, empty return 5/28
- CAPE KORTIA, (M9), MSC
- total tariffs 5.6%
- Moroed 5/20, discharged 5/20, LFD 5/27
- MSC invoice (chassis $110)</t>
  </si>
  <si>
    <t>40806
40739</t>
  </si>
  <si>
    <t>SMCU1150351</t>
  </si>
  <si>
    <t xml:space="preserve">KOREAN GINSENG TEA, TU CHUNG TEA, YOUNG JI TEA, KOREAN GINSENG POWDER </t>
  </si>
  <si>
    <t>EN#2168700, INV#KB250415, OBL5/15, empty return 5/23
- SM SHANGHAI, (N1), SM LINE
- total tariffs 10%
- customs hold for exam 5/13
- (Bestway Shipping Inc) forwarder address need to be updated (125 W. VICTORIA ST, LONG BEACH, CA 90805)
- Moored 5/18, discharged 5/18, LFD 5/22
- wrong mailing address, forwarder picked up the OBL from Fedex
- customs released 5/21
- prepulled 5/21, delivered 5/22</t>
  </si>
  <si>
    <t>TIIU5200840</t>
  </si>
  <si>
    <r>
      <rPr>
        <rFont val="Arial"/>
        <color rgb="FF000000"/>
        <sz val="11.0"/>
      </rPr>
      <t xml:space="preserve">EN#2167763, INV#E/SNA/2025/00035, T/R, </t>
    </r>
    <r>
      <rPr>
        <rFont val="Arial"/>
        <color rgb="FF000000"/>
        <sz val="11.0"/>
      </rPr>
      <t>empty return 5/21</t>
    </r>
    <r>
      <rPr>
        <rFont val="Arial"/>
        <color rgb="FF000000"/>
        <sz val="11.0"/>
      </rPr>
      <t xml:space="preserve">
- TOKYO TRIUMPH, (L21), EG
- total tariffs 5.6%
- have additional $150 Maher Surcharge
- Moored 5/17, discharged 5/18, LFD 5/22</t>
    </r>
  </si>
  <si>
    <t>EGSU1444140</t>
  </si>
  <si>
    <t>EN#2167542, INV#E/SNA/2025/00031, T/R, empty return 5/22
- TOKYO TRIUMPH, (L11), EG
- total tariffs 5.6%
- have additional $150 Maher Surcharge
- Moored 5/17, discharged 5/18, LFD 5/22
- have additional Empty Pick-up surcharge ($535 + 30%)</t>
  </si>
  <si>
    <t>TIIU5040572</t>
  </si>
  <si>
    <t>GINGER HARD CANDY 4 OZ, CHEWS 4 OZ (ORIGINAL)</t>
  </si>
  <si>
    <t>EN#2167589, INV#045/EXP/INV/III/2025, T/R, empty return 5/20
- CMA CGM LEO, (L19), EG
- total tariffs 5.6%
- have an additional $150 APM Surcharge
- Moored 5/12, discharged 5/13, LFD 5/19</t>
  </si>
  <si>
    <t>CAAU7773188</t>
  </si>
  <si>
    <t>EN#2168236, INV#040/EXP/INV/III/2025, T/R, GATEFEE5/8, empty return 5/20
- MSC BIANCA SILVIA, (L5), MSC
- total tariffs 5.6%
- held for X-ray exam, GW handling fee of $25
- Moored 5/10, discharged 5/11, LFD 5/15
- customs released 5/13
- x-ray exam invoice ($350 + $19.25 + $25)
- have empty return pier waiting</t>
  </si>
  <si>
    <t>40736
40737</t>
  </si>
  <si>
    <t>970
1115</t>
  </si>
  <si>
    <t>OOLU7962127
OOCU7970168</t>
  </si>
  <si>
    <t>5/15/2025
5/16/2025</t>
  </si>
  <si>
    <t>EN#2167968, INV#SO00008377, SO00008378, T/R
- OOCL BRUSSELS, (M8), OOCL
- total tariffs 20%
- have an additional $150/contr Maher Surcharge
- moored 5/10
- c#2127 - discharged 5/12, LFD 5/16, empty return 5/16
- c#0168 - discharged 5/12, LFD 5/16, empty return 5/19</t>
  </si>
  <si>
    <t>KOCU5095812</t>
  </si>
  <si>
    <t>GHC TURMERIC D-04032, GHC LEMON D-04037, GHC D-04061, INSTANT TEA CHINESE HERBAL BULK A-6101G</t>
  </si>
  <si>
    <r>
      <rPr>
        <rFont val="Arial"/>
        <color rgb="FF000000"/>
        <sz val="11.0"/>
      </rPr>
      <t xml:space="preserve">EN#2167927, INV#AIT2501, T/R, GATEFEE5/5, </t>
    </r>
    <r>
      <rPr>
        <rFont val="Arial"/>
        <color rgb="FF000000"/>
        <sz val="11.0"/>
      </rPr>
      <t>empty return 5/15</t>
    </r>
    <r>
      <rPr>
        <rFont val="Arial"/>
        <color rgb="FF000000"/>
        <sz val="11.0"/>
      </rPr>
      <t xml:space="preserve">
- HMM RUBY, (M6), HMM
- total tariffs 33.9%
- Moored 5/9, discharged 5/10, LFD 5/15
- pickup pier waiting was from 8-10:37am additional ½ hr</t>
    </r>
  </si>
  <si>
    <t>WHSU6896987</t>
  </si>
  <si>
    <r>
      <rPr>
        <rFont val="Arial"/>
        <color rgb="FF000000"/>
        <sz val="11.0"/>
      </rPr>
      <t xml:space="preserve">EN#2167772, INV#2172, T/R, </t>
    </r>
    <r>
      <rPr>
        <rFont val="Arial"/>
        <color rgb="FF000000"/>
        <sz val="11.0"/>
      </rPr>
      <t>empty return 5/14</t>
    </r>
    <r>
      <rPr>
        <rFont val="Arial"/>
        <color rgb="FF000000"/>
        <sz val="11.0"/>
      </rPr>
      <t xml:space="preserve">
- VALUE, (M3), WAN HAI
- total tariffs 50.6%
- have additional $150 APM Surcharge
- Moored 5/8, discharged 5/9, LFD 5/15
- Live unload</t>
    </r>
  </si>
  <si>
    <t>ONEU0757140</t>
  </si>
  <si>
    <t xml:space="preserve">GINGER CHEWS 4 OZ (LEMON, MANGO, PINEAPPLE COCNUT), QC SAMPLE </t>
  </si>
  <si>
    <r>
      <rPr>
        <rFont val="Arial"/>
        <color rgb="FF000000"/>
        <sz val="11.0"/>
      </rPr>
      <t xml:space="preserve">EN#2167988, INV#E/SIN/2025/00036, T/R, GATEFEE5/5, </t>
    </r>
    <r>
      <rPr>
        <rFont val="Arial"/>
        <color rgb="FF000000"/>
        <sz val="11.0"/>
      </rPr>
      <t>empty return 5/19</t>
    </r>
    <r>
      <rPr>
        <rFont val="Arial"/>
        <color rgb="FF000000"/>
        <sz val="11.0"/>
      </rPr>
      <t xml:space="preserve">
- MOL CELEBRATION, (M2), ONE
- total tariffs 5.6%
- Moored 5/8, discharged 5/8, LFD 5/14
- pickup pier waiting was from 9:05-11:25am additional ½ hr</t>
    </r>
  </si>
  <si>
    <t>EISU8506973</t>
  </si>
  <si>
    <t>GHC TURMERIC D-04032, GHC LEMON D-04037, GHC BROWN SUGAR D-41986</t>
  </si>
  <si>
    <r>
      <rPr>
        <rFont val="Arial"/>
        <color rgb="FF000000"/>
        <sz val="11.0"/>
      </rPr>
      <t xml:space="preserve">EN#2167946, INV#JB2509, T/R, </t>
    </r>
    <r>
      <rPr>
        <rFont val="Arial"/>
        <color rgb="FF000000"/>
        <sz val="11.0"/>
      </rPr>
      <t>empty return 5/8</t>
    </r>
    <r>
      <rPr>
        <rFont val="Arial"/>
        <color rgb="FF000000"/>
        <sz val="11.0"/>
      </rPr>
      <t xml:space="preserve">
- COSCO JASMINE, (M7), EG
- total tariffs 33.9%
- have additional $150 Maher Surcharge
- Moored 5/3, discharged 5/4, LFD 5/8</t>
    </r>
  </si>
  <si>
    <t>OOCU7103790</t>
  </si>
  <si>
    <t>ORGANIC TEA
D-13206, D-14206, D-14212, D-15206, D-17206, D-18206, D-19206</t>
  </si>
  <si>
    <t>EN#2167926, INV#YD25-T06, T/R, empty return 5/13
- COSCO JASMINE, (M5), COSCO
- total tariffs 27.5%
- have additional $150 Maher Surcharge
- BL# 6412688910
- Moored 5/3, discharged 5/4, LFD 5/8
- have Empty Pick-up Surcharge ($535 + 30% Fuel)</t>
  </si>
  <si>
    <t>CMAU6735281</t>
  </si>
  <si>
    <t>EN#2167664, INV#E/SNA/2025/00032, T/R, GATEFEE4/29, empty return 5/13
- CMA CGM TARPON, (L16), CMA
- total tariffs 5.6%
- Moored 5/2, discharged 5/2, LFD 5/8</t>
  </si>
  <si>
    <t>FFAU2513875</t>
  </si>
  <si>
    <t>EN#2167499, INV#E/SNA/2025/00030, T/R, GATEFEE4/29
- MSC TARANTO, (L8), MSC
- total tariffs 5.6%
- Moored 5/3, discharged 5/3, LFD 5/8
- ELFD 5/13, empty return 5/14, have per diem
- MSC chassis charge $110
- MSC per diem $25</t>
  </si>
  <si>
    <t xml:space="preserve">MSDU6042301 </t>
  </si>
  <si>
    <r>
      <rPr>
        <rFont val="Arial"/>
        <color rgb="FF000000"/>
        <sz val="11.0"/>
      </rPr>
      <t xml:space="preserve">EN#2167187, INV#034/EXP/INV/II/2025, T/R, </t>
    </r>
    <r>
      <rPr>
        <rFont val="Arial"/>
        <color rgb="FF000000"/>
        <sz val="11.0"/>
      </rPr>
      <t>empty return 5/6</t>
    </r>
    <r>
      <rPr>
        <rFont val="Arial"/>
        <color rgb="FF000000"/>
        <sz val="11.0"/>
      </rPr>
      <t xml:space="preserve">
- MSC RENEE, (K14), MSC
- total tariffs 5.6%
- have additional $150 PNCT Surcharge
- Moored 4/30, discharged 5/2, LFD 5/7</t>
    </r>
  </si>
  <si>
    <t>MSNU6118048</t>
  </si>
  <si>
    <r>
      <rPr>
        <rFont val="Arial"/>
        <color rgb="FF000000"/>
        <sz val="11.0"/>
      </rPr>
      <t xml:space="preserve">EN#2167264, INV#035/EXP/INV/II/2025, T/R, </t>
    </r>
    <r>
      <rPr>
        <rFont val="Arial"/>
        <color rgb="FF000000"/>
        <sz val="11.0"/>
      </rPr>
      <t>empty return 5/7</t>
    </r>
    <r>
      <rPr>
        <rFont val="Arial"/>
        <color rgb="FF000000"/>
        <sz val="11.0"/>
      </rPr>
      <t xml:space="preserve">
- MSC RENEE, (K18), MSC
- total tariffs 5.6%
- have an additional $150 PNCT Surcharge
- Moored 4/30, discharged 5/2, LFD 5/8</t>
    </r>
  </si>
  <si>
    <t>UETU6125049</t>
  </si>
  <si>
    <t>GINGER CHEWS 1 LB (LEMON, MANGO), QC SAMPLE</t>
  </si>
  <si>
    <r>
      <rPr>
        <rFont val="Arial"/>
        <color rgb="FF000000"/>
        <sz val="11.0"/>
      </rPr>
      <t xml:space="preserve">EN#2167279, INV#E/SNA/2025/00028, T/R, </t>
    </r>
    <r>
      <rPr>
        <rFont val="Arial"/>
        <color rgb="FF000000"/>
        <sz val="11.0"/>
      </rPr>
      <t>empty return 5/8</t>
    </r>
    <r>
      <rPr>
        <rFont val="Arial"/>
        <color rgb="FF000000"/>
        <sz val="11.0"/>
      </rPr>
      <t xml:space="preserve">
- MSC RENEE, (L2), MSC
- total tariffs 5.6%
- have additional $150 PNCT Surcharge
- Moored 4/30, discharged 5/2, LFD 5/8
- warehouse receive QC samples as PN-QC in data collection</t>
    </r>
  </si>
  <si>
    <t>TTNU1149532</t>
  </si>
  <si>
    <r>
      <rPr>
        <rFont val="Arial"/>
        <color rgb="FF000000"/>
        <sz val="11.0"/>
      </rPr>
      <t xml:space="preserve">EN#2167281, INV#2025TAT01, T/R, </t>
    </r>
    <r>
      <rPr>
        <rFont val="Arial"/>
        <color rgb="FF000000"/>
        <sz val="11.0"/>
      </rPr>
      <t>empty return 4/30</t>
    </r>
    <r>
      <rPr>
        <rFont val="Arial"/>
        <color rgb="FF000000"/>
        <sz val="11.0"/>
      </rPr>
      <t xml:space="preserve">
- YOKOHAMA EXPRESS, (L4), MAEU
- total tariffs 33.9%
- have additional $150 APM Surcharge
- Moored 4/26, discharged 4/27, LFD 5/1
- live unload</t>
    </r>
  </si>
  <si>
    <t>MRKU3420649</t>
  </si>
  <si>
    <t>RED PANAX GINSENG EXTRACT, GINKGO BILOBA, ULTRA GINKGO PLUS, ULTRA JOINT HEALTH, AMERICAN GINSENG ROYAL JELLY</t>
  </si>
  <si>
    <t>EN#2167504, INV#HR-2503, T/R, GATEFEE4/21, empty return 5/5
- GERNER MAERSK, (L10), MAEU
- total tariffs 33.9%
- Moored 4/25, discharged 4/26, LFD 5/2
- per forwarder, Line LFD 5/1, Port LFD 5/2
- per Benz, ELFD 5/5, but per forwarder, ELFD 5/3, and per MARSK, ELFD is 5/2, so have per diem $600 (3 days)
- per Maersk diem dispute, this is SPOT booking, so empty return LFD is 3 working days, instead of 4 working days.</t>
  </si>
  <si>
    <t>TXGU5762305</t>
  </si>
  <si>
    <t>GHC D-04016
(to RC Commerce)</t>
  </si>
  <si>
    <t>EN#2167667, INV#JB2508, T/R, empty return 5/5
- OOCL BERLIN, (L20), EG
- total tariffs 33.9%
- have additional $150 Maher Surcharge
- RC closed 4/29-5/4
- Moored 4/25, discharged 4/26, LFD 5/1
- prepulled 5/1, delivered 5/5 (live unload)
- have pre-pull ($150), Storage ($50/day)
- Eric provided Proforma Invoice &amp; DO
- Jimmy received PO in DC</t>
  </si>
  <si>
    <t>TRHU8966788</t>
  </si>
  <si>
    <r>
      <rPr>
        <rFont val="Arial"/>
        <color rgb="FF000000"/>
        <sz val="11.0"/>
      </rPr>
      <t xml:space="preserve">GHC D-04016, D-04018
</t>
    </r>
    <r>
      <rPr>
        <rFont val="Arial"/>
        <color rgb="FF000000"/>
        <sz val="11.0"/>
      </rPr>
      <t>(to RC Commerce)</t>
    </r>
  </si>
  <si>
    <t>EN#2167517, INV#JB2506, T/R, empty return 4/28
- COSCO AZALEA, (L12), EG
- have additional $150 Maher Surcharge
- total tariffs 33.9%
- RC closed 4/29-5/4
- Moored 4/24, discharged 4/25, LFD 4/30
- Prepulled 4/25, delivered 4/28
- Eric provided Proforma Invoice &amp; DO
- Jimmy received PO in DC</t>
  </si>
  <si>
    <t>EGSU9812151</t>
  </si>
  <si>
    <t>EN#2167173, INV#037/EXP/INV/III/2025, T/R, GATEFEE4/21
- EVER MAST, (K19), EG
- total tariffs 5.6%
- Moored 4/21, discharged 4/21, LFD 4/27
- ELFD 5/1, empty return 5/2, EG has 10 days ELFD, so no per diem
- Pier waiting was from 9:05-10:51am additional 1hr for empty return</t>
  </si>
  <si>
    <t>MSKU9895068</t>
  </si>
  <si>
    <t>SOAP (S-06022)</t>
  </si>
  <si>
    <t>EN#2167477, INV#SS2412102-H, T/R, empty return 4/24
- NAVIOS CONSTELLATION, (L9), MAEU
- have additional $150 APM Surcharge
- total tariffs 45%
- Moored 4/18, discharged 4/19, LFD 4/24
- have Empty Pick-up Surcharge ($535 + 30% Fuel)</t>
  </si>
  <si>
    <t>EGSU9397847</t>
  </si>
  <si>
    <t>EN#2166803, INV#E/SNA/2025/00021, T/R, empty return 4/22
- CMA CGM T.JEFFERSON, (K3), EG
- have additional $150 APM Surcharge
- total tariffs 5.6%
- Moored 4/15, discharged 4/16, LFD 4/23</t>
  </si>
  <si>
    <t>EMCU8680600</t>
  </si>
  <si>
    <t>EN#2166802, INV#E/SNA/2025/00019, T/R, empty return 4/24
- CMA CGM T.JEFFERSON, (K2), EG
- have additional $150 APM Surcharge
- total tariffs 5.6%
- Moored 4/15, discharged 4/15, LFD 4/22
- prepulled 4/22, delivered 4/23</t>
  </si>
  <si>
    <t>TIIU5913408</t>
  </si>
  <si>
    <t>EN#2166741, INV#E/SNA/2025/00018, T/R, empty return 4/23
- CMA CGM T.JEFFERSON, (J22), EG
- have additional $150 APM Surcharge
- total tariffs 5.6%
- Moored 4/15, discharged 4/15, LFD 4/22</t>
  </si>
  <si>
    <t>40599
40600</t>
  </si>
  <si>
    <t>KOCU2189190</t>
  </si>
  <si>
    <t>5612774/Y</t>
  </si>
  <si>
    <t>EN#2167603, INV#KB250225, OBL4/3, GATEFEE4/9, empty return 4/23
- HMM SAPPHIRE, (L14), HMM
- total tariffs 0%
- CREATABIO CO., LTD FDA# is 19626453394
- Moored 4/15, discharged 4/16, LFD 4/22
- cases in container collapsed once delivered to warehouse
- Linda received PO#40600
- OBL returned to POP 4/25, due to wrong mailing address
- Bestway Shipping updated address: 1123 E Dominguez St # F, Carson, CA 90746</t>
  </si>
  <si>
    <t>TIIU6357094</t>
  </si>
  <si>
    <t>EN#2167171, INV#E/SNA/2025/00025, T/R, GATEFEE4/9, empty return 4/24
- WAN HAI A16, (K13), WAN HAI
- total tariffs 5.6%
- Moored 4/15, discharged 4/15, LFD 4/21</t>
  </si>
  <si>
    <t>MRSU3359900</t>
  </si>
  <si>
    <t>EN#2167157, INV#HR2502, T/R, empty return 4/17
- COYHAIQUE, (K16), MAEU
- have additional $150 APM Surcharge
- Moored 4/12, discharged 4/12, LFD 4/17 (per forwarder)
- total tariffs 33.9%
- ELFD 4/17 (per forwarder)</t>
  </si>
  <si>
    <t>GCXU6245024</t>
  </si>
  <si>
    <t>EN#2166831, INV#026/EXP/INV/II/2025, T/R, empty return 4/17
- WAN HAI A09, (K1), WAN HAI
- have additional $150 APM Surcharge
- Moored 4/12, discharged 4/13, LFD 4/17
- total tariffs 5.6%</t>
  </si>
  <si>
    <t>TCKU6049035</t>
  </si>
  <si>
    <t>GHC LEMON D-04037, D-04043</t>
  </si>
  <si>
    <t>EN#2167153, INV#JB2467, T/R, empty return 4/16
- COSCO SHIPPING ROSE, (K15), EG
- have additional $150 Maher Surcharge
- Moored 4/11, discharged 4/12, LFD 4/17
- total tariffs 33.9%</t>
  </si>
  <si>
    <t>130
(LCL)</t>
  </si>
  <si>
    <t>TIIU5463023</t>
  </si>
  <si>
    <t>ALUMINIUM FOIL
(to Sun Ten, 4 PLTS)</t>
  </si>
  <si>
    <t>EN#2167492, INV#LF-140301, T/R
- EVER MAGI, (L15), EG
- total tariffs 30.3%
- moored 4/10, discharged 4/11, FCL LFD 4/17, FCL picked up 4/16, FCL empty return 4/17
- GW deliver LCL to Sun Ten</t>
  </si>
  <si>
    <t>EITU9309735</t>
  </si>
  <si>
    <t>GHC D-04011, GHC TURMERIC D-04033</t>
  </si>
  <si>
    <r>
      <rPr>
        <rFont val="Arial"/>
        <color rgb="FF000000"/>
        <sz val="11.0"/>
      </rPr>
      <t xml:space="preserve">EN#2167280, INV#JB2466, T/R, </t>
    </r>
    <r>
      <rPr>
        <rFont val="Arial"/>
        <color rgb="FF000000"/>
        <sz val="11.0"/>
      </rPr>
      <t>empty return 4/22</t>
    </r>
    <r>
      <rPr>
        <rFont val="Arial"/>
        <color rgb="FF000000"/>
        <sz val="11.0"/>
      </rPr>
      <t xml:space="preserve">
- COSCO DEVELOPMENT, (L3), EG
- have additional $150 Maher Surcharge
- total tariffs 33.9%
- Moored 4/9, discharged 4/11, LFD 4/17</t>
    </r>
  </si>
  <si>
    <t>WHSU6555255</t>
  </si>
  <si>
    <t>GINGER CHEWS 1 LB (MANGO, BLOOD ORANGE)</t>
  </si>
  <si>
    <t>EN#2166112, INV#E/SNA/2025/00006, T/R, empty return 4/15
- WAN HAI A15, (J1), WAN HAI
- have additional $150 APM Surcharge
- Moored 4/6, discharged 4/7, LFD 4/11
- total tariffs 5.6%</t>
  </si>
  <si>
    <t>TXGU7922742</t>
  </si>
  <si>
    <t>EN#2167172, INV#2170, T/R, GATEFEE3/31
- CONTI CRYSTAL, (K17), YANG MING
- total tariffs 50.6%
- Moored 4/7, discharged 4/7, LFD 4/11
- total tariffs 50.6%
- ELFD 4/16, empty return 4/17, have per diem</t>
  </si>
  <si>
    <t>TIIU5117566</t>
  </si>
  <si>
    <t>EN#2166571, INV#E/SNA/2025/00015, T/R, empty return 4/9
- CMA CGM ZEPHYR, (J16), EG
- total tariffs 5.6%
- have additional $150 APM Surcharge
- Moored 4/4, discharged 4/4, LFD 4/10</t>
  </si>
  <si>
    <t>TIIU4988568</t>
  </si>
  <si>
    <t>ORGANIC TEA
D-13206, D-14206, D-15206, D-182066</t>
  </si>
  <si>
    <t>5611021/Y</t>
  </si>
  <si>
    <r>
      <rPr>
        <rFont val="Arial"/>
        <color rgb="FF000000"/>
        <sz val="11.0"/>
      </rPr>
      <t xml:space="preserve">EN#2167259, INV#YD25-T01, T/R, GATEFEE4/4
- EVER FRANK, (L1), COSCO
- total tariffs 27.5%
- BL# 6410319380
- Moored 4/4, discharged 4/5, LFD 4/10
- pickup pier waiting : 11:04-1:51pm additional 1hr
- ELFD 4/14, empty return 4/15, </t>
    </r>
    <r>
      <rPr>
        <rFont val="Arial"/>
        <color rgb="FFFF0000"/>
        <sz val="11.0"/>
      </rPr>
      <t>have per diem?</t>
    </r>
    <r>
      <rPr>
        <rFont val="Arial"/>
        <color rgb="FF000000"/>
        <sz val="11.0"/>
      </rPr>
      <t xml:space="preserve">
- total tariffs 27.5%</t>
    </r>
  </si>
  <si>
    <t>EGSU1271111</t>
  </si>
  <si>
    <t>GHC TURMERIC D-04032, GHC MATCHA D-04024, GHC LEMON D-04037, GHC D-04061</t>
  </si>
  <si>
    <t>5611457/Y</t>
  </si>
  <si>
    <t>EN#2167230, INV#JB2505, T/R, GATEFEE4/4
- EVER FRANK, (K21), EG
- total tariffs 33.9%
- Moored 4/4, discharged 4/5, LFD 4/10
- ELFD 4/16, empty return 4/21, have per diem
- pickup pier waiting was from 8:17-1:28pm addition 3 ½ hr
- Pier waiting was from: 11:35-2:23pm additional  2hr for empty return
- per Benz, ELFD is 4/28, so not per diem</t>
  </si>
  <si>
    <t>CAAU5329636</t>
  </si>
  <si>
    <t>GINGER CHEWS 4 OZ (LEMON, MANGO, BLOOD ORANGE, PINEAPPLE COCONUT), QC SAMPLE</t>
  </si>
  <si>
    <t>EN#2167240, INV#E/SNA/2025/00026, T/R, empty return 4/10
- PRESIDENT GRANT, (K20), CMA
- total tariffs 5.6%
- Moored 4/4, discharged 4/4, LFD 4/10
- prepulled 4/8, delivered 4/9</t>
  </si>
  <si>
    <t>TRHU7760848</t>
  </si>
  <si>
    <t>EN#2167522, INV#YD25-T02, T/R, empty return 4/14
- COSCO ITALY, (L13), COSCO
- total tariffs 27.5%
- Moored 4/2, discharged 4/5, LFD 4/10
- Prepulled 4/9, delivered 4/10</t>
  </si>
  <si>
    <t>EGSU9576626</t>
  </si>
  <si>
    <r>
      <rPr>
        <rFont val="Arial"/>
        <color rgb="FF000000"/>
        <sz val="11.0"/>
      </rPr>
      <t xml:space="preserve">GHC TURMERIC D-04032, GHC MATCHA </t>
    </r>
    <r>
      <rPr>
        <rFont val="Arial"/>
        <color rgb="FF000000"/>
        <sz val="11.0"/>
      </rPr>
      <t>D-04024</t>
    </r>
    <r>
      <rPr>
        <rFont val="Arial"/>
        <color rgb="FF000000"/>
        <sz val="11.0"/>
      </rPr>
      <t>, GHC LEMON D-04037, GHC D-04061</t>
    </r>
  </si>
  <si>
    <t>EN#2167434, INV#JB2504, T/R, empty return 4/9
- COSCO ITALY, (L7), EG
- total tariffs 33.9%
- Moored 4/2, discharged 4/5, LFD 4/10
- Prepulled 4/7, delivered 4/8</t>
  </si>
  <si>
    <t>EITU1056420</t>
  </si>
  <si>
    <t>EN#2167359, INV#JYPOP20250227, T/R, GATEFEE3/31, empty return 4/11
- EVER MOST, (L6), EG
- total tariffs 45%
- provided ingredient list to FDA
- Moored 3/31, discharged 4/1, LFD 4/7
- 4/7 night gate only, LFD extended to 4/8
- pickup pier waiting was from 9:21-11:37am additional ½ hr
- Pier waiting was from 7-8:16am additional ½ hr for empty return
- empty return without informed</t>
  </si>
  <si>
    <t>EMCU8456890</t>
  </si>
  <si>
    <t>EN#2167120, INV#E/SNA/2025/00024, T/R, GATEFEE3/31, empty return 4/9
- EVER MOST, (K12), EG
- total tariffs 5.6%
- original favor: old Pouch Bag : 1,323 ctn, new Pouch Bag : 452 ctn
- Moored 3/31, discharged 3/31, LFD 4/6
- Pier waiting was from 9:15-11:04am additional 1hr for empty return</t>
  </si>
  <si>
    <t>TGCU5445132</t>
  </si>
  <si>
    <t>EN#2166935, INV#JB2463, T/R, empty return 4/2
- COSCOSHIPPING ORCHID, (K10), EG
- total tariffs 33.9%
- have additional $150 Maher Surcharge
- Moored 3/29, discharged 3/30, LFD 4/3
- Live unload</t>
  </si>
  <si>
    <t>EMCU8277278</t>
  </si>
  <si>
    <t>EN#2166442, INV#E/SNA/2025/00013, T/R, empty return 4/3
- TRITON, (J8), EG
- total tariffs 5.6%
- have additional $150 Maher Surcharge
- Vessel IMO 9728916
- Moored 3/29, discharged 3/30, LFD 4/3
- empty bobtail pick 4/3
- have additional Empty Pick-up surcharge ($535 + 30% Fuel).  Per Jimmy, there will be road construction</t>
  </si>
  <si>
    <t>EITU1166197</t>
  </si>
  <si>
    <t>GHC D-04011, GHC LEMON D-04043</t>
  </si>
  <si>
    <t>EN#2167257, INV#JB2503, T/R, empty return 4/7
- OOCL SUNFLOWER, (K22), EG
- total tariffs 33.9%
- Moored 3/27, discharged 3/29, LFD 4/4</t>
  </si>
  <si>
    <t>FFAU4899875</t>
  </si>
  <si>
    <t>EN#2166904, INV#E/SNA/2025/00023, T/R, empty return 4/4
- OOCL SUNFLOWER, (K7), CMA
- total tariffs 5.6%
- Moored 3/27, discharged 3/28, LFD 4/4</t>
  </si>
  <si>
    <t>FSCU7139532</t>
  </si>
  <si>
    <t>EN#2166905, INV#E/SNA/2025/00022, T/R, empty return 4/3
- OOCL SUNFLOWER, (K8), CMA
- total tariffs 5.6%
- Moored 3/27, discharged 3/29, LFD 4/4</t>
  </si>
  <si>
    <t>EMCU8926905</t>
  </si>
  <si>
    <t>EN#2166115, INV#003/EXP/INV/I/2025, T/R, empty return 4/1
- EVER MODE, (H15), EG
- total tariffs 5.6%
- have additional $150 Maher Surcharge
- Moored 3/26, discharged 3/27, LFD 4/2</t>
  </si>
  <si>
    <t>TGBU8671422</t>
  </si>
  <si>
    <t>EN#2166281, INV#006/EXP/INV/I/2025, T/R, empty return 4/2
- EVER MODE, (H22), EG
- total tariffs 5.6%
- have additional $150 Maher Surcharge
- Moored 3/26, discharged 3/27, LFD 4/2</t>
  </si>
  <si>
    <t>EGHU8210393</t>
  </si>
  <si>
    <t>GHC D-04011, GHC TURMERIC D-04033, GHC MATCHA D-04024, GHC LEMOM D-04043</t>
  </si>
  <si>
    <t>EN#2166936, INV#JB2465, T/R, empty return 3/31
- COSCO HARMONY, (K11), EG
- total tariffs 33.9%
- have additional $150/container Maher Surcharge
- moored 3/26, discharged 3/26, LFD 4/1</t>
  </si>
  <si>
    <t>EGHU9875900</t>
  </si>
  <si>
    <t>5610214/Y</t>
  </si>
  <si>
    <t>EN#2166630, INV#EMI250000108, OBL3/17, GATEFEE3/20, empty return 4/7
- CMA CGM J. ADAMS, (J20), EG
- total tariffs = $0.305 per KG + 8.5%
- At anchor 3/22
- Moored 3/25, discharged 3/25, LFD 3/31 or 4/1
- 3/31 no night gate
- updated LFD 4/1</t>
  </si>
  <si>
    <t>TIIU5333307</t>
  </si>
  <si>
    <t>EN#2166585, INV#HR-2501, T/R, empty return 3/26
- MADRID EXPRESS, (J11), MAEU
- have additional $150 APM Surcharge
- total tariffs 33.9%
- Moored 3/22, discharged 3/22, LFD 3/27</t>
  </si>
  <si>
    <t>GAOU6328174</t>
  </si>
  <si>
    <t>EN#2166785, INV#JB2462, T/R, empty return 3/28
- COSCO SAKURA, (K9), EG
- total tariffs 33.9%
- have additional $150 Maher Surcharge
- Moored 3/22, discharged 3/22, LFD 3/27</t>
  </si>
  <si>
    <t>WHSU6938491</t>
  </si>
  <si>
    <t>EN#2166517, INV#E/SNA/2025/00014, T/R, GATEFEE3/17, empty return 4/2
- WAN HAI 356, (J13), WAN HAI
- total tariffs 5.6%
- Moored 3/22, discharged 3/23, LFD 3/27</t>
  </si>
  <si>
    <t>EGHU8278412</t>
  </si>
  <si>
    <r>
      <rPr>
        <rFont val="Arial"/>
        <color rgb="FF000000"/>
        <sz val="11.0"/>
      </rPr>
      <t xml:space="preserve">GHC D-04011, </t>
    </r>
    <r>
      <rPr>
        <rFont val="Arial"/>
        <color rgb="FF000000"/>
        <sz val="11.0"/>
      </rPr>
      <t>GHC TURMERIC D-04032</t>
    </r>
    <r>
      <rPr>
        <rFont val="Arial"/>
        <color rgb="FF000000"/>
        <sz val="11.0"/>
      </rPr>
      <t>, GHC LEMON D-04037, INSTANT TEA CHINESE HERBAL BULK A-6101G</t>
    </r>
  </si>
  <si>
    <t>5610212/Y</t>
  </si>
  <si>
    <t>EN#2166816, INV#AIT2407, T/R, GATEFEE3/20, empty return 4/7
- EVER LOGIC, (K6), EG
- total tariffs 33.9%
- Moored 3/22, discharged 3/22, LFD 3/31
- prepulled 3/28, delivered 4/1, due to late pickup &amp; heavy traffic
- Oakland terminal closed on 3/31, all drivers  will not come to work, so deliver 4/1
- ELFD 4/3, actual ELFD 4/4, extended ELFD 4/16 (per Benz)
- Pier waiting was from 7:10-1:22pm additional 5 ½ hr for empty return</t>
  </si>
  <si>
    <t>MAGU5213092</t>
  </si>
  <si>
    <t>ORGANIC TEA
D-13206, D-14206, D-15206, D-17206, D-18206, D-18212, D-19206</t>
  </si>
  <si>
    <t>EN#2166815, INV#YD24-T17, T/R, empty return 3/26
- COSCO EXCELLENCE, (K5), COSCO
- have additional $150 Maher Surcharge
- total tariffs 27.5%
- Moored 3/19, discharged 3/20, LFD 3/25</t>
  </si>
  <si>
    <t>TXGU7804950</t>
  </si>
  <si>
    <t>EN#2166592, INV#E/SNA/2025/00016, T/R, GATEFEE3/17, empty return 4/1
- EVER MACRO, (J17), EG
- total tariffs 5.6%
- moored 3/17, discharged 3/19, LFD 3/26
- Pier waiting was from 9:38- 1:30pm.  additional 3hr  for empty return</t>
  </si>
  <si>
    <t>EGHU9753728</t>
  </si>
  <si>
    <t>EN#2166500, INV#016/EXP/INV/II/2025, T/R, GATEFEE3/17, empty return 3/28
- EVER MACRO, (J12), EG
- total tariffs 5.6%
- moored 3/17, discharged 3/20, LFD 3/26
- empty return pier waiting was from 7:02 -8:56 am additional 1hr.  for empty return</t>
  </si>
  <si>
    <t>EMCU8429874</t>
  </si>
  <si>
    <t>5610209/Y</t>
  </si>
  <si>
    <t>EN#2166598, INV#POP-01/25, OBL3/17, GATEFEE3/17, empty return 4/1
- EVER MACRO, (J18), EG
- total tariffs 0%
- moored 3/17, discharged 3/19, LFD 3/25
- LFD extended to 3/26
- Evergreen received OBL 3/20, freight released 3/20
- Pier waiting was from 7-9am additional 1hr.   for empty return</t>
  </si>
  <si>
    <t>YMMU6532013</t>
  </si>
  <si>
    <t>EN#2166807, INV#2169, T/R, empty return 3/24
- YM UNANIMITY, (K4), YANG MING
- total tariffs 50.6%
- Moored 3/17, discharged 3/18, LFD 3/24</t>
  </si>
  <si>
    <t>EMCU1722598</t>
  </si>
  <si>
    <t>EN#2165742, INV#E/SNA/2024/00191, T/R, empty return 3/21
- EVER MAX, (H3), EG
- total tariffs 5.6%
- have additional $150 Maher Surcharge
- Moored 3/13, discharged 3/14, LFD 3/21</t>
  </si>
  <si>
    <t>MSNU5221344</t>
  </si>
  <si>
    <t>EN#2166534, INV#020/EXP/INV/II/2025, T/R, empty return 3/21
- MSC VICTORINE, (J15), MSC
- total tariffs 5.6%
- Moored 3/13, discharged 3/16, LFD 3/20</t>
  </si>
  <si>
    <t>GAOU6450177</t>
  </si>
  <si>
    <r>
      <rPr>
        <rFont val="Arial"/>
        <color rgb="FF000000"/>
        <sz val="11.0"/>
      </rPr>
      <t xml:space="preserve">GHC D-04016, GHC TURMERIC D-04018
</t>
    </r>
    <r>
      <rPr>
        <rFont val="Arial"/>
        <color rgb="FF000000"/>
        <sz val="11.0"/>
      </rPr>
      <t>(to RC Commerce)</t>
    </r>
  </si>
  <si>
    <t>EN#2166612, INV#JB2456, T/R, empty return 3/19
- COSCO SHIPPING LOTUS, (J19), EG
- total tariffs 33.9%
- have additional $150 Maher Surcharge
- moored 3/13, discharged, LFD 3/21
- prepulled 3/18, delivered 3/19, live unload
- Eric provided Proforma Invoice &amp; DO
- Jimmy received PO in DC 3/25</t>
  </si>
  <si>
    <t>EMCU8674341</t>
  </si>
  <si>
    <t>EN#2166020, INV#001/EXP/INV/I/2025, T/R, empty return 3/20
- CMA CGM HERMES, (J2), EG
- total tariffs 5.6%
- have additional $150 APM Surcharge
- Moored 3/12, discharged 3/13, LFD 3/20</t>
  </si>
  <si>
    <t>TIIU5459595</t>
  </si>
  <si>
    <t>EN#2166458, INV#E/SNA/2025/00012, T/R, GATEFEE3/10, empty return 3/20
- EVER FRONT, (J9), EG
- total tariffs 5.6%
- Moored 3/10, discharged 3/10, LFD 3/16</t>
  </si>
  <si>
    <t>TIIU6045563</t>
  </si>
  <si>
    <t>GINGER CHEWS 1 LB (LEMON, LYCHEE, BLOOD ORANGE)</t>
  </si>
  <si>
    <t>EN#2166457, INV#E/SNA/2025/00011, T/R, GATEFEE3/10, empty return 3/20
- EVER FRONT, (H19), EG
- total tariffs 5.6%
- Moored 3/10, discharged 3/10, LFD 3/16
- respot 3/18</t>
  </si>
  <si>
    <t>EMCU8523392</t>
  </si>
  <si>
    <t>GINGER CHEWS 4 OZ (LEMON, BLOOD ORANGE, PINEAPPLE COCONUT)</t>
  </si>
  <si>
    <t>EN#2166280, INV#E/SNA/2025/00010, T/R, empty return 3/18
- CMA CGM LAPEROUSE, (J6), EG
- total tariffs 5.6%
- Moored 3/9, discharged 3/11, LFD 3/17
- prepulled 3/12, delivered 3/13</t>
  </si>
  <si>
    <t>TCNU1477966</t>
  </si>
  <si>
    <t>GHC LEMON D-04037, GHC TURMERIC D-04033</t>
  </si>
  <si>
    <t>EN#2165623, INV#JB2446, T/R, empty return 3/18
- TOCONAO, (H8), MAEU
- have additional $150 APM Surcharge
- total tariffs 33.9%
- Moored 3/9, discharged 3/10, LFD 3/13</t>
  </si>
  <si>
    <t>EMCU8720160</t>
  </si>
  <si>
    <t>EN#2166399, INV#JB2461, T/R, empty return 3/13
- OOCL BANGKOK, (H21), EG
- have additional $150 Maher Surcharge
- total tariffs 33.9%
- Moored 3/8, discharged 3/9, LFD 3/13</t>
  </si>
  <si>
    <t>WHSU6570558</t>
  </si>
  <si>
    <t>GINGER CHEWS 4 OZ (LYCHEE) 2 OZ (ORIGINAL)</t>
  </si>
  <si>
    <t>EN#2165934, INV#E/SNA/2025/00005, T/R, GATEFEE3/5, empty return 3/18
- WAN HAI 723, (H9), WAN HAI
- total tariffs 5.6%
- USDA released 3/7
- Moored 3/8, discharged 3/8, LFD 3/13</t>
  </si>
  <si>
    <t>WHLU5668570</t>
  </si>
  <si>
    <t>EN#2165739, INV#E/SNA/2025/00001, T/R, GATEFEE3/5, empty return 3/19
- WAN HAI 723, (H5), WAN HAI
- total tariffs 5.6%
- USDA released 3/7
- Moored 3/8, discharged 3/8, LFD 3/13</t>
  </si>
  <si>
    <t>EISU8485280</t>
  </si>
  <si>
    <t>EN#2166461, INV#015/EXP/INV/I/2025, T/R, empty return 3/17
- EVER LIBERAL, (J10), EG
- total tariffs 5.6%
- Moored 3/6, discharged 3/10, LFD 3/14
- APM @ LA
- Prepull 3/11</t>
  </si>
  <si>
    <t>EITU9301760</t>
  </si>
  <si>
    <t>EN#2166784, INV#JB2502, T/R, empty return 3/12
- OOCL EGYPT, (J21), EG
- total tariffs 33.9%
- Moored 3/6, discharged 3/6, LFD 3/12</t>
  </si>
  <si>
    <t>EITU1767264</t>
  </si>
  <si>
    <t>EN#2165958, INV#JB2459, T/R, empty return 3/14
- EVER FOND, (H16), EG
- have additional $150 Maher Surcharge
- total tariffs 13.9%
- Moored 3/5, discharged 3/5, LFD 3/11</t>
  </si>
  <si>
    <t>WHSU6115852</t>
  </si>
  <si>
    <t>EN#2165935, INV#E/SNA/2025/00002, T/R, empty return 3/10
- SAVANNAH EXPRESS, (H10), WAN HAI
- total tariffs 5.6%
- have additional $150 APM Surcharge
- Moored 3/1, discharged 3/1, LFD 3/6
- prepulled 3/6, delivered 3/7</t>
  </si>
  <si>
    <t>TIIU6400903</t>
  </si>
  <si>
    <t>EN#2165743, INV#E/SNA/2024/00182, T/R, empty return 3/10
- SAVANNAH EXPRESS, (G9), WAN HAI
- total tariffs 5.6%
- have additional $150 APM Surcharge
- Moored 3/1, discharged 3/2, LFD 3/6</t>
  </si>
  <si>
    <t>WHSU6928106</t>
  </si>
  <si>
    <t>EN#2165323, INV#E/SNA/2024/00181, T/R, empty return 3/10
- SAVANNAH EXPRESS, (G10), WAN HAI
- total tariffs 5.6%
- have additional $150 APM Surcharge
- moored 3/1, discharged 3/2, LFD 3/6
- prepulled 3/6, delivered 3/7</t>
  </si>
  <si>
    <t>CMAU9402392</t>
  </si>
  <si>
    <r>
      <rPr>
        <rFont val="Arial"/>
        <color rgb="FF000000"/>
        <sz val="11.0"/>
      </rPr>
      <t xml:space="preserve">EN#2166114, INV#E/SNA/2025/00007, T/R, GATEFEE2/24
- PRESIDENT MONROE, (J5), CMA
- total tariffs 5.6%
- Moored 3/1, discharged 3/2, LFD 3/6
- ELFD 3/11, empty return 3/12, </t>
    </r>
    <r>
      <rPr>
        <rFont val="Arial"/>
        <color rgb="FFFF0000"/>
        <sz val="11.0"/>
      </rPr>
      <t>have per diem?</t>
    </r>
  </si>
  <si>
    <t>TIIU5838006</t>
  </si>
  <si>
    <t>GINGER CHEWS 1 LB (LEMON, MANGO, BLOOD ORANGE)</t>
  </si>
  <si>
    <t>EN#2166279, INV#E/SNA/2025/00009, T/R, GATEFEE2/27
- EVER MEMO, (J7), EG
- Moored 2/28, discharged 3/1, LFD 3/6
- respot 3/7
- ELFD 3/12, empty return 3/14, EG provide 10-calendar day per diem free time, so no per diem</t>
  </si>
  <si>
    <t>ONEU0901005</t>
  </si>
  <si>
    <t>GINGER CHEWS 4 OZ (LYCHEE, PINEAPPLE COCONUT)</t>
  </si>
  <si>
    <t>EN#2165744, INV#E/SNA/2024/00192, T/R, GATEFEE2/24, empty return 3/10
- ONE ORPHEUS, (H6), ONE
- moored 3/1, discharged 3/2, LFD 3/6</t>
  </si>
  <si>
    <t>TGBU6574450</t>
  </si>
  <si>
    <t>EN#2165531, INV#E/SNA/2024/00185, T/R, empty return 3/7
- THESEUS, (G18), EG
- have additional $150 Maher Surcharge
- Moored 2/26, discharged 2/28, LFD 3/5</t>
  </si>
  <si>
    <t>CAAU5692786</t>
  </si>
  <si>
    <t>RED PANAX GINSENG EXTRACT, GINKGO BILOBA, ULTRA GINKGO PLUS, ULTRA JOINT HEALTH</t>
  </si>
  <si>
    <t>5608480/Y</t>
  </si>
  <si>
    <t>EN#2165709, INV#HR2408, T/R, GATEFEE2/21, empty return 3/7
- GERNER MAERSK, (H12), MAEU
- Moored 2/27, discharged 2/27, LFD 3/5
- per Benz, ELFD is 3/10, according to UIIA
- per forwarder, ELFD 3/7 (3 days), instead 3/10
- shorter ELFD, maybe due to spot shipment</t>
  </si>
  <si>
    <t>TLLU7979509</t>
  </si>
  <si>
    <t>EN#2166131, INV#JB2460, T/R, empty return 3/11
- COSCO CAMELLIA, (H20), EG
- have additional $150 Maher Surcharge
- Moored 2/26, discharged 3/1, LFD 3/6
- prepulled 3/6, delivered 3/10
- have pre-pull and storage</t>
  </si>
  <si>
    <t>YMLU5720769</t>
  </si>
  <si>
    <t>EN#2166113, INV#WW06/2025, T/R, GATEFEE2/21, empty return 3/6
- YM WELCOME, (J14), YANG MING
- Moored 2/25, discharged 2/27, LFD 3/4</t>
  </si>
  <si>
    <t>WHSU6479941</t>
  </si>
  <si>
    <t>EN#2165740, INV#E/SNA/2024/00190, T/R, empty return 3/6
- WAN HAI A12, (H4), WAN HAI
- have additional $150 APM Surcharge
- moored 2/24, discharged 2/24, LFD 3/5</t>
  </si>
  <si>
    <t>WHSU6609942</t>
  </si>
  <si>
    <t>EN#2165741, INV#E/SNA/2024/00189, T/R, empty return 3/6
- WAN HAI A12, (H2), WAN HAI
- have additional $150 APM Surcharge
- moored 2/24, discharged 2/24, LFD 3/5</t>
  </si>
  <si>
    <t>TLLU4355160</t>
  </si>
  <si>
    <r>
      <rPr>
        <rFont val="Arial"/>
        <color rgb="FF000000"/>
        <sz val="11.0"/>
      </rPr>
      <t xml:space="preserve">EN#2166192, INV#E/SNA/2025/00008, T/R
- COSCO EUROPE, (J4), CMA
- moored 2/22, discharged 2/22, LFD 2/27
- prepulled 2/25 @ 4:20pm, delivered 2/26
- ELFD 2/28, no return appt, empty return 3/3, </t>
    </r>
    <r>
      <rPr>
        <rFont val="Arial"/>
        <color rgb="FFFF0000"/>
        <sz val="11.0"/>
      </rPr>
      <t>have per diem?</t>
    </r>
  </si>
  <si>
    <t>EGSU9572810</t>
  </si>
  <si>
    <t>EN#2165532, INV#E/SNA/2024/00186, T/R, empty return 2/28
- CMA CGM ARGENTINA, (G16), EG
- have additional $150 APM surcharge
- Moored 2/20, discharged 2/20, LFD 2/26</t>
  </si>
  <si>
    <t>EGSU1351808</t>
  </si>
  <si>
    <r>
      <rPr>
        <rFont val="Arial"/>
        <color rgb="FF000000"/>
        <sz val="11.0"/>
      </rPr>
      <t>EN#2165529, INV#E/SNA/2024/00188, T/R, empty return 3/4
- CMA CGM ARGENTINA, (G15), EG
- have additional $150 APM surcharge
- Moored 2/20, discharged 2/20, LFD 2/26
- FDA hold 2/25, informed ready for exam 2/28, did not come for exam</t>
    </r>
    <r>
      <rPr>
        <rFont val="Arial"/>
        <color rgb="FFFF0000"/>
        <sz val="11.0"/>
      </rPr>
      <t xml:space="preserve">
</t>
    </r>
    <r>
      <rPr>
        <rFont val="Arial"/>
        <color rgb="FF000000"/>
        <sz val="11.0"/>
      </rPr>
      <t>- K80-2165529-6
- FDA requested product labeling photos 3/6, doesn’t require sampling or physical examination</t>
    </r>
  </si>
  <si>
    <t xml:space="preserve">KKFU7927765 </t>
  </si>
  <si>
    <t>EN#2166224, INV#94371738, T/R, no PL, empty return 2/26
- CHENNAI EXPRESS, (J3), ONE
- have additional $150 Maher Surcharge
- Moored 2/19, discharged 2/19, LFD 2/25</t>
  </si>
  <si>
    <t>TXGU7479188</t>
  </si>
  <si>
    <t>EN#2165080, INV#E/SNA/2024/00178, T/R, empty return 2/26
- TOKYO TRIUMPH, (F20), EG
- have additional $150 Maher Surcharge
- Moored 2/18, discharged 2/20, LFD 2/25</t>
  </si>
  <si>
    <t>BSIU8391260</t>
  </si>
  <si>
    <t>EN#2165745, INV#296/EXP/INV/XII/2024, T/R, GATEFEE2/14, empty return 2/27
- EVER MAGI, (G14), EG
- Moored 2/16, discharged 2/17, LFD 2/23</t>
  </si>
  <si>
    <t>494
(10 PLTS)</t>
  </si>
  <si>
    <t>EMCU6123680</t>
  </si>
  <si>
    <t>EN#2166026, INV#20250115, T/R, empty return 2/24
- EVER MAST, (H18), EG
- 10 plts, live unload
- Moored 2/14, discharged 2/15, LFD 2/23 (Sun)</t>
  </si>
  <si>
    <t>TRHU8476219</t>
  </si>
  <si>
    <t>EN#2165251, INV#289/EXP/INV/XII/2024, T/R, empty return 2/21
- MAERSK STOCKHOLM, (G2), SETH
- have additional $150 Maher Surcharge
- Moored 2/15, discharged 2/15, LFD 2/21</t>
  </si>
  <si>
    <t>DRYU9572210</t>
  </si>
  <si>
    <t>GHC D-04011, DONG QUAI RED DATE TEA D-04020, GHC TURMERIC D-04032, GHC LEMON D-04037, INSTANT TEA CHINESE HERBAL BULK A-6101G</t>
  </si>
  <si>
    <t>5608438/Y</t>
  </si>
  <si>
    <t>EN#2166022, INV#AIT2406, T/R, GATEFEE2/12, empty return 2/26
- EVER FRANK, (H17), EG
- Moored 2/12, discharged 2/14, LFD 2/20
- pickup pier waiting was from 9:10-11:25am additional ½ hr
- empty return pier waiting was from 11:57 – 2:05pm additional 1hr</t>
  </si>
  <si>
    <t>MSNU6673307</t>
  </si>
  <si>
    <t>EN#2165198, INV#286/EXP/INV/XII/2024, T/R, GATEFEE2/6, empty return 2/21
- MSC MARTINA MARIA, (G6), MSC
- Moored 2/12, discharged 2/13, LFD 2/19</t>
  </si>
  <si>
    <t>EMCU8899923</t>
  </si>
  <si>
    <t>GHC D-04011, GHC LEMON D-04043, GHC PASSION FRUIT D-04038</t>
  </si>
  <si>
    <r>
      <rPr>
        <rFont val="Arial"/>
        <color rgb="FF000000"/>
        <sz val="11.0"/>
      </rPr>
      <t xml:space="preserve">EN#2165839, INV#JB2464, T/R, empty return 2/19
- OOCL IRIS, (H14), EG
- have additional $150 Maher Surcharge
- Provided ingredient lists to FDA
- Moored 2/11, discharged 2/13, LFD 2/19
- K80-2165839-9
- FDA hold 2/13, informed ready for exam 2/19, FDA came exam 2/27 without collect sample, </t>
    </r>
    <r>
      <rPr>
        <rFont val="Arial"/>
        <color rgb="FF000000"/>
        <sz val="11.0"/>
      </rPr>
      <t>released 2/27</t>
    </r>
  </si>
  <si>
    <t>EGSU9337350</t>
  </si>
  <si>
    <t>EN#2165076, INV#E/SNA/224/00176, T/R, empty return 2/13
- TAURUS, (F19), EG
- have additional $150 Maher Surcharge
- Moored 2/7, discharged 2/8, LFD 2/13
- prepull 2/11</t>
  </si>
  <si>
    <t>TGBU9930425</t>
  </si>
  <si>
    <t>EN#2165082, INV#279/EXP/INV/XII/2024, T/R, empty return 2/18
- TAURUS, (F22), EG
- have additional $150 Maher Surcharge
- Vessel IMO 9728942
- Moored 2/7, discharged 2/8, LFD 2/13</t>
  </si>
  <si>
    <t>EMCU8680663</t>
  </si>
  <si>
    <t>EN#2165528, INV#EMI240003050, OBL1/27, empty return 2/13
- CMA CGM G.WASHINGTON, (G22), EG
- have additional $150 APM surcharge
- Moored 2/7, discharged 2/9, LFD 2/13</t>
  </si>
  <si>
    <t>TIIU6803318</t>
  </si>
  <si>
    <t>TEA
D-13106, D-13012, D-13306, D-14106, D-15106, D-16106, D-17106, D-60021B</t>
  </si>
  <si>
    <t>5608432/Y</t>
  </si>
  <si>
    <r>
      <rPr>
        <rFont val="Arial"/>
        <color rgb="FF000000"/>
        <sz val="11.0"/>
      </rPr>
      <t xml:space="preserve">EN#2165746, INV#YD24-T14, T/R, GATEFEE2/6, empty return 2/19
- EVER FAME, (H13), COSCO
- Moored 2/7, discharged 2/8, LFD 2/13
- ELFD 2/18 or 2/19, </t>
    </r>
    <r>
      <rPr>
        <rFont val="Arial"/>
        <color rgb="FFFF0000"/>
        <sz val="11.0"/>
      </rPr>
      <t xml:space="preserve">have per diem?
</t>
    </r>
    <r>
      <rPr>
        <rFont val="Arial"/>
        <color rgb="FF000000"/>
        <sz val="11.0"/>
      </rPr>
      <t>- QC D-17106 lot# should be HB241P08</t>
    </r>
  </si>
  <si>
    <t>TRHU3886041</t>
  </si>
  <si>
    <t>EN#2164716, INV#138875, T/R, empty return 2/12
- NYK DAEDALUS, (G3), CMA
- moored 2/6, discharged 2/7, LFD 2/14</t>
  </si>
  <si>
    <t>ONEU0888900</t>
  </si>
  <si>
    <t>EN#2165078, INV#E/SNA/2024/00180, T/R, empty return 2/12
- ONE AQUILA, (F12), ONE
- have additional $150 Port Liberty Bayonne (aka GCT Bayonne) surcharge
- Moored 2/4, discharged 2/5, LFD 2/11</t>
  </si>
  <si>
    <t>TIIU4499438</t>
  </si>
  <si>
    <t>EN#2165456, INV#JB2458, T/R, empty return 2/10
- COSCO JASMINE, (G19), EG
- have additional $150 Maher Surcharge
- GC provided labels and ingredients
- Moored 2/1, discharged 2/3, LFD 2/7</t>
  </si>
  <si>
    <t>EGHU9763686</t>
  </si>
  <si>
    <t>GHC D-04011, GHC TURMERIC D-04033, GHC PASSION FRUIT D-04038</t>
  </si>
  <si>
    <t>EN#2165840, INV#JB2501, T/R, empty return 2/6
- COSCO PORTUGAL, (H11), EG
- Moored 1/31, discharged 2/1, LFD 2/6
- prepulled 2/4, delivered 2/5</t>
  </si>
  <si>
    <t>EGSU9569210</t>
  </si>
  <si>
    <t>GINGER CHEWS 1 KG (ASSORTED)
(to RC Commerce)</t>
  </si>
  <si>
    <t>EN#2164502, INV#E/SNA/2024/00169, T/R, empty return 2/6
- CMA CGM SYMI, (E21), EG
- have additional $150 APM surcharge
- moored 1/31, discharged 2/1, LFD?
- prepulled 2/5, delivered 2/6
- Unload waiting time was incurred from 8:30am to 11:20am (3hr), Waiting Time Charge = (3hr – 2hr Free) x $95/hr = $95.00
- Eric provided Proforma Invoice &amp; DO
- Jeremy received PO in DC</t>
  </si>
  <si>
    <t>EITU9268997</t>
  </si>
  <si>
    <t>GHC D-04011, GHC TURMERIC D-04032, GHC PASSION FRUIT D-04038, INSTANT TEA CHINESE HERBAL BULK A-6101G</t>
  </si>
  <si>
    <t>5608332, D-04038 fr GC, Y</t>
  </si>
  <si>
    <t>EN#2165618, INV#AIT2405, T/R, GATEFEE1/30
- EVER FAST, (H7), EG
- Moored 1/30, discharged 1/30, LFD 2/6
- pickup pier waiting was from:8:30-11:42am additional 1 ½ hr
- respot 2/6?
- respot 2/7
- ELFD 2/12, empty return 2/14, EG provide 10-calendar day per diem free time, so no per diem</t>
  </si>
  <si>
    <t>TGCU5401983</t>
  </si>
  <si>
    <t>EN#2164551, INV#E/SNA/2024/00173, T/R, empty return 2/10
- TITAN, (F3), EG
- have additional $150 Maher surcharge
- Vessel IMO 9728928
- Moored 1/31, discharged 1/31, LFD 2/6</t>
  </si>
  <si>
    <t>TXGU7961081</t>
  </si>
  <si>
    <t>EN#2165501, INV#E/SNA/2024/00183, T/R, empty return 2/7
- PRESIDENT REAGAN, (G13), CMA
- moored 1/30, discharged 1/31, LFD 2/6
- prepulled 2/4, delivered 2/5</t>
  </si>
  <si>
    <t>TXGU8286286</t>
  </si>
  <si>
    <t>EN#2165530, INV#E/SNA/2024/00184, T/R, empty return 2/5
- PRESIDENT REAGAN, (G17), CMA
- moored 1/30, discharged 1/31, LFD 2/6
- prepulled 2/3, delivered 2/4</t>
  </si>
  <si>
    <t>MSDU5948781</t>
  </si>
  <si>
    <t>EN#2165199, INV#290/EXP/INV/VII/2024, T/R, empty return 2/4
- MSC ELOANE, (G5), MSC
- moored 1/28, discharged 1/29, LFD 2/4</t>
  </si>
  <si>
    <t>TGBU8677673</t>
  </si>
  <si>
    <r>
      <rPr>
        <rFont val="Arial"/>
        <color rgb="FF000000"/>
        <sz val="11.0"/>
      </rPr>
      <t>GHC D-04016, GHC COCONUT D-04047
(to</t>
    </r>
    <r>
      <rPr>
        <rFont val="Arial"/>
        <color rgb="FF000000"/>
        <sz val="11.0"/>
      </rPr>
      <t xml:space="preserve"> RC Commerce</t>
    </r>
    <r>
      <rPr>
        <rFont val="Arial"/>
        <color rgb="FF000000"/>
        <sz val="11.0"/>
      </rPr>
      <t>)</t>
    </r>
  </si>
  <si>
    <t>EN#2165324, INV#JB2455, T/R, empty return 2/4
- OOCL BERLIN, (G11), EG
- have additional $150 Maher surcharge
- GC provided labels and ingredients
- Deliver to RC, live unload
- Moored 1/28, discharged 1/28, LFD 2/3
- prepulled 1/31
- K80-2165324-2
- FDA detained D-04047 2/24, Anresco collected sample 2/13, previous response date 2/25, new respond date extended to 4/3, lab test completed 3/10, passed lab test
- lab report submitted 3/11, pending technical review 3/12, FDA released 3/14
- extension granted 2/20, new response date 4/3
- Eric provided Proforma Invoice &amp; DO
- per revised PL, D-04047 exp date should be 12/15/2026, instead of 12/15/2027
- Lab test for melamine cost $2150, Anresco invoice 567304-Q65654</t>
  </si>
  <si>
    <t>60
(LCL)</t>
  </si>
  <si>
    <t>ONEU9289550</t>
  </si>
  <si>
    <t>EN#2165421, INV#SS2412111-H, T/R, no GATEFEE (LCL)
- HMM EMERALD, (G12), ONE
- GW will deliver LCL (60 cs)
- Moored 1/27, discharged 1/27, LFD 1/31
- FCL picked up 1/30, FCL empty return 2/3</t>
  </si>
  <si>
    <t>HMMU6689860</t>
  </si>
  <si>
    <t>EN#2165640, INV#KB241215, OBL1/16, empty return 1/30
- HMM PEARL, (H1), HMM
- Moored 1/23, discharged 1/24, LFD 1/29
- Prepulled 1/27, delivered 1/28
- Provide ACTUAL product labeling (Korean Ginseng Tea) to FDA 1/29
- FDA released TU CHUNG TEA &amp; YOUNG JI TEA on 1/20
- FDA released KOREAN GINSENG TEA on 1/30</t>
  </si>
  <si>
    <t>MSMU6253384</t>
  </si>
  <si>
    <t>EN#2164314, INV#270/EXP/INV/XI/2024, T/R, GATEFEE1/23, empty return 2/3
- MSC LAUREN, (E17), MSC
- Moored 1/25, discharged 1/25, LFD 1/30
- Transcon Shipping charged us chassis rental, no chassis charge from Benz</t>
  </si>
  <si>
    <t>TGBU6437523</t>
  </si>
  <si>
    <t>EN#2164197, INV#265/EXP/INV/XI/2024, T/R, GATEFEE1/23
- MSC LAUREN, (E9), MSC
- Moored 1/25, discharged 1/25, LFD 1/30
- respot 1/31
- ELFD 2/4, empty return 2/7, have per diem $555 ($185/day)</t>
  </si>
  <si>
    <t>GAOU6508366</t>
  </si>
  <si>
    <t>EN#2164510, INV#E/SNA/2024/00171, T/R, empty return 2/3
- ONE FALCON, (F1), ONE
- have additional $150 Maher surcharge
- Moored 1/25, discharged 1/25, LFD 1/30
- prepulled 1/30, delivered 1/31</t>
  </si>
  <si>
    <t>CAIU7395408</t>
  </si>
  <si>
    <t>GHC D-04011, GHC LEMON D-04037</t>
  </si>
  <si>
    <t>EN#2164316, INV#JB2443, T/R, empty return 2/5
- TANGIER EXPRESS, (F7), HMM
- have an additional $150 Port Liberty Bayonne Surcharge (Global)
- At anchor 1/19, estimated berthing 1/25
- Moored 1/25, discharged 1/27, LFD 1/30
- prepulled 1/30, delivered 2/3</t>
  </si>
  <si>
    <t>CICU4756219</t>
  </si>
  <si>
    <t>EN#2164840, INV#2024TAT04, T/R, empty return 1/31 (per Etrans)
- MAERSK SKARSTIND, (F15), MAEU
- have an additional $150 APM Surcharge
- At anchor 1/19, estimated berthing 1/25
- Moored 1/25, discharged 1/26, LFD 1/30
- additional $150 for SOC empty return to: Roadrunner Towing and Truck Service LLC
- empty return 1/31 (based on Equipment Interchange Receipt (EIR))</t>
  </si>
  <si>
    <t>MRSU5822151</t>
  </si>
  <si>
    <t>GHC D-04011, GCH TURMEIC D-04033, D-04032</t>
  </si>
  <si>
    <t>EN#2164961, INV#JB2445, T/R, empty return 2/6
- MAERSK SKARSTIND, (F10), MAEU
- have an additional $150 APM Surcharge
- At anchor 1/19, estimated berthing 1/25
- Moored 1/25, discharged 1/26, LFD 2/5
- FDA hold 1/25, informed FDA ready for exam 2/6, FDA released 2/6 (without came for exam)
- K80-2164961-2
- prepulled 2/4, delivered 2/5</t>
  </si>
  <si>
    <t>85
(LCL)</t>
  </si>
  <si>
    <t>EMCU5630910</t>
  </si>
  <si>
    <t>TEA
D-60011B, D-60012B, D-60013B, D-60014B, D-60015B, D-60017B
(3 PLTS)</t>
  </si>
  <si>
    <t>1/28/0225</t>
  </si>
  <si>
    <t>EN#2165468, INV#24TM050, OBL1/16, no GATEFEE (LCL)
- EVER MILD, (G20), EG
- GW will deliver LCL (3 plts)
- moored 1/21, discharged 1/22, LFD 1/29
- FCL picked up 1/24, FCL empty return 1/27
- LCL LFD 2/4</t>
  </si>
  <si>
    <t>EGHU8260840</t>
  </si>
  <si>
    <t>EN#2165075, INV#E/SNA/2024/00177, T/R, GATEFEE1/21
- EVER MILD, (F18), EG
- moored 1/21, discharged 1/22, LFD 1/30
- respot 2/3
- ELFD 2/5, empty return 2/10, EG provide 10-calendar day per diem free time, so no per diem
- pier waiting was from: 12:25-1:44pm additional ½ hr. for empty return</t>
  </si>
  <si>
    <t>CAAU7039940</t>
  </si>
  <si>
    <t>GINGER CHEWS 8 OZ (ORIGINAL, MANGO)</t>
  </si>
  <si>
    <t>EN#2165083, INV#278/EXP/INV/XII/2024, T/R, GATEFEE1/21, empty return 1/31
- EVER MILD, (G1), EG
- moored 1/21, discharged 1/22, LFD 1/30</t>
  </si>
  <si>
    <t>EGSU9230166</t>
  </si>
  <si>
    <t>EN#2165081, INV#E/SNA/2024/00179, T/R, GATEFEE1/21, empty return 2/5
- EVER MILD, (F21), EG
- moored 1/21, discharged 1/22, LFD 1/30</t>
  </si>
  <si>
    <t>ONEU1944911</t>
  </si>
  <si>
    <t>EN#2164550, INV#E/SNA/2024/00168, T/R, empty return 1/29
- ONE MADRID, (E16), ONE
- have additional $150 Port Liberty Bayonne (Global) Surcharge
- Moored 1/19, discharged 1/21, LFD 1/24
- Prepulled 1/24, delivered 1/28</t>
  </si>
  <si>
    <t>TRHU4032772</t>
  </si>
  <si>
    <t>EN#2164235, INV#E/SNA/2024/00166, T/R, empty return 1/31
- ONE MADRID, (E10), ONE
- have additional $150 Port Liberty Bayonne (Global) Surcharge
- Moored 1/19, discharged 1/21, LFD 1/27
- Prepulled 1/27, delivered 1/30</t>
  </si>
  <si>
    <t>240
(LCL)</t>
  </si>
  <si>
    <t>EGSU9382894</t>
  </si>
  <si>
    <t>ALUMINIUM FOIL &amp; TAG
(to Sun Ten, 6 PLTS)</t>
  </si>
  <si>
    <t>EN#2165254, INV#LF-1202, T/R
- EVER MILD, (G21), EG
- Moored 1/16, discharged 1/17, LFD 1/23
- FCL picked up 1/21, FCL empty return 1/22
- GW deliver wrongly to LA 1/23, redelivered to Sun Ten 1/27</t>
  </si>
  <si>
    <t xml:space="preserve">ONEU6017060 </t>
  </si>
  <si>
    <t>5608331/Y</t>
  </si>
  <si>
    <t>EN#2164243, INV#94355268, T/R, no PL, GATEFEE1/10, empty return 2/13
- NYK METEOR, (E18), ONE
- Moored 1/15, discharged 1/15, LFD 2/3
- ready for pickup 1/24, LFD 2/3
- respot 2/6
- ELFD 2/7, have per diem</t>
  </si>
  <si>
    <t>EMCU1815469</t>
  </si>
  <si>
    <t>EN#2164236, INV#E/SNA/2024/00165, T/R, empty return 1/24
- CMA CGM T. ROOSEVELT, (E15), EG
- have additional $150 APM Surcharge
- Moored 1/15, discharged 1/16, LFD 1/21
- prepulled 1/22, delivered 1/24</t>
  </si>
  <si>
    <t>GAOU6987417</t>
  </si>
  <si>
    <t>EN#2164238, INV#258/EXP/INV/XI/2024, T/R, empty return 1/27
- CMA CGM T. ROOSEVELT, (E13), EG
- have additional $150 APM Surcharge
- Moored 1/15, discharged 1/16, LFD 1/22
- Live unload</t>
  </si>
  <si>
    <t>EGSU9699770</t>
  </si>
  <si>
    <t>EN#2164237, INV#257/EXP/INV/XI/2024, T/R, empty return 1/28
- CMA CGM T. ROOSEVELT, (E12), EG
- have additional $150 APM Surcharge
- Moored 1/15, discharged 1/16, LFD 1/21, adjusted LFD 1/22 (no app 1/21)
- prepulled 1/22, delivered 1/24</t>
  </si>
  <si>
    <t>EMCU1750500</t>
  </si>
  <si>
    <t>GINGER CHEWS 4 OZ (MANGO, BLOOD ORANGE, PINEAPPLE COCONUT)</t>
  </si>
  <si>
    <t>EN#2164152, INV#E/SNA/2024/00161, T/R, empty return 1/24
- CMA CGM T. ROOSEVELT, (E1), EG
- 21 plts, Live Unload
- have additional $150 APM Surcharge
- Moored 1/15, discharged 1/16, LFD 1/21
- rescheduled 1/22 due to snow storm terminal is closed 1/20
- Jimmy provide loading time &amp; feedback for Live unload</t>
  </si>
  <si>
    <t>OOCU8498164</t>
  </si>
  <si>
    <t>EN#2164144, INV#E/SNA/2024/00163, T/R, empty return 1/24
- CMA CGM T.ROOSEVELT, (E3), OOCL
- have additional $150 APM Surcharge
- Moored 1/15, discharged 1/15, LFD 1/21
- Prepulled 1/21, delivered 1/23</t>
  </si>
  <si>
    <t>SLPU5013696</t>
  </si>
  <si>
    <t>GINGER CHEWS 4 OZ (LEMON, MANGO, LYCHEE, PINEAPPLE COCONUT)</t>
  </si>
  <si>
    <t>EN#2164145, INV#E/SNA/2024/00162, T/R, empty return 1/28
- CMA CGM T.ROOSEVELT, (E2), OOCL
- have an additional $150 APM Surcharge
- Moored 1/15, discharged 1/15, LFD 1/21
- no prepull 1/21</t>
  </si>
  <si>
    <t>MRKU5992176</t>
  </si>
  <si>
    <t>RED PANAX GINSENG EXTRACT, GINKGO BILOBA EXTRACT, ULTRA GINKGO PLUS, ULTRA JOINT HEALTH, BEIJING ROYAL JELLY</t>
  </si>
  <si>
    <t>EN#2164546, INV#HR2407, T/R, empty return 1/21
- YM TRUST, (F4), MAEU
- have additional $150 APM Surcharge
- Moored 1/13, discharged 1/13, LFD 1/17
- Prepulled1/17, delivered 1/20
- FDA hold ULTRA GINKGO PLUS 1/15, other released, but have others in shipment kept close by in case FDA want to examine too
- K80-2164546-1
- ready exam next week (1/27), informed FDA ready for exam 1/21
- FDA released ULTRA GINKGO PLUS 1/21, without come to exam</t>
  </si>
  <si>
    <t>CAAU5220590</t>
  </si>
  <si>
    <t>EN#2164555, INV#273/EXP/INV/XI/2024, T/R, empty return 1/22
- MAERSK SEVILLE, (F5), SETH
- have an additional $150 APM Surcharge
- Moored 1/12, discharged 1/12, LFD 1/16
- prepulled 1/16, delivered 1/17</t>
  </si>
  <si>
    <t>OOCU7426344</t>
  </si>
  <si>
    <t>EN#2164596, INV#E/SNA/2024/00172, T/R, GATEFEE 1/10, empty return 1/30
- CMA CGM J.MADISON, (F2), OOCL
- At anchor 1/13, estimated berthing 1/16
- moored 1/16, discharged 1/17, LFD 1/24</t>
  </si>
  <si>
    <t>TGBU8026199</t>
  </si>
  <si>
    <t>EN#2164511, INV#E/SNA/2024/00170, T/R, GATEFEE1/13, empty return 1/28
- EVER MODE, (E22), EG
- Moored 1/12, discharged 1/12, LFD 1/21
- empty return pier waiting was from 1:00 -2:35pm additional ½ hr</t>
  </si>
  <si>
    <t>TRHU8954025</t>
  </si>
  <si>
    <t>EN#2164803, INV#E/SNA/2024/00175, T/R, GATEFEE1/13, empty return 1/24
- EVER MODE, (F16), EG
- Moored 1/12, discharged 1/12, LFD 1/19
- respot 1/21
- ELFD 1/23, EG provide 10-calendar day per diem free time, so no per diem
- empty return pier waiting was from 11:11-1:42pm additional 1 ½ hr</t>
  </si>
  <si>
    <t>EGSU9562659</t>
  </si>
  <si>
    <t>GINGER CHEWS 8 OZ (LYCHEE, BLOOD ORANGE, ASSORTED)</t>
  </si>
  <si>
    <t>EN#2164804, INV#E/SNA/2024/00174, T/R, GATEFEE1/13, empty return 1/22 (1/21 per Benz)
- EVER MODE, (F17), EG
- Moored 1/12, discharged 1/12, LFD 1/19
- respot 1/21</t>
  </si>
  <si>
    <t>CBHU7085320</t>
  </si>
  <si>
    <t>ORGANIC TEA
D-13206, D-13212, D-15206, D-15212, D-18206, D-19206</t>
  </si>
  <si>
    <t>EN#2164874, INV#YD24-T16, T/R, empty return 1/22
- OOCL KOREA, (F14), COSCO
- have an additional $150 Maher Surcharge
- Moored 1/11, discharged 1/13, LFD 1/17
- prepulled 1/17, delivered 1/21
- have pre-pull and storage</t>
  </si>
  <si>
    <t>GAOU7299297</t>
  </si>
  <si>
    <t>EN#2164841, INV#JB2444, T/R, empty return 1/15
- OOCL KOREA, (F9), EG
- have additional $150 Maher Surcharge
- Moored 1/11, discharged 1/12, LFD 1/16</t>
  </si>
  <si>
    <t>EGHU9095205</t>
  </si>
  <si>
    <t>GHC D-04061, GHC LEMON D-04043, D-04037</t>
  </si>
  <si>
    <t>EN#2165205, INV#JB2454, T/R, empty return 1/22 (per terminal)
- OOCL MALAYSIA, (G8), EG
- Moored 1/11, discharged 1/13, LFD 1/17
- Prepulled 1/15, delivered 1/16</t>
  </si>
  <si>
    <t>BEAU5168099</t>
  </si>
  <si>
    <t>EN#2164008, INV#E/SNA/2024/00160, T/R, empty return 1/17
- CMA CGM OSIRIS, (E5), EG
- have additional $150 APM Surcharge
- At anchor 1/4, estimated berthing 1/10
- Moored 1/10, discharged 1/11, LFD 1/16
- prepulled 1/15, delivered 1/16</t>
  </si>
  <si>
    <t>TXGU7465970</t>
  </si>
  <si>
    <t>EN#2163759, INV#E/SNA/2024/00155, T/R, empty return 1/17
- CMA CGM OSIRIS, (D13), EG
- have additional $150 APM Surcharge
- At anchor 1/4, estimated berthing 1/10
- Moored 1/10, discharged 1/11, LFD 1/16
- prepulled 1/16, delivered 1/17</t>
  </si>
  <si>
    <t>EMCU8726527</t>
  </si>
  <si>
    <t>EN#2163902, INV#E/SNA/2024/00156, T/R, empty return 1/17
- CMA CGM OSIRIS, (D20), EG
- have additional $150 APM Surcharge
- At anchor 1/4, estimated berthing 1/10
- Moored 1/10, discharged 1/11, LFD 1/16</t>
  </si>
  <si>
    <t>DRYU4064984</t>
  </si>
  <si>
    <t>EN#2165200, INV#WW156/2024, T/R, empty return 1/21
- COSCOSHIPPING DENALI, (G4), ONE
- Moored 1/12, discharged 1/14, LFD 1/21
- FDA hold for exam 1/14, informed FDA ready for exam 1/20
- K80-2165200-4
- Only F-96005, F-96007 &amp; F-96008 are FDA released
- FDA collected samples (BLACK SESAME DESSERT &amp; ALMOND DESSERT) 1/28, estimated lab test complete estimated 2/14
- lab test completed 2/14, pending review by FDA compliance staff, FDA released 2/27</t>
  </si>
  <si>
    <t>MSKU0542033</t>
  </si>
  <si>
    <t>GHC D-04011, D-04061, GHC LEMON D-04043</t>
  </si>
  <si>
    <r>
      <rPr>
        <rFont val="Arial"/>
        <color rgb="FF000000"/>
        <sz val="11.0"/>
      </rPr>
      <t xml:space="preserve">EN#2165201, INV#JB2453, T/R, empty return 2/3 (per GW)
- MSC LORENZA, (G7), MAEU
- have customs exam - Non-Intrusive Inspection (NII)
- Moored 1/8, discharged 1/12, LFD (MAEU) 1/16
- FCL picked up 1/17, customs released 1/28
- </t>
    </r>
    <r>
      <rPr>
        <rFont val="Arial"/>
        <color rgb="FFFF0000"/>
        <sz val="11.0"/>
      </rPr>
      <t>pending per diem?</t>
    </r>
  </si>
  <si>
    <t>EMCU8677485</t>
  </si>
  <si>
    <t>EN#2163733, INV#E/SNA/2024/00151, T/R, empty return 1/13
- CMA CGM J. ADAMS, (D3), EG
- have additional $150 APM Surcharge
- At anchor 1/2, estimated berthing 1/3
- Moored 1/3, discharged 1/3, LFD 1/8
- prepulled 1/8, delivered 1/9
- have additional Empty Pick-up surcharge ($535 + 30% Fuel)</t>
  </si>
  <si>
    <t>EMCU8567045</t>
  </si>
  <si>
    <t>EN#2163633, INV#240/EXP/INV/X/2024, T/R, empty return 1/9
- CMA CGM J. ADAMS, (D1), EG
- have additional $150 APM Surcharge
- At anchor 1/2, estimated berthing 1/3
- Moored 1/3, discharged 1/3, LFD 1/8</t>
  </si>
  <si>
    <t>EMCU8619684</t>
  </si>
  <si>
    <t>GINGER CHEWS 1 LB, 4 OZ (ORIGINAL), HARD CANDY</t>
  </si>
  <si>
    <t>EN#2163734, INV#241/EXP/INV/X/2024, T/R, empty return 1/8
- CMA CGM J. ADAMS, (D9), EG
- selected by Malaysia CSI for NII scan 11/7, will have customs scan charge, customs exam fee $240 (included in AN)
- have additional $150 APM Surcharge
- At anchor 1/2, estimated berthing 1/3
- Moored 1/3, discharged 1/3, LFD 1/8</t>
  </si>
  <si>
    <t>CAAU7032272</t>
  </si>
  <si>
    <t>EN#2164234, INV#266/EXP/INV/XI/2024, T/R, GATEFEE1/3, empty return 1/23
- EVER MEMO, (E11), EG
- Moored 1/2, discharged 1/3, LFD 1/16
- ready for pickup 1/11, LFD 1/16
- Pier waiting was from 9:49-1:04pm additional 1 ½ hr.  + split return chassis</t>
  </si>
  <si>
    <t>ONEU6003765
BEAU5449244
BMOU1467943</t>
  </si>
  <si>
    <t>SMALL PATCH, KLO 57ML, PATCH 1'S</t>
  </si>
  <si>
    <t>1/6/2026
1/2/2026
1/7/2026</t>
  </si>
  <si>
    <t>EN#2173740, INV#PI25-128, PI25-140 &amp; PI25-50, 25ILC029337, PO#41944, OBL12/17
- HMM MIR, (TH15), ONE
- total tariffs 19%
- moored 12/29
- c#3765 - discharged 12/31, LFD 1/6, prepulled 1/5, empty return 1/6
- c#9244 - discharged 12/31, LFD 1/5, empty return 1/2
- c#7943 - discharged 1/4, LFD 1/8, prepulled 1/6, empty return 1/7</t>
  </si>
  <si>
    <t>TB</t>
  </si>
  <si>
    <t>OOCU7571492
OOLU9797865</t>
  </si>
  <si>
    <t>1/5/2026
1/5/2026</t>
  </si>
  <si>
    <t>EN#2173952, INV#PI25-137, 25ILC029340, PO#41945, OBL12/15
- OOCL LILAC, (TH17), OOCL
- total tariffs 10%
- have additional $150 Maher Surcharge
- c#1492 - discharged 12/28, LFD 1/5, empty return 1/9
- c#7865 - discharged 12/29, LFD 1/5, empty return 1/6</t>
  </si>
  <si>
    <t>YMMU4001390</t>
  </si>
  <si>
    <t>EN#2173530, INV#PI25-129, T/R, PO#41846, empty return 1/7
- ONE COMMITMENT, (TH14), YANG MING
- total tariffs 20%
- have additional $150 Port Liberty Bayonne (Global) Surcharge
- Moored 12/23, discharged 12/28, LFD 1/5</t>
  </si>
  <si>
    <t>101 PLTS</t>
  </si>
  <si>
    <t>OOCU9830186
OOLU0959250
OOCU5852891</t>
  </si>
  <si>
    <t>SMALL PATCH, PATCH 1'S</t>
  </si>
  <si>
    <t>12/19/2025
12/22/2025
12/22/2025</t>
  </si>
  <si>
    <t>EN#2173237, INV#PI25-119 &amp; PI25-47, 25ILC029318, PO#41844, OBL11/25
- CMA CGM CALLISTO, (TH13), OOCL
- total tariffs 19%
- have additional $150 per container Port Liberty Bayonne (Global) Surcharge
- moored 12/16
- c#0186 - discharged 12/16, LFD 12/22, empty return 12/19
- c#9250 - discharged 12/16, LFD 12/22, empty return 12/29 or 12/23?
- c#2891 - discharged 12/16, LFD 12/22, empty return 12/22</t>
  </si>
  <si>
    <t>TLLU2612911</t>
  </si>
  <si>
    <r>
      <rPr>
        <rFont val="Arial"/>
        <color rgb="FF000000"/>
        <sz val="11.0"/>
      </rPr>
      <t xml:space="preserve">EN#2173739, INV#PI25-138, 25ILC029341, PO#41924, OBL12/8, </t>
    </r>
    <r>
      <rPr>
        <rFont val="Arial"/>
        <color rgb="FF000000"/>
        <sz val="11.0"/>
      </rPr>
      <t xml:space="preserve">empty return 12/12
</t>
    </r>
    <r>
      <rPr>
        <rFont val="Arial"/>
        <color rgb="FF000000"/>
        <sz val="11.0"/>
      </rPr>
      <t>- OOCL UTAH, (TH16), COSCO
- total tariffs 10%
- received OBL from bank 12/8
- Moored 12/9, discharged 12/10, LFD 12/15</t>
    </r>
  </si>
  <si>
    <t>41 PLTS</t>
  </si>
  <si>
    <t>CSNU8206960
TLLU3343400</t>
  </si>
  <si>
    <t>12/12/2025
12/16/2025</t>
  </si>
  <si>
    <t>EN#2173166, INV#PI25-120 &amp; PI25-48, 25ILC029319, PO#41843, OBL11/25
- CMA CGM ANDROMEDA, (TH11), OOCL
-  total tariffs 19%
- moored 12/9
- c#6960 - discharged 12/10, LFD?, empty return 12/12
- c#3400 - discharged 12/10, LFD?, empty return 12/16</t>
  </si>
  <si>
    <t>MSNU3562594</t>
  </si>
  <si>
    <r>
      <rPr>
        <rFont val="Arial"/>
        <color rgb="FF000000"/>
        <sz val="11.0"/>
      </rPr>
      <t xml:space="preserve">EN#2172888, INV#PI25-83, 25ILC029325, PO#41703, OBL10/28, </t>
    </r>
    <r>
      <rPr>
        <rFont val="Arial"/>
        <color rgb="FF000000"/>
        <sz val="11.0"/>
      </rPr>
      <t xml:space="preserve">empty return 12/15
</t>
    </r>
    <r>
      <rPr>
        <rFont val="Arial"/>
        <color rgb="FF000000"/>
        <sz val="11.0"/>
      </rPr>
      <t>- CONTI MAKALU, (TH9), MSC
- total tariffs 0%
- have an additional $150 PNCT Surcharge
- Moored 12/8, discharged 12/8, LFD 12/12</t>
    </r>
  </si>
  <si>
    <t>ONEU1450267</t>
  </si>
  <si>
    <t>5644692 / Y</t>
  </si>
  <si>
    <t>EN#2172975, INV#PI25-135, 25ILC029323, PO#41842, OBL11/25, GATEFEE12/2, empty return 12/16
- ONE HANOI, (TH8), ONE
- total tariffs 0%
- Moored 12/3, discharged 12/4, LFD 12/10
- pickup pier waiting was from 8:20-11:08am additional 1hr
- respot 12/12</t>
  </si>
  <si>
    <t>BEAU6007859
OOLU9696005</t>
  </si>
  <si>
    <t>12/3/2025
12/3/2025</t>
  </si>
  <si>
    <t>EN#2173165, INV#PI25-132, 25ILC029321, PO#41845, OBL11/18
- COSCOSHIPPING PANAMA, (TH12), COSCO
- total tariffs 10%
- have additional $150 Maher Surcharge
- BL# 6432878510
- Moored 11/28
- c#7859 - discharged 11/29, LFD 12/4, empty return 12/3
- c#6005 - discharged 11/30, LFD 12/4, prepull 12/2, empty return 12/4</t>
  </si>
  <si>
    <t>127 PLTS</t>
  </si>
  <si>
    <t>FDCU0566220
TEMU8851065
TRHU5157901
TCLU3488387</t>
  </si>
  <si>
    <t>11/14/2025
11/14/2025
11/18/2025
11/17/2025</t>
  </si>
  <si>
    <t>EN#2172528, INV#PI25-103, PI25-123 &amp; PI25-45, 25ILC029293, PO#41694, OBL10/28
- ONE EAGLE, (TH5), ONE
- total tariffs 19%
- have an additional $150 Port Liberty Bayonne (Global) Surcharge/per container
- Moored 11/12
- c#6220 - discharged 11/12, LFD 11/18, empty return 11/20
- c#1065 - discharged 11/13, LFD 11/18, empty return 11/18
- c#7901 - discharged 11/12, LFD 11/18, empty return 11/20
- c#8387 - discharged 11/12, LFD 11/18, empty return 11/20</t>
  </si>
  <si>
    <t>4 PLTS
(LCL)</t>
  </si>
  <si>
    <t>WHSU6762993</t>
  </si>
  <si>
    <t>5644694 / Y</t>
  </si>
  <si>
    <t>EN#2172938, INV#PI25-131, 25ILC029320, PO#41705, OBL11/3, no GATEFEE (LCL)
- WAN HAI A05, (TH7), WAN HAI
- total tariffs 20%
- Moored @ LA 11/9, FCL discharged 11/11, FCL picked up 11/12, FCL empty return 11/13, pending LCL transfer to OAK, eta 11/14</t>
  </si>
  <si>
    <t>NYKU4958974</t>
  </si>
  <si>
    <t>EN#2172974, INV#PI25-133, 25ILC029322, PO#41704, OBL11/3, empty return 11/14
- APL PARIS, (TH10), ONE
- total tariffs 10% (reduced from 20 to 10%)
- Delay entry filing for lower IEEPA fentanyl tariff 10%, delay customs release 11/10, may have storage fees
- Moored 11/7, discharged 11/9, LFD 11/14</t>
  </si>
  <si>
    <t>BMOU4759297
ZCSU7334930</t>
  </si>
  <si>
    <t>11/12/2025
11/12/2025</t>
  </si>
  <si>
    <t>EN#2172015, INV#PI25-125, T/R, PO#41604, OBL10/3
- ZIM GEMINI, (TG22), ZIM
- total tariffs 10%
- have an additional $150 Maher Surcharge
- Delay entry filing for lower IEEPA fentanyl tariff 10%, delay customs release 11/10, may have storage fees
- GW submitted emty 11/10, customs released 11/10
- Moored 11/6
- c#9297 - discharged 11/6, LFD 11/13, empty return 11/12
- c#4930 - discharged 11/7, LFD 11/14, empty return 11/12</t>
  </si>
  <si>
    <t>38 PLT</t>
  </si>
  <si>
    <t>TCNU3030848
TGCU0028917</t>
  </si>
  <si>
    <t>SMALL PATCH, KLO 57ML</t>
  </si>
  <si>
    <t>11/13/2025
11/17/2025</t>
  </si>
  <si>
    <t>5644696 / Y</t>
  </si>
  <si>
    <t>EN#2172395, INV#PI25-102 &amp; PI25-122, 25ILC029295, PO#41693, OBL10/28, GATEFEE11/3
- ONE HARBOUR, (TH4), ONE
- total tariffs 19%
- moored 11/6
- c#0848 - discharged 11/7, LFD 11/13, empty return 11/13
- c#8917 - discharged 11/7, LFD 11/14, ready for pickup 11/12, updated LFD 11/20, empty return 11/17</t>
  </si>
  <si>
    <t>49 PLTS</t>
  </si>
  <si>
    <t>TRHU4347759
ONEU2708248</t>
  </si>
  <si>
    <t>11/13/2025
11/13/2025</t>
  </si>
  <si>
    <t>EN#2172340, INV#PI25-104, PI25-124 &amp; PI25-46, 25ILC029294, PO#41692, OBL10/28
- HMM HANBADA, (TH3), ONE
- total tariffs 19%
- moored 11/5
- c#7759 - discharged 11/7, LFD 11/12, prepulled 11/12, empty return 11/13
- c#8248 - discharged 11/7, LFD 11/12, prepulled 11/12, empty return 11/13</t>
  </si>
  <si>
    <t>CCLU5208560</t>
  </si>
  <si>
    <t>EN#2172799, INV#PI25-121, T/R, PO#41702, empty return 11/12
- COSCO CARNATION, (TH6), COSCO
- total taiffs 20%
- Moored 11/3, discharged 11/4, LFD 11/10</t>
  </si>
  <si>
    <t>YMMU4000027</t>
  </si>
  <si>
    <r>
      <rPr>
        <rFont val="Arial"/>
        <color rgb="FF000000"/>
        <sz val="11.0"/>
      </rPr>
      <t>EN#2172151, INV#PI25-105, T/R, PO#41603,</t>
    </r>
    <r>
      <rPr>
        <rFont val="Arial"/>
        <color rgb="FF000000"/>
        <sz val="11.0"/>
      </rPr>
      <t xml:space="preserve"> empty return 11/6
</t>
    </r>
    <r>
      <rPr>
        <rFont val="Arial"/>
        <color rgb="FF000000"/>
        <sz val="11.0"/>
      </rPr>
      <t>- YM THRONE, (TH2), YANG MING
- total tariffs 20%
-  have additional $150 Port Liberty Bayonne Surcharge (Global)
- Moored 11/2, discharge 11/4, LFD 11/10</t>
    </r>
  </si>
  <si>
    <t>MSBU3373593</t>
  </si>
  <si>
    <r>
      <rPr>
        <rFont val="Arial"/>
        <color rgb="FF000000"/>
        <sz val="11.0"/>
      </rPr>
      <t xml:space="preserve">EN#2171878, INV#PI25-115, 25ILC029288, PO#41536, OBL10/1, </t>
    </r>
    <r>
      <rPr>
        <rFont val="Arial"/>
        <color rgb="FF000000"/>
        <sz val="11.0"/>
      </rPr>
      <t xml:space="preserve">empty return 10/24
</t>
    </r>
    <r>
      <rPr>
        <rFont val="Arial"/>
        <color rgb="FF000000"/>
        <sz val="11.0"/>
      </rPr>
      <t>- BREMEN, (TG21), MSC
- total tariffs 0%
- have an additional $150 PNCT Surcharge
- Moored 10/21, discharged 10/22, LFD 10/27</t>
    </r>
  </si>
  <si>
    <t>83 PLTS</t>
  </si>
  <si>
    <t>WHSU6593825
TIIU6786268</t>
  </si>
  <si>
    <t>PATCH 1'S, SMALL PATCH</t>
  </si>
  <si>
    <t>10/20/2025
10/20/2025</t>
  </si>
  <si>
    <t>EN#2171598, INV#PI25-43 &amp; PI25-89, 25ILC029271, PO#41517, OBL10/1
- WAN HAI A15, (TG19), WAN HAI
- total tariffs 19%
- have APM surcharge ($150)
- moored 10/15
- c#3825 - discharged 10/16, LFD 10/22, empty return 10/20
- c#6268 - discharged 10/16, LFD 10/22, empty return 10/21</t>
  </si>
  <si>
    <t>60 PLTS</t>
  </si>
  <si>
    <t>ONEU5163590
KKFU8164478</t>
  </si>
  <si>
    <t>5644701 / Y</t>
  </si>
  <si>
    <t>EN#2171775, INV#PI25-88, 25ILC029274, PO#41518, OBL10/1, GATEFEE10/13
- NYK VEGA, (TG20), ONE
- totat tariffs 19%
- moored 10/14
- c#3590 - discharged 10/14, LFD 10/20, empty return 10/20
- c#4478 - discharged 10/14, LFD 10/20, empty return 10/21</t>
  </si>
  <si>
    <t>WHSU4058959</t>
  </si>
  <si>
    <r>
      <rPr>
        <rFont val="Arial"/>
        <color rgb="FF000000"/>
        <sz val="11.0"/>
      </rPr>
      <t>EN#2171505, INV#PI25-93, T/R, PO#41478,</t>
    </r>
    <r>
      <rPr>
        <rFont val="Arial"/>
        <color rgb="FF000000"/>
        <sz val="11.0"/>
      </rPr>
      <t xml:space="preserve"> empty return 10/15
</t>
    </r>
    <r>
      <rPr>
        <rFont val="Arial"/>
        <color rgb="FF000000"/>
        <sz val="11.0"/>
      </rPr>
      <t>- TEMPANOS, (TG11), WAN HAI
- total tariffs 20%
- have APM surcharge ($150)
- Moored 10/11, discharged 10/11, LFD 10/17</t>
    </r>
  </si>
  <si>
    <t>MSBU2007434</t>
  </si>
  <si>
    <r>
      <rPr>
        <rFont val="Arial"/>
        <color rgb="FF000000"/>
        <sz val="11.0"/>
      </rPr>
      <t xml:space="preserve">EN#2171517, INV#PI25-106, 25ILC029270, PO#41469, OBL10/1, </t>
    </r>
    <r>
      <rPr>
        <rFont val="Arial"/>
        <color rgb="FF000000"/>
        <sz val="11.0"/>
      </rPr>
      <t xml:space="preserve">empty return 10/9
</t>
    </r>
    <r>
      <rPr>
        <rFont val="Arial"/>
        <color rgb="FF000000"/>
        <sz val="11.0"/>
      </rPr>
      <t>- GSL NINGBO, (TG10), MSC</t>
    </r>
    <r>
      <rPr>
        <rFont val="Arial"/>
        <color rgb="FF000000"/>
        <sz val="11.0"/>
      </rPr>
      <t xml:space="preserve">
</t>
    </r>
    <r>
      <rPr>
        <rFont val="Arial"/>
        <color rgb="FF000000"/>
        <sz val="11.0"/>
      </rPr>
      <t>- total tariffs 0%
- have an additional $150 PNCT Surcharge
- Moored 10/5, discharged 10/5, LFD 10/9</t>
    </r>
  </si>
  <si>
    <t>ZIMU3008827
TCNU4565192</t>
  </si>
  <si>
    <t xml:space="preserve">RED 4G, 18G, OINTMENT 18G, WHITE 4G, 18G </t>
  </si>
  <si>
    <t>10/2/2025
10/2/2025</t>
  </si>
  <si>
    <t>EN#2171484, INV#PI25-117, 25ILC029277, PO#41473, OBL 8/29
- ZIM MOUNT RAINIER, (TG13), ZIM
- total tariffs 20%
- have an additional $150 Maher Surcharge/container
- Moored 9/30
- c#8827 - discharged 9/30, LFD 10/6, empty return 10/2
- c#5192 - discharged 9/30, LFD 10/6, empty return 10/2</t>
  </si>
  <si>
    <t>WHSU5305858</t>
  </si>
  <si>
    <t>EN#2171993, INV#PI25-126, 25ILC029297, PO#41605, OBL10/3, empty return 10/1
- WAN HAI A06, (TH1), WAN HAI
- total tariffs 20%
- Moored 9/29, discharged 9/29, LFD?
- prepulled 9/30, delivered 10/1
- received OBL from bank 10/1, mailed to forwarder 10/3</t>
  </si>
  <si>
    <t>TRHU5925682</t>
  </si>
  <si>
    <t>EN#2171557, INV#PI25-44 &amp; PI25-90, 25ILC029272, PO#41516, OBL9/16, empty return 9/30
- YM WELLHEAD, (TG15), ONE
- total tariffs 19%
- Moored 9/26, discharged, LFD 9/30
- prepulled 9/29, delivered 9/30</t>
  </si>
  <si>
    <t>JZPU4097598
ZCSU7533486</t>
  </si>
  <si>
    <t>9/26/2025
9/26/2025</t>
  </si>
  <si>
    <t>EN#2170719, INV#PI25-100, 25ILC029252, PO#41348, OBL8/29
- MSC BRIDGEPORT, (TG8), ZIM
- total tariffs 20%
- have additional $150/container PNCT Surcharge
- Moored 9/21
- c#7598 - discharged 9/21, LFD 9/25, prepull 9/25, empty return 9/26
- c#3486 - discharged 9/21, LFD 9/25, prepull 9/25, empty return 9/26</t>
  </si>
  <si>
    <t>WHSU6264882
WHSU0091218</t>
  </si>
  <si>
    <t>9/25/2025
9/25/2025</t>
  </si>
  <si>
    <t>EN#2170836, INV#PI25-41, 25ILC029226, PO#41350, OBL9/16
- PRAGUE EXPRESS, (TG1), WAN HAI
- total tariffs 19%
- have an additional $150/container APM Surcharge
- moored 9/19
- c#4882 - discharged 9/19, LFD 9/25, empty return 9/25
- c#1218 - discharged 9/20, LFD 9/25, empty return 9/26</t>
  </si>
  <si>
    <t>WHSU8005788</t>
  </si>
  <si>
    <t>EN#2171482, INV#PI25-73 &amp; PI25-98, 25ILC029275, PO#41475, OBL9/16, empty return 9/23
- PRAGUE EXPRESS, (TG12), WAN HAI
- total tariffs 0%
- have an additional $150 APM Surcharge
- Moored 9/19, discharged 9/19, LFD 9/25</t>
  </si>
  <si>
    <t>70 PLTS</t>
  </si>
  <si>
    <t>TIIU4721150
WHSU5722110</t>
  </si>
  <si>
    <t>9/24/2025
9/24/2025</t>
  </si>
  <si>
    <t>EN#2171149, INV#PI25-82, 25ILC029250, PO#41468, OBL 9/16
- PRAGUE EXPRESS, (TG17), WAN HAI
- total tariffs 19%
- have an additional $150/container APM Surcharge
- moored 9/19
- c#1150 - discharged 9/19, LFD 9/25, empty return 9/24
- c#2110 - discharged 9/19, LFD 9/25, empty return 9/24</t>
  </si>
  <si>
    <t>MSDU4006603
MSBU4597788</t>
  </si>
  <si>
    <t>KLO 57ML, PATCH 1'S</t>
  </si>
  <si>
    <t>EN#2171483, INV#PI25-65, PI25-66 &amp; PI25-97, 25ILC029273, PO#41477, OBL9/11
- MSC VENICE, (TG16), MSC
- total tariffs 10%
- moored 9/18
- c#6603 - discharged 9/21, LFD 9/25, empty return 9/25
- c#7783 - discharged 9/21, LFD 9/25, empty return 9/25</t>
  </si>
  <si>
    <t>CAIU7717058</t>
  </si>
  <si>
    <t>OINTMENT 10G, RED 4G, 18G, WHITE 18G</t>
  </si>
  <si>
    <t>5645020 / Y</t>
  </si>
  <si>
    <t>EN#2171597, INV#PI25-116, 25ILC029276, PO#41476, OBL8/29, GATEFEE9/8, empty return 9/16
- MSC ALIYA, (TG18), MSC
- total tariffs 20%
- Moored 9/11, discharged 9/11, LFD 9/17</t>
  </si>
  <si>
    <t>TRHU8253468</t>
  </si>
  <si>
    <r>
      <rPr>
        <rFont val="Arial"/>
        <color rgb="FF000000"/>
        <sz val="11.0"/>
      </rPr>
      <t xml:space="preserve">EN#2170707, INV#PI25-17, 25ILC029248, PO#41347, OBL8/21, </t>
    </r>
    <r>
      <rPr>
        <rFont val="Arial"/>
        <color rgb="FF000000"/>
        <sz val="11.0"/>
      </rPr>
      <t xml:space="preserve">empty return 9/15
</t>
    </r>
    <r>
      <rPr>
        <rFont val="Arial"/>
        <color rgb="FF000000"/>
        <sz val="11.0"/>
      </rPr>
      <t>- ONE GRUS, (TF22), ONE
- total tariffs 0%
- have additional $150 GCT Bayonne Surcharge
- Moored 9/10, discharged 9/11, LFD 9/16</t>
    </r>
  </si>
  <si>
    <t>OOCU7967190</t>
  </si>
  <si>
    <t>5645026 / Y</t>
  </si>
  <si>
    <t>EN#2170789, INV#PI25-81, 25ILC029249, PO#41349, OBL8/21, GATEFEE9/9, empty return 9/15
- EVER MEMO, (TG9), OOCL
- total tariffs 19%
- moored 9/9, discharged 9/9, LFD 9/15</t>
  </si>
  <si>
    <t>ONEU2498136</t>
  </si>
  <si>
    <t>EN#2170635, INV#PI25-42, 25ILC029225, PO#41345, OBL8/21, empty return 9/11
- ONE FRUITION, (TG6), ONE
- total tariffs 10%
- Moored 9/5, discharged 9/7, LFD 9/11
- prepulled 9/10, delivered 9/11</t>
  </si>
  <si>
    <t>TGBU1348470
FFAU5293096</t>
  </si>
  <si>
    <t xml:space="preserve">RED 4G, 18G, OINTMENT 18G, 50G, WHITE 4G, 18G </t>
  </si>
  <si>
    <t>9/11/2025
9/4/2025</t>
  </si>
  <si>
    <t>EN#2171485, INV#PI25-118, 25ILC029278, PO#41474, OBL8/29
- MSC ALIYA, (TG14), MSC
- total tariffs 20%
- Moored 9/2
- c#8470 - discharged 9/6, LFD 9/11, empty return 9/11
- c#3096 - discharged 9/2, LFD 9/8, empty return 9/4</t>
  </si>
  <si>
    <t>TEMU4935614
TEMU7776835</t>
  </si>
  <si>
    <t>9/5/2025
9/5/2025</t>
  </si>
  <si>
    <t>EN#2170583, INV#PI25-61, T/R, PO#41343
- ONE HONOLULU, (TG5), YANG MING
- total tariffs 10%
- have additional $275/container PLNY Surcharge
- moored 8/30
- c#5614 - discharged 8/30, LFD 9/5, empty return 9/5
- c#6835 - discharged 8/31, LFD 9/5, empty return 9/8</t>
  </si>
  <si>
    <t>WHSU6578306
WHSU6750312</t>
  </si>
  <si>
    <t>9/3/2025
9/3/2025</t>
  </si>
  <si>
    <t>EN#2170627, INV#PI25-59, 25ILC029213, PO#41344, OBL8/21
- TSINGTAO EXPRESS, (TG2), WAN HAI
- total tariffs 10%
- have additional $150/container APM Surcharge
- moored 8/28
- c#8306 - discharged 8/28, LFD 9/4, empty return 9/3
- c#0312 - discharged 8/28, LFD 9/4, empty return 9/3</t>
  </si>
  <si>
    <t>ZCSU7187911</t>
  </si>
  <si>
    <t>EN#2170708, INV#PI25-92, 25ILC029233, PO#41341, OBL8/11
- GREENFIELD, (TG4), ZIM
- total tariffs 0%
- Moored 8/26, discharged 8/26, FCL LFD?
- FCL picked up 8/27, FCL empty return 8/28
- customs released 8/28, ready for pickup 8/28</t>
  </si>
  <si>
    <t>ONEU0231222</t>
  </si>
  <si>
    <t>EN#2170385, INV#PI25-60, 25ILC029214, PO#41283, OBL8/21, empty return 8/28
- HMM GARNET, (TF18), ONE
- total tariffs 10%
- Moored 8/25, discharged 8/26, LFD 9/2</t>
  </si>
  <si>
    <t>TIIU6785765</t>
  </si>
  <si>
    <r>
      <rPr>
        <rFont val="Arial"/>
        <color rgb="FF000000"/>
        <sz val="11.0"/>
      </rPr>
      <t xml:space="preserve">EN#2170306, INV#PI25-33, 25ILC029213, PO#41279, OBL8/11, </t>
    </r>
    <r>
      <rPr>
        <rFont val="Arial"/>
        <color rgb="FF000000"/>
        <sz val="11.0"/>
      </rPr>
      <t xml:space="preserve">empty return 9/2
</t>
    </r>
    <r>
      <rPr>
        <rFont val="Arial"/>
        <color rgb="FF000000"/>
        <sz val="11.0"/>
      </rPr>
      <t>- WAN HAI A10, (TF17), WAN HAI
- total tariffs 10%
- have additional $150 APM Surcharge
- Moored 8/25, discharged 8/26, LFD 9/2</t>
    </r>
  </si>
  <si>
    <t>ZCSU7216558
GOSU1007447</t>
  </si>
  <si>
    <t>RED 4G, 18G, OINTMENT 18G, 50G, WHITE 4G, 18G</t>
  </si>
  <si>
    <t>8/27/2025
8/27/2025</t>
  </si>
  <si>
    <t>EN#2170014, INV#PI25-86, 25ILC029219, PO#41230, OBL8/6
- MSC DARWIN VI, (TF13), ZIM
- total tariffs 20%
- moored 8/18
- c#6558 - discharged 8/18, LFD?, empty return 8/29
- c#7447 - discharged 8/18, LFD?, empty return 8/27
- customs hold for exam 8/18, moved (picked up) to exam site 8/22, customs released 8/26
- additional Split Pick-up &amp; Return from East Coast CES Surcharge ($150) per container</t>
  </si>
  <si>
    <t>OOLU6897855</t>
  </si>
  <si>
    <t>EN#2170015, INV#PI25-62 &amp; PI25-84, 25ILC029215, PO#41229, OBL8/11, empty return 8/22
- APL ESPLANADE, (TF15), OOCL
- total tariffs 0%
- have additional Global Terminal (aka Port Liberty-Bayonne) surcharge ($150)
- Moored 8/18, discharged 8/19, LFD 8/22</t>
  </si>
  <si>
    <t>OOLU0601523</t>
  </si>
  <si>
    <t>5645228 / Y</t>
  </si>
  <si>
    <t>EN#2170428, INV#PI25-91, 25ILC029232, PO#41284, OBL8/11, GATEFEE8/12, empty return 8/20
- CMA CGM CHILE, (TF21), OOCL
- total tariffs 0%
- Moored 8/17, discharged 8/17, LFD 8/21</t>
  </si>
  <si>
    <t>WHSU5999342</t>
  </si>
  <si>
    <t>5645229 / Y</t>
  </si>
  <si>
    <t>EN#2170776, INV#PI25-99, 25ILC029251, PO#41346, OBL8/11, GATEFEE8/15, empty return 8/19
- WAN HAI A06, (TG7), WAN HAI
- total tariffs 20%
- Moored 8/15, discharged 8/15, LFD 8/21</t>
  </si>
  <si>
    <t>WHSU5300650</t>
  </si>
  <si>
    <t>EN#2170167, INV#PI25-96, 25ILC029228, PO#41280, OBL8/5, empty return 8/14
- CORCOVADO, (TF20), WAN HAI
- total tariffs 10%
- have additional $150 APM Surcharge
- Moored 8/7, discharged 8/8, LFD 8/14
- prepulled 8/13, delivered 8/14, the only available appt 8/13</t>
  </si>
  <si>
    <t>25 PLTS</t>
  </si>
  <si>
    <t>WHSU6179501</t>
  </si>
  <si>
    <t>EN#2169865, INV#PI25-38, 25ILC029187, PO#41227, OBL8/5, empty return 8/14
- CORCOVADO, (TF12), WAN HAI
- total tariffs 10%
- have additional $150 APM Surcharge
- Moored 8/7, discharged 8/8, LFD 8/14
- prepulled 8/13, delivered 8/14, the only available appt 8/13</t>
  </si>
  <si>
    <t>MSDU2595870</t>
  </si>
  <si>
    <r>
      <rPr>
        <rFont val="Arial"/>
        <color rgb="FF000000"/>
        <sz val="11.0"/>
      </rPr>
      <t xml:space="preserve">EN#2170200, INV#PI25-95, 25ILC029227, PO#41281, OBL8/5, </t>
    </r>
    <r>
      <rPr>
        <rFont val="Arial"/>
        <color rgb="FF000000"/>
        <sz val="11.0"/>
      </rPr>
      <t xml:space="preserve">empty return 8/18
</t>
    </r>
    <r>
      <rPr>
        <rFont val="Arial"/>
        <color rgb="FF000000"/>
        <sz val="11.0"/>
      </rPr>
      <t>- MSC ARINA, (TF19), MSC
- total tariffs 10%
- moored 8/7, discharged 8/14, LFD 8/19</t>
    </r>
  </si>
  <si>
    <t>MSNU2324138</t>
  </si>
  <si>
    <r>
      <rPr>
        <rFont val="Arial"/>
        <color rgb="FF000000"/>
        <sz val="11.0"/>
      </rPr>
      <t>EN#2169680, INV#PI25-34, 25ILC029214, PO#41220,</t>
    </r>
    <r>
      <rPr>
        <rFont val="Arial"/>
        <color rgb="FF000000"/>
        <sz val="11.0"/>
      </rPr>
      <t xml:space="preserve"> </t>
    </r>
    <r>
      <rPr>
        <rFont val="Arial"/>
        <color rgb="FF000000"/>
        <sz val="11.0"/>
      </rPr>
      <t>OBL7/18,</t>
    </r>
    <r>
      <rPr>
        <rFont val="Arial"/>
        <color rgb="FF000000"/>
        <sz val="11.0"/>
      </rPr>
      <t xml:space="preserve"> empty return 8/19
</t>
    </r>
    <r>
      <rPr>
        <rFont val="Arial"/>
        <color rgb="FF000000"/>
        <sz val="11.0"/>
      </rPr>
      <t>- MSC ARINA , (TF11), MSC
- total tariffs 10%
- moored 8/7, discharged 8/13, LFD 8/19
- per forwarder, vessel will discharging containers through 8/17</t>
    </r>
  </si>
  <si>
    <t>ZCSU7608121</t>
  </si>
  <si>
    <r>
      <rPr>
        <rFont val="Arial"/>
        <color rgb="FF000000"/>
        <sz val="11.0"/>
      </rPr>
      <t xml:space="preserve">EN#2170545, INV#PI25-101, 25ILC029253, PO#41342, OBL8/6, </t>
    </r>
    <r>
      <rPr>
        <rFont val="Arial"/>
        <color rgb="FF000000"/>
        <sz val="11.0"/>
      </rPr>
      <t>empty return 8/11</t>
    </r>
    <r>
      <rPr>
        <rFont val="Arial"/>
        <color rgb="FF000000"/>
        <sz val="11.0"/>
      </rPr>
      <t xml:space="preserve">
- ZIM ALBATROSS, (TG3), ZIM</t>
    </r>
    <r>
      <rPr>
        <rFont val="Arial"/>
        <color rgb="FF000000"/>
        <sz val="11.0"/>
      </rPr>
      <t xml:space="preserve">
</t>
    </r>
    <r>
      <rPr>
        <rFont val="Arial"/>
        <color rgb="FF000000"/>
        <sz val="11.0"/>
      </rPr>
      <t>- total tariffs 20%
- Moored 8/6, discharged 8/7, LFD 8/13</t>
    </r>
  </si>
  <si>
    <t>UETU5834950</t>
  </si>
  <si>
    <r>
      <rPr>
        <rFont val="Arial"/>
        <color rgb="FF000000"/>
        <sz val="11.0"/>
      </rPr>
      <t>EN#2170012, INV#PI25-64 &amp; PI25-94, 25ILC029216, PO#41228,</t>
    </r>
    <r>
      <rPr>
        <rFont val="Arial"/>
        <color rgb="FF000000"/>
        <sz val="11.0"/>
      </rPr>
      <t xml:space="preserve"> </t>
    </r>
    <r>
      <rPr>
        <rFont val="Arial"/>
        <color rgb="FF000000"/>
        <sz val="11.0"/>
      </rPr>
      <t>OBL 7/18,</t>
    </r>
    <r>
      <rPr>
        <rFont val="Arial"/>
        <color rgb="FF000000"/>
        <sz val="11.0"/>
      </rPr>
      <t xml:space="preserve"> empty return 8/5
</t>
    </r>
    <r>
      <rPr>
        <rFont val="Arial"/>
        <color rgb="FF000000"/>
        <sz val="11.0"/>
      </rPr>
      <t>- ONE CRANE, (TF14), ONE
- total tariffs 0%
- Moored 7/30, discharged 8/1, LFD 8/6</t>
    </r>
  </si>
  <si>
    <t>51 PLTS</t>
  </si>
  <si>
    <t>CAAU8527620
WHSU6835045</t>
  </si>
  <si>
    <t>8/1/2025
8/4/2025</t>
  </si>
  <si>
    <t>EN#2169592, INV#PI25-38, 25ILC029187, PO#41142, OBL 7/18
- WAN HAI A09, (TF9), WAN HAI
- total tariffs 10%
- additional APM surcharge ($150)
- customs Pop &amp; Tap Exams, customs released 8/1
- moore 7/27
- c#7620 - discharged 7/28, LFD 8/1, empty return 8/4
- c#5045 - discharged 7/27, LFD 8/4, empty return 8/4</t>
  </si>
  <si>
    <t>94 PLTS</t>
  </si>
  <si>
    <t>ONEU5320066
TLLU5596460
FFAU1823393</t>
  </si>
  <si>
    <t>7/25/2025
7/25/2025
7/28/2025</t>
  </si>
  <si>
    <t>EN#2169240, INV#PI25-22, 25ILC029156, PO#41097, OBL 7/14
- ONE EAGLE, (TE22), ONE
- total tariffs 10%
- addtional $150 terminal surcharge per container
- c#0066 - empty return 7/30
- c#6460 - empty return 7/28
- c#3393 - empty return 7/28</t>
  </si>
  <si>
    <t>WHSU6598982
WHSU6540548</t>
  </si>
  <si>
    <t>7/29/2025
7/25/2025</t>
  </si>
  <si>
    <t>5645230 / Y</t>
  </si>
  <si>
    <t>EN#2170013, INV#PI25-85, 25ILC029217, PO#41231, OBL7/18, GATEFEE7/18
- WAN HAI A12, (TF16), WAN HAI
- total tariffs 20%
- c#8982 - empty return 7/29
- c#0548 - empty return 7/25</t>
  </si>
  <si>
    <t>WHSU6736989</t>
  </si>
  <si>
    <r>
      <rPr>
        <rFont val="Arial"/>
        <color rgb="FF000000"/>
        <sz val="11.0"/>
      </rPr>
      <t>EN#2169403, INV#PI25-31, 25ILC029187, PO#41140,</t>
    </r>
    <r>
      <rPr>
        <rFont val="Arial"/>
        <color rgb="FF000000"/>
        <sz val="11.0"/>
      </rPr>
      <t xml:space="preserve"> </t>
    </r>
    <r>
      <rPr>
        <rFont val="Arial"/>
        <color rgb="FF000000"/>
        <sz val="11.0"/>
      </rPr>
      <t>OBL 7/14,</t>
    </r>
    <r>
      <rPr>
        <rFont val="Arial"/>
        <color rgb="FF000000"/>
        <sz val="11.0"/>
      </rPr>
      <t xml:space="preserve"> </t>
    </r>
    <r>
      <rPr>
        <rFont val="Arial"/>
        <color rgb="FF000000"/>
        <sz val="11.0"/>
      </rPr>
      <t xml:space="preserve">empty return 7/24
- WAN HAI A13, (TF6), WAN HAI
</t>
    </r>
    <r>
      <rPr>
        <rFont val="Arial"/>
        <color rgb="FF000000"/>
        <sz val="11.0"/>
      </rPr>
      <t xml:space="preserve">- total tariffs 10%
</t>
    </r>
    <r>
      <rPr>
        <rFont val="Arial"/>
        <color rgb="FF000000"/>
        <sz val="11.0"/>
      </rPr>
      <t>- have additional $150 APM Surcharge</t>
    </r>
  </si>
  <si>
    <t>89 PLTS</t>
  </si>
  <si>
    <t>TCNU2729337
TGBU7129633
TCNU2754598
TEMU6753244</t>
  </si>
  <si>
    <t>RED 18G, OINTMENT 18G, 50G, WHITE 4G, 18G</t>
  </si>
  <si>
    <t>7/22/2025
7/23/2025
7/22/2025
7/23/2025</t>
  </si>
  <si>
    <t>EN#2169167, INV#PI25-79, 25ILC029159, PO#41095, OBL7/3, empty return (#4598/#9337 - 7/22, #9633/#3244 - 7/23)
- ZIM MOUNT BLANC, (TE17), ZIM
- total tariffs 20%
- American Shipping Line reroutes OBL to Greating Shipping Company (Mike drop off)
- additional $150 per container Maher surcharge</t>
  </si>
  <si>
    <t>TIIU4435156</t>
  </si>
  <si>
    <r>
      <rPr>
        <rFont val="Arial"/>
        <color rgb="FF000000"/>
        <sz val="11.0"/>
      </rPr>
      <t>EN#2169490, INV#PI25-39, 25ILC029188, PO#41141, OBL7/8, empty return 7/23</t>
    </r>
    <r>
      <rPr>
        <rFont val="Arial"/>
        <color rgb="FFFF0000"/>
        <sz val="11.0"/>
      </rPr>
      <t xml:space="preserve">
</t>
    </r>
    <r>
      <rPr>
        <rFont val="Arial"/>
        <color rgb="FF000000"/>
        <sz val="11.0"/>
      </rPr>
      <t>- EXPRESS BERLIN, (TF8), TS LINE
- total tariffs 10%</t>
    </r>
  </si>
  <si>
    <t>ZCSU7229339
TIIU4285966</t>
  </si>
  <si>
    <t>7/21/2025
7/21/2025</t>
  </si>
  <si>
    <r>
      <rPr>
        <rFont val="Arial"/>
        <color rgb="FF000000"/>
        <sz val="11.0"/>
      </rPr>
      <t>EN#2169276, INV#PI25-110, 25ILC029181, PO#41101, OBL7/3, empty return 7/21</t>
    </r>
    <r>
      <rPr>
        <rFont val="Arial"/>
        <color rgb="FFFF0000"/>
        <sz val="11.0"/>
      </rPr>
      <t xml:space="preserve">
</t>
    </r>
    <r>
      <rPr>
        <rFont val="Arial"/>
        <color rgb="FF000000"/>
        <sz val="11.0"/>
      </rPr>
      <t>- ZIM CANADA, (TF3), ZIM
- total tariffs 20%</t>
    </r>
    <r>
      <rPr>
        <rFont val="Arial"/>
        <color rgb="FFFF0000"/>
        <sz val="11.0"/>
      </rPr>
      <t xml:space="preserve">
</t>
    </r>
    <r>
      <rPr>
        <rFont val="Arial"/>
        <color rgb="FF000000"/>
        <sz val="11.0"/>
      </rPr>
      <t>- American Shipping Line reroutes OBL to Greating Shipping Company (Mike drop off)
- Have additional $150 PNCT Surcharge</t>
    </r>
  </si>
  <si>
    <t>158 PLTS</t>
  </si>
  <si>
    <t>TEMU7588545
WHSU5647608
WHSU6775270
WHSU8104820
CAAU8538429</t>
  </si>
  <si>
    <t>LINIMENT 57ML, SMALL PATCH</t>
  </si>
  <si>
    <t>7/15/2025
7/16/2025
7/16/2025
7/17/2025
7/17/2025</t>
  </si>
  <si>
    <r>
      <rPr>
        <rFont val="Arial"/>
        <color rgb="FF000000"/>
        <sz val="11.0"/>
      </rPr>
      <t>EN#2169352, INV#PI25-113, 25ILC029184, PO#41139, OBL7/8,</t>
    </r>
    <r>
      <rPr>
        <rFont val="Arial"/>
        <color rgb="FFFF0000"/>
        <sz val="11.0"/>
      </rPr>
      <t xml:space="preserve"> </t>
    </r>
    <r>
      <rPr>
        <rFont val="Arial"/>
        <color rgb="FF000000"/>
        <sz val="11.0"/>
      </rPr>
      <t>empty return 7/15, 7/16, 7/17 (all live unloaded)</t>
    </r>
    <r>
      <rPr>
        <rFont val="Arial"/>
        <color rgb="FFFF0000"/>
        <sz val="11.0"/>
      </rPr>
      <t xml:space="preserve">
</t>
    </r>
    <r>
      <rPr>
        <rFont val="Arial"/>
        <color rgb="FF000000"/>
        <sz val="11.0"/>
      </rPr>
      <t>- WAN HAI A15, (TF5), WAN HAI
- total tariffs 10%
- have additional $150 APM Surcharge</t>
    </r>
  </si>
  <si>
    <t>WHSU4060067</t>
  </si>
  <si>
    <r>
      <rPr>
        <rFont val="Arial"/>
        <color rgb="FF000000"/>
        <sz val="11.0"/>
      </rPr>
      <t>EN#2169169, INV#PI25-24, T/R, PO#41061, empty return 7/18</t>
    </r>
    <r>
      <rPr>
        <rFont val="Arial"/>
        <color rgb="FFFF0000"/>
        <sz val="11.0"/>
      </rPr>
      <t xml:space="preserve">
</t>
    </r>
    <r>
      <rPr>
        <rFont val="Arial"/>
        <color rgb="FF000000"/>
        <sz val="11.0"/>
      </rPr>
      <t>- WAN HAI A15, (TE19), WAN HAI
- total tariffs 10%</t>
    </r>
  </si>
  <si>
    <t>WHSU5540013</t>
  </si>
  <si>
    <r>
      <rPr>
        <rFont val="Arial"/>
        <color rgb="FF000000"/>
        <sz val="11.0"/>
      </rPr>
      <t>EN#2169239, INV#PI25-15, 25ILC029144, PO#41092, OBL7/8, empty return 7/18</t>
    </r>
    <r>
      <rPr>
        <rFont val="Arial"/>
        <color rgb="FFFF0000"/>
        <sz val="11.0"/>
      </rPr>
      <t xml:space="preserve">
</t>
    </r>
    <r>
      <rPr>
        <rFont val="Arial"/>
        <color rgb="FF000000"/>
        <sz val="11.0"/>
      </rPr>
      <t>- WAN HAI A15, (TE20), WAN HAI
- total tariffs 10%</t>
    </r>
    <r>
      <rPr>
        <rFont val="Arial"/>
        <color rgb="FFFF0000"/>
        <sz val="11.0"/>
      </rPr>
      <t xml:space="preserve">
</t>
    </r>
    <r>
      <rPr>
        <rFont val="Arial"/>
        <color rgb="FF000000"/>
        <sz val="11.0"/>
      </rPr>
      <t>- have additional $150 APM Surcharge</t>
    </r>
  </si>
  <si>
    <t>MSNU1284730</t>
  </si>
  <si>
    <t>EN#2169097, INV#PI25-63, 25ILC029158, PO#41093, OBL7/8, empty return 7/18
- MSC UTMOST, (TE15), MSC
- total tariffs 0%
- Have additional $150 PNCT Surcharge</t>
  </si>
  <si>
    <t>64 PLTS</t>
  </si>
  <si>
    <t>KOCU4724680
HMMU6440970</t>
  </si>
  <si>
    <t>7/17/2025
7/18/2025</t>
  </si>
  <si>
    <t>EN#2169351, INV#PI25-112, 25ILC029183, PO#41100, OBL7/8, GATEFEE 7/10, empty return C#4680 7/17, C#0970 7/18
- YM MILESTONE, (TF4), HMM
- total tariffs 10%
- C#4680 pre-pull +2 days yard parking
- C#0970 Pier waiting was from 8:15 – 10:41am additional ½ hr. + split pick-up chassis</t>
  </si>
  <si>
    <t>BSIU3178930</t>
  </si>
  <si>
    <t>EN#2169679, INV#PI25-87, 25ILC029218, PO#41219, OBL7/3, empty return 7/14
- WAN HAI 511, (TF10), WAN HAI
- total tariffs 20%
- American Shipping Line reroutes OBL to Greating Shipping Company (Mike drop off)</t>
  </si>
  <si>
    <t>57 PLTS</t>
  </si>
  <si>
    <t>TXGU7979630
WHSU2922922</t>
  </si>
  <si>
    <t>EN#2169238, INV#PI25-113, 25ILC029184, PO#41098, OBL7/2, empty return 7/11
- TEMPANOS, (TE21), WAN HAI
- Live unloaded
- total tariffs 10%
- moored 7/7
- C#9630 - discharged, LFD 7/14, empty return 7/11
- C#2922 - discharged, LFD 7/14, empty return 7/11
-  have additional $150 APM Surcharge</t>
  </si>
  <si>
    <t>GCXU5201253
ONEU5815105</t>
  </si>
  <si>
    <t>EN#2168981, INV#PI25-11 &amp; PI25-15, 25ILC029144, PO#41056, OBL7/2, empty return 7/10
- ONE MINATO, (TE13), ONE
- total tariffs 10%
- have additional $150 Port Liberty Bayonne (Global) Surcharge
- moored 7/7
- c#1253 - discharged 7/8, LFD 7/14, empty return 7/10
- c#5105 - discharged 7/7, LFD 7/11, empty return 7/9</t>
  </si>
  <si>
    <t>TXGU8953265</t>
  </si>
  <si>
    <r>
      <rPr>
        <rFont val="Arial"/>
        <color rgb="FF000000"/>
        <sz val="11.0"/>
      </rPr>
      <t>EN#2168982, INV#PI25-23, 25ILC029157, PO#41058, OBL6/25, empty return 7/9</t>
    </r>
    <r>
      <rPr>
        <rFont val="Arial"/>
        <color rgb="FFFF0000"/>
        <sz val="11.0"/>
      </rPr>
      <t xml:space="preserve">
</t>
    </r>
    <r>
      <rPr>
        <rFont val="Arial"/>
        <color rgb="FF000000"/>
        <sz val="11.0"/>
      </rPr>
      <t>- TS MELBOURNE, (TE12), TS LINE
- total tariffs 10%
- Moored 7/4, discharged 7/4, LFD 7/10</t>
    </r>
  </si>
  <si>
    <t>GAOU2488106</t>
  </si>
  <si>
    <r>
      <rPr>
        <rFont val="Arial"/>
        <color rgb="FF000000"/>
        <sz val="11.0"/>
      </rPr>
      <t>EN#2168983, INV#PI25-32, 25ILC029147, PO#41057, OBL6/25, empty return 7/9</t>
    </r>
    <r>
      <rPr>
        <rFont val="Arial"/>
        <color rgb="FFFF0000"/>
        <sz val="11.0"/>
      </rPr>
      <t xml:space="preserve">
</t>
    </r>
    <r>
      <rPr>
        <rFont val="Arial"/>
        <color rgb="FF000000"/>
        <sz val="11.0"/>
      </rPr>
      <t>- TS MELBOURNE, (TE14), TS LINE
- total tariffs 10%
- Moored 7/4, discharged 7/4, LFD 7/10
- prepulled 7/7, delivered 7/8</t>
    </r>
  </si>
  <si>
    <t>FSCU4825246</t>
  </si>
  <si>
    <r>
      <rPr>
        <rFont val="Arial"/>
        <color rgb="FF000000"/>
        <sz val="11.0"/>
      </rPr>
      <t>EN#2169241, INV#PI25-114, 25ILC029185, PO#41099, OBL6/23, empty return 7/9</t>
    </r>
    <r>
      <rPr>
        <rFont val="Arial"/>
        <color rgb="FFFF0000"/>
        <sz val="11.0"/>
      </rPr>
      <t xml:space="preserve">
</t>
    </r>
    <r>
      <rPr>
        <rFont val="Arial"/>
        <color rgb="FF000000"/>
        <sz val="11.0"/>
      </rPr>
      <t>- MSC DARLENE, (TF1), MSC
- total tariffs 10%
- Moored 7/3, discharged 7/6, LFD 7/10</t>
    </r>
  </si>
  <si>
    <t>TLLU5487140</t>
  </si>
  <si>
    <r>
      <rPr>
        <rFont val="Arial"/>
        <color rgb="FF000000"/>
        <sz val="11.0"/>
      </rPr>
      <t xml:space="preserve">EN#2168860, INV#PI25-30, 25ILC029146, PO#41055, OBL6/25, </t>
    </r>
    <r>
      <rPr>
        <rFont val="Arial"/>
        <color rgb="FF000000"/>
        <sz val="11.0"/>
      </rPr>
      <t xml:space="preserve">empty return 7/7
</t>
    </r>
    <r>
      <rPr>
        <rFont val="Arial"/>
        <color rgb="FF000000"/>
        <sz val="11.0"/>
      </rPr>
      <t>- ONE MACKINAC, (TE9), ONE
- total tariffs 10%
- have additional $150 Port Liberty Bayonne (Global) Surcharge
- Moored 7/2, discharged 7/3, LFD 7/10</t>
    </r>
  </si>
  <si>
    <t>FBIU0501905
WHSU8008745
WHSU5414838</t>
  </si>
  <si>
    <t>7/2/2025
7/1/2025
7/2/2025</t>
  </si>
  <si>
    <r>
      <rPr>
        <rFont val="Arial"/>
        <color rgb="FF000000"/>
        <sz val="11.0"/>
      </rPr>
      <t>EN#2169242, INV#PI25-109, 25ILC029180, PO#41102, OBL6/18, GATEFEE 6/19</t>
    </r>
    <r>
      <rPr>
        <rFont val="Arial"/>
        <color rgb="FFFF0000"/>
        <sz val="11.0"/>
      </rPr>
      <t xml:space="preserve">
</t>
    </r>
    <r>
      <rPr>
        <rFont val="Arial"/>
        <color rgb="FF000000"/>
        <sz val="11.0"/>
      </rPr>
      <t>- SEASPAN BREEZE, (TF2), WAN HAI
- total tariffs 20%
- Moored 6/25
- c#1905 - discharged 6/26, LFD 7/2, empty return 7/2
- c#8745 - discharged 6/26, LFD 7/2, empty return 7/1
- c#4838 - discharged 6/26, LFD 7/2, empty return 7/3</t>
    </r>
  </si>
  <si>
    <t>CXDU1759374</t>
  </si>
  <si>
    <r>
      <rPr>
        <rFont val="Arial"/>
        <color rgb="FF000000"/>
        <sz val="11.0"/>
      </rPr>
      <t xml:space="preserve">EN#2169168, INV#PI25-112, 25ILC029183, PO#41062, OBL6/23, GATEFEE 6/19, </t>
    </r>
    <r>
      <rPr>
        <rFont val="Arial"/>
        <color rgb="FF000000"/>
        <sz val="11.0"/>
      </rPr>
      <t xml:space="preserve">empty return 7/1
</t>
    </r>
    <r>
      <rPr>
        <rFont val="Arial"/>
        <color rgb="FF000000"/>
        <sz val="11.0"/>
      </rPr>
      <t>- NYK VENUS, (TE18), ONE
- total tariffs 10%
- Moored 6/24, discharged 6/25, LFD 7/1</t>
    </r>
  </si>
  <si>
    <t>OOLU4423630</t>
  </si>
  <si>
    <r>
      <rPr>
        <rFont val="Arial"/>
        <color rgb="FF000000"/>
        <sz val="11.0"/>
      </rPr>
      <t>EN#2169448, INV#PI25-40, T/R, PO#41138,</t>
    </r>
    <r>
      <rPr>
        <rFont val="Arial"/>
        <color rgb="FF000000"/>
        <sz val="11.0"/>
      </rPr>
      <t xml:space="preserve"> empty return 6/25
</t>
    </r>
    <r>
      <rPr>
        <rFont val="Arial"/>
        <color rgb="FF000000"/>
        <sz val="11.0"/>
      </rPr>
      <t>- COSCOSHIPPING DENALI, (TF7), COSCO
- total tariffs 10%
- BL# 6419445520
- Moored 6/22, discharged 6/22, LFD 6/26</t>
    </r>
  </si>
  <si>
    <t>CSNU2154140</t>
  </si>
  <si>
    <r>
      <rPr>
        <rFont val="Arial"/>
        <color rgb="FF000000"/>
        <sz val="11.0"/>
      </rPr>
      <t>EN#2168457, INV#PI25-08, 25ILC029138, PO#40938, OBL5/15,</t>
    </r>
    <r>
      <rPr>
        <rFont val="Arial"/>
        <color rgb="FF000000"/>
        <sz val="11.0"/>
      </rPr>
      <t xml:space="preserve"> empty return 6/27
</t>
    </r>
    <r>
      <rPr>
        <rFont val="Arial"/>
        <color rgb="FF000000"/>
        <sz val="11.0"/>
      </rPr>
      <t>- CMA CGM JEAN GABRIEL, (TE7), COSCO
- total tariffs 0%
- BL# 6415683830
- have additional $150 Port Liberty Bayonne Surcharge
- Moored 6/19, discharged 6/21, LFD 6/26</t>
    </r>
  </si>
  <si>
    <t>27 PLTS</t>
  </si>
  <si>
    <t>ONEU5205782</t>
  </si>
  <si>
    <t>EN#2168961, INV#PI25-78, 25ILC029160, PO#41096, OBL6/9, GATEFEE 6/13, empty return 6/18
- WAN HAI A16, (TE10), ONE
- total tariffs 20%
- Moored 6/15, discharged 6/15, LFD 6/20
- terminal closed 6/19
- pickup pier waiting: 8:52-11:20am additional ½ hr</t>
  </si>
  <si>
    <t>ONEU2413150</t>
  </si>
  <si>
    <r>
      <rPr>
        <rFont val="Arial"/>
        <color rgb="FF000000"/>
        <sz val="11.0"/>
      </rPr>
      <t>EN#2168553, INV#PI25-25, 25ILC029137, PO#41054, OBL5/15, empty return 6/18</t>
    </r>
    <r>
      <rPr>
        <rFont val="Arial"/>
        <color rgb="FFFF0000"/>
        <sz val="11.0"/>
      </rPr>
      <t xml:space="preserve">
</t>
    </r>
    <r>
      <rPr>
        <rFont val="Arial"/>
        <color rgb="FF000000"/>
        <sz val="11.0"/>
      </rPr>
      <t>- ONE MONACO, (TE8), ONE
- total tariffs 0%
- have additional $150 Port Liberty Bayonne (Global) Surcharge
- Moored 6/13, discharged 6/13, LFD 6/19</t>
    </r>
  </si>
  <si>
    <t>WHSU6868692</t>
  </si>
  <si>
    <r>
      <rPr>
        <rFont val="Arial"/>
        <color rgb="FF000000"/>
        <sz val="11.0"/>
      </rPr>
      <t>EN#2169098, INV#PI25-111, 25ILC029182, PO#41094, OBL6/9,</t>
    </r>
    <r>
      <rPr>
        <rFont val="Arial"/>
        <color rgb="FF000000"/>
        <sz val="11.0"/>
      </rPr>
      <t xml:space="preserve"> empty return 6/17
</t>
    </r>
    <r>
      <rPr>
        <rFont val="Arial"/>
        <color rgb="FF000000"/>
        <sz val="11.0"/>
      </rPr>
      <t xml:space="preserve">- WAN HAI A16, (TE16), WAN HAI
- total tariffs 20%
- moored 6/9, discharged 6/11, </t>
    </r>
    <r>
      <rPr>
        <rFont val="Arial"/>
        <color rgb="FF000000"/>
        <sz val="11.0"/>
      </rPr>
      <t>LFD?</t>
    </r>
  </si>
  <si>
    <t>ONEU1902454</t>
  </si>
  <si>
    <t>EN#2168409, INV#PI25-11, 25ILC029096, PO#40937, OBL5/15, empty return 6/10
- ONE AQUILA, (TE5), ONE
- total tariffs 10%
- have an additional $150 Port Liberty Bayonne (Global) Surcharge
- Moored 6/6, discharged 6/7, LFD 6/12</t>
  </si>
  <si>
    <t>6 PLTS
(LCL)</t>
  </si>
  <si>
    <t>CXDU2222190</t>
  </si>
  <si>
    <t>RED 4G, 18G, WHITE 18G</t>
  </si>
  <si>
    <t>EN#2169054, INV#PI25-80, 25ILC029161, PO#41059, OBL6/3, empty return 6/13
- COSCO KAOHSIUNG, (TE11), COSCO
- total tariffs 20%
- BL# 6416820090
- moored 6/4, discharged 6/6, LFD 6/16
- have customs exam, customs released 6/11
- customs exam fee $50.20, instead of $350
- prepulled 6/11, delivered 6/16</t>
  </si>
  <si>
    <t>WHSU6648759</t>
  </si>
  <si>
    <r>
      <rPr>
        <rFont val="Arial"/>
        <color rgb="FF000000"/>
        <sz val="11.0"/>
      </rPr>
      <t xml:space="preserve">EN#2168458, INV#PI25-57 &amp; PI25-76, 25ILC029135, PO#40936, OBL5/15, </t>
    </r>
    <r>
      <rPr>
        <rFont val="Arial"/>
        <color rgb="FF000000"/>
        <sz val="11.0"/>
      </rPr>
      <t>empty return 6/3</t>
    </r>
    <r>
      <rPr>
        <rFont val="Arial"/>
        <color rgb="FF000000"/>
        <sz val="11.0"/>
      </rPr>
      <t xml:space="preserve">
- TSINGTAO EXPRESS, (TE6), WAN HAI
- total tariffs 10% (PATCH 1'S only)
- have additional $150 APM Surcharge
- moored 5/29, discharged 5/29, LFD 6/4</t>
    </r>
  </si>
  <si>
    <t>WHSU4060597</t>
  </si>
  <si>
    <r>
      <rPr>
        <rFont val="Arial"/>
        <color rgb="FF000000"/>
        <sz val="11.0"/>
      </rPr>
      <t xml:space="preserve">EN#2168166, INV#PI25-16, T/R, PO#40901, </t>
    </r>
    <r>
      <rPr>
        <rFont val="Arial"/>
        <color rgb="FF000000"/>
        <sz val="11.0"/>
      </rPr>
      <t>empty return 6/2</t>
    </r>
    <r>
      <rPr>
        <rFont val="Arial"/>
        <color rgb="FF000000"/>
        <sz val="11.0"/>
      </rPr>
      <t xml:space="preserve">
- TSINGTAO EXPRESS, (TD21), WAN HAI
- total tariffs 10%
- have additional $150 APM Surcharge
- Moored 5/29, discharged 5/29, LFD 6/4</t>
    </r>
  </si>
  <si>
    <t>MSNU2000674</t>
  </si>
  <si>
    <t>EN#2168410, INV#PI25-58 &amp; PI25-77, 25ILC029136, PO#40932, OBL5/7, empty return 6/6
- MSC LEANNE, (TE4), MSC
- total tariffs 0%
- moored 5/27, discharged 5/30, LFD 6/5
- prepulled 6/4, delivered 6/5</t>
  </si>
  <si>
    <t>62 PTLS</t>
  </si>
  <si>
    <t>TRHU3431187
TIIU5809543
TXGU7990541
OOCU7199425</t>
  </si>
  <si>
    <t>5/30/2025
5/29/2025
5/29/2025
5/30/2025</t>
  </si>
  <si>
    <t>EN#2168264, INV#PI25-54 &amp; PI25-68, 25ILC029140, PO#40934, OBL5/6
- TOLEDO TRIUMPH, (TE1), COSCO
- total tariffs 20%
- have additional $150/container Maher Surcharge
- BL# 9501966870
- moored 5/25
- c#1187 - discharged 5/25, LFD 5/30, empty return 5/30
- c#9543 - discharged 5/25, LFD 5/30, empty return 5/29
- c#0541 - discharged 5/25, LFD 5/30, empty return 5/29
- c#9425 - discharged 5/26, LFD 5/30, empty return 5/30</t>
  </si>
  <si>
    <t>WHSU6966580</t>
  </si>
  <si>
    <r>
      <rPr>
        <rFont val="Arial"/>
        <color rgb="FF000000"/>
        <sz val="11.0"/>
      </rPr>
      <t xml:space="preserve">EN#2167828, INV#PI25-36, 25ILC029107, PO#40899, OBL4/17, </t>
    </r>
    <r>
      <rPr>
        <rFont val="Arial"/>
        <color rgb="FF000000"/>
        <sz val="11.0"/>
      </rPr>
      <t>empty return 5/27</t>
    </r>
    <r>
      <rPr>
        <rFont val="Arial"/>
        <color rgb="FF000000"/>
        <sz val="11.0"/>
      </rPr>
      <t xml:space="preserve">
- WAN HAI A10, (TD17), WAN HAI
- total tariffs 20%
- have additional $150 APM Surcharge
- Moored 5/21, discharged 5/23, LFD 5/30</t>
    </r>
  </si>
  <si>
    <t>GCXU2289512
ONEU5032007</t>
  </si>
  <si>
    <t>5/21/2025
5/21/2025</t>
  </si>
  <si>
    <t>EN#2167829, INV#PI25-21, 25ILC029118, PO#40897, OBL4/29
- ONE MILLAU, (TD19), ONE
- total tariffs 0%
- have an additional $150/contr PLB Surcharge (former Global Terminal)
- Moored 5/17
- c#9512 - discharged 5/18, LFD 5/22, empty return 5/21
- c#2007 - discharged 5/17, LFD 5/22, empty return 5/23</t>
  </si>
  <si>
    <t>TRHU6287643
TCLU8298760</t>
  </si>
  <si>
    <t>5/21/2025
5/22/2025</t>
  </si>
  <si>
    <t>EN#2168407, INV#PI25-53 &amp; PI25-67, 25ILC029139, PO#40935, OBL5/7, GATEFEE5/13
- YM UPWARD, (TE2), ONE
- total tariffs 20%
- Moored 5/16
- c#7643 - discharged 5/16, LFD 5/22, empty return 5/21
- c#8760 - discharged 5/16, LFD 5/22, empty return 5/23
- TRHU6287643 – pickup pier waiting was from 7:11-9:24 am additional ½ hr</t>
  </si>
  <si>
    <t>ZIMU3185592</t>
  </si>
  <si>
    <t>RED 4G, 18G, WHITE 4G</t>
  </si>
  <si>
    <t>EN#2168408, INV#PI25-55 &amp; PI25-69, 25ILC029141, PO#40933, OBL5/6, empty return 5/15
- ZIM YANGTZE, (TE3), ZIM
- total tariffs 20%
- Moored 5/13, discharged 5/13, LFD 5/19
- prepulled 5/14, delivered 5/15</t>
  </si>
  <si>
    <t>1PLT
(LCL)</t>
  </si>
  <si>
    <t>TEMU9681132</t>
  </si>
  <si>
    <t>EN#2168242, INV#PI25-56, 25ILC029134, PO#40931, OBL5/1, no GATEFEE (LCL)
- CONTI CONQUEST, (TD22), HMM
- total tariffs 0%
- Discharge @ LA, then transfer LCL to OAK
- Moored 5/13, discharged 5/15, LFD 5/18
- FCL picked up 5/17, FCL empty return 5/19</t>
  </si>
  <si>
    <t>CSLU2449586</t>
  </si>
  <si>
    <t>EN#2167666, INV#PI25-74, 25ILC029097, PO#40896, OBL4/29, empty return 5/13
- CMA CGM MEXICO, (TD16), OOCL
- total tariffs 0%
- have additional $150 APM Surcharge
- Moored 5/6, discharged 5/7, LFD 5/13</t>
  </si>
  <si>
    <t>WHLU0617312</t>
  </si>
  <si>
    <r>
      <rPr>
        <rFont val="Arial"/>
        <color rgb="FF000000"/>
        <sz val="11.0"/>
      </rPr>
      <t xml:space="preserve">EN#2167412, INV#PI25-29, 25ILC029020, PO#40784, OBL4/10, </t>
    </r>
    <r>
      <rPr>
        <rFont val="Arial"/>
        <color rgb="FF000000"/>
        <sz val="11.0"/>
      </rPr>
      <t>empty return 5/2</t>
    </r>
    <r>
      <rPr>
        <rFont val="Arial"/>
        <color rgb="FF000000"/>
        <sz val="11.0"/>
      </rPr>
      <t xml:space="preserve">
- TUBUL, (TD11), WAN HAI
- have additional $150 APM Surcharge
- total tariffs 0%
- Moored 4/30, discharged 4/30, LFD 5/6</t>
    </r>
  </si>
  <si>
    <t>UETU6279764</t>
  </si>
  <si>
    <t>EN#2167830, INV#PI25-13, 25ILC029089, PO#40828, OBL4/10
- MSC RENEE, (TD18), MSC
- total tariffs 0%
- Moored 4/30, discharged 5/1, LFD 5/5
- FCL picked up 5/1, FCL empty return 5/2</t>
  </si>
  <si>
    <t>WHSU5199490</t>
  </si>
  <si>
    <t>5612776/ Y</t>
  </si>
  <si>
    <t>EN#2167911, INV#PI25-35, 25ILC029108, PO#40900, OBL4/17, GATEFEE4/23, empty return 5/2
- SEASPAN BREEZE, (TD20), WAN HAI
- total tariffs 20%
- Moored 4/26, discharged 4/26, LFD 5/2
- pickup pier waiting was from: 7:37-10:57am additional 1 ½ hr</t>
  </si>
  <si>
    <t>ONEU2558195</t>
  </si>
  <si>
    <t>5612775/Y</t>
  </si>
  <si>
    <t>EN#2167500, INV#PI25-05, 25ILC029106, PO#40827, OBL4/10, GATEFEE4/17, empty return 4/29
- NYK VESTA, (TD13), ONE
- total tariffs 0%
- Moored 4/23, discharged 4/24, LFD 4/29</t>
  </si>
  <si>
    <t>TRIU8795462</t>
  </si>
  <si>
    <t>EN#2167602, INV#PI25-75, 25ILC029098, PO#40831, OBL4/3
- ONE HUMBER, (TD15), ONE
- total tariffs 0%
- Moored 4/19, discharged 4/19, LFD 4/24
- FCL picked up 4/22, FCL empty return 4/24</t>
  </si>
  <si>
    <t>TLLU3018566</t>
  </si>
  <si>
    <r>
      <rPr>
        <rFont val="Arial"/>
        <color rgb="FF000000"/>
        <sz val="11.0"/>
      </rPr>
      <t xml:space="preserve">EN#2166782, INV#PI25-12, 25ILC029054, PO#40780, OBL3/27, </t>
    </r>
    <r>
      <rPr>
        <rFont val="Arial"/>
        <color rgb="FF000000"/>
        <sz val="11.0"/>
      </rPr>
      <t>empty return 4/21</t>
    </r>
    <r>
      <rPr>
        <rFont val="Arial"/>
        <color rgb="FF000000"/>
        <sz val="11.0"/>
      </rPr>
      <t xml:space="preserve">
- CMA CGM T.JEFFERSON, (TD2), OOCL
- total tariffs 0%
- have additional $150 APM Surcharge
- Moored 4/15, discharged 4/15, LFD 4/22</t>
    </r>
  </si>
  <si>
    <t>WHLU4320282</t>
  </si>
  <si>
    <t>5611456/Y</t>
  </si>
  <si>
    <t>EN#2167411, INV#PI25-06, T/R, PO#40829, GATEFEE 4/9, empty return 4/18
- WAN HAI A16, (TD12), WAN HAI
- total tariffs 0%
- Moored 4/15, discharged 4/15, LFD 4/21</t>
  </si>
  <si>
    <t>WHSU5806680</t>
  </si>
  <si>
    <t>KLO 28ML, PATCH 1'S</t>
  </si>
  <si>
    <t>EN#2166972, INV#PI23-11, PI23-22 &amp; PI25-14, 25ILC029020, PO#40862, OBL3/27, empty return 4/21
- WAN HAI A09, (TD6), WAN HAI
- total tariffs 0%
- have additional $150 APM Surcharge
- Moored 4/12, discharged 4/13, LFD 4/17</t>
  </si>
  <si>
    <t>ZCSU7443377</t>
  </si>
  <si>
    <t>EN#2167545, INV#PI25-37, 25ILC029109, PO#40830, OBL3/31, empty return 10/10
- MACKENZIE, (TD14), ZIM
- total tariffs 20%
- Moored 4/5, discharged 4/7, LFD 4/11</t>
  </si>
  <si>
    <t>96 PLTS</t>
  </si>
  <si>
    <t>CSNU8168840
TCKU6189715
OOCU4981385</t>
  </si>
  <si>
    <t>4/9/2025
4/9/2025
4/10/2025</t>
  </si>
  <si>
    <t>EN#2166974, INV#PI24-32, 25ILC029030, PO#40781, OBL3/27
- TALOS, (TD7), COSCO
- BL# 6409270110
- total tariffs 0%
- have additional $150 per container Maher Surcharge
- moored 4/5
- c#8840 - discharged 4/5, LFD 4/10, drop, empty return 4/11
- c#9715 - discharged 4/5, LFD 4/10, empty return 4/10
- c#1385 - discharged 4/5, LFD 4/10, empty return 4/10</t>
  </si>
  <si>
    <t>HASU1263327
HPCU4938634</t>
  </si>
  <si>
    <t>OINTMENT 10G, 50G, RED 4G, 18G, WHITE 18G</t>
  </si>
  <si>
    <t>4/2/2025
4/3/2025</t>
  </si>
  <si>
    <t>5610203/Y</t>
  </si>
  <si>
    <r>
      <rPr>
        <rFont val="Arial"/>
        <color rgb="FF000000"/>
        <sz val="11.0"/>
      </rPr>
      <t>EN#2166737, INV#PI25-26, 25ILC029055, PO#40663, OBL3/3, GATEFEE3/25
- MAERSK ALGOL, (TD4), MAEU
- total tariffs 20%
- Moored 3/29
- c#3327 - discharged 3/29, LFD 4/4, empty return 4/3</t>
    </r>
    <r>
      <rPr>
        <rFont val="Arial"/>
        <color rgb="FFFF0000"/>
        <sz val="11.0"/>
      </rPr>
      <t xml:space="preserve">
</t>
    </r>
    <r>
      <rPr>
        <rFont val="Arial"/>
        <color rgb="FF000000"/>
        <sz val="11.0"/>
      </rPr>
      <t>- c#8634 - discharged 3/29, LFD 4/4, split empty return 4/3
- HASU1263327 pickup pier waiting: 11:19-2pm additional 1hr
- HPCU4938634 has split return</t>
    </r>
  </si>
  <si>
    <t>CSNU6832137
OOLU7988646</t>
  </si>
  <si>
    <r>
      <rPr>
        <rFont val="Arial"/>
        <b val="0"/>
        <color rgb="FF000000"/>
        <sz val="11.0"/>
      </rPr>
      <t>4/3/2025</t>
    </r>
    <r>
      <rPr>
        <rFont val="Arial"/>
        <b/>
        <color rgb="FF000000"/>
        <sz val="11.0"/>
      </rPr>
      <t xml:space="preserve">
</t>
    </r>
    <r>
      <rPr>
        <rFont val="Arial"/>
        <b val="0"/>
        <color rgb="FF000000"/>
        <sz val="11.0"/>
      </rPr>
      <t>4/3/2025</t>
    </r>
  </si>
  <si>
    <t>EN#2166783, INV#PI24-29, 25ILC029013, PO#40664, OBL3/11
- TRITON, (TD3), COSCO
- total tariffs 0%
- have additional $150/container Maher Surcharge
- Vessel IMO 9728916
- BL# 6408396680
- moored 3/29
- c#2137 - discharged 3/30, LFD 4/3, empty return 4/4
- c#8646 - discharged 3/30, LFD 4/3, empty return 4/3</t>
  </si>
  <si>
    <t>87 PLTS</t>
  </si>
  <si>
    <t>TEMU2974930
TIIU5964663
FFAU2695722
CSNU6968782</t>
  </si>
  <si>
    <t>3/31/2025
4/1/2025
4/1/2025
4/1/2025</t>
  </si>
  <si>
    <t>EN#2166976, INV#PI25-27, 25ILC029056, PO#40782, OBL3/24
- COSCO HARMONY, (TD8), COSCO
- BL# 9501298540
- total tariffs 20%
- have additional $150/container Maher Surcharge
- Moored 3/26
- c#4930 - discharged 3/26, LFD 4/1, empty return 4/1
- c#4663 - discharged 3/27, LFD 4/2, empty return 4/1
- c#5722 - discharged 3/28, LFD 4/3, empty return 4/1
- c#8782 - discharged 3/28, LFD 4/3, empty return 4/1</t>
  </si>
  <si>
    <t>CCLU5190414</t>
  </si>
  <si>
    <t>5610202/Y</t>
  </si>
  <si>
    <t>EN#2167169, INV#PI25-04, T/R, PO#40783, GATEFEE3/24, empty return 3/28
- EVER MILD, (TD10), COSCO
- total tariffs 0%
- Moored 3/25, discharged 3/25, LFD 3/27 or 3/28
- empty return pier waiting was from 12:56-3:02pm additional 1 hr</t>
  </si>
  <si>
    <t>BEAU4513539</t>
  </si>
  <si>
    <t>EN#2166501, INV#PI25-02, 25ILC029010, PO#40586, OBL2/12
- ONE MINATO, (TC19), YANG MING
- total tariffs 0%
- Moored 3/18, discharged 3/18, LFD 3/24
- FCL picked up 3/19, FCL empty return 3/21
- LCL LFD 3/25</t>
  </si>
  <si>
    <t>OOCU7211346
CSNU4019236</t>
  </si>
  <si>
    <t>3/24/20525
3/21/2025</t>
  </si>
  <si>
    <t>5608479/Y</t>
  </si>
  <si>
    <t>EN#2166786, INV#PI24-31, 25ILC029031, PO#40779, OBL3/11, GATEFEE3/17
- EVER MACRO, (TD5), COSCO
- total tariffs 0%
- moored 3/17
- c#1346 - discharged 3/19, LFD 3/25, empty return 3/25
- c#9236 - discharged 3/20, LFD 3/25, empty return 3/21
- c#1346 - pickup pier waiting: 11:24-2:14 pm additional 1hr</t>
  </si>
  <si>
    <t>FFAU5312452
MSKU0083905
MRKU2803432</t>
  </si>
  <si>
    <t>3/20/2025
3/18/2025
3/19/2025</t>
  </si>
  <si>
    <t>5608472/Y</t>
  </si>
  <si>
    <t>EN#2166240, INV#PI25-18, 25ILC029002, PO#40588, OBL2/26, GATEFEE3/11
- MAERSK ALTAIR, (TC17), MAEU
- total tariffs 20%
- moored 3/15
- c#2452 - discharged 3/16, LFD 3/20, empty return 3/21
- c#3905 - discharged 3/16, LFD 3/20, empty return 3/18
- c#3432 - discharged 3/16, LFD 3/20, empty return 3/19</t>
  </si>
  <si>
    <t>OOLU4402788</t>
  </si>
  <si>
    <t>EN#2167108, INV#PI24-33, 25ILC029032, PO#40750, OBL3/11, empty return 3/20
- COSCO SPAIN, (TD9), COSCO
- total tariffs 0%
- Moored 3/14, discharged 3/15, LFD 3/20</t>
  </si>
  <si>
    <t>CAAU6867370
JXLU6439639
ZCSU7454303
ZCSU7915072
BSIU9682207</t>
  </si>
  <si>
    <t>3/17/2025
3/18/2025
3/17/2025
3/14/2025
3/18/2025</t>
  </si>
  <si>
    <t>EN#2166217, INV#PI25-19, 25ILC029003, PO#40661, OBL2/26
- ZIM TOPAZ, (TC21), ZIM
- have additional $150/container Maher Surcharge
- total tariffs 20%
- Moored 3/12
- c#7370 - discharged 3/13, LFD 3/19, prepulled 3/14, empty return 3/20
- c#9639 - discharged 3/13, LFD 3/20, empty return 3/21
- c#4303 - discharged 3/12, LFD 3/19, prepulled 3/14, drop delivery, empty return 3/20
- c#5072 - discharged 3/12, LFD 3/19, empty return 3/14
- c#2207 - discharged 3/13, LFD 3/20, empty return 3/20</t>
  </si>
  <si>
    <t>ZCSU8597309</t>
  </si>
  <si>
    <t>EN#2166629, INV#PI25-28, 25ILC029057, PO#40662, OBL3/3, empty return 3/12
- MISSISSIPPI, (TD1), ZIM
- vessel IMO 9954187
- total tariffs 20%
- Moored 3/8, discharged 3/9, LFD 3/13
- Prepulled 3/10, delivered 3/11</t>
  </si>
  <si>
    <t>BEAU6198673
CCLU5165094</t>
  </si>
  <si>
    <t>3/13/2025
3/13/2025</t>
  </si>
  <si>
    <t>EN#2166385, INV#PI24-29, 25ILC029013, PO#40589, OBL2/12
- TEXAS TRIUMPH, (TC16), COSCO
- total tariffs 0%
- have additional $150/ container Maher Surcharge
- Moored 3/8
- c#8673 - discharged 3/9, LFD 3/13, empty return 3/14
- c#5094 - discharged 3/8, LFD 3/13, empty return 3/13</t>
  </si>
  <si>
    <t>ONEU3048555</t>
  </si>
  <si>
    <t>5608471/Y</t>
  </si>
  <si>
    <t>EN#2166239, INV#PI25-07, 25ILC029009, PO#40587, OBL2/12, GATEFEE2/28, empty return 3/10
- YM WELLNESS, (TC15), ONE
- total tariffs 0%</t>
  </si>
  <si>
    <t>WHLU5717823
WHSU2708700</t>
  </si>
  <si>
    <t>3/5/2025
3/5/2025</t>
  </si>
  <si>
    <t>EN#2165897, INV#PI24-26, 24ILC028979, PO#40534, OBL2/12
- SAVANNAH EXPRESS, (TC8), WAN HAI
- total tariffs 0%
- have additional $150 per container APM Surcharge
- moored 3/1
- c#7823 - discharged 3/2, LFD 3/6, empty return 3/10
- c#8700 - discharged 3/2, LFD 3/6, empty return 3/6</t>
  </si>
  <si>
    <t>WHSU4034176</t>
  </si>
  <si>
    <t>EN#2165716, INV#PI25-01, T/R, PO#40535, empty return 3/7
- SAVANNAH EXPRESS, (TC6), WAN HAI
- total tariffs 0%
- have additional $150 APM Surcharge
- Moored 3/1, discharged 3/2, LFD 3/6</t>
  </si>
  <si>
    <t>WHSU4015962
WHSU6008094</t>
  </si>
  <si>
    <t>3/4/2025
3/5/2025</t>
  </si>
  <si>
    <t>5608470/Y</t>
  </si>
  <si>
    <t>EN#2166502, INV#PI24-28, 25ILC029012, PO#40659, OBL2/13, GATEFEE2/26
- WAN HAI A11, (TC22), WAN HAI
- total tariffs 0%
- moored 3/1
- c#5962 - discharged 3/2, LFD 3/6, empty return 3/4
- c#8094 - discharged 3/1, LFD 3/6, empty return 3/5
- c#5962 - from 8:49-10:03am additional ½ hr.  for live unloading waiting
- when WHSU6008094 delivered, the upper pallet fell down</t>
  </si>
  <si>
    <t>CAAU6117272</t>
  </si>
  <si>
    <r>
      <rPr>
        <rFont val="Arial"/>
        <color rgb="FF000000"/>
        <sz val="11.0"/>
      </rPr>
      <t xml:space="preserve">EN#2165959, INV#PI25-10, 24ILC028990, PO#40582, OBL2/12, </t>
    </r>
    <r>
      <rPr>
        <rFont val="Arial"/>
        <color rgb="FF000000"/>
        <sz val="11.0"/>
      </rPr>
      <t>empty return 3/7</t>
    </r>
    <r>
      <rPr>
        <rFont val="Arial"/>
        <color rgb="FF000000"/>
        <sz val="11.0"/>
      </rPr>
      <t xml:space="preserve">
- APL ESPLANADE, (TC12), OOCL
- have additional $150 APM Surcharge
- moored 2/25, discharged 2/28, LFD 3/6</t>
    </r>
  </si>
  <si>
    <t>8 PLTS
(LCL)</t>
  </si>
  <si>
    <t>SZLU9426601</t>
  </si>
  <si>
    <t>KLO 28ML</t>
  </si>
  <si>
    <t>EN#2166316, INV#PI23-12, PI23-23, PI23-36 &amp; PI24-86, 25ILC029019, PO#40585, OBL2/12
- ONE HAMBURG, (TC18), HMM
- moored 2/25, discharged 2/28, LFD?
- FCL pickup 3/3, FCL empty return 3/4</t>
  </si>
  <si>
    <t>108 PLTS</t>
  </si>
  <si>
    <t>DFSU7665491
WHSU5219702
WHLU5840289</t>
  </si>
  <si>
    <t>2/28/2025
3/3/2025
3/3/2025</t>
  </si>
  <si>
    <t>EN#2165632, INV#PI24-23, 24ILC028979, PO#40529, OBL2/12
- WAN HAI A12, (TC3), WAN HAI
- have additional $150/container APM Surcharge
- moored 2/24
- c#5491 - discharged 2/26, LFD 3/3, empty return 3/5
- c#9702 - discharged 2/25, LFD 3/3, empty return 3/5
- c#0289 - discharged 2/25, LFD 3/3, empty return 3/6</t>
  </si>
  <si>
    <t>WHSU2553125
WHSU5585759</t>
  </si>
  <si>
    <t>2/25/2025
2/25/2025</t>
  </si>
  <si>
    <t>EN#2165634, INV#PI24-26, 24ILC028979, PO#40527, OBL2/12
- CHARLESTON EXPRESS, (TC5), WAN HAI
- have additional $150 per container APM Surcharge
- moored 2/22
- c#3125 - discharged 2/23, LFD 2/27, empty return 2/28
- c#5759 - discharged 2/22, LFD 2/27, empty return 2/27</t>
  </si>
  <si>
    <t>CSNU4019318</t>
  </si>
  <si>
    <r>
      <rPr>
        <rFont val="Arial"/>
        <color rgb="FF000000"/>
        <sz val="11.0"/>
      </rPr>
      <t xml:space="preserve">EN#2166322, INV#PI24-30, 25ILC029014, PO#40660, OBL2/13, </t>
    </r>
    <r>
      <rPr>
        <rFont val="Arial"/>
        <color rgb="FF000000"/>
        <sz val="11.0"/>
      </rPr>
      <t>empty return 2/27</t>
    </r>
    <r>
      <rPr>
        <rFont val="Arial"/>
        <color rgb="FF000000"/>
        <sz val="11.0"/>
      </rPr>
      <t xml:space="preserve">
- COSCO ENGLAND, (TC20), COSCO
- moored 2/20, discharged 2/22, LFD 2/27</t>
    </r>
  </si>
  <si>
    <t>TCNU4825685</t>
  </si>
  <si>
    <t>EN#2165900, INV#PI24-102, 24ILC028969, PO#40532, OBL2/12
- GSL SOFIA, (TC10), ZIM
- Moored 2/16, discharged 2/16, LFD?
- have customs exam
- FCL pickup 2/21, FCL empty return 2/24</t>
  </si>
  <si>
    <t>9 PLTS
(LCL)</t>
  </si>
  <si>
    <t>EN#2165899, INV#PI25-03, 25ILC029001, PO#40533, OBL2/12
- GSL SOFIA, (TC9), ZIM
- Moored 2/16, discharged 2/16, LFD?
- have customs exam
- FCL pickup 2/21, FCL empty return 2/24</t>
  </si>
  <si>
    <t>BSIU2942302</t>
  </si>
  <si>
    <t>EN#2165799, INV#PI24-103, 24ILC028970, PO#40530, OBL1/29
- YM WELCOME, (TC7), ONE
- Moored 2/15, discharged 2/18, LFD 2/22
- prepulled 2/20, delivered 2/21
- ELFD 2/25, empty return 2/26
- have per diem (one day) $185</t>
  </si>
  <si>
    <t>HDMU5575252</t>
  </si>
  <si>
    <t>EN#2165898, INV#PI24-101, 24ILC028968, PO#40531, OBL1/29, no GATEFEE (LCL)
- YM WELCOME, (TC11), HMM
- Discharge @ LA, then transfer LCL to OAK eta 2/19
- Moored 2/15, discharged @ LA 2/15, FCL picked up 2/17, FCL empty return 2/19
- GW delivered LCL</t>
  </si>
  <si>
    <t>TCKU7043561</t>
  </si>
  <si>
    <t>EN#2165206, INV#PI24-20, 24ILC028897, PO#40524, OBL1/29, empty return 2/21
- LOS ANGELES EXPRESS, (TB20), WAN HAI
- have additional $150 APM surcharge
- moored 2/14, discharged 2/15, LFD 2/20</t>
  </si>
  <si>
    <t>47 PLTS</t>
  </si>
  <si>
    <t>TIIU5623800
WHSU8006790</t>
  </si>
  <si>
    <t>OINTMENT 10G, 18G, 50G, WHITE 4G, 18G, RED 4G, 18G,</t>
  </si>
  <si>
    <t>2/19/2025
2/20/2025</t>
  </si>
  <si>
    <t>EN#2165172, INV#PI24-140, 24ILC028958, PO#40456, OBL1/2
- LOS ANGELES EXPRESS, (TB19), WAN HAI
- have additional $150/container APM Surcharge
- Moored 2/14
- c#3800 - discharged 2/14, LFD 2/20, empty return 2/20
- c#6790 - discharged 2/15, LFD 2/20, empty return 2/21</t>
  </si>
  <si>
    <t>GAOU2469277</t>
  </si>
  <si>
    <t>EN#2165513, INV#PI24-113, 24ILC028971, PO#40523, OBL1/29, GATEFEE2/3, empty return 2/14
- MSC FLAVIA, (TC1), MSC
- Moored 2/9, discharged 2/9, LFD 2/14
- MSC LFD is 2/13, terminal LFD is 2/14, and terminal closed on 2/12, need to pay demurrage $185
- pickup pier waiting: 8:25-11:55am additional 1 ½ hr</t>
  </si>
  <si>
    <t>CAAU9441325</t>
  </si>
  <si>
    <t>EN#2166056, INV#PI25-20, 25ILC029004, PO#40583, OBL2/3, empty return 2/11
- LITTLE DOLPHIN, (TC14), TS LINES
- moored 2/8, discharged 2/9, LFD?</t>
  </si>
  <si>
    <t>ONEU1045752
FFAU1806061</t>
  </si>
  <si>
    <t>RUB 60G, PATCH 1'S</t>
  </si>
  <si>
    <t>2/14/2025
2/14/2025</t>
  </si>
  <si>
    <t>EN#2165407, INV#PI24-116 &amp; PI24-129, 24ILC028972, PO#40458, OBL1/29
- ONE GRUS, (TB21), ONE
- have additional $150/container PLB (Global) Surcharge
- moored 2/10
- c#5752 - discharged 2/10, LFD 2/14, empty return 2/18
- c#6061 - discharged 2/10, LFD 2/14, empty return 2/14</t>
  </si>
  <si>
    <t>WHSU4015197
WHSU6194933</t>
  </si>
  <si>
    <t>2/18/2025
2/18/2025</t>
  </si>
  <si>
    <t>EN#2165633, INV#PI24-25, 24ILC028981, PO#40528, OBL1/29, GATEFEE2/5
- SEASPAN BRAVO, (TC4), WAN HAI
- At anchor 2/6, estimated berthing 2/7
- moored 2/9
- c#5197 - discharged 2/10, LFD 2/18, empty return 2/18
- c#4933 - discharged 2/10, LFD 2/18, empty return 2/18
- WHSU6194933 pallet dropped once delivered</t>
  </si>
  <si>
    <t>DFSU4362362</t>
  </si>
  <si>
    <r>
      <rPr>
        <rFont val="Arial"/>
        <color rgb="FF000000"/>
        <sz val="11.0"/>
      </rPr>
      <t xml:space="preserve">EN#2165960, INV#PI24-27, 25ILC029011, PO#40584, OBL1/31, </t>
    </r>
    <r>
      <rPr>
        <rFont val="Arial"/>
        <color rgb="FF000000"/>
        <sz val="11.0"/>
      </rPr>
      <t>empty return 2/10</t>
    </r>
    <r>
      <rPr>
        <rFont val="Arial"/>
        <color rgb="FF000000"/>
        <sz val="11.0"/>
      </rPr>
      <t xml:space="preserve">
- COSCO NETHERLANDS, (TC13), COSCO
- Moored 2/6, discharged 2/6, LFD 2/11</t>
    </r>
  </si>
  <si>
    <t>TGBU1098999
WHSU4049258</t>
  </si>
  <si>
    <t>2/7/2025
2/6/2025</t>
  </si>
  <si>
    <t>EN#2164950, INV#PI24-115, PO#40454, T/R
- NORFOLK EXPRESS, (TB15), WAN HAI
- have additional $150 per container APM surcharge
- moored 2/3
- c#8999 - discharged 2/4, LFD 2/10, empty return 2/10
- c#9258 - discharged 2/3, LFD 2/7, empty return 2/10</t>
  </si>
  <si>
    <t>WHLU5765502
WHSU4058331</t>
  </si>
  <si>
    <t>2/7/2025
2/7/2025</t>
  </si>
  <si>
    <t>EN#2165406, INV#PI24-22, 24ILC028943, PO#40525, OBL1/14, GATEFEE1/30
- WAN HAI A16, (TB22), WAN HAI
- FDA hold 1/28
- K80-2165406-7
- FDA released 1/29, without came to exam
- moored 2/3
- c#5502 - discharged 2/3, LFD 2/7, empty return 2/10
- c#8331 - discharged 2/3, LFD 2/7, empty return 2/7
- WHSU4058331 pickup pier waiting was from: 7:00 – 10:41am additional 2hrs
- WHLU5765502 pickup pier waiting was from 8:59-1:16pm additional 2 ½ hr
- WHLU5765502 pallet fall down when delivered to warehouse. Strapping &amp; Lashing needed to secure the pallets tightly to container walls and floor, and prevent pallets from shifting or falling down during transit</t>
  </si>
  <si>
    <t>TSSU2148814</t>
  </si>
  <si>
    <t>EN#2165152, INV#PI24-100, 24ILC028928, PO#40455, OBL1/14, empty return 2/10 (per GW invoice)
- SUEZ CANAL, (TB17), TS LINES
- moored 1/31, discharged 1/31, LFD 2/6
- prepulled 2/5, delivered 2/6</t>
  </si>
  <si>
    <t>TIIU2579426</t>
  </si>
  <si>
    <t>EN#2164951, INV#PI24-139, 24ILC028957, PO#40453, OBL1/2, GATEFEE1/27, empty return 2/5
- WAN HAI A05, (TB16), WAN HAI
- moored 1/31, discharged 2/1, LFD 2/6
- Pier waiting was 8:00-11:16am additional 1 ½ hr</t>
  </si>
  <si>
    <t>WHSU4061886
WHLU4288220</t>
  </si>
  <si>
    <t>2/3/2025
1/31/2025</t>
  </si>
  <si>
    <t>EN#2164516, INV#PI24-107, 24ILC028897, PO#40451, OBL12/30
- WAN HAI A10, (TB12), WAN HAI
- have additional $150 per container APM surcharge
- FDA hold 1/22, informed ready for exam 2/4, FDA came for exam without collected samples
- FDA released 2/13
- K80-2164516-4
- At anchor 1/23, estimated berthing 1/26
- Moored 1/26
- c#1886 - discharged 1/29, LFD 2/3, empty return 2/4
- c#8220 - discharged 1/28, LFD 2/1, actual LFD 1/31, empty return 2/3</t>
  </si>
  <si>
    <t>BSIU3121169</t>
  </si>
  <si>
    <t>EN#2164464, INV#PI24-70, 24ILC028885, PO#40381, OBL12/30, empty return 2/3
- ONE FALCON, (TB11), ONE
- have an additional $150 Maher surcharge
- Moored 1/25, discharged 1/26, LFD 1/30
- prepulled 1/29, delivered 1/30</t>
  </si>
  <si>
    <t>YMLU9033307</t>
  </si>
  <si>
    <t>EN#2164949, INV#PI24-99, 24ILC028929, PO#40452, OBL12/30
- ONE FALCON, (TB14), YANG MING
- Moored 1/25, discharged 1/26, LFD 1/30
- FCL picked up 1/28, FCL empty return 1/29</t>
  </si>
  <si>
    <t>OOLU4349702</t>
  </si>
  <si>
    <t>EN#2165549, INV#PI24-24, 24ILC028980, PO#40526, OBL1/14, empty return 1/27
- COSCO SPAIN, (TC2), COSCO
- BL# 6404474960
- Moored 1/18, discharged 1/20, LFD 1/24
- Prepulled 1/24, delivered 1/27</t>
  </si>
  <si>
    <t>TRHU6140987</t>
  </si>
  <si>
    <r>
      <rPr>
        <rFont val="Arial"/>
        <color rgb="FF000000"/>
        <sz val="11.0"/>
      </rPr>
      <t xml:space="preserve">EN#2164282, INV#PI24-128, 24ILC028905, PO#40376, OBL12/30, </t>
    </r>
    <r>
      <rPr>
        <rFont val="Arial"/>
        <color rgb="FF000000"/>
        <sz val="11.0"/>
      </rPr>
      <t>empty return 1/17</t>
    </r>
    <r>
      <rPr>
        <rFont val="Arial"/>
        <color rgb="FF000000"/>
        <sz val="11.0"/>
      </rPr>
      <t xml:space="preserve">
- OOCL KOREA, (TB6), COSCO
- have an additional $150 Maher Surcharge
- Moored 1/11, discharged 1/12, LFD 1/16</t>
    </r>
  </si>
  <si>
    <t>OOCU9219536</t>
  </si>
  <si>
    <t>EN#2163840, INV#PI24-124, 24ILC028859, PO#40370, OBL12/20, empty return 1/16
- CMA CGM OSIRIS, (TA21), OOCL
- have additional $150 APM Surcharge
- At anchor 1/4, estimated berthing 1/10
- Moored 1/10, discharged 1/11, LFD 1/15</t>
  </si>
  <si>
    <t>FCIU5705919</t>
  </si>
  <si>
    <r>
      <rPr>
        <rFont val="Arial"/>
        <color rgb="FF000000"/>
        <sz val="11.0"/>
      </rPr>
      <t xml:space="preserve">EN#2164160, INV#PI24-120, 24ILC028917, PO#40374, OBL12/20, </t>
    </r>
    <r>
      <rPr>
        <rFont val="Arial"/>
        <color rgb="FF000000"/>
        <sz val="11.0"/>
      </rPr>
      <t>empty return 1/15</t>
    </r>
    <r>
      <rPr>
        <rFont val="Arial"/>
        <color rgb="FF000000"/>
        <sz val="11.0"/>
      </rPr>
      <t xml:space="preserve">
- COSCO DEVELOPMENT, (TB5), COSCO
- have additional $150 Maher Surcharge
- At anchor 1/2, estimated berthing 1/10
- Moored 1/10, discharged 1/11, LFD 1/16</t>
    </r>
  </si>
  <si>
    <t>YMMU6187637</t>
  </si>
  <si>
    <t>EN#2164851, INV#PI24-98, 24ILC028927, PO#40382, OBL12/30, no GATEFEE (LCL)
- ONE HAMMERSMITH, (B13), YANG MING
- Moored @ LA 1/8, discharged 1/11,  LFD 1/16, FCL picked up 1/14, FCL empty return 1/15
- Discharged @ LA, then transfer to OAK eta 1/14</t>
  </si>
  <si>
    <t>MEDU6564438</t>
  </si>
  <si>
    <t>EN#2164036, INV#PI24-130 &amp; PI24-134, 24ILC028909, PO#40447, OBL12/20, empty return 1/14 (per Etrans)
- MAERSK SEOUL, (TB3), MAEU
- have additional $150 PNCT Surcharge
- At anchor 1/5, estimated berthing 1/7
- moored 1/7, discharged 1/7, LFD 1/13</t>
  </si>
  <si>
    <t>128 PLTS</t>
  </si>
  <si>
    <t>WHLU5843225
WHLU5606286
WHSU5684303
WHSU6743170
TXGU8167899</t>
  </si>
  <si>
    <t>1/13/2025
1/13/2025
1/10/2025
1/15/2025
1/10/2025</t>
  </si>
  <si>
    <t>EN#2164285, INV#PI24-136, 24ILC028915, PO#40375, OBL12/20
- WAN HAI A09, (TB8), WAN HAI
- have additional $150 per container APM Surcharge
- Moored 1/6
- c#3225 - discharged 1/6, LFD 1/10, prepulled 1/10, empty return 1/14
- c#6286 - discharged 1/7, LFD 1/10, prepulled 1/10, empty return 1/13
- c#4303 - discharged 1/7, LFD 1/11, empty return 1/13
- c#3170 - discharged 1/6, LFD 1/10, empty return 1/17
- c#7899 - discharged 1/7, LFD 1/11, empty return 1/13
- WHLU5606286 &amp; WHLU5843225 have prepull &amp; storage
- 1/10 cannot pickup WHSU6743170 due to machine blocking the container location</t>
  </si>
  <si>
    <t>ZIMU3023354</t>
  </si>
  <si>
    <t>WHITE 18G, OINTMENT 18G</t>
  </si>
  <si>
    <r>
      <rPr>
        <rFont val="Arial"/>
        <color rgb="FF000000"/>
        <sz val="11.0"/>
      </rPr>
      <t xml:space="preserve">EN#2165173, INV#PI24-141, 24ILC028959, PO#40457, OBL1/2, </t>
    </r>
    <r>
      <rPr>
        <rFont val="Arial"/>
        <color rgb="FF000000"/>
        <sz val="11.0"/>
      </rPr>
      <t>empty return 1/13</t>
    </r>
    <r>
      <rPr>
        <rFont val="Arial"/>
        <color rgb="FF000000"/>
        <sz val="11.0"/>
      </rPr>
      <t xml:space="preserve">
- ZIM YANGTZE, (TB18), ZIM
- Moored 1/6, discharged 1/7, LFD 1/10
- prepulled 1/9, delivered 1/10</t>
    </r>
  </si>
  <si>
    <t>WHLU4311228</t>
  </si>
  <si>
    <t>EN#2164071, INV#PI24-107, T/R, PO#40372, empty return 1/10
- WAN HAI A13, (TB2), WAN HAI
- have additional $150 APM Surcharge
- Moored 1/5, discharged 1/5, LFD 1/9</t>
  </si>
  <si>
    <t>WHSU5926808</t>
  </si>
  <si>
    <t>EN#2164021, INV#PI24-17, 24ILC028864, PO#40371, OBL12/20, empty return 1/13
- WAN HAI A13, (TB1), WAN HAI
- have additional $150 APM Surcharge
- Moored 1/5, discharged 1/5, LFD 1/9</t>
  </si>
  <si>
    <t>HMMU5428990</t>
  </si>
  <si>
    <t>EN#2164595, INV#PI24-108, 24ILC028886, PO#40379, OBL12/20
- ONE HONG KONG, (TB10), HMM
- Moored 1/2, discharged 1/5, LFD?
- FCL pickup 1/8, FCL empty return 1/9</t>
  </si>
  <si>
    <t xml:space="preserve">                 </t>
  </si>
  <si>
    <t>TIIU5413491</t>
  </si>
  <si>
    <r>
      <rPr>
        <rFont val="Arial"/>
        <b/>
        <color rgb="FFFF0000"/>
        <sz val="11.0"/>
      </rPr>
      <t>Pending ISF, EN#</t>
    </r>
    <r>
      <rPr>
        <rFont val="Arial"/>
        <b/>
        <color rgb="FF0000FF"/>
        <sz val="11.0"/>
      </rPr>
      <t xml:space="preserve">
Pending CI
Live unload, 21 plts
Received PO (D21)</t>
    </r>
  </si>
  <si>
    <r>
      <rPr>
        <rFont val="Arial"/>
        <color rgb="FFFF0000"/>
        <sz val="11.0"/>
      </rPr>
      <t>EN#, INV#</t>
    </r>
    <r>
      <rPr>
        <rFont val="Arial"/>
        <color rgb="FF000000"/>
        <sz val="11.0"/>
      </rPr>
      <t xml:space="preserve">, T/R, empty return
</t>
    </r>
    <r>
      <rPr>
        <rFont val="Arial"/>
        <color rgb="FFFF0000"/>
        <sz val="11.0"/>
      </rPr>
      <t>- CMA CGM CALLISTO?</t>
    </r>
    <r>
      <rPr>
        <rFont val="Arial"/>
        <color rgb="FF000000"/>
        <sz val="11.0"/>
      </rPr>
      <t xml:space="preserve">, (D21), EG
</t>
    </r>
    <r>
      <rPr>
        <rFont val="Arial"/>
        <color rgb="FFFF0000"/>
        <sz val="11.0"/>
      </rPr>
      <t xml:space="preserve">- total tariffs
</t>
    </r>
    <r>
      <rPr>
        <rFont val="Arial"/>
        <color rgb="FF000000"/>
        <sz val="11.0"/>
      </rPr>
      <t>- Live unload, 21 plts</t>
    </r>
  </si>
  <si>
    <t>GCXU5335273</t>
  </si>
  <si>
    <t>Pending BL
Received PO (C16)</t>
  </si>
  <si>
    <r>
      <rPr>
        <rFont val="Arial"/>
        <color rgb="FF000000"/>
        <sz val="11.0"/>
      </rPr>
      <t xml:space="preserve">EN#2176357, INV#049/EXP/INV/III/2026, T/R, </t>
    </r>
    <r>
      <rPr>
        <rFont val="Arial"/>
        <color rgb="FFFF0000"/>
        <sz val="11.0"/>
      </rPr>
      <t>empty return
- EVER MAGI?</t>
    </r>
    <r>
      <rPr>
        <rFont val="Arial"/>
        <color rgb="FF000000"/>
        <sz val="11.0"/>
      </rPr>
      <t>, (C16), EG</t>
    </r>
    <r>
      <rPr>
        <rFont val="Arial"/>
        <color rgb="FFFF0000"/>
        <sz val="11.0"/>
      </rPr>
      <t xml:space="preserve">
- total tariffs</t>
    </r>
  </si>
  <si>
    <t>EGSU1502798</t>
  </si>
  <si>
    <r>
      <rPr>
        <rFont val="Arial"/>
        <color rgb="FF000000"/>
        <sz val="11.0"/>
      </rPr>
      <t xml:space="preserve">GINGER CHEWS 4 OZ (ORIGINAL), </t>
    </r>
    <r>
      <rPr>
        <rFont val="Arial"/>
        <color rgb="FF0000FF"/>
        <sz val="11.0"/>
      </rPr>
      <t>QC SAMPLE</t>
    </r>
  </si>
  <si>
    <r>
      <rPr>
        <rFont val="Arial"/>
        <b/>
        <color rgb="FF0000FF"/>
        <sz val="11.0"/>
      </rPr>
      <t xml:space="preserve">Pending BL
Pay gate fee
</t>
    </r>
    <r>
      <rPr>
        <rFont val="Arial"/>
        <b/>
        <color rgb="FF0000FF"/>
        <sz val="11.0"/>
      </rPr>
      <t>Received PO (D18)</t>
    </r>
  </si>
  <si>
    <r>
      <rPr>
        <rFont val="Arial"/>
        <color rgb="FF000000"/>
        <sz val="11.0"/>
      </rPr>
      <t xml:space="preserve">EN#2176874, INV#057/EXP/INV/III/2026, T/R, </t>
    </r>
    <r>
      <rPr>
        <rFont val="Arial"/>
        <color rgb="FFFF0000"/>
        <sz val="11.0"/>
      </rPr>
      <t>GATEFEE, empty return
- CMA CGM ARGENTINA?</t>
    </r>
    <r>
      <rPr>
        <rFont val="Arial"/>
        <color rgb="FF000000"/>
        <sz val="11.0"/>
      </rPr>
      <t>, (D18), EG</t>
    </r>
    <r>
      <rPr>
        <rFont val="Arial"/>
        <color rgb="FFFF0000"/>
        <sz val="11.0"/>
      </rPr>
      <t xml:space="preserve">
- total tariffs</t>
    </r>
  </si>
  <si>
    <t>EGSU9543577</t>
  </si>
  <si>
    <t>GINGER CHEWS 4 OZ (BLOOD ORANGE), QC SAMPLE</t>
  </si>
  <si>
    <t>Live unload, 21 plts
Received PO (D20)</t>
  </si>
  <si>
    <r>
      <rPr>
        <rFont val="Arial"/>
        <color rgb="FF000000"/>
        <sz val="11.0"/>
      </rPr>
      <t xml:space="preserve">EN#2176903, INV#E/SNA/2026/00027, T/R, </t>
    </r>
    <r>
      <rPr>
        <rFont val="Arial"/>
        <color rgb="FFFF0000"/>
        <sz val="11.0"/>
      </rPr>
      <t>empty return
- CMA CGM ARGENTINA?</t>
    </r>
    <r>
      <rPr>
        <rFont val="Arial"/>
        <color rgb="FF000000"/>
        <sz val="11.0"/>
      </rPr>
      <t>, (D20), EG</t>
    </r>
    <r>
      <rPr>
        <rFont val="Arial"/>
        <color rgb="FFFF0000"/>
        <sz val="11.0"/>
      </rPr>
      <t xml:space="preserve">
- total tariffs
</t>
    </r>
    <r>
      <rPr>
        <rFont val="Arial"/>
        <color rgb="FF000000"/>
        <sz val="11.0"/>
      </rPr>
      <t>- Live unload, 21 plts</t>
    </r>
  </si>
  <si>
    <t>HDMU5521404</t>
  </si>
  <si>
    <r>
      <rPr>
        <rFont val="Arial"/>
        <b/>
        <color rgb="FF000000"/>
        <sz val="11.0"/>
      </rPr>
      <t xml:space="preserve">Need genset
</t>
    </r>
    <r>
      <rPr>
        <rFont val="Arial"/>
        <b/>
        <color rgb="FF000000"/>
        <sz val="11.0"/>
      </rPr>
      <t>Received PO (D22)</t>
    </r>
  </si>
  <si>
    <r>
      <rPr>
        <rFont val="Arial"/>
        <color rgb="FF000000"/>
        <sz val="11.0"/>
      </rPr>
      <t>EN#2176898, INV#94483196, T/R</t>
    </r>
    <r>
      <rPr>
        <rFont val="Arial"/>
        <color rgb="FFFF0000"/>
        <sz val="11.0"/>
      </rPr>
      <t>, empty return
- NYK DEMETER?</t>
    </r>
    <r>
      <rPr>
        <rFont val="Arial"/>
        <color rgb="FF000000"/>
        <sz val="11.0"/>
      </rPr>
      <t>, (D22), HMM</t>
    </r>
    <r>
      <rPr>
        <rFont val="Arial"/>
        <color rgb="FFFF0000"/>
        <sz val="11.0"/>
      </rPr>
      <t xml:space="preserve">
- total tariffs</t>
    </r>
  </si>
  <si>
    <t>EGSU1216330</t>
  </si>
  <si>
    <r>
      <rPr>
        <rFont val="Arial"/>
        <b/>
        <color rgb="FF0000FF"/>
        <sz val="11.0"/>
      </rPr>
      <t>Update WQ - next 4/17</t>
    </r>
    <r>
      <rPr>
        <rFont val="Arial"/>
        <b/>
        <color rgb="FF000000"/>
        <sz val="11.0"/>
      </rPr>
      <t xml:space="preserve">
Pending BL
Received PO (D1)</t>
    </r>
  </si>
  <si>
    <r>
      <rPr>
        <rFont val="Arial"/>
        <color rgb="FF000000"/>
        <sz val="11.0"/>
      </rPr>
      <t xml:space="preserve">EN#2176556, INV#056/EXP/INV/III/2026, T/R, </t>
    </r>
    <r>
      <rPr>
        <rFont val="Arial"/>
        <color rgb="FFFF0000"/>
        <sz val="11.0"/>
      </rPr>
      <t xml:space="preserve">empty return
</t>
    </r>
    <r>
      <rPr>
        <rFont val="Arial"/>
        <color rgb="FF000000"/>
        <sz val="11.0"/>
      </rPr>
      <t>- CMA CGM MEXICO, (D1), EG</t>
    </r>
    <r>
      <rPr>
        <rFont val="Arial"/>
        <color rgb="FFFF0000"/>
        <sz val="11.0"/>
      </rPr>
      <t xml:space="preserve">
- total tariffs</t>
    </r>
  </si>
  <si>
    <t>EGSU6447380</t>
  </si>
  <si>
    <r>
      <rPr>
        <rFont val="Arial"/>
        <b/>
        <color rgb="FF0000FF"/>
        <sz val="11.0"/>
      </rPr>
      <t xml:space="preserve">Update WQ - next 4/17
</t>
    </r>
    <r>
      <rPr>
        <rFont val="Arial"/>
        <b/>
        <color rgb="FF000000"/>
        <sz val="11.0"/>
      </rPr>
      <t>Received PO (C22)</t>
    </r>
  </si>
  <si>
    <r>
      <rPr>
        <rFont val="Arial"/>
        <color rgb="FF000000"/>
        <sz val="11.0"/>
      </rPr>
      <t xml:space="preserve">EN#2176455, INV#E/SNA/2026/00020, T/R, </t>
    </r>
    <r>
      <rPr>
        <rFont val="Arial"/>
        <color rgb="FFFF0000"/>
        <sz val="11.0"/>
      </rPr>
      <t xml:space="preserve">empty return
</t>
    </r>
    <r>
      <rPr>
        <rFont val="Arial"/>
        <color rgb="FF000000"/>
        <sz val="11.0"/>
      </rPr>
      <t>- CMA CGM MEXICO, (C22), EG</t>
    </r>
    <r>
      <rPr>
        <rFont val="Arial"/>
        <color rgb="FFFF0000"/>
        <sz val="11.0"/>
      </rPr>
      <t xml:space="preserve">
- total tariffs</t>
    </r>
  </si>
  <si>
    <t>EGSU6607657</t>
  </si>
  <si>
    <r>
      <rPr>
        <rFont val="Arial"/>
        <b/>
        <color rgb="FF0000FF"/>
        <sz val="11.0"/>
      </rPr>
      <t xml:space="preserve">Update WQ - next 4/17
</t>
    </r>
    <r>
      <rPr>
        <rFont val="Arial"/>
        <b/>
        <color rgb="FF000000"/>
        <sz val="11.0"/>
      </rPr>
      <t>Pending CI
Received PO (C21)</t>
    </r>
  </si>
  <si>
    <r>
      <rPr>
        <rFont val="Arial"/>
        <color rgb="FF000000"/>
        <sz val="11.0"/>
      </rPr>
      <t xml:space="preserve">EN#2176559, </t>
    </r>
    <r>
      <rPr>
        <rFont val="Arial"/>
        <color rgb="FFFF0000"/>
        <sz val="11.0"/>
      </rPr>
      <t>INV#</t>
    </r>
    <r>
      <rPr>
        <rFont val="Arial"/>
        <color rgb="FF000000"/>
        <sz val="11.0"/>
      </rPr>
      <t xml:space="preserve">, T/R, </t>
    </r>
    <r>
      <rPr>
        <rFont val="Arial"/>
        <color rgb="FFFF0000"/>
        <sz val="11.0"/>
      </rPr>
      <t xml:space="preserve">empty return
</t>
    </r>
    <r>
      <rPr>
        <rFont val="Arial"/>
        <color rgb="FF000000"/>
        <sz val="11.0"/>
      </rPr>
      <t>- EVER MERCY, (C21), EG</t>
    </r>
    <r>
      <rPr>
        <rFont val="Arial"/>
        <color rgb="FFFF0000"/>
        <sz val="11.0"/>
      </rPr>
      <t xml:space="preserve">
- total tariffs</t>
    </r>
  </si>
  <si>
    <t>EMCU1529721</t>
  </si>
  <si>
    <t>Live unload, 21 plts
Received PO (D11)</t>
  </si>
  <si>
    <r>
      <rPr>
        <rFont val="Arial"/>
        <color rgb="FF000000"/>
        <sz val="11.0"/>
      </rPr>
      <t xml:space="preserve">EN#2176850, INV#E/SNA/2026/00026, T/R, </t>
    </r>
    <r>
      <rPr>
        <rFont val="Arial"/>
        <color rgb="FFFF0000"/>
        <sz val="11.0"/>
      </rPr>
      <t>empty return
- EVER MERCY?</t>
    </r>
    <r>
      <rPr>
        <rFont val="Arial"/>
        <color rgb="FF000000"/>
        <sz val="11.0"/>
      </rPr>
      <t>, (D11), EG</t>
    </r>
    <r>
      <rPr>
        <rFont val="Arial"/>
        <color rgb="FFFF0000"/>
        <sz val="11.0"/>
      </rPr>
      <t xml:space="preserve">
- total tariffs
</t>
    </r>
    <r>
      <rPr>
        <rFont val="Arial"/>
        <color rgb="FF000000"/>
        <sz val="11.0"/>
      </rPr>
      <t>- Live unload, 21 plts</t>
    </r>
  </si>
  <si>
    <t>CAAU5446951</t>
  </si>
  <si>
    <t>GHC D-04011, INSTANT TEA CHINESE HERBAL BULK</t>
  </si>
  <si>
    <r>
      <rPr>
        <rFont val="Arial"/>
        <b/>
        <color rgb="FF0000FF"/>
        <sz val="11.0"/>
      </rPr>
      <t xml:space="preserve">Pending PO#, BL
Pay gate fee
</t>
    </r>
    <r>
      <rPr>
        <rFont val="Arial"/>
        <b/>
        <color rgb="FF0000FF"/>
        <sz val="11.0"/>
      </rPr>
      <t>Received PO (E2)</t>
    </r>
  </si>
  <si>
    <r>
      <rPr>
        <rFont val="Arial"/>
        <color rgb="FF000000"/>
        <sz val="11.0"/>
      </rPr>
      <t xml:space="preserve">EN#2176967, INV#AIT2603, T/R, </t>
    </r>
    <r>
      <rPr>
        <rFont val="Arial"/>
        <color rgb="FFFF0000"/>
        <sz val="11.0"/>
      </rPr>
      <t xml:space="preserve">GATEFEE, empty return
</t>
    </r>
    <r>
      <rPr>
        <rFont val="Arial"/>
        <color rgb="FF000000"/>
        <sz val="11.0"/>
      </rPr>
      <t>- EVER LOGIC, (E2), EG</t>
    </r>
    <r>
      <rPr>
        <rFont val="Arial"/>
        <color rgb="FFFF0000"/>
        <sz val="11.0"/>
      </rPr>
      <t xml:space="preserve">
- total tariffs</t>
    </r>
  </si>
  <si>
    <t>WHSU6327928</t>
  </si>
  <si>
    <r>
      <rPr>
        <rFont val="Arial"/>
        <color rgb="FF000000"/>
        <sz val="11.0"/>
      </rPr>
      <t xml:space="preserve">AM GSG CANDY, </t>
    </r>
    <r>
      <rPr>
        <rFont val="Arial"/>
        <color rgb="FF0000FF"/>
        <sz val="11.0"/>
      </rPr>
      <t>QC SAMPLE</t>
    </r>
  </si>
  <si>
    <t>Pay gate fee
Received PO (D10)</t>
  </si>
  <si>
    <r>
      <rPr>
        <rFont val="Arial"/>
        <color rgb="FF000000"/>
        <sz val="11.0"/>
      </rPr>
      <t xml:space="preserve">EN#2176720, INV#2197, T/R, </t>
    </r>
    <r>
      <rPr>
        <rFont val="Arial"/>
        <color rgb="FFFF0000"/>
        <sz val="11.0"/>
      </rPr>
      <t>GATEFEE, empty return
- WAN HAI A05?</t>
    </r>
    <r>
      <rPr>
        <rFont val="Arial"/>
        <color rgb="FF000000"/>
        <sz val="11.0"/>
      </rPr>
      <t>, (D10), WAN HAI</t>
    </r>
    <r>
      <rPr>
        <rFont val="Arial"/>
        <color rgb="FFFF0000"/>
        <sz val="11.0"/>
      </rPr>
      <t xml:space="preserve">
- total tariffs</t>
    </r>
  </si>
  <si>
    <t>WHSU8296385</t>
  </si>
  <si>
    <r>
      <rPr>
        <rFont val="Arial"/>
        <color rgb="FF000000"/>
        <sz val="11.0"/>
      </rPr>
      <t xml:space="preserve">GINGER CHEWS 8 OZ (ORIGINAL, LEMON), </t>
    </r>
    <r>
      <rPr>
        <rFont val="Arial"/>
        <color rgb="FF0000FF"/>
        <sz val="11.0"/>
      </rPr>
      <t>QC SAMPLE</t>
    </r>
  </si>
  <si>
    <t>Pay gate fee
Received PO (D2)</t>
  </si>
  <si>
    <r>
      <rPr>
        <rFont val="Arial"/>
        <color rgb="FF000000"/>
        <sz val="11.0"/>
      </rPr>
      <t xml:space="preserve">EN#2176646, INV#054/EXP/INV/III/2026, T/R, </t>
    </r>
    <r>
      <rPr>
        <rFont val="Arial"/>
        <color rgb="FFFF0000"/>
        <sz val="11.0"/>
      </rPr>
      <t xml:space="preserve">GATEFEE, empty return
</t>
    </r>
    <r>
      <rPr>
        <rFont val="Arial"/>
        <color rgb="FF000000"/>
        <sz val="11.0"/>
      </rPr>
      <t>- WAN HAI A05, (D2), WAN HAI</t>
    </r>
    <r>
      <rPr>
        <rFont val="Arial"/>
        <color rgb="FFFF0000"/>
        <sz val="11.0"/>
      </rPr>
      <t xml:space="preserve">
- total tariffs</t>
    </r>
  </si>
  <si>
    <t>HPCU4851998</t>
  </si>
  <si>
    <r>
      <rPr>
        <rFont val="Arial"/>
        <color rgb="FF000000"/>
        <sz val="11.0"/>
      </rPr>
      <t xml:space="preserve">CAPPUCCINO, THAI TEA, MATCHA LATTE, </t>
    </r>
    <r>
      <rPr>
        <rFont val="Arial"/>
        <color rgb="FF000000"/>
        <sz val="11.0"/>
      </rPr>
      <t xml:space="preserve">QC SAMPLE </t>
    </r>
  </si>
  <si>
    <r>
      <rPr>
        <rFont val="Arial"/>
        <b/>
        <color rgb="FFFF0000"/>
        <sz val="11.0"/>
      </rPr>
      <t>Sending OBL - EG</t>
    </r>
    <r>
      <rPr>
        <rFont val="Arial"/>
        <b/>
        <color rgb="FF0000FF"/>
        <sz val="11.0"/>
      </rPr>
      <t xml:space="preserve">
Received PO (D14)</t>
    </r>
  </si>
  <si>
    <r>
      <rPr>
        <rFont val="Arial"/>
        <color rgb="FF000000"/>
        <sz val="11.0"/>
      </rPr>
      <t xml:space="preserve">EN#2176788, INV#EMI260000179, </t>
    </r>
    <r>
      <rPr>
        <rFont val="Arial"/>
        <color rgb="FFFF0000"/>
        <sz val="11.0"/>
      </rPr>
      <t>OBL, empty return
- CMA CGM J. ADAMS?</t>
    </r>
    <r>
      <rPr>
        <rFont val="Arial"/>
        <color rgb="FF000000"/>
        <sz val="11.0"/>
      </rPr>
      <t>, (D14), EG</t>
    </r>
    <r>
      <rPr>
        <rFont val="Arial"/>
        <color rgb="FFFF0000"/>
        <sz val="11.0"/>
      </rPr>
      <t xml:space="preserve">
- total tariffs</t>
    </r>
  </si>
  <si>
    <t>EGSU6133500</t>
  </si>
  <si>
    <t>MATCHA LATTE, QC SAMPLE</t>
  </si>
  <si>
    <r>
      <rPr>
        <rFont val="Arial"/>
        <b/>
        <color rgb="FFFF0000"/>
        <sz val="11.0"/>
      </rPr>
      <t>Sending OBL - EG</t>
    </r>
    <r>
      <rPr>
        <rFont val="Arial"/>
        <b/>
        <color rgb="FF0000FF"/>
        <sz val="11.0"/>
      </rPr>
      <t xml:space="preserve">
Received PO (D13)</t>
    </r>
  </si>
  <si>
    <r>
      <rPr>
        <rFont val="Arial"/>
        <color rgb="FF000000"/>
        <sz val="11.0"/>
      </rPr>
      <t xml:space="preserve">EN#2176787, INV#EMI260000178, </t>
    </r>
    <r>
      <rPr>
        <rFont val="Arial"/>
        <color rgb="FFFF0000"/>
        <sz val="11.0"/>
      </rPr>
      <t>OBL, empty return
- CMA CGM J. ADAMS?</t>
    </r>
    <r>
      <rPr>
        <rFont val="Arial"/>
        <color rgb="FF000000"/>
        <sz val="11.0"/>
      </rPr>
      <t>, (D13), EG</t>
    </r>
    <r>
      <rPr>
        <rFont val="Arial"/>
        <color rgb="FFFF0000"/>
        <sz val="11.0"/>
      </rPr>
      <t xml:space="preserve">
- total tariffs</t>
    </r>
  </si>
  <si>
    <t>EGSU9872232</t>
  </si>
  <si>
    <t xml:space="preserve">DONG QUAI RED DATE D-04020, GHC PLUM D-04036, GHC LEMON D-04037, GHC D-04061, GHC AM GSG D-04030, GHC DARK BROWN SUGAR D-41986 </t>
  </si>
  <si>
    <t>Received PO (E3)</t>
  </si>
  <si>
    <r>
      <rPr>
        <rFont val="Arial"/>
        <color rgb="FF000000"/>
        <sz val="11.0"/>
      </rPr>
      <t xml:space="preserve">EN#2176944, INV#JB2616, T/R, </t>
    </r>
    <r>
      <rPr>
        <rFont val="Arial"/>
        <color rgb="FFFF0000"/>
        <sz val="11.0"/>
      </rPr>
      <t xml:space="preserve">empty return
</t>
    </r>
    <r>
      <rPr>
        <rFont val="Arial"/>
        <color rgb="FF000000"/>
        <sz val="11.0"/>
      </rPr>
      <t>- OOCL KAPOK, (E3), EG</t>
    </r>
    <r>
      <rPr>
        <rFont val="Arial"/>
        <color rgb="FFFF0000"/>
        <sz val="11.0"/>
      </rPr>
      <t xml:space="preserve">
- total tariffs</t>
    </r>
  </si>
  <si>
    <t>ONEU3297460</t>
  </si>
  <si>
    <r>
      <rPr>
        <rFont val="Arial"/>
        <b/>
        <color rgb="FFFF0000"/>
        <sz val="11.0"/>
      </rPr>
      <t xml:space="preserve">Need genset?
</t>
    </r>
    <r>
      <rPr>
        <rFont val="Arial"/>
        <b/>
        <color rgb="FF0000FF"/>
        <sz val="11.0"/>
      </rPr>
      <t>Received PO (E1)</t>
    </r>
  </si>
  <si>
    <r>
      <rPr>
        <rFont val="Arial"/>
        <color rgb="FF000000"/>
        <sz val="11.0"/>
      </rPr>
      <t xml:space="preserve">EN#2176966, INV#94484106, T/R, </t>
    </r>
    <r>
      <rPr>
        <rFont val="Arial"/>
        <color rgb="FFFF0000"/>
        <sz val="11.0"/>
      </rPr>
      <t xml:space="preserve">empty return
</t>
    </r>
    <r>
      <rPr>
        <rFont val="Arial"/>
        <color rgb="FF000000"/>
        <sz val="11.0"/>
      </rPr>
      <t>- ONE SATISFACTION, (E1), ONE</t>
    </r>
    <r>
      <rPr>
        <rFont val="Arial"/>
        <color rgb="FFFF0000"/>
        <sz val="11.0"/>
      </rPr>
      <t xml:space="preserve">
- total tariffs</t>
    </r>
  </si>
  <si>
    <t>EITU9300580</t>
  </si>
  <si>
    <r>
      <rPr>
        <rFont val="Arial"/>
        <b/>
        <color rgb="FFFF0000"/>
        <sz val="11.0"/>
      </rPr>
      <t>Pending ISF, EN#</t>
    </r>
    <r>
      <rPr>
        <rFont val="Arial"/>
        <b/>
        <color rgb="FF0000FF"/>
        <sz val="11.0"/>
      </rPr>
      <t xml:space="preserve">
Pending CI
Received PO (D7)</t>
    </r>
  </si>
  <si>
    <r>
      <rPr>
        <rFont val="Arial"/>
        <color rgb="FFFF0000"/>
        <sz val="11.0"/>
      </rPr>
      <t>EN#, INV#</t>
    </r>
    <r>
      <rPr>
        <rFont val="Arial"/>
        <color rgb="FF000000"/>
        <sz val="11.0"/>
      </rPr>
      <t xml:space="preserve">, T/R, empty return
</t>
    </r>
    <r>
      <rPr>
        <rFont val="Arial"/>
        <color rgb="FFFF0000"/>
        <sz val="11.0"/>
      </rPr>
      <t>- TAURUS?</t>
    </r>
    <r>
      <rPr>
        <rFont val="Arial"/>
        <color rgb="FF000000"/>
        <sz val="11.0"/>
      </rPr>
      <t>, (D7), EG</t>
    </r>
    <r>
      <rPr>
        <rFont val="Arial"/>
        <color rgb="FFFF0000"/>
        <sz val="11.0"/>
      </rPr>
      <t xml:space="preserve">
- total tariffs</t>
    </r>
  </si>
  <si>
    <t>EGSU3896237</t>
  </si>
  <si>
    <t>Pending PO#
Received PO (x</t>
  </si>
  <si>
    <t>TIIU6248508</t>
  </si>
  <si>
    <t>Received PO (C19)</t>
  </si>
  <si>
    <r>
      <rPr>
        <rFont val="Arial"/>
        <color rgb="FF000000"/>
        <sz val="11.0"/>
      </rPr>
      <t xml:space="preserve">EN#2176560, INV#E/SNA/2026/00022, T/R, </t>
    </r>
    <r>
      <rPr>
        <rFont val="Arial"/>
        <color rgb="FFFF0000"/>
        <sz val="11.0"/>
      </rPr>
      <t>empty return
- TAURUS?</t>
    </r>
    <r>
      <rPr>
        <rFont val="Arial"/>
        <color rgb="FF000000"/>
        <sz val="11.0"/>
      </rPr>
      <t>, (C19), EG</t>
    </r>
    <r>
      <rPr>
        <rFont val="Arial"/>
        <color rgb="FFFF0000"/>
        <sz val="11.0"/>
      </rPr>
      <t xml:space="preserve">
- total tariffs</t>
    </r>
  </si>
  <si>
    <t>OOCU9365124</t>
  </si>
  <si>
    <t>ORGANIC TEA &amp; QC SAMPLE
D-13206, D-13212, D-14206, D-15206, D-18206, D-19206, D-13240, D-19240</t>
  </si>
  <si>
    <t>Received PO (D19)</t>
  </si>
  <si>
    <r>
      <rPr>
        <rFont val="Arial"/>
        <color rgb="FF000000"/>
        <sz val="11.0"/>
      </rPr>
      <t>EN#2176883, INV#YD26-T02, T/R,</t>
    </r>
    <r>
      <rPr>
        <rFont val="Arial"/>
        <color rgb="FFFF0000"/>
        <sz val="11.0"/>
      </rPr>
      <t xml:space="preserve"> empty return
</t>
    </r>
    <r>
      <rPr>
        <rFont val="Arial"/>
        <color rgb="FF000000"/>
        <sz val="11.0"/>
      </rPr>
      <t>- OOCL FRANCE, (D19), COSCO</t>
    </r>
    <r>
      <rPr>
        <rFont val="Arial"/>
        <color rgb="FFFF0000"/>
        <sz val="11.0"/>
      </rPr>
      <t xml:space="preserve">
- total tariffs</t>
    </r>
  </si>
  <si>
    <t>MRSU3689815</t>
  </si>
  <si>
    <t>RED PANAX GINSENG EXTRACT, AMERICAN GINSENG ROYAL JELLY, BEIJING ROYAL JELLY</t>
  </si>
  <si>
    <t>Pay gate fee
Received PO (C14)</t>
  </si>
  <si>
    <r>
      <rPr>
        <rFont val="Arial"/>
        <color rgb="FF000000"/>
        <sz val="11.0"/>
      </rPr>
      <t xml:space="preserve">EN#2176340, INV#HR-2602, T/R, </t>
    </r>
    <r>
      <rPr>
        <rFont val="Arial"/>
        <color rgb="FFFF0000"/>
        <sz val="11.0"/>
      </rPr>
      <t xml:space="preserve">GATEFEE, empty return
</t>
    </r>
    <r>
      <rPr>
        <rFont val="Arial"/>
        <color rgb="FF000000"/>
        <sz val="11.0"/>
      </rPr>
      <t>- GERDA MAERSK, (C14), MAEU</t>
    </r>
    <r>
      <rPr>
        <rFont val="Arial"/>
        <color rgb="FFFF0000"/>
        <sz val="11.0"/>
      </rPr>
      <t xml:space="preserve">
- total tariffs</t>
    </r>
  </si>
  <si>
    <t>EGSU1473998</t>
  </si>
  <si>
    <r>
      <rPr>
        <rFont val="Arial"/>
        <color rgb="FF000000"/>
        <sz val="11.0"/>
      </rPr>
      <t>THAI TEA, MATCHA LATTE,</t>
    </r>
    <r>
      <rPr>
        <rFont val="Arial"/>
        <color rgb="FF0000FF"/>
        <sz val="11.0"/>
      </rPr>
      <t xml:space="preserve"> QC SAMPLE</t>
    </r>
  </si>
  <si>
    <r>
      <rPr>
        <rFont val="Arial"/>
        <b/>
        <color rgb="FFFF0000"/>
        <sz val="11.0"/>
      </rPr>
      <t>Sending OBL - EG</t>
    </r>
    <r>
      <rPr>
        <rFont val="Arial"/>
        <b/>
        <color rgb="FF0000FF"/>
        <sz val="11.0"/>
      </rPr>
      <t xml:space="preserve">
Pay gate fee
Received PO (D4)</t>
    </r>
  </si>
  <si>
    <r>
      <rPr>
        <rFont val="Arial"/>
        <color rgb="FF000000"/>
        <sz val="11.0"/>
      </rPr>
      <t>EN#2176558, INV#EMI260000167,</t>
    </r>
    <r>
      <rPr>
        <rFont val="Arial"/>
        <color rgb="FFFF0000"/>
        <sz val="11.0"/>
      </rPr>
      <t xml:space="preserve"> OBL, GATEFEE, empy return
</t>
    </r>
    <r>
      <rPr>
        <rFont val="Arial"/>
        <color rgb="FF000000"/>
        <sz val="11.0"/>
      </rPr>
      <t>- EVER MOST, (D4), EG</t>
    </r>
    <r>
      <rPr>
        <rFont val="Arial"/>
        <color rgb="FFFF0000"/>
        <sz val="11.0"/>
      </rPr>
      <t xml:space="preserve">
- total tariffs</t>
    </r>
  </si>
  <si>
    <t>TEMU0940295</t>
  </si>
  <si>
    <t>Received PO (D16)</t>
  </si>
  <si>
    <r>
      <rPr>
        <rFont val="Arial"/>
        <color rgb="FF000000"/>
        <sz val="11.0"/>
      </rPr>
      <t xml:space="preserve">EN#2176812, INV#WW18/2026, T/R, </t>
    </r>
    <r>
      <rPr>
        <rFont val="Arial"/>
        <color rgb="FFFF0000"/>
        <sz val="11.0"/>
      </rPr>
      <t xml:space="preserve">empty return
</t>
    </r>
    <r>
      <rPr>
        <rFont val="Arial"/>
        <color rgb="FF000000"/>
        <sz val="11.0"/>
      </rPr>
      <t>- YM UPSURGENCE, (D16), YANG MING</t>
    </r>
    <r>
      <rPr>
        <rFont val="Arial"/>
        <color rgb="FFFF0000"/>
        <sz val="11.0"/>
      </rPr>
      <t xml:space="preserve">
- total tariffs</t>
    </r>
  </si>
  <si>
    <t>MRSU8787305</t>
  </si>
  <si>
    <t>RED PANAX GINSENG EXTRACT
C-70113, C-70121, C-70123</t>
  </si>
  <si>
    <t>Received PO (C10)</t>
  </si>
  <si>
    <r>
      <rPr>
        <rFont val="Arial"/>
        <color rgb="FF000000"/>
        <sz val="11.0"/>
      </rPr>
      <t xml:space="preserve">EN#2176196, INV#HR-2601, T/R, </t>
    </r>
    <r>
      <rPr>
        <rFont val="Arial"/>
        <color rgb="FFFF0000"/>
        <sz val="11.0"/>
      </rPr>
      <t xml:space="preserve">empty return
</t>
    </r>
    <r>
      <rPr>
        <rFont val="Arial"/>
        <color rgb="FF000000"/>
        <sz val="11.0"/>
      </rPr>
      <t>- MAERSK STADELHORN, (C10), MAEU</t>
    </r>
    <r>
      <rPr>
        <rFont val="Arial"/>
        <color rgb="FFFF0000"/>
        <sz val="11.0"/>
      </rPr>
      <t xml:space="preserve">
- total tariffs</t>
    </r>
  </si>
  <si>
    <t>EGSU1686904</t>
  </si>
  <si>
    <t>DONG QUAI RED DATE D-04020, GHC TURMERIC D-04032, GHC LEMON D-04037, GHC D-04040, D-04061</t>
  </si>
  <si>
    <r>
      <rPr>
        <rFont val="Arial"/>
        <b/>
        <color rgb="FF0000FF"/>
        <sz val="11.0"/>
      </rPr>
      <t>Pay gate fee</t>
    </r>
    <r>
      <rPr>
        <rFont val="Arial"/>
        <b/>
        <color rgb="FF000000"/>
        <sz val="11.0"/>
      </rPr>
      <t xml:space="preserve">
Received PO (D12)</t>
    </r>
  </si>
  <si>
    <r>
      <rPr>
        <rFont val="Arial"/>
        <color rgb="FF000000"/>
        <sz val="11.0"/>
      </rPr>
      <t xml:space="preserve">EN#2176775, INV#JB2634, T/R, </t>
    </r>
    <r>
      <rPr>
        <rFont val="Arial"/>
        <color rgb="FFFF0000"/>
        <sz val="11.0"/>
      </rPr>
      <t>GATEFEE, empty return
- EVER LEGION</t>
    </r>
    <r>
      <rPr>
        <rFont val="Arial"/>
        <color rgb="FF000000"/>
        <sz val="11.0"/>
      </rPr>
      <t>, (D12), EG</t>
    </r>
    <r>
      <rPr>
        <rFont val="Arial"/>
        <color rgb="FFFF0000"/>
        <sz val="11.0"/>
      </rPr>
      <t xml:space="preserve">
- total tariffs</t>
    </r>
  </si>
  <si>
    <t>EGSU1363497</t>
  </si>
  <si>
    <t>THAI TEA, MATCHA LATTE, CAPPUCCINO</t>
  </si>
  <si>
    <r>
      <rPr>
        <rFont val="Arial"/>
        <b/>
        <color rgb="FFFF0000"/>
        <sz val="11.0"/>
      </rPr>
      <t>Sending OBL - EG</t>
    </r>
    <r>
      <rPr>
        <rFont val="Arial"/>
        <b/>
        <color rgb="FF0000FF"/>
        <sz val="11.0"/>
      </rPr>
      <t xml:space="preserve">
Received PO (D5)</t>
    </r>
  </si>
  <si>
    <r>
      <rPr>
        <rFont val="Arial"/>
        <color rgb="FF000000"/>
        <sz val="11.0"/>
      </rPr>
      <t xml:space="preserve">EN#2176557, INV#EMI260000164, </t>
    </r>
    <r>
      <rPr>
        <rFont val="Arial"/>
        <color rgb="FFFF0000"/>
        <sz val="11.0"/>
      </rPr>
      <t xml:space="preserve">OBL, empty return
</t>
    </r>
    <r>
      <rPr>
        <rFont val="Arial"/>
        <color rgb="FF000000"/>
        <sz val="11.0"/>
      </rPr>
      <t>- EVER MOST, (D5), EG</t>
    </r>
    <r>
      <rPr>
        <rFont val="Arial"/>
        <color rgb="FFFF0000"/>
        <sz val="11.0"/>
      </rPr>
      <t xml:space="preserve">
- total tariffs</t>
    </r>
  </si>
  <si>
    <t>CMAU7788985</t>
  </si>
  <si>
    <t>GHC D-04061, GHC LEMON D-04037, GHC TURMERIC D-04032, D-04033, GHC DARK BROWN SUGAR D-41986</t>
  </si>
  <si>
    <r>
      <rPr>
        <rFont val="Arial"/>
        <b/>
        <color rgb="FF0000FF"/>
        <sz val="11.0"/>
      </rPr>
      <t>Pay gate fee</t>
    </r>
    <r>
      <rPr>
        <rFont val="Arial"/>
        <b/>
        <color rgb="FF000000"/>
        <sz val="11.0"/>
      </rPr>
      <t xml:space="preserve">
Received PO (D17)</t>
    </r>
  </si>
  <si>
    <r>
      <rPr>
        <rFont val="Arial"/>
        <color rgb="FF000000"/>
        <sz val="11.0"/>
      </rPr>
      <t xml:space="preserve">EN#2176839, INV#AIT2601, T/R, </t>
    </r>
    <r>
      <rPr>
        <rFont val="Arial"/>
        <color rgb="FFFF0000"/>
        <sz val="11.0"/>
      </rPr>
      <t xml:space="preserve">GATEFEE, empty return
</t>
    </r>
    <r>
      <rPr>
        <rFont val="Arial"/>
        <color rgb="FF000000"/>
        <sz val="11.0"/>
      </rPr>
      <t>- PRESIDENT JQ ADAMS, (D17), CMA</t>
    </r>
    <r>
      <rPr>
        <rFont val="Arial"/>
        <color rgb="FFFF0000"/>
        <sz val="11.0"/>
      </rPr>
      <t xml:space="preserve">
- total tariffs</t>
    </r>
  </si>
  <si>
    <t>EITU9583073</t>
  </si>
  <si>
    <r>
      <rPr>
        <rFont val="Arial"/>
        <color rgb="FF000000"/>
        <sz val="11.0"/>
      </rPr>
      <t xml:space="preserve">GINGER CHEWS 8 OZ (ORIGINAL, LEMON), </t>
    </r>
    <r>
      <rPr>
        <rFont val="Arial"/>
        <color rgb="FF0000FF"/>
        <sz val="11.0"/>
      </rPr>
      <t>QC SAMPLE</t>
    </r>
  </si>
  <si>
    <r>
      <rPr>
        <rFont val="Arial"/>
        <b/>
        <color rgb="FFFF0000"/>
        <sz val="11.0"/>
      </rPr>
      <t>Pay gate fee</t>
    </r>
    <r>
      <rPr>
        <rFont val="Arial"/>
        <b/>
        <color rgb="FF0000FF"/>
        <sz val="11.0"/>
      </rPr>
      <t xml:space="preserve">
Received PO (C7)</t>
    </r>
  </si>
  <si>
    <r>
      <rPr>
        <rFont val="Arial"/>
        <color rgb="FF000000"/>
        <sz val="11.0"/>
      </rPr>
      <t>EN#2176185, INV#038/EXP/INV/II/2026, T/R,</t>
    </r>
    <r>
      <rPr>
        <rFont val="Arial"/>
        <color rgb="FFFF0000"/>
        <sz val="11.0"/>
      </rPr>
      <t xml:space="preserve"> GATEFEE, empty return
</t>
    </r>
    <r>
      <rPr>
        <rFont val="Arial"/>
        <color rgb="FF000000"/>
        <sz val="11.0"/>
      </rPr>
      <t>- CMA CGM TITAN, (C7), EG</t>
    </r>
    <r>
      <rPr>
        <rFont val="Arial"/>
        <color rgb="FFFF0000"/>
        <sz val="11.0"/>
      </rPr>
      <t xml:space="preserve">
- total tariffs</t>
    </r>
  </si>
  <si>
    <t>TXGU6617940</t>
  </si>
  <si>
    <r>
      <rPr>
        <rFont val="Arial"/>
        <color rgb="FF000000"/>
        <sz val="11.0"/>
      </rPr>
      <t xml:space="preserve">GINGER CHEWS 4 OZ (ORIGINAL), </t>
    </r>
    <r>
      <rPr>
        <rFont val="Arial"/>
        <color rgb="FF0000FF"/>
        <sz val="11.0"/>
      </rPr>
      <t>QC SAMPLE</t>
    </r>
  </si>
  <si>
    <r>
      <rPr>
        <rFont val="Arial"/>
        <b/>
        <color rgb="FFFF0000"/>
        <sz val="11.0"/>
      </rPr>
      <t>Pending BL
Pay gate fee</t>
    </r>
    <r>
      <rPr>
        <rFont val="Arial"/>
        <b/>
        <color rgb="FF0000FF"/>
        <sz val="11.0"/>
      </rPr>
      <t xml:space="preserve">
Received PO (C4)</t>
    </r>
  </si>
  <si>
    <r>
      <rPr>
        <rFont val="Arial"/>
        <color rgb="FF000000"/>
        <sz val="11.0"/>
      </rPr>
      <t xml:space="preserve">EN#2176126, INV#034/EXP/INV/II/2026, T/R, </t>
    </r>
    <r>
      <rPr>
        <rFont val="Arial"/>
        <color rgb="FFFF0000"/>
        <sz val="11.0"/>
      </rPr>
      <t xml:space="preserve">GATEFEE, empty return
</t>
    </r>
    <r>
      <rPr>
        <rFont val="Arial"/>
        <color rgb="FF000000"/>
        <sz val="11.0"/>
      </rPr>
      <t>- CMA CGM TITAN, (C4), EG</t>
    </r>
    <r>
      <rPr>
        <rFont val="Arial"/>
        <color rgb="FFFF0000"/>
        <sz val="11.0"/>
      </rPr>
      <t xml:space="preserve">
- total tariffs</t>
    </r>
  </si>
  <si>
    <t>FFAU1553209</t>
  </si>
  <si>
    <t>GHC D-04011, GHC LEMON D-04037, GHC D-04061</t>
  </si>
  <si>
    <t>Received PO (D6)</t>
  </si>
  <si>
    <r>
      <rPr>
        <rFont val="Arial"/>
        <color rgb="FF000000"/>
        <sz val="11.0"/>
      </rPr>
      <t>EN#2176579, INV#JB2615, T/R, empty return
- COSCO PRIDE, (D6), EG</t>
    </r>
    <r>
      <rPr>
        <rFont val="Arial"/>
        <color rgb="FF000000"/>
        <sz val="11.0"/>
      </rPr>
      <t xml:space="preserve">
- total tariffs 23.9%
</t>
    </r>
    <r>
      <rPr>
        <rFont val="Arial"/>
        <color rgb="FF000000"/>
        <sz val="11.0"/>
      </rPr>
      <t>- Maher surcharge ($150) will apply</t>
    </r>
  </si>
  <si>
    <t>GCXU6543878</t>
  </si>
  <si>
    <t>GINGER CHEWS 4 OZ (MANGO, COLA), QC SAMPLE</t>
  </si>
  <si>
    <t>Live unload, 21 plts
Received PO (B22)</t>
  </si>
  <si>
    <r>
      <rPr>
        <rFont val="Arial"/>
        <color rgb="FF000000"/>
        <sz val="11.0"/>
      </rPr>
      <t>EN#2176050, INV#E/SNA/2026/00014, T/R,</t>
    </r>
    <r>
      <rPr>
        <rFont val="Arial"/>
        <color rgb="FFFF0000"/>
        <sz val="11.0"/>
      </rPr>
      <t xml:space="preserve"> empty return
</t>
    </r>
    <r>
      <rPr>
        <rFont val="Arial"/>
        <color rgb="FF000000"/>
        <sz val="11.0"/>
      </rPr>
      <t>- CMA CGM LIBRA, (B22), EG
- total tariffs 15.6%
- Global surcharge ($150) will apply
- Live unload, 21 plts</t>
    </r>
  </si>
  <si>
    <t>TRHU6284583</t>
  </si>
  <si>
    <r>
      <rPr>
        <rFont val="Arial"/>
        <b/>
        <color rgb="FF0000FF"/>
        <sz val="11.0"/>
      </rPr>
      <t>Pay gate fee</t>
    </r>
    <r>
      <rPr>
        <rFont val="Arial"/>
        <b/>
        <color rgb="FF000000"/>
        <sz val="11.0"/>
      </rPr>
      <t xml:space="preserve">
Received PO (D8)</t>
    </r>
  </si>
  <si>
    <r>
      <rPr>
        <rFont val="Arial"/>
        <color rgb="FF000000"/>
        <sz val="11.0"/>
      </rPr>
      <t xml:space="preserve">EN#2176594, INV#JB2634A, T/R, </t>
    </r>
    <r>
      <rPr>
        <rFont val="Arial"/>
        <color rgb="FFFF0000"/>
        <sz val="11.0"/>
      </rPr>
      <t xml:space="preserve">empty return
</t>
    </r>
    <r>
      <rPr>
        <rFont val="Arial"/>
        <color rgb="FF000000"/>
        <sz val="11.0"/>
      </rPr>
      <t>- EVER LEADER, (D8), EG</t>
    </r>
    <r>
      <rPr>
        <rFont val="Arial"/>
        <color rgb="FFFF0000"/>
        <sz val="11.0"/>
      </rPr>
      <t xml:space="preserve">
- total tariffs</t>
    </r>
  </si>
  <si>
    <t>EMCU1582834</t>
  </si>
  <si>
    <r>
      <rPr>
        <rFont val="Arial"/>
        <color rgb="FF000000"/>
        <sz val="11.0"/>
      </rPr>
      <t xml:space="preserve">TEA LATTE, CAPPUCCINO, </t>
    </r>
    <r>
      <rPr>
        <rFont val="Arial"/>
        <color rgb="FF0000FF"/>
        <sz val="11.0"/>
      </rPr>
      <t>QC SAMPLE</t>
    </r>
  </si>
  <si>
    <r>
      <rPr>
        <rFont val="Arial"/>
        <b/>
        <color rgb="FF0000FF"/>
        <sz val="11.0"/>
      </rPr>
      <t xml:space="preserve">Moored 4/14, </t>
    </r>
    <r>
      <rPr>
        <rFont val="Arial"/>
        <b/>
        <color rgb="FFFF0000"/>
        <sz val="11.0"/>
      </rPr>
      <t>still on vessel</t>
    </r>
    <r>
      <rPr>
        <rFont val="Arial"/>
        <b/>
        <color rgb="FF0000FF"/>
        <sz val="11.0"/>
      </rPr>
      <t xml:space="preserve">
Received PO (C17)</t>
    </r>
  </si>
  <si>
    <r>
      <rPr>
        <rFont val="Arial"/>
        <color rgb="FF000000"/>
        <sz val="11.0"/>
      </rPr>
      <t xml:space="preserve">EN#2176359, INV#EMI260000148, OBL 3/24, GATEFEE4/13, </t>
    </r>
    <r>
      <rPr>
        <rFont val="Arial"/>
        <color rgb="FFFF0000"/>
        <sz val="11.0"/>
      </rPr>
      <t xml:space="preserve">empty return
</t>
    </r>
    <r>
      <rPr>
        <rFont val="Arial"/>
        <color rgb="FF000000"/>
        <sz val="11.0"/>
      </rPr>
      <t>- EVER MACH, (C17), EG
- total tariffs 10% &amp; ($0.305/KG + 8.5%)</t>
    </r>
  </si>
  <si>
    <t>MRSU4127181</t>
  </si>
  <si>
    <r>
      <rPr>
        <rFont val="Arial"/>
        <b/>
        <color rgb="FF000000"/>
        <sz val="11.0"/>
      </rPr>
      <t xml:space="preserve">Moored 4/13, </t>
    </r>
    <r>
      <rPr>
        <rFont val="Arial"/>
        <b/>
        <color rgb="FF0000FF"/>
        <sz val="11.0"/>
      </rPr>
      <t>still on vessel</t>
    </r>
    <r>
      <rPr>
        <rFont val="Arial"/>
        <b/>
        <color rgb="FF000000"/>
        <sz val="11.0"/>
      </rPr>
      <t xml:space="preserve">
Received PO (C8)</t>
    </r>
  </si>
  <si>
    <r>
      <rPr>
        <rFont val="Arial"/>
        <color rgb="FF000000"/>
        <sz val="11.0"/>
      </rPr>
      <t xml:space="preserve">EN#2176186, INV#2193 &amp; 2194, T/R, </t>
    </r>
    <r>
      <rPr>
        <rFont val="Arial"/>
        <color rgb="FFFF0000"/>
        <sz val="11.0"/>
      </rPr>
      <t xml:space="preserve">empty return
</t>
    </r>
    <r>
      <rPr>
        <rFont val="Arial"/>
        <color rgb="FF000000"/>
        <sz val="11.0"/>
      </rPr>
      <t>- ULSAN EXPRESS, (C8), MAEU
- total tariffs 40.6%
- APM surcharge ($150) will apply</t>
    </r>
  </si>
  <si>
    <t>EGSU9314919</t>
  </si>
  <si>
    <r>
      <rPr>
        <rFont val="Arial"/>
        <b/>
        <color rgb="FF000000"/>
        <sz val="11.0"/>
      </rPr>
      <t xml:space="preserve">Scheduled 4/17 (Live)
</t>
    </r>
    <r>
      <rPr>
        <rFont val="Arial"/>
        <b/>
        <color rgb="FF000000"/>
        <sz val="11.0"/>
      </rPr>
      <t>Received PO (B15)</t>
    </r>
  </si>
  <si>
    <r>
      <rPr>
        <rFont val="Arial"/>
        <color rgb="FF000000"/>
        <sz val="11.0"/>
      </rPr>
      <t xml:space="preserve">EN#2175885, INV#E/SNA/2026/00013, T/R, </t>
    </r>
    <r>
      <rPr>
        <rFont val="Arial"/>
        <color rgb="FFFF0000"/>
        <sz val="11.0"/>
      </rPr>
      <t xml:space="preserve">empty return
</t>
    </r>
    <r>
      <rPr>
        <rFont val="Arial"/>
        <color rgb="FF000000"/>
        <sz val="11.0"/>
      </rPr>
      <t>- EVER META, (B15), EG</t>
    </r>
    <r>
      <rPr>
        <rFont val="Arial"/>
        <color rgb="FFFF0000"/>
        <sz val="11.0"/>
      </rPr>
      <t xml:space="preserve">
</t>
    </r>
    <r>
      <rPr>
        <rFont val="Arial"/>
        <color rgb="FF000000"/>
        <sz val="11.0"/>
      </rPr>
      <t>- total tariffs 15.6%
- Maher surcharge ($150) will apply
- Moored 4/13, discharged 4/13, LFD 4/17
- Live unload</t>
    </r>
  </si>
  <si>
    <t>EGSU1550230</t>
  </si>
  <si>
    <r>
      <rPr>
        <rFont val="Arial"/>
        <color rgb="FF000000"/>
        <sz val="11.0"/>
      </rPr>
      <t xml:space="preserve">GINGER CHEWS 1 KG (ORIGINAL), QC SAMPLE
</t>
    </r>
    <r>
      <rPr>
        <rFont val="Arial"/>
        <b/>
        <color rgb="FF0000FF"/>
        <sz val="11.0"/>
      </rPr>
      <t>(to RC Commerce)</t>
    </r>
  </si>
  <si>
    <r>
      <rPr>
        <rFont val="Arial"/>
        <b/>
        <color rgb="FF000000"/>
        <sz val="11.0"/>
      </rPr>
      <t xml:space="preserve">Scheduled 4/17
</t>
    </r>
    <r>
      <rPr>
        <rFont val="Arial"/>
        <b/>
        <color rgb="FFFF0000"/>
        <sz val="11.0"/>
      </rPr>
      <t>Pending Proforma Invoice (Wesley)</t>
    </r>
    <r>
      <rPr>
        <rFont val="Arial"/>
        <b/>
        <color rgb="FF000000"/>
        <sz val="11.0"/>
      </rPr>
      <t xml:space="preserve">
Deliver to RC
Proforma Invoice &amp; DO
Received PO (B4)</t>
    </r>
  </si>
  <si>
    <r>
      <rPr>
        <rFont val="Arial"/>
        <color rgb="FF000000"/>
        <sz val="11.0"/>
      </rPr>
      <t xml:space="preserve">EN#2175596, INV#020/EXP/INV/I/2026, T/R, </t>
    </r>
    <r>
      <rPr>
        <rFont val="Arial"/>
        <color rgb="FFFF0000"/>
        <sz val="11.0"/>
      </rPr>
      <t xml:space="preserve">empty return
</t>
    </r>
    <r>
      <rPr>
        <rFont val="Arial"/>
        <color rgb="FF000000"/>
        <sz val="11.0"/>
      </rPr>
      <t>- EVER META, (B4), EG
- total tariffs 15.6%
- Maher surcharge ($150) will apply
- Moored 4/13, discharged 4/13, LFD 4/17</t>
    </r>
  </si>
  <si>
    <t>CAAU9161324</t>
  </si>
  <si>
    <r>
      <rPr>
        <rFont val="Arial"/>
        <color rgb="FF000000"/>
        <sz val="11.0"/>
      </rPr>
      <t xml:space="preserve">ORGANIC TEA
D-13400, D-15400
</t>
    </r>
    <r>
      <rPr>
        <rFont val="Arial"/>
        <b/>
        <color rgb="FF0000FF"/>
        <sz val="11.0"/>
      </rPr>
      <t>(to RC Commerce)</t>
    </r>
  </si>
  <si>
    <r>
      <rPr>
        <rFont val="Arial"/>
        <b/>
        <color rgb="FF000000"/>
        <sz val="11.0"/>
      </rPr>
      <t xml:space="preserve">Prepull 4/15, deliver 4/16
</t>
    </r>
    <r>
      <rPr>
        <rFont val="Arial"/>
        <b/>
        <color rgb="FFFF0000"/>
        <sz val="11.0"/>
      </rPr>
      <t xml:space="preserve">Pending Proforma Invoice (Wesley)
</t>
    </r>
    <r>
      <rPr>
        <rFont val="Arial"/>
        <b/>
        <color rgb="FF000000"/>
        <sz val="11.0"/>
      </rPr>
      <t>Deliver to RC
Proforma Invoice &amp; DO
Received PO (C20)</t>
    </r>
  </si>
  <si>
    <r>
      <rPr>
        <rFont val="Arial"/>
        <color rgb="FF000000"/>
        <sz val="11.0"/>
      </rPr>
      <t xml:space="preserve">EN#2176449, INV#YD26-T01, T/R, </t>
    </r>
    <r>
      <rPr>
        <rFont val="Arial"/>
        <color rgb="FFFF0000"/>
        <sz val="11.0"/>
      </rPr>
      <t xml:space="preserve">empty return
</t>
    </r>
    <r>
      <rPr>
        <rFont val="Arial"/>
        <color rgb="FF000000"/>
        <sz val="11.0"/>
      </rPr>
      <t xml:space="preserve">- OOCL DAFFODIL, (C20), COSCO
- total tariffs 7.5%
- have additional Maher surcharge ($150)
- Moored 4/9, discharged 4/9, LFD 4/15
</t>
    </r>
    <r>
      <rPr>
        <rFont val="Arial"/>
        <color rgb="FFFF0000"/>
        <sz val="11.0"/>
      </rPr>
      <t>- prepull 4/15</t>
    </r>
  </si>
  <si>
    <t>BSIU9958342</t>
  </si>
  <si>
    <t>HOLD</t>
  </si>
  <si>
    <r>
      <rPr>
        <rFont val="Arial"/>
        <color rgb="FF000000"/>
        <sz val="11.0"/>
      </rPr>
      <t>4/10/2026</t>
    </r>
    <r>
      <rPr>
        <rFont val="Arial"/>
        <color rgb="FFFF0000"/>
        <sz val="11.0"/>
      </rPr>
      <t xml:space="preserve">
</t>
    </r>
    <r>
      <rPr>
        <rFont val="Arial"/>
        <b/>
        <color rgb="FF0000FF"/>
        <sz val="11.0"/>
      </rPr>
      <t xml:space="preserve">Ready for exam 4/10, </t>
    </r>
    <r>
      <rPr>
        <rFont val="Arial"/>
        <b/>
        <color rgb="FFFF0000"/>
        <sz val="11.0"/>
      </rPr>
      <t xml:space="preserve">pending FDA exam
</t>
    </r>
    <r>
      <rPr>
        <rFont val="Arial"/>
        <b/>
        <color rgb="FF0000FF"/>
        <sz val="11.0"/>
      </rPr>
      <t>K80-2176309-0</t>
    </r>
  </si>
  <si>
    <r>
      <rPr>
        <rFont val="Arial"/>
        <color rgb="FF000000"/>
        <sz val="11.0"/>
      </rPr>
      <t>EN#2176309, INV#JB2614, T/R,</t>
    </r>
    <r>
      <rPr>
        <rFont val="Arial"/>
        <color rgb="FF000000"/>
        <sz val="11.0"/>
      </rPr>
      <t xml:space="preserve"> empty return 4/10
</t>
    </r>
    <r>
      <rPr>
        <rFont val="Arial"/>
        <color rgb="FF000000"/>
        <sz val="11.0"/>
      </rPr>
      <t>- OOCL DAFFODIL, (C13), EG
- total tariffs 23.9%
- Maher surcharge ($150) will apply
- moored 4/9, discharged 4/10, LFD 4/15
- Live unload
- FDA hold 4/8
- K80-2176309-0
- Ready for FDA exam 4/10</t>
    </r>
  </si>
  <si>
    <t>EITU9384744</t>
  </si>
  <si>
    <t>GHC D-04011, GHC MATCHA D-04024, GHC LEMON D-04043</t>
  </si>
  <si>
    <t>Scheduled 4/15 (Live)
Received PO (C12)</t>
  </si>
  <si>
    <r>
      <rPr>
        <rFont val="Arial"/>
        <color rgb="FF000000"/>
        <sz val="11.0"/>
      </rPr>
      <t xml:space="preserve">EN#2176308, INV#JB2613, T/R, </t>
    </r>
    <r>
      <rPr>
        <rFont val="Arial"/>
        <color rgb="FFFF0000"/>
        <sz val="11.0"/>
      </rPr>
      <t xml:space="preserve">empty return
</t>
    </r>
    <r>
      <rPr>
        <rFont val="Arial"/>
        <color rgb="FF000000"/>
        <sz val="11.0"/>
      </rPr>
      <t>- OOCL DAFFODIL, (C12), EG
- total tariffs 23.9%
- Maher surcharge ($150) will apply
- moored 4/9, discharged 4/10, LFD 4/15
- Live unload</t>
    </r>
  </si>
  <si>
    <t>EITU1578954</t>
  </si>
  <si>
    <r>
      <rPr>
        <rFont val="Arial"/>
        <color rgb="FF000000"/>
        <sz val="11.0"/>
      </rPr>
      <t xml:space="preserve">GINGER CHEWS 8 OZ (ORIGINAL), </t>
    </r>
    <r>
      <rPr>
        <rFont val="Arial"/>
        <color rgb="FF0000FF"/>
        <sz val="11.0"/>
      </rPr>
      <t>QC SAMPLE</t>
    </r>
  </si>
  <si>
    <t>4/14/2026
Pending received PO (C11)
empty return, ELFD 4/20</t>
  </si>
  <si>
    <r>
      <rPr>
        <rFont val="Arial"/>
        <color rgb="FF000000"/>
        <sz val="11.0"/>
      </rPr>
      <t xml:space="preserve">EN#2176247, INV#042/EXP/INV/III/2026, T/R, GATEFEE4/8, </t>
    </r>
    <r>
      <rPr>
        <rFont val="Arial"/>
        <color rgb="FFFF0000"/>
        <sz val="11.0"/>
      </rPr>
      <t xml:space="preserve">empty return
</t>
    </r>
    <r>
      <rPr>
        <rFont val="Arial"/>
        <color rgb="FF000000"/>
        <sz val="11.0"/>
      </rPr>
      <t>- EVER MILD, (C11), EG
- total tariffs 15.6%
- moored 4/8, discharged 4/8, LFD 4/14</t>
    </r>
  </si>
  <si>
    <t>GAOU6414945</t>
  </si>
  <si>
    <t>4/13/2026
Pending received PO (D15)
empty return, ELFD 4/17</t>
  </si>
  <si>
    <r>
      <rPr>
        <rFont val="Arial"/>
        <color rgb="FF000000"/>
        <sz val="11.0"/>
      </rPr>
      <t xml:space="preserve">EN#2176572, INV#JYPOP20250310, T/R, GATEFEE4/8, </t>
    </r>
    <r>
      <rPr>
        <rFont val="Arial"/>
        <color rgb="FFFF0000"/>
        <sz val="11.0"/>
      </rPr>
      <t xml:space="preserve">empty return
</t>
    </r>
    <r>
      <rPr>
        <rFont val="Arial"/>
        <color rgb="FF000000"/>
        <sz val="11.0"/>
      </rPr>
      <t>- EVER MILD, (D15), EG</t>
    </r>
    <r>
      <rPr>
        <rFont val="Arial"/>
        <color rgb="FFFF0000"/>
        <sz val="11.0"/>
      </rPr>
      <t xml:space="preserve">
</t>
    </r>
    <r>
      <rPr>
        <rFont val="Arial"/>
        <color rgb="FF000000"/>
        <sz val="11.0"/>
      </rPr>
      <t>- total tariffs 35%</t>
    </r>
    <r>
      <rPr>
        <rFont val="Arial"/>
        <color rgb="FFFF0000"/>
        <sz val="11.0"/>
      </rPr>
      <t xml:space="preserve">
</t>
    </r>
    <r>
      <rPr>
        <rFont val="Arial"/>
        <color rgb="FF000000"/>
        <sz val="11.0"/>
      </rPr>
      <t>- provided product label and ingredient list to FDA
- moored 4/8, discharged 4/10, LFD 4/16</t>
    </r>
  </si>
  <si>
    <t>GCXU6043980</t>
  </si>
  <si>
    <r>
      <rPr>
        <rFont val="Arial"/>
        <color rgb="FF000000"/>
        <sz val="11.0"/>
      </rPr>
      <t xml:space="preserve">GINGER SOFT CHEWS 3 OZ (ORG VAN), 8 OZ (ORIGINAL), </t>
    </r>
    <r>
      <rPr>
        <rFont val="Arial"/>
        <color rgb="FF0000FF"/>
        <sz val="11.0"/>
      </rPr>
      <t>QC SAMPLE</t>
    </r>
  </si>
  <si>
    <r>
      <rPr>
        <rFont val="Arial"/>
        <color rgb="FF000000"/>
        <sz val="11.0"/>
      </rPr>
      <t xml:space="preserve">EN#2176158, INV#032/EXP/INV/II/2026, T/R, GATEFEE4/8, </t>
    </r>
    <r>
      <rPr>
        <rFont val="Arial"/>
        <color rgb="FF000000"/>
        <sz val="11.0"/>
      </rPr>
      <t xml:space="preserve">empty return 4/14
</t>
    </r>
    <r>
      <rPr>
        <rFont val="Arial"/>
        <color rgb="FF000000"/>
        <sz val="11.0"/>
      </rPr>
      <t>- EVER MILD, (C5), EG
- total tariffs 15.6%
- moored 4/8, discharged 4/9, LFD 4/15</t>
    </r>
  </si>
  <si>
    <t>EGSU6586744</t>
  </si>
  <si>
    <r>
      <rPr>
        <rFont val="Arial"/>
        <color rgb="FF000000"/>
        <sz val="11.0"/>
      </rPr>
      <t xml:space="preserve">GINGER CHEWS 1 LBS (ORIGINAL), </t>
    </r>
    <r>
      <rPr>
        <rFont val="Arial"/>
        <color rgb="FF0000FF"/>
        <sz val="11.0"/>
      </rPr>
      <t>QC SAMPLE</t>
    </r>
  </si>
  <si>
    <r>
      <rPr>
        <rFont val="Arial"/>
        <b/>
        <color rgb="FF000000"/>
        <sz val="11.0"/>
      </rPr>
      <t>Scheduled 4/15</t>
    </r>
    <r>
      <rPr>
        <rFont val="Arial"/>
        <b/>
        <color rgb="FF000000"/>
        <sz val="11.0"/>
      </rPr>
      <t xml:space="preserve">
Received PO (C2), POD
empty return, ELFD?</t>
    </r>
  </si>
  <si>
    <r>
      <rPr>
        <rFont val="Arial"/>
        <color rgb="FF000000"/>
        <sz val="11.0"/>
      </rPr>
      <t xml:space="preserve">EN#2176085, INV#034/EXP/INV/II/2026, T/R, GATEFEE4/8, </t>
    </r>
    <r>
      <rPr>
        <rFont val="Arial"/>
        <color rgb="FFFF0000"/>
        <sz val="11.0"/>
      </rPr>
      <t xml:space="preserve">empty return
</t>
    </r>
    <r>
      <rPr>
        <rFont val="Arial"/>
        <color rgb="FF000000"/>
        <sz val="11.0"/>
      </rPr>
      <t>- EVER MILD, (C2), EG</t>
    </r>
    <r>
      <rPr>
        <rFont val="Arial"/>
        <color rgb="FFFF0000"/>
        <sz val="11.0"/>
      </rPr>
      <t xml:space="preserve">
</t>
    </r>
    <r>
      <rPr>
        <rFont val="Arial"/>
        <color rgb="FF000000"/>
        <sz val="11.0"/>
      </rPr>
      <t>- total tariffs 15.6%
- item#1 is printed bags with Kosher logo
- moored 4/8, discharged 4/9, LFD 4/15</t>
    </r>
  </si>
  <si>
    <t>EITU1588417</t>
  </si>
  <si>
    <t>GHC MATCHA D-04024, GHC PLUM D-04036, GHC LEMON D-04037, GHC D-04040, GHC DARK BROWN SUGAR D-41986</t>
  </si>
  <si>
    <r>
      <rPr>
        <rFont val="Arial"/>
        <b/>
        <color rgb="FFFF0000"/>
        <sz val="11.0"/>
      </rPr>
      <t>Prepull 4/14</t>
    </r>
    <r>
      <rPr>
        <rFont val="Arial"/>
        <b/>
        <color rgb="FF000000"/>
        <sz val="11.0"/>
      </rPr>
      <t>, deliver 4/15
Received PO (D9)</t>
    </r>
  </si>
  <si>
    <r>
      <rPr>
        <rFont val="Arial"/>
        <color rgb="FF000000"/>
        <sz val="11.0"/>
      </rPr>
      <t xml:space="preserve">EN#2176669, INV#JB2628, T/R, </t>
    </r>
    <r>
      <rPr>
        <rFont val="Arial"/>
        <color rgb="FFFF0000"/>
        <sz val="11.0"/>
      </rPr>
      <t xml:space="preserve">empty return
</t>
    </r>
    <r>
      <rPr>
        <rFont val="Arial"/>
        <color rgb="FF000000"/>
        <sz val="11.0"/>
      </rPr>
      <t xml:space="preserve">- OOCL BERLIN, (D9), EG
- total tariffs 23.9%
- GC provided ingredient list/labels to GW
- Moored 4/8, discharged 4/10, LFD 4/16
</t>
    </r>
    <r>
      <rPr>
        <rFont val="Arial"/>
        <color rgb="FFFF0000"/>
        <sz val="11.0"/>
      </rPr>
      <t>- prepull 4/14</t>
    </r>
  </si>
  <si>
    <t>EITU9508378</t>
  </si>
  <si>
    <r>
      <rPr>
        <rFont val="Arial"/>
        <b/>
        <color rgb="FF000000"/>
        <sz val="11.0"/>
      </rPr>
      <t xml:space="preserve">4/14/2026
Pending received PO (B18)
</t>
    </r>
    <r>
      <rPr>
        <rFont val="Arial"/>
        <b/>
        <color rgb="FFFF0000"/>
        <sz val="11.0"/>
      </rPr>
      <t>empty return</t>
    </r>
  </si>
  <si>
    <r>
      <rPr>
        <rFont val="Arial"/>
        <color rgb="FF000000"/>
        <sz val="11.0"/>
      </rPr>
      <t xml:space="preserve">EN#2176004, INV#024/EXP/INV/II/2026, T/R, </t>
    </r>
    <r>
      <rPr>
        <rFont val="Arial"/>
        <color rgb="FFFF0000"/>
        <sz val="11.0"/>
      </rPr>
      <t xml:space="preserve">empty return
</t>
    </r>
    <r>
      <rPr>
        <rFont val="Arial"/>
        <color rgb="FF000000"/>
        <sz val="11.0"/>
      </rPr>
      <t>- CMA CGM T.ROOSEVELT, (B18), EG
- total tariffs 15.6%
- have additional Global Terminal surcharge ($150)
- moored 4/8, discharged 4/10, LFD 4/15
- Live unload</t>
    </r>
  </si>
  <si>
    <t>TIIU4566670</t>
  </si>
  <si>
    <r>
      <rPr>
        <rFont val="Arial"/>
        <color rgb="FF000000"/>
        <sz val="11.0"/>
      </rPr>
      <t xml:space="preserve">4/13/2026
</t>
    </r>
    <r>
      <rPr>
        <rFont val="Arial"/>
        <b/>
        <color rgb="FFFF0000"/>
        <sz val="11.0"/>
      </rPr>
      <t>empty return</t>
    </r>
  </si>
  <si>
    <r>
      <rPr>
        <rFont val="Arial"/>
        <color rgb="FF000000"/>
        <sz val="11.0"/>
      </rPr>
      <t xml:space="preserve">EN#2176005, INV#023/EXP/INV/II/2026, T/R, </t>
    </r>
    <r>
      <rPr>
        <rFont val="Arial"/>
        <color rgb="FFFF0000"/>
        <sz val="11.0"/>
      </rPr>
      <t xml:space="preserve">empty return
</t>
    </r>
    <r>
      <rPr>
        <rFont val="Arial"/>
        <color rgb="FF000000"/>
        <sz val="11.0"/>
      </rPr>
      <t>- CMA CGM T.ROOSEVELT, (B19), EG
- total tariffs 15.6%
- have additional Global Terminal surcharge ($150)
- moored 4/8, discharged 4/9, LFD 4/15
- Live unload</t>
    </r>
  </si>
  <si>
    <t>EGHU8404188</t>
  </si>
  <si>
    <r>
      <rPr>
        <rFont val="Arial"/>
        <color rgb="FF000000"/>
        <sz val="11.0"/>
      </rPr>
      <t xml:space="preserve">EN#2176554, INV#JB2627, T/R, </t>
    </r>
    <r>
      <rPr>
        <rFont val="Arial"/>
        <color rgb="FF000000"/>
        <sz val="11.0"/>
      </rPr>
      <t xml:space="preserve">empty return 4/13
</t>
    </r>
    <r>
      <rPr>
        <rFont val="Arial"/>
        <color rgb="FF000000"/>
        <sz val="11.0"/>
      </rPr>
      <t>- COSCO BELGIUM, (D3), EG
- total tariffs 23.9%
- Moored 4/4, discharged 4/6, LFD 4/10
- prepulled 4/9</t>
    </r>
  </si>
  <si>
    <t>EGSU9702072</t>
  </si>
  <si>
    <r>
      <rPr>
        <rFont val="Arial"/>
        <color rgb="FF000000"/>
        <sz val="11.0"/>
      </rPr>
      <t xml:space="preserve">GINGER CHEWS 8 OZ (LYCHEE, ASSORTED), </t>
    </r>
    <r>
      <rPr>
        <rFont val="Arial"/>
        <color rgb="FF000000"/>
        <sz val="11.0"/>
      </rPr>
      <t>QC SAMPLE</t>
    </r>
  </si>
  <si>
    <t>EN#2176049, INV#E/SNA/2026/00016, T/R, GATEFEE3/30, empty return 4/6
- CMA CGM A. LINCOLN, (B21), EG
- total tariffs 15.6%
- Moored 3/29, discharged 3/30, LFD 4/6
- pickup Pier waiting: 7:37-10:29am additional 1hr</t>
  </si>
  <si>
    <t>EGSU1525978</t>
  </si>
  <si>
    <r>
      <rPr>
        <rFont val="Arial"/>
        <color rgb="FF000000"/>
        <sz val="11.0"/>
      </rPr>
      <t xml:space="preserve">GINGER CHEWS 8 OZ (MANGO, LYCHEE), </t>
    </r>
    <r>
      <rPr>
        <rFont val="Arial"/>
        <color rgb="FF0000FF"/>
        <sz val="11.0"/>
      </rPr>
      <t>QC SAMPLE</t>
    </r>
  </si>
  <si>
    <r>
      <rPr>
        <rFont val="Arial"/>
        <color rgb="FF000000"/>
        <sz val="11.0"/>
      </rPr>
      <t xml:space="preserve">EN#2175762, INV#E/SNA/2026/00009, T/R, GATEFEE3/30, </t>
    </r>
    <r>
      <rPr>
        <rFont val="Arial"/>
        <color rgb="FF000000"/>
        <sz val="11.0"/>
      </rPr>
      <t xml:space="preserve">empty return 4/9
</t>
    </r>
    <r>
      <rPr>
        <rFont val="Arial"/>
        <color rgb="FF000000"/>
        <sz val="11.0"/>
      </rPr>
      <t>- EVER MEMO, (B9), EG
- total tariffs 15.6%
- Moored 3/30, discharged 3/31, LFD 4/6</t>
    </r>
  </si>
  <si>
    <t>EGSU6119971</t>
  </si>
  <si>
    <r>
      <rPr>
        <rFont val="Arial"/>
        <color rgb="FF000000"/>
        <sz val="11.0"/>
      </rPr>
      <t xml:space="preserve">GINGER CHEWS 4 OZ (LEMON, MANGO), </t>
    </r>
    <r>
      <rPr>
        <rFont val="Arial"/>
        <color rgb="FF000000"/>
        <sz val="11.0"/>
      </rPr>
      <t>QC SAMPLE</t>
    </r>
  </si>
  <si>
    <t>EN#2176105, INV#E/SNA/2026/00017, T/R, GATEFEE3/30, empty return 4/3
- EVER MEMO, (C3), EG
- total tariffs 15.6%
- Live unload, 21 plts
- moored 3/30, discharged 3/31, LFD 4/6</t>
  </si>
  <si>
    <t>HASU4095546</t>
  </si>
  <si>
    <r>
      <rPr>
        <rFont val="Arial"/>
        <color rgb="FF000000"/>
        <sz val="11.0"/>
      </rPr>
      <t>EN#2176363, INV#2195, T/R,</t>
    </r>
    <r>
      <rPr>
        <rFont val="Arial"/>
        <color rgb="FF000000"/>
        <sz val="11.0"/>
      </rPr>
      <t xml:space="preserve"> empty return 4/6
</t>
    </r>
    <r>
      <rPr>
        <rFont val="Arial"/>
        <color rgb="FF000000"/>
        <sz val="11.0"/>
      </rPr>
      <t>- MAERSK ALFIRK, (C18), MAEU
- total tariffs 40.6%
- moored 3/29, discharged 3/30, LFD 4/3</t>
    </r>
  </si>
  <si>
    <t>DFSU6997486</t>
  </si>
  <si>
    <t>GHC LEMON D-04037, GHC ASSORTED D-04040, GHC D-04061</t>
  </si>
  <si>
    <t>EN#2176165, INV#JB2612, T/R, empty return 4/6
- COSCO DEVELOPMENT, (C6), OOCL
- total tariffs 23.9%
- Maher surcharge ($150) will apply
- moored 3/24, discharged 3/28, LFD 4/2
- prepulled 4/1
- have additional Empty Pick-up surcharge ($535 + 39% Fuel)</t>
  </si>
  <si>
    <t>EGSU1650584</t>
  </si>
  <si>
    <r>
      <rPr>
        <rFont val="Arial"/>
        <color rgb="FF000000"/>
        <sz val="11.0"/>
      </rPr>
      <t xml:space="preserve">EN#2176211, INV#012/EXP/INV/I/2026, T/R, </t>
    </r>
    <r>
      <rPr>
        <rFont val="Arial"/>
        <color rgb="FF000000"/>
        <sz val="11.0"/>
      </rPr>
      <t xml:space="preserve">empty return
</t>
    </r>
    <r>
      <rPr>
        <rFont val="Arial"/>
        <color rgb="FF000000"/>
        <sz val="11.0"/>
      </rPr>
      <t>- EVER MACRO, (A19), EG
- total tariffs 15.6%</t>
    </r>
    <r>
      <rPr>
        <rFont val="Arial"/>
        <color rgb="FF000000"/>
        <sz val="11.0"/>
      </rPr>
      <t xml:space="preserve">
</t>
    </r>
    <r>
      <rPr>
        <rFont val="Arial"/>
        <color rgb="FF000000"/>
        <sz val="11.0"/>
      </rPr>
      <t>- Maher surcharge ($150) will apply
- Moored 3/26, discharged 3/27, LFD 4/2</t>
    </r>
  </si>
  <si>
    <t>OOLU6927590</t>
  </si>
  <si>
    <t>GHC TURMERIC D-04032, GHC LEMON D-04043, GHC D-04061</t>
  </si>
  <si>
    <r>
      <rPr>
        <rFont val="Arial"/>
        <color rgb="FF000000"/>
        <sz val="11.0"/>
      </rPr>
      <t xml:space="preserve">EN#2176341, INV#JB2626, T/R, </t>
    </r>
    <r>
      <rPr>
        <rFont val="Arial"/>
        <color rgb="FF000000"/>
        <sz val="11.0"/>
      </rPr>
      <t xml:space="preserve">empty return 4/1
</t>
    </r>
    <r>
      <rPr>
        <rFont val="Arial"/>
        <color rgb="FF000000"/>
        <sz val="11.0"/>
      </rPr>
      <t>- COSCO OCEANIA, (C15), COSCO
- total tariffs 23.9%
- Moored 3/25, discharged 3/26, LFD 4/1</t>
    </r>
  </si>
  <si>
    <t>ITXU1229093</t>
  </si>
  <si>
    <r>
      <rPr>
        <rFont val="Arial"/>
        <b/>
        <color rgb="FFFF0000"/>
        <sz val="11.0"/>
      </rPr>
      <t xml:space="preserve">Pending respond CBP request (GC) (due 5/7)
</t>
    </r>
    <r>
      <rPr>
        <rFont val="Arial"/>
        <color rgb="FF000000"/>
        <sz val="11.0"/>
      </rPr>
      <t>3/31/2026</t>
    </r>
  </si>
  <si>
    <t>EN#2175786, INV#2026TAT01, T/R, empty return (to interport) 4/1
- CONTI ANNAPURNA, (B10), ONE
- total tariffs 23.9% &amp; 63.9%
- GC provided steel or aluminum info
- Global Terminal (Port Liberty Bayonne) surcharge $150 will apply
- moored 3/25, discharged 3/26, LFD 4/1
- ITXU1229093 is SOC (Shipper-Owned Container), and return to interport 4/1</t>
  </si>
  <si>
    <t>TIIU4672775</t>
  </si>
  <si>
    <t>GINGER CHEWS 4 OZ (LEMON, MANGO, LYCHEE, BLOOD ORANGE), QC SAMPLE</t>
  </si>
  <si>
    <r>
      <rPr>
        <rFont val="Arial"/>
        <color rgb="FF000000"/>
        <sz val="11.0"/>
      </rPr>
      <t xml:space="preserve">EN#2176048, INV#E/SNA/2026/00015, T/R, </t>
    </r>
    <r>
      <rPr>
        <rFont val="Arial"/>
        <color rgb="FF000000"/>
        <sz val="11.0"/>
      </rPr>
      <t xml:space="preserve">empty return 3/31
</t>
    </r>
    <r>
      <rPr>
        <rFont val="Arial"/>
        <color rgb="FF000000"/>
        <sz val="11.0"/>
      </rPr>
      <t>- CMA CGM A. LINCOLN, (B20), EG
- total tariffs 15.6%
- Live unload, 21 plts
- moored 3/24, discharged 3/26, LFD 4/1</t>
    </r>
  </si>
  <si>
    <t>EGSU6245970</t>
  </si>
  <si>
    <r>
      <rPr>
        <rFont val="Arial"/>
        <color rgb="FF000000"/>
        <sz val="11.0"/>
      </rPr>
      <t xml:space="preserve">GINGER CHEWS 8OZ, 1 LBS (ORIGINAL), </t>
    </r>
    <r>
      <rPr>
        <rFont val="Arial"/>
        <color rgb="FF000000"/>
        <sz val="11.0"/>
      </rPr>
      <t>QC SAMPLE</t>
    </r>
  </si>
  <si>
    <t>EN#2175923, INV#019/EXP/INV/I/2026, T/R, GATEFEE3/23, empty return 4/1
- EVER LEADING, (B17), EG
- total tariffs 15.6%
- moored 3/23, discharged 3/23, LFD 3/27</t>
  </si>
  <si>
    <t>FFAU5798853</t>
  </si>
  <si>
    <r>
      <rPr>
        <rFont val="Arial"/>
        <color rgb="FF000000"/>
        <sz val="11.0"/>
      </rPr>
      <t xml:space="preserve">GINGER CHEWS 8 OZ (MANGO, BLOOD ORANGE), </t>
    </r>
    <r>
      <rPr>
        <rFont val="Arial"/>
        <color rgb="FF000000"/>
        <sz val="11.0"/>
      </rPr>
      <t>QC SAMPLE</t>
    </r>
  </si>
  <si>
    <t>EN#2175911, INV#E/SNA/2026/00010, T/R, GATEFEE3/23, empty return 4/2
- EVER LEADING, (B16), EG
- total tariffs 15.6%
- moored 3/23, discharged 3/23, LFD 3/27</t>
  </si>
  <si>
    <t>EMCU8807716</t>
  </si>
  <si>
    <r>
      <rPr>
        <rFont val="Arial"/>
        <color rgb="FF000000"/>
        <sz val="11.0"/>
      </rPr>
      <t xml:space="preserve">GHC D-04016, GHC TURMERIC D-04018
</t>
    </r>
    <r>
      <rPr>
        <rFont val="Arial"/>
        <color rgb="FF000000"/>
        <sz val="11.0"/>
      </rPr>
      <t>(to RC Commerce)</t>
    </r>
  </si>
  <si>
    <r>
      <rPr>
        <rFont val="Arial"/>
        <color rgb="FF000000"/>
        <sz val="11.0"/>
      </rPr>
      <t xml:space="preserve">EN#2175793, INV#JB2611, T/R, </t>
    </r>
    <r>
      <rPr>
        <rFont val="Arial"/>
        <color rgb="FF000000"/>
        <sz val="11.0"/>
      </rPr>
      <t xml:space="preserve">empty return 3/30
</t>
    </r>
    <r>
      <rPr>
        <rFont val="Arial"/>
        <color rgb="FF000000"/>
        <sz val="11.0"/>
      </rPr>
      <t>- OOCL LILAC, (B11), EG
- total tariffs 23.9%
- have additional Maher surcharge ($150)
- moored 3/22, discharged 3/24, LFD 3/30
- prepulled 3/27</t>
    </r>
  </si>
  <si>
    <t>HMMU4026148</t>
  </si>
  <si>
    <t>GHC MATCHA D-04024, GHC LEMON D-04037, GHC D-04061</t>
  </si>
  <si>
    <t>5650070/Y</t>
  </si>
  <si>
    <t>EN#2175861, INV#JB2624, T/R, GATEFEE3/18, empty return 3/27
- HMM EMERALD, (B13), HMM
- total tariffs 23.9%
- Moored 3/22, discharged 3/22, LFD 3/26
- FDA released 3/27</t>
  </si>
  <si>
    <t>MRSU5713593</t>
  </si>
  <si>
    <t>BEE &amp; FLOWER SOAP
S-06011, S-06021, S-06031</t>
  </si>
  <si>
    <t>EN#2175795, INV#SS2601008H, T/R, empty return 4/1
- COYHAIQUE, (B12), MAEU
- total tariffs 35%
- has additional APM surcharge ($150)
- moored 3/20, discharged 3/21, LFD 3/26, updated LFD 3/31
- ready for pickup 3/27
- 9cs S-06011 wet, including box and item inside</t>
  </si>
  <si>
    <t>EGSU9823958</t>
  </si>
  <si>
    <r>
      <rPr>
        <rFont val="Arial"/>
        <color rgb="FF000000"/>
        <sz val="11.0"/>
      </rPr>
      <t xml:space="preserve">GINGER CHEWS 1 LBS (ORIGINAL), </t>
    </r>
    <r>
      <rPr>
        <rFont val="Arial"/>
        <color rgb="FF000000"/>
        <sz val="11.0"/>
      </rPr>
      <t>QC SAMPLE</t>
    </r>
  </si>
  <si>
    <t>EN#2175621, INV#021/EXP/INV/II/2026, T/R, empty return 3/24
- EVER LEADING, (B5), EG
- total tariffs 15.6%
- first POP Ginger Chews Original 1lb container with printed bags
- QC samples not loaded into this container, will load into next container to LA
- moored 3/18, discharged 3/18, LFD?
- prepulled 3/19</t>
  </si>
  <si>
    <t>SMCU1013934</t>
  </si>
  <si>
    <t>KOREAN GINSENG TEA, YOUNG JI TEA, QC SAMPLE</t>
  </si>
  <si>
    <t>EN#2176210, INV#IL260205, OBL 3/11, empty return 3/20
- SM NINGBO, (C9), SM LINE
- total tariffs 10%
- moored 3/16, discharged 3/17, LFD 3/20
- prepulled 3/18</t>
  </si>
  <si>
    <t>EGSU6490956</t>
  </si>
  <si>
    <t>GINGER CHEWS 4 OZ (LEMON, MANGO, BLOOD ORANGE), QC SAMPLE</t>
  </si>
  <si>
    <r>
      <rPr>
        <rFont val="Arial"/>
        <color rgb="FF000000"/>
        <sz val="11.0"/>
      </rPr>
      <t xml:space="preserve">EN#2175761, INV#E/SNA/2026/00008, T/R, </t>
    </r>
    <r>
      <rPr>
        <rFont val="Arial"/>
        <color rgb="FF000000"/>
        <sz val="11.0"/>
      </rPr>
      <t xml:space="preserve">empty return 3/18
</t>
    </r>
    <r>
      <rPr>
        <rFont val="Arial"/>
        <color rgb="FF000000"/>
        <sz val="11.0"/>
      </rPr>
      <t>- EVER EAGLE, (B8), EG
- total tariffs 15.6%
- 21 plts, Live unload
- moored 3/16, discharged 3/16, LFD 3/23
- prepulled 3/17</t>
    </r>
  </si>
  <si>
    <t>SEGU6004574</t>
  </si>
  <si>
    <t>GHC D-04011, GHC ASSORTED D-04040, GHC LEMON D-04043</t>
  </si>
  <si>
    <r>
      <rPr>
        <rFont val="Arial"/>
        <color rgb="FF000000"/>
        <sz val="11.0"/>
      </rPr>
      <t xml:space="preserve">EN#2175860, INV#JB2625, T/R, </t>
    </r>
    <r>
      <rPr>
        <rFont val="Arial"/>
        <color rgb="FF000000"/>
        <sz val="11.0"/>
      </rPr>
      <t xml:space="preserve">empty return 3/19
</t>
    </r>
    <r>
      <rPr>
        <rFont val="Arial"/>
        <color rgb="FF000000"/>
        <sz val="11.0"/>
      </rPr>
      <t>- HMM EMERALD, (B14), HMM
- total tariffs 23.9%
- moored 3/15, discharged 3/16, LFD3/20</t>
    </r>
  </si>
  <si>
    <t>EGSU1414378</t>
  </si>
  <si>
    <r>
      <rPr>
        <rFont val="Arial"/>
        <color rgb="FF000000"/>
        <sz val="11.0"/>
      </rPr>
      <t xml:space="preserve">GINGER CHEWS 8 OZ (ORIGINAL, LEMON), </t>
    </r>
    <r>
      <rPr>
        <rFont val="Arial"/>
        <color rgb="FF000000"/>
        <sz val="11.0"/>
      </rPr>
      <t>QC SAMPLE</t>
    </r>
  </si>
  <si>
    <t>EN#2175361, INV#013/EXP/INV/I/2026, T/R, GATEFEE3/16, empty return 4/3
- EVER MAGIC, (A20), EG
- total tariffs 15.6%
- Moored 3/15, discharged 3/15, LFD 3/27
- empty return Pier waiting was from 9:42-1pm additional 2 ½ hr</t>
  </si>
  <si>
    <t>EGSU6433452</t>
  </si>
  <si>
    <r>
      <rPr>
        <rFont val="Arial"/>
        <color rgb="FF000000"/>
        <sz val="11.0"/>
      </rPr>
      <t xml:space="preserve">EN#2175083, INV#E/SNA/2026/00004, T/R, </t>
    </r>
    <r>
      <rPr>
        <rFont val="Arial"/>
        <color rgb="FF000000"/>
        <sz val="11.0"/>
      </rPr>
      <t xml:space="preserve">empty return 3/24
</t>
    </r>
    <r>
      <rPr>
        <rFont val="Arial"/>
        <color rgb="FF000000"/>
        <sz val="11.0"/>
      </rPr>
      <t>- EVER MASS, (A10), EG
- total tariffs 15.6%
- additional Maher surcharge ($150)
- Moored 3/12, discharged 3/12, LFD 3/19
- prepulled 3/18</t>
    </r>
  </si>
  <si>
    <t>EGSU9274272</t>
  </si>
  <si>
    <r>
      <rPr>
        <rFont val="Arial"/>
        <color rgb="FF000000"/>
        <sz val="11.0"/>
      </rPr>
      <t xml:space="preserve">EN#2175187, INV#E/SNA/2026/00003, T/R, </t>
    </r>
    <r>
      <rPr>
        <rFont val="Arial"/>
        <color rgb="FF000000"/>
        <sz val="11.0"/>
      </rPr>
      <t xml:space="preserve">empty return 3/18
</t>
    </r>
    <r>
      <rPr>
        <rFont val="Arial"/>
        <color rgb="FF000000"/>
        <sz val="11.0"/>
      </rPr>
      <t>- EVER MASS, (A9), EG</t>
    </r>
    <r>
      <rPr>
        <rFont val="Arial"/>
        <color rgb="FF000000"/>
        <sz val="11.0"/>
      </rPr>
      <t xml:space="preserve">
</t>
    </r>
    <r>
      <rPr>
        <rFont val="Arial"/>
        <color rgb="FF000000"/>
        <sz val="11.0"/>
      </rPr>
      <t>- total tariffs 15.6%
- 21 plts, Live unload
- additional Maher surcharge ($150)
- Moored 3/12, discharged 3/12, LFD 3/19</t>
    </r>
  </si>
  <si>
    <t>TXGU6094108</t>
  </si>
  <si>
    <r>
      <rPr>
        <rFont val="Arial"/>
        <color rgb="FF000000"/>
        <sz val="11.0"/>
      </rPr>
      <t xml:space="preserve">GHC D-04011, </t>
    </r>
    <r>
      <rPr>
        <rFont val="Arial"/>
        <color rgb="FF000000"/>
        <sz val="11.0"/>
      </rPr>
      <t>GHC PASSION FRUIT D-04038</t>
    </r>
    <r>
      <rPr>
        <rFont val="Arial"/>
        <color rgb="FF000000"/>
        <sz val="11.0"/>
      </rPr>
      <t>, GHC D-04061</t>
    </r>
  </si>
  <si>
    <t>EN#2175644, INV#JB2610, T/R, empty return 3/13
- OOCL BANGKOK, (B6), EG
- total tariffs 23.9%
- Maher surcharge ($150) will apply
- Moored 3/9, discharged 3/11, LFD 3/16
- Live unload
- prepull 3/12</t>
  </si>
  <si>
    <t>EITU1170129</t>
  </si>
  <si>
    <t>5648644 / Y</t>
  </si>
  <si>
    <t>EN#2175651, INV#JB2608, T/R, GATEFEE3/6, empty return 3/17
- EVER FINE, (B7), EG
- total tariffs 23.9%
- Moored 3/6, discharged 3/7, LFD 3/12
- pickup pier waiting: 11:21-2:23pm additional 1hr</t>
  </si>
  <si>
    <t>ONEU2575968</t>
  </si>
  <si>
    <r>
      <rPr>
        <rFont val="Arial"/>
        <color rgb="FF000000"/>
        <sz val="11.0"/>
      </rPr>
      <t>EN#2175467, INV#94466208, T/R,</t>
    </r>
    <r>
      <rPr>
        <rFont val="Arial"/>
        <color rgb="FF000000"/>
        <sz val="11.0"/>
      </rPr>
      <t xml:space="preserve"> empty return 3/17
</t>
    </r>
    <r>
      <rPr>
        <rFont val="Arial"/>
        <color rgb="FF000000"/>
        <sz val="11.0"/>
      </rPr>
      <t>- OOCL CHONGQING, (B1), ONE
- total tariffs 10%
- have surcharge for Port Liberty-Bayonne (aka Global Terminal) $150
- moored 3/6, discharged 3/7, LFD 3/12
- Live unload
- CFR, seller pay the freight, freight refund via credit note ($2107)</t>
    </r>
  </si>
  <si>
    <t>EGSU6067369</t>
  </si>
  <si>
    <r>
      <rPr>
        <rFont val="Arial"/>
        <color rgb="FF000000"/>
        <sz val="11.0"/>
      </rPr>
      <t xml:space="preserve">EN#2175076, INV#E/SNA/2026/00001, T/R, </t>
    </r>
    <r>
      <rPr>
        <rFont val="Arial"/>
        <color rgb="FF000000"/>
        <sz val="11.0"/>
      </rPr>
      <t xml:space="preserve">empty return 3/10
</t>
    </r>
    <r>
      <rPr>
        <rFont val="Arial"/>
        <color rgb="FF000000"/>
        <sz val="11.0"/>
      </rPr>
      <t>- EVER MATCH, (A2), EG
- total tariffs 15.6%
- 21 plts, Live unload
- Maher surcharge ($150) will apply
- Moored 3/4, discharged 3/5, LFD 3/10</t>
    </r>
  </si>
  <si>
    <t>TRHU4562812</t>
  </si>
  <si>
    <t>EN#2174744, INV#257/EXP/INV/XII/2025, T/R, empty return 3/4
- EVER MODEL, (Z11), EG
- total tariffs 15.6%
- new Section 122 Tariffs 10%
- have additional Maher surcharge ($150)
- Moored 3/1, discharged 3/1, LFD 3/5
- Live unload</t>
  </si>
  <si>
    <t>26
(LCL)</t>
  </si>
  <si>
    <t>CSGU6889386</t>
  </si>
  <si>
    <t>TEA CUT IN BULK</t>
  </si>
  <si>
    <t>EN#2175807, INV#YD26-H01, T/R
- COSCO AFRICA, (C1), COSCO
- total tariffs 23.9%
- LCL, 1plt, GW will deliver
- moored 2/28, discharged 3/3, LFD 3/9
- FCL picked up 3/5, FCL empty return 3/5</t>
  </si>
  <si>
    <t>EMCU8706053</t>
  </si>
  <si>
    <t>5648643 / Y</t>
  </si>
  <si>
    <t>EN#2175469, INV#JB2607, T/R, GATEFEE2/27, empty return 3/9
- EVER LEADER, (B2), EG
- total tariffs 23.9%
- Moored 2/28, discharged 3/1, LFD 3/5
- K80-2175469-3
- FDA released 3/6</t>
  </si>
  <si>
    <t>EGSU9610844</t>
  </si>
  <si>
    <t>GHC TURMERIC D-04032, GHC LEMON D-04037</t>
  </si>
  <si>
    <t>EN#2175413, INV#JB2602, T/R, empty return 3/4
- COSCOSHIPPING PANAMA, (A22), EG
- total tariffs 13.9%
- no IEEPA tariff 10%, no reciprocal tariff 10%
- additional Maher surcharge ($150) will apply
- Moored 2/27, discharged 2/27, LFD 3/5
- Live unload
- K80-2175413-1
- FDA released 3/11</t>
  </si>
  <si>
    <t>WHSU6303504</t>
  </si>
  <si>
    <r>
      <rPr>
        <rFont val="Arial"/>
        <color rgb="FF000000"/>
        <sz val="11.0"/>
      </rPr>
      <t xml:space="preserve">GINGER SOFT CHEWS 3 OZ (ORIGINAL), </t>
    </r>
    <r>
      <rPr>
        <rFont val="Arial"/>
        <color rgb="FF000000"/>
        <sz val="11.0"/>
      </rPr>
      <t>QC SAMPLE</t>
    </r>
    <r>
      <rPr>
        <rFont val="Arial"/>
        <color rgb="FF000000"/>
        <sz val="11.0"/>
      </rPr>
      <t xml:space="preserve">
*F-04135 (NEW)</t>
    </r>
  </si>
  <si>
    <t>EN#2175118, INV#009/EXP/INV/I/2026, T/R, GATEFEE2/24, empty return 3/6
- WAN HAI A01, (A5), WAN HAI
- total tariffs 5.6%
- no reciprocal tariffs 19%
- Moored 2/27, discharged 2/27, LFD 3/5
- K80-2175118-6
- FDA released 3/4</t>
  </si>
  <si>
    <t>MRSU7830855</t>
  </si>
  <si>
    <t>RED PANAX GINSENG EXTRACT
C-70121, C-70123</t>
  </si>
  <si>
    <t>5647962 / Y</t>
  </si>
  <si>
    <t>EN#2175114, INV#HR-2509, T/R, GATEFEE2/24, empty return 3/10
- GEORG MAERSK, (A6), MAEU
- total tariffs 13.9% &amp; 63.9%
- no IEEPA tariff 10%, no reciprocal tariff 10%
- GC provided steel or aluminum info
- Moored 2/27, discharged 2/27, LFD 3/5</t>
  </si>
  <si>
    <t>EGSU6439023</t>
  </si>
  <si>
    <t>GINGER CHEWS 4 OZ, 1 LB  (ORIGINAL), QC SAMPLE</t>
  </si>
  <si>
    <t>EN#2174696, INV#253/EXP/INV/XII/2025, T/R, empty return 3/2
- EVER MAGI, (Z15), EG
- total tariffs 24.6%
- have Maher surcharge ($150)
- Moored 2/21, discharged 2/21, LFD 2/26, updated LFD 3/3
- Live unload</t>
  </si>
  <si>
    <t>NWRU3651000</t>
  </si>
  <si>
    <t>RED GINSENG ROYAL JELLY C-70050</t>
  </si>
  <si>
    <t>5647056 / Y</t>
  </si>
  <si>
    <t>EN#2174778, INV#2025TAT06, T/R, GATEFEE2/18, empty return 2/26 (per Benz)
- MAERSK CANDOR, (Z18), MAEU
- total tariffs 33.9% &amp; 73.9%
- GC provide steel or aluminum info to FDA
- Moored 2/20, discharged 2/21, LFD 2/26
- container is off hire and empty will return to UIS per MAERSK, split return chassis charge fee applies</t>
  </si>
  <si>
    <t>EGHU9565090</t>
  </si>
  <si>
    <t>GHC LEMON D-04037, GHC YUZU D-04039, GHC ASSORTED D-04040, GHC D-04061</t>
  </si>
  <si>
    <t>EN#2175181, INV#JB2609, T/R, empty return 2/26
- OOCL IRIS, (A14), EG
- total tariffs 33.9%
- have Maher surcharge ($150)
- Moored 2/19, discharged 2/19, LFD 2/25, updated LFD 3/2
- live unload
- delivery appt 2/23 canceled due to snowstorm
- terminal closed on 2/23, 2/24 &amp; 2/25</t>
  </si>
  <si>
    <t>EGSU6068365</t>
  </si>
  <si>
    <r>
      <rPr>
        <rFont val="Arial"/>
        <color rgb="FF000000"/>
        <sz val="11.0"/>
      </rPr>
      <t xml:space="preserve">GINGER CHEWS 8 OZ (ASSORTED), </t>
    </r>
    <r>
      <rPr>
        <rFont val="Arial"/>
        <color rgb="FF000000"/>
        <sz val="11.0"/>
      </rPr>
      <t>QC SAMPLE</t>
    </r>
  </si>
  <si>
    <r>
      <rPr>
        <rFont val="Arial"/>
        <color rgb="FF000000"/>
        <sz val="11.0"/>
      </rPr>
      <t xml:space="preserve">EN#2174964, INV#E/SNA/2026/00002, T/R, GATEFEE2/18, </t>
    </r>
    <r>
      <rPr>
        <rFont val="Arial"/>
        <color rgb="FF000000"/>
        <sz val="11.0"/>
      </rPr>
      <t xml:space="preserve">empty return 3/5
</t>
    </r>
    <r>
      <rPr>
        <rFont val="Arial"/>
        <color rgb="FF000000"/>
        <sz val="11.0"/>
      </rPr>
      <t>- EVER MOST, (Z20), EG
- total tariffs 24.6%
- moored 2/19, discharged 2/20, LFD 2/26</t>
    </r>
  </si>
  <si>
    <t>TIIU4975869</t>
  </si>
  <si>
    <r>
      <rPr>
        <rFont val="Arial"/>
        <color rgb="FF000000"/>
        <sz val="11.0"/>
      </rPr>
      <t xml:space="preserve">GINGER CHEWS 8 OZ (ORIGINAL), </t>
    </r>
    <r>
      <rPr>
        <rFont val="Arial"/>
        <color rgb="FF000000"/>
        <sz val="11.0"/>
      </rPr>
      <t>QC SAMPLE</t>
    </r>
  </si>
  <si>
    <r>
      <rPr>
        <rFont val="Arial"/>
        <color rgb="FF000000"/>
        <sz val="11.0"/>
      </rPr>
      <t xml:space="preserve">EN#2174867, INV#259/EXP/INV/XII/2025, T/R, GATEFEE2/18, </t>
    </r>
    <r>
      <rPr>
        <rFont val="Arial"/>
        <color rgb="FF000000"/>
        <sz val="11.0"/>
      </rPr>
      <t xml:space="preserve">empty return 3/3
</t>
    </r>
    <r>
      <rPr>
        <rFont val="Arial"/>
        <color rgb="FF000000"/>
        <sz val="11.0"/>
      </rPr>
      <t>- EVER MOST, (Z19), EG
- total tarifs 24.6%
- moored 2/19, discharged 2/21, LFD 2/26</t>
    </r>
  </si>
  <si>
    <t>EGSU1937189</t>
  </si>
  <si>
    <r>
      <rPr>
        <rFont val="Arial"/>
        <color rgb="FF000000"/>
        <sz val="11.0"/>
      </rPr>
      <t xml:space="preserve">GINGER CHEWS 1 LB  (MANGO), </t>
    </r>
    <r>
      <rPr>
        <rFont val="Arial"/>
        <color rgb="FF000000"/>
        <sz val="11.0"/>
      </rPr>
      <t>QC SAMPLE</t>
    </r>
  </si>
  <si>
    <t>EN#2175286, INV#E/SNA/2026/0005, T/R, GATEFEE2/18, empty return 3/2
- EVER MOST, (A18), EG
- total tariffs 24.6%
- moored 2/19, discharged 2/20, LFD 2/26
- pickup Pier waiting: 9:13-1:25pm additional 2 ½ hr</t>
  </si>
  <si>
    <t>TXGU5655800</t>
  </si>
  <si>
    <r>
      <rPr>
        <rFont val="Arial"/>
        <color rgb="FF000000"/>
        <sz val="11.0"/>
      </rPr>
      <t xml:space="preserve">CAPPUCCINO, MATCHA LATTE, </t>
    </r>
    <r>
      <rPr>
        <rFont val="Arial"/>
        <color rgb="FF0000FF"/>
        <sz val="11.0"/>
      </rPr>
      <t>QC SAMPLE</t>
    </r>
  </si>
  <si>
    <r>
      <rPr>
        <rFont val="Arial"/>
        <color rgb="FF000000"/>
        <sz val="11.0"/>
      </rPr>
      <t xml:space="preserve">EN#2175136, INV#EMI260000022, OBL1/28, GATEFEE2/18, </t>
    </r>
    <r>
      <rPr>
        <rFont val="Arial"/>
        <color rgb="FF000000"/>
        <sz val="11.0"/>
      </rPr>
      <t>empty return 2/25</t>
    </r>
    <r>
      <rPr>
        <rFont val="Arial"/>
        <color rgb="FF000000"/>
        <sz val="11.0"/>
      </rPr>
      <t xml:space="preserve">
- EVER MOST, (A11), EG
- total tariffs 19%
- moored 2/19, discharged 2/21, LFD 2/26</t>
    </r>
  </si>
  <si>
    <t>CSLU2413768</t>
  </si>
  <si>
    <t>ON KEE</t>
  </si>
  <si>
    <t>EN#2175470, INV#20260128, T/R, empty return 2/25
- XIN MEI ZHOU, (B3), COSCO
- total tariffs 45 &amp; 30.7%
- moored 2/18, discharged 2/20, LFD 2/26
- Sun provided physical product photo &amp; labels 2/24
- K80-2175470-1</t>
  </si>
  <si>
    <t>EGSU6307583</t>
  </si>
  <si>
    <t>TEA LATTE, THAI TEA, MATCHA LATTE, QC SAMPLE</t>
  </si>
  <si>
    <t>EN#2175001, INV#EMI260000005, OBL1/28, empty return 2/20
- CMA CGM ANDROMEDA, (A4), EG
- total tariffs 19% &amp; ($0.305/KG + 8.5%)
- have additional Global Terminal (aka Port Liberty-Bayonne) surcharge $150
- Moored 2/17, discharged 2/18, LFD 2/23
- Urgent, Live unload
- 237 cases J-40146 is RC order</t>
  </si>
  <si>
    <t>EGSU1057429</t>
  </si>
  <si>
    <t>EN#2175391, INV#JYPOP20251225, T/R, empty return 2/25
- CMA CGM FORT DIAMANT, (A21), EG
- total tariffs 45%
- Moored 2/14, discharged 2/15, LFD 2/19
- prepulled 2/19, delivered 2/20
- K80-2175391-9
- Sun provided physical product photo &amp; labels 2/20</t>
  </si>
  <si>
    <t>TIIU4043089</t>
  </si>
  <si>
    <t>EN#2175287, INV#E/SNA/2026/00007, T/R, empty return 2/24
- EVER MOST, (A17), EG
- total tariffs 24.6%
- Moored 2/14, discharged 2/15, LFD 2/19</t>
  </si>
  <si>
    <t>EGSU1091547</t>
  </si>
  <si>
    <t>EN#2174703, INV#249/EXP/INV/XII/2025, T/R, empty return 2/19
- EDISON, (Z14), EG
- total tariffs 24.6%
- calling Port Liberty Bayonne (Global) and additional Surcharge $150 will apply
- moored 2/14, discharged 2/14, LFD 2/20
- Live unload</t>
  </si>
  <si>
    <t>FTAU1579387</t>
  </si>
  <si>
    <r>
      <rPr>
        <rFont val="Arial"/>
        <color rgb="FF000000"/>
        <sz val="11.0"/>
      </rPr>
      <t xml:space="preserve">EN#2174961, INV#SH00020659 / SI00016024, T/R, </t>
    </r>
    <r>
      <rPr>
        <rFont val="Arial"/>
        <color rgb="FF000000"/>
        <sz val="11.0"/>
      </rPr>
      <t xml:space="preserve">empty return 2/20
</t>
    </r>
    <r>
      <rPr>
        <rFont val="Arial"/>
        <color rgb="FF000000"/>
        <sz val="11.0"/>
      </rPr>
      <t>- OOCL LAVENDER, (Z22), OOCL
- total tariffs 20%
- Maher surcharge ($150) will apply
- moored 2/12, discharged 2/14, LFD 2/20
- Live unload</t>
    </r>
  </si>
  <si>
    <t>TEMU7549554</t>
  </si>
  <si>
    <t>GHC D-04011, GHC PLUM D-04036, GHC TURMERIC D-04033, GHC LEMON D-04043</t>
  </si>
  <si>
    <r>
      <rPr>
        <rFont val="Arial"/>
        <color rgb="FF000000"/>
        <sz val="11.0"/>
      </rPr>
      <t xml:space="preserve">EN#2175225, INV#JB2603, T/R, </t>
    </r>
    <r>
      <rPr>
        <rFont val="Arial"/>
        <color rgb="FF000000"/>
        <sz val="11.0"/>
      </rPr>
      <t xml:space="preserve">empty return 2/19
</t>
    </r>
    <r>
      <rPr>
        <rFont val="Arial"/>
        <color rgb="FF000000"/>
        <sz val="11.0"/>
      </rPr>
      <t>- HMM RUBY, (A16), HMM
- total tariffs 33.9%
- moored 2/12, discharged 2/12, LFD 2/19</t>
    </r>
  </si>
  <si>
    <t>95
(LCL)</t>
  </si>
  <si>
    <t>EITU9508700</t>
  </si>
  <si>
    <t>EN#2175154, INV#YD25-H01, T/R
- EVER LEGACY, (A12), EG
- total tariffs 33.9%
- LCL, 4 plts, GW will deliver
- moored 2/10, discharged 2/12, LFD?, FCL picked up 2/16, FCL empty return 2/17
- one case damaged because the boxes are too heavy</t>
  </si>
  <si>
    <t>YMMU6298245</t>
  </si>
  <si>
    <r>
      <rPr>
        <rFont val="Arial"/>
        <color rgb="FF000000"/>
        <sz val="11.0"/>
      </rPr>
      <t xml:space="preserve">AM GSG CANDY, </t>
    </r>
    <r>
      <rPr>
        <rFont val="Arial"/>
        <color rgb="FF000000"/>
        <sz val="11.0"/>
      </rPr>
      <t>QC SAMPLE</t>
    </r>
  </si>
  <si>
    <t>EN#2174952, INV#2186, T/R, GATEFEE2/6, empty return 2/23
- YM UPWARD, (A13), YANG MING
- total tariffs 50.6%
- moored 2/9, discharged 2/10, LFD 2/18
- pickup pier waiting was from 7:36-10:57am additional 1 ½ hr</t>
  </si>
  <si>
    <t>EGSU9835922</t>
  </si>
  <si>
    <t>GINGER CHEWS 1 LBS, 8OZ (ORIGINAL), QC SAMPLE</t>
  </si>
  <si>
    <t>EN#2174980, INV#240/EXP/INV/XII/2025, T/R, empty return 2/13
- TAURUS, (Z17), EG
- vessel IMO 9728942
- total tariffs 24.6%
- have additional Maher surcharge ($150)
- moored 2/9, discharged 2/11, LFD 2/18
- prepulled 2/11
- Live unload
- unloading waiting time from 9am to 11:30am (2.5hr), Waiting Time Charge = (2.5hr – 2hr Free) x $95/hr = $47.50</t>
  </si>
  <si>
    <t>EISU9342030</t>
  </si>
  <si>
    <r>
      <rPr>
        <rFont val="Arial"/>
        <color rgb="FF000000"/>
        <sz val="11.0"/>
      </rPr>
      <t xml:space="preserve">GHC MATCHA D-04021, GHC PASSION FRUIT D-04035
</t>
    </r>
    <r>
      <rPr>
        <rFont val="Arial"/>
        <color rgb="FF000000"/>
        <sz val="11.0"/>
      </rPr>
      <t>(to RC Commerce)</t>
    </r>
  </si>
  <si>
    <t>EN#2174911, INV#JB2604, T/R, empty return 2/18
- OOCL KAPOK, (A1), EG
- total tariffs 33.9%
- have additional Maher surcharge ($150)
- moored 2/9, discharged 2/10, LFD 2/18
- prepulled 2/17, delivered 2/18
- live unload</t>
  </si>
  <si>
    <t>GAOU6393781</t>
  </si>
  <si>
    <t>GHC TURMERIC D-04032, GHC LEMON D-04037, GHC YUZU D-04039, GHC D-04061</t>
  </si>
  <si>
    <t>from GC
5646286</t>
  </si>
  <si>
    <t>EN#2175028, INV#JB2606, T/R, GATEFEE2/4, empty return 2/13
- EVER FOREVER, (A3), EG
- total tariffs 33.9%
- Moored 2/5, discharged 2/5, LFD 2/15
- K80-2175028-7
- GC provided photos of the physical product and carton</t>
  </si>
  <si>
    <t>TXGU7906063</t>
  </si>
  <si>
    <t>GHC PASSION FRUIT D-04038, GHC YUZU D-04039, GHC D-04061</t>
  </si>
  <si>
    <t>EN#2175135, INV#JB2605, T/R, empty return 2/12
- YM TRANQUILITY, (A7), HMM
- total tariffs 33.9%
- Moored 2/3, discharged 2/6, LFD 2/11
- prepulled 2/9, delivered 2/10
- Sun provided photos of the physical product and carton 2/12
- FDA released 2/17</t>
  </si>
  <si>
    <t>CAAU8679242</t>
  </si>
  <si>
    <t>GHC TURMERIC D-04032, D-04033, GHC LEMON D-04043, GHC D-04061</t>
  </si>
  <si>
    <r>
      <rPr>
        <rFont val="Arial"/>
        <color rgb="FF000000"/>
        <sz val="11.0"/>
      </rPr>
      <t xml:space="preserve">EN#2174761, INV#JB2601, T/R, </t>
    </r>
    <r>
      <rPr>
        <rFont val="Arial"/>
        <color rgb="FF000000"/>
        <sz val="11.0"/>
      </rPr>
      <t xml:space="preserve">empty return 2/6
</t>
    </r>
    <r>
      <rPr>
        <rFont val="Arial"/>
        <color rgb="FF000000"/>
        <sz val="11.0"/>
      </rPr>
      <t>- OOCL MAGNOLIA, (Z16), EG
- total tariffs 33.9%
- have additional $150 Maher Surcharge
- Live unload
- Moored 1/31, discharged 2/1, LFD 2/5</t>
    </r>
  </si>
  <si>
    <t>EITU1753851</t>
  </si>
  <si>
    <r>
      <rPr>
        <rFont val="Arial"/>
        <color rgb="FF000000"/>
        <sz val="11.0"/>
      </rPr>
      <t xml:space="preserve">GHC D-04016
</t>
    </r>
    <r>
      <rPr>
        <rFont val="Arial"/>
        <color rgb="FF000000"/>
        <sz val="11.0"/>
      </rPr>
      <t>(to RC Commerce)</t>
    </r>
  </si>
  <si>
    <t>EN#2174604, INV#JB2544, T/R, empty return 2/5
- COSCO PRIDE, (Z7), EG
- total tariffs 33.9%
- have additional $150 Maher Surcharge
- Moored 1/30, discharged 1/31, LFD 2/5
- prepulled 2/4
- Live unload</t>
  </si>
  <si>
    <t>EITU1974889</t>
  </si>
  <si>
    <r>
      <rPr>
        <rFont val="Arial"/>
        <color rgb="FF000000"/>
        <sz val="11.0"/>
      </rPr>
      <t>EN#2175234, INV#KB251210, OBL1/14,</t>
    </r>
    <r>
      <rPr>
        <rFont val="Arial"/>
        <color rgb="FF000000"/>
        <sz val="11.0"/>
      </rPr>
      <t xml:space="preserve"> empty return 2/4
</t>
    </r>
    <r>
      <rPr>
        <rFont val="Arial"/>
        <color rgb="FF000000"/>
        <sz val="11.0"/>
      </rPr>
      <t>- COSCO PRIDE, (Z10), EG
- total tariffs 15%
- have additional $150 Maher Surcharge
- Moored 1/30, discharged 1/31, LFD 2/5</t>
    </r>
  </si>
  <si>
    <t>CSNU8950400</t>
  </si>
  <si>
    <t>ORGANIC TEA &amp; QC SAMPLE
D-13206, D-13212, D-14206, D-15206, D-15212, D-17206, D-18206, D-18212, D-19206, D-19212</t>
  </si>
  <si>
    <t>EN#2174912, INV#YD25-T16, T/R, GATEFEE1/28, empty return 2/6
- EVER LEADING, (Z21), COSCO
- total tariffs 17.5%
- Moored 1/29, discharged 1/29, LFD 2/4
- shipment included QC sample</t>
  </si>
  <si>
    <t>41479
(part 2)</t>
  </si>
  <si>
    <t>EGSU3927410</t>
  </si>
  <si>
    <t>EN#8NP-0811945-9, INV#8008395870 &amp; 8008395870 (2), T/R, empty return 2/3
- TITAN (IMO 9728928), (A15), EG
- total tariffs 20%
- customs cleared by KHONG GUAN customs broker
- POP paid freight invoice
- have additional Maher surcharge ($150)
- Moored 1/29, discharged 1/30, LFD 2/5
- Live unload</t>
  </si>
  <si>
    <t>EGHU8251134</t>
  </si>
  <si>
    <t>GINGER CHEWS 4 OZ (LEMON, BLOOD ORANGE, COLA), QC SAMPLE</t>
  </si>
  <si>
    <t>EN#2175231, INV#E/SNA/2025/00146, T/R, GATEFEE1/26, empty return 2/3
- EVER MILD, (Z12), EG
- total tariffs 24.6%
- change of port (OAK to NJ) request canceled due to no inland routing from Oakland port to Newark
- Moored 1/26, discharged 1/27, LFD 2/3
- on pallet, Live unload
- pier waiting was from 12:08-1:30pm additional ½ hr for empty return</t>
  </si>
  <si>
    <t>TIIU5140709</t>
  </si>
  <si>
    <r>
      <rPr>
        <rFont val="Arial"/>
        <color rgb="FF000000"/>
        <sz val="11.0"/>
      </rPr>
      <t xml:space="preserve">GINGER CHEWS 2 OZ (ORIGINAL), </t>
    </r>
    <r>
      <rPr>
        <rFont val="Arial"/>
        <color rgb="FF0000FF"/>
        <sz val="11.0"/>
      </rPr>
      <t>QC SAMPLE</t>
    </r>
  </si>
  <si>
    <r>
      <rPr>
        <rFont val="Arial"/>
        <color rgb="FF000000"/>
        <sz val="11.0"/>
      </rPr>
      <t xml:space="preserve">EN#2174552, INV#E/SNA/2025/00143, T/R, GATEFEE1/26, </t>
    </r>
    <r>
      <rPr>
        <rFont val="Arial"/>
        <color rgb="FF000000"/>
        <sz val="11.0"/>
      </rPr>
      <t xml:space="preserve">empty return 2/5
</t>
    </r>
    <r>
      <rPr>
        <rFont val="Arial"/>
        <color rgb="FF000000"/>
        <sz val="11.0"/>
      </rPr>
      <t>- EVER MILD, (Z2), EG
- total tariffs 24.6%
- Moored 1/26, discharged 1/26, LFD 2/3</t>
    </r>
  </si>
  <si>
    <t>OOCU9549590</t>
  </si>
  <si>
    <r>
      <rPr>
        <rFont val="Arial"/>
        <color rgb="FF000000"/>
        <sz val="11.0"/>
      </rPr>
      <t xml:space="preserve">EN#2174481, INV#SH00020587 / SI00015931, T/R, </t>
    </r>
    <r>
      <rPr>
        <rFont val="Arial"/>
        <color rgb="FF000000"/>
        <sz val="11.0"/>
      </rPr>
      <t xml:space="preserve">empty return 1/29
</t>
    </r>
    <r>
      <rPr>
        <rFont val="Arial"/>
        <color rgb="FF000000"/>
        <sz val="11.0"/>
      </rPr>
      <t>- OOCL TULIP, (Z1), OOCL</t>
    </r>
    <r>
      <rPr>
        <rFont val="Arial"/>
        <color rgb="FF000000"/>
        <sz val="11.0"/>
      </rPr>
      <t xml:space="preserve">
</t>
    </r>
    <r>
      <rPr>
        <rFont val="Arial"/>
        <color rgb="FF000000"/>
        <sz val="11.0"/>
      </rPr>
      <t>- total tariffs 20%</t>
    </r>
    <r>
      <rPr>
        <rFont val="Arial"/>
        <color rgb="FF000000"/>
        <sz val="11.0"/>
      </rPr>
      <t xml:space="preserve">
</t>
    </r>
    <r>
      <rPr>
        <rFont val="Arial"/>
        <color rgb="FF000000"/>
        <sz val="11.0"/>
      </rPr>
      <t>- have additional $150 Maher Surcharge
- Moored 1/24, discharged 1/24, LFD 1/30</t>
    </r>
  </si>
  <si>
    <t>EGSU1119393</t>
  </si>
  <si>
    <t>GINGER CHEWS 1 KG (ORIGINAL, LEMON), QC SAMPLE
(to RC Commerce)</t>
  </si>
  <si>
    <t>EN#2174648, INV#234/EXP/INV/XI/2025, T/R, empty return 1/30
- TAIPEI TRIUMPH, (Z13), EG
- total tariffs 24.6%
- have additional $150 Maher Surcharge
- Moored 1/22, discharged 1/22, LFD 1/28
- due to snowstorm, rescheduled from 1/28 to 1/29
- prepulled 1/28, delivered 1/29
- unloading Waiting Time Charge = (3.5hr – 2hr Free) x $95/hr = $142.50</t>
  </si>
  <si>
    <t>EGSU1670209</t>
  </si>
  <si>
    <t>GHC TURMERIC D-04033, GHC LEMON D-04043, GHC E-04061</t>
  </si>
  <si>
    <t>EN#2174432, INV#JB2538, T/R, empty return 1/23
- OOCL BERLIN, (Z9), EG
- total tariffs 33.9%
- have additional $150 Maher Surcharge
- Moored 1/18, discharged 1/19, LFD 1/23</t>
  </si>
  <si>
    <t>EGSU2378146</t>
  </si>
  <si>
    <t>EN#8NP-0811861-8, INV#8008291315, T/R, empty return 1/22
- TALOS, (A8), EG
- total tariffs 19%
- customs cleared by KHONG GUAN customs broker
- POP paid freight invoice
- have additional Maher surcharge ($150)
- Moored 1/16, discharged 1/17, LFD 1/23</t>
  </si>
  <si>
    <t>EMCU1760807</t>
  </si>
  <si>
    <r>
      <rPr>
        <rFont val="Arial"/>
        <color rgb="FF000000"/>
        <sz val="11.0"/>
      </rPr>
      <t xml:space="preserve">EN#2173540, INV#218/EXP/INV/XI/2025, T/R, </t>
    </r>
    <r>
      <rPr>
        <rFont val="Arial"/>
        <color rgb="FF000000"/>
        <sz val="11.0"/>
      </rPr>
      <t>empty return 1/22</t>
    </r>
    <r>
      <rPr>
        <rFont val="Arial"/>
        <color rgb="FF000000"/>
        <sz val="11.0"/>
      </rPr>
      <t xml:space="preserve">
- TALOS, (Y22), EG</t>
    </r>
    <r>
      <rPr>
        <rFont val="Arial"/>
        <color rgb="FF000000"/>
        <sz val="11.0"/>
      </rPr>
      <t xml:space="preserve">
</t>
    </r>
    <r>
      <rPr>
        <rFont val="Arial"/>
        <color rgb="FF000000"/>
        <sz val="11.0"/>
      </rPr>
      <t>- total tariffs 24.6%
- have additional $150 Maher Surcharge
- Moored 1/16, discharged 1/17, LFD 1/23
- Live unload</t>
    </r>
  </si>
  <si>
    <t>DMRU2004910</t>
  </si>
  <si>
    <t>RED GINSENG ROYAL JELLY C-70052</t>
  </si>
  <si>
    <t>EN#2173908, INV#2025TAT05, T/R, empty return 1/20 (per Etrans)
- CAUQUENES, (Y12), MAEU
- total tariffs 33.9% &amp; 73.9%
- Moored 1/14, discharged 1/16, LFD 1/21
- have additional Empty Return surcharge ($175) to Monroe 568 LLC</t>
  </si>
  <si>
    <t>CAAU6885244</t>
  </si>
  <si>
    <r>
      <rPr>
        <rFont val="Arial"/>
        <color rgb="FF000000"/>
        <sz val="11.0"/>
      </rPr>
      <t xml:space="preserve">EN#2174238, INV#JB2537, T/R, </t>
    </r>
    <r>
      <rPr>
        <rFont val="Arial"/>
        <color rgb="FF000000"/>
        <sz val="11.0"/>
      </rPr>
      <t xml:space="preserve">empty return 1/23
</t>
    </r>
    <r>
      <rPr>
        <rFont val="Arial"/>
        <color rgb="FF000000"/>
        <sz val="11.0"/>
      </rPr>
      <t>- COSCO CAMELLIA, (Y4), EG
- total tariffs 33.9%
- have additional $150 Maher Surcharge
- Moored 1/14, discharged 1/15, LFD 1/22</t>
    </r>
  </si>
  <si>
    <t>EMCU8393977</t>
  </si>
  <si>
    <t>EN#2174702, INV#238/EXP/INV/XI/2025, T/R, GATEFEE1/13, empty return 1/27
- EVER MEMO, (Z3), EG
- total tariffs 24.6%
- Moored 1/14, discharged 1/14, LFD 1/21
- split pick up chassis fee applies</t>
  </si>
  <si>
    <t>EGSU1758619</t>
  </si>
  <si>
    <r>
      <rPr>
        <rFont val="Arial"/>
        <color rgb="FF000000"/>
        <sz val="11.0"/>
      </rPr>
      <t>EN#2174620, INV#25TM060, T/R, no GATEFEE (LCL), FCL empty return 1/20</t>
    </r>
    <r>
      <rPr>
        <rFont val="Arial"/>
        <color rgb="FF000000"/>
        <sz val="11.0"/>
      </rPr>
      <t xml:space="preserve">
</t>
    </r>
    <r>
      <rPr>
        <rFont val="Arial"/>
        <color rgb="FF000000"/>
        <sz val="11.0"/>
      </rPr>
      <t>- EVER MEMO, (Z8), EG</t>
    </r>
    <r>
      <rPr>
        <rFont val="Arial"/>
        <color rgb="FF000000"/>
        <sz val="11.0"/>
      </rPr>
      <t xml:space="preserve">
- total tariffs 17.5%
</t>
    </r>
    <r>
      <rPr>
        <rFont val="Arial"/>
        <color rgb="FF000000"/>
        <sz val="11.0"/>
      </rPr>
      <t>- LCL, 5 plts, GW will deliver
- Moored 1/14, discharged 1/14, LFD 1/25
- FCL picked up 1/19, LCL LFD 1/27</t>
    </r>
  </si>
  <si>
    <t>TGBU8881162</t>
  </si>
  <si>
    <t>TEA
D-13106, D-13306, D-14106, D-15106, D-16106, D-17106</t>
  </si>
  <si>
    <t>5643373 / Y</t>
  </si>
  <si>
    <t>EN#2174431, INV#YD25-T11, T/R, GATEFEE1/12, empty return 1/20
- EVER LEADER, (Y14), COSCO
- total tariffs 17.5%
- Moored 1/10, discharged 1/10, LFD 1/15</t>
  </si>
  <si>
    <t>TXGU7465097</t>
  </si>
  <si>
    <r>
      <rPr>
        <rFont val="Arial"/>
        <color rgb="FF000000"/>
        <sz val="11.0"/>
      </rPr>
      <t xml:space="preserve">EN#2174110, INV#RGN/POP-0325, T/R, </t>
    </r>
    <r>
      <rPr>
        <rFont val="Arial"/>
        <color rgb="FF000000"/>
        <sz val="11.0"/>
      </rPr>
      <t xml:space="preserve">empty return 1/14
</t>
    </r>
    <r>
      <rPr>
        <rFont val="Arial"/>
        <color rgb="FF000000"/>
        <sz val="11.0"/>
      </rPr>
      <t>- EVER MEMO, (Y6), EG</t>
    </r>
    <r>
      <rPr>
        <rFont val="Arial"/>
        <color rgb="FF000000"/>
        <sz val="11.0"/>
      </rPr>
      <t xml:space="preserve">
</t>
    </r>
    <r>
      <rPr>
        <rFont val="Arial"/>
        <color rgb="FF000000"/>
        <sz val="11.0"/>
      </rPr>
      <t>- total tariffs 20%
- Moored 1/8, discharged 1/8, LFD 1/15
- prepulled 1/12, delivered 1/13</t>
    </r>
  </si>
  <si>
    <t>TIIU5734629</t>
  </si>
  <si>
    <t>EN#2172805, INV#E/SNA/2025/00135, T/R, empty return 1/14
- EVER META, (Y21), EG
- total tariffs 24.6%
- 21 plts, Live unload
- have additional $150 Maher Surcharge
- customs hold for exam 1/7
- Moored 1/7, discharged 1/8, LFD 1/13,
- picked up for customs exam 1/9
- customs NII exam completed 1/12, LFD 1/14
- have additional Split Pick-up &amp; Return from H&amp;M CES Surcharge ($150), however, NO Maher Surcharge</t>
  </si>
  <si>
    <t>TIIU6827900</t>
  </si>
  <si>
    <t>EN#2173541, INV#E/SNAS/2025/00134, T/R, empty return 1/16
- EVER META, (Y20), EG
- total tariffs 24.6%
- 21 plts, Live unload, per Jimmy, Drop unload
- have additional $150 Maher Surcharge
- customs hold for exam 1/7
- Moored 1/7, discharged 1/8, LFD 1/13
- picked up for customs exam 1/9
- customs NII exam completed 1/12, LFD 1/14
- have additional Empty Pick-up surcharge ($535 + 30% Fuel)
- have an additional Split Pick-up &amp; Return from H&amp;M CES Surcharge ($150),  The Maher Surcharge will be dropped</t>
  </si>
  <si>
    <t>KOCU4891625</t>
  </si>
  <si>
    <t>KOREAN GINSENG TEA, TU CHUNG TEA, YOUNG JI TEA, QC SAMPLE</t>
  </si>
  <si>
    <t>EN#2174513, INV#KB251120, OBL 12/29, GATEFEE1/17, empty return 1/14
- HMM TOPAZ, (Z6), HMM
- total tariffs 15%
- Moored 1/7, discharged 1/7, LFD 1/13</t>
  </si>
  <si>
    <t>EGSU1284171</t>
  </si>
  <si>
    <t>EN#2174331, INV#E/SNA/2025/00140, T/R, GATEFEE1/7, empty return 1/20
- EVER MAGUS, (Y17), EG
- total tariffs 24.6%
- Moored 1/6, discharged 1/7, LFD 1/14</t>
  </si>
  <si>
    <t>TGBU8037357</t>
  </si>
  <si>
    <t>EN#2173703, INV#E/SNA/2025/00138, T/R, GATEFEE1/7, empty return 1/15
- EVER MAGUS, (X19), EG
- total tariffs 24.6%
- Moored 1/6, discharged 1/7, LFD 1/14</t>
  </si>
  <si>
    <t>TXGU5582999</t>
  </si>
  <si>
    <t>EN#2173702, INV#E/SNA/2025/00139, T/R, GATEFEE1/7, empty return 1/16
- EVER MAGUS, (Y18), EG
- total tariffs 24.6%
- 21 plts, Live unload
- Moored 1/6, discharged 1/7, LFD 1/14, updated LFD 1/18
- empty return Pier waiting was from 11:30-1:14pm additional 1hr</t>
  </si>
  <si>
    <t>EGSU9331808</t>
  </si>
  <si>
    <t>JAYOO CRACKERS</t>
  </si>
  <si>
    <t>EN#2174436, INV#JYPOP20251120, T/R, GATEFEE1/6, empty return 1/13
- EVER MAGUS, (Z4), EG
- total tariffs 45%
- Moored 1/6, discharged 1/7, LFD 1/13
- have split pick up chassis fee charge
- FDA hold for document review, released 1/16</t>
  </si>
  <si>
    <t>OOLU9270180</t>
  </si>
  <si>
    <r>
      <rPr>
        <rFont val="Arial"/>
        <color rgb="FF000000"/>
        <sz val="11.0"/>
      </rPr>
      <t xml:space="preserve">EN#2174072, INV#SH00020503, T/R, </t>
    </r>
    <r>
      <rPr>
        <rFont val="Arial"/>
        <color rgb="FF000000"/>
        <sz val="11.0"/>
      </rPr>
      <t xml:space="preserve">empty return 1/14
</t>
    </r>
    <r>
      <rPr>
        <rFont val="Arial"/>
        <color rgb="FF000000"/>
        <sz val="11.0"/>
      </rPr>
      <t>- COSCO DEVELOPMENT, (Y5), OOCL</t>
    </r>
    <r>
      <rPr>
        <rFont val="Arial"/>
        <color rgb="FF000000"/>
        <sz val="11.0"/>
      </rPr>
      <t xml:space="preserve">
</t>
    </r>
    <r>
      <rPr>
        <rFont val="Arial"/>
        <color rgb="FF000000"/>
        <sz val="11.0"/>
      </rPr>
      <t>- total tariffs 20%</t>
    </r>
    <r>
      <rPr>
        <rFont val="Arial"/>
        <color rgb="FF000000"/>
        <sz val="11.0"/>
      </rPr>
      <t xml:space="preserve">
</t>
    </r>
    <r>
      <rPr>
        <rFont val="Arial"/>
        <color rgb="FF000000"/>
        <sz val="11.0"/>
      </rPr>
      <t>- have additional $150 Maher Surcharge
- Moored 1/6, discharged 1/7, LFD 1/13</t>
    </r>
  </si>
  <si>
    <t>FFAU2689355</t>
  </si>
  <si>
    <t>EN#2173957, INV#YD25-T14, T/R, empty return 1/21
- COSCO DEVELOPMENT, (Y3), COSCO
- total tariffs 17.5%
- Customs hold for intensive exam 12/30
- Moored 1/6, discharged 1/8, LFD 1/14
- picked up for customs exam 1/14, customs exam completed &amp; released 1/16
- have an additional Split Pick-up &amp; Return from East Coast CES Surcharge ($150), no $150 Maher Surcharge
- customs MET exam charge is $2213.75</t>
  </si>
  <si>
    <t>EGSU9201743</t>
  </si>
  <si>
    <t>EN#2173243, INV#E/SNA/2025/00132, T/R, empty return 1/9
- EVER MAX, (Y16), EG
- total tariffs 24.6%
- have additional $150 Maher Surcharge
- Moored 1/2, discharged 1/2, LFD 1/8
- prepull 1/7
- have additional Empty Pick-up surcharge ($535 + 30%).</t>
  </si>
  <si>
    <t>835
(LCL)</t>
  </si>
  <si>
    <t>EMCU5749600</t>
  </si>
  <si>
    <t>DRIED HERBAL SOUP MIX</t>
  </si>
  <si>
    <r>
      <rPr>
        <rFont val="Arial"/>
        <color rgb="FF000000"/>
        <sz val="11.0"/>
      </rPr>
      <t>EN#2174190, INV#NR2511001, T/R
- EVER MAGIC, (X19), EG</t>
    </r>
    <r>
      <rPr>
        <rFont val="Arial"/>
        <color rgb="FF000000"/>
        <sz val="11.0"/>
      </rPr>
      <t xml:space="preserve">
</t>
    </r>
    <r>
      <rPr>
        <rFont val="Arial"/>
        <color rgb="FF000000"/>
        <sz val="11.0"/>
      </rPr>
      <t xml:space="preserve">- total tariffs 23.2%
- LCL, 8 plts, GW deliver
- Moored 1/1, discharged 1/2, LFD 1/8
- FCL picked up 1/6, devanning LCL 1/7, </t>
    </r>
    <r>
      <rPr>
        <rFont val="Arial"/>
        <color rgb="FF000000"/>
        <sz val="11.0"/>
      </rPr>
      <t>FCL empty return 1/8</t>
    </r>
  </si>
  <si>
    <t>EGSU6334510</t>
  </si>
  <si>
    <r>
      <rPr>
        <rFont val="Arial"/>
        <color rgb="FF000000"/>
        <sz val="11.0"/>
      </rPr>
      <t xml:space="preserve">GINGER CHEWS 8 OZ (ORIGINAL), </t>
    </r>
    <r>
      <rPr>
        <rFont val="Arial"/>
        <color rgb="FF000000"/>
        <sz val="11.0"/>
      </rPr>
      <t>QC SAMPLE</t>
    </r>
  </si>
  <si>
    <t>EN#2174330, INV#216/EXP/INV/XI/2025, T/R, GATEFEE12/30, empty return 1/12
- EVER MAGIC, (Y15), EG
- total tariffs 24.6%
- Moored 1/1, discharged 1/3, LFD 1/8
- split pick up chassis fee + pier waiting was from 8:07-1:33pm additional 3 ½ hr.
- empty return Pier waiting was from 12:16-2:31pm additional 1 ½ hr</t>
  </si>
  <si>
    <t>FFAU1859190
TCLU1497420
FFAU6527603
FTAU2412835</t>
  </si>
  <si>
    <r>
      <rPr>
        <rFont val="Arial"/>
        <b/>
        <color rgb="FFFF0000"/>
        <sz val="11.0"/>
      </rPr>
      <t>Sending OBL - American</t>
    </r>
    <r>
      <rPr>
        <rFont val="Arial"/>
        <b/>
        <color rgb="FF0000FF"/>
        <sz val="11.0"/>
      </rPr>
      <t xml:space="preserve">
Pending PO#
Received PO (TK4)</t>
    </r>
  </si>
  <si>
    <r>
      <rPr>
        <rFont val="Arial"/>
        <color rgb="FF000000"/>
        <sz val="11.0"/>
      </rPr>
      <t xml:space="preserve">EN#2176855, INV#PI26-12, 26ILC029444, </t>
    </r>
    <r>
      <rPr>
        <rFont val="Arial"/>
        <color rgb="FFFF0000"/>
        <sz val="11.0"/>
      </rPr>
      <t>PO#, OBL, empty return
- ONE MONACO?, TK4</t>
    </r>
    <r>
      <rPr>
        <rFont val="Arial"/>
        <color rgb="FF000000"/>
        <sz val="11.0"/>
      </rPr>
      <t>, ONE</t>
    </r>
    <r>
      <rPr>
        <rFont val="Arial"/>
        <color rgb="FFFF0000"/>
        <sz val="11.0"/>
      </rPr>
      <t xml:space="preserve">
- total tariffs</t>
    </r>
  </si>
  <si>
    <t>ONEU6202920
ONEU3149669</t>
  </si>
  <si>
    <t>SMALL PATCH, RUB 60G</t>
  </si>
  <si>
    <r>
      <rPr>
        <rFont val="Arial"/>
        <b/>
        <color rgb="FF0000FF"/>
        <sz val="11.0"/>
      </rPr>
      <t xml:space="preserve">Pending OBL - American
Pending PO#
Pay gate fee
</t>
    </r>
    <r>
      <rPr>
        <rFont val="Arial"/>
        <b/>
        <color rgb="FF0000FF"/>
        <sz val="11.0"/>
      </rPr>
      <t>Received PO (TK2)</t>
    </r>
  </si>
  <si>
    <r>
      <rPr>
        <rFont val="Arial"/>
        <color rgb="FF000000"/>
        <sz val="11.0"/>
      </rPr>
      <t>EN#2176856, INV#PI26-11, 26ILC029445,</t>
    </r>
    <r>
      <rPr>
        <rFont val="Arial"/>
        <color rgb="FFFF0000"/>
        <sz val="11.0"/>
      </rPr>
      <t xml:space="preserve"> PO#, OBL, GATEFEE, empty return
- ONE HAMBURG?, TK2</t>
    </r>
    <r>
      <rPr>
        <rFont val="Arial"/>
        <color rgb="FF000000"/>
        <sz val="11.0"/>
      </rPr>
      <t>, ONE</t>
    </r>
    <r>
      <rPr>
        <rFont val="Arial"/>
        <color rgb="FFFF0000"/>
        <sz val="11.0"/>
      </rPr>
      <t xml:space="preserve">
- total tariffs</t>
    </r>
  </si>
  <si>
    <t>OOCU9282170
TCKU7780086</t>
  </si>
  <si>
    <r>
      <rPr>
        <rFont val="Arial"/>
        <b/>
        <color rgb="FFFF0000"/>
        <sz val="11.0"/>
      </rPr>
      <t>Sending OBL - Pinnacle</t>
    </r>
    <r>
      <rPr>
        <rFont val="Arial"/>
        <b/>
        <color rgb="FF0000FF"/>
        <sz val="11.0"/>
      </rPr>
      <t xml:space="preserve">
Pay gate fee
Received PO (TK1)</t>
    </r>
  </si>
  <si>
    <r>
      <rPr>
        <rFont val="Arial"/>
        <color rgb="FF000000"/>
        <sz val="11.0"/>
      </rPr>
      <t xml:space="preserve">EN#2176793, INV#PI26-04, 26ILC029428, PO#42379, </t>
    </r>
    <r>
      <rPr>
        <rFont val="Arial"/>
        <color rgb="FFFF0000"/>
        <sz val="11.0"/>
      </rPr>
      <t>OBL, GATEFEE, empty return
- APL SENTOSA?</t>
    </r>
    <r>
      <rPr>
        <rFont val="Arial"/>
        <color rgb="FF000000"/>
        <sz val="11.0"/>
      </rPr>
      <t>, (TK1), OOCL</t>
    </r>
    <r>
      <rPr>
        <rFont val="Arial"/>
        <color rgb="FFFF0000"/>
        <sz val="11.0"/>
      </rPr>
      <t xml:space="preserve">
- total tariffs</t>
    </r>
  </si>
  <si>
    <t>ONEU1624482</t>
  </si>
  <si>
    <r>
      <rPr>
        <rFont val="Arial"/>
        <b/>
        <color rgb="FFFF0000"/>
        <sz val="11.0"/>
      </rPr>
      <t>Sending OBL - American</t>
    </r>
    <r>
      <rPr>
        <rFont val="Arial"/>
        <b/>
        <color rgb="FF0000FF"/>
        <sz val="11.0"/>
      </rPr>
      <t xml:space="preserve">
Pending PO#
Pay gate fee
Received PO (TK3)</t>
    </r>
  </si>
  <si>
    <r>
      <rPr>
        <rFont val="Arial"/>
        <color rgb="FF000000"/>
        <sz val="11.0"/>
      </rPr>
      <t xml:space="preserve">EN#2176857, INV#PI26-26, 26ILC029449, </t>
    </r>
    <r>
      <rPr>
        <rFont val="Arial"/>
        <color rgb="FFFF0000"/>
        <sz val="11.0"/>
      </rPr>
      <t xml:space="preserve">PO#, OBL, empty return
</t>
    </r>
    <r>
      <rPr>
        <rFont val="Arial"/>
        <color rgb="FF000000"/>
        <sz val="11.0"/>
      </rPr>
      <t xml:space="preserve">- ONE HAMBURG, </t>
    </r>
    <r>
      <rPr>
        <rFont val="Arial"/>
        <color rgb="FFFF0000"/>
        <sz val="11.0"/>
      </rPr>
      <t>TK3</t>
    </r>
    <r>
      <rPr>
        <rFont val="Arial"/>
        <color rgb="FF000000"/>
        <sz val="11.0"/>
      </rPr>
      <t>, ONE</t>
    </r>
    <r>
      <rPr>
        <rFont val="Arial"/>
        <color rgb="FFFF0000"/>
        <sz val="11.0"/>
      </rPr>
      <t xml:space="preserve">
- total tariffs</t>
    </r>
  </si>
  <si>
    <t>FCIU5961166
TGBU4815373</t>
  </si>
  <si>
    <t>Received PO (TJ20)</t>
  </si>
  <si>
    <r>
      <rPr>
        <rFont val="Arial"/>
        <color rgb="FF000000"/>
        <sz val="11.0"/>
      </rPr>
      <t xml:space="preserve">EN#2176584, INV#PI26-24, 26ILC029448, PO#42375, OBL4/7, </t>
    </r>
    <r>
      <rPr>
        <rFont val="Arial"/>
        <color rgb="FFFF0000"/>
        <sz val="11.0"/>
      </rPr>
      <t xml:space="preserve">empty return
</t>
    </r>
    <r>
      <rPr>
        <rFont val="Arial"/>
        <color rgb="FF000000"/>
        <sz val="11.0"/>
      </rPr>
      <t>- TAIPEI TRIUMPH, (TJ20), COSCO</t>
    </r>
    <r>
      <rPr>
        <rFont val="Arial"/>
        <color rgb="FFFF0000"/>
        <sz val="11.0"/>
      </rPr>
      <t xml:space="preserve">
- total tariffs</t>
    </r>
  </si>
  <si>
    <t>WHSU0541721</t>
  </si>
  <si>
    <t>Received PO (TJ21)</t>
  </si>
  <si>
    <r>
      <rPr>
        <rFont val="Arial"/>
        <color rgb="FF000000"/>
        <sz val="11.0"/>
      </rPr>
      <t xml:space="preserve">EN#2176652, INV#PI26-23, 26ILC029446, PO#42377, OBL4/7, GATEFEE4/13, </t>
    </r>
    <r>
      <rPr>
        <rFont val="Arial"/>
        <color rgb="FFFF0000"/>
        <sz val="11.0"/>
      </rPr>
      <t xml:space="preserve">empty return
</t>
    </r>
    <r>
      <rPr>
        <rFont val="Arial"/>
        <color rgb="FF000000"/>
        <sz val="11.0"/>
      </rPr>
      <t>- ONE SINGAPORE, (TJ21), WAN HAI</t>
    </r>
    <r>
      <rPr>
        <rFont val="Arial"/>
        <color rgb="FFFF0000"/>
        <sz val="11.0"/>
      </rPr>
      <t xml:space="preserve">
</t>
    </r>
    <r>
      <rPr>
        <rFont val="Arial"/>
        <color rgb="FF000000"/>
        <sz val="11.0"/>
      </rPr>
      <t>- total tariffs 0%</t>
    </r>
  </si>
  <si>
    <t>ONEU2028739</t>
  </si>
  <si>
    <t>Scheduled 4/16
Received PO (TJ19)</t>
  </si>
  <si>
    <r>
      <rPr>
        <rFont val="Arial"/>
        <color rgb="FF000000"/>
        <sz val="11.0"/>
      </rPr>
      <t xml:space="preserve">EN#2175952, INV#PI26-20 &amp; PI26-39, 26ILC029427, PO#42236, OBL3/19, </t>
    </r>
    <r>
      <rPr>
        <rFont val="Arial"/>
        <color rgb="FFFF0000"/>
        <sz val="11.0"/>
      </rPr>
      <t xml:space="preserve">empty return
</t>
    </r>
    <r>
      <rPr>
        <rFont val="Arial"/>
        <color rgb="FF000000"/>
        <sz val="11.0"/>
      </rPr>
      <t>- ONE MANCHESTER, (TJ19), ONE
- total tariffs 0 &amp; 10%
- have Global Terminal surcharge ($150)
- moored 4/10, discharged 4/11, LFD 4/16</t>
    </r>
  </si>
  <si>
    <t>77 PLTS</t>
  </si>
  <si>
    <t>WHSU5935116
WHSU6715625
BEAU4381577</t>
  </si>
  <si>
    <r>
      <rPr>
        <rFont val="Arial"/>
        <b/>
        <color rgb="FF000000"/>
        <sz val="11.0"/>
      </rPr>
      <t xml:space="preserve">c#5116 - prepull 4/15, deliver 4/16
c#5625 - 4/14/2026 - </t>
    </r>
    <r>
      <rPr>
        <rFont val="Arial"/>
        <b/>
        <color rgb="FFFF0000"/>
        <sz val="11.0"/>
      </rPr>
      <t>empty return</t>
    </r>
    <r>
      <rPr>
        <rFont val="Arial"/>
        <b/>
        <color rgb="FF000000"/>
        <sz val="11.0"/>
      </rPr>
      <t xml:space="preserve">
c#1577 - prepull 4/15, deliver 4/16
Received PO (TJ22)</t>
    </r>
  </si>
  <si>
    <r>
      <rPr>
        <rFont val="Arial"/>
        <color rgb="FF000000"/>
        <sz val="11.0"/>
      </rPr>
      <t>EN#2176691, INV#PI26-25, 26ILC029447, PO#42378, OBL4/7,</t>
    </r>
    <r>
      <rPr>
        <rFont val="Arial"/>
        <color rgb="FFFF0000"/>
        <sz val="11.0"/>
      </rPr>
      <t xml:space="preserve"> empty return
</t>
    </r>
    <r>
      <rPr>
        <rFont val="Arial"/>
        <color rgb="FF000000"/>
        <sz val="11.0"/>
      </rPr>
      <t xml:space="preserve">- ONE SINGAPORE, (TJ22), WAN HAI
- total tariffs 0%
- Moored 4/8
- c#5116 - discharged 4/10, </t>
    </r>
    <r>
      <rPr>
        <rFont val="Arial"/>
        <color rgb="FFFF0000"/>
        <sz val="11.0"/>
      </rPr>
      <t>LFD, empty return, prepull 4/15</t>
    </r>
    <r>
      <rPr>
        <rFont val="Arial"/>
        <color rgb="FF000000"/>
        <sz val="11.0"/>
      </rPr>
      <t xml:space="preserve">
- c#5625 - discharged 4/10,</t>
    </r>
    <r>
      <rPr>
        <rFont val="Arial"/>
        <color rgb="FFFF0000"/>
        <sz val="11.0"/>
      </rPr>
      <t xml:space="preserve"> LFD,</t>
    </r>
    <r>
      <rPr>
        <rFont val="Arial"/>
        <color rgb="FF000000"/>
        <sz val="11.0"/>
      </rPr>
      <t xml:space="preserve"> prepulled 4/13,</t>
    </r>
    <r>
      <rPr>
        <rFont val="Arial"/>
        <color rgb="FFFF0000"/>
        <sz val="11.0"/>
      </rPr>
      <t xml:space="preserve"> empty return</t>
    </r>
    <r>
      <rPr>
        <rFont val="Arial"/>
        <color rgb="FF000000"/>
        <sz val="11.0"/>
      </rPr>
      <t xml:space="preserve">
- c#1577 - discharged 4/11, </t>
    </r>
    <r>
      <rPr>
        <rFont val="Arial"/>
        <color rgb="FFFF0000"/>
        <sz val="11.0"/>
      </rPr>
      <t>LFD, empty return, prepull 4/15</t>
    </r>
  </si>
  <si>
    <t>ONEU1111690</t>
  </si>
  <si>
    <t>Scheduled 4/15
Received PO (TJ18)</t>
  </si>
  <si>
    <r>
      <rPr>
        <rFont val="Arial"/>
        <color rgb="FF000000"/>
        <sz val="11.0"/>
      </rPr>
      <t xml:space="preserve">EN#2175924, INV#PI26-22, 26ILC029426, PO#42235, OBL3/19, </t>
    </r>
    <r>
      <rPr>
        <rFont val="Arial"/>
        <color rgb="FFFF0000"/>
        <sz val="11.0"/>
      </rPr>
      <t xml:space="preserve">empty return
</t>
    </r>
    <r>
      <rPr>
        <rFont val="Arial"/>
        <color rgb="FF000000"/>
        <sz val="11.0"/>
      </rPr>
      <t xml:space="preserve">- ONE MANHATTAN, (TJ18), ONE
- total tariffs 0%
- moored 4/8, discharged 4/11, LFD 4/16
</t>
    </r>
    <r>
      <rPr>
        <rFont val="Arial"/>
        <color rgb="FFFF0000"/>
        <sz val="11.0"/>
      </rPr>
      <t>- prepull 4/14?</t>
    </r>
  </si>
  <si>
    <t>BEAU4981355
YMLU3506700</t>
  </si>
  <si>
    <t>4/2/2026
4/2/2026</t>
  </si>
  <si>
    <r>
      <rPr>
        <rFont val="Arial"/>
        <color rgb="FF000000"/>
        <sz val="11.0"/>
      </rPr>
      <t xml:space="preserve">EN#2175892, INV#PI26-04, 26ILC029428, PO#42234, OBL3/19, GATEFEE3/30, </t>
    </r>
    <r>
      <rPr>
        <rFont val="Arial"/>
        <color rgb="FFFF0000"/>
        <sz val="11.0"/>
      </rPr>
      <t xml:space="preserve">empty return
</t>
    </r>
    <r>
      <rPr>
        <rFont val="Arial"/>
        <color rgb="FF000000"/>
        <sz val="11.0"/>
      </rPr>
      <t>- HMM RAON, (TJ16), YANG MING
- total tariffs 10%
- moored 3/31
- c#1355 - discharged 3/31, LFD 4/6, empty return 4/2
- c#6700 - discharged 3/31, LFD 4/6, empty return 4/2
- c#6700 - pickup Pier waiting was from 7:15-9:56am additional 1hr</t>
    </r>
  </si>
  <si>
    <t>CSNU1336772
CSNU5788744</t>
  </si>
  <si>
    <t>3/26/2026
3/24/2026</t>
  </si>
  <si>
    <t>EN#2175802, INV#PI26-14, 26ILC029420, PO#42238, OBL3/11
- OOCL LILAC, (TJ14), OOCL
- total tariffs 0%
- additional Maher surcharge ($150)
- Moored 3/22
- c#6772 - discharged 3/25, LFD 3/30, empty return 3/31
- c#8744 - discharged 3/22, LFD 3/26, empty return 3/27</t>
  </si>
  <si>
    <t>73 PLTS</t>
  </si>
  <si>
    <t>GCXU5519780
TLLU5581265
ONEU2148924</t>
  </si>
  <si>
    <t>3/18/2026
3/17/2026
3/17/2026</t>
  </si>
  <si>
    <t>EN#2175422, INV#PI26-02, 26ILC029396, PO#42139, OBL3/4
- ONE MUNCHEN, (TJ13), ONE
- total tariffs 10%
- have additional Global Terminal (aka Port Liberty-Bayonne) surcharge ($150)
- Moored 3/15
- c#9780 - discharged 3/15, LFD 3/19, prepulled 3/17, empty return 3/19
- c#1265 - discharged 3/15, LFD 3/19, empty return 3/18
- c#8924 - discharged 3/15, LFD 3/19, empty return 3/19</t>
  </si>
  <si>
    <t>WHSU8829490</t>
  </si>
  <si>
    <t>5649354 / Y</t>
  </si>
  <si>
    <r>
      <rPr>
        <rFont val="Arial"/>
        <color rgb="FF000000"/>
        <sz val="11.0"/>
      </rPr>
      <t>EN#2175893, INV#PI26-13, 26ILC029419, PO#42237, OBL3/11, GATEFEE3/9, empty return 3/13</t>
    </r>
    <r>
      <rPr>
        <rFont val="Arial"/>
        <color rgb="FFFF0000"/>
        <sz val="11.0"/>
      </rPr>
      <t xml:space="preserve">
</t>
    </r>
    <r>
      <rPr>
        <rFont val="Arial"/>
        <color rgb="FF000000"/>
        <sz val="11.0"/>
      </rPr>
      <t>- WAN HAI A05, (TJ17), WAN HAI
- total tariffs 0%
- Moored 3/12, discharged 3/12, LFD 3/18</t>
    </r>
  </si>
  <si>
    <t>62 PLTS</t>
  </si>
  <si>
    <t>ONEU1419153
ONEU0754630</t>
  </si>
  <si>
    <t>RUB 60G, SMALL PATCH, KLO 57ML</t>
  </si>
  <si>
    <t>3/18/2026
3/13/2026</t>
  </si>
  <si>
    <r>
      <rPr>
        <rFont val="Arial"/>
        <color rgb="FF000000"/>
        <sz val="11.0"/>
      </rPr>
      <t>EN#2175327, INV#PI26-01, PI26-03 &amp; PI26-10, 26ILC029395, PO#42134, OBL3/4</t>
    </r>
    <r>
      <rPr>
        <rFont val="Arial"/>
        <color rgb="FFFF0000"/>
        <sz val="11.0"/>
      </rPr>
      <t xml:space="preserve">
</t>
    </r>
    <r>
      <rPr>
        <rFont val="Arial"/>
        <color rgb="FF000000"/>
        <sz val="11.0"/>
      </rPr>
      <t>- ONE FORWARD, (TJ12), ONE</t>
    </r>
    <r>
      <rPr>
        <rFont val="Arial"/>
        <color rgb="FFFF0000"/>
        <sz val="11.0"/>
      </rPr>
      <t xml:space="preserve">
</t>
    </r>
    <r>
      <rPr>
        <rFont val="Arial"/>
        <color rgb="FF000000"/>
        <sz val="11.0"/>
      </rPr>
      <t>- total tariffs 10%</t>
    </r>
    <r>
      <rPr>
        <rFont val="Arial"/>
        <color rgb="FFFF0000"/>
        <sz val="11.0"/>
      </rPr>
      <t xml:space="preserve">
</t>
    </r>
    <r>
      <rPr>
        <rFont val="Arial"/>
        <color rgb="FF000000"/>
        <sz val="11.0"/>
      </rPr>
      <t>- moored 3/11
- c#9153 - discharged 3/14, LFD 3/19, prepulled 3/17, empty return 3/18</t>
    </r>
    <r>
      <rPr>
        <rFont val="Arial"/>
        <color rgb="FFFF0000"/>
        <sz val="11.0"/>
      </rPr>
      <t xml:space="preserve">
</t>
    </r>
    <r>
      <rPr>
        <rFont val="Arial"/>
        <color rgb="FF000000"/>
        <sz val="11.0"/>
      </rPr>
      <t>- c#4630 - discharged 3/12, LFD 3/17, prepulled 3/12, empty return 3/13</t>
    </r>
  </si>
  <si>
    <t>BEAU6020300</t>
  </si>
  <si>
    <t>EN#2175891, INV#PI26-15, 26ILC029421, PO#42233, OBL2/26, empty return 3/10
- OOCL UTAH, (TJ15), COSCO
- total tariffs 0%
- Moored 3/4, discharged 3/6, LFD 3/12</t>
  </si>
  <si>
    <t>81 PLTS</t>
  </si>
  <si>
    <t>CSNU1810259
FSCU8733580
TGBU8885229
CSGU6258159</t>
  </si>
  <si>
    <t>3/6/2026
3/5/2026
3/4/2026
3/4/2026</t>
  </si>
  <si>
    <t>EN#2175133, INV#PI26-06, 26ILC029398, PO#42135, OBL2/3
- EVER MODEL, (TJ7), OOCL
- total tariffs 0%
- Maher surcharge ($150) will apply
- Moored 3/1
- c#0259 - discharged 3/1, LFD 3/5, prepull 3/5, empty return 3/10
- c#3580 - discharged 3/1, LFD 3/5, empty return 3/5
- c#5229 - discharged 3/1, LFD 3/5, empty return 3/4
- c#8159 - discharged 3/1, LFD 3/5, prepull 3/3, empty return 3/4</t>
  </si>
  <si>
    <t>2 PLTS
(LCL)</t>
  </si>
  <si>
    <t>ONEU9104297</t>
  </si>
  <si>
    <r>
      <rPr>
        <rFont val="Arial"/>
        <color rgb="FF000000"/>
        <sz val="11.0"/>
      </rPr>
      <t>EN#2175137, INV#PI26-09 &amp; PI26-21, 26ILC029401, PO#42133, OBL1/28</t>
    </r>
    <r>
      <rPr>
        <rFont val="Arial"/>
        <color rgb="FF000000"/>
        <sz val="11.0"/>
      </rPr>
      <t xml:space="preserve">
</t>
    </r>
    <r>
      <rPr>
        <rFont val="Arial"/>
        <color rgb="FF000000"/>
        <sz val="11.0"/>
      </rPr>
      <t>- NYK VIRGO, (TJ8), ONE
- total tariffs 0%</t>
    </r>
    <r>
      <rPr>
        <rFont val="Arial"/>
        <color rgb="FF000000"/>
        <sz val="11.0"/>
      </rPr>
      <t xml:space="preserve">
</t>
    </r>
    <r>
      <rPr>
        <rFont val="Arial"/>
        <color rgb="FF000000"/>
        <sz val="11.0"/>
      </rPr>
      <t xml:space="preserve">- moored 2/21, discharged 2/25, LFD 3/3
- FCL pickedup 2/27, </t>
    </r>
    <r>
      <rPr>
        <rFont val="Arial"/>
        <color rgb="FF000000"/>
        <sz val="11.0"/>
      </rPr>
      <t>FCL empty return 3/3</t>
    </r>
  </si>
  <si>
    <t>TLLU5920585</t>
  </si>
  <si>
    <t>EN#2175235, INV#PI26-08 &amp; PI26-19, 26ILC029400, PO#42131, OBL1/28
- MSC RACHELE, (TJ9), ZIM
- total tariffs 0%
- moored 2/19, discharged 2/20, LFD? FCL picked up 2/20, FCL empty return 2/25</t>
  </si>
  <si>
    <t>CAAU8514303</t>
  </si>
  <si>
    <t>EN#2175288, INV#PI26-05, 26ILC029397, PO#42137, OBL2/3, GATEFEE2/17, empty return 2/19
- ONE SINGAPORE, (TJ11), WAN HAI
- total tariffs 10%
- Moored 2/16, discharged 2/16, LFD 2/20</t>
  </si>
  <si>
    <t>129 PLTS</t>
  </si>
  <si>
    <t>ONEU1031152
NYKU4406595
ONEU6690785
TCLU2944585</t>
  </si>
  <si>
    <t>2/17/2026
2/17/2026
2/18/2026
2/18/2026</t>
  </si>
  <si>
    <t>EN#2174785, INV#PI25-134, PI25-146 &amp; PI25-51, 25ILC029364, PO#42005, OBL1/20
- ONE CRANE, (TJ6), ONE
- total tariffs 19%
- have additional Global Terminal (aka Port Liberty-Bayonne Terminal) surcharge ($150)
- At anchor 2/9, pending berthing 2/11
- moored 2/11
- c#1152 - discharged 2/12, LFD 2/19, empty return 2/19
- c#6595 - discharged 2/12, LFD 2/19, empty return 2/19
- c#0785 - discharged 2/11, LFD 2/19, empty return 2/20
- c#4585 - discharged 2/11, LFD 2/19, empty return 2/18</t>
  </si>
  <si>
    <t>ONEU2283122</t>
  </si>
  <si>
    <t>EN#2174637, INV#PI25-130, 25ILC029372, PO#42004, OBL1/20, empty return 2/19
- ONE CRANE, (TJ5), ONE
- total tariffs 0%
- At anchor 2/9, pending berthing 2/11
- moored 2/11, discharged 2/12, LFD 2/19
- additional Global Terminal (aka Port Liberty-Bayonne) surcharge ($150)</t>
  </si>
  <si>
    <t>WHSU0523733
WHSU8787080</t>
  </si>
  <si>
    <t>2/11/2026
2/13/2026</t>
  </si>
  <si>
    <r>
      <rPr>
        <rFont val="Arial"/>
        <color rgb="FF000000"/>
        <sz val="11.0"/>
      </rPr>
      <t>EN#2175289, INV#PI26-07, 26ILC029399, PO#42138, OBL2/3</t>
    </r>
    <r>
      <rPr>
        <rFont val="Arial"/>
        <color rgb="FFFF0000"/>
        <sz val="11.0"/>
      </rPr>
      <t xml:space="preserve">
</t>
    </r>
    <r>
      <rPr>
        <rFont val="Arial"/>
        <color rgb="FF000000"/>
        <sz val="11.0"/>
      </rPr>
      <t>- ONE SINGAPORE, (TJ10), WAN HAI
- total tariffs 10%
- moored 2/8
- c#3733 - discharged 2/9, LFD?, prepulled 2/10, empty return 2/11
- c#7080 - discharged 2/10, LFD?, prepulled 2/12, empty return 2/13</t>
    </r>
  </si>
  <si>
    <t>TRHU5130583</t>
  </si>
  <si>
    <t>RUB 60G, KLO 57ML, PATCH 1'S</t>
  </si>
  <si>
    <t>EN#2174638, INV#PI25-108, PI25-147 &amp; PI25-52, 25ILC029366 , PO#42001, OBL1/20, empty return 2/3
- ONE SWAN, (TJ1), ONE
- total tariffs 0%
- Moored 1/28, discharged 1/31, LFD 2/5
- prepulled 2/2, delivered 2/3</t>
  </si>
  <si>
    <t>CSNU6443650</t>
  </si>
  <si>
    <r>
      <rPr>
        <rFont val="Arial"/>
        <color rgb="FF000000"/>
        <sz val="11.0"/>
      </rPr>
      <t xml:space="preserve">EN#2174300, INV#PI25-142, 25ILC029360, PO#41999, OBL12/31, </t>
    </r>
    <r>
      <rPr>
        <rFont val="Arial"/>
        <color rgb="FF000000"/>
        <sz val="11.0"/>
      </rPr>
      <t xml:space="preserve">empty return 1/28
</t>
    </r>
    <r>
      <rPr>
        <rFont val="Arial"/>
        <color rgb="FF000000"/>
        <sz val="11.0"/>
      </rPr>
      <t>- TAIPEI TRIUMPH, (TH19), OOCL
- total tariffs 10%
- have additional $150 Maher Surcharge
- Moored 1/22, discharged 1/22, LFD 1/28</t>
    </r>
  </si>
  <si>
    <t>WHSU8778957</t>
  </si>
  <si>
    <t>5644684 / Y</t>
  </si>
  <si>
    <t>EN#2174667, INV#PI25-141, 25ILC029359, PO#42040, OBL1/15, GATEFEE1/16, empty return 1/23
- WAN HAI A12, (TJ3), WAN HAI
- total tariffs 10%
- Moored 1/19, discharged 1/20, LFD 1/23</t>
  </si>
  <si>
    <t>ONEU2299896</t>
  </si>
  <si>
    <t>EN#2174668, INV#PI25-136, 25ILC029339, PO#42039, OBL1/15, GATEFEE1/16, empty return 1/22
- WAN HAI A12, (TJ4), ONE
- total tariffs 10%
- Moored 1/19, discharged 1/19, LFD 1/23</t>
  </si>
  <si>
    <t>TGBU6496906</t>
  </si>
  <si>
    <r>
      <rPr>
        <rFont val="Arial"/>
        <color rgb="FF000000"/>
        <sz val="11.0"/>
      </rPr>
      <t>EN#2174636, INV#PI25-145, 25ILC029365, PO#41998, OBL1/9</t>
    </r>
    <r>
      <rPr>
        <rFont val="Arial"/>
        <color rgb="FFFF0000"/>
        <sz val="11.0"/>
      </rPr>
      <t xml:space="preserve">
</t>
    </r>
    <r>
      <rPr>
        <rFont val="Arial"/>
        <color rgb="FF000000"/>
        <sz val="11.0"/>
      </rPr>
      <t>- NYK OCEANUS, (TJ2), YANG MING
- total tariffs 0%
- At anchor 1/19, moored 1/21, discharged 1/25, LFD 1/29
- FCL picked up 1/27, FCL empty return 1/28</t>
    </r>
  </si>
  <si>
    <t>88 PLTS</t>
  </si>
  <si>
    <t>OOCU5854256
OOLU9555157
TLLU3337394</t>
  </si>
  <si>
    <t>1/23/2026
1/23/2026
1/23/2026</t>
  </si>
  <si>
    <t>EN#2173954, INV#PI25-127, PI25-139 &amp; PI25-49, 25ILC029336, PO#41946, OBL12/17
- CMA CGM TITAN, (TH18), OOCL
- total tariffs 19%
- have additional $150/contr Port Liberty Bayonne (Global) Surcharge
- Moored 1/17
- c#4256 - discharged 1/17, LFD 1/23, empty return 1/23
- c#5157 - discharged 1/17, LFD 1/23, empty return 1/23
- c#7394 - discharged 1/17, LFD 1/23, empty return 1/27
- c#5157 have additional Empty Pick-up surcharge ($535 + 30% Fuel)</t>
  </si>
  <si>
    <t>ZCSU7748843</t>
  </si>
  <si>
    <t>EN#2174486, INV#PI25-144, 25ILC029367, PO#42003, OBL1/6, FCL empty return 1/21
- MSC CHIARA X, (TH20), ZIM
- total tariffs 0%
- Moored 1/19, discharged 1/19, LFD?, FCL picked up 1/20</t>
  </si>
  <si>
    <t>ONEU2033592</t>
  </si>
  <si>
    <r>
      <rPr>
        <rFont val="Arial"/>
        <color rgb="FF000000"/>
        <sz val="11.0"/>
      </rPr>
      <t xml:space="preserve">EN#2174485, INV#PI25-107, 25ILC029371, PO#42002, OBL1/6, </t>
    </r>
    <r>
      <rPr>
        <rFont val="Arial"/>
        <color rgb="FF000000"/>
        <sz val="11.0"/>
      </rPr>
      <t xml:space="preserve">empty return 1/21
</t>
    </r>
    <r>
      <rPr>
        <rFont val="Arial"/>
        <color rgb="FF000000"/>
        <sz val="11.0"/>
      </rPr>
      <t>- YM WORTH, (TH22), ONE
- total tariffs 0%</t>
    </r>
  </si>
  <si>
    <t>CSNU2444133</t>
  </si>
  <si>
    <r>
      <rPr>
        <rFont val="Arial"/>
        <color rgb="FF000000"/>
        <sz val="11.0"/>
      </rPr>
      <t xml:space="preserve">EN#2174487, INV#PI25-143, 25ILC029361, PO#42000, OBL12/31, </t>
    </r>
    <r>
      <rPr>
        <rFont val="Arial"/>
        <color rgb="FF000000"/>
        <sz val="11.0"/>
      </rPr>
      <t xml:space="preserve">empty return 1/7
</t>
    </r>
    <r>
      <rPr>
        <rFont val="Arial"/>
        <color rgb="FF000000"/>
        <sz val="11.0"/>
      </rPr>
      <t>- CSCL EAST CHINA SEA, (TH21), COSCO</t>
    </r>
    <r>
      <rPr>
        <rFont val="Arial"/>
        <color rgb="FF000000"/>
        <sz val="11.0"/>
      </rPr>
      <t xml:space="preserve">
</t>
    </r>
    <r>
      <rPr>
        <rFont val="Arial"/>
        <color rgb="FF000000"/>
        <sz val="11.0"/>
      </rPr>
      <t>- total tariffs 10%
- Moored 1/2, discharged 1/5, LFD 1/8</t>
    </r>
    <r>
      <rPr>
        <rFont val="Arial"/>
        <color rgb="FF000000"/>
        <sz val="11.0"/>
      </rPr>
      <t xml:space="preserve">
- prepulled 1/6, delivered 1/7</t>
    </r>
  </si>
  <si>
    <r>
      <rPr>
        <rFont val="Arial"/>
        <b/>
        <i/>
        <color rgb="FF0000FF"/>
        <sz val="14.0"/>
      </rPr>
      <t>Etrans(NJ)</t>
    </r>
    <r>
      <rPr>
        <rFont val="Arial"/>
        <i/>
        <color theme="1"/>
        <sz val="14.0"/>
      </rPr>
      <t xml:space="preserve">
</t>
    </r>
    <r>
      <rPr>
        <rFont val="Arial"/>
        <color theme="1"/>
        <sz val="10.0"/>
      </rPr>
      <t>Kim (kimberly@etranstruck.com)</t>
    </r>
    <r>
      <rPr>
        <rFont val="Arial"/>
        <color rgb="FF0000FF"/>
        <sz val="10.0"/>
      </rPr>
      <t xml:space="preserve">
</t>
    </r>
    <r>
      <rPr>
        <rFont val="Arial"/>
        <color theme="1"/>
        <sz val="10.0"/>
      </rPr>
      <t xml:space="preserve">
</t>
    </r>
    <r>
      <rPr>
        <rFont val="Arial"/>
        <b/>
        <color theme="1"/>
        <sz val="10.0"/>
      </rPr>
      <t xml:space="preserve">Dayton: </t>
    </r>
    <r>
      <rPr>
        <rFont val="Arial"/>
        <color theme="1"/>
        <sz val="10.0"/>
      </rPr>
      <t xml:space="preserve">
</t>
    </r>
    <r>
      <rPr>
        <rFont val="Arial"/>
        <b/>
        <color theme="1"/>
        <sz val="10.0"/>
      </rPr>
      <t>Live-Unload Drayage</t>
    </r>
    <r>
      <rPr>
        <rFont val="Arial"/>
        <color theme="1"/>
        <sz val="10.0"/>
      </rPr>
      <t xml:space="preserve"> :$ 625 + 30%, </t>
    </r>
    <r>
      <rPr>
        <rFont val="Arial"/>
        <b/>
        <color rgb="FFFF0000"/>
        <sz val="10.0"/>
      </rPr>
      <t>39% (start 3/23/2026)</t>
    </r>
    <r>
      <rPr>
        <rFont val="Arial"/>
        <color theme="1"/>
        <sz val="10.0"/>
      </rPr>
      <t xml:space="preserve"> Fuel + Chassis ($40/day)
Live-Unload (RC Commerce): $1175 + 30%, </t>
    </r>
    <r>
      <rPr>
        <rFont val="Arial"/>
        <b/>
        <color rgb="FFFF0000"/>
        <sz val="10.0"/>
      </rPr>
      <t>39% (start 3/23/2026)</t>
    </r>
    <r>
      <rPr>
        <rFont val="Arial"/>
        <color theme="1"/>
        <sz val="10.0"/>
      </rPr>
      <t xml:space="preserve"> Fuel + Chassis ($40/day)
Drop Load Drayage:  $ 625 + 30%, </t>
    </r>
    <r>
      <rPr>
        <rFont val="Arial"/>
        <b/>
        <color rgb="FFFF0000"/>
        <sz val="10.0"/>
      </rPr>
      <t xml:space="preserve">39% (start 3/23/2026) </t>
    </r>
    <r>
      <rPr>
        <rFont val="Arial"/>
        <color theme="1"/>
        <sz val="10.0"/>
      </rPr>
      <t xml:space="preserve">Fuel + Chassis ($40/day)
Pick Empty Drayage:  $ 535 + 30%, </t>
    </r>
    <r>
      <rPr>
        <rFont val="Arial"/>
        <b/>
        <color rgb="FFFF0000"/>
        <sz val="10.0"/>
      </rPr>
      <t xml:space="preserve">39% (start 3/23/2026) </t>
    </r>
    <r>
      <rPr>
        <rFont val="Arial"/>
        <color theme="1"/>
        <sz val="10.0"/>
      </rPr>
      <t xml:space="preserve">Fuel
</t>
    </r>
    <r>
      <rPr>
        <rFont val="Arial"/>
        <b/>
        <color theme="1"/>
        <sz val="10.0"/>
      </rPr>
      <t>RC:</t>
    </r>
    <r>
      <rPr>
        <rFont val="Arial"/>
        <color theme="1"/>
        <sz val="10.0"/>
      </rPr>
      <t xml:space="preserve">
Live-Unload Drayage : Deer Park, NY 11729 is : $1175 + 30%, </t>
    </r>
    <r>
      <rPr>
        <rFont val="Arial"/>
        <b/>
        <color rgb="FFFF0000"/>
        <sz val="10.0"/>
      </rPr>
      <t xml:space="preserve">39% (start 3/23/2026) </t>
    </r>
    <r>
      <rPr>
        <rFont val="Arial"/>
        <color theme="1"/>
        <sz val="10.0"/>
      </rPr>
      <t>Fuel + Chassis ($40/day) + Pre-pull ($150) + Storage ($50/day)
Unload waiting: $95/hr (Free 2 hr)
Detention Waiting Time ($95/hour, 2 hours free)
Pre-Pull ($150)
Storage ($50/day)
Per Diems (if applicable)
Customs Exam Site Split Pickup/Return ($200 for GCT-CES, $150 for other locations)
Empty Return to non-originating Terminal (if applicable; PNCT$75, APM $75, Global $75, NYCT $105, etc.)
Cargo Overweight (if applicable)
Unbalanced Cargo / Axle Overweight (if applicable)
Residential Delivery ($95)
Terminal Surchages (updated 6/3/2022)                                                                      
Maher Terminal ($250)
PNCT Port Newark Terminal ($250)
APM Port Elizabeth Terminal ($250)
Global / GCT-Bayonne Terminal ($250)
NYCT / GCT-New York Terminal ($350)
Red Hook-Marsh Street ($125)
Croxton / CSX Rail Ramp ($125)
Global Terminal - drayage $740, port congestion $150, if genset chassis needed $125/day
Effective 12/01/21
SSA Terminals - Pier A, PCT &amp; Shippers Transport
Chassis fee: $45/day for the first 4 days, $85/day after 4th day</t>
    </r>
  </si>
  <si>
    <r>
      <rPr>
        <rFont val="Arial"/>
        <b/>
        <i/>
        <color rgb="FF0000FF"/>
        <sz val="14.0"/>
      </rPr>
      <t>Benz SF</t>
    </r>
    <r>
      <rPr>
        <rFont val="Arial"/>
        <b/>
        <color rgb="FF000000"/>
        <sz val="12.0"/>
      </rPr>
      <t xml:space="preserve">
</t>
    </r>
    <r>
      <rPr>
        <rFont val="Arial"/>
        <color rgb="FF000000"/>
        <sz val="10.0"/>
      </rPr>
      <t xml:space="preserve">Effective 1/1/2023
Port of Oakland to Livermore = $525, </t>
    </r>
    <r>
      <rPr>
        <rFont val="Arial"/>
        <b/>
        <color rgb="FFFF0000"/>
        <sz val="10.0"/>
      </rPr>
      <t>$550 (start 4/1/2026)</t>
    </r>
    <r>
      <rPr>
        <rFont val="Arial"/>
        <color rgb="FF000000"/>
        <sz val="10.0"/>
      </rPr>
      <t xml:space="preserve"> live with 1 hour free ($75/hr after)
Port of Oakland to Livermore = $665, </t>
    </r>
    <r>
      <rPr>
        <rFont val="Arial"/>
        <b/>
        <color rgb="FFFF0000"/>
        <sz val="10.0"/>
      </rPr>
      <t>$690 (start 4/1/2026)</t>
    </r>
    <r>
      <rPr>
        <rFont val="Arial"/>
        <color rgb="FF000000"/>
        <sz val="10.0"/>
      </rPr>
      <t xml:space="preserve"> drop and pick
Chassis usage = $43/day, </t>
    </r>
    <r>
      <rPr>
        <rFont val="Arial"/>
        <b/>
        <color rgb="FFFF0000"/>
        <sz val="10.0"/>
      </rPr>
      <t>$44/day (start 4/1/2026)</t>
    </r>
    <r>
      <rPr>
        <rFont val="Arial"/>
        <color rgb="FF000000"/>
        <sz val="10.0"/>
      </rPr>
      <t xml:space="preserve">, min 2 days
Matson chassis = $38?/day min 2 days
Pier waiting after 2 hours free = $75/hr after
Chassis processing fee at SSA/ETS = $10 each, </t>
    </r>
    <r>
      <rPr>
        <rFont val="Arial"/>
        <b/>
        <color rgb="FFFF0000"/>
        <sz val="10.0"/>
      </rPr>
      <t>$11 each (start 4/1/2026)</t>
    </r>
    <r>
      <rPr>
        <rFont val="Arial"/>
        <color rgb="FF000000"/>
        <sz val="10.0"/>
      </rPr>
      <t xml:space="preserve">
Split pick up/return = $75 each
Prepull $140
Yard parking $45/day
Re-spot $45
Unload waiting time = $65/hr
Attempt pickup = $75
Axle legal weight = 34,000 lbs, heavy weight surcharge $120
</t>
    </r>
    <r>
      <rPr>
        <rFont val="Arial"/>
        <b/>
        <i/>
        <color rgb="FF0000FF"/>
        <sz val="14.0"/>
      </rPr>
      <t>Great World</t>
    </r>
    <r>
      <rPr>
        <rFont val="Arial"/>
        <b/>
        <color rgb="FF000000"/>
        <sz val="10.0"/>
      </rPr>
      <t xml:space="preserve">
</t>
    </r>
    <r>
      <rPr>
        <rFont val="Arial"/>
        <color rgb="FF000000"/>
        <sz val="10.0"/>
      </rPr>
      <t>Chassis rental:  $45/day
Chassis split:  $100
Bobtail:  $70
Prepull: $120
Yard storage:  $30/day</t>
    </r>
  </si>
  <si>
    <t>TH</t>
  </si>
  <si>
    <t>MSDU4020480</t>
  </si>
  <si>
    <t>MEDU5543739</t>
  </si>
  <si>
    <t>MSDU4273847</t>
  </si>
  <si>
    <t>MSDU4222562</t>
  </si>
  <si>
    <t>WHSU6278269</t>
  </si>
  <si>
    <t>HJLU1382102</t>
  </si>
  <si>
    <t>CBHU5614810</t>
  </si>
  <si>
    <t>TGCU5063757</t>
  </si>
  <si>
    <t>TCLU9630570</t>
  </si>
  <si>
    <t xml:space="preserve">MEDU8989494 </t>
  </si>
  <si>
    <t>FBIU0211613</t>
  </si>
  <si>
    <t>TLLU6009001</t>
  </si>
  <si>
    <t>FSCU5115296</t>
  </si>
  <si>
    <t>JC</t>
  </si>
  <si>
    <t xml:space="preserve">TCNU3847648 </t>
  </si>
  <si>
    <t>WHSU5885709</t>
  </si>
  <si>
    <t>WHLU5709896</t>
  </si>
  <si>
    <t>WHLU0318369</t>
  </si>
  <si>
    <t>HLBU3430709</t>
  </si>
  <si>
    <t>GCXU5927863</t>
  </si>
  <si>
    <t>KKTU8185080</t>
  </si>
  <si>
    <t>TCLU7821388</t>
  </si>
  <si>
    <t>KOCU4638073</t>
  </si>
  <si>
    <t>DFSU2488475</t>
  </si>
  <si>
    <t>INKU2681707</t>
  </si>
  <si>
    <t>WBPU7006900</t>
  </si>
  <si>
    <t>HDMU6698919</t>
  </si>
  <si>
    <t>HDMU6685948</t>
  </si>
  <si>
    <t>RTC</t>
  </si>
  <si>
    <t>FBIU0501905
WHSU5414838
WHSU8008745</t>
  </si>
  <si>
    <t>HMMU6440970 
KOCU4724680</t>
  </si>
  <si>
    <t>COUNTA of  ETA Port Date</t>
  </si>
  <si>
    <t xml:space="preserve"> ETA Port Date - Month</t>
  </si>
  <si>
    <t>Jan</t>
  </si>
  <si>
    <t>Feb</t>
  </si>
  <si>
    <t>Mar</t>
  </si>
  <si>
    <t>Apr</t>
  </si>
  <si>
    <t>May</t>
  </si>
  <si>
    <t>Jun</t>
  </si>
  <si>
    <t>Jul</t>
  </si>
  <si>
    <t>Aug</t>
  </si>
  <si>
    <t>Sep</t>
  </si>
  <si>
    <t>Oct</t>
  </si>
  <si>
    <t>Dec</t>
  </si>
  <si>
    <t>YEAR OF 2025</t>
  </si>
  <si>
    <t>Other Products -ALL</t>
  </si>
  <si>
    <t>(All)</t>
  </si>
  <si>
    <t>YEAR OF 2024</t>
  </si>
  <si>
    <t>Jan Total</t>
  </si>
  <si>
    <t>Feb Total</t>
  </si>
  <si>
    <t>Mar Total</t>
  </si>
  <si>
    <t>Apr Total</t>
  </si>
  <si>
    <t>May Total</t>
  </si>
  <si>
    <t>Jun Total</t>
  </si>
  <si>
    <t>Jul Total</t>
  </si>
  <si>
    <t>Aug Total</t>
  </si>
  <si>
    <t>Sep Total</t>
  </si>
  <si>
    <t>Oct Total</t>
  </si>
  <si>
    <t>Nov Total</t>
  </si>
  <si>
    <t>Dec Total</t>
  </si>
  <si>
    <t>Others</t>
  </si>
  <si>
    <t>Total</t>
  </si>
  <si>
    <t>GC 2024 Only</t>
  </si>
  <si>
    <t>Tiger Balm</t>
  </si>
  <si>
    <t>COUNTA of Arrive WH Date</t>
  </si>
  <si>
    <t>ETA Date - Month</t>
  </si>
  <si>
    <t>YEAR OF 2023</t>
  </si>
  <si>
    <t>COUNTA of Month</t>
  </si>
  <si>
    <t>COUNTA of Date (Arrived WH)</t>
  </si>
  <si>
    <t>3in 1</t>
  </si>
  <si>
    <t>YEAR OF 2022</t>
  </si>
  <si>
    <t>COUNTA of ETA Port (Month)</t>
  </si>
  <si>
    <t>ETA Port
(Date) - Month</t>
  </si>
  <si>
    <t>BMOU1109301</t>
  </si>
  <si>
    <t>KYM</t>
  </si>
  <si>
    <t>PCIU2648230</t>
  </si>
  <si>
    <t>FSCU5025000</t>
  </si>
  <si>
    <t>CSLU5170424</t>
  </si>
  <si>
    <t>NYKU4004934</t>
  </si>
  <si>
    <t>TRHU2701246</t>
  </si>
  <si>
    <t>WHLU5641950</t>
  </si>
  <si>
    <t>WHSU2497870</t>
  </si>
  <si>
    <t>5/6/19</t>
  </si>
  <si>
    <t>SEGU1179321</t>
  </si>
  <si>
    <t>CCLU5232778 CSNU1215641</t>
  </si>
  <si>
    <t>TLLU1064367</t>
  </si>
  <si>
    <t>BMOU9847364</t>
  </si>
  <si>
    <t>DSFU7046141</t>
  </si>
  <si>
    <t xml:space="preserve"> PCIU8532118</t>
  </si>
  <si>
    <t>EMCU5388576 (4600.00)</t>
  </si>
  <si>
    <t>EMCU4709481</t>
  </si>
  <si>
    <t>KKFU1807084</t>
  </si>
  <si>
    <t>GTCU0204560</t>
  </si>
  <si>
    <t>CSNU2074763</t>
  </si>
  <si>
    <t>GCXU2283860</t>
  </si>
  <si>
    <t>Last Updated: SNK 1/15/19</t>
  </si>
  <si>
    <t>QC Packing List</t>
  </si>
  <si>
    <t>QC Person</t>
  </si>
  <si>
    <t>SEGU5883273</t>
  </si>
  <si>
    <t>EN#2094859-3; OBL 12/18</t>
  </si>
  <si>
    <t>PG Ben Lan Gen (Bulk) / AM GSG Instant Tea / Wild AM GSG Instant Tea</t>
  </si>
  <si>
    <t>TGBU6615395</t>
  </si>
  <si>
    <t>Ginger Chews / Lemon Ginger Chews</t>
  </si>
  <si>
    <t>EN#2094520-1; OBL 12/10; The container is not off the boat yet 1/8</t>
  </si>
  <si>
    <t>ECMU9885375</t>
  </si>
  <si>
    <t>EN#2094536-7;18NSS0329; OBL 12/12</t>
  </si>
  <si>
    <t>TCLU5450945</t>
  </si>
  <si>
    <t>EN#2094336-2;18NSS0328; OBL 12/12</t>
  </si>
  <si>
    <t>MOEU0719120</t>
  </si>
  <si>
    <t>EN#2094219-0; Telex Release</t>
  </si>
  <si>
    <t>TCNU8819037</t>
  </si>
  <si>
    <t>Organic Green Tea / Pu-Erh Tea</t>
  </si>
  <si>
    <t>EN#2093986-5; YD18-T14; OBL 12/18</t>
  </si>
  <si>
    <t>EISU2235128</t>
  </si>
  <si>
    <t>MyKuali White Curry / Spicy Prawn / Red Tom Yum Goong / Spicy Fried Noodle</t>
  </si>
  <si>
    <t>EN#2093853-7; Telex Release; move to Warehouse for Exam 1/3</t>
  </si>
  <si>
    <t>EGHU3183021</t>
  </si>
  <si>
    <t xml:space="preserve">MyKuali White Curry / Spicy Prawn / Red Tom Yum Goong / Spicy Fried / White Curry Rice Vermicelli / White Curry (Vegetarian) / Veggie Mushroom </t>
  </si>
  <si>
    <t>EN#2093900-6; Telex Release</t>
  </si>
  <si>
    <t>Gavottes Crepes / Rolled Wafer / Fan Wafer</t>
  </si>
  <si>
    <t>1/2 PL#5324950</t>
  </si>
  <si>
    <t>EN#2093887-5</t>
  </si>
  <si>
    <t>HLXU8562310</t>
  </si>
  <si>
    <t>N/A; Door to Door</t>
  </si>
  <si>
    <t>TCNU3813870</t>
  </si>
  <si>
    <t>Orange / Mango / Lychee /Peanut Butter Ginger Chews</t>
  </si>
  <si>
    <t>EN#2093271-2: TR</t>
  </si>
  <si>
    <r>
      <rPr>
        <rFont val="Arial"/>
        <color rgb="FF222222"/>
        <sz val="11.0"/>
      </rPr>
      <t xml:space="preserve">EN#2092841-3;  </t>
    </r>
    <r>
      <rPr>
        <rFont val="Arial"/>
        <color rgb="FF222222"/>
        <sz val="11.0"/>
      </rPr>
      <t>BL has been deleted from Customs and release suspended 12/27</t>
    </r>
  </si>
  <si>
    <t>TLLU4519990</t>
  </si>
  <si>
    <t>EN#2093985-7; 18NSS0326; OBL 12/6</t>
  </si>
  <si>
    <t>BSIU9508284</t>
  </si>
  <si>
    <t>AM GSG Candy Tin Cans</t>
  </si>
  <si>
    <t>EN#2094630-8; INV#LH21810203G; arrange delivery to Morris; OBL 12/14</t>
  </si>
  <si>
    <t>Red Panax Ginseng Extractum / Ultra Ginkgo Plus with Eleuthero &amp; Tibetan Rhodiola</t>
  </si>
  <si>
    <t>EN#2093214-2; 2001021-18; OBL 11/26</t>
  </si>
  <si>
    <t>UACU4790050</t>
  </si>
  <si>
    <t>MRKU6261514</t>
  </si>
  <si>
    <t>Organic TeaD-15200nN/D-15220N/D-18200N/D-19200/D-13100N/D-13020N/D-16100N/D-17100N</t>
  </si>
  <si>
    <t>EN#2093129-2; YD18-T13; OBL 11/19</t>
  </si>
  <si>
    <t>EN#2093984-0; SS1811150-N; OBL 12/12</t>
  </si>
  <si>
    <t>Am GSG Candy</t>
  </si>
  <si>
    <t>EN#2093685-3; Telex Release</t>
  </si>
  <si>
    <t>EGHU3410296</t>
  </si>
  <si>
    <t>EN#2093700-0; OBL 11/27</t>
  </si>
  <si>
    <t>TRLU6976830</t>
  </si>
  <si>
    <t>EN#2093044-3; 18NSS0325; OBL 11/26</t>
  </si>
  <si>
    <t>Korean Ginseng Tea / Tu Chung Tea</t>
  </si>
  <si>
    <t>EN#2093988-1; OBL 12/4/18</t>
  </si>
  <si>
    <t>MOTU1413507</t>
  </si>
  <si>
    <t>GHC / GHC w/ Lemon</t>
  </si>
  <si>
    <t>EN#2093987-3; 18NSS0327; OBL 12/6</t>
  </si>
  <si>
    <t>ONEU7014553</t>
  </si>
  <si>
    <t>EN#2092937-9; Telex Release</t>
  </si>
  <si>
    <t>HMCU9094192</t>
  </si>
  <si>
    <t>EN#2092507-0; OBL 11/16</t>
  </si>
  <si>
    <t>TLLU4130082</t>
  </si>
  <si>
    <t>EN#2091661-6; OBL 10/29</t>
  </si>
  <si>
    <t>TGHU5054239</t>
  </si>
  <si>
    <t>Gavottes Crepes / Rolled Wafer / Fan Wafer / Dentelle / Wafer w/cho&amp;hazenut / Ass't Dessert</t>
  </si>
  <si>
    <t>EN#2092464-4</t>
  </si>
  <si>
    <t>YNBY</t>
  </si>
  <si>
    <t>EN#2093043-5; OBL 11/28</t>
  </si>
  <si>
    <t>HDMU2831978</t>
  </si>
  <si>
    <t>Korean Ginseng Tea  / Tu Chung Tea</t>
  </si>
  <si>
    <t>LFD   11/29/18</t>
  </si>
  <si>
    <t>EN#2092321-6; OBL 11/2</t>
  </si>
  <si>
    <t>3 PLT</t>
  </si>
  <si>
    <t>FCIU7294946</t>
  </si>
  <si>
    <t>Herbal Tea Alum Foil</t>
  </si>
  <si>
    <t>EN#2092865-2; Express Release</t>
  </si>
  <si>
    <t>TCNU6089578</t>
  </si>
  <si>
    <t>Orange / Mango / Lychee / Coffee /Peanut Butter Ginger Chews</t>
  </si>
  <si>
    <t>EN#2091696-2</t>
  </si>
  <si>
    <t>NYKU4425830</t>
  </si>
  <si>
    <t>EN#2091777-0; 18NSS0323; OBL 11/2</t>
  </si>
  <si>
    <t>EGSU9152021</t>
  </si>
  <si>
    <t>URGENT 11/26/18</t>
  </si>
  <si>
    <t>12/5 PL#5319653</t>
  </si>
  <si>
    <t>EN#2091390-2; OBL 10/22</t>
  </si>
  <si>
    <t>TRIU8129928</t>
  </si>
  <si>
    <t>Delacre Belgian Collection / Tea Time / Roules d' Or</t>
  </si>
  <si>
    <t>EN#2092255-6; Seaway</t>
  </si>
  <si>
    <t>KKTU8129234</t>
  </si>
  <si>
    <t>McVities Digestive</t>
  </si>
  <si>
    <t>URGENT 11/23/18</t>
  </si>
  <si>
    <t>EN#2091356-3; Seaway</t>
  </si>
  <si>
    <t>TGBU5199631</t>
  </si>
  <si>
    <t>POPHT Blood Sugar / Blood Pressure / Detox
5mm / 10 mm Foam Board</t>
  </si>
  <si>
    <t>EN#2092045-1; Surrendered</t>
  </si>
  <si>
    <t>GESU5050760</t>
  </si>
  <si>
    <t>Am Gsg Candy</t>
  </si>
  <si>
    <t>EN#2092046-9; Telex Release</t>
  </si>
  <si>
    <t>CBHU1996124</t>
  </si>
  <si>
    <t>EN#2091457-9; 18NSS0324; OBL 10/24</t>
  </si>
  <si>
    <t>OCGU8035577</t>
  </si>
  <si>
    <t>URGENT 11/19/18</t>
  </si>
  <si>
    <t>EN#2091391-0; OBL 10/22</t>
  </si>
  <si>
    <t>HONEY LOQUAT CANDY/FRITILLARY ALMOND PEAR FLAVOR</t>
  </si>
  <si>
    <t>EN#2092116-0; Telex Release</t>
  </si>
  <si>
    <t>APRU5071195</t>
  </si>
  <si>
    <t>EN#2091564-2; Seaway</t>
  </si>
  <si>
    <t>32737 / NS2736</t>
  </si>
  <si>
    <t>CSNU1220289</t>
  </si>
  <si>
    <t>Am Ginseng Instant Tea / Instant Wild Am Ginseng Tea / Spare Parts for Packing Machine</t>
  </si>
  <si>
    <t>EN#2091829-9; 2001015-18; OBL 11/2; Customs Exam (BOBAC) 11/15</t>
  </si>
  <si>
    <t>TCLU1014692</t>
  </si>
  <si>
    <t>APRU6141717</t>
  </si>
  <si>
    <t>EN#2091563-4; Seaway</t>
  </si>
  <si>
    <t>GCNU1269609</t>
  </si>
  <si>
    <t>PALLY Biscuit</t>
  </si>
  <si>
    <t>EN#2092808-2; Telex Release; DELIVERY ARRANGED BY SEA SHIPPING LINE</t>
  </si>
  <si>
    <t>MSKU7445591</t>
  </si>
  <si>
    <t xml:space="preserve">Red Ginseng Royal Jelly   </t>
  </si>
  <si>
    <t xml:space="preserve">URGENT </t>
  </si>
  <si>
    <t>EN#2091053-6; 2018TAT08; TR</t>
  </si>
  <si>
    <t>APRU5799128</t>
  </si>
  <si>
    <t xml:space="preserve">Delacre </t>
  </si>
  <si>
    <t>EN#2092205-1; Seaway</t>
  </si>
  <si>
    <t>KKFU1735106</t>
  </si>
  <si>
    <t>Gavottes Crepes / Rolled Wafer / Fan Wafer / Dentelle</t>
  </si>
  <si>
    <t>EN#2091057-7; Update ETA Date</t>
  </si>
  <si>
    <t>SEGU5977710</t>
  </si>
  <si>
    <t>Gavottes Crepes / Rolled Wafer / Dentelle / Wafer w/cho&amp;hazenut / Ass't Dessert</t>
  </si>
  <si>
    <t>EN#2091486-8; Express Release</t>
  </si>
  <si>
    <t>TCKU9519261</t>
  </si>
  <si>
    <t>Organic Green Tea / Organic Oolong Tea / Organic White Tea / Pu-Erh Tea</t>
  </si>
  <si>
    <t>EN#2091706-9; YD18-T12; OBL 10/26</t>
  </si>
  <si>
    <t>WHSU5112951</t>
  </si>
  <si>
    <t>Jasmine Green Tea / Pearl Jasmine Green Tea BULK</t>
  </si>
  <si>
    <t>EN#2090173-3; 18TM034; OBL 9/27;10/10 X-RAY EXAM HOLD,</t>
  </si>
  <si>
    <t xml:space="preserve">Panax Ginseng Ext / Ultra-Strength Red Panax Ginseng / Red Ginseng Royal Jelly </t>
  </si>
  <si>
    <t>EN#2091054-4; 2018TAT07; Surrendered; PO#32671</t>
  </si>
  <si>
    <t>GLDU7592480</t>
  </si>
  <si>
    <t>HLBU9015752</t>
  </si>
  <si>
    <t>FSCU4957279</t>
  </si>
  <si>
    <t xml:space="preserve">Red Panax Ginseng Ext / Ultra Ginkgo Plus / Beijing Royal Jelly w/ Bee Pollen / Ultra Joint Health </t>
  </si>
  <si>
    <t>EN#2090439-8; 2001017-18; OBL 10/15</t>
  </si>
  <si>
    <t>SEGU9188623</t>
  </si>
  <si>
    <t>Gavottes Crepes / Rolled Wafer / Fan Wafer / Chocolate Crepes</t>
  </si>
  <si>
    <t>EN#2090143-6</t>
  </si>
  <si>
    <t>TRIU8990659</t>
  </si>
  <si>
    <t>Gavottes Crepes / Rolled Wafer / Fan Wafer / Chocolate Crepes / Dentelle</t>
  </si>
  <si>
    <t>11/2 PL#5316936</t>
  </si>
  <si>
    <t>EN#2090076-8</t>
  </si>
  <si>
    <t>TGBU2502301</t>
  </si>
  <si>
    <t>Korean GSG Instant Tea K-80027</t>
  </si>
  <si>
    <t>EN#2091153-4; OBL 10/15</t>
  </si>
  <si>
    <t>NYKU9839129</t>
  </si>
  <si>
    <t>EN#2089826-9; 2001016-18; OBL 10/10</t>
  </si>
  <si>
    <t>OOLU6224900</t>
  </si>
  <si>
    <t>Seirogan</t>
  </si>
  <si>
    <t>EN#2089986-1; OBL 10/3</t>
  </si>
  <si>
    <t>TLLU2219289</t>
  </si>
  <si>
    <t>MyKuali Noodle / Rice Vermicelli Soup</t>
  </si>
  <si>
    <t>EN#2089144-7; TR</t>
  </si>
  <si>
    <t>TCLU1221998</t>
  </si>
  <si>
    <t>Am GSG Rt-Plain Alum Foil</t>
  </si>
  <si>
    <t>EN#2090476</t>
  </si>
  <si>
    <t>TCLU6402068</t>
  </si>
  <si>
    <t>EN#2089602-4; TR</t>
  </si>
  <si>
    <t>MSKU0007720</t>
  </si>
  <si>
    <t>Organic Green Tea / Organic Oolong Tea / Organic White Tea / Green Tea / Jasmine Tea / Oolong Tea</t>
  </si>
  <si>
    <t>EN#2089510-9; YD18-T10; OBL 10/1</t>
  </si>
  <si>
    <t>TCNU2142231</t>
  </si>
  <si>
    <t>Ginger Chews - Orange Mango Lychee</t>
  </si>
  <si>
    <t>EN#2090077-6</t>
  </si>
  <si>
    <t>CAIU6291754</t>
  </si>
  <si>
    <t>MyKuali</t>
  </si>
  <si>
    <t>EN#2089512-5; TR</t>
  </si>
  <si>
    <t>EITU0255577</t>
  </si>
  <si>
    <t>POP 3 In 1 Coffee</t>
  </si>
  <si>
    <t>EN#2090075-0; OBL 10/12</t>
  </si>
  <si>
    <t>TGBU6775963</t>
  </si>
  <si>
    <t>Ginger chew/Lemon chew</t>
  </si>
  <si>
    <t>EN#2089026-6; OBL 9/25</t>
  </si>
  <si>
    <t>FCIU5737963</t>
  </si>
  <si>
    <t>AM GSG Instant Tea / Instant WIld AM GSG Tea</t>
  </si>
  <si>
    <t>EN#2088286-7; 2001014-18; OBL 8/28</t>
  </si>
  <si>
    <t>TEMU1323430</t>
  </si>
  <si>
    <t>Panax GSG Extm 30 x10 cc(Pine)</t>
  </si>
  <si>
    <t>EN#2089143-9; 2018TAT06; TR</t>
  </si>
  <si>
    <t>AIR SHIPMENT</t>
  </si>
  <si>
    <t>YNBY Kids Toothpaste</t>
  </si>
  <si>
    <t>EN# 9028294-9</t>
  </si>
  <si>
    <t>ACLU2780076</t>
  </si>
  <si>
    <t>EN#2090619-5; INV#284180; AN; TR</t>
  </si>
  <si>
    <t>TEMU4410400</t>
  </si>
  <si>
    <t>EN2090144-4; TR</t>
  </si>
  <si>
    <t>CSNU7230664</t>
  </si>
  <si>
    <t>EN#2089055-5; 18NSS0322; OBL 9/17</t>
  </si>
  <si>
    <t>HLXU3215874</t>
  </si>
  <si>
    <t>EN#2089214-8; SS1808117-N; OBL 9/20</t>
  </si>
  <si>
    <t>ONEU0315792</t>
  </si>
  <si>
    <t>EN#2089218-9</t>
  </si>
  <si>
    <t>TCKU6430078</t>
  </si>
  <si>
    <t>EN#2088809-6</t>
  </si>
  <si>
    <t>MORU1127996</t>
  </si>
  <si>
    <t xml:space="preserve">P-A4CN ACW GSG 1/4 Lb - Cover Lid / P-A4C ACW GSG 1/4 Lb - Cover Lid / 2019 CAP Scenery Calendars / 2019 POPF Children's Home Calendars / 2019 SF Alliance Church Calendars / DRIED SOUP MIX </t>
  </si>
  <si>
    <t>EN#2089213-0; FDA RELEASED</t>
  </si>
  <si>
    <t>HLBU9124558</t>
  </si>
  <si>
    <t>EN#2089212-2; SS1808116-N; OBL 9/14</t>
  </si>
  <si>
    <t>GHC w/ Lemon / GHC w/ Am GSG / Dong Quai &amp; Red Date Tea</t>
  </si>
  <si>
    <t>10/8 PL#5313783</t>
  </si>
  <si>
    <t>EN#2088822-9; 18NSS0321; OBL 9/17</t>
  </si>
  <si>
    <t>SZLU3629495</t>
  </si>
  <si>
    <t>Gavottes</t>
  </si>
  <si>
    <t>EN#2089587-7</t>
  </si>
  <si>
    <t>EN#2088851-8</t>
  </si>
  <si>
    <t>EMCU5268483</t>
  </si>
  <si>
    <t>Long Furtune</t>
  </si>
  <si>
    <t>EN#2088912-8</t>
  </si>
  <si>
    <t>TCNU5439671</t>
  </si>
  <si>
    <t>EN#2088249-5; 18NSS0320 ; OBL 8/28</t>
  </si>
  <si>
    <t>CAIU9829490</t>
  </si>
  <si>
    <t>Organic Green Tea / Organic Jasmine Tea / Organic White Tea / Oolong Tea / Pu-eru Tea</t>
  </si>
  <si>
    <t>EN#2088522-5; YD18-T09; OBL 9/12</t>
  </si>
  <si>
    <t>TLLU4442774</t>
  </si>
  <si>
    <t>EN#2086998-9; OBL 8/14</t>
  </si>
  <si>
    <t>CGMU4999690</t>
  </si>
  <si>
    <t>EN#2088810-4; Seaway</t>
  </si>
  <si>
    <t>EN#2088341-0; Seaway</t>
  </si>
  <si>
    <t>Organic Green Tea / Organic Maofeng Tea / Dragon Well Green Tea / Jasmine Tea / Black Tea</t>
  </si>
  <si>
    <t>EN#2088148-9; INV#18TM026; OBL 9/5</t>
  </si>
  <si>
    <t>CAIU9981434</t>
  </si>
  <si>
    <t>EN#2088606-6; OBL 9/14</t>
  </si>
  <si>
    <t xml:space="preserve">Organic Jasmine / Organic Oolong / Organic Black / Jasmine Green / Oolong / White Tea </t>
  </si>
  <si>
    <t>RUSH 9/14/18</t>
  </si>
  <si>
    <t>EN#2087734-7; INV#YD18-T11; OBL 8/20</t>
  </si>
  <si>
    <t>APRU6138776</t>
  </si>
  <si>
    <t>EN#2088342-8; Seaway</t>
  </si>
  <si>
    <t>SZLU9652569</t>
  </si>
  <si>
    <t>Airpot</t>
  </si>
  <si>
    <t>EN#2087911-1; OBL 8/17</t>
  </si>
  <si>
    <t>CBHU9454330</t>
  </si>
  <si>
    <t>EN#2087874-1; INV#18NSS0318; OBL 8/28</t>
  </si>
  <si>
    <t>MRKU2408103</t>
  </si>
  <si>
    <t>Organice Green Tea / Jasmine Tea / White Tea</t>
  </si>
  <si>
    <t>RUSH 9/12/18</t>
  </si>
  <si>
    <t>EN#2087467-4; INV#YD18-T08; OBL 8/20</t>
  </si>
  <si>
    <t>EGSU9065570</t>
  </si>
  <si>
    <t>EN#2087415-3; OBL 8/14</t>
  </si>
  <si>
    <t>CAIU6832442</t>
  </si>
  <si>
    <t>EN#2087305-6; INV#SS1807099-N; OBL 8/28</t>
  </si>
  <si>
    <t>MOFU078053/0</t>
  </si>
  <si>
    <t>Loc Maria Crepes / Rolled Wafer / Fan Wafer / Crepes Dentelle</t>
  </si>
  <si>
    <t>EN#2087312-2</t>
  </si>
  <si>
    <t>Red Ginseng Royal Jelly / Ultra Strength Red Panax Ginseng</t>
  </si>
  <si>
    <t>EN#2087883-2; INV#2018TAT05</t>
  </si>
  <si>
    <t>TLLU5620000</t>
  </si>
  <si>
    <t>AM GSG Candy 8oz / 4.78oz / 1lb / 6oz</t>
  </si>
  <si>
    <t>EN#2087640-6; Telex Release</t>
  </si>
  <si>
    <t>EN#2087310-6; INV#2001013-18; OBL 8/14</t>
  </si>
  <si>
    <t>EITU1797818</t>
  </si>
  <si>
    <t>9/6 PL#5309693</t>
  </si>
  <si>
    <t>EN#2086999-7; OBL 8/14</t>
  </si>
  <si>
    <t>CCLU7140095</t>
  </si>
  <si>
    <t>EN#2087513-5; INV#18NSS0316; OBL 8/17</t>
  </si>
  <si>
    <t>Honey Loquat Candy</t>
  </si>
  <si>
    <t>EN#2087152-2; Telex Release</t>
  </si>
  <si>
    <t>GHC / GHC w/ Lemon / GHC w/ AM GSG / Dark Brown Sugar GHC</t>
  </si>
  <si>
    <t>EN#2087275-1; INV#18NSS0317; OBL 8/15</t>
  </si>
  <si>
    <t>FSCU5670160</t>
  </si>
  <si>
    <t>Organic Green Tea / Organic White Tea / Green Tea / Jasmine Tea / Pu-erh Tea</t>
  </si>
  <si>
    <t>EN#2086415-4; INV#YD18-T07; OBL 7/31</t>
  </si>
  <si>
    <t>CBHU8118305</t>
  </si>
  <si>
    <t>EN#2086652-2; INV#18NSS0315; OBL 7/31</t>
  </si>
  <si>
    <t>TCKU1559329</t>
  </si>
  <si>
    <t>United Biscuit - McVites</t>
  </si>
  <si>
    <t>EN#2087896-4</t>
  </si>
  <si>
    <t>POCU0616615</t>
  </si>
  <si>
    <t>PANAX GINSENG EXTRACTUM ORAL LIQUID,</t>
  </si>
  <si>
    <t>EN#2086779-3; INV#2018TAT04; Telex Release</t>
  </si>
  <si>
    <t>TRIU8629142</t>
  </si>
  <si>
    <t>OOLU0355008</t>
  </si>
  <si>
    <t>EN#2086916-1; OBL 7/27</t>
  </si>
  <si>
    <t>TTNU8033483</t>
  </si>
  <si>
    <t xml:space="preserve">WW Egg Roll &amp; Paper Boxes </t>
  </si>
  <si>
    <t>LFD     8/16/18</t>
  </si>
  <si>
    <t>8/24/18 PL#5308443</t>
  </si>
  <si>
    <t>EN#2086790-0; Surrendered</t>
  </si>
  <si>
    <t>FSCU8029761</t>
  </si>
  <si>
    <t>EN#2086204-2; INV#18NSS0314; OBL 7/26</t>
  </si>
  <si>
    <t>NYKU3677057</t>
  </si>
  <si>
    <t>EN#2085907-1; INV#2001012-18; OBL 7/26</t>
  </si>
  <si>
    <t>KKFU7570343</t>
  </si>
  <si>
    <t>EN#2087098-7; Telex Release</t>
  </si>
  <si>
    <t>MAEU9176662</t>
  </si>
  <si>
    <t>AM GSG Candy 1 lb / AM GSG Candy 6 oz</t>
  </si>
  <si>
    <t>EN#2085967-5; Telex Release</t>
  </si>
  <si>
    <t>Organic Jasmine Tea / Organic Black Tea / Pu-erh Black Tea / Pi Luo Chun Tea</t>
  </si>
  <si>
    <t>RUSH
8/8/18</t>
  </si>
  <si>
    <t>EN#2086205-9; INV#18TM014; OBL 7/31</t>
  </si>
  <si>
    <t>SZLU9103511</t>
  </si>
  <si>
    <t>Saint Honore</t>
  </si>
  <si>
    <t>URGENT 8/6</t>
  </si>
  <si>
    <t>EN#2085073-2; OBL 7/16</t>
  </si>
  <si>
    <t>EMCU8024393</t>
  </si>
  <si>
    <t>Loquat Pastilles</t>
  </si>
  <si>
    <t>EN#2086132-5; Surrendered</t>
  </si>
  <si>
    <t>MRKU3368113</t>
  </si>
  <si>
    <t>EYS Bak Foong Pills / St. Honore Accessories / Books for SF Chinese Alliance Church</t>
  </si>
  <si>
    <t>EN#2085968-3; Surrendered</t>
  </si>
  <si>
    <t>Red Panax Ginseng Extractum / Ultra Ginkgo Plus with Eleuthero &amp;amp; Tibetan Rhodiola</t>
  </si>
  <si>
    <t>EN#2085792-7; INV#2001010-18; OBL 7/17</t>
  </si>
  <si>
    <t>TCKU4706634</t>
  </si>
  <si>
    <t>EN#2085407-2; INV#18NSS0319; OBL 7/20</t>
  </si>
  <si>
    <t>MRKU2172872</t>
  </si>
  <si>
    <t>Organic Oolong Tea / Organic White Tea / Jasmine Tea / Oolong Tea</t>
  </si>
  <si>
    <t>EN#2085250-6; INV#YD18-T06; OBL 7/6</t>
  </si>
  <si>
    <t>8/1 PL#5305305</t>
  </si>
  <si>
    <t>EN#2085883-4; OBL 7/9</t>
  </si>
  <si>
    <r>
      <rPr>
        <rFont val="Arial"/>
        <color rgb="FF000000"/>
        <sz val="11.0"/>
      </rPr>
      <t xml:space="preserve">American Ginseng Instant Tea / Instant Wild American Ginseng Tea/ </t>
    </r>
    <r>
      <rPr>
        <rFont val="Arial"/>
        <color rgb="FF000000"/>
        <sz val="11.0"/>
      </rPr>
      <t>Machine</t>
    </r>
  </si>
  <si>
    <t>URGENT 7/30/18</t>
  </si>
  <si>
    <t>EN#2085268-8; INV#2001009-18; OBL 7/17</t>
  </si>
  <si>
    <t>Panax GSG Ext. C-70021</t>
  </si>
  <si>
    <t>EN#2085547-5; INV#2018TAT03; Surrendered</t>
  </si>
  <si>
    <t>MRKU8638398</t>
  </si>
  <si>
    <t>MyKuali Noodle</t>
  </si>
  <si>
    <t>EN#2085010-4; Telex Release</t>
  </si>
  <si>
    <t>EMCU5386125</t>
  </si>
  <si>
    <t>EN#2085724-0; Surrendered</t>
  </si>
  <si>
    <t>TRLU8613032</t>
  </si>
  <si>
    <t>Red Panax Ginseng Extractum / Ginkgo Biloba &amp;amp; Red Panax Ginseng Extact / American Ginseng with Royal Jelly &amp;amp; Bee Pollen</t>
  </si>
  <si>
    <t>EN#2084889-2; INV#2001011-18; OBL 7/6</t>
  </si>
  <si>
    <t>DFSU7441260</t>
  </si>
  <si>
    <t>EN#2084439-6; INV#18NSS0312; OBL 7/6</t>
  </si>
  <si>
    <t>KKFU1727590</t>
  </si>
  <si>
    <t>GHC(D-04010/D-04041)</t>
  </si>
  <si>
    <t>EN#2085353-8; INV#18NSS0313; OBL 7/6</t>
  </si>
  <si>
    <t>EN#2085072-4; OBL 7/16</t>
  </si>
  <si>
    <t>MRSU0097026</t>
  </si>
  <si>
    <t>EN#2085325-6; Telex Release</t>
  </si>
  <si>
    <t>SEGU4171844</t>
  </si>
  <si>
    <t>EN#2085408-0; INV#18NSS0311; OBL 7/6</t>
  </si>
  <si>
    <t>AM GSG RT-Alum Foil (Sun Ten) / AM GSG RT-TAG</t>
  </si>
  <si>
    <t>EN#2085406-4; Surrendered</t>
  </si>
  <si>
    <t>EISU5688112</t>
  </si>
  <si>
    <t>EN#2085071-6; Seaway; OBL 7/16</t>
  </si>
  <si>
    <t>TCLU8194261</t>
  </si>
  <si>
    <t>Orange / Mango / Peanut Butter Ginger Chews</t>
  </si>
  <si>
    <t>EN#2084339-8</t>
  </si>
  <si>
    <t>Korean GSG Instant Tea ( K-80024/K-80027)</t>
  </si>
  <si>
    <t>EN#2085076-5; OBL 6/27</t>
  </si>
  <si>
    <t>YNBY  (M-41066)</t>
  </si>
  <si>
    <t>EN#2084739-9; OBL 7/6</t>
  </si>
  <si>
    <t>EGSU5012905</t>
  </si>
  <si>
    <t>POP Herbal Tea Alum Foil (SunTen)</t>
  </si>
  <si>
    <t>EN#2084900-7; Surrendered</t>
  </si>
  <si>
    <t>MSKU2993632</t>
  </si>
  <si>
    <t>LFD     7/11/18</t>
  </si>
  <si>
    <t>EN#2083890-1</t>
  </si>
  <si>
    <t>TCLU3274549</t>
  </si>
  <si>
    <t>United Biscuit</t>
  </si>
  <si>
    <t>EN#2084386-9</t>
  </si>
  <si>
    <t>MOAU0773288</t>
  </si>
  <si>
    <t>AM GSG Instant Tea</t>
  </si>
  <si>
    <t>EN#2083887-7; INV#2001008-18; OBL 6/5</t>
  </si>
  <si>
    <t>KKTU7986000</t>
  </si>
  <si>
    <t>EN#2083919-8</t>
  </si>
  <si>
    <t>Organic Jasmine / Organic Oolong / Organic White / Jasmine Tea</t>
  </si>
  <si>
    <t>EN#2083891-1; INV#YD18-T05; OBL 6/18</t>
  </si>
  <si>
    <t>TCLU1321087, TEMU9229734</t>
  </si>
  <si>
    <t>TWW Moon Cake</t>
  </si>
  <si>
    <t>EN#2084233-3</t>
  </si>
  <si>
    <t>TCNU5929621</t>
  </si>
  <si>
    <t>EN#2083551-9; OBL 6/18</t>
  </si>
  <si>
    <t>NYKU5166020</t>
  </si>
  <si>
    <t>EN#2083496-7; INV#18NSS0310; OBL 6/5</t>
  </si>
  <si>
    <t>Am GSG Candy 1lb / 6oz</t>
  </si>
  <si>
    <t>7/2 PL#5301014</t>
  </si>
  <si>
    <t>EN#2083629-3</t>
  </si>
  <si>
    <t>NYKU4817786</t>
  </si>
  <si>
    <t>EN#2082920-7; OBL 6/1</t>
  </si>
  <si>
    <t>TCNU7771073</t>
  </si>
  <si>
    <t>GHC with Lemon(D-04043)</t>
  </si>
  <si>
    <t>EN#2083209-4; INV#18NSS0309; OBL 6/5</t>
  </si>
  <si>
    <t>TTNU8025580</t>
  </si>
  <si>
    <t>EN#2083678-0</t>
  </si>
  <si>
    <t>EMCU9485403</t>
  </si>
  <si>
    <t>Mango Ginger Chews / Peanut Ginger Chews / Orange Ginger Chews</t>
  </si>
  <si>
    <t>EN#2083083-3</t>
  </si>
  <si>
    <t>KKFU8106213</t>
  </si>
  <si>
    <t>EN#2082666-6; INV#18NSS0308; OBL 6/5</t>
  </si>
  <si>
    <t>EN#2082919-9; OBL 6/1</t>
  </si>
  <si>
    <t>MSKU0323288</t>
  </si>
  <si>
    <t>Orgain Green Tea / Organic White Tea / Jasmine Tea / Pu-Erh Tea</t>
  </si>
  <si>
    <t>EN#2082448-9; INV#YD18-T04; OBL 5/17</t>
  </si>
  <si>
    <t>TRHU2904259</t>
  </si>
  <si>
    <t>Instant Chinese Herbal Formula F in Bulk /  Am Ginseng Chong Ji (Instant Tea)</t>
  </si>
  <si>
    <t>EN#2082580-9; INV#2001007-18; OBL 5/29</t>
  </si>
  <si>
    <t>United Biscuits - McVities</t>
  </si>
  <si>
    <t>EN#2082565-0</t>
  </si>
  <si>
    <t>APZU4708960</t>
  </si>
  <si>
    <t>Red Panax Ginseng Ext / Ultra Ginkgo Plus with Eleuthero / Am Ginseng with Royal Jelly</t>
  </si>
  <si>
    <t>EN#2081991-9; INV#2001006-18; OBL 5/22</t>
  </si>
  <si>
    <t>Korean GSG Instant Tea K-80024/K-80027</t>
  </si>
  <si>
    <t>6/13 PL#5297618</t>
  </si>
  <si>
    <t>EN#2082699-7; OBL 5/21</t>
  </si>
  <si>
    <t xml:space="preserve">NYKU4815612        </t>
  </si>
  <si>
    <t>EN#2081854-9; OBL 5/9</t>
  </si>
  <si>
    <t>LFD        5/30/18</t>
  </si>
  <si>
    <t>EN#2081428-2; OBL 5/9</t>
  </si>
  <si>
    <t>CSNU1057211</t>
  </si>
  <si>
    <t>American Ginseng Instant Tea</t>
  </si>
  <si>
    <t>EN#2081728-5; INV#2001002-18; OBL 5/7/18</t>
  </si>
  <si>
    <t>GESU4609772</t>
  </si>
  <si>
    <t>GHC(D-04011/D-04043)</t>
  </si>
  <si>
    <t>RUSH</t>
  </si>
  <si>
    <t>EN#2081859-8; INV#18NSS0307; OBL 5/17</t>
  </si>
  <si>
    <t>MRKU5573349</t>
  </si>
  <si>
    <t>EN#2081853-1; OBL 5/17</t>
  </si>
  <si>
    <t>MSKU3083196</t>
  </si>
  <si>
    <t>EN#2082578-3</t>
  </si>
  <si>
    <t>GHC(D-04011/D-04043/D-04036/D-04030)</t>
  </si>
  <si>
    <t>EN#2081858-0; INV#18NSS0306; OBL 5/17</t>
  </si>
  <si>
    <t>NYKU4810101</t>
  </si>
  <si>
    <t>EN#2081852-3; OBL 5/9</t>
  </si>
  <si>
    <t>DRYU9509820</t>
  </si>
  <si>
    <t>EN#2081429-0; OBL 5/9</t>
  </si>
  <si>
    <t>EN#2081552-9; INV#2018TA02; OBL 5/7/18</t>
  </si>
  <si>
    <t>TEMU0584105</t>
  </si>
  <si>
    <t>EN#2080880-5</t>
  </si>
  <si>
    <t>Organic Green Tea / Organic Black Tea</t>
  </si>
  <si>
    <t>EN#2081414-2; INV#18TM011; OBL 5/8</t>
  </si>
  <si>
    <t>NYKU2949654</t>
  </si>
  <si>
    <t xml:space="preserve">Loc Maria </t>
  </si>
  <si>
    <t>EN#2081420-9; INV#687017</t>
  </si>
  <si>
    <t>TCNU2560571</t>
  </si>
  <si>
    <t>Organic Green Tea / Organic White Tea / Green Tea / Oolong Tea / Ti Kuan Yin Tea</t>
  </si>
  <si>
    <t>EN#2080738-5; INV#YD18-T02; OBL 4/24</t>
  </si>
  <si>
    <t>LFD       5/10/18</t>
  </si>
  <si>
    <t>EN#2080663-5</t>
  </si>
  <si>
    <t>TCNU7808845</t>
  </si>
  <si>
    <t>GHC / GHC with Lemon</t>
  </si>
  <si>
    <t>EN#2081303-7; INV#18NSS0305; OBL 4/26</t>
  </si>
  <si>
    <t>Am gsg instant/Wild am gsg instant tea
 Coldaid Granules</t>
  </si>
  <si>
    <t>LFD      5/9/18</t>
  </si>
  <si>
    <t>EN#2080560-3; INV#2001001-18</t>
  </si>
  <si>
    <t>EN#2080437-4</t>
  </si>
  <si>
    <t>SEGU2690774</t>
  </si>
  <si>
    <t xml:space="preserve">Shanghai Soap   </t>
  </si>
  <si>
    <t>EN2080556-1; INV#SS1803037-N</t>
  </si>
  <si>
    <t>KKFU8162602</t>
  </si>
  <si>
    <t>EN#2080301-2; INV#18NSS304; OBL sent 4/11</t>
  </si>
  <si>
    <t>MyKuali Spicy Fried Noodle / Penang Spicy Prawn Noodle / Penang Red Tom Yum Goong Noodle / Penang White Curry Noodle</t>
  </si>
  <si>
    <t>6/1 PL#5298482</t>
  </si>
  <si>
    <t>EN#2079644-8</t>
  </si>
  <si>
    <t>EN#2080126-3; OBL sent 4/6</t>
  </si>
  <si>
    <t>NYKU0766931</t>
  </si>
  <si>
    <t>EN#2080127-1; OBL sent 4/6</t>
  </si>
  <si>
    <t>NYKU9781285</t>
  </si>
  <si>
    <t>EN#2079831-1</t>
  </si>
  <si>
    <t>PCIU9260122</t>
  </si>
  <si>
    <t>Organic Oolong Tea / Organic White Tea / Green Tea / Oolong Tea / Pu-Erh Tea</t>
  </si>
  <si>
    <t>EN#2080302-0; INV#YD18-T03; OBL sent 4/9</t>
  </si>
  <si>
    <t>Red Panax Ginseng Ext / Ultra Ginkgo Plus w/ Eleuthero &amp; Tibetan Rhodiola / Being Royal Jelly w/ Bee Pollen / Am Gsg w/ Royal Jelly &amp; Bee Pollen / Ultra Joint Health Liquid Ext</t>
  </si>
  <si>
    <t>5/3 PL#5294127</t>
  </si>
  <si>
    <t>EN#2080021-6; INV#2001005-18</t>
  </si>
  <si>
    <t>TCLU9309597</t>
  </si>
  <si>
    <t>EN#2080361-6; OBL sent 4/6</t>
  </si>
  <si>
    <t>NYKU0862848</t>
  </si>
  <si>
    <t>EN#2079942-6; OBL sent 4/6</t>
  </si>
  <si>
    <t>MAEU9197897</t>
  </si>
  <si>
    <t>EN#2079645-5</t>
  </si>
  <si>
    <t>EITU0122189</t>
  </si>
  <si>
    <t>EN#2080066-1</t>
  </si>
  <si>
    <t>GHC(D-04041/D-04020/D-04030) 
D-41986 FluA/ColdA Box</t>
  </si>
  <si>
    <t>EN#2079910-3; INV#18NSS0302; OBL sent 4/3</t>
  </si>
  <si>
    <t>CSIU2008061</t>
  </si>
  <si>
    <t>EN#2079943-4 ; INV#SS1802018-N; OBL sent 4/4</t>
  </si>
  <si>
    <t>EN#2079643-0</t>
  </si>
  <si>
    <t>MRSU0260811</t>
  </si>
  <si>
    <t>Red Panax Ginseng Ext / Ultra Ginkgo Plus w/ Eleuthero &amp; Tibetan Rhodiola / Ginkgo Biloba &amp; Red Panax Ginseng Ext</t>
  </si>
  <si>
    <t>EN#2079389-0; INV#2001004-18; OBL sent 4/2</t>
  </si>
  <si>
    <t>PICU1932679</t>
  </si>
  <si>
    <t>YNBY Mint / Whitening</t>
  </si>
  <si>
    <t>EN#2079642-2; OBL sent 3/27</t>
  </si>
  <si>
    <t>POP Instant Cappuccino 3 in 1</t>
  </si>
  <si>
    <t>4/3 PL#5291153</t>
  </si>
  <si>
    <t>EN#2079243-9; OBL 3/23</t>
  </si>
  <si>
    <t>TLLU4177752</t>
  </si>
  <si>
    <t>Ginger Mango / Ginger Orange</t>
  </si>
  <si>
    <t>EN#2079329-6</t>
  </si>
  <si>
    <t>MRKU8286276</t>
  </si>
  <si>
    <t>EN#2079072-2</t>
  </si>
  <si>
    <t>TRLU7012340</t>
  </si>
  <si>
    <t>EN#2078783-5; OBL 3/5</t>
  </si>
  <si>
    <t>TRHU1450362</t>
  </si>
  <si>
    <t>EN#2079798-2</t>
  </si>
  <si>
    <t>MRKU2288230</t>
  </si>
  <si>
    <t>Organic Green Tea / Organic White Tea / Green Tea / Japanese Style Green Tea / Oolong Tea</t>
  </si>
  <si>
    <t>EN#2078080-6; INV#YD18-T01; OBL 3/5</t>
  </si>
  <si>
    <t>EN#2078782-7; OBL 3/5</t>
  </si>
  <si>
    <t>EN#2077959-2</t>
  </si>
  <si>
    <t>SEGU6420859</t>
  </si>
  <si>
    <t>EN#2077958-4</t>
  </si>
  <si>
    <t>EMCU6086518</t>
  </si>
  <si>
    <t>Ginger Chews w/ Peanut Butter / Coffee</t>
  </si>
  <si>
    <t>EN#2078141-6</t>
  </si>
  <si>
    <t>EN#2077680-4</t>
  </si>
  <si>
    <t>KKFU7729230</t>
  </si>
  <si>
    <t>EN#2078082-2; INV#18NSS0301; OBL sent 2/28</t>
  </si>
  <si>
    <t>MRSU0088960</t>
  </si>
  <si>
    <t>EN#2077806-5; Order#2092</t>
  </si>
  <si>
    <t>TCNU3076284</t>
  </si>
  <si>
    <t>URGENT 3/8/18</t>
  </si>
  <si>
    <t>EN#2078848-6; INV#18NSS0303</t>
  </si>
  <si>
    <t>720 cs +
568 pcs</t>
  </si>
  <si>
    <t>Organic Green / Black / Gift Tea in bulk</t>
  </si>
  <si>
    <t>EN#2078005-3; INV#17TM073</t>
  </si>
  <si>
    <t>MSKU6751180</t>
  </si>
  <si>
    <t>Panax Ginseng Extract  Red Ginseng Royal Jelly / Ultra Strength Royal Jelly</t>
  </si>
  <si>
    <t>EN#2077288-6; INV#2018TAT01; OBL 2/21</t>
  </si>
  <si>
    <t>UESU4574730</t>
  </si>
  <si>
    <t>EN#2077397-5</t>
  </si>
  <si>
    <t>MRSU3510719</t>
  </si>
  <si>
    <t xml:space="preserve">Organic Oolong Tea / Green Tea / Jasmine Tea </t>
  </si>
  <si>
    <t>EN#2076522-9; INV#YD17-T20</t>
  </si>
  <si>
    <t>TCLU5653259</t>
  </si>
  <si>
    <t>EN#2077042-7; INV#17NSS0353</t>
  </si>
  <si>
    <t>3/14 PL#5286430</t>
  </si>
  <si>
    <t>EN#2076803-3</t>
  </si>
  <si>
    <t>TCLU8216020</t>
  </si>
  <si>
    <t>EN#2076700-1; INV#17NSS0352</t>
  </si>
  <si>
    <t>MRSU0047350</t>
  </si>
  <si>
    <t>United Biscuits (Digestive)</t>
  </si>
  <si>
    <t>EN#2078841-1</t>
  </si>
  <si>
    <t>NYKU3337859</t>
  </si>
  <si>
    <t>LFD      2/12/18</t>
  </si>
  <si>
    <t>EN#2076277-0</t>
  </si>
  <si>
    <t>NYKU2953438</t>
  </si>
  <si>
    <t>EN#2076399-2; Order#150122125</t>
  </si>
  <si>
    <t>TEMU0615660</t>
  </si>
  <si>
    <t>Korean Ginseng Tea / Young Ji Tea / Tu Chung Tea</t>
  </si>
  <si>
    <t>EN#2076431-3</t>
  </si>
  <si>
    <t>MAGU5312876</t>
  </si>
  <si>
    <t>Am GSG RT-Alum Foil (To Sun Ten)</t>
  </si>
  <si>
    <t>EN#2076917-1</t>
  </si>
  <si>
    <t>BSIU9367102</t>
  </si>
  <si>
    <t>EN#2076272-1; INV#17NSS0350; OBL sent 1/19</t>
  </si>
  <si>
    <t>NYKU8040903</t>
  </si>
  <si>
    <t>Red Panax Ginseng Ext / Ultra Ginkgo Plus w/ Eleuthero &amp; Tibetan Rhodiola / Ultra Joint Health Liquid Extract</t>
  </si>
  <si>
    <t>EN#2076125-1; INV#2001021-17; OBL sent 1/19</t>
  </si>
  <si>
    <t>CMAU4550782</t>
  </si>
  <si>
    <t>EN#2076197-0; OBL sent 1/24</t>
  </si>
  <si>
    <t>CMAU7328758</t>
  </si>
  <si>
    <t>EN#2076196-2; OBL sent 1/24</t>
  </si>
  <si>
    <t>EN#2076271-3; INV#17NSS0351</t>
  </si>
  <si>
    <t>MRKU3068728</t>
  </si>
  <si>
    <t>Organic Green Tea / Jasmine Tea / Oolong Tea / Green Tea</t>
  </si>
  <si>
    <t>EN#2076019-6; INV#YD17-T18; OBL sent 1/16</t>
  </si>
  <si>
    <t>2/9 PL#5283485</t>
  </si>
  <si>
    <t>EN#2076646-6</t>
  </si>
  <si>
    <t>EN#2076647-4</t>
  </si>
  <si>
    <r>
      <rPr>
        <rFont val="Arial"/>
        <color theme="1"/>
        <sz val="11.0"/>
      </rPr>
      <t>RUSH</t>
    </r>
    <r>
      <rPr>
        <rFont val="Arial"/>
        <color theme="1"/>
        <sz val="11.0"/>
      </rPr>
      <t xml:space="preserve">
</t>
    </r>
    <r>
      <rPr>
        <rFont val="Arial"/>
        <color theme="1"/>
        <sz val="11.0"/>
      </rPr>
      <t>released</t>
    </r>
  </si>
  <si>
    <t>EN#2076190-5; INV#YD17-T19; OBL sent 1/16</t>
  </si>
  <si>
    <t>DRYU4569718</t>
  </si>
  <si>
    <t>Calendars / Am GSG Ext / Soup Bags</t>
  </si>
  <si>
    <t>EN#2076198-8</t>
  </si>
  <si>
    <t>MRKU6812113</t>
  </si>
  <si>
    <t>EN#2076195-4</t>
  </si>
  <si>
    <t>DRYU4122421</t>
  </si>
  <si>
    <t>EN#2075685-5; INV#2001020-17; OBL sent 1/3</t>
  </si>
  <si>
    <t>DRYU9453823</t>
  </si>
  <si>
    <t>EN#2075282-1; OBL sent 1/2</t>
  </si>
  <si>
    <t>TGHU0254023</t>
  </si>
  <si>
    <t>EN#2075794-3; Express Release</t>
  </si>
  <si>
    <t>OOLU8153615</t>
  </si>
  <si>
    <t>EN#2075728-3; INV#US-171201; OBL sent 1/4</t>
  </si>
  <si>
    <t>TRLU6682374</t>
  </si>
  <si>
    <t>Organic Green Tea / Organic Jasmine Tea / Organic Oolong Tea / Organic White Tea / Oolong Tea</t>
  </si>
  <si>
    <t>EN#2075115-3; INV#YD17-T17; OBL sent 12/29</t>
  </si>
  <si>
    <t>MSKU9515506</t>
  </si>
  <si>
    <t>EN#2075234-2; OBL Sent 1/2</t>
  </si>
  <si>
    <t>TCLU9279574</t>
  </si>
  <si>
    <t>EN#2075281-3; OBL Sent 12/19</t>
  </si>
  <si>
    <t>EN#2075585-7; INV# SS1711177-N; OBL sent 1/3</t>
  </si>
  <si>
    <t>EN#2074260-8</t>
  </si>
  <si>
    <t>EN#2075233-4; OBL Sent 12/19</t>
  </si>
  <si>
    <t>GESU6692826</t>
  </si>
  <si>
    <t>NZ Clover Honey</t>
  </si>
  <si>
    <t>EN#2074538-7; INV#604707; Express Release</t>
  </si>
  <si>
    <t>EN#2075114-6; INV#17NSS0349; OBL sent 12/29</t>
  </si>
  <si>
    <t>Tiger Balm Active Muscle Spray 75ml</t>
  </si>
  <si>
    <t>EN#2095885-7; Order #PI18-78; PO#32884; OBL 12/26</t>
  </si>
  <si>
    <t>ZCSU2586992</t>
  </si>
  <si>
    <r>
      <rPr>
        <rFont val="Arial"/>
        <color theme="1"/>
        <sz val="11.0"/>
      </rPr>
      <t xml:space="preserve">Tiger Balm Active Muscle Rub / Red 4g / White 4g / </t>
    </r>
    <r>
      <rPr>
        <rFont val="Arial"/>
        <color theme="1"/>
        <sz val="11.0"/>
      </rPr>
      <t>Ultra Strength Ointment 50g</t>
    </r>
  </si>
  <si>
    <t>EN#2094073-1; Order #PI18-77, PI18-81; PO#32854; OBL 12/13</t>
  </si>
  <si>
    <t>OOLU4504769</t>
  </si>
  <si>
    <r>
      <rPr>
        <rFont val="Arial"/>
        <color theme="1"/>
        <sz val="11.0"/>
      </rPr>
      <t>Tiger Balm Patch / Liniment / KLO 57ml /</t>
    </r>
    <r>
      <rPr>
        <rFont val="Arial"/>
        <color theme="1"/>
        <sz val="11.0"/>
      </rPr>
      <t xml:space="preserve"> KLO 28ml</t>
    </r>
  </si>
  <si>
    <t>EN#2093989-9; Order #PI18-76, PI18-82, PI18-83; PO#32853; OBL 12/11</t>
  </si>
  <si>
    <t>HDMU4742308</t>
  </si>
  <si>
    <t>EN#2094742-1; Order #PI18-68; PO#32857; OBL 12/13</t>
  </si>
  <si>
    <t>CMAU8071140, TGHU4697462, TGHU1319427</t>
  </si>
  <si>
    <r>
      <rPr>
        <rFont val="Arial"/>
        <color theme="1"/>
        <sz val="11.0"/>
      </rPr>
      <t>Tiger Balm Patch (1/10)
KLO 57ml / KLO 28ml (1/11)</t>
    </r>
    <r>
      <rPr>
        <rFont val="Arial"/>
        <color theme="1"/>
        <sz val="11.0"/>
      </rPr>
      <t xml:space="preserve">
Liniment (1/14)</t>
    </r>
  </si>
  <si>
    <t>1/10 &amp; 1/11 &amp; 1/14</t>
  </si>
  <si>
    <t>EN#2094230-7; Order #PI18-76, PI18-82, PI18-83; PO#32851; OBL 12/13; Demurrage Fees</t>
  </si>
  <si>
    <t>CAIU5840192</t>
  </si>
  <si>
    <t>Tiger Balm Active Muscle Rub 60g</t>
  </si>
  <si>
    <t>EN#2093888-3; Order #PI18-77; PO#32850; OBL 12/13</t>
  </si>
  <si>
    <t>53 PLT</t>
  </si>
  <si>
    <t>DRYU6073840, FCIU5364561, ONEU0258054</t>
  </si>
  <si>
    <r>
      <rPr>
        <rFont val="Arial"/>
        <color theme="1"/>
        <sz val="11.0"/>
      </rPr>
      <t xml:space="preserve">Tiger Balm White / Red 18G / </t>
    </r>
    <r>
      <rPr>
        <rFont val="Arial"/>
        <color theme="1"/>
        <sz val="11.0"/>
      </rPr>
      <t xml:space="preserve">Ultra-Strength Ointment 18G </t>
    </r>
  </si>
  <si>
    <t>12/20/18 12/21/18</t>
  </si>
  <si>
    <t>EN#2093130-0; Order#PI18-80; PO#32829; OBL 12/4</t>
  </si>
  <si>
    <r>
      <rPr>
        <rFont val="Arial"/>
        <color theme="1"/>
        <sz val="11.0"/>
      </rPr>
      <t xml:space="preserve">Tiger Balm Active Muscle Rub / Active Muscle Gel / White 4G / </t>
    </r>
    <r>
      <rPr>
        <rFont val="Arial"/>
        <color theme="1"/>
        <sz val="11.0"/>
      </rPr>
      <t>Ultra-Strength Ointment 50G</t>
    </r>
  </si>
  <si>
    <t>LFD     12/13/18</t>
  </si>
  <si>
    <t>EN#2092257-2; Order#PI18-69 &amp; PI18-73; PO#32790; OBL 11/7</t>
  </si>
  <si>
    <t>BSIU2400739</t>
  </si>
  <si>
    <t>Tiger Balm Active Muscle Rub / Active Muscle Gel / White 4G / Ultra-Strength Ointment 50G</t>
  </si>
  <si>
    <t>EN#2092256-4; Order#PI18-69 &amp; PI18-73; PO#32789; OBL 11/16</t>
  </si>
  <si>
    <t>24 PLT</t>
  </si>
  <si>
    <t>BMOU6596558</t>
  </si>
  <si>
    <t>Tiger Balm Red 18G / Ultra-Strength Ointment 18G /  10G</t>
  </si>
  <si>
    <t>EN#2092327-3; Order#PI18-72; PO#32806; OBL 11/19</t>
  </si>
  <si>
    <t>APZU3797387</t>
  </si>
  <si>
    <t>Tiger Balm Active Muscle Spray</t>
  </si>
  <si>
    <t>EN#2092123-6; Order#PI18-70; PO#32770; OBL 11/7</t>
  </si>
  <si>
    <t>15 PLT</t>
  </si>
  <si>
    <t>Tiger Balm White 18G / Red 18G / Ultra-Strength Ointment 18G</t>
  </si>
  <si>
    <t>EN#2092323-2; Order#PI18-72; PO#32804; OBL 11/19</t>
  </si>
  <si>
    <t>DFSU7802130</t>
  </si>
  <si>
    <t>Tiger Balm Red 18g (Ethnic)</t>
  </si>
  <si>
    <t>EN#2093495-7; Order #PI18-80; PO#32826; OBL 11/23</t>
  </si>
  <si>
    <t xml:space="preserve">TCLU1251415 </t>
  </si>
  <si>
    <t>Ultra-Strength Ointment 50G</t>
  </si>
  <si>
    <t>EN#2092203-6; Order#PI18-73; PO#32767; OBL 11/7</t>
  </si>
  <si>
    <t>MOFU6782653</t>
  </si>
  <si>
    <t>EN#2091808-3; Order#PI18-68; PO#32769; OBL 11/7</t>
  </si>
  <si>
    <t>7 PLT</t>
  </si>
  <si>
    <t>MOAU0657478</t>
  </si>
  <si>
    <t xml:space="preserve">Tiger Balm Red 18G / Ultra-Strength Ointment 18G </t>
  </si>
  <si>
    <t>EN#2092324-0; Order#PI18-72; PO#32805; OBL 11/19</t>
  </si>
  <si>
    <t>CMAU9022833, CMAU8409725, APZU4633916</t>
  </si>
  <si>
    <t>11/26/18 &amp; 11/27/18</t>
  </si>
  <si>
    <t>EN#2092204-4; Order#PI18-67; PO#32788; OBL 11/7</t>
  </si>
  <si>
    <t>Tiger Balm Patch / Liniment / Kwan Loong Oil</t>
  </si>
  <si>
    <t>URGENT 11/27/18</t>
  </si>
  <si>
    <t>EN#2091853-9; Order#PI18-67, PI18-74 &amp; PI18-75; PO#32768; OBL 11/7/18</t>
  </si>
  <si>
    <t>TCKU3973359</t>
  </si>
  <si>
    <t>EN#2091807-5; Order#PI18-67; PO#32766; OBL 11/2</t>
  </si>
  <si>
    <t>Tiger Balm Active Muscle Rub / Ultra-Strength Ointment 50g</t>
  </si>
  <si>
    <t>EN#2090804-3; Order#PI18-59 &amp; PI18-64; PO#32700; OBL 10/10</t>
  </si>
  <si>
    <t>MOFU5878025</t>
  </si>
  <si>
    <t>Tiger Balm Neck &amp; Shoulder Rub</t>
  </si>
  <si>
    <t>EN#2090955-3; Order#PI18-50; PO#32701; OBL 10/10</t>
  </si>
  <si>
    <t>26 PLT</t>
  </si>
  <si>
    <t>MOAU0757590, NYKU5291398</t>
  </si>
  <si>
    <t>Tiger Balm White 18g / Red 18g / Ultra-strength Ointment 18g</t>
  </si>
  <si>
    <t>URGENT 11/8/19 &amp; 11/9/18</t>
  </si>
  <si>
    <t>EN#2090887-8; Order#PI18-63; PO#32717; OBL 10/23</t>
  </si>
  <si>
    <t>EN#2090889-4; Order#PI18-57; PO#32699; OBL 10/10</t>
  </si>
  <si>
    <t>TRHU3907057</t>
  </si>
  <si>
    <t>EN#2090610-4; Order#PI18-60; PO#32697; OBL 10/10</t>
  </si>
  <si>
    <t>CMAU8319128</t>
  </si>
  <si>
    <t>EN#2090803-5; Order#PI18-59 &amp; PI18-64; PO#32698; OBL 10/10</t>
  </si>
  <si>
    <t>MSKU5158709</t>
  </si>
  <si>
    <t>EN#2090954-6; Order#PI18-60; PO#32695; OBL 10/10</t>
  </si>
  <si>
    <t>OOLU1296316</t>
  </si>
  <si>
    <t>EN#2090728-4; Order#PI18-57; PO#32696; OBL 10/10</t>
  </si>
  <si>
    <t>FCIU3260059, TCLU4109430, CMAU8410367</t>
  </si>
  <si>
    <t>Tiger Balm Patch / Tiger Liniment 57ML/ Kwan Loong Oil</t>
  </si>
  <si>
    <t>URGENT 10/24/18</t>
  </si>
  <si>
    <t>EN#2090727-6; Order#PI18-57, PI18-65 &amp; PI18-66; PO#32694; OBL 10/10</t>
  </si>
  <si>
    <t>18 PLT</t>
  </si>
  <si>
    <t>TGBU5318052</t>
  </si>
  <si>
    <t>Tiger Balm Red 18g / Ultra-Strength Ointment 18g</t>
  </si>
  <si>
    <t xml:space="preserve">EN#2090888-6; Order#PI18-63; PO#32719; OBL Send direct from bank 10/23 </t>
  </si>
  <si>
    <t>HLXU5076119</t>
  </si>
  <si>
    <t>EN#2090074-3; Order#PI18-58; PO#32718; OBL 10/10</t>
  </si>
  <si>
    <t>NYKU3249486</t>
  </si>
  <si>
    <t>EN#2090418-2; Order#PI18-63; PO#32693; OBL 10/10</t>
  </si>
  <si>
    <t>SEGU1911720, TRLU6547878</t>
  </si>
  <si>
    <t>EN#2089142-1; Order#PI18-51, PI18-55 &amp; PI18-56; PO#32587; OBL 9/17</t>
  </si>
  <si>
    <t>27 PLT</t>
  </si>
  <si>
    <t>TCLU3712250, TCNU4983850</t>
  </si>
  <si>
    <t>EN#2088911-0; Order#PI18-53; PO#32593; OBL 9/19</t>
  </si>
  <si>
    <t>OOLU7602901</t>
  </si>
  <si>
    <t xml:space="preserve">Tiger Balm Path  </t>
  </si>
  <si>
    <t>EN#2089029-0; Order#PI18-51; PO#32590; OBL 9/17</t>
  </si>
  <si>
    <t>TGHU1508523, APZU4450200</t>
  </si>
  <si>
    <t>Tiger Balm Patch / Tiger Liniment 57ML</t>
  </si>
  <si>
    <t>EN#2089030-8; Order#PI18-51 &amp; PI18-55; PO#32592; OBL 9/19</t>
  </si>
  <si>
    <t>MOAU0673611</t>
  </si>
  <si>
    <t>Tiger Balm White 4G / Ultra-Strength Tiger Balm Ointment 50G</t>
  </si>
  <si>
    <t>EN#2089511-7; Order#Pi18-54; PO#32586; OBL 9/19</t>
  </si>
  <si>
    <t>Ultra-Strength Tiger Balm Ointment 50G</t>
  </si>
  <si>
    <t>EN#2088977-1; Order#PI18-54; PO#32589; OBL 9/19</t>
  </si>
  <si>
    <t>SZLU9044640</t>
  </si>
  <si>
    <t>Tiger Balm White 4g / Red 4g / Ultra-strength Ointment 50g</t>
  </si>
  <si>
    <t>EN#2088910-2; Order#PI18-54; PO#32591; OBL 9/19</t>
  </si>
  <si>
    <t>20 PLT</t>
  </si>
  <si>
    <t>TEMU8837447</t>
  </si>
  <si>
    <t>Tiger Balm White 18g (Ethnic) / Red 18g (Ethnic) / Red 18g / Ultra-strengh Ointment 18g / 10g</t>
  </si>
  <si>
    <t>EN#2089220-5; Order#PI18-53; PO#32585; OBL 9/17</t>
  </si>
  <si>
    <t>NYKU9839915</t>
  </si>
  <si>
    <t>Tiger Balm Red 18g / Ultra-Strength Ointment 18g / 10G</t>
  </si>
  <si>
    <t>EN#2089219-7; Order#PI18-53; PO#32588; OBL 9/14</t>
  </si>
  <si>
    <t>ECMU2156978, TCNU6208213</t>
  </si>
  <si>
    <t>Tiger Balm White 18g (Ethnic) / Red 18g (Ethnic) / Red 18g / Ultra-strengh Ointment 18g</t>
  </si>
  <si>
    <t>URGENT 9/10/18</t>
  </si>
  <si>
    <t>EN#2087474-0; Order#PI18-46; PO#32511; OBL 9/5</t>
  </si>
  <si>
    <t>ECMU4545557</t>
  </si>
  <si>
    <t>EN#2087884-0; Order#PI18-45; PO#32528; OBL 8/21</t>
  </si>
  <si>
    <t>TTNU8247973</t>
  </si>
  <si>
    <t>EN#2087416-1; Order#PI18-47; PO#32489; OBL 8/14</t>
  </si>
  <si>
    <t>Tiger Balm Single Patch / Warm Patch / Liniment</t>
  </si>
  <si>
    <t>EN#2087196-9; Order#PI18-40 &amp; PI18-48; PO#32487; OBL 8/14</t>
  </si>
  <si>
    <t xml:space="preserve">CXDU1670008 </t>
  </si>
  <si>
    <t>EN#2087197-7; Order#PI18-47; PO#32486; OBL 8/14</t>
  </si>
  <si>
    <t>OOLU4341152</t>
  </si>
  <si>
    <t>Tiger Balm Single Patch / Warm Patch</t>
  </si>
  <si>
    <t>EN#2087143-1; Order#PI18-40 &amp; PI18-44; PO#32488; OBL 8/14</t>
  </si>
  <si>
    <t>ECMU4683983, APZU4347276, CLHU4753560</t>
  </si>
  <si>
    <t>Tiger Balm Patch / Single Patch / Liniment / KLO</t>
  </si>
  <si>
    <t>8/22/18        8/23/18</t>
  </si>
  <si>
    <t>EN#2086984-9; Order#PI18-40, PI18-48 &amp; PI18-49; PO#32482; OBL 8/14</t>
  </si>
  <si>
    <t>19 PLT</t>
  </si>
  <si>
    <t>EN#2087144-9; Order#PI18-46; PO#32509; OBL 8/14</t>
  </si>
  <si>
    <t>TGHU0920881</t>
  </si>
  <si>
    <t>EN#2086791-8; Order#PI18-46; PO#32481; OBL 8/1</t>
  </si>
  <si>
    <t>21 PLT</t>
  </si>
  <si>
    <t>TEMU6597840</t>
  </si>
  <si>
    <t>Tiger Balm Red / Ultra-strength Oinment</t>
  </si>
  <si>
    <t>EN#2085738-0; Order#PI18-38; PO#32432; OBL 7/19</t>
  </si>
  <si>
    <t xml:space="preserve">MOEU1407430 </t>
  </si>
  <si>
    <t>EN#2085635-8; Order#PI18-39; PO#32415; OBL 7/17</t>
  </si>
  <si>
    <t>TCLU4530250, TRLU8661344</t>
  </si>
  <si>
    <t>Tiger Balm Patch /  Kwan Loong Oil</t>
  </si>
  <si>
    <t>EN#2085489-0; Order#PI18-33, PI18-35 &amp; PI18-42; PO#32414; OBL 7/17</t>
  </si>
  <si>
    <t>OOLU7299288</t>
  </si>
  <si>
    <t>EN#2085543-4; Order#PI18-33 &amp; PI18-35; PO#32416; OBL 7/17</t>
  </si>
  <si>
    <t>CMAU0925108</t>
  </si>
  <si>
    <t>EN#2085544-2; Order#PI18-43; PO#32412; OBL 7/17</t>
  </si>
  <si>
    <t>GIPU4408460, CMAU8183073</t>
  </si>
  <si>
    <t xml:space="preserve">Tiger Balm Patch / Liniment </t>
  </si>
  <si>
    <t>EN#2085490-8; Order#PI18-33, PI18-35 &amp; PI18-41; PO#32413; OBL 7/12</t>
  </si>
  <si>
    <t>Tiger Balm White / Tiger Balm Red / Ultra-strength Oinment</t>
  </si>
  <si>
    <t>EN#2085737-2; Order#PI18-38; PO#32431; OBL 7/17</t>
  </si>
  <si>
    <t>HLXU5214603</t>
  </si>
  <si>
    <t>EN#2084738-1; Order#PI18-34; PO#32373; OBL 7/12</t>
  </si>
  <si>
    <t>TCLU1659069, TGHU0774180</t>
  </si>
  <si>
    <t>URGENT 7/19/18</t>
  </si>
  <si>
    <t>EN#2084440-4; Order#PI18-30; PO#32371; OBL 7/5</t>
  </si>
  <si>
    <t>MOAU1422396, NYKU8517508</t>
  </si>
  <si>
    <t>EN#2083955-2; Order#PI18-27 &amp; PI18-32; PO#32345; OBL 6/21</t>
  </si>
  <si>
    <t xml:space="preserve">BSIU3095809 </t>
  </si>
  <si>
    <t>LFD           7/11/18</t>
  </si>
  <si>
    <t>EN#2083954-5; Order#PI18-31; PO#32343; OBL 6/21</t>
  </si>
  <si>
    <t>OOLU4307184, OOLU0667393</t>
  </si>
  <si>
    <t>EN#2083888-5; Order#PI18-27 &amp; PI18-32; PO#32348; OBL 6/18</t>
  </si>
  <si>
    <t>CMAU9107680, APZU4679429</t>
  </si>
  <si>
    <t>Tiger Balm Patch / Liniment /  Kwan Loong Oil</t>
  </si>
  <si>
    <t>URGENT 6/29/18</t>
  </si>
  <si>
    <t>EN#2083789-5; Order#PI18-27, PI18-31 &amp; PI18-32; PO#32344; OBL 6/18</t>
  </si>
  <si>
    <t>TCLU2689005, TGBU5192508</t>
  </si>
  <si>
    <t>EN#2083957-8; Order#PI18-30 &amp; PI18-36; PO#32355; OBL 6/18</t>
  </si>
  <si>
    <t>DFSU7803250</t>
  </si>
  <si>
    <t>EN#2083790-3; Order#PI18-31; PO#32342; OBL 6/18</t>
  </si>
  <si>
    <t>Tiger Balm Active Muscle Rub / Active Muscle Gel</t>
  </si>
  <si>
    <t>EN#2083102-1; Order#PI18-07; PO#32291; OBL 6/5</t>
  </si>
  <si>
    <t>APZU4397488</t>
  </si>
  <si>
    <t>EN#2083310-0; Order#PI18-09; PO#32321; OBL 6/5</t>
  </si>
  <si>
    <t>EN#2083227-6; Order#PI18-09; PO#32320; OBL 6/5</t>
  </si>
  <si>
    <t>NYKU4133968</t>
  </si>
  <si>
    <t>EN#2083599-8; Order#PI18-30; PO#32341; OBL 6/8</t>
  </si>
  <si>
    <t>ECMU4689739</t>
  </si>
  <si>
    <t>EN#2083085-8; Order#PI18-07 &amp; PI18-08; PO#32290; OBL 6/5</t>
  </si>
  <si>
    <t>CMAU9119248</t>
  </si>
  <si>
    <t>EN#2082811-8; Order#PI18-28; PO#32289; OBL 6/1</t>
  </si>
  <si>
    <t>KKFU7807306</t>
  </si>
  <si>
    <t>EN#2083368-8; Order#PI18-30; OBL 6/4; PO#32319</t>
  </si>
  <si>
    <t>ECMU1698547, APHU6494519, APHU6241188</t>
  </si>
  <si>
    <t>6/8/18 &amp; 6/11/18</t>
  </si>
  <si>
    <t>EN#2082554-4; Order#PI18-15 &amp; PI18-25; PO#32283; OBL 5/18</t>
  </si>
  <si>
    <t>CMAU0714276</t>
  </si>
  <si>
    <t>EN#2081937-2; Order#PI18-18: PO#32239; OBL 5/22</t>
  </si>
  <si>
    <t>EN#2082555-1; Order#PI18-15; PO#32288; OBL 5/30</t>
  </si>
  <si>
    <t>CMAU1206644</t>
  </si>
  <si>
    <t>Tiger Balm Red 4G / Ultra-Strength Ointment 50 G</t>
  </si>
  <si>
    <t>EN#2081851-5; Order#PI18-25; PO#32240; OBL 5/21</t>
  </si>
  <si>
    <t>HDMU2592805, HDMU4738674</t>
  </si>
  <si>
    <t>EN#2081975-2; Order#PI18-17, PI18-25 &amp; PI18-26; PO#32235; OBL 5/21</t>
  </si>
  <si>
    <t>OOLU4424792</t>
  </si>
  <si>
    <t>Tiger Balm Patch / Kwan Loong Oil 57 ML &amp; 28 ML</t>
  </si>
  <si>
    <t>EN#2082035-4; Order#PI18-17 &amp; PI18-26; PO#32253; OBL 5/21</t>
  </si>
  <si>
    <t>ECMU4413930, APZU4799743, TCLU4742602</t>
  </si>
  <si>
    <t>EN#2081938-0; Order#PI18-17, PI18-23, PI18-25 &amp; PI18-26; PO#32234; OBL 5/21</t>
  </si>
  <si>
    <t>NYKU4375998</t>
  </si>
  <si>
    <t>Tiger Balm Red 4G / Ultra Strength Ointment</t>
  </si>
  <si>
    <t>EN#2082810-0; PO#32268; OBL 5/18</t>
  </si>
  <si>
    <t>EMCU6066574</t>
  </si>
  <si>
    <t>ULTRA-STRENGTH TIGER BALM OINTMENT</t>
  </si>
  <si>
    <t>EN#2080387-1; Order#PI18-22; PO#32183; OBL 4/24</t>
  </si>
  <si>
    <t>EN#2080307-9; Order#PI18-13; OBL sent 4/11; PO#32173</t>
  </si>
  <si>
    <t>OOLU7919060</t>
  </si>
  <si>
    <t xml:space="preserve">Tiger Balm Patch / Kwan Loong OIl </t>
  </si>
  <si>
    <t>LFD       5/3/18</t>
  </si>
  <si>
    <t>EN#2080308-7; Order#PI18-13, PI18-16; OBL sent 4/11; PO#32171</t>
  </si>
  <si>
    <t>Tiger Balm White 4G / Tiger Balm Red 4G / Ultra-Strength Ointment 50G</t>
  </si>
  <si>
    <t>EN#2080258-4; Order#PI18-15; OBL 4/5; PO#32174</t>
  </si>
  <si>
    <t>TCLU3755591, APZU4729427</t>
  </si>
  <si>
    <t>EN#2080360-8: Order#PI18-13; OBL 4/11; PO#32169</t>
  </si>
  <si>
    <t>TCKU4537581</t>
  </si>
  <si>
    <t>EN#2080257-6; Order#PI18-29, PI18-15; OBL 4/5; PO#32170</t>
  </si>
  <si>
    <t>APZU4513525</t>
  </si>
  <si>
    <t>EN#2079616-6; Order#PI18-14; PO#32106; OBL 4/5</t>
  </si>
  <si>
    <t>EN#2079093-3; Order#PI18-11; PO#32089; OBL 3/14</t>
  </si>
  <si>
    <t>TCNU7485716, APZU4698970</t>
  </si>
  <si>
    <t>EN#2079076-3; Order#PI18-11; PO#32088; OBL 3/14</t>
  </si>
  <si>
    <t>EN#2078854-4; Order#PI18-06, PI18-12 &amp; PI18-11; PO#32087; OBL 3/14</t>
  </si>
  <si>
    <t>FCIU6160881</t>
  </si>
  <si>
    <t>EN#2079077-1; Order#PI18-11; PO#32085; OBL sent 3/14</t>
  </si>
  <si>
    <t>DRYU4029670, TGHU5031070</t>
  </si>
  <si>
    <t>Tiger Balm Patch / Kwan Loong OIl</t>
  </si>
  <si>
    <t>EN#2079094-6; Order#PI18-06 &amp; PI18-12; PO#32084; OBL 3/14</t>
  </si>
  <si>
    <t>CMAU7205835, TRHU1379691</t>
  </si>
  <si>
    <t>EN#2077807-3; Order#PI18-04; PO#32026; OBL 2/21</t>
  </si>
  <si>
    <t>EN#2077809-9; Order#PI18-04; PO#32028; OBL 2/21</t>
  </si>
  <si>
    <t>Tiger Balm Patch / Tiger Liniment / Kwan Loong Oil</t>
  </si>
  <si>
    <t>EN#2077755-4; Order# PI18-03, PI18-04 &amp; PI18-05; PO#32030; OBL 2/21</t>
  </si>
  <si>
    <t>CAIU2762727</t>
  </si>
  <si>
    <t>EN#2077808-1; Order#PI18-04; PO#32027; OBL 2/21</t>
  </si>
  <si>
    <t>CMAU9017591, CMAU9114890</t>
  </si>
  <si>
    <t>EN#2077869-3; Order#PI18-03, PI18-04 &amp; PI18-05; PO#32029; OBL 2/21</t>
  </si>
  <si>
    <t>TGHU5092537</t>
  </si>
  <si>
    <t>EN#2077447-8; Order#PI18-01; PO#32000; OBL 2/7</t>
  </si>
  <si>
    <t>EN#2077495-7; Order#PI18-02; PO#32025; OBL 2/7</t>
  </si>
  <si>
    <t>EN#2075540-2; Order#PI17-63; PO#31925; OBL sent 1/4</t>
  </si>
  <si>
    <t>CLHU4508769</t>
  </si>
  <si>
    <t>EN#2075539-4; Order#PI17-63; PO#31923; OBL sent 1/4</t>
  </si>
  <si>
    <t>EN#2075583-2; Order#PI17-58 &amp; PI17-64; PO#31926; OBL sent 1/15</t>
  </si>
  <si>
    <t>OOLU7553936</t>
  </si>
  <si>
    <t>EN#2075582-4; Order#PI17-58 &amp; PI17-64; PO#31928; OBL sent 1/9</t>
  </si>
  <si>
    <t>TEMU2717402</t>
  </si>
  <si>
    <t>EN#2075283-9; Order#PI17-63; PO#31924; OBL 1/4</t>
  </si>
  <si>
    <t>CMAU9087304</t>
  </si>
  <si>
    <t>EN#2075584-0; Order#PI17-58, PI17-64 &amp; PI17-63; PO#31927; OBL sent 1/4</t>
  </si>
  <si>
    <t>12l</t>
  </si>
  <si>
    <t>EN#2075428-0; Order#PI17-57; PO#31945; OBL sent 1/9</t>
  </si>
  <si>
    <t>Last Updated: TS 1/4/18</t>
  </si>
  <si>
    <t>Destination Location</t>
  </si>
  <si>
    <t>QC Packing List Issued</t>
  </si>
  <si>
    <t>Person in charge of QC</t>
  </si>
  <si>
    <t>Korean Gsg instand Tea (K-80024/K-80027); Young Ji Tea(D-02003), Tuchung Tea (D-02004); Korean GSG Powder</t>
  </si>
  <si>
    <t>1/12 PL#5280885</t>
  </si>
  <si>
    <t>EN#2075160-9; INV# KB171205; OBL sent 12/22; Gate Fee Paid</t>
  </si>
  <si>
    <r>
      <rPr>
        <rFont val="arial, sans, sans-serif"/>
        <color rgb="FF000000"/>
        <sz val="10.0"/>
      </rPr>
      <t xml:space="preserve">Organic Green Tea/ </t>
    </r>
    <r>
      <rPr>
        <rFont val="arial, sans, sans-serif"/>
        <color rgb="FF980000"/>
        <sz val="10.0"/>
      </rPr>
      <t>Black Tea</t>
    </r>
    <r>
      <rPr>
        <rFont val="arial, sans, sans-serif"/>
        <color rgb="FF000000"/>
        <sz val="10.0"/>
      </rPr>
      <t>/ Jasmine Tea</t>
    </r>
  </si>
  <si>
    <t>EN#2074773-0; INV#17TM040; gate fee paid</t>
  </si>
  <si>
    <t>HAMU1229552</t>
  </si>
  <si>
    <t>EN#2075000-7; INV#17NSS0347; OBL sent 12/27</t>
  </si>
  <si>
    <t>EN#2075161-7; INV#2017200303; TR; gate fee paid</t>
  </si>
  <si>
    <t>realeased</t>
  </si>
  <si>
    <t>EN#2075232-6; OBL sent 12/18; gate fee paid</t>
  </si>
  <si>
    <t>MRKU8599706</t>
  </si>
  <si>
    <t>EN#2075067-6; INV#2090; TR</t>
  </si>
  <si>
    <t>GREEN TEA D-13100N / JAPANESE STYLE GREEN TEA D-13300N / JASMINE D-14100N / OOLONG TEA D-15100N / TI KUAN YIN TEA D-16100N</t>
  </si>
  <si>
    <t>EN#2074462-0; INV#YD17-T13; OBL Sent 12/18; gate fee paid</t>
  </si>
  <si>
    <t xml:space="preserve">Organic Green Tea / Organic Oolong Tea </t>
  </si>
  <si>
    <t>EN#2074331-7; INV#YD17-T11; OBL sent 12/18</t>
  </si>
  <si>
    <t>LA-&gt;OAK</t>
  </si>
  <si>
    <t>YMMU6055836</t>
  </si>
  <si>
    <t xml:space="preserve">Cheezheng Patches </t>
  </si>
  <si>
    <t>EN#2074276-4; Express Released</t>
  </si>
  <si>
    <t>Am GSG Instant Tea / Instant Wild Am GSG Tea / Herbal Tea Bulk</t>
  </si>
  <si>
    <t>1/4 PL#5278151</t>
  </si>
  <si>
    <t>EN#2073442-3; INV#2001018-17; OBL Sent 10/30/17</t>
  </si>
  <si>
    <t>Panax Ginseng Ext 30x10 / Goji On The Go / Red Gineng Royal Jelly30x10</t>
  </si>
  <si>
    <t>RUSH    12/21/17</t>
  </si>
  <si>
    <t>EN#2074030-5; INV#2017TAT06</t>
  </si>
  <si>
    <t>Loc Maria (Gavottes)</t>
  </si>
  <si>
    <t>EN#2074004-0</t>
  </si>
  <si>
    <t>MOFU0752008</t>
  </si>
  <si>
    <t>Loc Maria Biscuits (Gavottes)</t>
  </si>
  <si>
    <t>EN#2074003-2</t>
  </si>
  <si>
    <t>EN#2073558-6</t>
  </si>
  <si>
    <t>NYKU0799745</t>
  </si>
  <si>
    <t>EN#2073557-8</t>
  </si>
  <si>
    <t>NYKU0741975</t>
  </si>
  <si>
    <t>EN#2073131-2</t>
  </si>
  <si>
    <t>NYKU9860044</t>
  </si>
  <si>
    <t>EN#2074060-2</t>
  </si>
  <si>
    <t>MSCU9773163</t>
  </si>
  <si>
    <t>Organic Green Tea / Green Tea / Oolong Tea</t>
  </si>
  <si>
    <t>RUSH    12/13/17</t>
  </si>
  <si>
    <t>EN#2072521-5; INV#YD17-T15</t>
  </si>
  <si>
    <t>KKFU8125677</t>
  </si>
  <si>
    <t>EN#2073135-3; INV#17NSS0348; OBL Sent 11/30/17</t>
  </si>
  <si>
    <t>KKFU1827687</t>
  </si>
  <si>
    <t>EN#2073134-6; INV#17NSS0346; OBL Sent 10/30/17</t>
  </si>
  <si>
    <t>MRKU6244435</t>
  </si>
  <si>
    <t>Ginger Chew</t>
  </si>
  <si>
    <t>EN#2073556-0</t>
  </si>
  <si>
    <t>TCLU2813311</t>
  </si>
  <si>
    <t>EN#2073168-4 Inv#SS1711165-N</t>
  </si>
  <si>
    <t>Ginger Chews / Ginger Lemon Chews</t>
  </si>
  <si>
    <t>EN#2073133-8</t>
  </si>
  <si>
    <t>EN#2073132-0</t>
  </si>
  <si>
    <t>EN#2073501-6; Order#2087</t>
  </si>
  <si>
    <t>MSCU9896189</t>
  </si>
  <si>
    <t>Organic Green Tea / Organic Oolong Tea / Organic White Tea</t>
  </si>
  <si>
    <t>RUSH   12/5/17</t>
  </si>
  <si>
    <t>EN#2072409-3; INV#YD17-T14</t>
  </si>
  <si>
    <t>GHC / Dong Quai &amp; Red Date Tea / GHC with Lemon</t>
  </si>
  <si>
    <t>EN#2073136-1; INV#17NSS0344</t>
  </si>
  <si>
    <t>TRLU1725160</t>
  </si>
  <si>
    <t>Lambertz</t>
  </si>
  <si>
    <t>EN#2073348-2</t>
  </si>
  <si>
    <t>NYKU5155160</t>
  </si>
  <si>
    <t>EN#2072470-5; OBL sent 11/9</t>
  </si>
  <si>
    <t>TCLU9281186</t>
  </si>
  <si>
    <t>EN#2072469-7; OBL sent 11/6</t>
  </si>
  <si>
    <t>TRIU6821074</t>
  </si>
  <si>
    <t>EN#2073251-8</t>
  </si>
  <si>
    <t>KKFU8133311</t>
  </si>
  <si>
    <t>EN#2072495-2; INV#17NSS0345</t>
  </si>
  <si>
    <t>PCIU9113712</t>
  </si>
  <si>
    <t>RUSH  11/28/17</t>
  </si>
  <si>
    <t>EN#2072924-1; INV#YD17-T16</t>
  </si>
  <si>
    <t>TRLU4881166</t>
  </si>
  <si>
    <t>Am GSG Rt Candy Gold Tin</t>
  </si>
  <si>
    <t>11/28/17 to POPLA</t>
  </si>
  <si>
    <t>EN#2072815-1; Deliver to Factory Azusa, CA 11/27: Factory cannot recieve; LFD 11/30; POPLA will receive on 11/28</t>
  </si>
  <si>
    <t>11/20 PL#5273163</t>
  </si>
  <si>
    <t>EN#2072109-9; OBL sent 11/6</t>
  </si>
  <si>
    <t>PONU0423630</t>
  </si>
  <si>
    <t>EN#2073061-1</t>
  </si>
  <si>
    <t>EN#2072019-0; Order#SS1710153-N; OBL sent 11/8</t>
  </si>
  <si>
    <t>NYKU8450507</t>
  </si>
  <si>
    <t>RUSH 
11/27/17</t>
  </si>
  <si>
    <t>EN#2072408-5</t>
  </si>
  <si>
    <t>NYKU8051718</t>
  </si>
  <si>
    <t>Red Panax Ginseng Ext / Ginkgo Biloba &amp; Red Panax Ginseng Ext / Ultra Ginkgo Plus w/ Eleuthero &amp; Tibetan Rhodiola</t>
  </si>
  <si>
    <t>EN#2071935-8; INV#2001019-17</t>
  </si>
  <si>
    <t>MRKU6091969</t>
  </si>
  <si>
    <t>EN#2072112-3; OBL sent 11/6</t>
  </si>
  <si>
    <t>NYKU4890180</t>
  </si>
  <si>
    <t>EN#2072110-7</t>
  </si>
  <si>
    <t>TTNU8411876</t>
  </si>
  <si>
    <t>PGS Pei Pa Lo</t>
  </si>
  <si>
    <t>EN#2071817-8; INV#PGS17-0048</t>
  </si>
  <si>
    <t>OOLU4445727</t>
  </si>
  <si>
    <t>RUSH  11/16/17</t>
  </si>
  <si>
    <t>EN#2071791-5; Order#31076</t>
  </si>
  <si>
    <t>31570 / NS2387</t>
  </si>
  <si>
    <t>NYKU5983539</t>
  </si>
  <si>
    <t xml:space="preserve">POP 2018 Calendar / A-C-W GSG 1/4 LB Cover Lid (New) Bottom / </t>
  </si>
  <si>
    <t>EN#2072287-3</t>
  </si>
  <si>
    <t>MRKU5246156</t>
  </si>
  <si>
    <t>EN#2071794-9</t>
  </si>
  <si>
    <t>MRKU2375397</t>
  </si>
  <si>
    <t>EN#2071793-1</t>
  </si>
  <si>
    <t>NYKU5224337</t>
  </si>
  <si>
    <t>EN#2072111-5</t>
  </si>
  <si>
    <t>NYKU4719012</t>
  </si>
  <si>
    <t>EN#2071368-2</t>
  </si>
  <si>
    <t>EN#2072799-7; pending x-ray exam</t>
  </si>
  <si>
    <t>EN#2072800-3; pending x-ray exam</t>
  </si>
  <si>
    <t>UACU4754768</t>
  </si>
  <si>
    <t>EN#2072798-9</t>
  </si>
  <si>
    <t>EN#2071221-3</t>
  </si>
  <si>
    <t>CGMU5138401</t>
  </si>
  <si>
    <t>EN#2072554-6</t>
  </si>
  <si>
    <t>RUSH  11/2/17</t>
  </si>
  <si>
    <t>11/10 PL#5271107</t>
  </si>
  <si>
    <t>EN#2071546-3</t>
  </si>
  <si>
    <t>MRKU0184220</t>
  </si>
  <si>
    <t>EN#2070850-0; INV#2086</t>
  </si>
  <si>
    <t>YNBY Mint / Whitening / Probiotic</t>
  </si>
  <si>
    <t>EN#2071543-0; OBL sent 10/20</t>
  </si>
  <si>
    <t>EN#2070359-2</t>
  </si>
  <si>
    <t>WHLU5563986</t>
  </si>
  <si>
    <t>Pi Lo Chun Green Tea / Ti Kuan Yin Tea / Organic Maofeng Tea / Pearl Jasmine Green Tea / Peony White Tea / Pu-Erh Black Tea</t>
  </si>
  <si>
    <t>11/10 PL#5271874</t>
  </si>
  <si>
    <t>EN#2071294-0; INV#17TM024</t>
  </si>
  <si>
    <t>TCLU4734675</t>
  </si>
  <si>
    <t>11/8 PL#5270537</t>
  </si>
  <si>
    <t>EN#2071447-4; INV#2001014-17; OBL sent 10/17</t>
  </si>
  <si>
    <t>NS2423, NS2454, 31569, 31577</t>
  </si>
  <si>
    <t>CXDU1718190</t>
  </si>
  <si>
    <t>A-C GSG in Bag - Plastic Tray (8oz) / 2018 POP Calendar / Printed envelopes</t>
  </si>
  <si>
    <t>EN#2071452-4</t>
  </si>
  <si>
    <t>TCLU1012658</t>
  </si>
  <si>
    <t>RUSH  10/25/17</t>
  </si>
  <si>
    <t>EN#2071057-1</t>
  </si>
  <si>
    <t>TTNU4099754</t>
  </si>
  <si>
    <t>RUSH  10/23/17</t>
  </si>
  <si>
    <t>EN#2071745-1; INV#200101517; Scheduled 10/30 FDA for Exam</t>
  </si>
  <si>
    <t>GHC w/ Lemon / GHC w/ AM GSG / GHC w/ Plum / Dark Brown Sugar Ginger Tea</t>
  </si>
  <si>
    <t>EN#2061147-0; INV#17NSS0339; OBL sent 10/16</t>
  </si>
  <si>
    <t>EN#2071146-2; INV#17NSS0338; OBL sent 10/16</t>
  </si>
  <si>
    <t>MRKU7201612</t>
  </si>
  <si>
    <t>EN#2070683-5; INV#2001016-17</t>
  </si>
  <si>
    <t>TEMU0628522</t>
  </si>
  <si>
    <t>EN#2070916-9; INV#170080</t>
  </si>
  <si>
    <t>ECMU9466722</t>
  </si>
  <si>
    <t xml:space="preserve"> Cam New Zealand Manuka UMF 10+ Honey</t>
  </si>
  <si>
    <t>EN#2070171-1</t>
  </si>
  <si>
    <t>TGHU9117490</t>
  </si>
  <si>
    <t>EN#2070360-0; INV#17NSS0343; OBL sent 9/28; Notify FDA for Exam 10/20; Scheduled 11/1 FDA for Exam; 11/13 FDA lab analysis pending</t>
  </si>
  <si>
    <t>CGMU5162835</t>
  </si>
  <si>
    <t>EN#2071056-3</t>
  </si>
  <si>
    <t>MEDU8506364</t>
  </si>
  <si>
    <t>EN#2068689-5; INV#YD17-T12; OBL sent 9/25</t>
  </si>
  <si>
    <t>TRIU8492933</t>
  </si>
  <si>
    <t>EN#2070031-7</t>
  </si>
  <si>
    <t>TCLU5446708</t>
  </si>
  <si>
    <t>EN#2070037-4; INV #17NSS0341; OBL sent 9/18</t>
  </si>
  <si>
    <t>KKTU6052534</t>
  </si>
  <si>
    <t>EN#2070550-6</t>
  </si>
  <si>
    <t>WHLU5841731</t>
  </si>
  <si>
    <t>EN#2070377-4; INV#17NSS0342; OBL sent 9/27</t>
  </si>
  <si>
    <t>EN#2070002-8; Telex Released</t>
  </si>
  <si>
    <t>TCNU8102112</t>
  </si>
  <si>
    <t>EN#2069611-9; INV#17NSS0340; OBL sent 9/12</t>
  </si>
  <si>
    <t>DRYU2990060</t>
  </si>
  <si>
    <t>EN#2070268-5; PO#170048</t>
  </si>
  <si>
    <t>TLLU4505804</t>
  </si>
  <si>
    <t>Original / Lemon Ginger Chews</t>
  </si>
  <si>
    <t>EN#2069644-0; OBL sent 9/18</t>
  </si>
  <si>
    <t>TTNU1730399</t>
  </si>
  <si>
    <t>EN#2069246-4; INV#SS1707122-N; OBL sent 9/15</t>
  </si>
  <si>
    <t>MRKU0125254</t>
  </si>
  <si>
    <t>AM GSG Candy A-61115L, A-61116S, A-61117, A-61150</t>
  </si>
  <si>
    <t>EN#2069155-7; INV#2085</t>
  </si>
  <si>
    <t>TEMU4776385</t>
  </si>
  <si>
    <t>Panax GSG Extm (Pine) / Red GSG R/Jelly / Panax GSG Extm (SS Box)</t>
  </si>
  <si>
    <t>EN#2069116-9; INV#2017TAT05; OBL sent 9/20</t>
  </si>
  <si>
    <t>TCLU9284082</t>
  </si>
  <si>
    <t>EN#2069646-5</t>
  </si>
  <si>
    <t>POP Instant Tea Latte 3 IN 1 / bulk</t>
  </si>
  <si>
    <t>9/25/17  New Livermore</t>
  </si>
  <si>
    <t>10/2 PL#5266715</t>
  </si>
  <si>
    <t>SN</t>
  </si>
  <si>
    <t>EN#2068710-0; INV#2017200146</t>
  </si>
  <si>
    <t>UACU5527671</t>
  </si>
  <si>
    <t>EN#2068508-8; INV#17NSS0334</t>
  </si>
  <si>
    <t>TCLU7320133</t>
  </si>
  <si>
    <t>EN#2070341-0</t>
  </si>
  <si>
    <t>9/21/17  New Livermore</t>
  </si>
  <si>
    <t>EN#2069690-3</t>
  </si>
  <si>
    <t>MSCU7636644</t>
  </si>
  <si>
    <t>Organic Green Tea / Organic Oolong Tea</t>
  </si>
  <si>
    <t>EN#2068253-1; INV#YD17-T10</t>
  </si>
  <si>
    <t>MRKU6271894</t>
  </si>
  <si>
    <t>EN#2069645-7</t>
  </si>
  <si>
    <t>NYKU4288661</t>
  </si>
  <si>
    <t>Ginger Candy; Ginger Chew Standing Pouch</t>
  </si>
  <si>
    <t>RUSH  9/18/17</t>
  </si>
  <si>
    <t>EN#2069117-7;</t>
  </si>
  <si>
    <t>9/13/17  New Livermore</t>
  </si>
  <si>
    <t>EN#2070290-9</t>
  </si>
  <si>
    <t>SEGU9106380</t>
  </si>
  <si>
    <t>EN#2070028-3</t>
  </si>
  <si>
    <t>CAIU3205285</t>
  </si>
  <si>
    <t>Am Gsg Chong Ji Instant Tea</t>
  </si>
  <si>
    <t>9/12/17  New Livermore</t>
  </si>
  <si>
    <t>EN#2068674-8; INV#2001013-17; OBL sent 8/22</t>
  </si>
  <si>
    <t>EMCU5341199</t>
  </si>
  <si>
    <t>EN#2069740-6</t>
  </si>
  <si>
    <t>DFSU1000230</t>
  </si>
  <si>
    <t>9/11/17   New Livermore</t>
  </si>
  <si>
    <t>EN#2068578-1; INV#SS1707121-N; OBL sent 8/29</t>
  </si>
  <si>
    <t>WHLU5432538</t>
  </si>
  <si>
    <t>EN#2068844-7; INV#17NSS0337</t>
  </si>
  <si>
    <t>OOLU6409858</t>
  </si>
  <si>
    <t>Package Box (Tibetan)</t>
  </si>
  <si>
    <t>9/25/17   New Livermore</t>
  </si>
  <si>
    <t>EN#2068630-0; INV#TRT-2017-002</t>
  </si>
  <si>
    <t>TCLU6521257</t>
  </si>
  <si>
    <t>EN#2068008-9; INV#17NSS0336; OBL sent 8/15</t>
  </si>
  <si>
    <t>TRHU2434556</t>
  </si>
  <si>
    <t xml:space="preserve">Korean Ginseng Tea / Young Ji Tea  </t>
  </si>
  <si>
    <t>EN#2068252-3</t>
  </si>
  <si>
    <t>SEGU4895623</t>
  </si>
  <si>
    <t>EN#2067507-1; OBL sent 8/7</t>
  </si>
  <si>
    <t>EN#2067240-9; OBL sent 8/7</t>
  </si>
  <si>
    <t>Red Ginseng Royal Jelly / Ultra Strength Red Panax Ginseng Extra</t>
  </si>
  <si>
    <t xml:space="preserve">RUSH  8/31/17 </t>
  </si>
  <si>
    <t>EN#2068166-5; INV#2017TAT04; OBL sent 8/23</t>
  </si>
  <si>
    <t>31425/31327</t>
  </si>
  <si>
    <t>KKFU7704381</t>
  </si>
  <si>
    <t>POPHK / Biscuit / Glass Bottle</t>
  </si>
  <si>
    <t>EN#2068485-9; Surrender</t>
  </si>
  <si>
    <t>PCIU8943063</t>
  </si>
  <si>
    <t>EN#2068509-6; INV#17NSS0335; OBL sent 8/22</t>
  </si>
  <si>
    <t>YNBY Toothpaste Probiotic</t>
  </si>
  <si>
    <t>RUSH  8/30/17</t>
  </si>
  <si>
    <t>10/2 PL#5266667</t>
  </si>
  <si>
    <t>EN#2068585-6; OBL sent 8/24</t>
  </si>
  <si>
    <t>BSIU2997265</t>
  </si>
  <si>
    <t xml:space="preserve">MyKuali Cup Noodle / Rice Vermicelli </t>
  </si>
  <si>
    <t>EN#2067387-8; INV#1707-00158</t>
  </si>
  <si>
    <t>DRYU4151970</t>
  </si>
  <si>
    <t>Ginger Mango Chews / Ginger Orange Chews</t>
  </si>
  <si>
    <t>EN#2067792-9</t>
  </si>
  <si>
    <t>TCLU4635707</t>
  </si>
  <si>
    <t>Red Panax Ginseng Ext / Ginkgo Biloba &amp; Red Panax Ginseng Extact / Ginkgo PLus w/ Eleuthero &amp; Tibetan Rhodiola / Am GSG with Roya Jelly &amp; Bee Pollen</t>
  </si>
  <si>
    <t>RUSH  8/31/17</t>
  </si>
  <si>
    <t>EN#2067512-1; INV#2001012-17</t>
  </si>
  <si>
    <t>NYKU5134824</t>
  </si>
  <si>
    <t>EN#2067928-9; OBL sent 8/7</t>
  </si>
  <si>
    <t>EGSU5017018</t>
  </si>
  <si>
    <t>Honey Loquat Pastilies</t>
  </si>
  <si>
    <t>EN#2068011-3</t>
  </si>
  <si>
    <t>EISU1762171</t>
  </si>
  <si>
    <t>10/2 PL#5266673</t>
  </si>
  <si>
    <t>EN#2067791-1</t>
  </si>
  <si>
    <t>URGENT  8/28/17</t>
  </si>
  <si>
    <t>EN#2066394-8; INV#1707-00080</t>
  </si>
  <si>
    <t>OOLU9564420</t>
  </si>
  <si>
    <t>Instant Tibetan Rhubarb Tea in Bulk</t>
  </si>
  <si>
    <t>INV#TRT-2017-001</t>
  </si>
  <si>
    <t>EN#2067243-3</t>
  </si>
  <si>
    <t>MRKU6217255</t>
  </si>
  <si>
    <t>Ginger Chew / Ginger Chew Lemon</t>
  </si>
  <si>
    <t>EN#2067933-9; OBL sent 8/7</t>
  </si>
  <si>
    <t>MSKU6609582</t>
  </si>
  <si>
    <t>Panax Ginseng Ext. / Red Ginseng Royal Jelly / Ultra Strength Red Panax Ginseng Ext.</t>
  </si>
  <si>
    <t>EN#2067341-5; INV#2017TAT03; OBL sent 8/7</t>
  </si>
  <si>
    <t>INKU6593965</t>
  </si>
  <si>
    <t>Organic Green Tea / Organic Green Tea / Organic Jasmine Tea / Organic Oolong Tea / Green Tea</t>
  </si>
  <si>
    <t>EN#2067036-1; INV#YD17-T05</t>
  </si>
  <si>
    <t>GESU5997570</t>
  </si>
  <si>
    <t>EN#2067402-5; INV#17NSS0333; OBL sent 8/1</t>
  </si>
  <si>
    <t>EN#2067241-7; OBL sent 8/7</t>
  </si>
  <si>
    <t>TCNU6617905</t>
  </si>
  <si>
    <t>Wing Wah Miscs / Saint Honore Printed Material &amp; Tins / POPHK Print Matter</t>
  </si>
  <si>
    <t>EN#2067745-7</t>
  </si>
  <si>
    <t>URGENT  8/14/17</t>
  </si>
  <si>
    <t>EN#2065998-4; T/R</t>
  </si>
  <si>
    <t>EN#2068364-6</t>
  </si>
  <si>
    <t>TCLU4446350</t>
  </si>
  <si>
    <t>Red Panax Ginseng Ext / Ginkgo Biloba &amp; Red Panax Ginseng Extact / Ginkgo PLus w/ Eleuthero &amp; Tibetan Rhodiola</t>
  </si>
  <si>
    <t>URGENT!    8/15/17</t>
  </si>
  <si>
    <t>EN#2067142-7; INV#2001011-17</t>
  </si>
  <si>
    <t>TEMU8865860</t>
  </si>
  <si>
    <t>URGENT!   8/8/17</t>
  </si>
  <si>
    <t>EN#2063836-6; INV#YD17-T08; OBL sent 7/10</t>
  </si>
  <si>
    <t>Korean Ginseng Tea / Young Ji Tea / Herbal Tea Infusion (Korean Red GSG Powder)</t>
  </si>
  <si>
    <t>EN#2067388-6; OBL sent 7/27</t>
  </si>
  <si>
    <t>GHC, GHC w/ AM GSG, GHC w/ Plum, GHC w/ Lemon</t>
  </si>
  <si>
    <t>EN#2066935-5; INV#17NSS0332</t>
  </si>
  <si>
    <t>HMCU1000622</t>
  </si>
  <si>
    <t>POP Ginger Candy - Lychee</t>
  </si>
  <si>
    <t>EN#2066625-2: OBL 7/17</t>
  </si>
  <si>
    <t>LTIU6012482</t>
  </si>
  <si>
    <t>POP Ginger Candy - Coffee</t>
  </si>
  <si>
    <t>EN#2066626-0; OBL 7/17</t>
  </si>
  <si>
    <t>SEGU5178231</t>
  </si>
  <si>
    <t>EN#2066218-6; OBL sent 6/27</t>
  </si>
  <si>
    <t>CAIU8945068</t>
  </si>
  <si>
    <t>Organic Oolong Tea / Green Tea / Oolong Tea / Ti Kuan Yin Tea</t>
  </si>
  <si>
    <t>EN#2066522-1; INV#YD17-T09; OBL sent 7/25</t>
  </si>
  <si>
    <t>TEMU6978580</t>
  </si>
  <si>
    <t>EN#2066936-3; INV#17NSS0331</t>
  </si>
  <si>
    <t>8/11 PL#5260296</t>
  </si>
  <si>
    <t>EN#2066517-1; T/R</t>
  </si>
  <si>
    <t>GESU4378673</t>
  </si>
  <si>
    <t>EN#2066227-7; INV#17NSS0330; OBL 7/11</t>
  </si>
  <si>
    <t>TCLU5956105</t>
  </si>
  <si>
    <t>EN#2066226-9; INV#17NSS0329; OBL 7/11</t>
  </si>
  <si>
    <t>TRLU9760526</t>
  </si>
  <si>
    <t>EN#2065877-0; EXPRESS B/L</t>
  </si>
  <si>
    <t>EGSU5015951</t>
  </si>
  <si>
    <t>Saint Honore Mooncake</t>
  </si>
  <si>
    <r>
      <rPr>
        <rFont val="Calibri"/>
        <color rgb="FF000000"/>
        <sz val="12.0"/>
      </rPr>
      <t>rel</t>
    </r>
    <r>
      <rPr>
        <rFont val="Calibri"/>
        <color rgb="FF000000"/>
        <sz val="12.0"/>
      </rPr>
      <t>eased</t>
    </r>
  </si>
  <si>
    <t>EN#2066335-8; OBL 7/20</t>
  </si>
  <si>
    <t>EMCU5373832</t>
  </si>
  <si>
    <t>7/28 PL#5258602</t>
  </si>
  <si>
    <t>EN#2066336-6; OBL 7/20</t>
  </si>
  <si>
    <t>EMCU5302295</t>
  </si>
  <si>
    <t>EN#2066334-1; OBL 7/20</t>
  </si>
  <si>
    <t>TCNU3231668</t>
  </si>
  <si>
    <t>720/17</t>
  </si>
  <si>
    <t>EN#2065284-9; OBL sent 6/27</t>
  </si>
  <si>
    <t>EN#2065283-1; OBL sent 7/14</t>
  </si>
  <si>
    <t>UACU5346328</t>
  </si>
  <si>
    <t>EN#2065395-3; INV#17NSS0328; OBL sent 6/27</t>
  </si>
  <si>
    <t>UACU5854421</t>
  </si>
  <si>
    <t>EN#2065394-6; INV#17NSS0327; OBL sent 6/27</t>
  </si>
  <si>
    <t>EISU9126941</t>
  </si>
  <si>
    <t>AM GSG RT-Alum Foil / Am GSG RT-Tag</t>
  </si>
  <si>
    <t>No FDA</t>
  </si>
  <si>
    <t xml:space="preserve">EN#2066131-1; Surrender; </t>
  </si>
  <si>
    <t>TCNU3629013</t>
  </si>
  <si>
    <t>EN#2065285-6; OBL sent 6/27</t>
  </si>
  <si>
    <t>Organic Green Tea / Organic Jasmine Tea / Organic Oolong Tea / Green Tea / Jasmine Tea / Oolong Tea / White Tea</t>
  </si>
  <si>
    <t>EN#2065447-2; INV#YD17-T04; OBL sent 6/27</t>
  </si>
  <si>
    <t>POP Instant Cappuccino 3 IN 1</t>
  </si>
  <si>
    <t>EN#2065509-9</t>
  </si>
  <si>
    <t>BEAU2267565</t>
  </si>
  <si>
    <t>EN#2065193-2; OBL sent 6/28</t>
  </si>
  <si>
    <t>BMOU9405505, BMOU9404197</t>
  </si>
  <si>
    <t>TWW Moon Cakes</t>
  </si>
  <si>
    <t>7/11 PL#5256607</t>
  </si>
  <si>
    <t>EN#2065282-3</t>
  </si>
  <si>
    <t>OOLU1407620</t>
  </si>
  <si>
    <t>EN#2065192-4; OBL sent 6/26</t>
  </si>
  <si>
    <t>MSKU5069411</t>
  </si>
  <si>
    <t>EN#2064741-9; INV##2001005-17; OBL sent 6/13</t>
  </si>
  <si>
    <t>MRKU4165105</t>
  </si>
  <si>
    <t>Organic Green Tea, Organic Jasmine Tea, Organic Oolong Tea, Organic White Tea</t>
  </si>
  <si>
    <t>EN#2064629-6; INV#YD17-T03; OBL sent 6/14</t>
  </si>
  <si>
    <t>GHC, GHC w/ Am GSG, GHC w/ Plum, Dong Quai &amp; Red Date Tea, Dark Brown Sugar GHC</t>
  </si>
  <si>
    <t>RUSH  7/7/17</t>
  </si>
  <si>
    <t>EN#2064847-4; INV#17NSS0326; OBL sent 6/21</t>
  </si>
  <si>
    <t>NYKU4245926</t>
  </si>
  <si>
    <t>Ginger Chews / Ginger Chews w/ Lemon</t>
  </si>
  <si>
    <t>EN#2064344-2; OBL sent 6/14</t>
  </si>
  <si>
    <t>NYKU5126808</t>
  </si>
  <si>
    <t>EN#2064345-9; OBL sent 6/14</t>
  </si>
  <si>
    <t>Organic Green Tea / Organic Jasmine Tea / Organic Oolong Tea / Organic White Tea / Organic Black Tea / Organic Mao Feng Tea</t>
  </si>
  <si>
    <t>7/6 PL#5253616</t>
  </si>
  <si>
    <t>EN#2064729-4; INV##17TM017; OBL sent 6/20</t>
  </si>
  <si>
    <t>EN#2064585-0; INV#2082; T/R</t>
  </si>
  <si>
    <t>MRKU6109780</t>
  </si>
  <si>
    <t>Ginger original Chews / Ginger Lemon Chews / POP Ginger Candy</t>
  </si>
  <si>
    <t>EN#2064290-7; OBL sent 6/14</t>
  </si>
  <si>
    <t>GESU5696730</t>
  </si>
  <si>
    <t>EN#2064270-9; INV#17NSS0322; OBL sent 6/4</t>
  </si>
  <si>
    <t>CCLU4486253</t>
  </si>
  <si>
    <t>Red Panax Ginseng Extract / Ginkgo Biloba &amp; Red Panax Ginseng Extact / Ultra Ginkgo Plus w/ Eleuthero &amp; Tibetan Rdoliola / Am Ginseng w/ Royal Jelly &amp; Bee Pollen / Ultra Joint Health Liquid Extract</t>
  </si>
  <si>
    <t>EN#2064161-0; INV#2001010-17; OBL sent 6/7</t>
  </si>
  <si>
    <t>APHU6408022</t>
  </si>
  <si>
    <t>New Zealand Honey</t>
  </si>
  <si>
    <t>6/22-23/17</t>
  </si>
  <si>
    <t>EN#2064463-0; Express Release</t>
  </si>
  <si>
    <t>BMOU3028209</t>
  </si>
  <si>
    <t>RUSH  6/21/17</t>
  </si>
  <si>
    <t>6/28 PL#5255069</t>
  </si>
  <si>
    <t>EN#2064160-2; INV#2001009-17; OBL sent 6/6</t>
  </si>
  <si>
    <t>Panax Gsg Extm / Red Gsg R/Jelly / Goji On The Go</t>
  </si>
  <si>
    <t>RUSH  6/22/17</t>
  </si>
  <si>
    <t>EN#2064291-5; INV#2017TAT02; OBL sent 6/20</t>
  </si>
  <si>
    <t>MSKU6326010</t>
  </si>
  <si>
    <t>EN# 2063560-4; T/R</t>
  </si>
  <si>
    <t>GESU3433170</t>
  </si>
  <si>
    <t>EN#2064099-2; OBL sent 5/26</t>
  </si>
  <si>
    <t>EN#2063977-0; T/R</t>
  </si>
  <si>
    <t>BMOU4716891</t>
  </si>
  <si>
    <t>GHC, GHC w/ Lemon</t>
  </si>
  <si>
    <t>EN#2063878-0; INV#17NSS0323; OBL sent 6/1</t>
  </si>
  <si>
    <t>TCLU6699887</t>
  </si>
  <si>
    <t>EN#2063879-8; INV#17NSS0324; OBL sent 6/1</t>
  </si>
  <si>
    <t>DFSU7656988</t>
  </si>
  <si>
    <t>EN#2064271-7; INV#17NSS0325; OBL sent 6/6</t>
  </si>
  <si>
    <t>UACU3412499</t>
  </si>
  <si>
    <t>EN#2063783-2; OBL sent 6/2</t>
  </si>
  <si>
    <t>NYKU4290144</t>
  </si>
  <si>
    <t>EN#2064089-3; OBL sent 5/31</t>
  </si>
  <si>
    <t>MyKuali Noodle Cup / Vermicelli Bowl</t>
  </si>
  <si>
    <t>6/13 #5253171</t>
  </si>
  <si>
    <t>EN#2062864-1; INV#1704-00163</t>
  </si>
  <si>
    <t>EN#2063617-2; INV#17NSS0321; OBL sent 5/24</t>
  </si>
  <si>
    <t>CCLU1030383</t>
  </si>
  <si>
    <t>Gogi berry(Zheng Cao Tang)</t>
  </si>
  <si>
    <t>YMLU8542589</t>
  </si>
  <si>
    <t>EN#2062616-5; OBL sent 5/11</t>
  </si>
  <si>
    <t>MAGU5258836</t>
  </si>
  <si>
    <t>EN#2062659-5; INV#17NSS0319; OBL sent 5/2</t>
  </si>
  <si>
    <t>MSKU3419531</t>
  </si>
  <si>
    <t>EN#2063168-6; INV#2079; T/R</t>
  </si>
  <si>
    <t>TRHU3905373</t>
  </si>
  <si>
    <t>Panax Ginseng Ext 30' / Goji On The Go 30'</t>
  </si>
  <si>
    <t>5/30/17    RUSH</t>
  </si>
  <si>
    <t>6/8 PL#5247836</t>
  </si>
  <si>
    <t>EN#2063083-7; INV#2017TAT001; OBL sent 5/22</t>
  </si>
  <si>
    <t>TEMU0682159</t>
  </si>
  <si>
    <t>EN#2062360-0; INV#1704-00114; Customs placed back on hold, DIS 5/19; The container is still waiting for exam at East Coast Whse, not touched yet 5/26</t>
  </si>
  <si>
    <t>BMOU5771168</t>
  </si>
  <si>
    <t>EN#2061611-7; INV#031/EXP-POP/III/17; T/R</t>
  </si>
  <si>
    <t>TCLU7937995`</t>
  </si>
  <si>
    <t>5/24/17    RUSH</t>
  </si>
  <si>
    <t>EN#2062183-6; INV#2001006-17</t>
  </si>
  <si>
    <t>TCNU9622438</t>
  </si>
  <si>
    <t>EN#2062615-7; OBL sent 5/11</t>
  </si>
  <si>
    <t>OOLU0130640</t>
  </si>
  <si>
    <t>EN#2062658-7; INV#2001004-17; OBL sent 5/10</t>
  </si>
  <si>
    <t>EN#2062359-2; INV#057; OBL sent 5/11</t>
  </si>
  <si>
    <t>TCLU7897043</t>
  </si>
  <si>
    <t>EN#2062435-0; INV# 17NSS0318; OBL sent 5/2</t>
  </si>
  <si>
    <r>
      <rPr>
        <rFont val="arial, sans, sans-serif"/>
        <color rgb="FF000000"/>
        <sz val="10.0"/>
      </rPr>
      <t xml:space="preserve">EN#2062129-9;  Arrived at the warehouse still waiting for FDA Review 5/26/17; FDA notice #1 still pending 5/30; </t>
    </r>
    <r>
      <rPr>
        <rFont val="arial, sans, sans-serif"/>
        <color rgb="FFFF0000"/>
        <sz val="10.0"/>
      </rPr>
      <t>FDA violation, need to respond by 6/19</t>
    </r>
  </si>
  <si>
    <t>CAIU9447075</t>
  </si>
  <si>
    <t>EN#2063082-9; OBL sent 5/11</t>
  </si>
  <si>
    <t>NYKU4961643</t>
  </si>
  <si>
    <t>EN#2062019-2; OBL sent 5/11</t>
  </si>
  <si>
    <t>TCNU4063110</t>
  </si>
  <si>
    <t>5/17/17   RUSH</t>
  </si>
  <si>
    <t>EN#2062834-4; INV#17NSS0320; OBL sent 5/10</t>
  </si>
  <si>
    <t>TCNU4160390</t>
  </si>
  <si>
    <t>Organic Oolong Tea</t>
  </si>
  <si>
    <t>5/18/17    RUSH</t>
  </si>
  <si>
    <t>EN#2062358-4; INV#YD17-T07; OBL sent 5/8</t>
  </si>
  <si>
    <t>MORU1303396</t>
  </si>
  <si>
    <t>EN#2062289-1; INV# CZ175S013</t>
  </si>
  <si>
    <t>KKFU7775960</t>
  </si>
  <si>
    <t>EN#2062071-3; INV#17NSS0316; OBL sent 4/25</t>
  </si>
  <si>
    <t>TGHU0047664</t>
  </si>
  <si>
    <t>MyKuali Penang Spicy Prawn Soup Noodle / Red Tom Yum Goong Noodle / White Curry Noodle</t>
  </si>
  <si>
    <t>5/12/17    RUSH</t>
  </si>
  <si>
    <t>EN#2061448-4; INV#1703-00207</t>
  </si>
  <si>
    <t>5/16/17    RUSH</t>
  </si>
  <si>
    <t>EN#2062182-8; INV#2001007-17; OBL sent 5/1</t>
  </si>
  <si>
    <t>TCLU7746690</t>
  </si>
  <si>
    <t>EN#2060989-8; INV#Pl014; OBL sent 4/6</t>
  </si>
  <si>
    <t>DRYU4151939</t>
  </si>
  <si>
    <t>Ginger Orange Chew</t>
  </si>
  <si>
    <t>5/4/17  RUSH</t>
  </si>
  <si>
    <t>EN#2061273-6; INV#027/EXP-POP/III/17</t>
  </si>
  <si>
    <t>United Biscuits (McVities Digestive)</t>
  </si>
  <si>
    <t>EN#2061222-3; wrong destination; reroute back to LA</t>
  </si>
  <si>
    <t>GHC / GHC w/ Am Ginseng / GHC w/ Plum / Dong Quai &amp; Red Date Tea / Dark Brown Sugar GHC</t>
  </si>
  <si>
    <t>EN#2062073-9; INV#17NSS0317; OBL sent 4/25</t>
  </si>
  <si>
    <t>EN#2060988-0; OBL sent 4/13</t>
  </si>
  <si>
    <t>EITU0287450</t>
  </si>
  <si>
    <t>EN#2062123-2; INV#170027</t>
  </si>
  <si>
    <t>Am GSG Instant Tea / Instant Wild Am GSG Tea / Aluminum Film</t>
  </si>
  <si>
    <t>EN#2061238-9; Order#2001003-17; OBL sent 4/20; Notify FDA for exam after Thursday 5/8; FDA Released 5/15</t>
  </si>
  <si>
    <t>BSIU9861542</t>
  </si>
  <si>
    <t>5/1/17  RUSH</t>
  </si>
  <si>
    <t>EN#2061442-7; INV#17NSS0315; OBL sent 4/14</t>
  </si>
  <si>
    <t>KKFU8120891</t>
  </si>
  <si>
    <t>EN#2061443-5; INV#17NSS0314; OBL sent 4/14</t>
  </si>
  <si>
    <t>EN#2061328-8; INV#YD17-T06; OBL sent 4/6</t>
  </si>
  <si>
    <t>NYKU0829367</t>
  </si>
  <si>
    <t>4/28/17  RUSH</t>
  </si>
  <si>
    <t>EN#2062011-9; OBL sent 4/13</t>
  </si>
  <si>
    <t>NYKU5201408</t>
  </si>
  <si>
    <t>4/24/17  RUSH</t>
  </si>
  <si>
    <t>EN#2060997-1; INV#Pl011; OBL sent 4/6</t>
  </si>
  <si>
    <t>MRKU6241652</t>
  </si>
  <si>
    <t>EN#2060996-3; INV#Pl010; OBL sent 4/6</t>
  </si>
  <si>
    <t>MSKU3044369</t>
  </si>
  <si>
    <t>EN#2060369-3</t>
  </si>
  <si>
    <t>NYKU5196390</t>
  </si>
  <si>
    <t xml:space="preserve">EN#2061525-9; </t>
  </si>
  <si>
    <t>MSKU6735810</t>
  </si>
  <si>
    <t>Red Panax Ginseng Extractum / Ginkgo Biloba &amp; Red Panax Ginseng Extact / Ultra Ginkgo Plus w/ Eleuthero &amp; Rdodiola / Am Gsg with Royal Jelly &amp; Bee Pollen</t>
  </si>
  <si>
    <t>EN#2060385-9; INV#2001002-17; OBL sent 3/31</t>
  </si>
  <si>
    <t>EN#2060937-7; INV#SS1701004-N; OBL sent 4/4</t>
  </si>
  <si>
    <t>WHLU0575855</t>
  </si>
  <si>
    <t>YNBY Toothpaste Whitening / YNBY Toothpaste Mint</t>
  </si>
  <si>
    <t>4/18 PL#5246585</t>
  </si>
  <si>
    <t>EN#2060951-8; INV#YNBYME0000027; OBL sent 4/10</t>
  </si>
  <si>
    <t>PCIU8594260</t>
  </si>
  <si>
    <t>Organic Green Tea / Organic Jasmine Tea / Organic Oolong Tea / Oganic Oolong Tea / Oolong Tea</t>
  </si>
  <si>
    <t>4/11/17  RUSH</t>
  </si>
  <si>
    <t>EN#2060722-3; INV#YD17-T02; OBL sent 3/31</t>
  </si>
  <si>
    <t>MSKU9862260</t>
  </si>
  <si>
    <t>EN#2060141-6; INV#YD17-T01; OBL sent 3/21</t>
  </si>
  <si>
    <t>MRKU0400783</t>
  </si>
  <si>
    <t>Am Ginseng Instant Tea / Instant Wild American Ginseng Tea</t>
  </si>
  <si>
    <t>EN#2060331-3; INV#2001001-17; OBL set 3/23</t>
  </si>
  <si>
    <t>MRKU3201321</t>
  </si>
  <si>
    <t>EN#2060953-4; INV#2078-1</t>
  </si>
  <si>
    <t>Instant Tea Latte 3 in 1</t>
  </si>
  <si>
    <t>5/1  PL#5241433</t>
  </si>
  <si>
    <t>EN#2060186-1; INV#2017200002</t>
  </si>
  <si>
    <t>NYKU5170652</t>
  </si>
  <si>
    <t>Ginger Lemon Chews</t>
  </si>
  <si>
    <t>EN#2060184-6; INV#Pl 119; OBL sent 3/21</t>
  </si>
  <si>
    <t>WHSU5025841</t>
  </si>
  <si>
    <t>EN#2060780-1; INV #17NSS0313; OBL sent 4/4</t>
  </si>
  <si>
    <t>GCNU1219470</t>
  </si>
  <si>
    <t>United Biscuits</t>
  </si>
  <si>
    <t>EN#2061166-2;</t>
  </si>
  <si>
    <t>TCNU5852978</t>
  </si>
  <si>
    <t>EN#2059732-5; INV#BP17NSS0311; OBL sent 3/8</t>
  </si>
  <si>
    <t>MSKU9672790</t>
  </si>
  <si>
    <t>4/4/17 (URGENT)</t>
  </si>
  <si>
    <t>EN#2059828-1; INV#2076; T/R</t>
  </si>
  <si>
    <t>WHLU5415335</t>
  </si>
  <si>
    <t>Ginger Honey Crystals w/ Lemon</t>
  </si>
  <si>
    <t>EN#2060384-2; INV#17NSS0312; OBL sent 3/23</t>
  </si>
  <si>
    <t>UACU5634242</t>
  </si>
  <si>
    <t>EN#2059776-2; INV#BP17NSS0310; OBL sent 3/8</t>
  </si>
  <si>
    <t>GHC w/ Lemon / GHC w/ Am. GSG / CHC w/ Plum / Dong Quai &amp; Red Date Tea'</t>
  </si>
  <si>
    <r>
      <rPr>
        <rFont val="arial, sans, sans-serif"/>
        <color rgb="FF000000"/>
        <sz val="10.0"/>
      </rPr>
      <t xml:space="preserve">4/3/17 </t>
    </r>
    <r>
      <rPr>
        <rFont val="arial, sans, sans-serif"/>
        <color rgb="FFFF0000"/>
        <sz val="10.0"/>
      </rPr>
      <t>(URGENT)</t>
    </r>
  </si>
  <si>
    <t>EN#2060195-2; INV#17NSS0308; Surrender</t>
  </si>
  <si>
    <t>Organic Green Tea / Organic Oolong / Organic Black Tea / Dragon Well Green Tea / Pl Luo Chun Green Tea / Jasmine Green Tea / Peony White Tea / PuErh Blk Tea / Golden Monkey Blk Tea</t>
  </si>
  <si>
    <r>
      <rPr>
        <rFont val="arial, sans, sans-serif"/>
        <color rgb="FF000000"/>
        <sz val="10.0"/>
      </rPr>
      <t xml:space="preserve">3/28/17 </t>
    </r>
    <r>
      <rPr>
        <rFont val="arial, sans, sans-serif"/>
        <color rgb="FFFF0000"/>
        <sz val="10.0"/>
      </rPr>
      <t>(URGENT)</t>
    </r>
  </si>
  <si>
    <t>EN#2060008-7; INV#17TM004; OBL sent 3/13</t>
  </si>
  <si>
    <t>30830 / 30757 / NS2214 / NS2248 / NS2279 / NS2253 / 30917</t>
  </si>
  <si>
    <t>SZLU9083441</t>
  </si>
  <si>
    <t>Soup Bags / Labels / Slicing Machine / Cutter / zhong guai Tea / Books</t>
  </si>
  <si>
    <r>
      <rPr>
        <rFont val="arial, sans, sans-serif"/>
        <color rgb="FF000000"/>
        <sz val="10.0"/>
      </rPr>
      <t xml:space="preserve">3/28/17 </t>
    </r>
    <r>
      <rPr>
        <rFont val="arial, sans, sans-serif"/>
        <color rgb="FFFF0000"/>
        <sz val="10.0"/>
      </rPr>
      <t>(URGENT)</t>
    </r>
  </si>
  <si>
    <t>EN#2059877-8; Surrender; Bobac for exam 3/20</t>
  </si>
  <si>
    <t>Korean Ginseng Tea / Korean Red GSG Powder</t>
  </si>
  <si>
    <t>EN#2060185-3; OBL sent 3/13</t>
  </si>
  <si>
    <t>OOLU6469311</t>
  </si>
  <si>
    <r>
      <rPr>
        <rFont val="Calibri"/>
        <color rgb="FF000000"/>
        <sz val="10.0"/>
      </rPr>
      <t xml:space="preserve">EN#2059679-8; PO#SI/001A/PGSWM/2017; Custom Xray Exam hold 3/16; </t>
    </r>
    <r>
      <rPr>
        <rFont val="Calibri"/>
        <color rgb="FFFF0000"/>
        <sz val="10.0"/>
      </rPr>
      <t>ETA to Oak CFS warehouse 3/27</t>
    </r>
  </si>
  <si>
    <t>POP Ginger Candy</t>
  </si>
  <si>
    <t>EN#2059239-1; OBL sent 2/28</t>
  </si>
  <si>
    <t>NYKU4322175</t>
  </si>
  <si>
    <t>EN#2059241-7; OBL sent 2/28</t>
  </si>
  <si>
    <t>NYKU0732417</t>
  </si>
  <si>
    <t>EN#2059240-9; OBL sent 2/28</t>
  </si>
  <si>
    <t>HDMU6711250</t>
  </si>
  <si>
    <t>Linglang Glass bottle</t>
  </si>
  <si>
    <t>EN#2059351-4; PO#170210</t>
  </si>
  <si>
    <t>WHLU5486600</t>
  </si>
  <si>
    <t>EN#2059548-5; INV#BP17NSS0309; OBL sent 2/28</t>
  </si>
  <si>
    <t>GLDU9344409</t>
  </si>
  <si>
    <t xml:space="preserve">Ginger original Chews </t>
  </si>
  <si>
    <t>EN#2059242-5; OBL sent 2/28</t>
  </si>
  <si>
    <t>UACU3368312</t>
  </si>
  <si>
    <t>EN#2058867-0; ORDER#SS1701005-N; OBL sent 3/1</t>
  </si>
  <si>
    <t>SEGU5187737</t>
  </si>
  <si>
    <t>Ginger Original Chews</t>
  </si>
  <si>
    <t>EN#2059266-4; OBL sent 2/10</t>
  </si>
  <si>
    <t>FCIU8606524</t>
  </si>
  <si>
    <t>EN#2058897-7; ORDER #17NSS0307; OBL sent 2/15</t>
  </si>
  <si>
    <t>MRKU0156492</t>
  </si>
  <si>
    <t>Panax Ginseng Extract/ Red Ginseng Extract/ Red Ginseng Royal Jelly / Ultra Strength Red Panax Ginseng Extract / Goji on the go</t>
  </si>
  <si>
    <t>EN#2058435-6; INV#2016TAT06; OBL sent 2/21</t>
  </si>
  <si>
    <t>YMLU8696835</t>
  </si>
  <si>
    <t>GHC with Lemon / GHC with American Ginseng</t>
  </si>
  <si>
    <t>EN#2058446-3; ORDER#17NSS0304; Surrender</t>
  </si>
  <si>
    <t>TCNU4697012</t>
  </si>
  <si>
    <t>3/7  PL#5241380</t>
  </si>
  <si>
    <t>EN#2058412-5; INV#Pl158; OBL sent 2/10</t>
  </si>
  <si>
    <t>WHLU5663440</t>
  </si>
  <si>
    <t>EN#2058441-4; ORDER#17NSS0305; OBL sent 2/15</t>
  </si>
  <si>
    <t>YMMU6111170</t>
  </si>
  <si>
    <t>EN#2058913-2; OBL sent 2/10</t>
  </si>
  <si>
    <t>EMCU5365842</t>
  </si>
  <si>
    <t>Am GSG RT-Alum Foil / Am GSG RT-Tag</t>
  </si>
  <si>
    <t>EN#2058961-1</t>
  </si>
  <si>
    <t>EN#2058524-7; T/R</t>
  </si>
  <si>
    <t>SUDU4948596</t>
  </si>
  <si>
    <t>EN#2058442-2; ORDER#17NSS0306; OBL sent 21/</t>
  </si>
  <si>
    <t>Am Gsg Instant Tea+Ban Lan Gen</t>
  </si>
  <si>
    <t>EN#2057923-2;ORDER#2001025-16; OBL sent 1/27; Transfer to BOBAC for Exam 2/2</t>
  </si>
  <si>
    <t>En#2059003-1</t>
  </si>
  <si>
    <t>NYKU3817333</t>
  </si>
  <si>
    <t>EN#2058217-8;</t>
  </si>
  <si>
    <t>PONU1908111</t>
  </si>
  <si>
    <t>EN#2057090-0; Order#2073</t>
  </si>
  <si>
    <t>DFSU7817613</t>
  </si>
  <si>
    <t>GHC(D-04010/D-04011/Fluaid paper box)</t>
  </si>
  <si>
    <t>EN#2057701-2; ORDER#17NSS0303; OBL sent 1/19</t>
  </si>
  <si>
    <t>TCKU3010364</t>
  </si>
  <si>
    <t>Instant Vietnamese Coffee 3 IN 1 / Instant Cappuccino 3 IN 1</t>
  </si>
  <si>
    <t>EN#2057418-3</t>
  </si>
  <si>
    <t>POP POLAND Cookies</t>
  </si>
  <si>
    <t>2/8   PL#5238157</t>
  </si>
  <si>
    <t>EN#2057019-9; INV#27/FEE/2016/11; OBL sent 1/12</t>
  </si>
  <si>
    <t>CAIU8112056</t>
  </si>
  <si>
    <t>EN#2057104-7; INV#17NSS0302; OBL sent 1/6</t>
  </si>
  <si>
    <t>OOLU1503990</t>
  </si>
  <si>
    <t>EN#2056997-7; INV#US-161201; LFA 1/13</t>
  </si>
  <si>
    <t>POP Honey Loquat Candy</t>
  </si>
  <si>
    <t xml:space="preserve">EN#2057280-7; </t>
  </si>
  <si>
    <t>EN#2056294-9; INV#1612-00044</t>
  </si>
  <si>
    <t>Organic Green Tea / Organic Jasmine Tea / Organic Oolong Tea</t>
  </si>
  <si>
    <t>EN#2056891-2; INV#YD16-T26; OBL sent 1/11</t>
  </si>
  <si>
    <t>XINU1105218</t>
  </si>
  <si>
    <t>-------</t>
  </si>
  <si>
    <t>EN#2057278-1; PO#160131</t>
  </si>
  <si>
    <t>WHLU5782006</t>
  </si>
  <si>
    <t>EN#2057048-8; INV#BP17NSS0301; OBL sent 1/6; X-Ray Exam 1/12; LFD 1/19</t>
  </si>
  <si>
    <t>EITU1024886</t>
  </si>
  <si>
    <t>POP Honey Loquat Pastilles</t>
  </si>
  <si>
    <t>------</t>
  </si>
  <si>
    <t>EN#2057007-4; INV#20161214; Hold for X-Ray Exam</t>
  </si>
  <si>
    <t>Panax Ginseng Extract/ Red Ginseng Extract/ Red Ginseng Royal Jelly</t>
  </si>
  <si>
    <t>EN#2056296-4; INV#2016TAT05</t>
  </si>
  <si>
    <t>DRYU3010330</t>
  </si>
  <si>
    <t>EN#2056232-9; INV#2001024-16; OBL sent 12/23</t>
  </si>
  <si>
    <t>Red Panax Ginseng Extractum / Beijing Royal Jelly w/ Bee Pollen / Ultra Ginkgo Plus w/ Eleuthero &amp; Rdodiola</t>
  </si>
  <si>
    <t>EN#2056438-2; INV#2001022-16; OBL sent 1/6; CUSTOM EXAM 1/19; EXAM move to Alameda 1/24</t>
  </si>
  <si>
    <t>TCNU6059948</t>
  </si>
  <si>
    <t>EN#2055827-7; OBL sent 12/12</t>
  </si>
  <si>
    <t>APZU4740766</t>
  </si>
  <si>
    <t>Red Panax Ginseng Ext, Am Ginseny w/ Royal Jelly, Ginkgo Biloba</t>
  </si>
  <si>
    <t>EN#2055821-0; INV#2001023-16; OBL sent 12/15; FDA for Exam / Sample</t>
  </si>
  <si>
    <t>MSKU1564947</t>
  </si>
  <si>
    <t>EN#2055732-9; INV#YD16-T24; OBL sent 12/7</t>
  </si>
  <si>
    <t>MSKU6619240</t>
  </si>
  <si>
    <t>EN#2055823-6; INV#2001021-16; OBL sent 12/13</t>
  </si>
  <si>
    <t>TEMU8606962</t>
  </si>
  <si>
    <t>EN#2057055-3; 12/20 OBL sent</t>
  </si>
  <si>
    <t>DFSU6951314</t>
  </si>
  <si>
    <t>EN#2056053-9; INV#16NSS0340; OBL sent 12/15</t>
  </si>
  <si>
    <t>FSCU9317274</t>
  </si>
  <si>
    <t>EN#2056054-7; INV#16NSS0341; OBL sent 12/15</t>
  </si>
  <si>
    <t>CMAU0386794</t>
  </si>
  <si>
    <t>Clover Honey 500m</t>
  </si>
  <si>
    <t>EN#2055820-2; INV#183398</t>
  </si>
  <si>
    <t>EITU1659969</t>
  </si>
  <si>
    <t>Kuan Yuan Lian</t>
  </si>
  <si>
    <t xml:space="preserve">EN#2056233-7; </t>
  </si>
  <si>
    <t>OOLU0185642</t>
  </si>
  <si>
    <t>EN#2055822-8; Order#PI16-69; PO#30887; OBL sent 12/7</t>
  </si>
  <si>
    <t>OOLU9705323</t>
  </si>
  <si>
    <t>Tiger Balm White / Red / Ointment</t>
  </si>
  <si>
    <t>EN#2055232-0; Order#PI16-74; PO#30861 OBL sent 11/28</t>
  </si>
  <si>
    <t>TCLU4142803</t>
  </si>
  <si>
    <t>EN#2055231-2; Order#PI16-68; PO#30862 OBL sent 11/30</t>
  </si>
  <si>
    <t>OOLU4422383</t>
  </si>
  <si>
    <t>Tiger Balm White / Red / Ultra Strength Ointment</t>
  </si>
  <si>
    <t>EN#2054999-5; Order#PI16-74; PO#30859 OBL sent 11/25</t>
  </si>
  <si>
    <t>TEMU7898690</t>
  </si>
  <si>
    <t>Tiger Liniment / Kwan Loong Oil / Patch</t>
  </si>
  <si>
    <t>EN#2056250-1; PO#30858 Order#PI16-74, PI16-75 &amp; PI16-67; OBL sent 11/25</t>
  </si>
  <si>
    <t>OOLU7616295 OOLU7679014</t>
  </si>
  <si>
    <t>Tiger Balm Liniment / Patch</t>
  </si>
  <si>
    <t>EN#2054998-7; PO#30860; Order#PI16-74 &amp; PI16-67; OBL sent 11/25</t>
  </si>
  <si>
    <t>TGHU4636929</t>
  </si>
  <si>
    <t>USA Tiger Balm Relieving Patch</t>
  </si>
  <si>
    <t>EN#2054474-9; PO#30812; OBL sent 11/8</t>
  </si>
  <si>
    <t>OOLU8169150</t>
  </si>
  <si>
    <t>USA MMD Tiger Balm Pain 10GM Ultra</t>
  </si>
  <si>
    <t>EN#2054475-6; PO#30818; OBL sent 11/10; D/O 11/23</t>
  </si>
  <si>
    <t>APZU4744165</t>
  </si>
  <si>
    <t>Tiger Liniment, Kwan Loong Oil, Patch</t>
  </si>
  <si>
    <t>EN#2054332-9; PO#30817; OBL sent 11/7; 7:08am-8:59am additional 1hr $55.00</t>
  </si>
  <si>
    <t>OOLU9039192</t>
  </si>
  <si>
    <t>EN#2054193-5; PO#30809; OBL sent 11/8; Rush Order by Heidi 11/28</t>
  </si>
  <si>
    <t>OOLU4348265, OOLU1514233</t>
  </si>
  <si>
    <t>Tiger Balm Patch, Kwan Loong Oil, Tiger Liniment</t>
  </si>
  <si>
    <t>EN#2054333-4; PO#30811; OBL sent 11/7; D/O 11/17</t>
  </si>
  <si>
    <t>OOLU4402875</t>
  </si>
  <si>
    <t>Tiger Balm White/Red/ Ointment</t>
  </si>
  <si>
    <t>EN#2053994-7; PO#30808; OBL sent 11/7;  FDA exam/sample needed 11/17; D/O 11/17</t>
  </si>
  <si>
    <t>CIIU5002339</t>
  </si>
  <si>
    <t>EN#2054331-1; PO#30810; Customs hold for DEA permit 11/21; Custom released 11/22</t>
  </si>
  <si>
    <t>OOLU4341213</t>
  </si>
  <si>
    <t>Tiger Balm White/Red / Ointment</t>
  </si>
  <si>
    <t>EN#2053948-3; PO#30788; OBL sent 11/8; D/O 11/22</t>
  </si>
  <si>
    <t>OOLU3704588</t>
  </si>
  <si>
    <t>EN#2053949-1; PO#30787; OBL sent 11/9</t>
  </si>
  <si>
    <t>OOLU4286203</t>
  </si>
  <si>
    <t>Tiger Liniment / Kwan Loong Oil</t>
  </si>
  <si>
    <t>EN#2054194-3; PO#30816; FDA Docs Review hold, DIS 11/15</t>
  </si>
  <si>
    <t>TCLU3317173</t>
  </si>
  <si>
    <t>neck &amp; Shoulder Rubs 50G</t>
  </si>
  <si>
    <t>EN#2053134-0; PO#30717; OBL sent 10/18</t>
  </si>
  <si>
    <t>BMOU2979420</t>
  </si>
  <si>
    <t>Tiger Balm White Red 18g Ethinic, Ultra Strength TB 18g and 50g</t>
  </si>
  <si>
    <t>EN#2051322-3 PO#30614 Hanjin OBL sent 9/2; 10/12 - vessel changed new ETA 10/31;  10/7-vessel &amp; mbl changed to Hyundai Merchant; ETA: 10/25; 11/2 Custom released</t>
  </si>
  <si>
    <t>OOLU7811446 (LCL)</t>
  </si>
  <si>
    <t>Muscle Rub Cream 57g</t>
  </si>
  <si>
    <t>EN#2052958-3; PO #30703; OBL sent 10/12</t>
  </si>
  <si>
    <t>DFSU2274299</t>
  </si>
  <si>
    <t>Tiger Balm White/Red 18g Ethinic, Ultra Strength TB 18g and 50g</t>
  </si>
  <si>
    <t>EN#2052853-6; PO #30702; OBL sent 10/4; 11/2 Custom released LFD: 11/7</t>
  </si>
  <si>
    <t>OOLU7961394</t>
  </si>
  <si>
    <t>Tiger Balm Ethnic White and Red 18g + Ultra Strength50g + White Red 4g</t>
  </si>
  <si>
    <t>EN#2052678-7; PO #30701; OBL sent 10/4; Customs Docs review 10/21; rejected 10/24, need DEA or FDA permits and ingredient lists; 10/31 Custom released</t>
  </si>
  <si>
    <t>APZU3401860, APZU4388207</t>
  </si>
  <si>
    <t>Tiger Balm patch</t>
  </si>
  <si>
    <t>EN#2052677-9; PO #30696; OBL sent 10/4; Customs Docs review 10/18; Customs placed back on hold, will advise once we get release again 10/25; Custom released 10/26</t>
  </si>
  <si>
    <t>OOLU8844026</t>
  </si>
  <si>
    <t>EN#2052529-2; PO#30684; OBL sent 10/4; Customs hold docs review 10/17</t>
  </si>
  <si>
    <t>HJCU2315268</t>
  </si>
  <si>
    <t>Kwan Loong Oil and Tiger Balm Patch</t>
  </si>
  <si>
    <t xml:space="preserve">EN#2051263-9  PO#30612 Hanijn; OBL sent 8/30; </t>
  </si>
  <si>
    <t>OOLU7742971 + OOLU7720150 (2X40')</t>
  </si>
  <si>
    <t>EN#2052679-5; PO #30699; OBL sent 10/4; Customs hold docs review 10/17</t>
  </si>
  <si>
    <t>HJCU4094947  +  HJCU4926029</t>
  </si>
  <si>
    <t xml:space="preserve">EN#2051262-1  PO#30610  Hanjin OBL sent 8/30; </t>
  </si>
  <si>
    <t>OOLU7759167</t>
  </si>
  <si>
    <t>EN#2051151-6  PO#30608; 9/30:Driver incurred pier waiting time of ½ hour..</t>
  </si>
  <si>
    <t>HLBU1530165</t>
  </si>
  <si>
    <t>Pain Relieving Patch</t>
  </si>
  <si>
    <t>EN#2051268-8  PO#30609</t>
  </si>
  <si>
    <t>TCLU7240486</t>
  </si>
  <si>
    <t>EN#2051265-4  PO#30607</t>
  </si>
  <si>
    <t>OOLU7732947</t>
  </si>
  <si>
    <t>Tiger Balm Red White Ethnic, Red White, Ultra</t>
  </si>
  <si>
    <t>EN#2051266-2 PO#30613</t>
  </si>
  <si>
    <t>OOLU7450481 + OOLU4492544</t>
  </si>
  <si>
    <t>Tiger Liniment and Patch</t>
  </si>
  <si>
    <t>EN#2051152-4  PO#30605</t>
  </si>
  <si>
    <t>OOLU0306364</t>
  </si>
  <si>
    <r>
      <rPr>
        <rFont val="Calibri"/>
        <color rgb="FF000000"/>
        <sz val="10.0"/>
      </rPr>
      <t xml:space="preserve">EN#2051264-7  PO#30606; </t>
    </r>
    <r>
      <rPr>
        <rFont val="Calibri"/>
        <color rgb="FFA4C2F4"/>
        <sz val="10.0"/>
      </rPr>
      <t xml:space="preserve">9/19:ONT was out gated at 11:25am driver will be there around 12pm. 
Pier waiting was from 9:25am-11:25am additional 1hr $ 55.00.  </t>
    </r>
  </si>
  <si>
    <t>TRLU6591280</t>
  </si>
  <si>
    <t>EN#2051267-0 PO#:30557</t>
  </si>
  <si>
    <t>HJCU4960091</t>
  </si>
  <si>
    <r>
      <rPr>
        <rFont val="Calibri"/>
        <color rgb="FF000000"/>
        <sz val="10.0"/>
      </rPr>
      <t xml:space="preserve">EN# 2050152-5; PO#30492  </t>
    </r>
    <r>
      <rPr>
        <rFont val="Calibri"/>
        <color rgb="FFFF0000"/>
        <sz val="10.0"/>
      </rPr>
      <t>Hanjin.</t>
    </r>
    <r>
      <rPr>
        <rFont val="Calibri"/>
        <color rgb="FF000000"/>
        <sz val="10.0"/>
      </rPr>
      <t xml:space="preserve"> </t>
    </r>
    <r>
      <rPr>
        <rFont val="Calibri"/>
        <color rgb="FFA4C2F4"/>
        <sz val="10.0"/>
      </rPr>
      <t>Pier waiting was from 12:18pm-2:39pm additional 1hr ½ $82.50. 9/16:CONT was returned to UIS and chassis was returned to SSA terminal on yesterday 9/15.
Add an additional $65 for split return chassis and if shipping line charge per-diem, it will be 2 days.  LFD was 9/14.</t>
    </r>
  </si>
  <si>
    <t>CBHU6298640</t>
  </si>
  <si>
    <t>Tiger Liniment 57ml, Kwan Loong Oil 57ML+28ML, Tiger Balm Patch</t>
  </si>
  <si>
    <r>
      <rPr>
        <rFont val="Calibri"/>
        <color rgb="FF000000"/>
        <sz val="10.0"/>
      </rPr>
      <t xml:space="preserve">EN#2050242-4; PO# 30495. </t>
    </r>
    <r>
      <rPr>
        <rFont val="Calibri"/>
        <color rgb="FFA4C2F4"/>
        <sz val="10.0"/>
      </rPr>
      <t>$82.50 1hr ½  Driver Wait Time</t>
    </r>
  </si>
  <si>
    <t>OOLU7979691</t>
  </si>
  <si>
    <t>Tiger Balm White Red ethnic 18g, white red 4g and ultra 18 +50g</t>
  </si>
  <si>
    <t>EN#2049994-4; PO#30491</t>
  </si>
  <si>
    <t>GESU3934377</t>
  </si>
  <si>
    <t>Tiger Balm Ethnic Red and White 18g + Red 18g + Ultra Strength 50g &amp;18g</t>
  </si>
  <si>
    <r>
      <rPr>
        <rFont val="Calibri"/>
        <color rgb="FF6D9EEB"/>
        <sz val="10.0"/>
      </rPr>
      <t xml:space="preserve">EN#2049998-5; PO#30493.Starting 9/01/2016, terminals are not accepting Hanjin empties until further notice.Please note: $20.00 daily storage fee for storing at our yard until we are unable to return back to the terminal. 9/2:driver was not able to pull out today. They will try again on Tuesday. Live Unload ONLY $200/ Tri Axle usage $100 Flip Charge Also this container will be stored at our yard until further notice from terminal. $20 per day until empty is returned. </t>
    </r>
    <r>
      <rPr>
        <rFont val="Calibri"/>
        <color rgb="FFFF0000"/>
        <sz val="10.0"/>
      </rPr>
      <t>Hanjin</t>
    </r>
  </si>
  <si>
    <t>DRYU2947001 CBHU6058737</t>
  </si>
  <si>
    <t>Tiger Liniment 57ml, Kwan Loong Oil 57ml+28ml, Patch</t>
  </si>
  <si>
    <t>EN#2050189-7; PO#30494</t>
  </si>
  <si>
    <t>KKFU8027407</t>
  </si>
  <si>
    <t xml:space="preserve">Muscle Rub Cream 57G, Neck and Shoulder Rub 50G </t>
  </si>
  <si>
    <t>EN#2049115-6; PO#30408</t>
  </si>
  <si>
    <t>APZU4919598</t>
  </si>
  <si>
    <t>Kwan Loong Oil 28/57ML</t>
  </si>
  <si>
    <t>EN#2049191-7; PO# 30425 Payment Invoice given to Eva Tam 8/2; LDF 8/9</t>
  </si>
  <si>
    <t>CBHU8558372</t>
  </si>
  <si>
    <t>Pain10GM Unltra (CFS)</t>
  </si>
  <si>
    <t>EN#2049190-9; PO#30409</t>
  </si>
  <si>
    <t>TEMU2167800</t>
  </si>
  <si>
    <t>Red 18G, White 18G, Ointment 18/50G</t>
  </si>
  <si>
    <t>EN#2048618-0; PO#30372</t>
  </si>
  <si>
    <t>OOLU7434475</t>
  </si>
  <si>
    <t>Red4/18g, White 18g, Ointment 18/50G</t>
  </si>
  <si>
    <t>EN#2048617-2; PO#30375; OBL sent 7/7</t>
  </si>
  <si>
    <t>CXDU2354051</t>
  </si>
  <si>
    <t>Patches, Liniment 57ML, Kwan Loong Oil 28ML</t>
  </si>
  <si>
    <t>EN#2048834-3; PO#30376; OBL sent 7/7. "CONT was out gated at 9:39am driver will be there around 10:30am.
Pier waiting was from 7:31am-9:39am additional 1hr ½ $ 82.50.  "</t>
  </si>
  <si>
    <t>HJCU4394369</t>
  </si>
  <si>
    <t>Patches</t>
  </si>
  <si>
    <t>EN#2048489-6; PO#30364</t>
  </si>
  <si>
    <t>BMOU2989325</t>
  </si>
  <si>
    <t>EN#2048836-8; PO#30377; OBL sent 7/7</t>
  </si>
  <si>
    <t>OOLU7938033</t>
  </si>
  <si>
    <t>Patches, Liniment 28/57ML</t>
  </si>
  <si>
    <t>EN#2048619-8; PO#30374; OBL sent 7/7</t>
  </si>
  <si>
    <t>OOLU7422366</t>
  </si>
  <si>
    <t>Muscle Rub Cream 57G (CFS)</t>
  </si>
  <si>
    <t>EN#2047595-1; PO#30281</t>
  </si>
  <si>
    <t>OOLU1704320 OOLU8758822</t>
  </si>
  <si>
    <t>Red 4/18g, White 4/18g, ointment 18/50g</t>
  </si>
  <si>
    <t>EN#2048490-4; PO#30373; OBL sent 7/7</t>
  </si>
  <si>
    <t>OOLU4357014</t>
  </si>
  <si>
    <t>White 18G, Red 4G/18G, Ointment 18G/50G</t>
  </si>
  <si>
    <t>EN#2047076-2; PO#30265; OBL sent 5/26</t>
  </si>
  <si>
    <t>TCLU4281922</t>
  </si>
  <si>
    <t>White  4/18G, Red 4/18G, Ointment 18/50g</t>
  </si>
  <si>
    <t>EN#2047116-6; PO#30266; OBL sent 5/26</t>
  </si>
  <si>
    <t>TRHU1557670</t>
  </si>
  <si>
    <t>White 18G, Red 18G, Ointment 18G/50G</t>
  </si>
  <si>
    <t>EN#2047075-4; PO#30264; OBL sent 5/26</t>
  </si>
  <si>
    <t>TGHU4822184 APZU4338187</t>
  </si>
  <si>
    <t>Patches, Liniment 57ML, Kwan Loong Oil 28/57ML</t>
  </si>
  <si>
    <t>EN# 2046794-1; PO#30238; OBL sent 5/24</t>
  </si>
  <si>
    <t>GLDU3601388</t>
  </si>
  <si>
    <t>Patches, Liniment 57ML, Kwan Loong Oil 57ML</t>
  </si>
  <si>
    <t>EN#2046874-1; PO#30237; OBL sent 5/24</t>
  </si>
  <si>
    <t>APZU4721160 APZU4414604</t>
  </si>
  <si>
    <t xml:space="preserve">Patches </t>
  </si>
  <si>
    <t>EN#2046873-3; PO#30239; OBL sent 5/24</t>
  </si>
  <si>
    <t>HJCU4385686</t>
  </si>
  <si>
    <t>Patches, Kwan Loong Oil28/57ML</t>
  </si>
  <si>
    <t>EN#2046971-5; PO#30240; OBL sent 5/24</t>
  </si>
  <si>
    <t>OOLU8714640</t>
  </si>
  <si>
    <t>Neck &amp; Shoulder Rubs 50G (CFS)</t>
  </si>
  <si>
    <t>EN#2046381-7; PO#30191</t>
  </si>
  <si>
    <t>OOLU4314964</t>
  </si>
  <si>
    <t>EN#2046018-5; PO#30192; OBL sent 5/9; 7:51am-9:01am additional ½ $27.50.</t>
  </si>
  <si>
    <t>TCKU2275076</t>
  </si>
  <si>
    <t>Red 18G, Ointment 18G</t>
  </si>
  <si>
    <t>EN#2046144-9; PO#30193; OBL sent 5/9</t>
  </si>
  <si>
    <t>OOLU4496811</t>
  </si>
  <si>
    <t>White 4/18G, Red 18G, Ointment 18G/50G</t>
  </si>
  <si>
    <t>EN#2046017-7; PO#30190; OBL sent 5/9</t>
  </si>
  <si>
    <t>APZU4682905</t>
  </si>
  <si>
    <t>Patches, Liniment 57ML, Kwan Loong Oil 28/57ML, Muscle Rub Cream 57G</t>
  </si>
  <si>
    <t>EN#2045948-4; PO#30159</t>
  </si>
  <si>
    <t>APZU4284732 APZU3897386</t>
  </si>
  <si>
    <t>Patches, Liniment 57ML, Kwan Loong Oil 28M/57ML, Muscle Rub Cream 57ML</t>
  </si>
  <si>
    <t>EN# 2045894-0; PO#30158</t>
  </si>
  <si>
    <t>HLXU5199601</t>
  </si>
  <si>
    <t>EN#2046015-1; PO#30157; OBL sent 5/9</t>
  </si>
  <si>
    <t>OOLU9582002</t>
  </si>
  <si>
    <t>White 4G/18G, Red 4G/18G, Ointment 18G/50G</t>
  </si>
  <si>
    <t>EN#2044511-1; PO#30056; OBL sent 4/5</t>
  </si>
  <si>
    <t>APZU4580246</t>
  </si>
  <si>
    <t>EN#2044721-6; PO#30067; OBL sent 4/5</t>
  </si>
  <si>
    <t xml:space="preserve"> OOLU0424599 OOLU7746920</t>
  </si>
  <si>
    <t>EN#2044722-4; PO#30069; OBL sent 4/5</t>
  </si>
  <si>
    <t>OOLU7780797</t>
  </si>
  <si>
    <t>EN# 2044458-8; PO#30055; OBL sent 4/5  8:55am-11:21pm additional 1hr ½ $ 82.50</t>
  </si>
  <si>
    <t>CMAU8264494</t>
  </si>
  <si>
    <t>EN# 2044060-9; PO# 29985; OBL sent 3/16</t>
  </si>
  <si>
    <t>OOLU9002969</t>
  </si>
  <si>
    <t>EN# 2043561-7; PO# 29951; OBL sent 3/11</t>
  </si>
  <si>
    <t>OOLU7410895</t>
  </si>
  <si>
    <t>Red 4G/18G, White18G, Ointment 18G/50G</t>
  </si>
  <si>
    <t>En#2044273-8; PO#29990; OBL sent 3/11</t>
  </si>
  <si>
    <t>HJCU8311845</t>
  </si>
  <si>
    <t>EN#2044271-2; PO#29992; OBL sent 3/11</t>
  </si>
  <si>
    <t>HJCU4981767</t>
  </si>
  <si>
    <t>EN#2044272-0; PO# 29991; OBL sent 3/11</t>
  </si>
  <si>
    <t>Patches; Kwan Loong Oil 28/57ML; Liniment 57ML; Muscle Rub Cream 57G</t>
  </si>
  <si>
    <t>EN#2043728-2; PO#29995; OBL sent 3/11</t>
  </si>
  <si>
    <t>CHBU1955845</t>
  </si>
  <si>
    <t>Patches; Kwan Loong Oil 57ML; Muscle Rub Cream 57G</t>
  </si>
  <si>
    <t>EN#2043729-0; PO# 29994; OBL sent 3/11</t>
  </si>
  <si>
    <t>CLHU4683015</t>
  </si>
  <si>
    <t>Patches; Kwan Loong Oil 28ML/ 57ML; Liniment 57ML; Muscle Rub 57G</t>
  </si>
  <si>
    <t>EN# 2044270-4; PO# 29993; OBL sent 3/11</t>
  </si>
  <si>
    <t>OOLU8504284</t>
  </si>
  <si>
    <t>White18G, Red4G/8G, Ointment 18G</t>
  </si>
  <si>
    <t>EN#2042433-0; PO# 29907; OBL sent 2/8</t>
  </si>
  <si>
    <t>SLSU7011230</t>
  </si>
  <si>
    <t>White4G/18G, Red 4G/18G, Ointment 18G/50G</t>
  </si>
  <si>
    <t>EN#2042543-6; PO# 29911; OBL sent 2/11</t>
  </si>
  <si>
    <t>TEMU3538504</t>
  </si>
  <si>
    <t>White18G, Red18G, Ointment 18G/50G</t>
  </si>
  <si>
    <t>EN#2042435-5; PO#29908; OBL sent 2/8</t>
  </si>
  <si>
    <t>FCIU5484931 CBHU6145908</t>
  </si>
  <si>
    <t>Patches, Liniment 57ML, Kwan Loong Oil 28ML/57ML</t>
  </si>
  <si>
    <t>EN#2042483-5; PO# 29910; OBL sent 2/8</t>
  </si>
  <si>
    <t>OOLU4512620 OOLU4293990</t>
  </si>
  <si>
    <t>Patches, Muscle Rub Cream57G, Kwan Loong Oil 28ML/57ML</t>
  </si>
  <si>
    <t>EN#2042436-3; PO#29909; OBL sent 2/8</t>
  </si>
  <si>
    <t>SEGU5531605</t>
  </si>
  <si>
    <t>EN#2042689-7; PO#29912; OBL sent 2/11</t>
  </si>
  <si>
    <t>HMCU3089666</t>
  </si>
  <si>
    <t>EN# 2041747-4; PO# 29588; 8:33am-9:48am additional ½ $27.50</t>
  </si>
  <si>
    <t>APZU4449658</t>
  </si>
  <si>
    <t>Patches, Liniment 57ML, Muscle Rub Cream 57G</t>
  </si>
  <si>
    <t>EN# 2040991-9; PO# 29819; additional 1 hr $55</t>
  </si>
  <si>
    <t>SEGU1645894</t>
  </si>
  <si>
    <t>White 4G, Red 4G/18G, Ointment 18G/50G</t>
  </si>
  <si>
    <t>EN#2040929-9; PO# 29818; prepull +additional 3 days yard charges</t>
  </si>
  <si>
    <t>OOLU7532738</t>
  </si>
  <si>
    <t>EN#2040857-2; PO# 29817</t>
  </si>
  <si>
    <t>OOLU7458456</t>
  </si>
  <si>
    <t>Patches, White 4G, Liniment 57ML</t>
  </si>
  <si>
    <t>EN#2040930-7; PO# 29821</t>
  </si>
  <si>
    <t>APZU4376464</t>
  </si>
  <si>
    <t>Patches, Liniment 57ML, Kwan Loong Oil 57ML, Muscle Rub Cream 57G</t>
  </si>
  <si>
    <t>EN# 2040989-3; PO# 29820</t>
  </si>
  <si>
    <t>HJCU8431147</t>
  </si>
  <si>
    <t>EN#2040855-6; PO# 29816</t>
  </si>
  <si>
    <t>CBHU6338872</t>
  </si>
  <si>
    <t>PO# 29769; EN# 2040539-6</t>
  </si>
  <si>
    <t>Check #</t>
  </si>
  <si>
    <t>Paid</t>
  </si>
  <si>
    <t>Faxed</t>
  </si>
  <si>
    <t xml:space="preserve">EModal Payment </t>
  </si>
  <si>
    <t>30249/30260</t>
  </si>
  <si>
    <t>30380/30366/30290</t>
  </si>
  <si>
    <t>30608 or 30613</t>
  </si>
  <si>
    <t>HJCU4094947</t>
  </si>
  <si>
    <t>HJCU4926029</t>
  </si>
  <si>
    <t>APZU3401860</t>
  </si>
  <si>
    <t>APZU4388207</t>
  </si>
  <si>
    <t>APZU3098796</t>
  </si>
  <si>
    <t>updated: SDH 12/24/13</t>
  </si>
  <si>
    <t>OOLU2968586 OOLU7619910 OOLU7713063</t>
  </si>
  <si>
    <t xml:space="preserve">Patch, Muscle Rub 57g, White/Red 18g (ethnic), Red 18g, UltrsOint 18g/50g, Liniment 57ml, KL Oil 28/57ml </t>
  </si>
  <si>
    <t>EN#2009814-2.  PO27711.  12/18: Mail OBL</t>
  </si>
  <si>
    <t>APZU4831104 APZU4452008</t>
  </si>
  <si>
    <t xml:space="preserve">Patch, Muscle Rub 57g, White/Red 18g (ethnic), Red 4g/18g, UltrsOint 18g/50g, Liniment 57ml, KL Oil 28/57ml </t>
  </si>
  <si>
    <t>Additional charge of $75+19% for pre-pull。  EN#2009812-6.  PO27710.  12/18: Mailed OBL.  LFD: 12/23</t>
  </si>
  <si>
    <t>HJCU4949174 HJCU8349178</t>
  </si>
  <si>
    <t xml:space="preserve">Patch, White/Red 18g (ethnic), Red 18g, UltrsOint 18g/50g, KL Oil 28/57ml </t>
  </si>
  <si>
    <t>Add chassis fee.  EN#2009816-7.  PO27709.  12/16: Mailed OBL</t>
  </si>
  <si>
    <t>OOLU5382027</t>
  </si>
  <si>
    <t>Neck&amp;Shoulder Rub50g</t>
  </si>
  <si>
    <t>EN#2008641-0.  PO27601.  Immediate Transfer shipment that was examined in LA.   won't be able to transmit the entry until the cargo has physically arrived into the OAK CFS</t>
  </si>
  <si>
    <t>HDMU4684752</t>
  </si>
  <si>
    <t>Patch</t>
  </si>
  <si>
    <t>EN#2009423-2.  PO27613.  12/02: Mailed OBL  LFD 12/9</t>
  </si>
  <si>
    <t>TTNU5315797 CBHU6094626</t>
  </si>
  <si>
    <t xml:space="preserve">Patch, Muscle Rub 57g, Red/White 4g, UltsOint 18g/50g, Red/White 18g,Liniment 57ml, KL Oil 28/57ml, White/Red (ethnic) 18g </t>
  </si>
  <si>
    <t>EN#2008823-4.  PO27600.  11/21: Send OBL.  LFD: 12/6</t>
  </si>
  <si>
    <t>OOLU7903166 OOLU7417539 OOLU7896180</t>
  </si>
  <si>
    <t xml:space="preserve">Patch, Muscle Rub 57g, Red/White 4g, UltsOint 18g/50g, Red 18g,Liniment 57ml, KL Oil 28/57ml, White/Red (ethnic) 18g </t>
  </si>
  <si>
    <t>EN#2008824-2.  PO27599.   11/21: Mailed OBL.  11/25: FDA exam notify.  12/5: FDA will exam the products in POPNJ warehouse.  FDA collected 1 each sample of 12 items for NDC# review and should release in few days.</t>
  </si>
  <si>
    <t>OOLU7844443</t>
  </si>
  <si>
    <t>EN#2008344-1. PO27538.  11/21: Mailed OBL</t>
  </si>
  <si>
    <t>OOLU9040969</t>
  </si>
  <si>
    <t xml:space="preserve">EN#2007444-0. PO27489.  10/21: Send OBL.  </t>
  </si>
  <si>
    <t>OOLU7768768 OOLU7370160</t>
  </si>
  <si>
    <t>Patch, Muscle Rub 57g, White/Red (ethnic) 18g, UltsOint 18/50g, Red/White 4g, Liniment 57g, KL Oil 28/57ml</t>
  </si>
  <si>
    <t>EN#2007445-7. PO27488.  10/21: Send OBL</t>
  </si>
  <si>
    <t>TRLU9506511 OOLU7424271 OOLU7661340</t>
  </si>
  <si>
    <t>Patch, Muscle Rub 57g, White/Red (ethnic) 18g, UltsOint 18/50g, Red 4g, Liniment 57g</t>
  </si>
  <si>
    <t>EN#2007443-2, PO27487.  10/15/13: Send OBL.</t>
  </si>
  <si>
    <t>OOLU7992775 OOLU7732119</t>
  </si>
  <si>
    <t xml:space="preserve">Patch, Muscle rub 57g, Red 18g, UltsOint 18g/50g, Liniment 57ml, KL Oil 28/57ml, white 4g, </t>
  </si>
  <si>
    <t>add chassis fee. EN#2006954-9.  PO27411.  9/20: Send OBL</t>
  </si>
  <si>
    <t>YMLU5128981 YMLU4932779</t>
  </si>
  <si>
    <t>Patch, Muscle rub 57g, White/Red 18g(Ethnic), UltsOint 18g/50g, Liniment 57ml</t>
  </si>
  <si>
    <t>EN#2006355-9.  PO27410. 9/20: Send OBL</t>
  </si>
  <si>
    <t>APZU4708173</t>
  </si>
  <si>
    <t>EN#2006953-1.  PO27412.  9/17: Send OBL</t>
  </si>
  <si>
    <t>BMOU2238598 DFSU4116224</t>
  </si>
  <si>
    <t>Patch, UltSOint 18g, KL Oil 57ML</t>
  </si>
  <si>
    <t>EN#2006356-7.  PO27409.  9/20: Send OBL.  9/30: FDA doc review</t>
  </si>
  <si>
    <t>TTNU4446540</t>
  </si>
  <si>
    <t>Add chassis fee. EN#2005651-2. 9/13: Mailed OBL. PO 27344</t>
  </si>
  <si>
    <t>OOLU9013562</t>
  </si>
  <si>
    <t>EN#2004985-8，8/14: Send OBL PO27329</t>
  </si>
  <si>
    <t>OOLU8635880</t>
  </si>
  <si>
    <t>EN#2004984-8, 8/14: Send OBL. PO27330</t>
  </si>
  <si>
    <t>OOLU7250441 OOLU7522299 OOLU4293579</t>
  </si>
  <si>
    <t>Patch, White/Red 18g, UltSOint 18g, Red 4g</t>
  </si>
  <si>
    <t>8/29/2013 and 8/30/2013</t>
  </si>
  <si>
    <t>EN#2005113-3. 8/14: Send OBL. PO27328</t>
  </si>
  <si>
    <t>TGHU5136975 FSCU4995957</t>
  </si>
  <si>
    <t>Patch, KL oil 57ml/28ml, Oint 18g, Red 18g, UltSOint 18g/50g, Red/White 4g, Liniment 57ml</t>
  </si>
  <si>
    <t>EN#2005086-1. 8/14: Send OBL. PO27327</t>
  </si>
  <si>
    <t>TCLU3389980</t>
  </si>
  <si>
    <t>EN#2003831-2, PO27262; 7/19: Send OBL</t>
  </si>
  <si>
    <t>APZU4330015</t>
  </si>
  <si>
    <t>Add chassis fee.  EN#2004299-1, PO27267; 7/19: Send OBL. LFD 8/6</t>
  </si>
  <si>
    <t>EGSU1020538, EISU1736763</t>
  </si>
  <si>
    <t>Patch, White/Red 18g, White/Red 4g， UltSOint 18g， KL Oil 57ml</t>
  </si>
  <si>
    <t>EN#2003833-8. PO27266; 7/19: Send OBL.  7/23: Intensive exam by Customs in LA</t>
  </si>
  <si>
    <t>CBHU3575422</t>
  </si>
  <si>
    <t>Red 18g, UltSOint 18g/50g</t>
  </si>
  <si>
    <t>Add chassis fee。  EN#2003832-0, PO27263; 7/19: Send BOL LFD 8/2</t>
  </si>
  <si>
    <t>HJCU4905710, HJCU4187422, HJCU4180095</t>
  </si>
  <si>
    <t xml:space="preserve">Patch, Red 18g, UltSOint 18g/50g, Liniment 57ml, KL Oil 57ml </t>
  </si>
  <si>
    <t>EN#2003737-1. PO27265; 7/19: Mail OBL. LFD 7/25. SPECIAL NOTE: These containers not delivered by ETRANS as they are fully booked and can't get containers before LFD. GreatWorld finds another truck compnay for POP.</t>
  </si>
  <si>
    <t>KKTU7656605</t>
  </si>
  <si>
    <t>EN#2002564-0. PO#27186. 6/21: Send OBL</t>
  </si>
  <si>
    <t>FCIU2869523
TGHU4371141
TCLU4086660</t>
  </si>
  <si>
    <t>Patch,White/Red 18g(Ethnic),UltsOint 18g, Liniment 57ml, KL Oil 57ml, Muscle Rub 57g</t>
  </si>
  <si>
    <t>Add chassis fee.  EN#2002493-2. PO#27201. 6/21: Send OBL.  6/27: LFD 7/2, freight is not released yet.</t>
  </si>
  <si>
    <t>OOLU1409412 BMOU3082133 OOLU7649386</t>
  </si>
  <si>
    <t>Patch, Muscle rub 57g, White/Red 18g(Ethnic), UltsOint 18g, Liniment 57ml, KL Oil 57ml</t>
  </si>
  <si>
    <t>9386: 6/28 2133: 6/28 9412: 7/1</t>
  </si>
  <si>
    <t>EN#2002492-4. PO#27200. 6/24: Mail OBL. 6/25: D/Os for Global Terminal received on or after 7/1 will incur a $40 terminal surcharge. LFD 7/3</t>
  </si>
  <si>
    <t>NYKU8134432</t>
  </si>
  <si>
    <t>Add chassis fee (now is $20/day). EN#2001931-2. PO#27148. 5/30: Send OBL</t>
  </si>
  <si>
    <t>TEMU2828941</t>
  </si>
  <si>
    <t>Add chassis fee （add an additional of $55.00 for the split pickup chassis. EN#2001729-0. PO#27147. 6/5: Send OBL.  6/13: hold by Customs for document review.  LFD: 6/18</t>
  </si>
  <si>
    <t>HCJU4469771
HJCU4232774</t>
  </si>
  <si>
    <t>Patch, KL Oil 28/57ml, White/Red 18g(Ethnic), Red 18g, UltsOint 18/50g, White/Red 4g, Liniment 57ml, Muscle Rub 57g.</t>
  </si>
  <si>
    <t>Add chassis fee.  EN#2001269. PO#27124. 5/17: Send OBL.  5/29: LFD-6/4.</t>
  </si>
  <si>
    <t>OOLU7457640</t>
  </si>
  <si>
    <t>White/Red 18g(Ethnic), White/Red 18g, UltSOint 18g, White/Red 4g, Liniment 57ml, Muscle Rub 57g, Patch 1's, KL Oil 28ml</t>
  </si>
  <si>
    <t xml:space="preserve">EN#2001207. PO#27123. 5/17: Send OBL 5/22: STARTING THIS SHIPMENT, BILLED BY ETRANS DIRECTLY </t>
  </si>
  <si>
    <t>OOLU8076885</t>
  </si>
  <si>
    <t>EN#2000248. PO#27025. 4/11: Send OBL</t>
  </si>
  <si>
    <t>EMCU1337652</t>
  </si>
  <si>
    <t>Patch, White/red 18g (Ethnic), Red 18g, UltSOint 18g</t>
  </si>
  <si>
    <t>EN#2000346. PO#27048. 4/17: Send OBL.</t>
  </si>
  <si>
    <t>DFSU4108126
YMLU4759576</t>
  </si>
  <si>
    <t>White/Red 18g (Ethnic), White/red 18g, UltSOint 18/50g, Liniment 57ml, Muscle Rub 57g, KL Oil 28/57ml</t>
  </si>
  <si>
    <t>Add chassis fee. EN#2000349. PO#27049. 4/17: Send OBL.</t>
  </si>
  <si>
    <t>OOLU7393490 
OOLU7424163
TCLU4283735</t>
  </si>
  <si>
    <t>Patch, White/red 18g(Ethnic), White/Red 18g, UltSOint 18g, Liniment 57ml, Muscle Rub 57g, KL Oil 28/57ml</t>
  </si>
  <si>
    <t>EN#2000344. PO#27047. 4/17: Send BOL. LFD 4/26</t>
  </si>
  <si>
    <t>OOLU9006368</t>
  </si>
  <si>
    <t>EN#1024924. PO#27004. 3/21 Send OBL</t>
  </si>
  <si>
    <t>NYKU6379821</t>
  </si>
  <si>
    <t>Add chassis fee. EN#1025145. PO27006. 3/19: Send OBL. LFD: 4/10</t>
  </si>
  <si>
    <t>TTNU5631748</t>
  </si>
  <si>
    <t>White/Red 18g (Ethnic), Red 18g, UltSOint 18g, White/Red 4g, Liniment 57ml, KL Oil 28/57ml, Muscle Rub 57g</t>
  </si>
  <si>
    <t>Add chassis fee. EN#1024837. PO#27003. 3/21 Send OBL. LFD 4/5</t>
  </si>
  <si>
    <t>OOLU1774272  OOLU7290450  OOLU7305307</t>
  </si>
  <si>
    <t>UltS Oint18g, White/Red 4g, Liniment 57ml, Muscle Rub 57g, Patch, KL Oil 28/57ml, White/Red 18g (Ethnic), White/Red 18g</t>
  </si>
  <si>
    <t>4272: 4/3, 0450:4/4, 5307: 4/4</t>
  </si>
  <si>
    <t>EN#1024834.PO#27002. 3/21 Send OBL. LFD 4/4</t>
  </si>
  <si>
    <t>NYKU6344511</t>
  </si>
  <si>
    <t>EN#1024276. PO#26930.  2/7: Send OBL. LFD: 3/12.</t>
  </si>
  <si>
    <t>OOLU9024335</t>
  </si>
  <si>
    <t>EN#1023822. PO#26927. 2/19: Send OBL.  2/27:  FDA Exam notify.  3/5: Carroll informed Kenneth to notify FDA. Kenneth notified FDA.</t>
  </si>
  <si>
    <t>APZU4633618</t>
  </si>
  <si>
    <t>Patch, KL Oil 28/57ml, Red 18g, UltSOint18g, Red/White 4g</t>
  </si>
  <si>
    <t xml:space="preserve">EN#1023934. PO#26928. 2/19: Send OBL. LFD 3/6. 3/4: Customs not cleared yet, requested Tiger Balm ingredients, Kenneth sent info already.  3/5:  Per Kenneth, customs released container. </t>
  </si>
  <si>
    <t>HJCU4457955</t>
  </si>
  <si>
    <t>KL Oil 28/57ml, Red 18g, UltSOint 18g, White/Red 4g, Liniment 57ml</t>
  </si>
  <si>
    <t xml:space="preserve">EN#1023935. PO#26929. 2/19: Send OBL. 2/27: Per Jimmy, container will pull out on 2/28 and live unload on 3/4.  LFD: 2/28. </t>
  </si>
  <si>
    <t>OOLU9022754</t>
  </si>
  <si>
    <t>PO#26863. EN#1022543. 1/11: Send OBL</t>
  </si>
  <si>
    <t>SENU4284881 HJCU4190241 HJCU4993794</t>
  </si>
  <si>
    <t>Red 18g Ethnic, White/Red 18g, UltSOint18g/50g, White/Red 4g, Muscle Rub 57g, Patch</t>
  </si>
  <si>
    <t>EN#1022627. PO#26869. 1/11: Send OBL. LFD 1/25. 1/22: FDA Exam Notify. 1/25: Edmund informed Joyce to notify FDA.</t>
  </si>
  <si>
    <t xml:space="preserve">                                                                                                                                                                                                                                                                   </t>
  </si>
  <si>
    <t xml:space="preserve">Updated: JPC 12/31/14 </t>
  </si>
  <si>
    <t>TCLU4357843</t>
  </si>
  <si>
    <t>Patch, white/red 18g (ethnic), red 18g, ultra-oinment 18g, Kwan Loong oil 57ml</t>
  </si>
  <si>
    <t>EN#2024842-4.PO#28711. 12/5: OBL. LFD: 12/23/14</t>
  </si>
  <si>
    <t>FSCU5015682 FSCU5039046 TEMU3516974</t>
  </si>
  <si>
    <t xml:space="preserve">Patch, white/red 18g (ethnic), red 4g/18g, ultra-oinment 18g/50g, Muscle rub cream 57g,Liniment 57ml </t>
  </si>
  <si>
    <t>EN#2024840-8. PO#28714. 12/10: OBL</t>
  </si>
  <si>
    <t>OOLU9068544</t>
  </si>
  <si>
    <t xml:space="preserve">EN#2023777-3.PO#28645. OBL send: 11/11 </t>
  </si>
  <si>
    <t>APZU4694193</t>
  </si>
  <si>
    <t>Pain relieving patch</t>
  </si>
  <si>
    <t>EN#2023657-7 PO#28634 OBL send:11/3</t>
  </si>
  <si>
    <t>FSCU5021216 GESU6647719 TTNU4170472 CBHU6184611</t>
  </si>
  <si>
    <t xml:space="preserve">Patch, white/red 18g (ethnic), red/white 4g, Red 18g, ultra-oinment 18g/50g, Kwan Loong oil 57ml, Muscle rub cream 57g,Liniment 57ml </t>
  </si>
  <si>
    <t xml:space="preserve">EN#2023842-5 OBL send: 11/11 PO#28648, </t>
  </si>
  <si>
    <t>TGHU4879533 EISU1867423 EITU0389323</t>
  </si>
  <si>
    <t>EN#2023778-1 OBL send: 11/11 PO#28647. LFD:12/5</t>
  </si>
  <si>
    <t>OOLU9008226</t>
  </si>
  <si>
    <t>EN#2022263-5 PO#28554 OBL send: 10/7 additional exam fee</t>
  </si>
  <si>
    <t>CBHU6167722/ CBHU6295390 / CBHU6333680 / CBHU5629338</t>
  </si>
  <si>
    <t xml:space="preserve">Patch, Patch 1's, white/red 18g (ethnic), red 4g/18g, ultra-oinment 18g/50g, Kwan Loong oil 28ml/57ml, Muscle rub cream, Liniment </t>
  </si>
  <si>
    <t>1st 10/29, 2nd, 3rd, 4th: 10/30</t>
  </si>
  <si>
    <t>EN#2022652-9 OBL send: 10/13 PO#28582</t>
  </si>
  <si>
    <t>HMCU1108005 / HMCU1048708</t>
  </si>
  <si>
    <t xml:space="preserve">Patch, Patch 1's, white/red 18g (ethnic), red 4g, ultra-oinment 18g/50g, Kwan Loong oil 28ml/57ml, Muscle rub cream, Liniment </t>
  </si>
  <si>
    <t>EN#2022651-1 OBL send: 10/13 PO#28584. additional charge of $ 75+19% for attempted.</t>
  </si>
  <si>
    <t>HMCU1070105 / EITU0407392</t>
  </si>
  <si>
    <t>Patch, white/red 18g (ethnic), red 18g, ultra-oinment 18g, Kwan Loong oil 28ml/57ml, Muscle rub cream</t>
  </si>
  <si>
    <t>EN#2022650-3 OBL Send: 10/13 PO#28583</t>
  </si>
  <si>
    <t>TGHU4297867</t>
  </si>
  <si>
    <t>EN#2021965-6 PO#28511 OBL send: 9/18</t>
  </si>
  <si>
    <t>OOLU9001113</t>
  </si>
  <si>
    <t>EN#2021279-2. PO#28493 OBL send: 9/15</t>
  </si>
  <si>
    <t>EITU0208066 TGHU5136384</t>
  </si>
  <si>
    <t>Patch 1's, white/red 18g(ethnic), ultra-oinment 18g/50g, white/red 4g, muscle rub cream 57g, Kwan Loong oil 28ml/57ml</t>
  </si>
  <si>
    <t>EN#2021278-4. PO#28492. OBL send: 9/15. LFD: 10/14  Container#EITU0208066 pier waiting additional 1hr $ 55.00.</t>
  </si>
  <si>
    <t>5901 5902</t>
  </si>
  <si>
    <t>HJCU4163230 HJCU4168802 HJCU4459921 BSIU4063431</t>
  </si>
  <si>
    <t>Patch, Pathc1's,white/red 18g(ethnic), red 18g, red/white 4g, ultra-oinment 18g/50g, liniment 57ml, muscle rub cream 57g, kwan loong oil 28ml/57ml</t>
  </si>
  <si>
    <t>HJCU4163230 / HJCU4459921 /BSIU4063431: 9/29. HJCU4168802 9/30</t>
  </si>
  <si>
    <t>EN#2021126-5. PO#28490 PO#28491 OBL send: 9/18</t>
  </si>
  <si>
    <t>HJCU8387938</t>
  </si>
  <si>
    <t>EN#2019956-9 PO#28393. Send OBL: 8/15</t>
  </si>
  <si>
    <t>5863 5864</t>
  </si>
  <si>
    <t>CBHU6379866 MAGU4869888 CBHU6296709</t>
  </si>
  <si>
    <t>Patch, patch 1's, white/red 18g (ethnic), red 18g, ultra-strength ointment 18g/50g, white/red 4g, muscle rub cream 57g, kwan loong oil 28ml/57ml</t>
  </si>
  <si>
    <t>1st &amp; 2nd 9/3, 3rd 9/4</t>
  </si>
  <si>
    <t>EN#2019888-4. Send OBL: 8/15 PO#28424(Inv#5863) PO#28425(Inv#5864)</t>
  </si>
  <si>
    <t>5861 5862</t>
  </si>
  <si>
    <t>CBHU6100246</t>
  </si>
  <si>
    <t>Patch, white/red 18g (ethnic), white/red 4g, ultra-strength ointment 50g, kwan loong oil 57ml</t>
  </si>
  <si>
    <t>EN#2019887-6 Send OBL: 8/15 PO#28422(Inv#5861) PO#28423 (Inv#5862)</t>
  </si>
  <si>
    <t>5865 5866</t>
  </si>
  <si>
    <t>HJCU4104937, TTNU5944974, HJCU4160709</t>
  </si>
  <si>
    <t>Patch, patch 1's, white/red 18g(ethnic), red 18g, Tltra-oinment 18g/50g, white/red 4g, muscle rub cream 57g, kwan loong oil 57ml/28ml</t>
  </si>
  <si>
    <t>9/2:HJCU4160709 9/3:HJCU4104937, TTNU5944974</t>
  </si>
  <si>
    <t>EN#2019955-1. Send OBL: 8/15 PO#28426(Inv#5865) PO#28427(Inv#5866) LFD: 9/4</t>
  </si>
  <si>
    <t>TTNU4494569</t>
  </si>
  <si>
    <t>Pain Relieving patch</t>
  </si>
  <si>
    <t>EN#2018916-4 PO#28334. Send OBL: 7/18</t>
  </si>
  <si>
    <t>CBHU6216051 CBHU6052810</t>
  </si>
  <si>
    <t>Patch, Patch 1's, Red 4g/18g, UltraOint 18g/50g, Muscle rub cream 57g, Kwan Loong Oil 57ml</t>
  </si>
  <si>
    <t>EN#2018425-6. PO#28308. BL send: 7/14. LFD: 8/8</t>
  </si>
  <si>
    <t>CBHU6475047</t>
  </si>
  <si>
    <t>White/Red(Ethinic)18g, Red 18g, Ultra-strength Ointment 18g/50g, Kwan Loong Oil 57ml</t>
  </si>
  <si>
    <t xml:space="preserve">EN#2018426-4. PO#28310. BL send: 7/14. LFD: 8/1. there will be additional charge of $300 due to demurrage </t>
  </si>
  <si>
    <t>OOLU7862663, OOLU7918192, OOLU7782573</t>
  </si>
  <si>
    <t xml:space="preserve">Patch, Patch 1's, white/red 18g(Ethinic), red 18g/4g, UltraOint 18g/50g, white 4g, muscle rub cream 57g, kwan loong oil 57ml </t>
  </si>
  <si>
    <t>OOLU7918192 OOLU7782573 7/24/14, OOLU7862663 7/25/14</t>
  </si>
  <si>
    <t>EN#2018309-2. PO#28307. OBL send: 7/14</t>
  </si>
  <si>
    <t>OOLU9039931</t>
  </si>
  <si>
    <t>EN#2017154-3. po#28226. Send OBL 6/18</t>
  </si>
  <si>
    <t>APZU4627317 APZU4886597</t>
  </si>
  <si>
    <t>Patch,Pathc 1's, White/Red 18g(Ethinic), UltraOint 18g/50g, Muscle Rub 57g, Kwan Loong Oil 57ml/28ml</t>
  </si>
  <si>
    <t>EN#2017100-6 PO#28225. Send OBL: 6/16. LFD: 7/10</t>
  </si>
  <si>
    <t>FSCU4998998 EISU1654536</t>
  </si>
  <si>
    <t>Patch, White/Red 18g(Ethinic), Red 18g, UltraOint 18Gg, White/Red 4g, Muscle Rub 57g</t>
  </si>
  <si>
    <t>6/30(1st), 7/1(2nd)</t>
  </si>
  <si>
    <t>EN#2017074-3 PO#28224. Send OBL:6/16</t>
  </si>
  <si>
    <t>HDMU4652360</t>
  </si>
  <si>
    <t>EN#2017279-8. PO#28193. 6/2: Send OBL。 LFD:6/20</t>
  </si>
  <si>
    <t>OOLU7302653 OOLU7646369 OOLU7295343</t>
  </si>
  <si>
    <t xml:space="preserve">Patch, White/Red 18g(Ethinic), Red 18g, UltraOint 18g/50g, White/Red 4g, Kwan Long Oil 28ml/57ml </t>
  </si>
  <si>
    <t>EN#2016289-8. PO#28133.  5/20: Send OBL</t>
  </si>
  <si>
    <t>HJCU4204406 HJCU4483229 BSIU2443427</t>
  </si>
  <si>
    <t xml:space="preserve">Patch, Patch 1'S, White/Red 18g(Ethinic), Red 18g, UltraOint 18g/50g, White/Red 4g, Kwan Long Oil 28ml/57ml </t>
  </si>
  <si>
    <t xml:space="preserve">EN#2016290-6. PO#28134. 5/20:Send OBL. additional $25.00 pier waiting for container#HJCU4204406 HJCU4483229 </t>
  </si>
  <si>
    <t>OOLU9038010</t>
  </si>
  <si>
    <t xml:space="preserve">EN#2015005-9. PO#28097. 5/1:Send OBL. </t>
  </si>
  <si>
    <t>OOLU5378578</t>
  </si>
  <si>
    <t>EN#2014246-0. PO28015. 4/9: Send OBL.</t>
  </si>
  <si>
    <t>CBHU6034822
CBHU6259860
FSCU5062088</t>
  </si>
  <si>
    <t>Patch, White/Red 18g(Ethnic), Red 18g, UltraOint 18g/50g, Muscle Rub 57g, KL Oil 57ml</t>
  </si>
  <si>
    <t>4/24 (1st);
4/25 (2nd &amp; 3rd)</t>
  </si>
  <si>
    <t>EN#2014245-2. PO28014. 4/8: Send OBL.4/24: Per Benz: "CBHU6034822 finally was out gated at 1:47pm.  there will be an additional charge of $125.00for 2hrs ½ waiting at the pier.  9:10am-1:47pm. "</t>
  </si>
  <si>
    <t>OOLU2851136
OOLU7670969 
OOLU7345296</t>
  </si>
  <si>
    <t>Patch, White/Red 18g(Ethnic), Red 18g, UltraOint 18g/50g, Muscle Rub 57g, KL Oil 57ml, Linimnet Liquid 57ml</t>
  </si>
  <si>
    <t>EN#2014191-8. PO28013. 4/8: Send OBL.</t>
  </si>
  <si>
    <t>APZU4780563</t>
  </si>
  <si>
    <t xml:space="preserve">EN#2013707-2. PO27945. 3/17: Send OBL. </t>
  </si>
  <si>
    <t>OOLU5376929</t>
  </si>
  <si>
    <t>EN#2013289-1.PO27914. 3/6: Send OBL</t>
  </si>
  <si>
    <t>OOLU7433170
OOLU7799730</t>
  </si>
  <si>
    <t>Patch, White/Red 18g(Ethnic), Red 18g, UltrsOint 18g, Liniment Liquid 57ml, Muscle Rub 57g, KL Oil 57ml</t>
  </si>
  <si>
    <t>3/31/2014 
(both)</t>
  </si>
  <si>
    <t>EN#2013425-1.PO27936. 3/17: Send OBL.</t>
  </si>
  <si>
    <t>OOLU7851798</t>
  </si>
  <si>
    <t>UltrsOint 18g/50g, Liniment 57ml, muscle Rub 57g, KL Oil 57ml</t>
  </si>
  <si>
    <t>EN#2013392-3. PO27934. 3/19: Send OBL.</t>
  </si>
  <si>
    <t>TCKU2417186 
CBHU1980350</t>
  </si>
  <si>
    <t>Patch, White/Red 18g(Ethnic), Red 18g, UltrsOint 18g, KL Oil 57ml</t>
  </si>
  <si>
    <t>3/26/2014 TCKU2417186  
3/27/2014 CBHU1980350</t>
  </si>
  <si>
    <t xml:space="preserve">EN#2013424-4. PO27935.3/19: Send OBL. 3.24: Add chassis fee. </t>
  </si>
  <si>
    <t>TTNU5389465 TTNU5786117</t>
  </si>
  <si>
    <t>Patch, White/Red 18g (Ethnic), Red 18g, UltrsOint 18g/50g, White/Red 4g, Single Patch, KL Oil 57ml</t>
  </si>
  <si>
    <t>3/6/14
(both)</t>
  </si>
  <si>
    <t xml:space="preserve">EN#2012639-8. PO27868. 2/18: Send OBL. 3/6: Cont#: TTNU5786117 it will be an one hr waiting time charge of $50.00 at the pier.  </t>
  </si>
  <si>
    <t>OOLU9031083</t>
  </si>
  <si>
    <t>EN#2012510-1. PO27867.2/18: Send OBL</t>
  </si>
  <si>
    <t>OOLU7522750 OOLU7634771</t>
  </si>
  <si>
    <t>Patch, White/Red 18g (Ethnic), Red 18g, UltrsOint 18g/50g, White/Red 4g, Liniment Liquid 57ml, Muscle Rub 57g, KL Oil 57ml</t>
  </si>
  <si>
    <t>EN#2012638-0. PO27869.2/18: Send OBL.</t>
  </si>
  <si>
    <t>CPSU4042305</t>
  </si>
  <si>
    <t>EN#2011972-4.  PO27841.  1/30: Send OBL. 3/4: this container and chassis must be returned to different terminals.  Empty must go back to Global Terminals and chassis back to Salson and will charge an additional $75 for this split return.</t>
  </si>
  <si>
    <t>FSCU4993471</t>
  </si>
  <si>
    <t>EN#2011159-8. PO27782.  1/20: UPS OBL</t>
  </si>
  <si>
    <t>HJCU4062174 TGHU4573965</t>
  </si>
  <si>
    <t>Patch, White/Red 18g (Ethnic), Red 18g, Write/Red 4g, UltrsOint 18g/50g, Muscle Rub 57g, KL Oil 28/57ml</t>
  </si>
  <si>
    <t>EN#2011160-6.  PO27784.  1/20: UPS OBL</t>
  </si>
  <si>
    <t>OOLU7419629 OOLU7973841</t>
  </si>
  <si>
    <t>EN#2011161-4. PO27783.  1/20: UPS OBL</t>
  </si>
  <si>
    <t>OOLU7277714</t>
  </si>
  <si>
    <t>EN#2010177-1.  PO27670.  12/13: Send OBL</t>
  </si>
  <si>
    <t xml:space="preserve">                                                  </t>
  </si>
  <si>
    <t>EITU0265277 EISU1647331</t>
  </si>
  <si>
    <t>Patches, Muscle Rub Cream, White 4G, Liniment 57ML, Kwan Loong Oil 57ML</t>
  </si>
  <si>
    <t>1/5/2016/ 1/7/2016</t>
  </si>
  <si>
    <t>EN# 2039920-1; PO# 29754; OBL sent 12/22; additional 1hr $55.00、 additional 3hrs $ 165.00</t>
  </si>
  <si>
    <t>OOLU7720289 OOLU7869550</t>
  </si>
  <si>
    <t>EN# 2039919-3; PO# 29753</t>
  </si>
  <si>
    <t>OOLU8714486</t>
  </si>
  <si>
    <t>EN# 2039786-6; PO#29731</t>
  </si>
  <si>
    <t>OOLU8918520
OOLU0163160</t>
  </si>
  <si>
    <t>White 18G, Red 18G, Ointment 18G/50G Red 4B</t>
  </si>
  <si>
    <t>EN# 2039785-8; PO# 29730</t>
  </si>
  <si>
    <t>FCIU5255684</t>
  </si>
  <si>
    <t>EN# 2039571-2; PO# 29720; additional 1hr $55.00</t>
  </si>
  <si>
    <t>OOLU9865954</t>
  </si>
  <si>
    <t>EN# 2038757-8; PO#29659; $100 port congestion surcharge &amp; compensation wait time</t>
  </si>
  <si>
    <t>OOLU4351280</t>
  </si>
  <si>
    <t>EN# 2035756-0; PO# 29658</t>
  </si>
  <si>
    <t>HJCU4359199</t>
  </si>
  <si>
    <t>White 18G, Red 18G, Ointment 18G</t>
  </si>
  <si>
    <t>EN# 2038755-2; PO# 29656</t>
  </si>
  <si>
    <t>HJCU2271051 HJCU4900410</t>
  </si>
  <si>
    <t>Patches, Muscle Rub Cream 57G, White 4G, Liniment 57ML, Kwan Loong Oil 28/57ML</t>
  </si>
  <si>
    <t>EN# 2039061-4; PO# 29660</t>
  </si>
  <si>
    <t>OOLU7673130 OOLU7897510</t>
  </si>
  <si>
    <t>Patches, Muscle Rub Cream 57G, Liniment 57ml, Kwan Loong Oil 28/57ml, White 4G</t>
  </si>
  <si>
    <t>EN# 2038816-2; PO# 29661; OBL sent 11/13</t>
  </si>
  <si>
    <t>BSIU9569572</t>
  </si>
  <si>
    <t>Pain Relieving Patches</t>
  </si>
  <si>
    <t>EN# 2038083-9; PO# 29576</t>
  </si>
  <si>
    <t>EISU1776792 EMCU1267468</t>
  </si>
  <si>
    <t>Patches, Kwan Loong Oil 28ml/57ml, Muscle Rub 57G, Lininment 57ml</t>
  </si>
  <si>
    <t>10/28/15; 10/29/15</t>
  </si>
  <si>
    <t>EN# 2037717-3; PO#29554</t>
  </si>
  <si>
    <t>OOLU7673572 OOLU7542438</t>
  </si>
  <si>
    <t>EN#2037708-2; PO# 29555</t>
  </si>
  <si>
    <t>OOLU7648780</t>
  </si>
  <si>
    <t>EN# 2037407-1; PO# 29548</t>
  </si>
  <si>
    <t>OOLU8637780</t>
  </si>
  <si>
    <t>EN# 2037408-9; PO 29547</t>
  </si>
  <si>
    <t>EISU1790553</t>
  </si>
  <si>
    <t>Patches, Kwan Loong Oil 28ml/57ml</t>
  </si>
  <si>
    <t>EN# 2037719-9; PO#29553</t>
  </si>
  <si>
    <t>TCNU4408866</t>
  </si>
  <si>
    <t>EN# 2037409-7; PO# 29549</t>
  </si>
  <si>
    <t>EGSU1012830</t>
  </si>
  <si>
    <t>Pactches; Liniment 57ml, Red 4G, White 4G, Kwan Loong Oil 57ml</t>
  </si>
  <si>
    <t>EN# 2036414-8; PO# 29457; Prepull $90+17%; 2hr. $110</t>
  </si>
  <si>
    <t>OOLU9106705 OOLU4297050</t>
  </si>
  <si>
    <t>EN# 2036288-6; PO# 29455</t>
  </si>
  <si>
    <t>RFCU4083400</t>
  </si>
  <si>
    <t>EN# 2036289-4; PO# 29454; additional 1hr pier waiting $55  *</t>
  </si>
  <si>
    <t>APZU4848690</t>
  </si>
  <si>
    <t>EN# 2035958-5; PO# 29453</t>
  </si>
  <si>
    <t>OOLU1161075, OOLU7699860, OOLU7992409</t>
  </si>
  <si>
    <t>Patches; Muscle Rub 57G, Kwan Loong Oil 57ml; White 4G</t>
  </si>
  <si>
    <t>EN# 2036415-5; PO# 29456</t>
  </si>
  <si>
    <t>HJSU9409720</t>
  </si>
  <si>
    <t>EN# 2035029-5; PO# 29349</t>
  </si>
  <si>
    <t>APHU7200970</t>
  </si>
  <si>
    <t>EN# 2034912-3; PO# 29327</t>
  </si>
  <si>
    <t>DFSU2384125    HJCU4130509</t>
  </si>
  <si>
    <t>Patches, White 4G, Liniment 57mL, Kwan Loong Oil 28/57ml</t>
  </si>
  <si>
    <t>EN# 2035030-3; PO# 29347</t>
  </si>
  <si>
    <t>APZU4248870    APZU3829400</t>
  </si>
  <si>
    <t>Patches, Kwan Loong Oil 28/57ML</t>
  </si>
  <si>
    <t>8/31/15; 9/1/15</t>
  </si>
  <si>
    <t>EN# 2035084-0; PO# 29375; OBL 8/21/15</t>
  </si>
  <si>
    <t>APZU4902677</t>
  </si>
  <si>
    <t>EN# 2034559-2; PO# 29308</t>
  </si>
  <si>
    <t>APZU4594342</t>
  </si>
  <si>
    <t>EN# 2033708-6; PO# 29255 OBL sent 7/16</t>
  </si>
  <si>
    <t>OOLU7352063</t>
  </si>
  <si>
    <t>EN# 2033707-8; PO# 29256 OBL sent 7/16; additional 3hrs ½ $ 192.50</t>
  </si>
  <si>
    <t>HJCU4427863 GESU1269004</t>
  </si>
  <si>
    <t>Patches, Liniment 57ml, Muscle Rub Cream 57G, Kwan Loong Oil 28/57ml</t>
  </si>
  <si>
    <t>EN# 2033803-5; PO# 29279</t>
  </si>
  <si>
    <t>GESU1368814 HJCU4103709</t>
  </si>
  <si>
    <t>7/31/15; 7/30/2015</t>
  </si>
  <si>
    <t>EN# 2033801-9; PO# 29278 OBL sent 7/16</t>
  </si>
  <si>
    <t>TCKU3448303</t>
  </si>
  <si>
    <t>Neck and Shoulder Rub 50G</t>
  </si>
  <si>
    <t>EN# 2033706-0; PO# 29254; OBL sent 7/16</t>
  </si>
  <si>
    <t>TCKU4769170</t>
  </si>
  <si>
    <t>EN# 2032053-8; PO# 29144</t>
  </si>
  <si>
    <t>EISU1887097 EISU1757909</t>
  </si>
  <si>
    <t>Patches, Red 4G,Liniment 57ML, Muscle Rub Cream 57G</t>
  </si>
  <si>
    <t>EN# 2032200-5; PO# 29196</t>
  </si>
  <si>
    <t>HJCU2269706 TCNU7573611</t>
  </si>
  <si>
    <t xml:space="preserve">6/29/2015; 6/26/2015 </t>
  </si>
  <si>
    <t>EN# 2032131-2; PO# 29194</t>
  </si>
  <si>
    <t>HJCU4145617</t>
  </si>
  <si>
    <t>EN# 2032129-6; PO# 29193</t>
  </si>
  <si>
    <t>HMCU1085260</t>
  </si>
  <si>
    <t>Patches, White /Red 4G, Liniment 57ML, Kwan Loong oil 28/57ML</t>
  </si>
  <si>
    <t>EN# 2032199-9; PO# 29195</t>
  </si>
  <si>
    <t>HJCU4921027</t>
  </si>
  <si>
    <t>EN# 2032133-8; PO# 29192</t>
  </si>
  <si>
    <t>SENU4291237</t>
  </si>
  <si>
    <t>EN# 2031056-2;PO#29098</t>
  </si>
  <si>
    <t>SEGU4005550</t>
  </si>
  <si>
    <t>White 18G, Red 18G,Ultra ointment 18G/50G</t>
  </si>
  <si>
    <t>EN# 2030930-9; PO#29095</t>
  </si>
  <si>
    <t>BSIU2620564 XINU4031572</t>
  </si>
  <si>
    <t>Patches, Muscle Rub Cream 57G, Liniment 57ml, Kwan Loong Oil 28/57ml</t>
  </si>
  <si>
    <t>EN# 2031063-8; PO#29097</t>
  </si>
  <si>
    <t>HJCU1566546</t>
  </si>
  <si>
    <t xml:space="preserve">Red 18G, ultra ointment 18G &amp;50G </t>
  </si>
  <si>
    <t>EN# 2030902-8; PO#29096</t>
  </si>
  <si>
    <t>CLHU9022492</t>
  </si>
  <si>
    <t>White 18G, Red 18G, Red (ethinic) 18G, Ultra ointment 18G/50G</t>
  </si>
  <si>
    <t>EN# 2029742-1; PO 29013; additional 1hr ½ $ 82.50</t>
  </si>
  <si>
    <t>APZU4212882</t>
  </si>
  <si>
    <t>EN# 2030161-1; PO# 29016</t>
  </si>
  <si>
    <t>LTIU6066494</t>
  </si>
  <si>
    <t>Patches, White 4G, Red 4G, Muscle Rub Cream 57G, Kwan Loong Oil 28ml/57ml</t>
  </si>
  <si>
    <t>EN# 2029812-2; PO# 29015</t>
  </si>
  <si>
    <t>OOLU9064385</t>
  </si>
  <si>
    <t>EN# 2029443-6； PO# 28964</t>
  </si>
  <si>
    <t>OOLU7858719 OOLU7637976</t>
  </si>
  <si>
    <t>Patches, white 18G, Muscle rub cream 57G</t>
  </si>
  <si>
    <t>EN# 2029706-6; PO# 29014</t>
  </si>
  <si>
    <t>FSCU9241306 TRLU6833790</t>
  </si>
  <si>
    <t xml:space="preserve">Red 18G, Red (ethnic) 18G, unltra ointment 18G &amp;50G </t>
  </si>
  <si>
    <t>EN#2028755-4; PO# 28943</t>
  </si>
  <si>
    <t>HJCU4091450</t>
  </si>
  <si>
    <t>EN#2028685-3; PO#28909</t>
  </si>
  <si>
    <t>FSCU4960288 HMCU1104592 DFSu4318138 EITU0386495</t>
  </si>
  <si>
    <t xml:space="preserve">Patches, white 4G/ 18G, Red 4G, ultra-oinment 18G, Liniment 57ml, muscle rub cream, Kwan Loong oil 28ml/57ml </t>
  </si>
  <si>
    <t>EN#2028727-3; PO# 28942</t>
  </si>
  <si>
    <t>OOLU7890475</t>
  </si>
  <si>
    <t>EN#2027571-6; PO# 28837</t>
  </si>
  <si>
    <t>DRYU9134641</t>
  </si>
  <si>
    <t>EN# 2027837-1; PO# 28872</t>
  </si>
  <si>
    <t>CBHU6444621 CBHU6109829 CHBU6192290 TTNU4242802 TRHU1759346</t>
  </si>
  <si>
    <t>Patches, Ultra Strength Ointment, Kwan Loon Oil, Muscle Rub Cream</t>
  </si>
  <si>
    <t>En#2027680-5; PO# 28863</t>
  </si>
  <si>
    <t>TEMU2074184</t>
  </si>
  <si>
    <t>EN#2026140-1.PO#28770</t>
  </si>
  <si>
    <t>TCLU4093709
APZU4776650
 APZU4533711
 APZU4817770</t>
  </si>
  <si>
    <t>Patch, white/red 18g(ethnic), red 18g, ultra-oinment 18/50g, muscle rub cream 57g</t>
  </si>
  <si>
    <t>EN#2026141-9. PO#28769</t>
  </si>
  <si>
    <t>APZU4800464</t>
  </si>
  <si>
    <t>EN#2025376-2. PO#28719. 12/10: OBL</t>
  </si>
  <si>
    <t>OOLU9010455</t>
  </si>
  <si>
    <t>EN#2024617-0.PO#28698.12/2:OBL.</t>
  </si>
  <si>
    <t>Sheet Last updated:  Edmund 1/10/13</t>
  </si>
  <si>
    <t>OOLU9065273</t>
  </si>
  <si>
    <t>PO#26786. 11/29: Give COA to Ada when docs arrive. 11/29: Lolita emailed Ada/Edmund COA. 12/4: send OBL</t>
  </si>
  <si>
    <t>TGHU5143700  DRYU4148318 FSCU4992990</t>
  </si>
  <si>
    <t>White/Red 18g (Ethnic), White/Red 18g, UltSOint18g/50g, White/Red 4g, Liniment 57ml, Patch, Muscle Rub</t>
  </si>
  <si>
    <t>PO#26787. 12/5: send OBL</t>
  </si>
  <si>
    <t>FSCU4991226</t>
  </si>
  <si>
    <t>White/Red 18g(Ethnic), Red 18g, UltraSOint18g/50g, White/Red 4g, Liniment57ml, Patch, Muscle Rub</t>
  </si>
  <si>
    <t>PO#26788 12/5: send OBL</t>
  </si>
  <si>
    <t>HJCU4901057  HJCU4365761</t>
  </si>
  <si>
    <t>White/Red 18g (Ethnic), White/Red 18g, UltSOint18g, Liniment 57ml, Patch, Muscle Rub</t>
  </si>
  <si>
    <t>Add Chassis Fee.  PO#26705. 11/16: Send OBL. 12/4: Vessel delayed due to LA strike. ETA unknown. LFD: 12/14.</t>
  </si>
  <si>
    <t>CLHU4464059 CLHU4451350</t>
  </si>
  <si>
    <t xml:space="preserve">Muscle Rub 57g, White/Red 18g (Ethnic), Red 18g, UltSOint18g/50g, White/Red 4g, Liniment 57ml, Patch </t>
  </si>
  <si>
    <t>PO#26706. 11/19: Send OBL. LFD 12/4</t>
  </si>
  <si>
    <t xml:space="preserve">DFSU4111618  </t>
  </si>
  <si>
    <t>PO#26677. 10/29: Send OBL. LFD: 11/19.</t>
  </si>
  <si>
    <t>OOLU7381138</t>
  </si>
  <si>
    <t>PO#26588. 10/12: Send OBL. 11/14: Edmund asked Kenneth for status. Freight estimated to be available on 11/15</t>
  </si>
  <si>
    <t>OOLU9038386</t>
  </si>
  <si>
    <t>PO#26589. 10/12: Send OBL.</t>
  </si>
  <si>
    <t>DFSU4305974  SEGU4002063</t>
  </si>
  <si>
    <t>KLO28ml, TB White/Red 18g Ethnic, White 18g, UltSOint18g, White/Red 4g, UltraSOint50g, Liniment57ml, Patch</t>
  </si>
  <si>
    <t>11/14 x 1  11/15 x 1</t>
  </si>
  <si>
    <t xml:space="preserve">PO#26602.  10/15: Send OBL. 11/5: Per arrival notice, VESSEL WILL SKIP NEW YORK. ALL IMPORT NEW YORK CARGO WILL BE DISCHARGED AT BALTIMORE  Joyce will advise when container becomes avaiable. 11/9: Kenneth has a trucker that can move the container back to NJ,  ~$1169.2 per container = ~$2338.4 for both containers, plus additional charges for live unloads and chassis if necessary. Kenneth will advise ETA when available.
</t>
  </si>
  <si>
    <t>INBU5443715  FSCU4679917</t>
  </si>
  <si>
    <t>KLO28ml/57ml, White/Red18g Ethnic, White/Red 4g, UltSOint50g, Liniment 57ml, Patch</t>
  </si>
  <si>
    <t>Per Winnie, may or maynot have chassis fee. LFD 11/1. PO#26601. 10/15:  Send OBL.</t>
  </si>
  <si>
    <t>OOLU9051500</t>
  </si>
  <si>
    <t xml:space="preserve">PO 26507. 10/16: Customs still reviewing docs. 10/22: FDA is requesting: "labeling of the product, ensuring that it includes clear copies of all sides of all packaging, not just the front or top panel." Edmund emailed pics of product and product label.
</t>
  </si>
  <si>
    <t>OOLU9038370</t>
  </si>
  <si>
    <t>PO 26508. 10/2: X-Ray Exam Hold</t>
  </si>
  <si>
    <t>DRYU4058209</t>
  </si>
  <si>
    <t xml:space="preserve">PO 26506.  </t>
  </si>
  <si>
    <t>CAXU7447587 HJCU4911142 CLJU4746957</t>
  </si>
  <si>
    <t>Patch, Red18g, UltSOint18g, Liniment57ml</t>
  </si>
  <si>
    <t>10/3 x 1 10/4 x 2</t>
  </si>
  <si>
    <t>add chassis fee. LFD 10/4. PO 26517.  9/28:  Rcvd Greatworld Inv.</t>
  </si>
  <si>
    <t>HJCU4256056  HJCU4208510  SPKU4097553  HJCU4008893</t>
  </si>
  <si>
    <t>Patch, UltSOint18g, White/Red 18g Ethnic, White/Red 18g, Red4g, Liniment, MuscleRub, UltSOint50g,KLOil28ml, Tiger Balm Patch (FOC, One lot of Tiger Balm samples for machine testing)</t>
  </si>
  <si>
    <t>9/28 x 2   10/1 x 2</t>
  </si>
  <si>
    <t>PO 26515. 9/12: NJ will help Haw Par to ship 1 lot of TB samples to Illinois for machine testing.  9/28:  Rcvd Greatworld Inv.</t>
  </si>
  <si>
    <t>TTNU5928607 HJCU4359286 SESU6028911</t>
  </si>
  <si>
    <t>Patch, Red/White 18g Ethnic, UltSOint50g, Muscle Rub, KLO57ml/28ml, Red18g</t>
  </si>
  <si>
    <t>PO 26516. LFD: 9/27.</t>
  </si>
  <si>
    <t>HJCU4185862  TTNU4935345  SENU4257232</t>
  </si>
  <si>
    <t>Patch, White18g, White18gEthnic, Red 18g, UltrSOint18g/50g,White 4g, Red 4g, Liniment  57ml, Muscle Rub57g, KL Oil 57ml &amp; 28ml</t>
  </si>
  <si>
    <t>9/4 x 2 
9/5 x 1</t>
  </si>
  <si>
    <t>add chassis fee, LFD 9/5. PO#26428.  8/15: Rcvd OBL. 8/29: US Customs requesting CAS number (Chemical Abstract Number) for each ingredient. Provided MSDS the same day</t>
  </si>
  <si>
    <t xml:space="preserve">HJCU4324757  SENU4300914  </t>
  </si>
  <si>
    <t>Patch, White 18gEthnic, White18g,Red18g,UltSOint18g, White4g, Red4g, Liniment, MuscleRub, KLOil 57ml/28ml</t>
  </si>
  <si>
    <t>PO 26429. 8/15: Rcvd OBL</t>
  </si>
  <si>
    <t>NYKU6166976</t>
  </si>
  <si>
    <t>LFD: 8/15.  PO 26297 add chassis fee</t>
  </si>
  <si>
    <t>OOLU7966966 OOLU7615112 TCLU4281162 OOLU7324349</t>
  </si>
  <si>
    <t>Patch, Red4g/18g, UltOint18g, MuscleRub, KLOil57ml/28ml</t>
  </si>
  <si>
    <t>7/31 x 2 8/1 x 2</t>
  </si>
  <si>
    <t>PO 26380</t>
  </si>
  <si>
    <t>HJCU4346550</t>
  </si>
  <si>
    <t>White18g, Red4g, UltOint18g/50g, Liniment, MuscleRub, KLOil57ml</t>
  </si>
  <si>
    <t>PO 26377. add chassis fee (over weekend, plus port close on 7/30)</t>
  </si>
  <si>
    <t>CRSU1401030</t>
  </si>
  <si>
    <t>NeckRub</t>
  </si>
  <si>
    <t>PO 26376. add chassis fee. (over weekend, plus port close on 7/30)</t>
  </si>
  <si>
    <t>SENU4299346</t>
  </si>
  <si>
    <t>White18gEthnic, Red18gEthnic, Red18g, UltOint18g, KLOil28ml/57ml</t>
  </si>
  <si>
    <t>PO 26379. LFD 7/24</t>
  </si>
  <si>
    <t>HJCU7678142</t>
  </si>
  <si>
    <t>White18gEthnic, Red18gEthnic, White4g, Red4g/18g, UltOint18g/50g, Liniment, MuscleRub</t>
  </si>
  <si>
    <t xml:space="preserve">add chassis fee. PO 26323. </t>
  </si>
  <si>
    <t>HJCU4412210 SENU4257572 HJCU4139785</t>
  </si>
  <si>
    <t>White4g, Red4g, UltOint18g, Liniment, KLOil57ml/28ml, Patch, MuscleRub, NeckRub</t>
  </si>
  <si>
    <t>PO26325. 6/25: FDA Exam Notify. 6/28: Asked GreatWorld to notify FDA. 7/5: 2nd request to FDA. 7/10: FDA came and took 2pc of each Tiger Balm items for registration #, opened one box of each item for instant inspection. 7/16: Partial release: All released except Tiger Balm Patch. 7/24: Completely released</t>
  </si>
  <si>
    <t>APZU4641763</t>
  </si>
  <si>
    <t>PO26405. 6/25: FDA Exam Notify. 6/28: Asked GreatWorld to notify FDA. 7/5: 2nd request to FDA. 7/10: FDA came and took 2pc of each Tiger Balm items for registration #, opened one box of each item for instant inspection</t>
  </si>
  <si>
    <t>OOLU7476932 OOLU7932903</t>
  </si>
  <si>
    <t>White18gEthnic, Red18gEthnic, White4g/18g, Red18g, UltOint18g/50g, Liniment, KLOil57ml</t>
  </si>
  <si>
    <t>PO 26240. Add chassis fee. LFD 6/4/12</t>
  </si>
  <si>
    <t>OOLU7734662</t>
  </si>
  <si>
    <t>White18gEthnic, Red18gEthnic, White4g/18g, Red18g, UltOint18g, Liniment</t>
  </si>
  <si>
    <t>OOLU7607499 TCLU4274287</t>
  </si>
  <si>
    <t>White18gEthnic, Red18gEthnic, White4g/18g, Red4g/18g, UltOint8g/18g/50g, Liniment</t>
  </si>
  <si>
    <t>OOLU7452566 OOLU7641071</t>
  </si>
  <si>
    <t>White18gEthnic, Red18gEthnic, White4g/18g, Red4g/18g, UltOint8g/18g/50g, KLOil57ml/28ml</t>
  </si>
  <si>
    <t>add chassis fee. LFD 5/4</t>
  </si>
  <si>
    <t>APZU4619230</t>
  </si>
  <si>
    <t>OOLU7515561</t>
  </si>
  <si>
    <t>UltOint50g/18g, NeckRub</t>
  </si>
  <si>
    <t>add chassis fee (per Lita). LFD 4/5</t>
  </si>
  <si>
    <t>APZU4602601 TGHU4592522</t>
  </si>
  <si>
    <t>White18gEthnic, Red18gEthnic, White4g/18g, Red4g/18g, UltOint8g/18g, Liniment, KLOil57ml, NeckRub</t>
  </si>
  <si>
    <t>OOLU7957429 OOLU7407891</t>
  </si>
  <si>
    <t>White18gEthnic, Red18gEthnic, White4g, Red4g, UltOint8g, Liniment, KLOil57ml, Patch, MuscleRub</t>
  </si>
  <si>
    <t>TGHU4508194</t>
  </si>
  <si>
    <t>TRLU6513097 OOLU7892354</t>
  </si>
  <si>
    <t>White18gEthnic, Red4g, UltOint8g/18g, MuscleRub, NeckRub, KLOil57ml</t>
  </si>
  <si>
    <t>2/23: FDA exam notify. 2/29: Joyce notified FDA goods are ready for exam. 3/8: Jimmy says FDA Inspector Vishal Patel (vishal.patel@fda.hhs.gov) came this morning and verbal ok. Wait for official release notice</t>
  </si>
  <si>
    <t>OOLU7633902</t>
  </si>
  <si>
    <t>Red4g, UltOint8g/18g, MuscleRub, NeckRub</t>
  </si>
  <si>
    <t>Add chassis fee. LFD 2/29</t>
  </si>
  <si>
    <t>OOLU7540380</t>
  </si>
  <si>
    <t>White18gEthnic, UltOint18g, Red4g, KLOil57ml</t>
  </si>
  <si>
    <t>CMAU9109213</t>
  </si>
  <si>
    <t>OOLU7335045 OOLU7424482 OOLU7357661</t>
  </si>
  <si>
    <t>Patch, White18gEthnic, Red18gEthnic, White18g, Red18g, UltOint8g/18g/50g, Liniment, MuscleRub, NeckRub (Free of charge)</t>
  </si>
  <si>
    <t>Add chassis fee. 1/25: US Customs asking for DEA Form or NOA Form 236. 1/26: No form needed after all. 1</t>
  </si>
  <si>
    <t>MOFU0705156 MOFU0602081</t>
  </si>
  <si>
    <t>Patch, White18gEthnic, Red18gEthnic, Red18g, UltOint8g/18g/50g, Liniment, MuscleRub</t>
  </si>
  <si>
    <t>1/30: Asked GreatWorld Joyce to notify FDA goods are ready for exam. 2/6: Asked Joyce to issue 2nd request. 2/9: joseph.duca@fda.hhs.gov came and verbal ok</t>
  </si>
  <si>
    <t>NYKU6151024</t>
  </si>
  <si>
    <t>White18gEthnic, Red18gEthnic, White18g, KLOil57ml</t>
  </si>
  <si>
    <t>Sheet Last updated: Carroll 1/28/13</t>
  </si>
  <si>
    <t>HMMU9023286</t>
  </si>
  <si>
    <t>Paper Box, Umbrella, Book, Plastic Box, Printed Matter (WAG Cert)</t>
  </si>
  <si>
    <t>PO#26600,26632, 26714, NS987. (2 cs books to Maisie). 12/24:  Books forwarded to Maisie.</t>
  </si>
  <si>
    <t>TRIU8944761</t>
  </si>
  <si>
    <t>Organic Dried Gojiberries</t>
  </si>
  <si>
    <t xml:space="preserve">LFD 12/27.  Inv# 20121027. 12/7: Receive X-ray exam hold notice. 12/18: Per Billy, payment arranged. 12/20:  Vendor DHL (Tracking#7669272634) OBL on 12/19, will be arrived in 4 days. 12/26: We mail out OBL. </t>
  </si>
  <si>
    <t>MRKU9120309</t>
  </si>
  <si>
    <t>Panax Ginseng Ext 30's, Red Ginseng RJ 10's/30's</t>
  </si>
  <si>
    <t>Inv# 2012TAT10. 11/26: Send OBL. LFD 12/21. Jimmy requested to pull this one out by 12/21 and drop it on 12/24. 12/27: FDA Exam needed for Panax Ginseng Extractum Oral Liquid, notified Joyce goods available; FDA released Red Ginseng Royal Jellies. 12/31: FDA released all</t>
  </si>
  <si>
    <t>OOLU8835425</t>
  </si>
  <si>
    <t>Organic Tea (Jasmine, Oolong, White)</t>
  </si>
  <si>
    <t xml:space="preserve">add chassis fee, LFD 12/27.  Inv#12TM082. 另外此货柜有41箱包装为礼品茶剩余的包装一起. 12/17: Carroll mails out OBL.
</t>
  </si>
  <si>
    <t>HDMU6866571</t>
  </si>
  <si>
    <t>add chassis fee. LFD:  12/20.</t>
  </si>
  <si>
    <t>TCNU7608636</t>
  </si>
  <si>
    <t>Cold Aid, Flu Aid, Ban Lan Gen, American Ginseng Instant Tea, Instant Wild American Ginseng Tea</t>
  </si>
  <si>
    <t>Inv# 2006023-12.  12/10: We mail out OBL. LFD: 12/18.</t>
  </si>
  <si>
    <t>TRIU8039378</t>
  </si>
  <si>
    <t>AMG RT-Tag (Sun Ten), AMG RT-Alum Foil (Sun Ten)</t>
  </si>
  <si>
    <t>FOB. 12/12: Edmund emailed LA trucker, goods not available for pick up and delivery yet. 12/19: Trucker said no appt necessary. Schedule for tomorrow’s delivery</t>
  </si>
  <si>
    <t>MSKU0161227</t>
  </si>
  <si>
    <t>Honey</t>
  </si>
  <si>
    <t>12/10: eta LA 12/6 (per Greatworld's update). 12/19: Shipment arrived.</t>
  </si>
  <si>
    <t>MSCU9574794</t>
  </si>
  <si>
    <t>POP Green Tea/Oolong Tea 100's</t>
  </si>
  <si>
    <t>WH Inv# HBG12-25. 11/12:  Send OBL. LFD: 12/11.</t>
  </si>
  <si>
    <t>MSKU1081152</t>
  </si>
  <si>
    <t>Organic Green Tea (1.8g/2g)100's, Organic Oolong Tea (1.8g) 100's/20's, Organic White Tea 100's</t>
  </si>
  <si>
    <t>LFD 12/7. (jimmy requested pull out by 12/7, deliver on 12/10).Inv# 12TM080.  11/21:  Send OBL.</t>
  </si>
  <si>
    <t>ZCSU8229020</t>
  </si>
  <si>
    <t xml:space="preserve">11/8: As a result of Hurricane Sandy, order is loaded on a new vessel (Santa Paola) with an ETA NY on 12/03 (changed from vessel Cosco Nagoya with an ETA NY 11/26). LFD 12/10
</t>
  </si>
  <si>
    <t>TCNU7847775</t>
  </si>
  <si>
    <t>Organic Green Tea (100's, 20's), Green Tea 100's, Oolong Tea 100's, Ti Kuan Yin 100's</t>
  </si>
  <si>
    <t>Inv# HBG12-24. 11/12: Send OBL. 12/5: LFD is 12/10. Jimmy requested pull out by LFD and deliver on 12/11</t>
  </si>
  <si>
    <t>TGHU6789439</t>
  </si>
  <si>
    <t>Organic Green Tea 20's/100's, White Tea 20's/100's</t>
  </si>
  <si>
    <t>Inv# HBG12-26. 11/26: Send OBL. 12/4: Vessel delayed due to LA strike. ETA unknown.  LFD: 12/14.   Need further update from Winnie (Benz), Container is at Location G, unavailable to pick up yet. 12/14: Per Winnie (Benz), container has been delivered.</t>
  </si>
  <si>
    <t>GESU4823655</t>
  </si>
  <si>
    <t>Inv# 12BE02044. 11/28: Send OBL. LFD: 12/6.</t>
  </si>
  <si>
    <t>GLDU5003364</t>
  </si>
  <si>
    <t>Ultra Strength Red Panax Ginseng Extractum</t>
  </si>
  <si>
    <t>Inv# 2012TAT11.  11/26: Send OBL. 11/29: Customs USDA Exam. 12/4: transfer to BOBAC. LFD 12/10</t>
  </si>
  <si>
    <t>CGMU4998712</t>
  </si>
  <si>
    <t>CheeZheng Plaster</t>
  </si>
  <si>
    <t>This is Invoice# CZ12S039. 45 ctns out of 330 ctns. Remaining 285 ctns coming in a separate shipment with a differnt PO number. 11/28: IT not received as of 11/26</t>
  </si>
  <si>
    <t>26600 26576</t>
  </si>
  <si>
    <t>HDMU5552257</t>
  </si>
  <si>
    <t>Paper Box, Calendar, Envelope, Cardboard, Book</t>
  </si>
  <si>
    <t>Note: 1 case of books for Kenneth Chin (PESI) in this shipment. 16 books inside the box (1 for Ken Yeung, 15 for Kenneth Chin) . 11/30: Cartons damage found, reported to Phoebe with pics.</t>
  </si>
  <si>
    <t>TCLU8631567</t>
  </si>
  <si>
    <t xml:space="preserve">11/1: payback packaging for this shipment. TT FULL AMOUNT of USD 20,377.05. 11/12: Send OBL. LFD:  12/4.
</t>
  </si>
  <si>
    <t>KKFU1864654</t>
  </si>
  <si>
    <t>Red Panax Ginseng Ext, Gingko Biloba &amp; Red Panax Ginseng Ext, Ultra Ginkgo+ w/Eleuthero &amp; Tibetan Rhodiola, AMG w/RJ &amp; BP, Ultra Joint Health Liquid Ext.</t>
  </si>
  <si>
    <t>Inv# 2006017-12. 11/27: Mail out OBL ourselves. We keep Vet Cert as customs already released. LFD is 11/30!! Make sure freight is released by 11/29! Also, FDA Exam needed. 12/3 Edmund notified Kenneth to contact FDA. 12/10: FDA officer Terrence (510)6951164 called. Appointment scheduled for 12/13 between 10-11am. 12/13: Officer released without exam.</t>
  </si>
  <si>
    <t>TTNU4196754</t>
  </si>
  <si>
    <t>11/27: arrival notice says qty is 12 ctns+4 pallets.  11/29:   FDA exam needed. 12/3: Edmund notified Joyce to inform FDA. 12/7: FDA released without exam</t>
  </si>
  <si>
    <t>NYKU4110509</t>
  </si>
  <si>
    <t>Add Chassis Fee.  LFD:  11/30.</t>
  </si>
  <si>
    <t>NYKU5811308</t>
  </si>
  <si>
    <t>SUDU7560285</t>
  </si>
  <si>
    <t>Add Chassis Fee.  11/19:  Placed for X-ray exam.  Additional exam charge. LFD 11/30</t>
  </si>
  <si>
    <t>MRKU7882624</t>
  </si>
  <si>
    <t>Panax Ginseng Ext 10's, Red Ginseng R/J 30's, Goji on the go 30's</t>
  </si>
  <si>
    <t>TJ Inv# 2012TAT07. 11/5: Send OBL. 11/21: Customs exam per Joyce. LFD is 11/28. 11/27: Roselle says they have sent status request to customs, but no reply yet. Likely to see demurrage. 11/30: Joyce connected with customs officer, was asked to resend docs (again!) Edmund asked Joyce to look into the possibility of asking for a extension in LFD. 12/4: etrans will pull out container today and deliver tomorrow</t>
  </si>
  <si>
    <t>CBHU4281280</t>
  </si>
  <si>
    <t>Ginger Honey Crystals, Dong Quai Red Date Tea</t>
  </si>
  <si>
    <t xml:space="preserve">Add Chassis Fee.  Inv# 12BE02041. 11/1: 这个货柜中带过去25个姜王晶空纸箱. 11/9: Send OBL. LFD:  11/26.  </t>
  </si>
  <si>
    <t>MSCU8004713</t>
  </si>
  <si>
    <t>Green Tea &amp; Oolong Tea 100's</t>
  </si>
  <si>
    <t>10/1: Send OBL. Wuhan Inv#HBG12-22.  11/6: FDA exam needed. 11/13: ETA 11/15. 11/20: LFD 11/20. Etrans will pull out container today and deliver tomorrow. 11/21:  Notified Kenneth/Joyce for FDA exam.</t>
  </si>
  <si>
    <t>MSCU7586440</t>
  </si>
  <si>
    <t>POP Organic White Tea 20's/100's, Pu-Erh Tea 100's</t>
  </si>
  <si>
    <t>GL Inv# 12TM076.  11/2: Lolita: we need to pay before they 
release docs. As of today, ETA is 12/3. I plan to pay on 11/26. I will be disappearing starting Nov 9th and back to office Nov 26th. Just in case there’s sudden change in ETA, please inform Livia to pay but she needs Ken to sign the notice. 11/6: Informed Lolita new ETA 11/12.  11/7: Send OBL.</t>
  </si>
  <si>
    <t>ECMU9460175</t>
  </si>
  <si>
    <t>Inv# BP12BE02043.  10/31: Send OBL. 11/6:  Freight has been hold by overseas agent, email vendor for reason. 11/7: Freight released. 11/9: The payment and original B/L confirmed received and the freight will get release by shipping next Monday (11/12/12)  around noon time. 11/13: Intensive Exam Hold. 11/14: Customs released. LFD 11/16. 11/15: Greatworld says etrans has no trucks. Roselle found a new trucker with same rate. Roselle will advise Jimmy delivery time when info available.</t>
  </si>
  <si>
    <t>CBHU6450814</t>
  </si>
  <si>
    <t>add chassis fee. LFD 11/19. Inv# 20060021-12. 11/7: Send OBL.</t>
  </si>
  <si>
    <t>1150 (950ctns +200pcs)</t>
  </si>
  <si>
    <t>EMCU9218990</t>
  </si>
  <si>
    <t>POP Organic Oolong 20TB, POP Organic White Tea 100TB, POP Organic Black Tea 100TB, Pi Luo Chun Greeen Tea 300g</t>
  </si>
  <si>
    <t>Inv # 12TM065. 11/5:  Send OBL. LFD: 11/15.</t>
  </si>
  <si>
    <t>CBHU9012719</t>
  </si>
  <si>
    <t>Green/Jasmine/Oolong/White Tea 100's, White Tea 20's</t>
  </si>
  <si>
    <t>Add Chassis Fee.   WH Inv # HBG12-23. 10/24: Send OBL. LFD:  11/9.</t>
  </si>
  <si>
    <t>HDMU6391141</t>
  </si>
  <si>
    <t>Cup, Label-Shark Cartilage, Leaflet- AG Z-fold insert, Calendar POPCH</t>
  </si>
  <si>
    <t>PO#26383, 26491, 26573/26575.  11/1:  FDA released; but hold for X-Ray Exam. 11/8: GreatWorld Kenneth just got customs release posted in system. Will send out delivery order today. LFD is 11/14</t>
  </si>
  <si>
    <t>SEGU1153127</t>
  </si>
  <si>
    <t>11/2:  LFD: 11/6.</t>
  </si>
  <si>
    <t>BSIU9016978</t>
  </si>
  <si>
    <t xml:space="preserve">POP Pu-Eh Tea 100's </t>
  </si>
  <si>
    <t>Greenland Inv#12TM073. 10/24: Lolita requested docs.  10/29: Send OBL. 11/1:  FDA NEEDS TO EXAM container. 11/2: Container diverted to Norfolk port due to hurricane Sandy. (LFD 11/9). 11/7: Found a trucker who can take container out by LFD and deliver on Monday. ROUND TRIP NORFOLK-DAYTON, NJ = $1323.02,FUEL SURCHARGE (20%)                  = $264.60,TOLL FEES = $150.00, 3 HOURS FREE, $65/HOUR AFTER THAT.PLUS THE CHASSIS FEE.  11/12:  Carroll informed Joyce to notify FDA for examine.</t>
  </si>
  <si>
    <t>TCLU8796736</t>
  </si>
  <si>
    <t>LFD 10/31. Inv# 12BE02036. 10/24: US Customs and Border Protection (CBP) Intensive Exam. 10/26: Send OBL 11/8: Edmund asked Kenneth and found out container not picked up yet! Kenneth says E-tran will deliver early next week. Fortunately LFD is revised to 11/13.</t>
  </si>
  <si>
    <t>CRSU1057352</t>
  </si>
  <si>
    <t>MRKU6868597</t>
  </si>
  <si>
    <t>Panax Ginseng Ext 10's/30's, Ultra S Red Panax Ginseng Ext 30's</t>
  </si>
  <si>
    <t>add chassis fee. TJ Inv# 2012TAT08.  10/18:  Send OBL. 10/25: Container going to BOBAC for exam on 10/29. 10/31: Container ready, LFD 11/1. Will see demurrage (container coming 11/1 afternoon due to unload TB containers in monring, unloading done on 11/2, container returned on 11/5). 11/6:  Requested Winnie for demurrage/misc charge details. 11/7: Received Inv $871.50 fm Winnie. (4 days per-diem charge)</t>
  </si>
  <si>
    <t>TCLU4329306</t>
  </si>
  <si>
    <t xml:space="preserve">POP Organic Green/Oolong Tea 20's/100's, Organice White 100's </t>
  </si>
  <si>
    <t xml:space="preserve">add chassis fee, LFD 10/29. 10/1: Rcvd Revised AMS info.  10/18:  Send OBL. </t>
  </si>
  <si>
    <t>KKFU1246234</t>
  </si>
  <si>
    <t>LFD 10/25. Inv# 2006013-12. 10/22: We mail out OBL. We keep original Vet Cert this time as Customs already released. 10/23: FDA exam. 10/25: Asked GreatWorld Joyce to notify FDA. 11/5: Carroll emailed Joyce to ask for update. 11/7: FDA Investigator Joy(973-645-2386 ext104) examined and verbally ok per Jimmy.</t>
  </si>
  <si>
    <t>TCKU9724040</t>
  </si>
  <si>
    <t>Organic Green Tea 100s/20's, Jasmine Tea 100's, White Tea 20's/100's</t>
  </si>
  <si>
    <t>9/24:  Send OBL. LFD: 10/24.</t>
  </si>
  <si>
    <t>TEMU4091513</t>
  </si>
  <si>
    <t>Panax Ginseng Ext/Red Ginseng RJ/Green Tea Ext w/Panax Ginseng/Goji on the go 30's</t>
  </si>
  <si>
    <t>TJ Inv#2012TAT09.  10/16:  Bank will send OBL via Fedex overnight to us. 10/17: Send OBL. 10/29: Asked Greatworld to request FDA to provide status update. 11/5: Carroll emailed Joyce to ask for update. 11/6: Still on hold.</t>
  </si>
  <si>
    <t>HDMU5506138</t>
  </si>
  <si>
    <t>AMG Capsules' Sticker, Dessicants, Calendars, Leaflets, Plastic Tray</t>
  </si>
  <si>
    <t>FOB.  PO#26493, 26484, 26477, NS909, NS923. 10/15: X-Ray Exam Hold. 10/25: Intensive Exam Completed</t>
  </si>
  <si>
    <t>CXDU1633241</t>
  </si>
  <si>
    <t>LFD 10/19. Let Maria know as well when FDA release message received</t>
  </si>
  <si>
    <t>HLXU8732247</t>
  </si>
  <si>
    <t>Add chassis fee.</t>
  </si>
  <si>
    <t>DRYU2256170</t>
  </si>
  <si>
    <t>POP Instant Coffee 3in1</t>
  </si>
  <si>
    <t>10/10: Send OBL.  LFD: 10/19.</t>
  </si>
  <si>
    <t>CAIU8761040</t>
  </si>
  <si>
    <t>AMG &amp; Wild AMG Instant Tea, Empty Boxes</t>
  </si>
  <si>
    <t>10/11: We mail out OBL ourselves, UPS Tracking:1Z86X23X1390465672.  LFD: 10/18.</t>
  </si>
  <si>
    <t>TRLU5841189</t>
  </si>
  <si>
    <t>Add chassis fee. 10/10: Send OBL. LFD: 10/19.</t>
  </si>
  <si>
    <t>SEAU7865967</t>
  </si>
  <si>
    <t>AMG Hard Candy 4.78/8oz</t>
  </si>
  <si>
    <t>FOB. 10/9: LFD 10/12. Jimmy asked trucker to pick up by 10/12 and deliver on 10/15.</t>
  </si>
  <si>
    <t>IPXU3191810</t>
  </si>
  <si>
    <t>Add chassis fee. 9/27:  Send OBL. Payment Due date: 10/16. 10/15: Lolita confirmed payment will be arranged in that week's check run</t>
  </si>
  <si>
    <t>MSKU0947303</t>
  </si>
  <si>
    <t>POP Organic Green/White Tea 2g, Dragon Well Green Tea 250g, Jasmine Green Tea 200g, Oolong Tea in Bulk 300g, TikuanYin Tea 250g, Peony White Tea 200g, Pu Erh Tea in bulk 200g, Organic Maofeng Green Tea 120g, AMG Oolong Tea in bulk 200g</t>
  </si>
  <si>
    <t xml:space="preserve">Add chassis fee. 9/19: Received revised invoice and bill of lading (1122 cs instead of 1416cs). When all original docs arrive, send GreatWorld a set of revised docs.  9/27:  Send OBL and email revised docs. 10/8: LFD 10/12. </t>
  </si>
  <si>
    <t>MSCU4271645</t>
  </si>
  <si>
    <t>Paper Box (AMG Rt, AMG Rt w/Chry &amp; Green), Plastic Tray (AMG Rt) Sticker (Wild American Oval Label)</t>
  </si>
  <si>
    <t>FOB.  PO#26432, 26425, 26433, NS927.  10/4:  Custom hold for X-Ray exam. Extra fee will be charged. 10/8: X-ray exam should be done early this week. 10/10:  LFD 10/16.</t>
  </si>
  <si>
    <t>TEMU6026800</t>
  </si>
  <si>
    <t>Pu-Erh Tea 100's</t>
  </si>
  <si>
    <t xml:space="preserve">LFD:  10/9. 10/4: Rcvd OBL and mail out ourselves </t>
  </si>
  <si>
    <t>GESU4801759</t>
  </si>
  <si>
    <t>9/4. Per vendor's email, no payback packaging for this shipment, "TT FULL AMOUNT of USD 26,179.00. 9/12:  Send OBL.  FOB.  LFD: 10/9.</t>
  </si>
  <si>
    <t>Seirogan (air shipment) - this is the one previously detained and exported out of US</t>
  </si>
  <si>
    <t>LFD: 10/3. 10/4: Roselle said delivery scheduled for today</t>
  </si>
  <si>
    <t>FCIU8704367</t>
  </si>
  <si>
    <t>9/12: Send OBL</t>
  </si>
  <si>
    <t>MSCU9283741</t>
  </si>
  <si>
    <t>9/10:  Send OBL.  9/27:  Rcvd FDA examine request fm GW.  9/28: Rcvd Greatworld Inv. 10/3: Greatworld notified FDA. 10/4: Received FDA release notice</t>
  </si>
  <si>
    <t>SZLU9081460</t>
  </si>
  <si>
    <t>9/25: LFD 9/26. Chassis Fee.  9/25:  Rcvd Greatworld Inv.</t>
  </si>
  <si>
    <t>ECMU9413682</t>
  </si>
  <si>
    <t>Ginger Honey Crystals 36 bx/30bags</t>
  </si>
  <si>
    <t>LFD 9/28. 9/12: Send OBL. 9/28 Rcvd Greatworld Inv.</t>
  </si>
  <si>
    <t>CBHU8956761</t>
  </si>
  <si>
    <t>Green Tea 20's/100's, Jasmine/TiKuanYin/White Tea 100's, Jasmine material</t>
  </si>
  <si>
    <t>9/7: may have late ISF. 9/10:  Send OBL. LFD: 10/1.  Chassis Fee.  9/25:  Rcvd Greatworld Inv.</t>
  </si>
  <si>
    <t>MSCU7172179</t>
  </si>
  <si>
    <t>8/28: Send OBL. 9/25 Rcvd GW invoice.</t>
  </si>
  <si>
    <t>MSCU5566996</t>
  </si>
  <si>
    <t>Remember to provide Vet Cert of Ultra Joint Health Liquid Ext for Greatworld along with OBL.  9/13:  Rcvd Revised Inv &amp; Packing list. 9/14: Sent Greatworld revised docs. 9/18: USDA Exam Hold. 9/20: Mailed OBL out ourselves. 9/26: freight released, container released to trucker to send to BOBAC.  9/28: Need to inform GW once goods are ready for FDA examine. 10/2: Greatworld notified FDA. 10/10: Officer Junes Valdemoro (650)244-4729 came to inspect label. Verbal okay. Wait for release notice. 10/10: Received FDA release notice.</t>
  </si>
  <si>
    <t>HJCU1122562</t>
  </si>
  <si>
    <t>AMG Alum Foil,AMG Rt Tag</t>
  </si>
  <si>
    <t>9/26/12 (recv'd by Sun Ten)</t>
  </si>
  <si>
    <t>FOB. ETA estimated. 9/13: Peter Chen from Sun Ten says in email they will handle clearance. We pay ISF only. 9/25: We mailed check to Yatari to pay ocean freight + pier pass per Peter Chen at Sun Ten, Sun Ten broker take care of delivery</t>
  </si>
  <si>
    <t>DFSU6812540</t>
  </si>
  <si>
    <t>AMRt 1/4lb Paper Box, Plastic lid, FishOil Label(HKversion), Banner(Wing Lung)</t>
  </si>
  <si>
    <t>FOB. PO#26388, 26387, NS903.  9/18:  Custom Hold for X-ray exam, Extra Fee will apply.</t>
  </si>
  <si>
    <t>MSKU0828027</t>
  </si>
  <si>
    <t xml:space="preserve">Organic Green 100's, Oolong 20's/100's, White 100's, Peony White Tea </t>
  </si>
  <si>
    <t xml:space="preserve">LFD 9/21. 9/14:  Send OBL. </t>
  </si>
  <si>
    <t>TCNU9185699</t>
  </si>
  <si>
    <t>FOB.</t>
  </si>
  <si>
    <t>TRIU8064452</t>
  </si>
  <si>
    <t>LFD 9/24, reffer.</t>
  </si>
  <si>
    <t>TCLU8317197</t>
  </si>
  <si>
    <t>Organic White 100's , POP Pu-Erh 100's, Peony White Tea</t>
  </si>
  <si>
    <t>add chassis fee. LFD 9/21. 9/10: Send OBL</t>
  </si>
  <si>
    <t>MSCU7766777</t>
  </si>
  <si>
    <t>Organic Green Tea 20's/100's</t>
  </si>
  <si>
    <t>LFD 9/20</t>
  </si>
  <si>
    <t>NYKU3153321</t>
  </si>
  <si>
    <t>POP Milk Tea (J-40130)</t>
  </si>
  <si>
    <t>add chassis fee. LFD 9/19</t>
  </si>
  <si>
    <t>GLDU0970187</t>
  </si>
  <si>
    <t>add chassis fee. LFD: 9/14</t>
  </si>
  <si>
    <t>FCIU9198772</t>
  </si>
  <si>
    <t>LFD 9/11</t>
  </si>
  <si>
    <t>MRKU0001335</t>
  </si>
  <si>
    <t>Red Panax Ginseng Extractum, Ginkgo Biloba, Ultra Ginkgo Plus, Beijing Royal Jelly</t>
  </si>
  <si>
    <t xml:space="preserve">LFD 9/12, waiting for Jimmy to schedule delivery.  9/7:  FDA Exam Notify. 9/11: overweight charge of $150; Asked GreatWorld to notify FDA.  9/12: FDA released without exam. </t>
  </si>
  <si>
    <t>NYKU7157393</t>
  </si>
  <si>
    <t>Delacre Ensemble, Grand Gala, Royal Belgian Collection, Prince Collection, Tea Time, Roules d or</t>
  </si>
  <si>
    <t>LFD 9/6</t>
  </si>
  <si>
    <t>SZLU9080139</t>
  </si>
  <si>
    <t>8/8: Rcvd vessel delay notice fm Vendor. ETA changed fm 8/15 to 8/27</t>
  </si>
  <si>
    <t>MEDU2343233</t>
  </si>
  <si>
    <t>Panax Ginseng Ext, Ultra S Red Panax Ginseng Ext, Goji on the Go</t>
  </si>
  <si>
    <t>8/31:  Hold by DHS Agriculture Quarantine Inspection.  9/7: Just finished inspection. Supposed to return container today. 4 days of demurrage. (9/8-9/11). 9/18: 2012TAT-06櫃93箱松樹牌人參精有效期問題 (printed 1015 instead of 2015)</t>
  </si>
  <si>
    <t>NYKU7549408</t>
  </si>
  <si>
    <t>Mac Nut S Nougat - Orig,Green Tea, Cranberry 16 bags</t>
  </si>
  <si>
    <t>add chassis fee. FOB. 20' Reefer.</t>
  </si>
  <si>
    <t>TCNU7136930</t>
  </si>
  <si>
    <t>8/14: Rcvd OBL</t>
  </si>
  <si>
    <t>MSCU5936302</t>
  </si>
  <si>
    <t>Tea (Green 100's, White 20's/100's)</t>
  </si>
  <si>
    <t>BMOU9765380</t>
  </si>
  <si>
    <t>Tu Chung &amp; Young Ji Tea</t>
  </si>
  <si>
    <t>8/9: Rcvd delay notice fm Vendor, ETD changed fm 8/10 to 8/12.  8/17:  Rcvd Arrival notice.  8/24: Rcvd X-Ray Exam Hold notice.</t>
  </si>
  <si>
    <t>SZLU9102979</t>
  </si>
  <si>
    <t>Lambertz: Comp, CocoFleur, Balena, Exq Gold/Red</t>
  </si>
  <si>
    <t>40' Reefer</t>
  </si>
  <si>
    <t>CAXU6428052</t>
  </si>
  <si>
    <t>Corrugated Carton, Glass Bottle, Plastic Bag-Nougat, Printed Matter-Z fold inserts, Paper Box-MacN, PuErh Black Tea box/tin, AMG Oolong Tea box/tin, AMG Rt 48 pcs</t>
  </si>
  <si>
    <t xml:space="preserve">LFD: 8/27.  Freight Collect (FOB). PO NS883, 26354, NS882, 26374, 26340, 26291, 26321.  </t>
  </si>
  <si>
    <t>THKG0490855</t>
  </si>
  <si>
    <t>Bak Foong Pills (Air Shipment for Bo Wing Hong)</t>
  </si>
  <si>
    <t>For Bo Wing Hong (Air Shipment) , bill back Eu Yan Sang later. 8/29:  FDA officer, Josephine came to inspect goods. 8/31:  Rcvd FDA Released notice</t>
  </si>
  <si>
    <t>TCLU8722250</t>
  </si>
  <si>
    <t>Organic Tea (Green, Jasmine, Oolong, White)</t>
  </si>
  <si>
    <t>Add chassis fee.  8/13: Rcvd OBL.  8/14: 3+1+1 to ET</t>
  </si>
  <si>
    <t>TTNU4169717</t>
  </si>
  <si>
    <t>Tea (Green 20's/100's, Pu-Erh100's)</t>
  </si>
  <si>
    <t>LFD: 8/17.  Add chassis fee</t>
  </si>
  <si>
    <t>CLHU4546286</t>
  </si>
  <si>
    <t xml:space="preserve">Tea (Green 100's, Oolong 100's) </t>
  </si>
  <si>
    <t>LFD: 8/15.   8/13: 3+1+1 to Cat</t>
  </si>
  <si>
    <t>MSKU8343640</t>
  </si>
  <si>
    <t>LFD: 8/10</t>
  </si>
  <si>
    <t>CLHU2848749</t>
  </si>
  <si>
    <t>MSCU4877714</t>
  </si>
  <si>
    <t>LFD 8/14</t>
  </si>
  <si>
    <t>TGHU4789152</t>
  </si>
  <si>
    <t>American Ginseng Instant Tea, Instant Wild American Ginseng Tea</t>
  </si>
  <si>
    <t>LFD 8/7</t>
  </si>
  <si>
    <t>MSKU7372392</t>
  </si>
  <si>
    <t>Panax Ginseng Extractum Oral Liquid, Red Ginseng Royal Jelly, Ultra Strength Red Panax Ginseng Extractum</t>
  </si>
  <si>
    <t>LFD 8/6. Add chassis fee.</t>
  </si>
  <si>
    <t>CRLU1624194</t>
  </si>
  <si>
    <t>Paper Box, Sticker, Umbrella</t>
  </si>
  <si>
    <t>PO 26287, 26277,26127. 8/3: 3+1+1 to ET</t>
  </si>
  <si>
    <t>CRLU3151418</t>
  </si>
  <si>
    <t>Mooncake</t>
  </si>
  <si>
    <t>partial release</t>
  </si>
  <si>
    <t>8/13:  FDA hold for exam. 8/15: FDA collected 30 ea of F95823 for lab test. Failed label inspection. 8/17: FDA released except F95823 individual still on hold for lab test &amp; re-label may required. 8/22: Asked Roselle to ask for FDA status of individual mooncakes again before we propose our "not for individual sales" label. 8/29: Lab analysis completed on 8/28. Waiting for FDA to review results. 9/4: Still no update. Roselle says usually takes 15 days to review. 9/7: Roselle sends another request for update. 9/14: Rcvd FDA Notice #3, label misbranding. Have responded with Form 766 the same day. 9/20: Roselle emailed to ask for a status again. 9/25: Another reminder to FDA. 9/26: Remind FDA again! 10/1: 4th request to FDA. 10/8: Roselle emailed FDA officer again.  10/19:  Inform Roselle to respond to officer to destroy the mooncakes. 12/19:  Roselle filed for destruction to Customs. Officer will contact POPNJ to schedule destruction. Notify Roselle once destruction done and she will follow up with Customs on paperwork.  1/2/13: Carroll asked Roselle to issue 2nd request. 1/10/13: Destruction appointment scheduled on 1/28 at 9am, destroy and dump at NJ warehouse. 1/28/13: Destruction completed and paperwork signed.</t>
  </si>
  <si>
    <t>TRLU4815082</t>
  </si>
  <si>
    <t>GESU5224970</t>
  </si>
  <si>
    <t>Ginger Candy (125g, 1000g)</t>
  </si>
  <si>
    <t>6/21: "according to Mrs Erry there's no payback packaging so please TT full amount of USD26,102.25"</t>
  </si>
  <si>
    <t>CGMU4932947</t>
  </si>
  <si>
    <t>add chassis fee. LFD 7/26. 7/27: FDA exam needed. Notified Roselle. 8/2: Roselle notifies FDA (2nd request). 8/3 Rcvd FDA pending review notice.  8/7 Completely released.</t>
  </si>
  <si>
    <t>CMAU5909331</t>
  </si>
  <si>
    <t>Completely Released 8/14</t>
  </si>
  <si>
    <t>7/27: Ginger Honey Crystal released. Dong Quai Red Date Tea FDA exam needed. Notified Roselle. 8/2: Roselle notifies FDA (2nd request).  8/14: Released Dong Quai Red DAte Tea.</t>
  </si>
  <si>
    <t>KKFU7583736</t>
  </si>
  <si>
    <t>12BE02025 当归红枣茶105箱正确。商检是提前报，预计包装够110箱，但实际货物出来只有105箱，所以报关只能按商检数量。您通知收货部门收货时注意就行，付款看您那边方便，银行发票金额比实际装运金额多出20美元。银行的发票是货代转过去的，没做更正，不好意思。($59012.50 vs $58992.50) 7/23: FDA partial release. Ginger Honey Crystals may proceed. Dong Quai and Red Date Tea pending FDA review. 7/27: Dong Quai Tea needs to be examined. Notified Roselle. 8/2: Roselle notifies FDA (2nd request).  8/7 FDA released Dong Quai &amp; Red Date Tea.  Shipment completely released.</t>
  </si>
  <si>
    <t>TTNU9655007</t>
  </si>
  <si>
    <t>Printed Matter, Banner, Paper Box, Sticker, Empty Tins</t>
  </si>
  <si>
    <t>PO26292, NS861, 857</t>
  </si>
  <si>
    <t>ZCSU5926714</t>
  </si>
  <si>
    <t xml:space="preserve">7/18: LFD 7/18. Over 100F; No genset available yet. May see demurrage if LFD can't be extended. 7/19: Roselle confirms no demurrage </t>
  </si>
  <si>
    <t>MEDU2385922</t>
  </si>
  <si>
    <t>Panax Ginseng Extractum Oral Liquid, Red Ginseng Royal Jelly, Green Tea Extractum with Panax Ginseng, Goji on the Go</t>
  </si>
  <si>
    <t xml:space="preserve">7/17: FDA released: Red Ginseng Royal Jelly, Goji on the Go. Pending FDA review: Panax Ginseng Extractum Oral Liquid and
Green Tea Extractum With Panax Ginseng. 7/26: FDA released all items.
</t>
  </si>
  <si>
    <t>1027 + 210pcs</t>
  </si>
  <si>
    <t>MEDU8468120</t>
  </si>
  <si>
    <t>Organic Tea (Green, Jasmine, Oolong, White), Pi Lo Chun, 210 pieces of cartons</t>
  </si>
  <si>
    <t>YMLU5350601</t>
  </si>
  <si>
    <t xml:space="preserve">Korean Red Ginseng Powder
</t>
  </si>
  <si>
    <t>NYKU7110884</t>
  </si>
  <si>
    <t>add chassis fee</t>
  </si>
  <si>
    <t>MSCU4336406</t>
  </si>
  <si>
    <t>Tea (Green, Jasmine, Ti Kuan Yin, Pu-Erh, White)</t>
  </si>
  <si>
    <t>CGMU9289685</t>
  </si>
  <si>
    <t>Tibetan Rhubarb Detox Tea</t>
  </si>
  <si>
    <t>HJCU1347208</t>
  </si>
  <si>
    <t>YNBY (Plaster, Aerosol, Capsule, Powder)</t>
  </si>
  <si>
    <t>MSCU9775660</t>
  </si>
  <si>
    <t>TTNU4574767</t>
  </si>
  <si>
    <t>LFD 7/12</t>
  </si>
  <si>
    <t>HDMU6707380</t>
  </si>
  <si>
    <t>Paper box, Sticker, Banner, Slicing Blade, Umbrella, Leaflet, Scissors, Bak Foong Pills</t>
  </si>
  <si>
    <t>PO 26250, 26196, 26026, 25932, NS831, NS857, NS845. 7/9: FDA Exam. Roselle notified FDA. 7/12: Maria was with FDA officer Marissa Chan, who took pics of outer carton and inner box</t>
  </si>
  <si>
    <t>NS814</t>
  </si>
  <si>
    <t>SCZU7930084</t>
  </si>
  <si>
    <t>Paper Bag</t>
  </si>
  <si>
    <t>CAXU6881752</t>
  </si>
  <si>
    <t>Panax Ginseng Extractum Oral Liquid, Green Tea Extractum, Goji on the Go</t>
  </si>
  <si>
    <t>MSCU5798311</t>
  </si>
  <si>
    <t>American Ginseng Hard Candy (1lb)</t>
  </si>
  <si>
    <t>LFD 7/10</t>
  </si>
  <si>
    <t>MSCU8508720</t>
  </si>
  <si>
    <t>CPSU4050569</t>
  </si>
  <si>
    <t>McVities Digestive Biscuits</t>
  </si>
  <si>
    <t>add chassis fee, LFD 6/29</t>
  </si>
  <si>
    <t>TCKU1314250</t>
  </si>
  <si>
    <t>6/25: FDA Exam Notify. 6/27: Asked Greatworld to notify FDA. 7/5: 2nd request to FDA. 7/10: FDA came and collected 10 tins of samples for lab testing. 7/16: 320cs and 160cs released. 420cs still waiting for FDA results. 7/25:  lab analysis completed. Wait for FDA officer to review the results. (usually takes about 15 days for the FDA officer to review the results). 7/27: FDA completely released all goods.</t>
  </si>
  <si>
    <t>KKFU1201923</t>
  </si>
  <si>
    <t>Red Panax Ginseng Extractum, Ginkgo Biloba, Ultra Ginkgo Plus, Beijing Royal Jelly, American Ginseng Royal Jelly</t>
  </si>
  <si>
    <t>TTNU4365920</t>
  </si>
  <si>
    <t>Tea (Green, Jasmine, Pu-Erh) + Jasmine Material</t>
  </si>
  <si>
    <t>LFD 6/29. add an additional of $55.00+15% for the heavy weight charge.</t>
  </si>
  <si>
    <t>NYKU7918419</t>
  </si>
  <si>
    <t>Pei Pa Lo (LCL)</t>
  </si>
  <si>
    <t>6/27: FDA Exam Notify. Joyce already notified FDA. 7/5: 2nd request to FDA. 7/10: FDA came to take picture</t>
  </si>
  <si>
    <t>CBHU9991284</t>
  </si>
  <si>
    <t>LFD 6/20</t>
  </si>
  <si>
    <t>PONU1518807</t>
  </si>
  <si>
    <t>Organic Tea (Green Tea 100's, Pu-Erh 100's)</t>
  </si>
  <si>
    <t>add chassis fee, LFD 6/20. 5/29: John says info on invoice is not correct. gave me revised info (for our accounting)</t>
  </si>
  <si>
    <t>KKFU1590471</t>
  </si>
  <si>
    <t>IMTU3008188</t>
  </si>
  <si>
    <t>TCNU8250001</t>
  </si>
  <si>
    <t>YNBY Toothpaste 100g</t>
  </si>
  <si>
    <t>6/6: FDA released, but still on X-ray hold. 6/20: Still on Customs hold. No LFD info yet.</t>
  </si>
  <si>
    <t>HDMU6459391</t>
  </si>
  <si>
    <t>add chassis fee. LFD 6/14</t>
  </si>
  <si>
    <t>MSCU9833576</t>
  </si>
  <si>
    <t>Han's Honey Loquat Syrup, American Ginseng Instant Tea, Instant Wild American Ginseng Tea</t>
  </si>
  <si>
    <t xml:space="preserve">6/1: (USDA) AGRICULTURE QUARANTINE INSPECTION. </t>
  </si>
  <si>
    <t>MRKU0213247</t>
  </si>
  <si>
    <t>Tea (Green 100's, Oolong 100's)</t>
  </si>
  <si>
    <t>WHLU5256439</t>
  </si>
  <si>
    <t>Honey Loquat Hard Candy</t>
  </si>
  <si>
    <t>6/8: cont is 40’ and 51,506 lbs,add an additional of $55.00+17% ($64.35) for the heavy weight charge.</t>
  </si>
  <si>
    <t>MSKU6660080</t>
  </si>
  <si>
    <t>Red Panax Ginseng Extractum, Ginkgo Biloba, Ultra Ginkgo Plus, Beijing Royal Jelly, Ult Joint Health Ext</t>
  </si>
  <si>
    <t>6/4: FDA Exam. 6/15:  May Lee (973-645-2386 ext105) inspected shipment and she said it should release next week.</t>
  </si>
  <si>
    <t>MOFU0530187</t>
  </si>
  <si>
    <t>LFD 6/7</t>
  </si>
  <si>
    <t>TCLU5530059</t>
  </si>
  <si>
    <t>Honey (Manuka 10+, Kamahi, Clover, Manuka) (LCL)</t>
  </si>
  <si>
    <t>CGMU4928865</t>
  </si>
  <si>
    <t>Cheezheng Plaster (ocean shipment) (LCL/IT)</t>
  </si>
  <si>
    <t>6/5: Still waiting for shipment to arrive Oakland. (maybe this week) Will not have FDA status until shipment arrives Oakland</t>
  </si>
  <si>
    <t>MSKU6446280</t>
  </si>
  <si>
    <t>Tea (Pu-Erh 100's, White 100's)</t>
  </si>
  <si>
    <t xml:space="preserve">add chassis fee. LFD 6/7. </t>
  </si>
  <si>
    <t>TTNU4006807</t>
  </si>
  <si>
    <t>Tea (Green, Jasmine, Oolong)</t>
  </si>
  <si>
    <t>HDMU5507026</t>
  </si>
  <si>
    <t>Paper Box, Plastic Tray, Label, Plastic Bag, Books, Matt Vinyl Banner</t>
  </si>
  <si>
    <t>Ken: help Christian Orgn ship books via POPHK. No need to charge them shipping/handling, but if there is any import duties, then we have to bill them. Phoebe: "a parcel packed into sample paper box. The parcel is Ken's stuff". PO 26141, 26145, 26142, NS806, NN171, 26123, NS822, NS799, NN176</t>
  </si>
  <si>
    <t>TGHU4973730</t>
  </si>
  <si>
    <t>5/31: LFD is 5/31. Overseas agent finally sent freight forwarder release notice, but terminal still says no release. May have demurrage. 6/1: Freight released, LFD extended to 6/5. Trucker will pick up on 6/4 and deliver on 6/7/12</t>
  </si>
  <si>
    <t>006-32596351</t>
  </si>
  <si>
    <t>Cheezheng Plaster (air shipment)</t>
  </si>
  <si>
    <t>5/15: FDA Exam. Roselle notified FDA goods are available. 5/22: Roselle said FDA wants to review docs first. 5/31: Asked Roselle to contact FDA again</t>
  </si>
  <si>
    <t>CCLU4460475</t>
  </si>
  <si>
    <t>Organic Tea (Green, Jasmine, White)</t>
  </si>
  <si>
    <t>LFD 5/22</t>
  </si>
  <si>
    <t>POCU0481546</t>
  </si>
  <si>
    <t>Panax Ginseng Extractum Oral Liquid, Royal Jelly, Green Tea Extractum, Goji on the Go</t>
  </si>
  <si>
    <t xml:space="preserve">5/21: FDA Exam. Also, pending for Customs Intensive Exam. LFD 5/21, so will see demurrage. 5/22: Container picked up. 5/24: Told Joyce to notify FDA. 5/30: FDA Inspector Kerry (973)6452386-EXT110) examined container and verbal OK. </t>
  </si>
  <si>
    <t>GLDU5572611</t>
  </si>
  <si>
    <t>MRKU0329073</t>
  </si>
  <si>
    <t>Red Panax Ginseng Extractum, Ginkgo Biloba, Ultra Ginkgo Plus, Am Gsg Royal Jelly, Ult Joint Health Ext</t>
  </si>
  <si>
    <t>add chassis fee. LFD 5/10. 5/3 US Customs Hold</t>
  </si>
  <si>
    <t>MSKU3829541</t>
  </si>
  <si>
    <t>add chassis fee. LFD 5/9. 5/3 US Customs Hold</t>
  </si>
  <si>
    <t>MEDU4036703</t>
  </si>
  <si>
    <t>LFD 5/9. Per Phoebe: 由於上次貨櫃有空位，訂單25651入多了15箱4.78oz ，但上次他們沒有報國內商檢，今次報檢要我們多加15箱在文件上。所以船單的數量是不對的，實收數量如下(附上金萊發票)：
8oz - 230箱  4.78oz - 310箱</t>
  </si>
  <si>
    <t>MSKU0457081</t>
  </si>
  <si>
    <t>CAXU7401101</t>
  </si>
  <si>
    <t>Paper Box, Plastic Tray, Label, Printed Matter, Matt Vinyl Banner</t>
  </si>
  <si>
    <t>LFD 5/7. PO 26079, 26024, 25897, 26080, 26078, 26074, 26072, 26056; NS803, NS798, NS805, NS799</t>
  </si>
  <si>
    <t>EMCU1347476</t>
  </si>
  <si>
    <t>LFD 5/7</t>
  </si>
  <si>
    <t>PONU1336757</t>
  </si>
  <si>
    <t>Tea (Green, Japanese, Pu-Erh, White)</t>
  </si>
  <si>
    <t>add chassis fee. LFD 5/2</t>
  </si>
  <si>
    <t>MSCU4725630</t>
  </si>
  <si>
    <t>Green Tea 100's</t>
  </si>
  <si>
    <t>CRXU9726179</t>
  </si>
  <si>
    <t>TGHU4449975</t>
  </si>
  <si>
    <t>HDMU5474149</t>
  </si>
  <si>
    <t>TGHU9668235</t>
  </si>
  <si>
    <t xml:space="preserve">Korean Red Ginseng Powder (LCL)
</t>
  </si>
  <si>
    <t>WFHU4121421</t>
  </si>
  <si>
    <t xml:space="preserve">4/12: USDA Hold. 4/13 USDA released. LFD 4/18  </t>
  </si>
  <si>
    <t>MSKU6334417</t>
  </si>
  <si>
    <t>Wu-Long Tea</t>
  </si>
  <si>
    <t>add chassis fee. Shipment for Ultimate International</t>
  </si>
  <si>
    <t>CBHU5673623</t>
  </si>
  <si>
    <t>Ningxia Fructus Lycii</t>
  </si>
  <si>
    <t>LFD 4/13. 4/5 USDA Hold. 4/6 USDA released</t>
  </si>
  <si>
    <t>441cs (5292 pieces)</t>
  </si>
  <si>
    <t>MSKU1084758 (LCL 3 plts)</t>
  </si>
  <si>
    <t>Honey (Clover, Manuka, Kamahi)</t>
  </si>
  <si>
    <t>MOFU5850563</t>
  </si>
  <si>
    <t>TCNU7903565</t>
  </si>
  <si>
    <t>Paper Box, Plastic Tray, Printed Matter, Umbrella</t>
  </si>
  <si>
    <t>PO 26076, 26024, 26026, 26044</t>
  </si>
  <si>
    <t>CBHU6005280</t>
  </si>
  <si>
    <t>Tea (Green 20's/100's, Jasmine)</t>
  </si>
  <si>
    <t>TGHU1589762</t>
  </si>
  <si>
    <t>Ginger Candy (125g)</t>
  </si>
  <si>
    <t>LFD 4/10</t>
  </si>
  <si>
    <t>EGHU3119383</t>
  </si>
  <si>
    <t>mailed OBL received by front desk LIN on 4/2 2:03PM. LFD 4/9</t>
  </si>
  <si>
    <t>TRLU9263324</t>
  </si>
  <si>
    <t>MSCU8177175</t>
  </si>
  <si>
    <t>MSCU5650622</t>
  </si>
  <si>
    <t>Red Panax Ginseng Extractum, Ginkgo Biloba, Ultra Ginkgo Plus, Ult Joint Health Ext</t>
  </si>
  <si>
    <t>3/29: FDA Exam. 4/4: Asked Joyce to notify FDA. 4/11: Asked Joyce to notify FDA again</t>
  </si>
  <si>
    <t>NYKU3387443</t>
  </si>
  <si>
    <t>add chassis fee. LFD 4/5</t>
  </si>
  <si>
    <t>TGHU8447142</t>
  </si>
  <si>
    <t>LFD 3/30</t>
  </si>
  <si>
    <t>MSCU5926325</t>
  </si>
  <si>
    <t>TCLU3197669</t>
  </si>
  <si>
    <t>add chassis fee (Winnie's substitute, not 100% sure)</t>
  </si>
  <si>
    <t>MOFU0427219</t>
  </si>
  <si>
    <t>American Ginseng Hard Candy (1lb, 8oz, 4.78oz)</t>
  </si>
  <si>
    <t>LFD 3/22</t>
  </si>
  <si>
    <t>CBHU6366112</t>
  </si>
  <si>
    <t>Organic Green Tea 100s, Tea 100s (Green Tea, Ti Kuan Yin, White)</t>
  </si>
  <si>
    <t>USDA Hold for Exam.  3/16: FDA Exam Notify. 3/27: Roselle informed FDA goods are ready for exam</t>
  </si>
  <si>
    <t>HDMU5550779</t>
  </si>
  <si>
    <t>Paper Box (for Am Gsg Root 4oz)</t>
  </si>
  <si>
    <t>NYKU3597964</t>
  </si>
  <si>
    <t>APZU3713046</t>
  </si>
  <si>
    <t>SSA-995548</t>
  </si>
  <si>
    <t>Seirogan (air shipment, testing small qty)</t>
  </si>
  <si>
    <t>3/15: FDA Detained due to Import Alert. 4/23: Received FDA notice 3, confirming our testimony being reviewed.  7/13:  FDA Refused. 10/23: Destroyed at David Street Transfer Station, witnessed by FDA officer Josephine Valdemoro Chavez (510)4551362 (cell)</t>
  </si>
  <si>
    <t>CMAU2126862</t>
  </si>
  <si>
    <t>3/2: on an AQI / USDA hold. LFD 3/14</t>
  </si>
  <si>
    <t>TTNU5752483</t>
  </si>
  <si>
    <t>LFD 3/9</t>
  </si>
  <si>
    <t>HDMU5523520</t>
  </si>
  <si>
    <t>Paper Box, Desiccant, Sticker, Microwave Box</t>
  </si>
  <si>
    <t>PO 25897, 25962, 25919, 25853. Note: 1)Microwave box from previous short ship</t>
  </si>
  <si>
    <t>MRKU7274440</t>
  </si>
  <si>
    <t>APZU4008610</t>
  </si>
  <si>
    <t>MEDU4022398</t>
  </si>
  <si>
    <t>3/8: FDA Exam. Roselle informed FDA.</t>
  </si>
  <si>
    <t>MSKU3772940</t>
  </si>
  <si>
    <t>Organic Tea (Jasmine, Oolong)</t>
  </si>
  <si>
    <t>add chassis fee $13/day</t>
  </si>
  <si>
    <t>TTNU5780567</t>
  </si>
  <si>
    <t>Organic Tea (Green, Jasmine, Oolong, White) + Jasmine Tea Material 2 cases</t>
  </si>
  <si>
    <t>LFD 2/27</t>
  </si>
  <si>
    <t>GLDU5557561</t>
  </si>
  <si>
    <t>add chassis fee. LFD 2/24</t>
  </si>
  <si>
    <t>TTNU4084219</t>
  </si>
  <si>
    <t>LFD 2/24</t>
  </si>
  <si>
    <t>TGHU4594000</t>
  </si>
  <si>
    <t>2/15: Shipment requires USDA examination at Pacific Coast Warehouse and exam charges will apply.</t>
  </si>
  <si>
    <t>TCNU8532155</t>
  </si>
  <si>
    <t>2/15: Container arrived at warehouse, items waiting to be segregated</t>
  </si>
  <si>
    <t>TRLU6336920</t>
  </si>
  <si>
    <t>add chassis fee. LFD 2/17</t>
  </si>
  <si>
    <t>TRLU8636043</t>
  </si>
  <si>
    <t>Tea (Green, Oolong, Pu-Erh)</t>
  </si>
  <si>
    <t>CBHU6014929</t>
  </si>
  <si>
    <t>LFD 2/16</t>
  </si>
  <si>
    <t>MRKU7985535</t>
  </si>
  <si>
    <t>Panax Ginseng Extractum Oral Liquid, Royal Jelly, Ultra Red Panax Ginseng Extractum, Green Tea Extractum, Goji on the Go</t>
  </si>
  <si>
    <t xml:space="preserve">2/7: FDA exam notify. 2/14: Notify Joyce goods are here for exam. 2/22: FDA Kerry.noto@fda.hhs.gov. came and verbal ok.
</t>
  </si>
  <si>
    <t>DFSU6749598</t>
  </si>
  <si>
    <t>1/30: X-Ray Exam. 2/7: Plaster released, Aerosol released. 2/16: Inform Andy partial release. 2/22: Capsule - FDA exam notify, Roselle informed FDA; Powder - FDA reviewing. 2/29: FDA Seyyida came. 3/1: All released</t>
  </si>
  <si>
    <t>NYKU5939752</t>
  </si>
  <si>
    <t>2/7: Per Roselle's update, FDA exam notify. 2/17: Notifie Roselle/Joyce goods available for exam.</t>
  </si>
  <si>
    <t xml:space="preserve">MRKU7468909 (MSKU?)
</t>
  </si>
  <si>
    <t>add chassis fee. 2/1: US Customs Hold, LFD 2/6/12, Winnie will check again if it's released on 2/6 and deliver the same day if available</t>
  </si>
  <si>
    <t>25287 25288</t>
  </si>
  <si>
    <t>940 x 2</t>
  </si>
  <si>
    <t>NYKU2938388 NYKU3378251</t>
  </si>
  <si>
    <t>YMLU2882920</t>
  </si>
  <si>
    <t>Shipment for Ultimate International</t>
  </si>
  <si>
    <t>DFSU4030202</t>
  </si>
  <si>
    <t>Am Ginseng Hard Candy (8oz/4.78oz)</t>
  </si>
  <si>
    <t xml:space="preserve">1/26: Package at Anchorage, AK. 2/8: Called FedEx, they just sent out email saying FDA requesting more info (end use letter, with NDC and FDA registration number etc, Ref#11259986243) 2/9: Package sent to Seattle, WA for lab test. 2/22: Per FedEx, FDA released package on 2/15. Package currently not released by US Customs yet and they selected it for a intensive exam. </t>
  </si>
  <si>
    <t>MAEU8360968</t>
  </si>
  <si>
    <t>CBHU1774410</t>
  </si>
  <si>
    <t>Tea (Organic Green, Japanese Green, Jasmine, Oolong, White)</t>
  </si>
  <si>
    <t>MOFU0670126</t>
  </si>
  <si>
    <t>Am Ginseng Hard Candy (1lb/8oz/4.78oz)</t>
  </si>
  <si>
    <t>MSCU4365868</t>
  </si>
  <si>
    <t>HDMU5510020</t>
  </si>
  <si>
    <t>Paper Box, Plastic Lid, Bak Foong Pills, Microwave Box, Stainless Steel Spoon, Book</t>
  </si>
  <si>
    <t xml:space="preserve">PO 25852, 25811, 25085, 25727. Note: 1)9 set of microwave box short ship, will provide to us later. 2)1 ctn book to Maisie, article about KEN is on page 38. 1/18: FDA will come to exam goods on 1/20 between 10am-12pm. </t>
  </si>
  <si>
    <t>GVCU2172412</t>
  </si>
  <si>
    <t>3528jars</t>
  </si>
  <si>
    <t>GESU4772291</t>
  </si>
  <si>
    <t>Honey (Clover, Manuka, Kamahi) (2 pallets)</t>
  </si>
  <si>
    <t>HDMU6570424</t>
  </si>
  <si>
    <t>Hirsch Lollipop</t>
  </si>
  <si>
    <t>12/29: Toll Global: "Roselle – this is a door to door move please forward the Delivery Order and Customs release when you’re ready."</t>
  </si>
  <si>
    <t>25435 (3 of 3)</t>
  </si>
  <si>
    <t>MATU2466415</t>
  </si>
  <si>
    <t>YNBY Plaster, Tincture</t>
  </si>
  <si>
    <t>1/4: X-Ray Exam Hold. 1/12: Arrival notice: PCC Logistics will try to pick and devan container today 1/18: Plaster released. FDA will come to exam Tincture on 1/20 between 10am-12pm. 2/8: Asked Roselle to ask for status</t>
  </si>
  <si>
    <t>MSKU3274680</t>
  </si>
  <si>
    <t>Red Panax Ginseng Extractum, Ginkgo Biloba, Ultra Ginkgo Plus, Royal Jelly, Ultra Joint Health Liquid Extract</t>
  </si>
  <si>
    <t>1/5: intensive exam and USDA hold. 1/9: FDA exam. Notify Joyce when goods available for exam. 1/12: Greatworld finds out container went to Savannah. In the process of working with Maersk to issue an I.T. for container to go back to Newark NJ.  1/24: LFD 1/27/12. $50 additional charge for the rail pick up, will see who absorbs that charge. 1/25/12: Asked Joyce to notify FDA goods are ready for exam. 2/2: Asked Joyce to notify FDA again. 2/9: joseph.duca@fda.hhs.gov came and verbal ok</t>
  </si>
  <si>
    <t>Sheet Last updated: Edmund 1/13/12</t>
  </si>
  <si>
    <t>MOFU0402530 FSCU4739852 MOFU0608080</t>
  </si>
  <si>
    <t>Patch, White18gEthnic, Red18gEthnic, White18g, Red18g, UltOint8g/18g/50g, Liniment, KLOil28ml, MuscleRub</t>
  </si>
  <si>
    <t>1/5/12 (x2) 1/6/12 (x1)</t>
  </si>
  <si>
    <t>OOLU7608200 OOLU7524120</t>
  </si>
  <si>
    <t>OOLU7754550 OOLU7360285</t>
  </si>
  <si>
    <t>White18gEthnic, Red18gEthnic, Red18g, White 4g, Red4g, UltOint18g, Patch, MuscleRub</t>
  </si>
  <si>
    <t>delivered</t>
  </si>
  <si>
    <t>OOLU7888246</t>
  </si>
  <si>
    <t>MOAU0435038 MOFU6763191</t>
  </si>
  <si>
    <t>White18gEthnic, Red18gEthnic, White18g, Red18g, UltOint8g/18g/50g, Liniment, KLOil28ml</t>
  </si>
  <si>
    <t>OOLU7907080 OOLU7464124</t>
  </si>
  <si>
    <t>Patch, NeckRub, Red18gEthnic, Red18g, UltOint8g/18g/50g, Liniment, MuscleRub, White18gEthnic, White18g, KLOil28ml</t>
  </si>
  <si>
    <t>HLXU4139927</t>
  </si>
  <si>
    <t>TGHU4684510 TGHU4587634</t>
  </si>
  <si>
    <t xml:space="preserve">Patch, NeckRub, Red18gEthnic, Red18g, UltOint8g/18g/50g, Liniment, MuscleRub, White18gEthnic, White18g </t>
  </si>
  <si>
    <t xml:space="preserve"> NYCT surcharge is $135 per container</t>
  </si>
  <si>
    <t>HJCU4265952 SENU4262100</t>
  </si>
  <si>
    <t>LCL (5 pallets)</t>
  </si>
  <si>
    <t>MuscleRub</t>
  </si>
  <si>
    <t>HDMU5459843</t>
  </si>
  <si>
    <t>TCKU19998890 MOFU0517035</t>
  </si>
  <si>
    <t>White4g, Red4g, Patch, White18gEthnic, Red18gEthnic, White18g, Red18g, UltOint18g/50g</t>
  </si>
  <si>
    <t>LFD 9/30....if Arrowpac does not confirm delivery appt by 9/27 12pm our time, give this one to ETrans</t>
  </si>
  <si>
    <t>NYKU61727889 NYKU6076086</t>
  </si>
  <si>
    <t>White4g, Red4g, Patch, White18g, Red18g, UltOint18g/50g</t>
  </si>
  <si>
    <t>Add chassis fee</t>
  </si>
  <si>
    <t>TRLU6140856</t>
  </si>
  <si>
    <t>HJCU2938524 HJCU4193277</t>
  </si>
  <si>
    <t>White18gEthnic, Red18gEthnic, Red18g, UltOint8g/18g/50g, KLOil57ml/28ml</t>
  </si>
  <si>
    <t>NYKU8350982</t>
  </si>
  <si>
    <t>White18gEthnic, Red18gEthnic, White18g, Red18g, UltOint18g/50g, KLOil57ml/28ml</t>
  </si>
  <si>
    <t>FSCU4382030</t>
  </si>
  <si>
    <t>TTNU4089289 MOFU0462462</t>
  </si>
  <si>
    <t>White18gEthnic, Red18gEthnic, White18g, Red18g, UltOint18g, MuscleRub, KLOil57ml, Patch, NeckRub</t>
  </si>
  <si>
    <t>OOLU1544855 OOLU7767795 OOLU7291055</t>
  </si>
  <si>
    <t>White18gEthnic, Red18gEthnic, UltOint18g/50g/8g, Liniment, MuscleRub, KLOil57ml, Patch, NeckRub</t>
  </si>
  <si>
    <t>7/29x2(40')   8/1x1(20')</t>
  </si>
  <si>
    <t>7/28: Winnie reminds chassis fee needed for these 3 containers. $18/day * 4 days * 2 containers; $18/day * 2 days * 1 container</t>
  </si>
  <si>
    <t>NYKU8120193</t>
  </si>
  <si>
    <t xml:space="preserve">7/25: Arrowpac: Please be advised that there will be an additional 65.00 for the container delivery This is the first time we are picking up out of NYCT Because there is tolls involved, there will apply an additional charge, stated above. Robert Polanco Operations/Logistics Manager   </t>
  </si>
  <si>
    <t>NYKU8248667 NYKU8120953</t>
  </si>
  <si>
    <t>Patch, White18gEthnic, Red18gEthnic</t>
  </si>
  <si>
    <t>HJCU4919694 HJCU4937234</t>
  </si>
  <si>
    <t>Patch, White18gEthnic, Red18gEthnic, KLOil57ml</t>
  </si>
  <si>
    <t>CBHU6041586 CBHU1703308 CBHU6236438 TTNU5427992</t>
  </si>
  <si>
    <t>White18gEthnic, Red18gEthnic, White18g, Red18g, UltOint18g/50g/8g, Liniment, Patch, MuscleRub, NeckRub, KLOil57ml/28ml</t>
  </si>
  <si>
    <t>5/25 x 2  5/26 x 2</t>
  </si>
  <si>
    <t>HDMU4650984 HDMU4414612 HDMU4621517 DFSU4229283</t>
  </si>
  <si>
    <t>White18gEthnic, Red18gEthnic, White18g, Red18g, UltOint18g/50g/8g, Liniment, Patch, MuscleRub, KLOil57ml/28ml</t>
  </si>
  <si>
    <t>5/27 x 3 5/31 x 1</t>
  </si>
  <si>
    <t>5/27: There will be pre-pull charges for these containers per ArrowPac Robert. 5/31: Joyce guaranteed demurrage payment to Maher for HDMU4650984 (because not enough time to pick up all four) (Demurrage $480)</t>
  </si>
  <si>
    <t>UXXU4351070 CBHU6327327</t>
  </si>
  <si>
    <t>White18gEthnic, Red18gEthnic, Red18g, UltOint18g/50g, Liniment, Patch, MuscleRub, KLOil57ml/28ml</t>
  </si>
  <si>
    <t>FSCU4313661</t>
  </si>
  <si>
    <t>TRIU5981252</t>
  </si>
  <si>
    <t>Patch, KLOil57ml/28ml, MuscleRub</t>
  </si>
  <si>
    <t xml:space="preserve">4/26: FDA Exam notify for:3600 DZ OF TIGER BALM PATCH. 4/29: Asked Roselle to notify FDA goods are ready for exam after 5/2. 5/3 received FDA notice: 1200ct Tiger Balm Patch are under pending PDA review 04-26-2011, others may proceed.
</t>
  </si>
  <si>
    <t>TCLU2368860 MOFU6758852 MOFU6740637</t>
  </si>
  <si>
    <t>Patch, KLOil57ml/28ml, Red18gEthnic, Red18g, UltOint8g/18g/50g, Liniment, MuscleRub, NeckRub</t>
  </si>
  <si>
    <t>5/24: FDA had released 5400 DZ OF TIGER BALM PATCH, 500 DZ OF TIGER BALM MUSCLE RUB CREAM 57G. FDA still hasn't released 900 DZ OF KWAN LOONG OIL 57 ML,2700 DZ OF TIGER BALM RED 18G, 632 DZ OF ULTRA-STRENGTH TIGER BALM OINTMENT 50G. Roselle sent an email to remind FDA on 5/24. 6/1: Roselle sent email and left a message for FDA officer 6/10: FDA Investigator Kerry Dawn Noto came in this morning and examined 2 entries of Ginger Honey CYTL and 3 remaining TB items. She said they all ok. These shipments would be released soon.</t>
  </si>
  <si>
    <t>TRLU8669915</t>
  </si>
  <si>
    <t>OOLU2827280 OOLU7310767 OOLU7431500</t>
  </si>
  <si>
    <t>Patch, KLOil57ml, White18gEthnic, Red18gEthnic, Whte18g, Red18g, UltOint18g/50g, Red4g, Liniment, MuscleRub, NeckRub</t>
  </si>
  <si>
    <t>4/6 x 1 ;  4/7 x 2</t>
  </si>
  <si>
    <t>NYKU3286860</t>
  </si>
  <si>
    <t>MOAU0739998 MOFU0676150 CAIU4065017</t>
  </si>
  <si>
    <t>Patch, KLOil57ml, White18gEthnic, Red18gEthnic, Whte18g, Red18g, UltOint18g/50g, Liniment, MuscleRub, NeckRub</t>
  </si>
  <si>
    <t>3/29 x 2; 3/30 x 1</t>
  </si>
  <si>
    <t>4/1: FDA went to NJ warehouse to exam goods. FDA asked us to check for an update on 4/4.</t>
  </si>
  <si>
    <t>4326 (was 4318)</t>
  </si>
  <si>
    <t>FCIU3584206</t>
  </si>
  <si>
    <t>3/7: Roselle sends check. I need to send OBL to forwarder directly upon receipt of OBL. LFD 3/15.  3/9: Per Haw Par, this is now invoice #4326 (previously invoice #4318)</t>
  </si>
  <si>
    <t>USAU1773179 TCLU4026022 CLHU4750129</t>
  </si>
  <si>
    <t>Patch, KLOil57ml/28ml, White18gEthnic, Red18gEthnic, Whte18g, Red18g, UltOint18g/8g/50g, Red4g, Liniment, MuscleRub</t>
  </si>
  <si>
    <t>3/7/11 x1 3/8/11 x2</t>
  </si>
  <si>
    <t>CAIU2586058 HJCU4281212 HJCU4181044</t>
  </si>
  <si>
    <t xml:space="preserve">KLOil 57ml/28ml, Patch, White18gEthnic, Red18gEthnic, White18g, Red18g, UltOint18g/8g/50g, Red4g, Liniment, MuscleRub </t>
  </si>
  <si>
    <t>3/3/11 x2 3/4/11 x1</t>
  </si>
  <si>
    <t>HJCU4099194 HJCU4932546 HJCU7596086</t>
  </si>
  <si>
    <t>Red18g, White18g, Patch, White18gEthnic, Red18gEthnic, Red18g, UltOint18g/50g, Red4g, Liniment, MuscleRub</t>
  </si>
  <si>
    <t>1/24: FDA Exam/Sample  1/31: Received FDA release notice (by mail)</t>
  </si>
  <si>
    <t>OOLU7537690 OOLU7314248</t>
  </si>
  <si>
    <t xml:space="preserve">Patch, NeckRub, KLOil57ml/28ml, Red18gEthnic, Red18g, UltOint18g/50g, Red4g, Liniment, MuscleRub, White18gEthnic </t>
  </si>
  <si>
    <t>OOLU7825720</t>
  </si>
  <si>
    <t>MuscleRub, Patch, Patch Sampler (Free)</t>
  </si>
  <si>
    <t>Sheet Last updated: Edmund 1/17/12</t>
  </si>
  <si>
    <t>OOLU7356264</t>
  </si>
  <si>
    <t>Organic Tea (Green, Jasmine, Oolong, White); Gift tea (Dragon Well, Pi Lo Chun, Ti Kuan Yin, Jasmine, Pearl Jasmine), 170pcs of cartons</t>
  </si>
  <si>
    <t>25435 (2 of 3)</t>
  </si>
  <si>
    <t>180-77566016</t>
  </si>
  <si>
    <t>YNBY Plaster (air shipment)</t>
  </si>
  <si>
    <t>MSCU5018919</t>
  </si>
  <si>
    <t>Organic Green Tea (100's,20's), Oolong Tea</t>
  </si>
  <si>
    <t>GLDU5587838</t>
  </si>
  <si>
    <t>12/16: 陈厚邓: 2011TAT14#货柜您说多5箱，这两天倒了出库入库账目，发现可能2011TAT15#货柜(PO25796#)可能少5箱（发NY的货柜，发票是603箱实际可能只有598箱）12/22: USDA hold - asking for species of ginseng, tell Joyce this is Radix Ginseng. 1/4: USDA released 1/3 late afternoon, trucker just got the container today. Demurrage $1,932.00</t>
  </si>
  <si>
    <t>CLHU3865720</t>
  </si>
  <si>
    <t>LFD 12/27</t>
  </si>
  <si>
    <t>CAIU8329530</t>
  </si>
  <si>
    <t>BMOU3051220</t>
  </si>
  <si>
    <t>LFD 12/23</t>
  </si>
  <si>
    <t>DFSU2676575</t>
  </si>
  <si>
    <t>Red Panax Ginseng Extractum, Ginkgo Biloba, Ultra Ginkgo Plus, Royal Jelly</t>
  </si>
  <si>
    <t>add chassis. LFD 12/23</t>
  </si>
  <si>
    <t>MSCU5613742</t>
  </si>
  <si>
    <t>Tea (Green, Oolong, White)</t>
  </si>
  <si>
    <t>12/13: FDA exam. 12/20: Joyce notified FDA goods are ready</t>
  </si>
  <si>
    <t>TTNU4886955</t>
  </si>
  <si>
    <t>HLXU3477370</t>
  </si>
  <si>
    <t>CAXU7062796</t>
  </si>
  <si>
    <t>MSKU5096870</t>
  </si>
  <si>
    <t>add chassis fee.11/29: John sent me docs late. Late ISF</t>
  </si>
  <si>
    <t>BMOU2866357</t>
  </si>
  <si>
    <t>POP Coffee 3 in 1</t>
  </si>
  <si>
    <t>MORU0616420</t>
  </si>
  <si>
    <t>CheeZheng Pain Relieving Plaster</t>
  </si>
  <si>
    <t>GESU6550930</t>
  </si>
  <si>
    <t>Paper Box, Plastic Tray, Printed Matter, Plastic Bag, Calendar, DVD, Envelope</t>
  </si>
  <si>
    <t>add chassis fee. Inform Maisie about calendar+DVD arrival. PO# 25670, 25709, 25677, 25569, 25645, 25710, NS716</t>
  </si>
  <si>
    <t>CBHU1854752</t>
  </si>
  <si>
    <t>BMOU3062332</t>
  </si>
  <si>
    <t>25435 (1 of 3)</t>
  </si>
  <si>
    <t>UNIU5014106</t>
  </si>
  <si>
    <t>YNBY (Capsule, Powder, Aerosol, Tincture)</t>
  </si>
  <si>
    <t>12/6: CET Exam Hold. 12/16: Aerosol released, all others hold for FDA exam. FDA coming on 12/23 between 10-11am. 12/27: Capsule and Powder released. 1/17: Received FDA notice 3 - Tincture detained. Responded via email with Form 766 (relabeling request) the same day. (hardcopy mailed out on 1/18)</t>
  </si>
  <si>
    <t>TGHU9703995</t>
  </si>
  <si>
    <t>12/8: Notified FDA goods are ready for exam</t>
  </si>
  <si>
    <t>TCNU8129108</t>
  </si>
  <si>
    <t>MSCU4732325</t>
  </si>
  <si>
    <t>Tea (Green, Jasmine, Ti Kuan Yin, White)</t>
  </si>
  <si>
    <t>11/7: filed ISF after ETD</t>
  </si>
  <si>
    <t>RTN 21956</t>
  </si>
  <si>
    <t>M792625 ( 4 plts)</t>
  </si>
  <si>
    <t>Ferrero Rocher F-12402 (Return from M&amp;D)</t>
  </si>
  <si>
    <t>ETA estimated. 11/28: Shipment has been cleared both Customs &amp; FDA</t>
  </si>
  <si>
    <t>OOLU1489402</t>
  </si>
  <si>
    <t>Green Tea Extract, Goji on the Go, Panax Ginseng Extractum Oral Liquid</t>
  </si>
  <si>
    <t>add chassis fee. 12/2: LFD 12/2, Benz just received D/O today. Container arrived just in time, parked at dock 11! Edmund locked gate at 5:45pm. 12/7: Notified FDA goods ready for exam. 12/12: FDA (Seyyida Saterfield 510-8469207) came</t>
  </si>
  <si>
    <t>FCIU8211801</t>
  </si>
  <si>
    <t>11/9: 刘连起: 这票货的集装箱调来时发现顶部有几个地方碰瘪（不破损），装货时有一层货物装不下，甩装了21箱。由于装箱时AMS信息已经报上去数量不好更改，这票货的提单仍是1280箱，但发票中我已把21箱金额扣除，请收货时注意。11/29: OBL arrived late, LFD 11/30</t>
  </si>
  <si>
    <t>FSCU6127619</t>
  </si>
  <si>
    <t>MSCU3619783</t>
  </si>
  <si>
    <t>12/1: Notified FDA goods available for exam. 12/8: Notiied FDA for the 2nd time.</t>
  </si>
  <si>
    <t>TTNU9363453</t>
  </si>
  <si>
    <t>MSKU1340633</t>
  </si>
  <si>
    <t>Organic Tea (Green, Jasmine, Oolong, White); Gift tea (Dragon Well, Ti Kuan Yin, Jasmine, Pearl Jasmine), 1 case of package</t>
  </si>
  <si>
    <t>CBHU1877249</t>
  </si>
  <si>
    <t>Tea (Pu-Erh, Green, Organic Green)</t>
  </si>
  <si>
    <t>11/4: filed ISF after ETD</t>
  </si>
  <si>
    <t>DFSU2959662 TRHU1785746</t>
  </si>
  <si>
    <t>Red Panax Ginseng Extractum, Ginkgo Biloba Red Ginseng Extract, Ultra Ginkgo Plus, Beijing Royal Jelly, American Ginseng with Royal Jelly, Ultra Joint Health Liquid Extract</t>
  </si>
  <si>
    <t>11/22: Customs released</t>
  </si>
  <si>
    <t>EISU5660835</t>
  </si>
  <si>
    <t>ETA estimated. 11/8: ISF cancelled by shipper, GreatWorld files late ISF</t>
  </si>
  <si>
    <t>TEXU9544745</t>
  </si>
  <si>
    <t>Coldaid, Fluaid, American Ginseng Instant Tea, Instant Wild American Ginseng Tea</t>
  </si>
  <si>
    <t>TCNU8451177</t>
  </si>
  <si>
    <t>YNBY Toothpaste</t>
  </si>
  <si>
    <t>PGRU4169055</t>
  </si>
  <si>
    <t>Paper Box, Plastic Tray, Umbrella, Red Envelope, Sticker</t>
  </si>
  <si>
    <t>PO# 25586, 25587, 25531, NS665, 25648, NS675</t>
  </si>
  <si>
    <t>NYKU4301172</t>
  </si>
  <si>
    <t>EYS Premium (Paper Bag, Red Packet, Calendar)</t>
  </si>
  <si>
    <t xml:space="preserve">Per April with CALI AMERICA, Great World will help them do the Customs clearance for this shipment and will bill the entry, duty, &amp; FDA service to CALI AMERICA.  In regards to the delivery, CALI AMERICA will arrange to your facility. POP pays for $35 exam fee
</t>
  </si>
  <si>
    <t>NYKU3297653</t>
  </si>
  <si>
    <t>TTNU1625583</t>
  </si>
  <si>
    <t>Panax Ginseng Extractum Oral Liquid, Red Ginseng Royal Jelly</t>
  </si>
  <si>
    <t>11/8: Customs review. 11/14: has just been released by Customs. Last free day 11/15. 11/16: Joyce notified FDA container is ready for exam. 11/22: Asked Joyce to notify FDA again. 11/28: FDA Officer Lee examined and received release message same day.</t>
  </si>
  <si>
    <t>HLXU2309773</t>
  </si>
  <si>
    <t>MSKU5450773</t>
  </si>
  <si>
    <t>Red Ginseng Royal Jelly, Ultra Strength Red Panax Ginseng Extractum</t>
  </si>
  <si>
    <t xml:space="preserve">add chassis fee. </t>
  </si>
  <si>
    <t>CLHU4783307</t>
  </si>
  <si>
    <t>American Ginseng Hard Candy (8oz, 1lb)</t>
  </si>
  <si>
    <t>10/11: Per Phoebe, Gold Loyal has loaded 8 ctns of 4.78oz Gsg Candy(from PO#25113) into this container....so this container should have 949ctns...Maria will make adjustment in receipt</t>
  </si>
  <si>
    <t>UETU5112704</t>
  </si>
  <si>
    <t>Young Ji Tea, Tu Chung Tea</t>
  </si>
  <si>
    <t>11/14: Roselle notified FDA goods are ready for exam. 11/21: Asked Roselle to send another request</t>
  </si>
  <si>
    <t>NYKU3532182</t>
  </si>
  <si>
    <t>TCLU2985326</t>
  </si>
  <si>
    <t>MOFU5894176</t>
  </si>
  <si>
    <t>10/31: FDA detained; 11/4: customs not released yet; 11/8: Customs released. $100 demurrage plus other warehouse charges. 11/14: responded to FDA notice#2 (sent hard and soft copy) 12/1: Roselle asked FDA for status update. 12/13: Asked Roselle to request an update. 12/14: GreatWorld forwarded FDA Officer Small's email, requesting importer to contact her directly. Edmund sent email immediately. 12/22: Received FDA notice#3, shipment refused. 1/3: Still waiting for confirmation whether officer's decision to reject was before or after reading  our response. 1/4: FDA officer sent email and thinks our response did not address issue 1/10: Edmund emailed officer Small and asked for the opportunity to discuss over the phone</t>
  </si>
  <si>
    <t>MSCU5572026</t>
  </si>
  <si>
    <t>Green Tea, Oolong Tea</t>
  </si>
  <si>
    <t>This is 2nd container delivered by E-Trans. $2/day for chassis usage</t>
  </si>
  <si>
    <t>HDMU5549510</t>
  </si>
  <si>
    <t>Paper Box</t>
  </si>
  <si>
    <t>PO# 25501, NS663</t>
  </si>
  <si>
    <t>MSKU9839552</t>
  </si>
  <si>
    <t xml:space="preserve">$67300 This is 1st container delivered by E-Trans. Add $13/day for chassis usage for this container. </t>
  </si>
  <si>
    <t>005-10735782</t>
  </si>
  <si>
    <t>Ningxia Fructus Lycii (Air shipment)</t>
  </si>
  <si>
    <t>10/31: USDA hold, customs hold</t>
  </si>
  <si>
    <t>999-15155910</t>
  </si>
  <si>
    <t>11/4: FDA officer Josephine (Jossie, 510-3376768) came and took 6.5 lbs of samples to test pesticide, estimated completion date 12/16/11. 12/21 Roselle requested update</t>
  </si>
  <si>
    <t>CRLU1807718</t>
  </si>
  <si>
    <t>Korean Ginseng Powder</t>
  </si>
  <si>
    <t>10/25: CET Exam Hold</t>
  </si>
  <si>
    <t>OOLU6435918</t>
  </si>
  <si>
    <t>BMOU2336315</t>
  </si>
  <si>
    <t>Paper Box, Printed Matter, Calendar, Plastic Bag</t>
  </si>
  <si>
    <t>PO# NS663, 25501, 25551, 25554, NS666, NS652, NS659</t>
  </si>
  <si>
    <t>MATU2551923</t>
  </si>
  <si>
    <t>Ginger Honey Crystals, Plum Lemon Honey Crystal</t>
  </si>
  <si>
    <t>NYKU7040283</t>
  </si>
  <si>
    <t>TCKU2606507</t>
  </si>
  <si>
    <t>1764jars</t>
  </si>
  <si>
    <t>FCIU8560676</t>
  </si>
  <si>
    <t>Honey (Manuka, Kamahi)</t>
  </si>
  <si>
    <t>10/14: ETA estimated, no ISF received from vendor, but Roselle confirmed ISF is filed. No FDA status yet. 10/18: IT. Expected to arrive Oakland week of 10/24</t>
  </si>
  <si>
    <t>CBHU6446049</t>
  </si>
  <si>
    <t>Bulk Scholartree Fruit Tea, Han's Honey Loquat Syrup, American Ginseng Instant Tea, Instant Wild American Ginseng Tea</t>
  </si>
  <si>
    <t>CAXU7306871</t>
  </si>
  <si>
    <t>Paper Box, Plastic Tray, Hanger Display</t>
  </si>
  <si>
    <t>PO 25390, 25501, 25500, 25508, 25499, NS229</t>
  </si>
  <si>
    <t>FSCU4684549</t>
  </si>
  <si>
    <t>CCLU6812981</t>
  </si>
  <si>
    <t>Organic Tea (Green, Jasmine, Oolong, White); Pi Lo Chun Green Tea, Oolong Tea, Pu-erh Tea, 20 cases of Old package</t>
  </si>
  <si>
    <t>MORU1133290</t>
  </si>
  <si>
    <t>10/14: FDA still reviewing</t>
  </si>
  <si>
    <t>SZLU9615755</t>
  </si>
  <si>
    <t>Add chassis fee. (Refer container, no gen set)</t>
  </si>
  <si>
    <t>FSCU7411960</t>
  </si>
  <si>
    <t>POP Milk Tea 3 in 1</t>
  </si>
  <si>
    <t>HDMU5539804</t>
  </si>
  <si>
    <t>Try New Trucker recommended by GreatWorld. 9/28: Etrans not available. Give this one back to ArrowPac. Will try Etrans next container</t>
  </si>
  <si>
    <t>CBHU1824336</t>
  </si>
  <si>
    <t>Tea (Green, Jasmine, Oolong, White)</t>
  </si>
  <si>
    <t>FCIU3085300</t>
  </si>
  <si>
    <t>Pally Biscuits (Rich Tea, Digestive, Country)</t>
  </si>
  <si>
    <t>This container Door Move, taken by SeaShipping. Add drop and pick charge of $411</t>
  </si>
  <si>
    <t>WHSU9002443</t>
  </si>
  <si>
    <t>YNBY Aerosol Spray</t>
  </si>
  <si>
    <t>HDMU5475736</t>
  </si>
  <si>
    <t>Baseball Caps</t>
  </si>
  <si>
    <t>ISF taken care of by Heidi</t>
  </si>
  <si>
    <t>HDMU5480440</t>
  </si>
  <si>
    <t>Paper Box (for Gift Tea), Banner, Plastic Tray</t>
  </si>
  <si>
    <t>TCKU3326080</t>
  </si>
  <si>
    <t xml:space="preserve">add chassis fee </t>
  </si>
  <si>
    <t>FSCU9282429</t>
  </si>
  <si>
    <t>Jacobs</t>
  </si>
  <si>
    <t>CPSU5126057</t>
  </si>
  <si>
    <t>NYKU7148112</t>
  </si>
  <si>
    <t>016-38224406 (air shipment)</t>
  </si>
  <si>
    <t>CheeZheng Pain Relieving Plaster (LCL)</t>
  </si>
  <si>
    <t xml:space="preserve">9/26: FDA Detained. Sent doc to Roselle to forward to FDA officer to prove we have valid NDC#. </t>
  </si>
  <si>
    <t>TCNU7814160</t>
  </si>
  <si>
    <t>LFD 9/28</t>
  </si>
  <si>
    <t>MORU5805031</t>
  </si>
  <si>
    <t>Plastic Tray, Paper Box, Plastic Bag</t>
  </si>
  <si>
    <t xml:space="preserve">PO 25342, 25341, 25296 </t>
  </si>
  <si>
    <t>HDMU5567690</t>
  </si>
  <si>
    <t>MEDU4078484</t>
  </si>
  <si>
    <t>Organic Tea (Green, Jasmine, Oolong, White), Gift Tea (Ti Kuan Yin, Pi Lo Chun, Jasmine Green, Oolong, Org Mao Feng, Dragon Well)</t>
  </si>
  <si>
    <t>MSCU4721790</t>
  </si>
  <si>
    <t>MSCU3924961</t>
  </si>
  <si>
    <t>Red Panax Ginseng Extractum, Ginkgo Biloba, Ultra Ginkgo Plus, Beijing Royal Jelly, Ultra Joint Health Liquid Extract</t>
  </si>
  <si>
    <t>$48019.75 9/8: Checked my records and just found out the container still is at port!!! Robert at ArrowPac acknowledged receipt of D/O, but did not pick up. Talked to Billy and he said asked GreatWorld to cut them a check first, resolve dispute later. Also gave Eva Tam a heads up. Demurrage paid until tomorrow will total to $1647.00 The last free day ended on Aug. 30. 9/9 Picked up container, will deliver on 9/12 due to congestion. 9/13: Talked to Maria and Roselle, asked for quote for a different trucker. 10/5: Asked Sandy to mail out demurrage invoice; asked Brenda not to pay Arrowpac until they respond</t>
  </si>
  <si>
    <t>NYKU7020440</t>
  </si>
  <si>
    <t>Refer Container. Winnie will confirm LFD/delivery date on 8/19/11 morning</t>
  </si>
  <si>
    <t>MSCU5799386</t>
  </si>
  <si>
    <t>Tea (Jasmine, Oolong, Pu-erh, White)</t>
  </si>
  <si>
    <t>FSCU9734370</t>
  </si>
  <si>
    <t>BMOU9753434</t>
  </si>
  <si>
    <t>Paper Box, Plastic Tray, Label</t>
  </si>
  <si>
    <t>PO# 25276, 25309, 25275, 25295</t>
  </si>
  <si>
    <t>HDMU5550803</t>
  </si>
  <si>
    <t>8/15: Will see demurrage. Arrowpac received paperwork too late, Jimmy replied too late, LFD 8/15. 8/16: 2 days of demurrage @ $332; pre-pull charge $125 (couldn't deliver the same day) + RF surcharge</t>
  </si>
  <si>
    <t>CAXU4305547</t>
  </si>
  <si>
    <t>Organic Green Tea 100's</t>
  </si>
  <si>
    <t>NYKU7942858</t>
  </si>
  <si>
    <t>INKU6735798</t>
  </si>
  <si>
    <t>$66075. 7/7 Lianqi: 该票货因尺码稍大，装集装箱时甩装了14箱盒装姜王晶，因当时装运信息都发到美国且海关已作记录，这边不好再更改单据数量，所以发票、箱单及提单数量还是1300箱，但14箱的货款我已在发票金额中减掉了，请收货时注意。不方便之处请见谅。</t>
  </si>
  <si>
    <t>MSKU7433060</t>
  </si>
  <si>
    <t>Organic Tea (Oolong 100s/20s; White Tea 100s/20s)</t>
  </si>
  <si>
    <t>TRLU8642030</t>
  </si>
  <si>
    <t>Green Tea 100s D-13100, Organic Green Tea 100s, Green Tea 100s D-13200B, Pu-Erh Tea 100s, White Tea20s</t>
  </si>
  <si>
    <t>TRLU6270525</t>
  </si>
  <si>
    <t>Tea (Green 100s, Oolong100s)</t>
  </si>
  <si>
    <t>POP Invoice 822689</t>
  </si>
  <si>
    <t>FSCU5684950</t>
  </si>
  <si>
    <t>American Ginseng Root Teabags Gift Box 20 (returned goods)</t>
  </si>
  <si>
    <t>7/26 Billy: Peter of POPLA needs this shipment urgently for Ranch 99 promotion, Please rush the delivery after landed. 8/4 FDA reviewing. 8/9: Roselle emailed Officer Benny with the reason why the shipment was returned</t>
  </si>
  <si>
    <t>YMLU4700599</t>
  </si>
  <si>
    <t>contianer has been placed on a vacis hold Once the exam has been completed we will send out the charges. 8/12: Scheduled to arrive at POPNJ warehouse on 8/16.</t>
  </si>
  <si>
    <t>TRIU5582099</t>
  </si>
  <si>
    <t>CLHU2978568</t>
  </si>
  <si>
    <t>BMOU2600562</t>
  </si>
  <si>
    <t>CBHU5751813</t>
  </si>
  <si>
    <t>Panax Ginseng Extractum Oral Liquid, Red Ginseng Royal Jelly, Green Tea Extractum w/ Ginseng, Goji on the Go</t>
  </si>
  <si>
    <t>$32466 8/2: Customs Exam</t>
  </si>
  <si>
    <t>NYKU3394904</t>
  </si>
  <si>
    <t>Ginger candy (150g)</t>
  </si>
  <si>
    <t>CCLU2420880</t>
  </si>
  <si>
    <t>Red Panax Ginseng Extractum, Ginkgo Biloba, Ultra Ginkgo Plus, Beijing Royal Jelly, Am Gsg with Royal Jelly, Ultra Joint Health Liquid Extract</t>
  </si>
  <si>
    <t>$45295 7/28: Will see one day of demurrage</t>
  </si>
  <si>
    <t>100 btls</t>
  </si>
  <si>
    <t>MAWB: 016-38205285</t>
  </si>
  <si>
    <t>Seirogan (test shipment for FDA experiment)</t>
  </si>
  <si>
    <t>TSLU0221844</t>
  </si>
  <si>
    <t>CAIU2741365</t>
  </si>
  <si>
    <t>Digestive Biscuits</t>
  </si>
  <si>
    <t>MSKU3552903</t>
  </si>
  <si>
    <t>Ginseng Extractum, Red Ginseng Royal Jelly, Green Tea Extractum, Goji on the Go</t>
  </si>
  <si>
    <t>$31931. 6/9 陈厚邓:2011TAT09#货物我开票和报关都是600箱，资料已经上传不好更改，今天同事告诉我是601箱，我晕，是人参蜂皇精10B多发了一箱，这个报关资料我已经无法更改了，这个情况报告给您，能处理就处理，处理不了就算了，谢谢！</t>
  </si>
  <si>
    <t>25108 25138</t>
  </si>
  <si>
    <t>8820 PKG</t>
  </si>
  <si>
    <t>HLXU6160440</t>
  </si>
  <si>
    <t>N.Z. Honey (Manuka AMH 10+, Blue Borage, Clover)</t>
  </si>
  <si>
    <t>AMCU9210715</t>
  </si>
  <si>
    <t>7/27 ADDITIONAL CHARGES FOR THIS AMCU9210715 CONTAINER.
550.00 – original rate, 125.00 – reefer surcharge,125.00 – pre-pull charge. 8/2 Roselle asked FDA for status</t>
  </si>
  <si>
    <t>HMCU3023397</t>
  </si>
  <si>
    <t>POP Express Coffee 3 in 1</t>
  </si>
  <si>
    <t>MEDU4180773</t>
  </si>
  <si>
    <t>CGMU9280965</t>
  </si>
  <si>
    <t xml:space="preserve">$126070.72 Please be advise that today 07/12 is the last free day and demurrage/storage charges are $350.00 per day/per container starting tomorrow 07/13. </t>
  </si>
  <si>
    <t>CGMU4962010</t>
  </si>
  <si>
    <t xml:space="preserve">$127697.62 Please be advise that today 07/12 is the last free day and demurrage/storage charges are $350.00 per day/per container starting tomorrow 07/13. </t>
  </si>
  <si>
    <t>TPCU5901652</t>
  </si>
  <si>
    <t>YNBY (Powder, Aerosol, Tincture)</t>
  </si>
  <si>
    <t xml:space="preserve"> 7/27: FDA came to exam  8/5: FDA released 130cs powder. 67 cs Aerosol and 37cs Tincture still ON HOLD. 8/23: Sent officer Carl Lee our response about Tincture Detention. 8/29: Sent email to Carl Lee to ask for confirmation of receipt of our response. 9/12: Emailed Carl Lee to ask for status update. 9/19: Emailed Carl Lee to ask for status update. 9/27: Emailed Carl Lee to ask for status update. 9/28: Received notice#4: Tincture detained 10/10: Sent out response for FDA notice #4 10/14: Sent out response for FDA notice #5 10/27: Sent out response for FDA notice #6 (tincture picture with new labels) 10/28: Released</t>
  </si>
  <si>
    <t>CBHU1768295</t>
  </si>
  <si>
    <t>Tea (Green 100s, Japanese Style 100s, Oolong 100s, White 100s)</t>
  </si>
  <si>
    <t>$32110.20 Send docs on 7/5, no ISF for this one</t>
  </si>
  <si>
    <t>POCU1214077</t>
  </si>
  <si>
    <t>GESU3276907</t>
  </si>
  <si>
    <t>CBHU1998791</t>
  </si>
  <si>
    <t>CBHU6162654</t>
  </si>
  <si>
    <t>CRXU4284393</t>
  </si>
  <si>
    <t>Tea (Green 100s, Oolong 100s, Green 20s)</t>
  </si>
  <si>
    <t>TCLU1076272</t>
  </si>
  <si>
    <t>Plastic Tray, Paper Box, Honey Loquat Hard Candy, Empty Tins, Sticker, Banner/Poster</t>
  </si>
  <si>
    <t>PO#25235, 25229, 25271, NS589</t>
  </si>
  <si>
    <t>TGHU3339802</t>
  </si>
  <si>
    <t xml:space="preserve">$70473.17 6/21: Roselle received arrival notice and realized she did not receive paperwork. I resent immediately. </t>
  </si>
  <si>
    <t>GESU3888498</t>
  </si>
  <si>
    <t>Instant Tea (Jujube Longan, Goji Berry Chrysanthemum, Dark Brown Sugar Ginger), Dong Quai Red Date Tea</t>
  </si>
  <si>
    <t>MSKU6633824</t>
  </si>
  <si>
    <t>Instant Wild American Ginseng Tea</t>
  </si>
  <si>
    <t>$107646 6/23: Per Winnie, this is MAERSK line, add chassis fee.</t>
  </si>
  <si>
    <t>SUDU4675980</t>
  </si>
  <si>
    <t>Jacobs Cream Crackers</t>
  </si>
  <si>
    <t>MSKU3073032</t>
  </si>
  <si>
    <t>TSLU3403821</t>
  </si>
  <si>
    <t>MEDU6424328</t>
  </si>
  <si>
    <t>$43728 6/3: CET Exam Hold</t>
  </si>
  <si>
    <t>TTNU5971795</t>
  </si>
  <si>
    <t>BMOU3087449</t>
  </si>
  <si>
    <t>Paper Box, Plastic Tray, Leaflet, Book, Scissors/Blade, Honey Loquat Hard Candy</t>
  </si>
  <si>
    <t>INFORM MAISIE about arrival of 4 cs of books. PO#25105, 25103, 25159, 25158, 25104, NS557, NS556, NS576</t>
  </si>
  <si>
    <t>FSCU9749513</t>
  </si>
  <si>
    <t>Org Green Tea, Org Jasmin Tea, Oolong, White, American Ginseng Oolong</t>
  </si>
  <si>
    <t>PONU0947160</t>
  </si>
  <si>
    <t>Red Panax Ginseng Extractum, Ginkgo Biloba, Beijing Royal Jelly, Am Gsg with Royal Jelly, Ultra Joint Health Liquid Extract</t>
  </si>
  <si>
    <t>FCIU3073280</t>
  </si>
  <si>
    <t>American Ginseng Instant Tea, Instant Wild American Ginseng Tea, Empty Boxes</t>
  </si>
  <si>
    <t>TGHU1888315</t>
  </si>
  <si>
    <t>CBHU3737288</t>
  </si>
  <si>
    <t>Panax Gsg Ext Oral Liquid, Red Ginseng Royal Jelly, Green Tea  Extract with Panax Ginseng, Goji on the Go</t>
  </si>
  <si>
    <t>$31855.60 5/27: Roselle informs FDA asking for product labels on all items</t>
  </si>
  <si>
    <t>KKFU7529463</t>
  </si>
  <si>
    <t>Organic Tea (Green, Jasmine, Oolong, White, Jasmine Green, Dragon Well Green)</t>
  </si>
  <si>
    <t>TTNU3291973</t>
  </si>
  <si>
    <t>Royal Jelly Oral Liquid, Panax Ginseng Extractum Oral Liquid</t>
  </si>
  <si>
    <t>HDMU5566733</t>
  </si>
  <si>
    <t>UNXU2939357</t>
  </si>
  <si>
    <t>Biscuit (Gavottes)</t>
  </si>
  <si>
    <t>$12299.84 + 8662.96</t>
  </si>
  <si>
    <t>TCLU2889929</t>
  </si>
  <si>
    <t>$47979.75 5/23: Container is on VACIS Exam Hold</t>
  </si>
  <si>
    <t>MSCU4137092</t>
  </si>
  <si>
    <t>$52125 5/31: FDA EXAM NOTIFY. 6/6: Greatworld notified FDA to exam goods.</t>
  </si>
  <si>
    <t>MSCU4300580</t>
  </si>
  <si>
    <t>$52666.25 5/23: FDA EXAM NOTIFY. 6/6: Greatworld notified FDA to exam goods</t>
  </si>
  <si>
    <t>TRLU6544014</t>
  </si>
  <si>
    <t>MSKU1092584</t>
  </si>
  <si>
    <t>OK</t>
  </si>
  <si>
    <t>MSKU2983790</t>
  </si>
  <si>
    <t>Red Panax Ginseng Extractum, Ginkgo Biloba, Ultra Ginkgo Plus, Ultra Joint Health Extract</t>
  </si>
  <si>
    <t>$47255.50. Per Joyce Jimenez: 5/5 Under Custom intensive exam 5/17: demurrage incurred due to LFD discrepancy</t>
  </si>
  <si>
    <t>MOFU6825781</t>
  </si>
  <si>
    <t>TRLU5536689</t>
  </si>
  <si>
    <t>$64337.50. Per Joyce Jimenez: 5/5 Under Custom intensive exam</t>
  </si>
  <si>
    <t>NYKU3367339</t>
  </si>
  <si>
    <t>Ginger candy (150g, Bulk)</t>
  </si>
  <si>
    <t>$48872.50. Docs went to the wrong bank. Hope docs would arrive on time</t>
  </si>
  <si>
    <t>FCIU2868168</t>
  </si>
  <si>
    <t>TSLU5401453</t>
  </si>
  <si>
    <t>EGHU3079737</t>
  </si>
  <si>
    <t>OWL products</t>
  </si>
  <si>
    <t>4/20: CLEARANCE DONE BY KHONG GUAN, per Deborah. For the 40cs of Owl 3 in 1 Coffee (Box,15s), “The UPC Barcode  027807253064 for the 40 cases in this container will be the last using this old UPC barcode. After that the new UPC Barcode is 845814000033.”</t>
  </si>
  <si>
    <t>MSCU4832237</t>
  </si>
  <si>
    <t>Green Tea 100s, Oolong Tea 100s</t>
  </si>
  <si>
    <t>25088 (was 25075)</t>
  </si>
  <si>
    <t>TTNU5018295</t>
  </si>
  <si>
    <t>Ban Lan Gen, Han's Honey Loquat Syrup, Instant Wild American Ginseng Tea, American Ginseng Instant Tea</t>
  </si>
  <si>
    <t>INKU2837390</t>
  </si>
  <si>
    <t>late ISF, potential penalty, checking with Roselle. Still need invoice+packing list from Maria. 4/26: USDA Hold</t>
  </si>
  <si>
    <t>FCIU3882807</t>
  </si>
  <si>
    <t>Jacobs Cream Crackers 24x200g</t>
  </si>
  <si>
    <t>GESU4061992</t>
  </si>
  <si>
    <t>Tea (Green 100's, Pu-Erh 100's)</t>
  </si>
  <si>
    <t>$32396.16 4/25: Arrowpac received delivery order</t>
  </si>
  <si>
    <t>HDMU5542789</t>
  </si>
  <si>
    <t xml:space="preserve">Paper Box, Desiccants, Label, Envelope </t>
  </si>
  <si>
    <t>PO# 25030, 25005, 25025, 24950, NS537</t>
  </si>
  <si>
    <t>CBHU1631492</t>
  </si>
  <si>
    <t>Tea (Green 20's, Oolong 100's, Ti Kuan Yin 100's, Green Tea 100's</t>
  </si>
  <si>
    <t>CBHU4140785</t>
  </si>
  <si>
    <t>MSCU6189562</t>
  </si>
  <si>
    <t>Red Panax Ginseng Extractum, Ginkgo Biloba, Ultra Ginkgo Plus, Ultra Joint Health Extract, Am. Gsg. Royal Jelly</t>
  </si>
  <si>
    <t>$42259 4/25: Customs Exam (per Benz)</t>
  </si>
  <si>
    <t>3528btls</t>
  </si>
  <si>
    <t>HLXU6263222</t>
  </si>
  <si>
    <t>By Air</t>
  </si>
  <si>
    <t>Empty Boxes for Ban Lan Gan (板藍根)</t>
  </si>
  <si>
    <t>MSCU4903789</t>
  </si>
  <si>
    <t>HDMU5540723</t>
  </si>
  <si>
    <t>Paper Box, Plastic Cover Lid, Label</t>
  </si>
  <si>
    <t>PO# 24945, 24963, 24947, 24982</t>
  </si>
  <si>
    <t>MEDU3330586</t>
  </si>
  <si>
    <t>Organic Tea (2g x 100)</t>
  </si>
  <si>
    <t>TTNU5975949</t>
  </si>
  <si>
    <t>MSCU4665382</t>
  </si>
  <si>
    <t>Tea (Green 100s)</t>
  </si>
  <si>
    <t>$29788.80 4/4: Arrowpac received delivery order</t>
  </si>
  <si>
    <t>UESU2188390</t>
  </si>
  <si>
    <t>$41274.50 4/6: Arrowpac received delivery order. Last free date 4/8. Customs Exam performed.</t>
  </si>
  <si>
    <t>MSKU0774194</t>
  </si>
  <si>
    <t>Gift Tea (Oolong, Ti Kuan Yin, Pearl Jasmine); Organic Tea (Green, Jasmine, Oolong, White)</t>
  </si>
  <si>
    <t>$58601.02 3/30: Chassis fee needed for this container</t>
  </si>
  <si>
    <t>HJCU8311070</t>
  </si>
  <si>
    <t>MSCU4274789</t>
  </si>
  <si>
    <t>$55650 3/30 Arrowpac received delivery order</t>
  </si>
  <si>
    <t>608ctn (610pkg)</t>
  </si>
  <si>
    <t>WHLU2270351</t>
  </si>
  <si>
    <t>Paper Box, Plastic Tray, Teabag, Label, Personal Stuff (PESI), Plastic Bag, 3M Carpet</t>
  </si>
  <si>
    <t>1) 地毯 及 600個花旗參盒 - 請交 LINDA ;
2) 1PLT - PERSONAL STUFF 到達後請通知 - PESI 的KENNETH CHIN / AGNES 。19箱共一板貨請原原封不動的交給他們。 PO# 24857, 24862, 24858, 24863, 24933, 24879, 24898, NS523, NS517, NS528</t>
  </si>
  <si>
    <t>MOAU0729428</t>
  </si>
  <si>
    <t>Panax Gsg Ext Oral Liquid, Red Ginseng Royal Jelly, Green Tea Ext, Goji on the Go</t>
  </si>
  <si>
    <t>TTNU4558513</t>
  </si>
  <si>
    <t>Coldaid, American Ginseng Inst Tea, Inst Wild American Ginseng Tea</t>
  </si>
  <si>
    <t>$100307.20 3/22: USDA exam needed</t>
  </si>
  <si>
    <t>TCKU2534691</t>
  </si>
  <si>
    <t>MSCU4036965</t>
  </si>
  <si>
    <t>Tea (Green 100s, Oolong 100s)</t>
  </si>
  <si>
    <t>TEMU2063050</t>
  </si>
  <si>
    <t>Biscuits (McVities Digestive 400g)</t>
  </si>
  <si>
    <t>TTNU4505241</t>
  </si>
  <si>
    <t>CAIU2403136</t>
  </si>
  <si>
    <t>MAXU4483641</t>
  </si>
  <si>
    <t>Red Panax Gsg Ext., Ginkgo Biloba, Ultra Ginkgo Plus, Ultra Joint Health Liquid Extract, Beijing Royal Jelly, Am. Gsg with Royal Jelly</t>
  </si>
  <si>
    <t>$95309.70 2/25: USDA hold 3/4/11: Customs released. LFD 3/4/11</t>
  </si>
  <si>
    <t>GCNU1165116</t>
  </si>
  <si>
    <t>EMCU3843480</t>
  </si>
  <si>
    <t>LFD 3/2</t>
  </si>
  <si>
    <t>TTNU4025875</t>
  </si>
  <si>
    <t>$54282.75  2/25 Robert confirmed received delivery order LFD 3/4. Need Joyce' confirmation on 2/28 that payment is settled</t>
  </si>
  <si>
    <t>HDMU2648102</t>
  </si>
  <si>
    <t>Royal Jelly Oral Liquid, Panax Gsg Ext Oral Liquid</t>
  </si>
  <si>
    <t>$31369.68 2/25: Customs just released, LFD is also 2/25. Will incur demurrage</t>
  </si>
  <si>
    <t>TRLU4340460</t>
  </si>
  <si>
    <t>GLDU2304003</t>
  </si>
  <si>
    <t>Dried Soup Bag, Paper Box, Book, Label, Printed Matter</t>
  </si>
  <si>
    <t>PO# 24652, 24767, 24775, NS491, 24800, NS492 3/4: FDA came to exam goods.</t>
  </si>
  <si>
    <t>MEDU2687060</t>
  </si>
  <si>
    <t>American Ginseng Inst Tea, Inst Wild American Ginseng Tea</t>
  </si>
  <si>
    <t>FSCU4503743</t>
  </si>
  <si>
    <t>FCIU2880899</t>
  </si>
  <si>
    <t>Instant Tea (Jujube Longan, Goji Berry Chrysanthemum, Dark Brown Sugar Ginger)</t>
  </si>
  <si>
    <t>HNSU4000701</t>
  </si>
  <si>
    <t>Am Gsg Hard Candy (8oz, 4.78oz)</t>
  </si>
  <si>
    <t>CAIU2612521</t>
  </si>
  <si>
    <t xml:space="preserve">1/5/11: Olivier informed new ETA due to vessel accident. </t>
  </si>
  <si>
    <t>(24768 void) -&gt; 24792</t>
  </si>
  <si>
    <t>YMLU4807020</t>
  </si>
  <si>
    <t>3/4 FDA came to exam goods</t>
  </si>
  <si>
    <t>HDMU2328304</t>
  </si>
  <si>
    <t>$43728 2/15: Customs exam needed</t>
  </si>
  <si>
    <t>MOAU6762167</t>
  </si>
  <si>
    <t>2/3: Sent Roselle invoice+packing list per her request, and she is checking if she has forgotten to do ISF</t>
  </si>
  <si>
    <t>NYKU3309728</t>
  </si>
  <si>
    <t>MSKU0873242</t>
  </si>
  <si>
    <t>Organic Tea (Green Tea 100s/20s, Jasmine 100s, Oolong 100s/20s, White 100s/20s)</t>
  </si>
  <si>
    <t>MSKU2658486</t>
  </si>
  <si>
    <t>Red Panax Gsg Ext., Ginkgo Biloba, Ultra Ginkgo Plus, Ultra Joint Health Liquid Extract</t>
  </si>
  <si>
    <t>$39976.50 2/1: USDA Hold</t>
  </si>
  <si>
    <t>CBHU1861026</t>
  </si>
  <si>
    <t>Tea (Jasmine 100s, Oolong 100s, Pu-erh 100s, Green 100s/20s, White 100s)</t>
  </si>
  <si>
    <t>MOFU6785312</t>
  </si>
  <si>
    <t>TGHU6003350</t>
  </si>
  <si>
    <t>Paper Box, Plastic Tray, Plastic Box, Lily Buds Soup Bag, Green Tea, Printed Matter, Sticker</t>
  </si>
  <si>
    <t xml:space="preserve">PO# 24653, 24631, 24534, 24673, 24632, 24654, 24613, 24626, 24568 </t>
  </si>
  <si>
    <t>MEDU8671749</t>
  </si>
  <si>
    <t>$65218.75 LFD 2/1</t>
  </si>
  <si>
    <t>KKFU7489360</t>
  </si>
  <si>
    <t>Organic Tea (Green Tea 100s/20s, White 100s/20s)</t>
  </si>
  <si>
    <t>MSKU7863987</t>
  </si>
  <si>
    <t>ICSU1792780</t>
  </si>
  <si>
    <t>Tea (Jasmine 100s, Oolong 100s, Pu-erh 100s, Green 100s)</t>
  </si>
  <si>
    <t>$32078.04 LFD 1/27</t>
  </si>
  <si>
    <t>MSCU3294142</t>
  </si>
  <si>
    <t>1764btls</t>
  </si>
  <si>
    <t>GLDU0301258</t>
  </si>
  <si>
    <t>Honey (Clover, Kamahi)</t>
  </si>
  <si>
    <t>HJCU6970139</t>
  </si>
  <si>
    <t>Handled by MASTERPIECE . 1/31/11 will incur demurrage</t>
  </si>
  <si>
    <t>American Ginseng Root</t>
  </si>
  <si>
    <t>Handled by MASTERPIECE 1/24: FDA reviewing. 1.31 will incur demurrage</t>
  </si>
  <si>
    <t>WHLU5371129</t>
  </si>
  <si>
    <t>YNBY Calendar</t>
  </si>
  <si>
    <t>ETA Estimated from ETD12/21. Late ISF (sent email to GreatWorld on 12/28)</t>
  </si>
  <si>
    <t>TCNU7682206</t>
  </si>
  <si>
    <t>1//31/11</t>
  </si>
  <si>
    <t>10EYB06108 $51839 LFD 1/26</t>
  </si>
  <si>
    <t>MSCU9454248</t>
  </si>
  <si>
    <t>Coldaid/Fluaid, American Ginseng Inst Tea, Inst Wild American Ginseng Tea</t>
  </si>
  <si>
    <t>$98204.50 1/12: Send GreatWorld revised invoice (with NDC number) 1/13: FDA Hold</t>
  </si>
  <si>
    <t>MSKU5082007</t>
  </si>
  <si>
    <t>Org Tea (Green 20s, Oolong 100s, Oolong 20s, White 100s, White 20s)</t>
  </si>
  <si>
    <t>$21356.50 LFD 1/14</t>
  </si>
  <si>
    <t>OOLU8219163</t>
  </si>
  <si>
    <t>TEXU3836837</t>
  </si>
  <si>
    <t>Honey (Manuka)</t>
  </si>
  <si>
    <t>NYKU2978210</t>
  </si>
  <si>
    <t>$52533 1/10: FDA reviewing 1/12: FDA Detained 3/15: Asked Roselle to help follow up again. 3/21 Roselle will send another email this week. 4/20: Roselle sent another email. 6/8: Talked to Darlene Almogela (510-3376769 darlene.almogela@fda.hhs.gov) on phone, said case still being reviewed by HQ, can ask her status weekly by email.</t>
  </si>
  <si>
    <t>TTNU3988422</t>
  </si>
  <si>
    <t>Royal Jelly Oral Liquid, Goji on the Go, Green Tea Ext. w/ Panax Ginseng, Panax Gsg Ext. Oral Liquid</t>
  </si>
  <si>
    <t>$31123.50 1/4: Customs Intensive Exam, Joyce @ GreatWorld sent docs on 12/30 1/10/11: Customs released on 1/7/11, LFD 1/10/11</t>
  </si>
  <si>
    <t>24407 24455</t>
  </si>
  <si>
    <t>HNSU4001082</t>
  </si>
  <si>
    <t>American Ginseng Hard Candy (1Lb, 4.78oz)</t>
  </si>
  <si>
    <t>LFD 1/6/11</t>
  </si>
  <si>
    <t>Sheet Last updated: Edmund 1/20/11</t>
  </si>
  <si>
    <t>DNAU4661773 OOLU7704328</t>
  </si>
  <si>
    <t>Patch, White18gEthnic, Red18gEthnic, White18g, Red18g, UltOint8g/18g/50g, White4g, Liniment, Red4g, Patch 1 piece Sampler</t>
  </si>
  <si>
    <t>HJCU4118273 TTNU4932264 HJCU7596553</t>
  </si>
  <si>
    <t>Red18g, UltOint8g/18g/50g, , Patch, KLOil57ml/28ml, White18gEthnic, Red18gEthnic, White18g, White4g, Red4g, Liniment</t>
  </si>
  <si>
    <t>1/5/11 1/6/11 1/7/11</t>
  </si>
  <si>
    <t>12/29: Scheduled to deliver 1 on 12/29, the other 2 on 12/30. But now ALL 3 containers are in a location that is blocked by the snow which they haven’t cleaned as of yet. Waiting for more updates from trucker. 1/4: LFD is 1/5/11, trucker will advise whether all three can be delivered together on 1/5</t>
  </si>
  <si>
    <t>OOLU7556133 OOLU7496395</t>
  </si>
  <si>
    <t>KLOil57ml/28ml, White18gEthnic, Red18gEthnic, White18g, UltOint50g/18g/8g, White4g, Red4g, MuscleRub, Patch, Liniment</t>
  </si>
  <si>
    <t>MOFU5853897 MOFU0752179</t>
  </si>
  <si>
    <t>White18gEthnic, Red18gEthnic, White18g, Red18g, UltOint18g/8g, White4g, Red4g, UltOint50g, Liniment, MuscleRub, NeckRub, Patch</t>
  </si>
  <si>
    <t>11/30 x 1 12/1 x 1</t>
  </si>
  <si>
    <t>HLXU4191313</t>
  </si>
  <si>
    <t>LFD 12/2, Customs not released as of 11/30</t>
  </si>
  <si>
    <t>CBHU6121038 CBHU1748914 CBHU1759143</t>
  </si>
  <si>
    <t>KLOil57ml/28ml, White18gEthnic, Red18gEthnic, Red18g, White18g, UltOint50g/18g/8g, MuscleRub, Patch, Liniment, NeckRub, (and Tiger Sculpture 68 pieces FOC)</t>
  </si>
  <si>
    <t>10/28 x 1 10/29 x 2</t>
  </si>
  <si>
    <t>10/28: FDA exam notify on selected items (sent Andy FDA notice), told Roselle to notify FDA. 11/2: FDA Inspector Junes came (check for claims). Verbal Release OK, wait for official release today/tomorrow</t>
  </si>
  <si>
    <t>MOAU6402448 MOFU0457173 MOFU0314803</t>
  </si>
  <si>
    <t>Liniment, KLOil57ml, Red4g, White4g, White18gEthnic, Red18gEthnic, Red18g, White18g, UltOint8g/18g/50g, MuscleRub, Patch, NeckRub, (and Tiger Sculpture 40 pieces FOC)</t>
  </si>
  <si>
    <t xml:space="preserve">10/28: FDA exam notify on selected items, told Roselle to notify FDA. 11/2: Sent Jimmy/Heidi FDA notice </t>
  </si>
  <si>
    <t>HJCU2932830 SENU4281624 SLSU7034277</t>
  </si>
  <si>
    <t>Patch, White18g, Red18g, UltOint8g/18g/50g, KLoil57ml, White4g, MuscleRub</t>
  </si>
  <si>
    <t>9/27: delivery order sent</t>
  </si>
  <si>
    <t>OOLU7274823 OOLU7254344</t>
  </si>
  <si>
    <t>NeckRub, Patch, KLoil57ml/28ml, White18g, Red18g, UltOint8g/50g, MuscleRub, White4g, Red4g, Liniment</t>
  </si>
  <si>
    <t>TGHU4476517</t>
  </si>
  <si>
    <t>9/28: FDA reviewing; 10/6 GreatWorld sent FDA a 2nd request. 10/12: GreatWorld sent FDA a 3rd request</t>
  </si>
  <si>
    <t>APZU4414841</t>
  </si>
  <si>
    <t>arrived</t>
  </si>
  <si>
    <t>9/1/10: FDA reviewing</t>
  </si>
  <si>
    <t>4102, 4103</t>
  </si>
  <si>
    <t>CLHU4778717 OOLU7851150 CLHU4754700</t>
  </si>
  <si>
    <t xml:space="preserve">Patch, NeckRub, UltOint18g/8g, White18gEthnic, Red18gEthnic, Red18g, White4g, Liniment, MuscleRub, KLoil57ml/28ml, Red4g </t>
  </si>
  <si>
    <t>9/3/10 x 1  9/7/10 x 2</t>
  </si>
  <si>
    <t>APZU3428460 APZU4362769 TRLU6128969</t>
  </si>
  <si>
    <t xml:space="preserve">Patch, NeckRub, UltOint50g/18g/8g, White18gEthnic, Red18gEthnic, Red18g, White4g, Liniment, MuscleRub, KLoil57ml/28ml, Red4g </t>
  </si>
  <si>
    <t>TRLU6288360 OOLU7292874</t>
  </si>
  <si>
    <t xml:space="preserve">Patch, NeckRub, KLoil57ml/28ml, Red18gEthnic, White18g, Red18g, UltOint18g/8g/50g, Red4g, Liniment, MuscleRub, White18gEthnic </t>
  </si>
  <si>
    <t>7/30/10, 8/2/10</t>
  </si>
  <si>
    <t>HJCU4078421 HJCU4170121</t>
  </si>
  <si>
    <t xml:space="preserve">Patch, NeckRub, KLoil57ml, Red18gEthnic, Red18g, UltOint18g, Red4g, White4g, White18gEthnic </t>
  </si>
  <si>
    <t>7/30: Left message for FDA officer for a release over the phone upon containers' arrival at warehouse. Last free date is 7/30.      8/2: Give contact info for Roselle to help follow up  8/3: FDA officer not returning call. Unlikely to get release over the phone. Notified FDA to examine goods</t>
  </si>
  <si>
    <t>HJCU4425829 HJCU4039338</t>
  </si>
  <si>
    <t>NeckRub, Patch, White18gEthnic, Red18gEthnic, White18g, UltOint18g/50g, MuscleRub, White4g, Red4g, Liniment, Red18g, KLoil57ml/28ml</t>
  </si>
  <si>
    <t>6/24/10: USDA Hold. Last free day: 6/29 6/25/10: Sent ingredients list to USDA</t>
  </si>
  <si>
    <t>TTNU5523846 OOLU7193737</t>
  </si>
  <si>
    <t>NeckRub, Patch, White18gEthnic, Red18gEthnic, Red18g, UltOint18g/50g, MuscleRub, Red4g, Liniment,White4g</t>
  </si>
  <si>
    <t>OOLU3641181 TTNU4496854 OOLU7391748</t>
  </si>
  <si>
    <t>NeckRub, Patch, White18gEthnic, Red18gEthnic, Red18g, White4g, Red4g, MuscleRub, UltOint18g, KLoil57ml/28ml</t>
  </si>
  <si>
    <t xml:space="preserve">5/27/10: FDA Exam Notify; 6/2/10: Asked Roselle to contact FDA; 6/7/10: FDA exam OK, should be released tomorrow </t>
  </si>
  <si>
    <t>SENU4250808 TRLU9467020</t>
  </si>
  <si>
    <t>NeckRub, Patch, White18gEthnic, Red18gEthnic, Liniment, White4g, Red4g, MuscleRub, UltOint18g/50g, KLoil57ml/28ml</t>
  </si>
  <si>
    <t>HLXU5059467</t>
  </si>
  <si>
    <t>HJCU8337541 SESU6024557 SLSU7006892</t>
  </si>
  <si>
    <t>Patch, White18gEthnic, Red18gEthnic, White18g, Red18g, UltOint18g, White4g, Liniment, MuscleRub, KLoil57ml/28ml, NeckRub, Red4g, UltOint50g</t>
  </si>
  <si>
    <t>OOLU3624137 OOLU7558347</t>
  </si>
  <si>
    <t>Patch, White18g, Red18g, UltOint18g/50g, MuscleRub, NeckRub50g, 20 pieces of promotional item</t>
  </si>
  <si>
    <t>TRLU4218111</t>
  </si>
  <si>
    <t>Patch, Red4g, White18gEthnic, Red18gEthnic, White4g, Liniment, KLoil57ml/28ml</t>
  </si>
  <si>
    <t>NYKU8456296</t>
  </si>
  <si>
    <t>OOLU7166367</t>
  </si>
  <si>
    <t>NeckRub, White18gEthnic, Red18gEthnic, White18g, Red18g, UltOint18g, White4g, Red4g, UltOint50g</t>
  </si>
  <si>
    <t>HJCU8077193 SENU4301320</t>
  </si>
  <si>
    <t>NeckRub, White18gEthnic, Red18gEthnic, White18g, Red18g, Red4g, Liniment, MuscleRub, Patch, KLOil57ml/28ml</t>
  </si>
  <si>
    <t>1x3/26/10; 1x3/29/10</t>
  </si>
  <si>
    <t>OOLU3045731 OOLU7365712</t>
  </si>
  <si>
    <t>Red18g, Patch, KLOil28ml, White18gEthnic, Red18gEthnic, Red18g, Red4g, White4g, UltOint50g, Liniment, MuscleRub, NeckRub</t>
  </si>
  <si>
    <t>2/23/10: FDA exam notify; 3/3/10: Asked Roselle to contact FDA</t>
  </si>
  <si>
    <t>INBU3395840</t>
  </si>
  <si>
    <t>Red18g, Whte18gEthnic, Red18gEthnic, UltOint50g, NeckRub</t>
  </si>
  <si>
    <t>SESU6008140</t>
  </si>
  <si>
    <t>Patch (Large)</t>
  </si>
  <si>
    <t>2/11/10: FDA exam notify. 2/18/10: Roselle contacts FDA. 2/25/10: Roselle contacts FDA again</t>
  </si>
  <si>
    <t>HJCU8064473 HJCU4332011</t>
  </si>
  <si>
    <t>White18gEthnic, Red18gEthnic, KLoil57ml, Red4g, Patch</t>
  </si>
  <si>
    <t>1/28/10: Roselle contacted FDA for Exam. 2/5/10: Roselle sent FDA 2nd request 2/11/10: Roselle contacts FDA</t>
  </si>
  <si>
    <t>HJCU4392345</t>
  </si>
  <si>
    <t>HJCU8087170 HJCU4947438</t>
  </si>
  <si>
    <t>KLOil57ml, Red4g, White18gEthnic, Red18gEthnic, Red18g, White18g, UltOint50g, MuscleRub, Patch</t>
  </si>
  <si>
    <t>Sheet Last updated: Edmund 1/26/11</t>
  </si>
  <si>
    <t>MSCU0152329</t>
  </si>
  <si>
    <t>Red Panax Gsg Ext., Ultra Ginkgo Plus, Ultra Joint Health Liquid Extract</t>
  </si>
  <si>
    <t>10EYB06124 $41241 LFD 1/7/11</t>
  </si>
  <si>
    <t>TRLU8621568</t>
  </si>
  <si>
    <t>Tea (Green 100s, Jasmine, Oolong 100s (30合裝/12 合裝), Pu-erh 100s, White 100s)</t>
  </si>
  <si>
    <t>PONU0417793</t>
  </si>
  <si>
    <t>Goji on the Go, Green Tea Ext. w/ Panax Ginseng, Ultra Strength Red Panax Gsg Ext.</t>
  </si>
  <si>
    <t>$40617 12/23: Per Winnie, Customs Exam. Chassis Charge</t>
  </si>
  <si>
    <t>MSKU8882301</t>
  </si>
  <si>
    <t>Organic Tea (Oolong 100s/20s, Green, Jasmine)</t>
  </si>
  <si>
    <t>$46773.30. Chassis Charge</t>
  </si>
  <si>
    <t>MSKU3668880</t>
  </si>
  <si>
    <t>Chassis Charge</t>
  </si>
  <si>
    <t>MEDU1417579</t>
  </si>
  <si>
    <t>Instant Wild American Ginseng Tea 2006023-10</t>
  </si>
  <si>
    <t>$43464.80 LFD 12/27, freight not released yet, Andy wants 12/24 if possible</t>
  </si>
  <si>
    <t>TTNU9658876</t>
  </si>
  <si>
    <t>$51839 12/15: FDA reviewing</t>
  </si>
  <si>
    <t>CBHU6319511</t>
  </si>
  <si>
    <t>Tea (Green 100s/20s, Jap Style Green 100s, Jasmine 100s, Oolong 100s, White 20s, Pu-Erh 100s)</t>
  </si>
  <si>
    <t>GESU3034591</t>
  </si>
  <si>
    <t>Paper Box, Plastic Tray, Tote Bag, Plastic Bag, Empty Tins, Bicycle (For KEN), Label, Sponge, Styrofoam, Calendar</t>
  </si>
  <si>
    <t xml:space="preserve">Note: Inform Ken when his bicycle arrives. PO24411, 24563, 24581, 24561, 24389, 24150, 24572, 24385 </t>
  </si>
  <si>
    <t>TRLU6766393</t>
  </si>
  <si>
    <t xml:space="preserve">LFD 12/17 </t>
  </si>
  <si>
    <t>OOLU8408758</t>
  </si>
  <si>
    <t>12/15: Available, LFD 12/21</t>
  </si>
  <si>
    <t>MOAU0523925</t>
  </si>
  <si>
    <t>Jacob Cream Crackers</t>
  </si>
  <si>
    <t>12/9 FDA reviewing</t>
  </si>
  <si>
    <t>BSIU4004300</t>
  </si>
  <si>
    <t>$45375.70 12/8: No customs release yet</t>
  </si>
  <si>
    <t>CBHU5920934</t>
  </si>
  <si>
    <t>Korean Ginseng Tea (K-80027 only)</t>
  </si>
  <si>
    <t>MSKU5601150</t>
  </si>
  <si>
    <t>Ginkgo Biloba, Ultra Ginkgo Plus, Beijing Royal Jelly, Am Gsg Royal Jelly, Ultra Joint Health Liquid Extract</t>
  </si>
  <si>
    <t>$41433.80 12/9 FDA review</t>
  </si>
  <si>
    <t>EGHU9065406</t>
  </si>
  <si>
    <t>LCL. 12/8: Customs not released yet (CET intensive exam)</t>
  </si>
  <si>
    <t>SUDU5934956</t>
  </si>
  <si>
    <t>Customs completed the x-ray exam &amp; released on 12/12/10</t>
  </si>
  <si>
    <t>PONU2014441</t>
  </si>
  <si>
    <t>POP Pi Lo Chun, Organic Tea (Green Tea 100s/20s, Jasmine Tea)</t>
  </si>
  <si>
    <t>$21577.80 11/29: Per Lolita, OBL coming 12/1 the latest</t>
  </si>
  <si>
    <t>TTNU4517140</t>
  </si>
  <si>
    <t xml:space="preserve">American Ginseng Hard Candy (8oz, 4.78oz) </t>
  </si>
  <si>
    <t>FCIU3658910</t>
  </si>
  <si>
    <t>MSKU1112696</t>
  </si>
  <si>
    <t>Organic Tea (Green Tea 100s/20s, Jasmine)</t>
  </si>
  <si>
    <t>MSKU7652691</t>
  </si>
  <si>
    <t>Gsg Ext Oral Liquid, Ult Red Panax Gsg Ext</t>
  </si>
  <si>
    <t>MSCU4314120</t>
  </si>
  <si>
    <t>$42021.85 LFD 12/7</t>
  </si>
  <si>
    <t>178 + 11Pallet</t>
  </si>
  <si>
    <t>WHLU4074620</t>
  </si>
  <si>
    <t>Empty Tins (Bottom, Lid), Printed Matter (including 華傳周年特刊), Calendar, Envelope, Instant Tea</t>
  </si>
  <si>
    <t>PO#24150, PO#NS451</t>
  </si>
  <si>
    <t>OOLU8416373</t>
  </si>
  <si>
    <t>GVCU2058288</t>
  </si>
  <si>
    <t>CRXU3001420</t>
  </si>
  <si>
    <t xml:space="preserve">Pally Biscuits </t>
  </si>
  <si>
    <t>INBU5262430</t>
  </si>
  <si>
    <t xml:space="preserve">Tea (Green 100's, Pu-Erh 100's, White 100's White 20's) </t>
  </si>
  <si>
    <t>MEDU1038446</t>
  </si>
  <si>
    <t>POP Tea (Pi Lo Chun, Ti Kuan Yin, Dragon Well Green, Organic Jasmine, Organic Green, Am Gsg Oolong) + 100 pc of Ti Kuan Yin Carton</t>
  </si>
  <si>
    <t>$27366.20 11/19: USDA Hold</t>
  </si>
  <si>
    <t>TGHU9713247</t>
  </si>
  <si>
    <t>CBHU6239118</t>
  </si>
  <si>
    <t>Wu Long Tea 60's (For Ultimate International)</t>
  </si>
  <si>
    <t>MSKU2289623</t>
  </si>
  <si>
    <t>Han's Honey Loquat Syrup, American Ginseng Instant Tea</t>
  </si>
  <si>
    <t>TTNU5619038</t>
  </si>
  <si>
    <t>CRSU9079126</t>
  </si>
  <si>
    <t>TTNU4369660</t>
  </si>
  <si>
    <t>$42021.85 LFD 11/17</t>
  </si>
  <si>
    <t>EMCU3804099</t>
  </si>
  <si>
    <t>POP Express 3 in 1 Coffee</t>
  </si>
  <si>
    <t>$27096.30. Check if additional ISF fee was charged for amendments, received shipment doc by email on 10/15. LFD is 11/10</t>
  </si>
  <si>
    <t>FSCU7920118</t>
  </si>
  <si>
    <t>Ginger Candy (Pt. Agel Langgeng)</t>
  </si>
  <si>
    <t>$9236 LFD 11/10</t>
  </si>
  <si>
    <t>TCNU7400690</t>
  </si>
  <si>
    <t>Paper Box, Plastic Tray, Banner</t>
  </si>
  <si>
    <t>PO#24379, 24380, NS452. 11/4: X-Ray Exam, CET Exam Hold; 11/10: Not available for pickup yet, Roselle will check again on Friday</t>
  </si>
  <si>
    <t>ECMU1903889</t>
  </si>
  <si>
    <t>HYH Herbal Tea (share container with M&amp;D)</t>
  </si>
  <si>
    <t>Share container with M&amp;D, our share is 250 cases. 11/2: FDA exam notify. 11/3 Asked Roselle to notify FDA. 11/9: Asked Jan to issue 2nd request</t>
  </si>
  <si>
    <t>NYKU3295120</t>
  </si>
  <si>
    <t>LFD is 11/5</t>
  </si>
  <si>
    <t>CBHU6455035</t>
  </si>
  <si>
    <t>10/20: FDA exam notify. 10/29: Told Roselle to contact FDA</t>
  </si>
  <si>
    <t>UETU9002813</t>
  </si>
  <si>
    <t>YNBY Toothpaste (30g)</t>
  </si>
  <si>
    <t>11/1; Customs Hold. 11/4: Customs released the container yesterday.  Roselle will check tomorrow if it is available for pick up.</t>
  </si>
  <si>
    <t>YNBY Toothpaste (100g)</t>
  </si>
  <si>
    <t>Same as above</t>
  </si>
  <si>
    <t>WHLU5178974</t>
  </si>
  <si>
    <t>Instant Tea, Chinese Tea, Loquat Hard Candy, Loquat Soft Candy, Plastic Tray</t>
  </si>
  <si>
    <t>PO24380 (Plastic Tray).</t>
  </si>
  <si>
    <t>WHLU7310713</t>
  </si>
  <si>
    <t>POP Mac Nut Chocolate (24 pcs)</t>
  </si>
  <si>
    <t>MSKU6008940</t>
  </si>
  <si>
    <t>Oolong 100's; Green Tea 100's; Jasmine 100's; White Tea 100's</t>
  </si>
  <si>
    <t>10/26: FDA Exam Notfiy.1003cs Green Tea; 100cs White Tea. (Jasmine &amp; Oolong can proceed) 10/28: Goods arrived, told Roselle to notify FDA</t>
  </si>
  <si>
    <t>XINU8198763</t>
  </si>
  <si>
    <t>Tibetan Tea</t>
  </si>
  <si>
    <t>CCLU5089693</t>
  </si>
  <si>
    <t>LFD: 10/21</t>
  </si>
  <si>
    <t>GSTU6396342</t>
  </si>
  <si>
    <t>10/19: USDA still reviewing, LFD is 10/20. 10/20: USDA OK, but FDA EXAM NOTIFY. 10/25: Jimmy sent out received goods email 10/28: FDA Officer Jessica collected 12bags of D04011 for sampling and opened 1bag for inspection. Needs 2 weeks to release this shipment. Check again by 11/11/10. 11/16/10: Asked Roselle to check again. 11/22: Still no news from FDA, Roselle issued another status request. 12/8 A new status request by Roselle</t>
  </si>
  <si>
    <t>SUDU4701142</t>
  </si>
  <si>
    <t>ZCSU5950602</t>
  </si>
  <si>
    <t>WHLU2690755</t>
  </si>
  <si>
    <t>Paper Box, Plastic Tray, Printed Matter, Empty Tins</t>
  </si>
  <si>
    <t>Attention! Need to ship back 8 ctns to HK! (Case mark show the item no. P-GB021). PO#24221, 24237, 24275, 24277, NS445, 24276, 24238, 24285, 24282, NS422, 24082</t>
  </si>
  <si>
    <t>EMCU3905480</t>
  </si>
  <si>
    <t>Ginger Candy (SNA)</t>
  </si>
  <si>
    <t>GESU3711075</t>
  </si>
  <si>
    <t>APRU5082688</t>
  </si>
  <si>
    <t>CRXU4787079</t>
  </si>
  <si>
    <t>MSKU6476962</t>
  </si>
  <si>
    <t>Org Tea (Jasmine, Oolong, Green), American Ginseng Oolong Tea</t>
  </si>
  <si>
    <t>PONU1291673</t>
  </si>
  <si>
    <t>Oolong Tea 100's (12 合裝)</t>
  </si>
  <si>
    <t>9/30: Asked Joyce at GreatWorld to notfiy FDA goods are available for exam</t>
  </si>
  <si>
    <t>MSKU3787894</t>
  </si>
  <si>
    <t>Gsg. Ext., Ginkgo Biloba, Ultra Ginkgo Plus, Ultra Joint Health Liquid Extract</t>
  </si>
  <si>
    <t>10/1: Roselle notified FDA goods are available for FDA exam. 10/7: FDA took panax ginseng ext. samples, verbally released others 10/12: FDA released all EXCEPT Gsg Ext. 10/25: FDA releases all</t>
  </si>
  <si>
    <t>OOLU3862259</t>
  </si>
  <si>
    <t>on hold due to our delayed payment. LFD 9/28, but get extended due to strike</t>
  </si>
  <si>
    <t>FSCU9691576</t>
  </si>
  <si>
    <t>9/27: Notified Joyce at GreatWorld container is available for FDA exam.                                                                                         10/6 container has been released by FDA</t>
  </si>
  <si>
    <t>MSKU6325267</t>
  </si>
  <si>
    <t>Am Gsg Tea; Inst Wild Am Gsg Tea (2006013-10)</t>
  </si>
  <si>
    <t>OOLU3858006</t>
  </si>
  <si>
    <t>WHLU2566220</t>
  </si>
  <si>
    <t xml:space="preserve">American Ginseng Hard Candy (1lb) </t>
  </si>
  <si>
    <t>KLFU1311890</t>
  </si>
  <si>
    <t>Organic Tea (Green, Oolong, Jasmine)</t>
  </si>
  <si>
    <t>EMCU8010738</t>
  </si>
  <si>
    <t>Non woven Tote Bag</t>
  </si>
  <si>
    <t>TGHU4993090</t>
  </si>
  <si>
    <t>9/3/10: Customs Hold; LFD 9/9/10</t>
  </si>
  <si>
    <t>FSCU9657588</t>
  </si>
  <si>
    <t>PONU0608974</t>
  </si>
  <si>
    <t>Gsg. Ext., Ginkgo Biloba, Ultra Ginkgo Plus</t>
  </si>
  <si>
    <t>9/1/10: FDA reviewing, USDA Exam hold, LFD is 9/9. 9/9/10: FDA Detained (200cs Gsg Ext., 200cs Ginkgo Biloba) + FDA Exam (200cs Ultra Ginkgo Plus), 9/15/10: FDA released 200cs Ultra Ginkgo Plus 9/30/10: FDA released after customs broker submitted docs with correct manufacturer/exporter info.</t>
  </si>
  <si>
    <t>GLDU4027799</t>
  </si>
  <si>
    <t>Oolong 100's; Green Tea 100's</t>
  </si>
  <si>
    <t>96pkgs</t>
  </si>
  <si>
    <t>WHLU2759907</t>
  </si>
  <si>
    <t>Empty Tins (Bottom, Lid), Rattan Basket, Mary Cheung's Book+Poster</t>
  </si>
  <si>
    <t>PO23906, PO24124</t>
  </si>
  <si>
    <t>HMMU9007990</t>
  </si>
  <si>
    <t>Empty Tins - Lid</t>
  </si>
  <si>
    <t>GATU4454320</t>
  </si>
  <si>
    <t>8/26: Customs Hold; 8/31: Customs released, but last free day was 8/30. Delivery scheduled for 9/2 (3 days of demurrage x $108/day). End up delivery on 9/3 (4 days of demurrage) because of inventory check on 9/2.</t>
  </si>
  <si>
    <t>SUDU5242074</t>
  </si>
  <si>
    <t>Biscuits</t>
  </si>
  <si>
    <t>EISU8036503</t>
  </si>
  <si>
    <t>FCIU3368589</t>
  </si>
  <si>
    <t>SUDU5230643</t>
  </si>
  <si>
    <t>8/13/10: Roselle said Customs hold; FDA OK, waiting for report</t>
  </si>
  <si>
    <t>HDMU5509836</t>
  </si>
  <si>
    <t>Bak Foong Pills, Paper Box, Plastic Bag, Sticker, Plastic Tray, Books, Banner</t>
  </si>
  <si>
    <t>PO24034, 24061, 24088, 24070, 23349, 24176 8/24/10: USDA hold, inspector scheduled to exam on 8/24/10</t>
  </si>
  <si>
    <t>PONU0954914</t>
  </si>
  <si>
    <t>Gsg. Ext., Ginkgo Biloba, Ultra Joint Health Liquid Extract</t>
  </si>
  <si>
    <t>8/16/10: USDA hold; 8/18/10: sent USDA ingredients list</t>
  </si>
  <si>
    <t>CBHU6105206</t>
  </si>
  <si>
    <t>Japanese Style Green Tea 100's, Oolong 100's Green Tea 100's</t>
  </si>
  <si>
    <t>FCIU3219857</t>
  </si>
  <si>
    <t>Royal Jelly, Panax Gsg Ext. Oral Liquid</t>
  </si>
  <si>
    <t>8/9/10: Received Notify FDA availability notice. Informed GreatWorld to notify FDA 8/17/10: FDA released without inspection</t>
  </si>
  <si>
    <t>TGHU0604878</t>
  </si>
  <si>
    <t>WHLU4216998</t>
  </si>
  <si>
    <t>Am Gsg Hard Candy (4.78oz, 8oz)</t>
  </si>
  <si>
    <t>This shipment also includes 1cs of Gsg Candy Box (PO 24136) which is not listed on the bill of lading</t>
  </si>
  <si>
    <t>CBHU1733869</t>
  </si>
  <si>
    <t>Oolong Tea 100's</t>
  </si>
  <si>
    <t>8/3: USDA Hold</t>
  </si>
  <si>
    <t>GLDU2123324</t>
  </si>
  <si>
    <t>Am. Gsg Inst. Tea, Inst. Wild Am. Gsg Tea (2006010-10)</t>
  </si>
  <si>
    <t>Last Free date 8/5/10. 8/6/10: FDA reviewing</t>
  </si>
  <si>
    <t>HDMU2661634</t>
  </si>
  <si>
    <t>Royal Jelly, Green Tea Ext., Goji on the Go (10ccx30)</t>
  </si>
  <si>
    <t xml:space="preserve">Last Free date 8/3/10.   7/28: Customs released, FDA still reviewing. 8/3/10: Another request to FDA </t>
  </si>
  <si>
    <t>BMOU4125902</t>
  </si>
  <si>
    <t>Sealing Machine, Sticker, Foam Board</t>
  </si>
  <si>
    <t>PO# 24042, 24070</t>
  </si>
  <si>
    <t>MSCU2689153</t>
  </si>
  <si>
    <t>Panax Gsg Ext. Oral Liquid (10ccx30)</t>
  </si>
  <si>
    <t>exam+exam handling $815+$45</t>
  </si>
  <si>
    <t>MSKU3038601</t>
  </si>
  <si>
    <t>Organic Tea (Oolong 100, White Tea 100, White Tea 20), Gift Oolong Tea</t>
  </si>
  <si>
    <t>HJCU6066604</t>
  </si>
  <si>
    <t>By Masterpiece. 7/22: Customs released, last free day was 7/20/10</t>
  </si>
  <si>
    <t>TTNU1673283</t>
  </si>
  <si>
    <t>MSCU4781696</t>
  </si>
  <si>
    <t>Green Tea 100's; Green Tea 20's</t>
  </si>
  <si>
    <t>CAXU7423944</t>
  </si>
  <si>
    <t>Ginger Honey Crystals (10EYB06031)</t>
  </si>
  <si>
    <t>7/16: Customs just released today. There is already demurrage due though of $321.60 since today is the last free day. We will guarantee it for you.</t>
  </si>
  <si>
    <t>NYKU2941890</t>
  </si>
  <si>
    <t>7/19: Customs released, FDA Docs Review; 7/26: Greatworld faxed docs again</t>
  </si>
  <si>
    <t>MATU4559369</t>
  </si>
  <si>
    <t>YNBY toothpaste 30g</t>
  </si>
  <si>
    <t>AMFU8438975</t>
  </si>
  <si>
    <t>Bottles, Hard Candy (Honey Loquat 40g/Almond Pear 40g), Poster &amp; Label, Paper Box, Paper Bag, Empty Tins, Desiccants</t>
  </si>
  <si>
    <t>PO# 24004, 23987, 24062</t>
  </si>
  <si>
    <t>HDMU5543358</t>
  </si>
  <si>
    <t>By Masterpiece: 7/13: USDA/FDA still reviewing; 7/15/10: will get separate bill $210 from Benz (got docs from masterpiece on the day of last free day)</t>
  </si>
  <si>
    <t>HDMU5497355</t>
  </si>
  <si>
    <t>By Masterpiece. 7/13: Customs release, FDA reviewing</t>
  </si>
  <si>
    <t>DFSU4195959</t>
  </si>
  <si>
    <t>UESU2313384</t>
  </si>
  <si>
    <t xml:space="preserve">Sea Coconut Drink </t>
  </si>
  <si>
    <t>By Masterpiece. 7/13: FDA release, pending USDA exam</t>
  </si>
  <si>
    <t>GLDU7139730</t>
  </si>
  <si>
    <t>Inst. Goji Berry Chrysanthemum Tea, Inst. Dark Brown Sugar Ginger Tea</t>
  </si>
  <si>
    <t>MLCU2156655</t>
  </si>
  <si>
    <t>POP Inst. Tea Latte</t>
  </si>
  <si>
    <t>7/7: Customs just released, available soon</t>
  </si>
  <si>
    <t>TCKU2437768</t>
  </si>
  <si>
    <t>Ult. R. Panax Gsg Ext., Royal Jelly Oral Liquid</t>
  </si>
  <si>
    <t>7/7: USDA needs to exam; 7/13: no demurrage incurred per Roselle</t>
  </si>
  <si>
    <t>HJCU4361600</t>
  </si>
  <si>
    <t>Am. Gsg Inst. Tea, Inst. Wild Am. Gsg Tea (2006008-10)</t>
  </si>
  <si>
    <t>TRLU8647710</t>
  </si>
  <si>
    <t>Green Tea 100's (x12, x30); Green Tea 20's (x36)</t>
  </si>
  <si>
    <t>WHLU2213691</t>
  </si>
  <si>
    <t>Am Gsg Hard Candy</t>
  </si>
  <si>
    <t>MSKU3391218</t>
  </si>
  <si>
    <t>Red Panax Gsg Ext., Ultra Ginkgo Plus, Royal Jelly (Inv 2006004-10)</t>
  </si>
  <si>
    <t>6/29: USDA needs to exam</t>
  </si>
  <si>
    <t>FSCU5686309</t>
  </si>
  <si>
    <t>Han's Honey Loquat Syrup</t>
  </si>
  <si>
    <t>CAIU4079860</t>
  </si>
  <si>
    <t>6/16: Container on X-Ray Exam Hold; 6/23: FDA review</t>
  </si>
  <si>
    <t>MEDU8246499</t>
  </si>
  <si>
    <t>Italian Breadsticks</t>
  </si>
  <si>
    <t>BMOU2434287</t>
  </si>
  <si>
    <t>Biscuits (PSD Digestive)</t>
  </si>
  <si>
    <t>CBHU8485492</t>
  </si>
  <si>
    <t>YNBY toothpaste 100g</t>
  </si>
  <si>
    <t>MSKU0592501</t>
  </si>
  <si>
    <t>Paper Box, Print Material, Banner, Plastic Bag, Plastic Tray, Books</t>
  </si>
  <si>
    <t>PO# 23859, 23962, NS373, NS365, 23860, 23786</t>
  </si>
  <si>
    <t>CBHU6217124</t>
  </si>
  <si>
    <t>Green Tea (100s), Oolong Tea (100s), White Tea (20s), Pu-erh Tea (100s)</t>
  </si>
  <si>
    <t>6/2/10: FDA Reviewing; 6/4/10: USDA asking for ingredients list, demurrage after 6/10; 6/8/10: Sent USDA ingredients list; 6/10: Sent for USDA exam 6/21/10: Customs finished the exam this morning, but they have not posted the release in the system yet &amp; the warehouse is still reloading the shipment.  Hopefully everything will be ready by tomorrow 6/23/10: Greatworld paid Pierpass?</t>
  </si>
  <si>
    <t>TCNU9085010</t>
  </si>
  <si>
    <t>XINU1234690</t>
  </si>
  <si>
    <t>CRXU4078221</t>
  </si>
  <si>
    <t>Green Tea (100s); White Tea (20s)</t>
  </si>
  <si>
    <t>TGHU4648600</t>
  </si>
  <si>
    <t>Green Tea (100s); Oolong Tea (100s)</t>
  </si>
  <si>
    <t>MOTU0530807</t>
  </si>
  <si>
    <t>Paper Box, Paper Card, Sticker, Plastic Tray</t>
  </si>
  <si>
    <t>PO# 23702, 23864, 23786, NS345, NS347</t>
  </si>
  <si>
    <t>TTNU4475379</t>
  </si>
  <si>
    <t>Am. Gsg Inst. Tea, Inst. Wild Am. Gsg Tea; Boxes</t>
  </si>
  <si>
    <t>TRLU8671614</t>
  </si>
  <si>
    <t>Am Gsg Hard Candy (8oz,4.78oz,1lb)</t>
  </si>
  <si>
    <t>5/17/10: FDA Exam Notify: 265cs/8oz, 155cs/4.78oz FDA may proceed: 110cs/1lb.  5/21/10: USDA Exam needed, will see demurrage 5/26/10: Asked Roselle to schedule FDA exam  6/1/10: FDA released without examination. 6/2/10: Estella called - NO demurrage</t>
  </si>
  <si>
    <t>MSKU7865594</t>
  </si>
  <si>
    <t>MSCU5942687</t>
  </si>
  <si>
    <t>Org Green Tea (100s); Green Tea (100s)</t>
  </si>
  <si>
    <t>TTNU3367580</t>
  </si>
  <si>
    <t>MSCU5918947</t>
  </si>
  <si>
    <t>Org Green Tea100s, Jasmine100s, Oolong100s, Pu-Erh100s</t>
  </si>
  <si>
    <t>MEDU2473140</t>
  </si>
  <si>
    <t>Green Tea Extract, Goji, Oral Liquid</t>
  </si>
  <si>
    <t>5/11/10: Customs Exam Hold; demurrage $1062.40</t>
  </si>
  <si>
    <t>SUDU5768480</t>
  </si>
  <si>
    <t>Honey (Clover)</t>
  </si>
  <si>
    <t>NO ISF filed for this shipment</t>
  </si>
  <si>
    <t>NYKU3112641</t>
  </si>
  <si>
    <t>Ginseng Honey Drink, PGS Pei Pa Lo</t>
  </si>
  <si>
    <t>MSKU7048824</t>
  </si>
  <si>
    <t>Org Jasmine Tea100s; Org White Tea100s</t>
  </si>
  <si>
    <t>CMAU8043282</t>
  </si>
  <si>
    <t>Ginseng Honey Drink</t>
  </si>
  <si>
    <t>4/19/10: FDA Exam ; 4/23/10: Notified Roselle to contact FDA; 4/28/10: Asked Roselle to issue 2nd request; 4/30/10: FDA came to take samples (1cs), need 21-30 business days to complete analysis, ECD:6/17/2010</t>
  </si>
  <si>
    <t>MSKU3532949</t>
  </si>
  <si>
    <t>Ult R Panax Gsg Ext, Panax Gsg Ext Oral Liquid</t>
  </si>
  <si>
    <t>4/13/10: FDA Exam; 4/23/10: Notified Roselle to contact FDA; 4/28/10: FDA came, should be released tomorrow</t>
  </si>
  <si>
    <t>TCNU9659144</t>
  </si>
  <si>
    <t>HJCU8183662</t>
  </si>
  <si>
    <t>EGHU9066763</t>
  </si>
  <si>
    <t>PONU1842225</t>
  </si>
  <si>
    <t>GreenTea100s, Jasmine100s, Pu-Erh100s</t>
  </si>
  <si>
    <t>Loose</t>
  </si>
  <si>
    <t>KKTU7554877</t>
  </si>
  <si>
    <t>4/12/10: Customs Exam Hold; 4/20/10: Customs release, demurrage $820</t>
  </si>
  <si>
    <t>INBU5141660</t>
  </si>
  <si>
    <t>PCIU4530631</t>
  </si>
  <si>
    <t>Org Jasmine, Org White, TKY Tea, Pu-erh Tea</t>
  </si>
  <si>
    <t>FESU2109550</t>
  </si>
  <si>
    <t>HDMU5473245</t>
  </si>
  <si>
    <t>Paper Box, Plastic Tray, Envelope, Sticker/Scissors, Plastic Box, Instant Tea</t>
  </si>
  <si>
    <t>PO# : 23757, 23785, 23783, 23756, NS306, 23758,NS332, 23779, 23846, 23831</t>
  </si>
  <si>
    <t>MSKU6070588</t>
  </si>
  <si>
    <t>Org Green Tea100s, Oolong100s, TiKuanYin100s, White Tea100s</t>
  </si>
  <si>
    <t>MOAU0661122</t>
  </si>
  <si>
    <t>R Gsg Ext., Biloba, Ult Ginkgo Plus</t>
  </si>
  <si>
    <t>MSKU6310884</t>
  </si>
  <si>
    <t>Am Gsg Hard Candy 8oz/4.78oz</t>
  </si>
  <si>
    <t>MSKU6827481</t>
  </si>
  <si>
    <t>Am. Gsg Inst. Tea, Inst. Wild Am. Gsg Tea</t>
  </si>
  <si>
    <t>SEAU2322000</t>
  </si>
  <si>
    <t>Ult Red Panax Gsg Ext., R Gsg Royal Jelly, Goji, Panax Gsg Ext Oral Liquid</t>
  </si>
  <si>
    <t>MSCU4223380</t>
  </si>
  <si>
    <t>Green Tea (100's) {Invoice: HBG09-28}</t>
  </si>
  <si>
    <t>NYKU3251098</t>
  </si>
  <si>
    <t>MOTU0774676</t>
  </si>
  <si>
    <t>3/2/10: GreatWorld notifies container overweight</t>
  </si>
  <si>
    <t>MSCU4136120</t>
  </si>
  <si>
    <t>Green Tea 100's; Org Green Tea 100's</t>
  </si>
  <si>
    <t>ECMU1262614</t>
  </si>
  <si>
    <t>R Gsg Royal Jelly, Green Tea Ext., Ult R Panax Gsg, Panax Gsg Ext Oral Liquid</t>
  </si>
  <si>
    <t>2/22/10: USDA hold; 3/3/10: USDA Tailgate Exam</t>
  </si>
  <si>
    <t>MSKU3124232</t>
  </si>
  <si>
    <t>2/19/10: USDA ordered Exam: 2/25/10: Sent to exam</t>
  </si>
  <si>
    <t>EMCU1399021</t>
  </si>
  <si>
    <t>Ginger Honey Crystals (EYB09195)</t>
  </si>
  <si>
    <t>CBHU6316169</t>
  </si>
  <si>
    <t>Org. Green Tea (100's, 20's)</t>
  </si>
  <si>
    <t>LTIU3057729</t>
  </si>
  <si>
    <t>POP Ginger Chew</t>
  </si>
  <si>
    <t>HDMU4737786</t>
  </si>
  <si>
    <t>Instant Korean Ginseng Tea</t>
  </si>
  <si>
    <t>2/8/10: USDA hold; 2/10/10: USDA hold removed</t>
  </si>
  <si>
    <t>CBHU6237645</t>
  </si>
  <si>
    <t>Ginger Honey Crystals (EYB03194)</t>
  </si>
  <si>
    <t>PONU1435071</t>
  </si>
  <si>
    <t>Org Tea (Jasmine, Oolong, White, Green)</t>
  </si>
  <si>
    <t>MSKU6716981</t>
  </si>
  <si>
    <t>Green Tea (100's) {Invoice:HBG09-26}</t>
  </si>
  <si>
    <t>YMLU8160328</t>
  </si>
  <si>
    <t>2/4/10: FDA needs to exam. 2/10/10: FDA may proceed</t>
  </si>
  <si>
    <t>Coldaid/Fluaid</t>
  </si>
  <si>
    <t>2/4/10: FDA needs to exam. 2/11/10: Goods arrived. Roselle contacts FDA. 2/25/10: Roselle informs FDA released without exam.</t>
  </si>
  <si>
    <t>NYKU7147245</t>
  </si>
  <si>
    <t>FCIU3210150</t>
  </si>
  <si>
    <t>R Panax Gsg Extractum, Ginkgo Biloba, Ult Ginkgo Plus, Royal Jelly, Joint Health Ext (Invoice 2006028-09)</t>
  </si>
  <si>
    <t>2/8/10: sent to USDA for exam</t>
  </si>
  <si>
    <t>MEDU3331026</t>
  </si>
  <si>
    <t>R Panax Gsg Extractum, Ginkgo Biloba, Ult Ginkgo Plus, Royal Jelly, Joint Health Ext (PO#23646)</t>
  </si>
  <si>
    <t>2/5/10: USDA hold for exam</t>
  </si>
  <si>
    <t>PCIU3809468</t>
  </si>
  <si>
    <t>Am Gsg Hard Candy 1Lb</t>
  </si>
  <si>
    <t>MSKU7030065</t>
  </si>
  <si>
    <t>Panax Gsg Ext Oral Liquid, Red Gsg Royal Jelly, Green Tea Ext, Goji on the Go, Ult Red Panax Gsg Ext.</t>
  </si>
  <si>
    <t>MSCU4129836</t>
  </si>
  <si>
    <t>Ginger Honey Crystals (Invoice:EYB03187)</t>
  </si>
  <si>
    <t>MOAU6747120</t>
  </si>
  <si>
    <t>MSCU1466812</t>
  </si>
  <si>
    <t>Panax Gsg Ext Oral liquid (10ccx10; 10ccx30); R Gsg Royal Jelly (PO#23643)</t>
  </si>
  <si>
    <t>1/28/10: Roselle contacted FDA for Exam. 2/5/10: Roselle sent FDA 2nd request. 2/11/10: Roselle contacts FDA again</t>
  </si>
  <si>
    <t>CMBU4096569</t>
  </si>
  <si>
    <t>Green Tea (100's) (PO#23634)</t>
  </si>
  <si>
    <t>rcvd</t>
  </si>
  <si>
    <t>EISU1793892</t>
  </si>
  <si>
    <t>Ginger Honey Crystals (PO#23663)</t>
  </si>
  <si>
    <t>GVDU4038638</t>
  </si>
  <si>
    <t>23542 23349 23860</t>
  </si>
  <si>
    <t>GATU1301055</t>
  </si>
  <si>
    <t xml:space="preserve">Paper Bag, Books, Calendar, Paper Box, Bak Foong Pills, Non-woven bag, Booklet </t>
  </si>
  <si>
    <t>1/27/10: Jan contacted FDA for Exam. 1/29/10: FDA came to exam (took pictures). Need to wait for compliance to review. Only Bak Foong Pills need to stay, the rest can be moved. 2/1/10: ALL RELEASED</t>
  </si>
  <si>
    <t>OOLU8114183</t>
  </si>
  <si>
    <t>Delacre Biscuits (PO#22868)</t>
  </si>
  <si>
    <t>OOLU8727170</t>
  </si>
  <si>
    <t>Delacre Biscuits (PO#22878)</t>
  </si>
  <si>
    <t>MSKU4208410</t>
  </si>
  <si>
    <t>R Panax Gsg Ext, Ginkgo Biloba, Ult Ginkgo Plus, Royal Jelly (PO#23647)</t>
  </si>
  <si>
    <t>MORU0604965</t>
  </si>
  <si>
    <t>TCNU8048290</t>
  </si>
  <si>
    <t>EMCU5290532</t>
  </si>
  <si>
    <t>Honey Loquat Pastilles (PO#23383)</t>
  </si>
  <si>
    <t>TCKU2673790</t>
  </si>
  <si>
    <t>Ginger Candy (PO#23318)</t>
  </si>
  <si>
    <t>MSCU4743567</t>
  </si>
  <si>
    <t>Tea (Pi Lo Chun, Dragon, Org Jasmine, Org Oolong, Ginger Green) (PO#23650)</t>
  </si>
  <si>
    <t>MSCU6020211</t>
  </si>
  <si>
    <t>R Panax Gsg Ext, Ginkgo Biloba, Ult Ginkgo Plus, Royal Jelly (PO#23584)</t>
  </si>
  <si>
    <t>FDA needs to examine items: Red Panax Ginseng Extractum 40 cs, Red Panax Ginseng Extractum 200 cs, Ginkgo Biloba &amp; Red Panax Ginseng Extract 200 cs. Ultra Ginkgo Plus 100cs MAY PROCEED; Royal Jelly 60cs MAY PROCEED. 1/19/10: FDA officer called to ask for documents (Invoice+Cert of Analysis). 1/20/10: Faxed documents. 1/28/10: Released</t>
  </si>
  <si>
    <t>Sheet Last updated: Edmund 12/30/09</t>
  </si>
  <si>
    <t>HJCU2022779 HJCU7643275</t>
  </si>
  <si>
    <t>Liniment, KLoil28/57ml, Patch, MuscleRub</t>
  </si>
  <si>
    <t>yes</t>
  </si>
  <si>
    <t>HLCU8155953</t>
  </si>
  <si>
    <t>KLoil57ml, Patch, UltOint8/50g, Red4g</t>
  </si>
  <si>
    <t>TGHU4394790</t>
  </si>
  <si>
    <t>KLoil28/57ml, UltOint8/18/50g, Red4/18g, MuscleRub, Liniment</t>
  </si>
  <si>
    <t>EMCU1140088</t>
  </si>
  <si>
    <t>HJCU4232389</t>
  </si>
  <si>
    <t>White18g, Red18g, UltOint18g</t>
  </si>
  <si>
    <t>MOFU0674380 MOFU0644277</t>
  </si>
  <si>
    <t>Patch, Red18g, UltOint18g, White4g, White18g, MuscleRub</t>
  </si>
  <si>
    <t>MSCU9380192</t>
  </si>
  <si>
    <t>Tiger Balm Caps</t>
  </si>
  <si>
    <t>OOLU1186010 OOLU7267110</t>
  </si>
  <si>
    <t xml:space="preserve">Patch, Liniment, MuscleRub, Red18g, White4/18g, UltOint8/18g, </t>
  </si>
  <si>
    <t>OOLU7606620</t>
  </si>
  <si>
    <t>Patch, KLoil57ml, White18g</t>
  </si>
  <si>
    <t>HJCU8159650 HJCU7632413</t>
  </si>
  <si>
    <t>Patch, White18gEthnic, Red4/18g, UltOint8/18/50g, KLoil57ml, Liniment57ml</t>
  </si>
  <si>
    <t>OOLU7046839</t>
  </si>
  <si>
    <t>Patch, UltOint18/50g, Red4/18g</t>
  </si>
  <si>
    <t>CBHU1702791</t>
  </si>
  <si>
    <t>TRLU3912600 HJCU4006015</t>
  </si>
  <si>
    <t>Patch, Red18gEthnic, White4/18g, MuscleRub</t>
  </si>
  <si>
    <t xml:space="preserve">11/17/09; 11/18/09 </t>
  </si>
  <si>
    <t>11/17 (20'); 11/18 (40')</t>
  </si>
  <si>
    <t>SPKU4098077</t>
  </si>
  <si>
    <t>Red18g, KLoil28/57ml, White18gEthnic</t>
  </si>
  <si>
    <t>HJCU4221234</t>
  </si>
  <si>
    <t>UltOint18g, NeckRub, Red18g, UltOint18g/50g, Liniment, White18gEthnic, Red4g</t>
  </si>
  <si>
    <t>$200 x-ray exam done</t>
  </si>
  <si>
    <t>SENU4241962 HJCU7439976</t>
  </si>
  <si>
    <t>Patch, UltOint18g, Red18gEthnic, MuscleRub</t>
  </si>
  <si>
    <t>CLHU2536144 HJCU4083730</t>
  </si>
  <si>
    <t>NeckRub, UltOint18/50g, White18gEthnic, Red18g</t>
  </si>
  <si>
    <t>SENU 4268920 HJCU4204176</t>
  </si>
  <si>
    <t xml:space="preserve">KLoil28/57ml, Patch, NeckRub, White18gEthnic, Red18gEthnic, Red4/18g, White4g, UltOint8/18/50g, Liniment, Muscle Rub, Patch1PCSample </t>
  </si>
  <si>
    <t>OOLU1617289 OOLU7775023 OOLU7648610</t>
  </si>
  <si>
    <t>Patch, NeckRub, KLoil57ml, White18gEthnic, Red18gEthnic, Red18g, UltOint8/18/50g, White4g, Red4g, MuscleRub</t>
  </si>
  <si>
    <t>Sheet Last updated: Edmund 1/4/10</t>
  </si>
  <si>
    <t>UESU4742475</t>
  </si>
  <si>
    <t>Am. Ginseng Root</t>
  </si>
  <si>
    <t>MSKU6325971</t>
  </si>
  <si>
    <t>Org Tea (Green, White, Jasmine)</t>
  </si>
  <si>
    <t>MRKU0031685</t>
  </si>
  <si>
    <t>MSCU4288294</t>
  </si>
  <si>
    <t>Am Gsg Inst Tea, Bulk Scholartree Fruit tea</t>
  </si>
  <si>
    <t>TCNU9754202</t>
  </si>
  <si>
    <t>GVCU5228074</t>
  </si>
  <si>
    <t>TOLU3715885</t>
  </si>
  <si>
    <t>TTNU4214190</t>
  </si>
  <si>
    <t>Ginseng Hard Candy</t>
  </si>
  <si>
    <t>CBHU1768443</t>
  </si>
  <si>
    <t>Gsg. Extractum, Ginkgo Biloba, Royal Jelly, Ult Ginkgo Plus Ext, Ult Joint Health Ext</t>
  </si>
  <si>
    <t>PONU1280719</t>
  </si>
  <si>
    <t>Green Tea, White Tea</t>
  </si>
  <si>
    <t>APHU6361964</t>
  </si>
  <si>
    <t>WHLU2516574</t>
  </si>
  <si>
    <t>Soup, Plastic Tray, Leaflet, Business Card</t>
  </si>
  <si>
    <t>APHU7157240</t>
  </si>
  <si>
    <t>UGMU8103746</t>
  </si>
  <si>
    <t>ZCSU8413633</t>
  </si>
  <si>
    <t>MEDU3038770</t>
  </si>
  <si>
    <t>Gsg Extractum Oral, R Gsg Royal Jelly</t>
  </si>
  <si>
    <t>PONU2088660</t>
  </si>
  <si>
    <t>Express Coffee 3 in 1</t>
  </si>
  <si>
    <t>YMLU4937106</t>
  </si>
  <si>
    <t>Am Gsg Inst Tea, Inst Wild Am. Gsg Tea</t>
  </si>
  <si>
    <t>MEDU2036113</t>
  </si>
  <si>
    <t>R Panax Gsg Extractum, Ginkgo Biloba, Ult Ginkgo Plus, Royal Jelly, Joint Health Ext</t>
  </si>
  <si>
    <t>No FDA exam needed after all. Shipment released</t>
  </si>
  <si>
    <t>HJCU8134164</t>
  </si>
  <si>
    <t>POP Instant Tea Latte 17gx30</t>
  </si>
  <si>
    <t>LTIU3013253</t>
  </si>
  <si>
    <t>K Gsg Tea, Young Ji Tea, Tu Chung Tea</t>
  </si>
  <si>
    <t>HDMU5459756</t>
  </si>
  <si>
    <t>Paper Box - Am Gsg Root 60 Sleeve</t>
  </si>
  <si>
    <t>OOLU7705812</t>
  </si>
  <si>
    <t>Cultivated American Ginseng Root</t>
  </si>
  <si>
    <t>No FDA exam needed. Shipment released</t>
  </si>
  <si>
    <t>MSKU3128243</t>
  </si>
  <si>
    <t>United Biscuits (PO#23165)</t>
  </si>
  <si>
    <t>OOLU8531799</t>
  </si>
  <si>
    <t>Delacre Biscuits (PO#22867)</t>
  </si>
  <si>
    <t>NYKU7929183</t>
  </si>
  <si>
    <t>MSKU3292642</t>
  </si>
  <si>
    <t>MAEU6406308</t>
  </si>
  <si>
    <t>CLHU8766340</t>
  </si>
  <si>
    <t>Delacre Biscuits (PO#22872)</t>
  </si>
  <si>
    <t>OOLU8565232</t>
  </si>
  <si>
    <t>Delacre Biscuits (PO#22877)</t>
  </si>
  <si>
    <t>EMCU3071303</t>
  </si>
  <si>
    <t>HDMU6962493</t>
  </si>
  <si>
    <t>Calendar, Sticker, Paper Box</t>
  </si>
  <si>
    <t>GVDU5017732</t>
  </si>
  <si>
    <t>Loose Freight</t>
  </si>
  <si>
    <t>TTNU5238480</t>
  </si>
  <si>
    <t>Green Tea, Jasmine Tea (PO#23528)</t>
  </si>
  <si>
    <t>UGMU8164309</t>
  </si>
  <si>
    <t>Ginger Honey Crystals (PO#23537)</t>
  </si>
  <si>
    <t>CLHU3959876</t>
  </si>
  <si>
    <t>MSKU7022917</t>
  </si>
  <si>
    <t>Panax Gsg Ext., Green Tea Ext., Ult. Red Panax Gsg Ext. (PO#23546)</t>
  </si>
  <si>
    <t>HDMU5488754</t>
  </si>
  <si>
    <t>Paper Box - Am. Gsg Root w/ Chry 30 Tea, Chry 60 Sleeve</t>
  </si>
  <si>
    <t>MSCU4848260</t>
  </si>
  <si>
    <t>Am Gsg Hard Candy (4.78oz, 8oz) (PO#23145,#23146)</t>
  </si>
  <si>
    <t>ZCSU8821131</t>
  </si>
  <si>
    <t>Delacre Biscuits (PO#22873)</t>
  </si>
  <si>
    <t>MSKU2944113</t>
  </si>
  <si>
    <t>R. Gsg Royal Jelly, Ult Red Panax Gsg Ext (PO#23593)</t>
  </si>
  <si>
    <t>MEDU8345866</t>
  </si>
  <si>
    <t>Organic Tea (White/Green/Oolong) (PO#23597)</t>
  </si>
  <si>
    <t>OOLU7797995</t>
  </si>
  <si>
    <t>Am. Gsg Inst. Tea + Inst. Wild Am. Gsg Tea (PO#23598)</t>
  </si>
  <si>
    <t>will be sent for USDA exam on 1/4/10</t>
  </si>
  <si>
    <t>GVCU4140944</t>
  </si>
  <si>
    <t>Ginger Honey Crystals (PO#23604)</t>
  </si>
  <si>
    <t>PCIU2807460</t>
  </si>
  <si>
    <t>Paper Box, Plastic Tray</t>
  </si>
  <si>
    <t>HJCU6036770</t>
  </si>
  <si>
    <t>Macy's Candies - Mac Nut/Almond Chocolate (PO#23127)</t>
  </si>
  <si>
    <t>TCLU2088405</t>
  </si>
  <si>
    <t>Organic Tea (Green 20's/100's; Oolong) (PO#23631)</t>
  </si>
  <si>
    <t>CBHU5751095</t>
  </si>
  <si>
    <t>Jasmine Tea; Pu-Erh Tea (PO#23630)</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</si>
</sst>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d/yyyy\ h:mm:ss"/>
    <numFmt numFmtId="165" formatCode="m/d/yy"/>
    <numFmt numFmtId="166" formatCode="\$#,##0.00"/>
    <numFmt numFmtId="167" formatCode="m&quot;/&quot;d&quot;/&quot;yy"/>
    <numFmt numFmtId="168" formatCode="m&quot;/&quot;d"/>
    <numFmt numFmtId="169" formatCode="m/d"/>
    <numFmt numFmtId="170" formatCode="m/d/yyyy\ h:mm:ss\ AM/PM"/>
    <numFmt numFmtId="171" formatCode="mm&quot;/&quot;dd&quot;/&quot;yy"/>
    <numFmt numFmtId="172" formatCode="&quot;$&quot;#,##0.00"/>
    <numFmt numFmtId="173" formatCode="m/d/yyyy\ h:mm\ AM/PM"/>
    <numFmt numFmtId="174" formatCode="mm/dd/yy\ h:mm\ AM/PM"/>
    <numFmt numFmtId="175" formatCode="m/d/yyyy h:mm:ss"/>
    <numFmt numFmtId="176" formatCode="&quot;$&quot;#,##0.0"/>
    <numFmt numFmtId="177" formatCode="&quot;$&quot;#,##0"/>
    <numFmt numFmtId="178" formatCode="&quot;HK$&quot;#,##0.00"/>
  </numFmts>
  <fonts count="141">
    <font>
      <sz val="10.0"/>
      <color rgb="FF000000"/>
      <name val="Calibri"/>
      <scheme val="minor"/>
    </font>
    <font>
      <sz val="11.0"/>
      <color rgb="FF000000"/>
      <name val="Calibri"/>
    </font>
    <font>
      <b/>
      <sz val="11.0"/>
      <color rgb="FF000000"/>
      <name val="Calibri"/>
    </font>
    <font>
      <sz val="11.0"/>
      <color rgb="FFFF0000"/>
      <name val="Calibri"/>
    </font>
    <font>
      <sz val="10.0"/>
      <color theme="1"/>
      <name val="Calibri"/>
    </font>
    <font>
      <sz val="11.0"/>
      <color theme="1"/>
      <name val="Calibri"/>
    </font>
    <font>
      <sz val="10.0"/>
      <color rgb="FF000000"/>
      <name val="Calibri"/>
    </font>
    <font>
      <sz val="10.0"/>
      <color rgb="FF0000FF"/>
      <name val="Calibri"/>
    </font>
    <font>
      <sz val="10.0"/>
      <color rgb="FF222222"/>
      <name val="Arial"/>
    </font>
    <font>
      <sz val="10.0"/>
      <color rgb="FF6FA8DC"/>
      <name val="Calibri"/>
    </font>
    <font>
      <sz val="10.0"/>
      <color rgb="FF000000"/>
      <name val="Arial"/>
    </font>
    <font>
      <sz val="10.0"/>
      <color rgb="FF9FC5E8"/>
      <name val="Calibri"/>
    </font>
    <font>
      <sz val="10.0"/>
      <color rgb="FF3D85C6"/>
      <name val="Calibri"/>
    </font>
    <font>
      <sz val="9.0"/>
      <color rgb="FF000000"/>
      <name val="Calibri"/>
    </font>
    <font>
      <sz val="10.0"/>
      <color rgb="FF674EA7"/>
      <name val="Calibri"/>
    </font>
    <font>
      <sz val="10.0"/>
      <color rgb="FFFF0000"/>
      <name val="Calibri"/>
    </font>
    <font>
      <sz val="10.0"/>
      <color rgb="FF4A86E8"/>
      <name val="Calibri"/>
    </font>
    <font>
      <sz val="12.0"/>
      <color rgb="FF000000"/>
      <name val="Calibri"/>
    </font>
    <font>
      <u/>
      <sz val="11.0"/>
      <color rgb="FF0000FF"/>
      <name val="Calibri"/>
    </font>
    <font>
      <sz val="12.0"/>
      <color rgb="FF000000"/>
      <name val="Arial"/>
    </font>
    <font>
      <b/>
      <sz val="12.0"/>
      <color rgb="FF980000"/>
      <name val="Calibri"/>
    </font>
    <font>
      <b/>
      <sz val="11.0"/>
      <color rgb="FFFF0000"/>
      <name val="Calibri"/>
    </font>
    <font>
      <b/>
      <sz val="10.0"/>
      <color theme="1"/>
      <name val="Calibri"/>
    </font>
    <font>
      <b/>
      <u/>
      <sz val="10.0"/>
      <color rgb="FF0000FF"/>
      <name val="Calibri"/>
    </font>
    <font/>
    <font>
      <b/>
      <sz val="11.0"/>
      <color theme="1"/>
      <name val="Calibri"/>
    </font>
    <font>
      <sz val="13.0"/>
      <color rgb="FF222222"/>
      <name val="Arial"/>
    </font>
    <font>
      <sz val="10.0"/>
      <color rgb="FF303030"/>
      <name val="Arial"/>
    </font>
    <font>
      <b/>
      <sz val="11.0"/>
      <color theme="1"/>
      <name val="Arial"/>
    </font>
    <font>
      <sz val="11.0"/>
      <color theme="1"/>
      <name val="Arial"/>
    </font>
    <font>
      <b/>
      <sz val="11.0"/>
      <color rgb="FF0000FF"/>
      <name val="Arial"/>
    </font>
    <font>
      <b/>
      <u/>
      <sz val="11.0"/>
      <color rgb="FF0000FF"/>
      <name val="Arial"/>
    </font>
    <font>
      <sz val="11.0"/>
      <color theme="1"/>
      <name val="Roboto"/>
    </font>
    <font>
      <u/>
      <sz val="11.0"/>
      <color rgb="FF0000FF"/>
      <name val="Roboto"/>
    </font>
    <font>
      <u/>
      <sz val="11.0"/>
      <color rgb="FF0000FF"/>
      <name val="Roboto"/>
    </font>
    <font>
      <sz val="12.0"/>
      <color theme="1"/>
      <name val="Roboto"/>
    </font>
    <font>
      <sz val="13.0"/>
      <color theme="1"/>
      <name val="Arial"/>
    </font>
    <font>
      <sz val="10.0"/>
      <color theme="1"/>
      <name val="Roboto"/>
    </font>
    <font>
      <sz val="12.0"/>
      <color theme="1"/>
      <name val="Calibri"/>
    </font>
    <font>
      <sz val="11.0"/>
      <color rgb="FF303030"/>
      <name val="Arial"/>
    </font>
    <font>
      <b/>
      <sz val="11.0"/>
      <color rgb="FF000000"/>
      <name val="Arial"/>
    </font>
    <font>
      <sz val="11.0"/>
      <color rgb="FF000000"/>
      <name val="Arial"/>
    </font>
    <font>
      <u/>
      <sz val="11.0"/>
      <color rgb="FF4A86E8"/>
      <name val="Arial"/>
    </font>
    <font>
      <sz val="11.0"/>
      <color rgb="FF000000"/>
      <name val="Roboto"/>
    </font>
    <font>
      <u/>
      <sz val="11.0"/>
      <color rgb="FF4A86E8"/>
      <name val="Arial"/>
    </font>
    <font>
      <sz val="11.0"/>
      <color rgb="FF202124"/>
      <name val="Arial"/>
    </font>
    <font>
      <u/>
      <sz val="11.0"/>
      <color rgb="FF4A86E8"/>
      <name val="Arial"/>
    </font>
    <font>
      <sz val="11.0"/>
      <color rgb="FF222222"/>
      <name val="Arial"/>
    </font>
    <font>
      <sz val="11.0"/>
      <color rgb="FF4A86E8"/>
      <name val="Arial"/>
    </font>
    <font>
      <u/>
      <sz val="11.0"/>
      <color rgb="FF4A86E8"/>
      <name val="Arial"/>
    </font>
    <font>
      <u/>
      <sz val="11.0"/>
      <color rgb="FF0000FF"/>
      <name val="Arial"/>
    </font>
    <font>
      <u/>
      <sz val="11.0"/>
      <color rgb="FF0000FF"/>
      <name val="Arial"/>
    </font>
    <font>
      <sz val="17.0"/>
      <color rgb="FF202124"/>
      <name val="Arial"/>
    </font>
    <font>
      <u/>
      <sz val="11.0"/>
      <color rgb="FF1155CC"/>
      <name val="Arial"/>
    </font>
    <font>
      <i/>
      <sz val="11.0"/>
      <color theme="1"/>
      <name val="Arial"/>
    </font>
    <font>
      <b/>
      <sz val="10.0"/>
      <color theme="1"/>
      <name val="Arial"/>
    </font>
    <font>
      <b/>
      <sz val="10.0"/>
      <color rgb="FF000000"/>
      <name val="Arial"/>
    </font>
    <font>
      <b/>
      <sz val="9.0"/>
      <color rgb="FF000000"/>
      <name val="Arial"/>
    </font>
    <font>
      <sz val="10.0"/>
      <color theme="1"/>
      <name val="Arial"/>
    </font>
    <font>
      <b/>
      <sz val="6.0"/>
      <color rgb="FF000000"/>
      <name val="Arial"/>
    </font>
    <font>
      <u/>
      <sz val="11.0"/>
      <color rgb="FF1155CC"/>
      <name val="Arial"/>
    </font>
    <font>
      <u/>
      <sz val="11.0"/>
      <color rgb="FF1155CC"/>
      <name val="Arial"/>
    </font>
    <font>
      <sz val="11.0"/>
      <color rgb="FFFF9900"/>
      <name val="Arial"/>
    </font>
    <font>
      <sz val="11.0"/>
      <color rgb="FFB45F06"/>
      <name val="Arial"/>
    </font>
    <font>
      <sz val="14.0"/>
      <color rgb="FF000000"/>
      <name val="Arial"/>
    </font>
    <font>
      <sz val="11.0"/>
      <color rgb="FFCC0000"/>
      <name val="Arial"/>
    </font>
    <font>
      <sz val="10.0"/>
      <color rgb="FF000000"/>
      <name val="Roboto"/>
    </font>
    <font>
      <sz val="9.0"/>
      <color rgb="FF000000"/>
      <name val="Roboto"/>
    </font>
    <font>
      <sz val="9.0"/>
      <color theme="1"/>
      <name val="Arial"/>
    </font>
    <font>
      <u/>
      <sz val="9.0"/>
      <color rgb="FF1155CC"/>
      <name val="Arial"/>
    </font>
    <font>
      <u/>
      <sz val="12.0"/>
      <color rgb="FF1155CC"/>
      <name val="Arial"/>
    </font>
    <font>
      <u/>
      <sz val="11.0"/>
      <color rgb="FF4A86E8"/>
      <name val="Arial"/>
    </font>
    <font>
      <u/>
      <sz val="11.0"/>
      <color rgb="FF4A86E8"/>
      <name val="Arial"/>
    </font>
    <font>
      <u/>
      <sz val="11.0"/>
      <color rgb="FF4A86E8"/>
      <name val="Arial"/>
    </font>
    <font>
      <u/>
      <sz val="11.0"/>
      <color rgb="FF1155CC"/>
      <name val="Arial"/>
    </font>
    <font>
      <u/>
      <sz val="11.0"/>
      <color rgb="FF0000FF"/>
      <name val="Arial"/>
    </font>
    <font>
      <b/>
      <sz val="11.0"/>
      <color rgb="FF85200C"/>
      <name val="Arial"/>
    </font>
    <font>
      <u/>
      <sz val="11.0"/>
      <color rgb="FF1155CC"/>
      <name val="Arial"/>
    </font>
    <font>
      <b/>
      <sz val="11.0"/>
      <color rgb="FF980000"/>
      <name val="Arial"/>
    </font>
    <font>
      <b/>
      <u/>
      <sz val="11.0"/>
      <color rgb="FF0000FF"/>
      <name val="Arial"/>
    </font>
    <font>
      <sz val="12.0"/>
      <color theme="1"/>
      <name val="Arial"/>
    </font>
    <font>
      <b/>
      <u/>
      <sz val="11.0"/>
      <color rgb="FF1155CC"/>
      <name val="Arial"/>
    </font>
    <font>
      <sz val="11.0"/>
      <color rgb="FF0000FF"/>
      <name val="Arial"/>
    </font>
    <font>
      <sz val="11.0"/>
      <color rgb="FF434343"/>
      <name val="Arial"/>
    </font>
    <font>
      <b/>
      <sz val="11.0"/>
      <color rgb="FFFF0000"/>
      <name val="Arial"/>
    </font>
    <font>
      <u/>
      <sz val="11.0"/>
      <color rgb="FF000000"/>
      <name val="Arial"/>
    </font>
    <font>
      <b/>
      <sz val="11.0"/>
      <color rgb="FF202124"/>
      <name val="Arial"/>
    </font>
    <font>
      <sz val="11.0"/>
      <color rgb="FFFF0000"/>
      <name val="Arial"/>
    </font>
    <font>
      <u/>
      <sz val="11.0"/>
      <color rgb="FF000000"/>
      <name val="Arial"/>
    </font>
    <font>
      <u/>
      <sz val="11.0"/>
      <color theme="1"/>
      <name val="Arial"/>
    </font>
    <font>
      <strike/>
      <sz val="11.0"/>
      <color rgb="FF000000"/>
      <name val="Arial"/>
    </font>
    <font>
      <strike/>
      <sz val="11.0"/>
      <color theme="1"/>
      <name val="Arial"/>
    </font>
    <font>
      <sz val="17.0"/>
      <color rgb="FF1F1F1F"/>
      <name val="Google Sans"/>
    </font>
    <font>
      <u/>
      <sz val="11.0"/>
      <color rgb="FF000000"/>
      <name val="Arial"/>
    </font>
    <font>
      <b/>
      <sz val="12.0"/>
      <color rgb="FFCC4125"/>
      <name val="Arial"/>
    </font>
    <font>
      <sz val="10.0"/>
      <color rgb="FFFF0000"/>
      <name val="Arial"/>
    </font>
    <font>
      <u/>
      <sz val="10.0"/>
      <color rgb="FF000000"/>
      <name val="Arial"/>
    </font>
    <font>
      <sz val="11.0"/>
      <color rgb="FF000000"/>
      <name val="Times"/>
    </font>
    <font>
      <sz val="10.0"/>
      <color rgb="FF000000"/>
      <name val="Tahoma"/>
    </font>
    <font>
      <sz val="6.0"/>
      <color rgb="FF222222"/>
      <name val="Arial"/>
    </font>
    <font>
      <sz val="11.0"/>
      <color rgb="FF434343"/>
      <name val="Calibri"/>
    </font>
    <font>
      <sz val="11.0"/>
      <color rgb="FFCC0000"/>
      <name val="Calibri"/>
    </font>
    <font>
      <b/>
      <sz val="10.0"/>
      <color rgb="FF000000"/>
      <name val="Calibri"/>
    </font>
    <font>
      <sz val="11.0"/>
      <color rgb="FF1F497D"/>
      <name val="Calibri"/>
    </font>
    <font>
      <sz val="10.0"/>
      <color rgb="FF8E7CC3"/>
      <name val="Calibri"/>
    </font>
    <font>
      <sz val="11.0"/>
      <color rgb="FF1155CC"/>
      <name val="Arial"/>
    </font>
    <font>
      <u/>
      <sz val="11.0"/>
      <color rgb="FF1155CC"/>
      <name val="Arial"/>
    </font>
    <font>
      <sz val="13.0"/>
      <color rgb="FF000000"/>
      <name val="Calibri"/>
    </font>
    <font>
      <u/>
      <sz val="11.0"/>
      <color rgb="FF0000FF"/>
      <name val="Arial"/>
    </font>
    <font>
      <sz val="14.0"/>
      <color rgb="FF000000"/>
      <name val="Calibri"/>
    </font>
    <font>
      <u/>
      <sz val="11.0"/>
      <color rgb="FF000000"/>
      <name val="Arial"/>
    </font>
    <font>
      <sz val="8.0"/>
      <color rgb="FF000000"/>
      <name val="Calibri"/>
    </font>
    <font>
      <color theme="1"/>
      <name val="Calibri"/>
      <scheme val="minor"/>
    </font>
    <font>
      <b/>
      <sz val="18.0"/>
      <color rgb="FF000000"/>
      <name val="Arial"/>
    </font>
    <font>
      <b/>
      <u/>
      <sz val="11.0"/>
      <color theme="1"/>
      <name val="Arial"/>
    </font>
    <font>
      <sz val="9.0"/>
      <color rgb="FF000000"/>
      <name val="Arial"/>
    </font>
    <font>
      <b/>
      <sz val="12.0"/>
      <color theme="1"/>
      <name val="Calibri"/>
    </font>
    <font>
      <b/>
      <sz val="13.0"/>
      <color theme="1"/>
      <name val="Calibri"/>
    </font>
    <font>
      <sz val="11.0"/>
      <color rgb="FF333333"/>
      <name val="Roboto"/>
    </font>
    <font>
      <sz val="12.0"/>
      <color rgb="FF333333"/>
      <name val="Roboto"/>
    </font>
    <font>
      <sz val="10.0"/>
      <color rgb="FF202124"/>
      <name val="Arial"/>
    </font>
    <font>
      <sz val="12.0"/>
      <color rgb="FF202124"/>
      <name val="Arial"/>
    </font>
    <font>
      <b/>
      <sz val="11.0"/>
      <color rgb="FF222222"/>
      <name val="Arial"/>
    </font>
    <font>
      <u/>
      <sz val="11.0"/>
      <color rgb="FF1F497D"/>
      <name val="Arial"/>
    </font>
    <font>
      <u/>
      <sz val="11.0"/>
      <color rgb="FF1F497D"/>
      <name val="Arial"/>
    </font>
    <font>
      <u/>
      <sz val="11.0"/>
      <color rgb="FF0000FF"/>
      <name val="Arial"/>
    </font>
    <font>
      <u/>
      <sz val="10.0"/>
      <color rgb="FF0000FF"/>
      <name val="Calibri"/>
    </font>
    <font>
      <b/>
      <sz val="12.0"/>
      <color rgb="FF222222"/>
      <name val="Arial"/>
    </font>
    <font>
      <u/>
      <sz val="10.0"/>
      <color rgb="FF0000FF"/>
      <name val="Calibri"/>
    </font>
    <font>
      <b/>
      <sz val="10.0"/>
      <color rgb="FFFF0000"/>
      <name val="Arial"/>
    </font>
    <font>
      <sz val="12.0"/>
      <color rgb="FFFF0000"/>
      <name val="Calibri"/>
    </font>
    <font>
      <sz val="13.0"/>
      <color rgb="FF000000"/>
      <name val="Arial"/>
    </font>
    <font>
      <b/>
      <sz val="12.0"/>
      <color rgb="FFA61C00"/>
      <name val="Calibri"/>
    </font>
    <font>
      <sz val="10.0"/>
      <color rgb="FFA61C00"/>
      <name val="Arial"/>
    </font>
    <font>
      <sz val="10.0"/>
      <color rgb="FF6D9EEB"/>
      <name val="Calibri"/>
    </font>
    <font>
      <sz val="10.0"/>
      <color rgb="FF222222"/>
      <name val="Roboto"/>
    </font>
    <font>
      <sz val="10.0"/>
      <color rgb="FF500050"/>
      <name val="Times"/>
    </font>
    <font>
      <sz val="11.0"/>
      <color rgb="FF808080"/>
      <name val="Calibri"/>
    </font>
    <font>
      <sz val="11.0"/>
      <color rgb="FF969696"/>
      <name val="Calibri"/>
    </font>
    <font>
      <b/>
      <sz val="16.0"/>
      <color rgb="FF000000"/>
      <name val="Calibri"/>
    </font>
    <font>
      <b/>
      <sz val="14.0"/>
      <color rgb="FF000000"/>
      <name val="Calibri"/>
    </font>
  </fonts>
  <fills count="21">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B4A7D6"/>
        <bgColor rgb="FFB4A7D6"/>
      </patternFill>
    </fill>
    <fill>
      <patternFill patternType="solid">
        <fgColor rgb="FF93C47D"/>
        <bgColor rgb="FF93C47D"/>
      </patternFill>
    </fill>
    <fill>
      <patternFill patternType="solid">
        <fgColor rgb="FFF3F3F3"/>
        <bgColor rgb="FFF3F3F3"/>
      </patternFill>
    </fill>
    <fill>
      <patternFill patternType="solid">
        <fgColor rgb="FFFF9900"/>
        <bgColor rgb="FFFF9900"/>
      </patternFill>
    </fill>
    <fill>
      <patternFill patternType="solid">
        <fgColor rgb="FFC9DAF8"/>
        <bgColor rgb="FFC9DAF8"/>
      </patternFill>
    </fill>
    <fill>
      <patternFill patternType="solid">
        <fgColor rgb="FF00FFFF"/>
        <bgColor rgb="FF00FFFF"/>
      </patternFill>
    </fill>
    <fill>
      <patternFill patternType="solid">
        <fgColor rgb="FFFCE5CD"/>
        <bgColor rgb="FFFCE5CD"/>
      </patternFill>
    </fill>
    <fill>
      <patternFill patternType="solid">
        <fgColor theme="0"/>
        <bgColor theme="0"/>
      </patternFill>
    </fill>
    <fill>
      <patternFill patternType="solid">
        <fgColor rgb="FFFFF2CC"/>
        <bgColor rgb="FFFFF2CC"/>
      </patternFill>
    </fill>
    <fill>
      <patternFill patternType="solid">
        <fgColor rgb="FF00FF00"/>
        <bgColor rgb="FF00FF00"/>
      </patternFill>
    </fill>
    <fill>
      <patternFill patternType="solid">
        <fgColor rgb="FFEA9999"/>
        <bgColor rgb="FFEA9999"/>
      </patternFill>
    </fill>
    <fill>
      <patternFill patternType="solid">
        <fgColor rgb="FFF1C232"/>
        <bgColor rgb="FFF1C232"/>
      </patternFill>
    </fill>
    <fill>
      <patternFill patternType="solid">
        <fgColor rgb="FFB6D7A8"/>
        <bgColor rgb="FFB6D7A8"/>
      </patternFill>
    </fill>
    <fill>
      <patternFill patternType="solid">
        <fgColor rgb="FFE69138"/>
        <bgColor rgb="FFE69138"/>
      </patternFill>
    </fill>
    <fill>
      <patternFill patternType="solid">
        <fgColor rgb="FFF9CB9C"/>
        <bgColor rgb="FFF9CB9C"/>
      </patternFill>
    </fill>
    <fill>
      <patternFill patternType="solid">
        <fgColor rgb="FFFF0000"/>
        <bgColor rgb="FFFF0000"/>
      </patternFill>
    </fill>
    <fill>
      <patternFill patternType="solid">
        <fgColor rgb="FFF4CCCC"/>
        <bgColor rgb="FFF4CCCC"/>
      </patternFill>
    </fill>
  </fills>
  <borders count="4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right/>
      <top/>
      <bottom style="thin">
        <color rgb="FF000000"/>
      </bottom>
    </border>
    <border>
      <left/>
      <right style="thin">
        <color rgb="FF000000"/>
      </right>
      <top/>
      <bottom style="thin">
        <color rgb="FF000000"/>
      </bottom>
    </border>
    <border>
      <left/>
      <right style="thin">
        <color rgb="FF000000"/>
      </right>
      <top/>
      <bottom/>
    </border>
    <border>
      <left/>
      <right style="thin">
        <color rgb="FF000000"/>
      </right>
      <top style="thin">
        <color rgb="FF000000"/>
      </top>
      <bottom/>
    </border>
    <border>
      <left/>
      <top/>
      <bottom/>
    </border>
    <border>
      <top/>
      <bottom/>
    </border>
    <border>
      <right/>
      <top/>
      <bottom/>
    </border>
    <border>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bottom style="thin">
        <color rgb="FF000000"/>
      </bottom>
    </border>
    <border>
      <left style="thin">
        <color rgb="FF999999"/>
      </left>
      <top style="thin">
        <color rgb="FF999999"/>
      </top>
    </border>
    <border>
      <left style="thin">
        <color rgb="FFFFFFFF"/>
      </left>
      <top style="thin">
        <color rgb="FF999999"/>
      </top>
    </border>
    <border>
      <left style="thin">
        <color rgb="FFFFFFFF"/>
      </left>
      <right style="thin">
        <color rgb="FF999999"/>
      </right>
      <top style="thin">
        <color rgb="FF999999"/>
      </top>
    </border>
    <border>
      <top style="thin">
        <color rgb="FF999999"/>
      </top>
    </border>
    <border>
      <left style="thin">
        <color rgb="FF999999"/>
      </left>
      <right style="thin">
        <color rgb="FF999999"/>
      </right>
      <top style="thin">
        <color rgb="FF999999"/>
      </top>
    </border>
    <border>
      <left style="thin">
        <color rgb="FF999999"/>
      </left>
    </border>
    <border>
      <left style="thin">
        <color rgb="FF999999"/>
      </left>
      <right style="thin">
        <color rgb="FF999999"/>
      </right>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left style="thin">
        <color rgb="FF999999"/>
      </left>
      <top style="thin">
        <color rgb="FFFFFFFF"/>
      </top>
    </border>
    <border>
      <left style="thin">
        <color rgb="FFFFFFFF"/>
      </left>
      <top style="thin">
        <color rgb="FFFFFFFF"/>
      </top>
    </border>
    <border>
      <left style="thin">
        <color rgb="FF999999"/>
      </left>
      <right style="thin">
        <color rgb="FF999999"/>
      </right>
      <top style="thin">
        <color rgb="FFFFFFFF"/>
      </top>
    </border>
    <border>
      <left style="thin">
        <color rgb="FFFFFFFF"/>
      </left>
      <top style="thin">
        <color rgb="FF999999"/>
      </top>
      <bottom style="thin">
        <color rgb="FF999999"/>
      </bottom>
    </border>
    <border>
      <left/>
      <right/>
      <top style="thin">
        <color rgb="FF000000"/>
      </top>
      <bottom/>
    </border>
    <border>
      <left style="thin">
        <color rgb="FF000000"/>
      </left>
      <right style="thin">
        <color rgb="FF000000"/>
      </right>
    </border>
    <border>
      <left style="thin">
        <color rgb="FF000000"/>
      </left>
      <right/>
      <top/>
      <bottom/>
    </border>
  </borders>
  <cellStyleXfs count="1">
    <xf borderId="0" fillId="0" fontId="0" numFmtId="0" applyAlignment="1" applyFont="1"/>
  </cellStyleXfs>
  <cellXfs count="835">
    <xf borderId="0" fillId="0" fontId="0" numFmtId="0" xfId="0" applyAlignment="1" applyFont="1">
      <alignment readingOrder="0" shrinkToFit="0" vertical="bottom" wrapText="1"/>
    </xf>
    <xf borderId="1" fillId="0" fontId="1" numFmtId="0" xfId="0" applyAlignment="1" applyBorder="1" applyFont="1">
      <alignment horizontal="center" shrinkToFit="0" wrapText="0"/>
    </xf>
    <xf borderId="1" fillId="0" fontId="2" numFmtId="0" xfId="0" applyAlignment="1" applyBorder="1" applyFont="1">
      <alignment horizontal="center" shrinkToFit="0" wrapText="0"/>
    </xf>
    <xf borderId="1" fillId="0" fontId="1" numFmtId="0" xfId="0" applyAlignment="1" applyBorder="1" applyFont="1">
      <alignment shrinkToFit="0" wrapText="0"/>
    </xf>
    <xf borderId="1" fillId="0" fontId="1" numFmtId="164" xfId="0" applyAlignment="1" applyBorder="1" applyFont="1" applyNumberFormat="1">
      <alignment horizontal="center" shrinkToFit="0" wrapText="0"/>
    </xf>
    <xf borderId="1" fillId="0" fontId="3" numFmtId="0" xfId="0" applyAlignment="1" applyBorder="1" applyFont="1">
      <alignment shrinkToFit="0" wrapText="1"/>
    </xf>
    <xf borderId="1" fillId="0" fontId="1" numFmtId="0" xfId="0" applyAlignment="1" applyBorder="1" applyFont="1">
      <alignment horizontal="center" shrinkToFit="0" wrapText="1"/>
    </xf>
    <xf borderId="1" fillId="2" fontId="2" numFmtId="0" xfId="0" applyAlignment="1" applyBorder="1" applyFill="1" applyFont="1">
      <alignment horizontal="center" shrinkToFit="0" wrapText="1"/>
    </xf>
    <xf borderId="1" fillId="0" fontId="1" numFmtId="164" xfId="0" applyAlignment="1" applyBorder="1" applyFont="1" applyNumberFormat="1">
      <alignment horizontal="center" shrinkToFit="0" wrapText="1"/>
    </xf>
    <xf borderId="1" fillId="0" fontId="4" numFmtId="0" xfId="0" applyAlignment="1" applyBorder="1" applyFont="1">
      <alignment shrinkToFit="0" wrapText="1"/>
    </xf>
    <xf borderId="1" fillId="3" fontId="1" numFmtId="0" xfId="0" applyAlignment="1" applyBorder="1" applyFill="1" applyFont="1">
      <alignment horizontal="center" shrinkToFit="0" wrapText="0"/>
    </xf>
    <xf borderId="1" fillId="3" fontId="1" numFmtId="164" xfId="0" applyAlignment="1" applyBorder="1" applyFont="1" applyNumberFormat="1">
      <alignment horizontal="center" shrinkToFit="0" wrapText="0"/>
    </xf>
    <xf borderId="1" fillId="0" fontId="5" numFmtId="0" xfId="0" applyAlignment="1" applyBorder="1" applyFont="1">
      <alignment horizontal="center" shrinkToFit="0" wrapText="1"/>
    </xf>
    <xf borderId="1" fillId="0" fontId="1" numFmtId="0" xfId="0" applyAlignment="1" applyBorder="1" applyFont="1">
      <alignment shrinkToFit="0" wrapText="1"/>
    </xf>
    <xf borderId="1" fillId="0" fontId="1" numFmtId="165" xfId="0" applyAlignment="1" applyBorder="1" applyFont="1" applyNumberFormat="1">
      <alignment horizontal="center" shrinkToFit="0" wrapText="0"/>
    </xf>
    <xf borderId="1" fillId="2" fontId="1" numFmtId="165" xfId="0" applyAlignment="1" applyBorder="1" applyFont="1" applyNumberFormat="1">
      <alignment horizontal="center" shrinkToFit="0" wrapText="0"/>
    </xf>
    <xf borderId="1" fillId="0" fontId="1" numFmtId="165" xfId="0" applyAlignment="1" applyBorder="1" applyFont="1" applyNumberFormat="1">
      <alignment horizontal="center" shrinkToFit="0" wrapText="1"/>
    </xf>
    <xf borderId="1" fillId="0" fontId="6" numFmtId="0" xfId="0" applyAlignment="1" applyBorder="1" applyFont="1">
      <alignment shrinkToFit="0" wrapText="1"/>
    </xf>
    <xf borderId="1" fillId="0" fontId="4" numFmtId="0" xfId="0" applyAlignment="1" applyBorder="1" applyFont="1">
      <alignment horizontal="left" shrinkToFit="0" wrapText="1"/>
    </xf>
    <xf borderId="1" fillId="2" fontId="1" numFmtId="0" xfId="0" applyAlignment="1" applyBorder="1" applyFont="1">
      <alignment shrinkToFit="0" wrapText="1"/>
    </xf>
    <xf borderId="1" fillId="2" fontId="1" numFmtId="0" xfId="0" applyAlignment="1" applyBorder="1" applyFont="1">
      <alignment horizontal="center" shrinkToFit="0" wrapText="1"/>
    </xf>
    <xf borderId="1" fillId="0" fontId="5" numFmtId="165" xfId="0" applyAlignment="1" applyBorder="1" applyFont="1" applyNumberFormat="1">
      <alignment horizontal="center" shrinkToFit="0" wrapText="1"/>
    </xf>
    <xf borderId="1" fillId="2" fontId="1" numFmtId="165" xfId="0" applyAlignment="1" applyBorder="1" applyFont="1" applyNumberFormat="1">
      <alignment horizontal="center" shrinkToFit="0" wrapText="1"/>
    </xf>
    <xf borderId="1" fillId="0" fontId="4" numFmtId="165" xfId="0" applyAlignment="1" applyBorder="1" applyFont="1" applyNumberFormat="1">
      <alignment horizontal="center" shrinkToFit="0" wrapText="1"/>
    </xf>
    <xf borderId="1" fillId="0" fontId="1" numFmtId="0" xfId="0" applyAlignment="1" applyBorder="1" applyFont="1">
      <alignment shrinkToFit="0" vertical="center" wrapText="1"/>
    </xf>
    <xf borderId="1" fillId="0" fontId="1" numFmtId="164" xfId="0" applyAlignment="1" applyBorder="1" applyFont="1" applyNumberFormat="1">
      <alignment horizontal="left" shrinkToFit="0" wrapText="0"/>
    </xf>
    <xf borderId="1" fillId="0" fontId="5" numFmtId="0" xfId="0" applyAlignment="1" applyBorder="1" applyFont="1">
      <alignment shrinkToFit="0" wrapText="1"/>
    </xf>
    <xf borderId="1" fillId="0" fontId="1"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1" numFmtId="165" xfId="0" applyAlignment="1" applyBorder="1" applyFont="1" applyNumberFormat="1">
      <alignment horizontal="center" shrinkToFit="0" vertical="center" wrapText="0"/>
    </xf>
    <xf borderId="1" fillId="0" fontId="1" numFmtId="165" xfId="0" applyAlignment="1" applyBorder="1" applyFont="1" applyNumberFormat="1">
      <alignment horizontal="center" shrinkToFit="0" vertical="center" wrapText="1"/>
    </xf>
    <xf borderId="1" fillId="0" fontId="6" numFmtId="0" xfId="0" applyAlignment="1" applyBorder="1" applyFont="1">
      <alignment shrinkToFit="0" vertical="center" wrapText="1"/>
    </xf>
    <xf borderId="1" fillId="0" fontId="1" numFmtId="164" xfId="0" applyAlignment="1" applyBorder="1" applyFont="1" applyNumberFormat="1">
      <alignment horizontal="center" shrinkToFit="0" vertical="center" wrapText="0"/>
    </xf>
    <xf borderId="1" fillId="0" fontId="1" numFmtId="0" xfId="0" applyAlignment="1" applyBorder="1" applyFont="1">
      <alignment horizontal="center" shrinkToFit="0" vertical="center" wrapText="0"/>
    </xf>
    <xf borderId="1" fillId="0" fontId="1" numFmtId="164" xfId="0" applyAlignment="1" applyBorder="1" applyFont="1" applyNumberFormat="1">
      <alignment horizontal="center" shrinkToFit="0" vertical="center" wrapText="1"/>
    </xf>
    <xf borderId="1" fillId="0" fontId="5" numFmtId="0" xfId="0" applyAlignment="1" applyBorder="1" applyFont="1">
      <alignment shrinkToFit="0" vertical="center" wrapText="1"/>
    </xf>
    <xf borderId="1" fillId="0" fontId="1" numFmtId="0" xfId="0" applyAlignment="1" applyBorder="1" applyFont="1">
      <alignment horizontal="left" shrinkToFit="0" vertical="center" wrapText="1"/>
    </xf>
    <xf borderId="1" fillId="0" fontId="3" numFmtId="164" xfId="0" applyAlignment="1" applyBorder="1" applyFont="1" applyNumberFormat="1">
      <alignment horizontal="center" shrinkToFit="0" vertical="center" wrapText="1"/>
    </xf>
    <xf borderId="1" fillId="0" fontId="3" numFmtId="0" xfId="0" applyAlignment="1" applyBorder="1" applyFont="1">
      <alignment shrinkToFit="0" vertical="center" wrapText="1"/>
    </xf>
    <xf borderId="1" fillId="2" fontId="1" numFmtId="0" xfId="0" applyAlignment="1" applyBorder="1" applyFont="1">
      <alignment shrinkToFit="0" vertical="center" wrapText="1"/>
    </xf>
    <xf borderId="1" fillId="2" fontId="1" numFmtId="0" xfId="0" applyAlignment="1" applyBorder="1" applyFont="1">
      <alignment horizontal="center" shrinkToFit="0" vertical="center" wrapText="0"/>
    </xf>
    <xf borderId="1" fillId="0" fontId="1" numFmtId="0" xfId="0" applyAlignment="1" applyBorder="1" applyFont="1">
      <alignment shrinkToFit="0" vertical="center" wrapText="0"/>
    </xf>
    <xf borderId="1" fillId="0" fontId="4" numFmtId="0" xfId="0" applyAlignment="1" applyBorder="1" applyFont="1">
      <alignment horizontal="center" shrinkToFit="0" wrapText="1"/>
    </xf>
    <xf borderId="1" fillId="0" fontId="7" numFmtId="0" xfId="0" applyAlignment="1" applyBorder="1" applyFont="1">
      <alignment shrinkToFit="0" wrapText="1"/>
    </xf>
    <xf borderId="1" fillId="0" fontId="5" numFmtId="164" xfId="0" applyAlignment="1" applyBorder="1" applyFont="1" applyNumberFormat="1">
      <alignment horizontal="center" shrinkToFit="0" wrapText="1"/>
    </xf>
    <xf borderId="1" fillId="0" fontId="6" numFmtId="0" xfId="0" applyAlignment="1" applyBorder="1" applyFont="1">
      <alignment horizontal="center" shrinkToFit="0" wrapText="1"/>
    </xf>
    <xf borderId="1" fillId="0" fontId="7" numFmtId="0" xfId="0" applyAlignment="1" applyBorder="1" applyFont="1">
      <alignment horizontal="left" shrinkToFit="0" wrapText="1"/>
    </xf>
    <xf borderId="1" fillId="0" fontId="6" numFmtId="0" xfId="0" applyAlignment="1" applyBorder="1" applyFont="1">
      <alignment horizontal="left" shrinkToFit="0" wrapText="1"/>
    </xf>
    <xf borderId="1" fillId="0" fontId="4" numFmtId="14" xfId="0" applyAlignment="1" applyBorder="1" applyFont="1" applyNumberFormat="1">
      <alignment horizontal="center" shrinkToFit="0" wrapText="1"/>
    </xf>
    <xf borderId="1" fillId="0" fontId="6" numFmtId="14" xfId="0" applyAlignment="1" applyBorder="1" applyFont="1" applyNumberFormat="1">
      <alignment horizontal="center" shrinkToFit="0" wrapText="1"/>
    </xf>
    <xf borderId="1" fillId="2" fontId="1" numFmtId="164" xfId="0" applyAlignment="1" applyBorder="1" applyFont="1" applyNumberFormat="1">
      <alignment horizontal="center" shrinkToFit="0" wrapText="1"/>
    </xf>
    <xf borderId="1" fillId="0" fontId="4" numFmtId="164" xfId="0" applyAlignment="1" applyBorder="1" applyFont="1" applyNumberFormat="1">
      <alignment horizontal="center" shrinkToFit="0" wrapText="1"/>
    </xf>
    <xf borderId="1" fillId="0" fontId="1" numFmtId="164" xfId="0" applyAlignment="1" applyBorder="1" applyFont="1" applyNumberFormat="1">
      <alignment shrinkToFit="0" wrapText="0"/>
    </xf>
    <xf borderId="2" fillId="0" fontId="3" numFmtId="0" xfId="0" applyAlignment="1" applyBorder="1" applyFont="1">
      <alignment shrinkToFit="0" wrapText="1"/>
    </xf>
    <xf borderId="3" fillId="0" fontId="4" numFmtId="0" xfId="0" applyAlignment="1" applyBorder="1" applyFont="1">
      <alignment horizontal="center" shrinkToFit="0" wrapText="1"/>
    </xf>
    <xf borderId="4" fillId="0" fontId="4" numFmtId="166" xfId="0" applyAlignment="1" applyBorder="1" applyFont="1" applyNumberFormat="1">
      <alignment horizontal="center" shrinkToFit="0" wrapText="1"/>
    </xf>
    <xf borderId="5" fillId="2" fontId="8" numFmtId="0" xfId="0" applyAlignment="1" applyBorder="1" applyFont="1">
      <alignment shrinkToFit="0" wrapText="1"/>
    </xf>
    <xf borderId="2" fillId="0" fontId="4" numFmtId="0" xfId="0" applyAlignment="1" applyBorder="1" applyFont="1">
      <alignment shrinkToFit="0" wrapText="1"/>
    </xf>
    <xf borderId="1" fillId="3" fontId="2" numFmtId="0" xfId="0" applyAlignment="1" applyBorder="1" applyFont="1">
      <alignment horizontal="center" shrinkToFit="0" wrapText="0"/>
    </xf>
    <xf borderId="6" fillId="3" fontId="2" numFmtId="166" xfId="0" applyAlignment="1" applyBorder="1" applyFont="1" applyNumberFormat="1">
      <alignment horizontal="center" shrinkToFit="0" wrapText="0"/>
    </xf>
    <xf borderId="1" fillId="0" fontId="3" numFmtId="165" xfId="0" applyAlignment="1" applyBorder="1" applyFont="1" applyNumberFormat="1">
      <alignment horizontal="center" shrinkToFit="0" wrapText="1"/>
    </xf>
    <xf borderId="2" fillId="0" fontId="4" numFmtId="166" xfId="0" applyAlignment="1" applyBorder="1" applyFont="1" applyNumberFormat="1">
      <alignment horizontal="center" shrinkToFit="0" wrapText="1"/>
    </xf>
    <xf borderId="1" fillId="0" fontId="1" numFmtId="167" xfId="0" applyAlignment="1" applyBorder="1" applyFont="1" applyNumberFormat="1">
      <alignment horizontal="center" shrinkToFit="0" wrapText="0"/>
    </xf>
    <xf borderId="1" fillId="2" fontId="9" numFmtId="0" xfId="0" applyAlignment="1" applyBorder="1" applyFont="1">
      <alignment shrinkToFit="0" wrapText="1"/>
    </xf>
    <xf borderId="1" fillId="0" fontId="9" numFmtId="0" xfId="0" applyAlignment="1" applyBorder="1" applyFont="1">
      <alignment shrinkToFit="0" wrapText="1"/>
    </xf>
    <xf borderId="1" fillId="0" fontId="1" numFmtId="14" xfId="0" applyAlignment="1" applyBorder="1" applyFont="1" applyNumberFormat="1">
      <alignment horizontal="center" shrinkToFit="0" wrapText="0"/>
    </xf>
    <xf borderId="1" fillId="4" fontId="1" numFmtId="0" xfId="0" applyAlignment="1" applyBorder="1" applyFill="1" applyFont="1">
      <alignment shrinkToFit="0" wrapText="1"/>
    </xf>
    <xf borderId="1" fillId="0" fontId="1" numFmtId="14" xfId="0" applyAlignment="1" applyBorder="1" applyFont="1" applyNumberFormat="1">
      <alignment horizontal="center" shrinkToFit="0" wrapText="1"/>
    </xf>
    <xf borderId="1" fillId="0" fontId="1" numFmtId="168" xfId="0" applyAlignment="1" applyBorder="1" applyFont="1" applyNumberFormat="1">
      <alignment horizontal="center" shrinkToFit="0" wrapText="1"/>
    </xf>
    <xf borderId="1" fillId="2" fontId="6" numFmtId="0" xfId="0" applyAlignment="1" applyBorder="1" applyFont="1">
      <alignment horizontal="center" shrinkToFit="0" wrapText="1"/>
    </xf>
    <xf borderId="1" fillId="2" fontId="5" numFmtId="0" xfId="0" applyAlignment="1" applyBorder="1" applyFont="1">
      <alignment horizontal="center" shrinkToFit="0" wrapText="1"/>
    </xf>
    <xf borderId="1" fillId="2" fontId="10" numFmtId="14" xfId="0" applyAlignment="1" applyBorder="1" applyFont="1" applyNumberFormat="1">
      <alignment shrinkToFit="0" wrapText="1"/>
    </xf>
    <xf borderId="1" fillId="5" fontId="1" numFmtId="0" xfId="0" applyAlignment="1" applyBorder="1" applyFill="1" applyFont="1">
      <alignment shrinkToFit="0" wrapText="1"/>
    </xf>
    <xf borderId="1" fillId="0" fontId="11" numFmtId="0" xfId="0" applyAlignment="1" applyBorder="1" applyFont="1">
      <alignment shrinkToFit="0" wrapText="1"/>
    </xf>
    <xf borderId="1" fillId="0" fontId="3" numFmtId="14" xfId="0" applyAlignment="1" applyBorder="1" applyFont="1" applyNumberFormat="1">
      <alignment horizontal="center" shrinkToFit="0" wrapText="1"/>
    </xf>
    <xf borderId="1" fillId="0" fontId="1" numFmtId="167" xfId="0" applyAlignment="1" applyBorder="1" applyFont="1" applyNumberFormat="1">
      <alignment horizontal="center" shrinkToFit="0" wrapText="1"/>
    </xf>
    <xf borderId="1" fillId="6" fontId="1" numFmtId="0" xfId="0" applyAlignment="1" applyBorder="1" applyFill="1" applyFont="1">
      <alignment shrinkToFit="0" wrapText="1"/>
    </xf>
    <xf borderId="1" fillId="0" fontId="12" numFmtId="0" xfId="0" applyAlignment="1" applyBorder="1" applyFont="1">
      <alignment shrinkToFit="0" wrapText="1"/>
    </xf>
    <xf borderId="0" fillId="0" fontId="5" numFmtId="0" xfId="0" applyAlignment="1" applyFont="1">
      <alignment horizontal="center" shrinkToFit="0" wrapText="1"/>
    </xf>
    <xf borderId="0" fillId="0" fontId="12" numFmtId="0" xfId="0" applyAlignment="1" applyFont="1">
      <alignment shrinkToFit="0" wrapText="1"/>
    </xf>
    <xf borderId="1" fillId="0" fontId="13" numFmtId="0" xfId="0" applyAlignment="1" applyBorder="1" applyFont="1">
      <alignment horizontal="center" shrinkToFit="0" wrapText="1"/>
    </xf>
    <xf borderId="1" fillId="0" fontId="14" numFmtId="0" xfId="0" applyAlignment="1" applyBorder="1" applyFont="1">
      <alignment shrinkToFit="0" wrapText="1"/>
    </xf>
    <xf borderId="1" fillId="0" fontId="4" numFmtId="166" xfId="0" applyAlignment="1" applyBorder="1" applyFont="1" applyNumberFormat="1">
      <alignment horizontal="center" shrinkToFit="0" wrapText="1"/>
    </xf>
    <xf borderId="1" fillId="0" fontId="15" numFmtId="0" xfId="0" applyAlignment="1" applyBorder="1" applyFont="1">
      <alignment horizontal="center" shrinkToFit="0" wrapText="1"/>
    </xf>
    <xf borderId="1" fillId="0" fontId="3" numFmtId="0" xfId="0" applyAlignment="1" applyBorder="1" applyFont="1">
      <alignment horizontal="center" shrinkToFit="0" wrapText="1"/>
    </xf>
    <xf borderId="1" fillId="0" fontId="3" numFmtId="165" xfId="0" applyAlignment="1" applyBorder="1" applyFont="1" applyNumberFormat="1">
      <alignment horizontal="center" shrinkToFit="0" wrapText="0"/>
    </xf>
    <xf borderId="1" fillId="0" fontId="3" numFmtId="0" xfId="0" applyAlignment="1" applyBorder="1" applyFont="1">
      <alignment horizontal="center" shrinkToFit="0" wrapText="0"/>
    </xf>
    <xf borderId="1" fillId="0" fontId="15" numFmtId="0" xfId="0" applyAlignment="1" applyBorder="1" applyFont="1">
      <alignment shrinkToFit="0" wrapText="1"/>
    </xf>
    <xf borderId="1" fillId="0" fontId="15" numFmtId="166" xfId="0" applyAlignment="1" applyBorder="1" applyFont="1" applyNumberFormat="1">
      <alignment horizontal="center" shrinkToFit="0" wrapText="1"/>
    </xf>
    <xf borderId="1" fillId="2" fontId="5" numFmtId="165" xfId="0" applyAlignment="1" applyBorder="1" applyFont="1" applyNumberFormat="1">
      <alignment horizontal="center" shrinkToFit="0" wrapText="0"/>
    </xf>
    <xf borderId="1" fillId="2" fontId="4" numFmtId="0" xfId="0" applyAlignment="1" applyBorder="1" applyFont="1">
      <alignment horizontal="center" shrinkToFit="0" wrapText="1"/>
    </xf>
    <xf borderId="1" fillId="2" fontId="4" numFmtId="0" xfId="0" applyAlignment="1" applyBorder="1" applyFont="1">
      <alignment shrinkToFit="0" wrapText="1"/>
    </xf>
    <xf borderId="1" fillId="0" fontId="5" numFmtId="165" xfId="0" applyAlignment="1" applyBorder="1" applyFont="1" applyNumberFormat="1">
      <alignment horizontal="center" shrinkToFit="0" wrapText="0"/>
    </xf>
    <xf borderId="2" fillId="0" fontId="16" numFmtId="0" xfId="0" applyAlignment="1" applyBorder="1" applyFont="1">
      <alignment shrinkToFit="0" wrapText="1"/>
    </xf>
    <xf borderId="4" fillId="0" fontId="4" numFmtId="0" xfId="0" applyAlignment="1" applyBorder="1" applyFont="1">
      <alignment horizontal="center" shrinkToFit="0" wrapText="1"/>
    </xf>
    <xf borderId="6" fillId="2" fontId="4" numFmtId="0" xfId="0" applyAlignment="1" applyBorder="1" applyFont="1">
      <alignment shrinkToFit="0" wrapText="1"/>
    </xf>
    <xf borderId="7" fillId="2" fontId="4" numFmtId="0" xfId="0" applyAlignment="1" applyBorder="1" applyFont="1">
      <alignment horizontal="center" shrinkToFit="0" wrapText="1"/>
    </xf>
    <xf borderId="1" fillId="6" fontId="1" numFmtId="0" xfId="0" applyAlignment="1" applyBorder="1" applyFont="1">
      <alignment horizontal="center" shrinkToFit="0" wrapText="1"/>
    </xf>
    <xf borderId="1" fillId="6" fontId="5" numFmtId="0" xfId="0" applyAlignment="1" applyBorder="1" applyFont="1">
      <alignment horizontal="center" shrinkToFit="0" wrapText="1"/>
    </xf>
    <xf borderId="1" fillId="6" fontId="1" numFmtId="165" xfId="0" applyAlignment="1" applyBorder="1" applyFont="1" applyNumberFormat="1">
      <alignment horizontal="center" shrinkToFit="0" wrapText="0"/>
    </xf>
    <xf borderId="1" fillId="6" fontId="1" numFmtId="165" xfId="0" applyAlignment="1" applyBorder="1" applyFont="1" applyNumberFormat="1">
      <alignment horizontal="center" shrinkToFit="0" wrapText="1"/>
    </xf>
    <xf borderId="6" fillId="6" fontId="4" numFmtId="0" xfId="0" applyAlignment="1" applyBorder="1" applyFont="1">
      <alignment shrinkToFit="0" wrapText="1"/>
    </xf>
    <xf borderId="8" fillId="6" fontId="4" numFmtId="0" xfId="0" applyAlignment="1" applyBorder="1" applyFont="1">
      <alignment horizontal="center" shrinkToFit="0" wrapText="1"/>
    </xf>
    <xf borderId="2" fillId="0" fontId="6" numFmtId="0" xfId="0" applyAlignment="1" applyBorder="1" applyFont="1">
      <alignment shrinkToFit="0" wrapText="1"/>
    </xf>
    <xf borderId="2" fillId="0" fontId="7" numFmtId="0" xfId="0" applyAlignment="1" applyBorder="1" applyFont="1">
      <alignment shrinkToFit="0" wrapText="1"/>
    </xf>
    <xf borderId="2" fillId="0" fontId="1" numFmtId="0" xfId="0" applyAlignment="1" applyBorder="1" applyFont="1">
      <alignment shrinkToFit="0" wrapText="1"/>
    </xf>
    <xf borderId="1" fillId="0" fontId="17" numFmtId="165" xfId="0" applyAlignment="1" applyBorder="1" applyFont="1" applyNumberFormat="1">
      <alignment horizontal="center" shrinkToFit="0" wrapText="1"/>
    </xf>
    <xf borderId="2" fillId="0" fontId="4" numFmtId="0" xfId="0" applyAlignment="1" applyBorder="1" applyFont="1">
      <alignment horizontal="left" shrinkToFit="0" wrapText="1"/>
    </xf>
    <xf borderId="6" fillId="2" fontId="1" numFmtId="0" xfId="0" applyAlignment="1" applyBorder="1" applyFont="1">
      <alignment shrinkToFit="0" wrapText="1"/>
    </xf>
    <xf borderId="2" fillId="0" fontId="1" numFmtId="164" xfId="0" applyAlignment="1" applyBorder="1" applyFont="1" applyNumberFormat="1">
      <alignment horizontal="left" shrinkToFit="0" wrapText="0"/>
    </xf>
    <xf borderId="2" fillId="0" fontId="5" numFmtId="0" xfId="0" applyAlignment="1" applyBorder="1" applyFont="1">
      <alignment shrinkToFit="0" wrapText="1"/>
    </xf>
    <xf borderId="2" fillId="0" fontId="6" numFmtId="0" xfId="0" applyAlignment="1" applyBorder="1" applyFont="1">
      <alignment shrinkToFit="0" vertical="center" wrapText="1"/>
    </xf>
    <xf borderId="2" fillId="0" fontId="1" numFmtId="0" xfId="0" applyAlignment="1" applyBorder="1" applyFont="1">
      <alignment shrinkToFit="0" vertical="center" wrapText="1"/>
    </xf>
    <xf borderId="2" fillId="0" fontId="5" numFmtId="0" xfId="0" applyAlignment="1" applyBorder="1" applyFont="1">
      <alignment shrinkToFit="0" vertical="center" wrapText="1"/>
    </xf>
    <xf borderId="2" fillId="0" fontId="1" numFmtId="0" xfId="0" applyAlignment="1" applyBorder="1" applyFont="1">
      <alignment horizontal="left" shrinkToFit="0" vertical="center" wrapText="1"/>
    </xf>
    <xf borderId="2" fillId="0" fontId="3" numFmtId="0" xfId="0" applyAlignment="1" applyBorder="1" applyFont="1">
      <alignment shrinkToFit="0" vertical="center" wrapText="1"/>
    </xf>
    <xf borderId="6" fillId="2" fontId="1" numFmtId="0" xfId="0" applyAlignment="1" applyBorder="1" applyFont="1">
      <alignment shrinkToFit="0" vertical="center" wrapText="1"/>
    </xf>
    <xf borderId="2" fillId="0" fontId="1" numFmtId="0" xfId="0" applyAlignment="1" applyBorder="1" applyFont="1">
      <alignment shrinkToFit="0" vertical="center" wrapText="0"/>
    </xf>
    <xf borderId="1" fillId="0" fontId="2" numFmtId="0" xfId="0" applyAlignment="1" applyBorder="1" applyFont="1">
      <alignment horizontal="center" shrinkToFit="0" wrapText="1"/>
    </xf>
    <xf borderId="1" fillId="0" fontId="2" numFmtId="0" xfId="0" applyAlignment="1" applyBorder="1" applyFont="1">
      <alignment shrinkToFit="0" wrapText="1"/>
    </xf>
    <xf borderId="1" fillId="3" fontId="2" numFmtId="0" xfId="0" applyAlignment="1" applyBorder="1" applyFont="1">
      <alignment horizontal="center" shrinkToFit="0" wrapText="1"/>
    </xf>
    <xf borderId="1" fillId="3" fontId="2" numFmtId="164" xfId="0" applyAlignment="1" applyBorder="1" applyFont="1" applyNumberFormat="1">
      <alignment horizontal="center" shrinkToFit="0" wrapText="0"/>
    </xf>
    <xf borderId="1" fillId="0" fontId="18" numFmtId="0" xfId="0" applyAlignment="1" applyBorder="1" applyFont="1">
      <alignment horizontal="center" shrinkToFit="0" wrapText="1"/>
    </xf>
    <xf borderId="1" fillId="2" fontId="10" numFmtId="0" xfId="0" applyAlignment="1" applyBorder="1" applyFont="1">
      <alignment horizontal="center" shrinkToFit="0" wrapText="1"/>
    </xf>
    <xf borderId="1" fillId="2" fontId="19" numFmtId="0" xfId="0" applyAlignment="1" applyBorder="1" applyFont="1">
      <alignment shrinkToFit="0" wrapText="1"/>
    </xf>
    <xf borderId="1" fillId="0" fontId="1" numFmtId="169" xfId="0" applyAlignment="1" applyBorder="1" applyFont="1" applyNumberFormat="1">
      <alignment horizontal="center" shrinkToFit="0" wrapText="0"/>
    </xf>
    <xf borderId="1" fillId="2" fontId="10" numFmtId="0" xfId="0" applyAlignment="1" applyBorder="1" applyFont="1">
      <alignment shrinkToFit="0" wrapText="1"/>
    </xf>
    <xf borderId="5" fillId="2" fontId="10" numFmtId="0" xfId="0" applyAlignment="1" applyBorder="1" applyFont="1">
      <alignment horizontal="left" shrinkToFit="0" wrapText="1"/>
    </xf>
    <xf borderId="5" fillId="2" fontId="10" numFmtId="0" xfId="0" applyAlignment="1" applyBorder="1" applyFont="1">
      <alignment horizontal="center" shrinkToFit="0" wrapText="1"/>
    </xf>
    <xf borderId="5" fillId="2" fontId="10" numFmtId="0" xfId="0" applyAlignment="1" applyBorder="1" applyFont="1">
      <alignment shrinkToFit="0" wrapText="1"/>
    </xf>
    <xf borderId="1" fillId="7" fontId="1" numFmtId="0" xfId="0" applyAlignment="1" applyBorder="1" applyFill="1" applyFont="1">
      <alignment horizontal="center" shrinkToFit="0" wrapText="1"/>
    </xf>
    <xf borderId="1" fillId="2" fontId="2" numFmtId="165" xfId="0" applyAlignment="1" applyBorder="1" applyFont="1" applyNumberFormat="1">
      <alignment horizontal="center" shrinkToFit="0" wrapText="1"/>
    </xf>
    <xf borderId="1" fillId="0" fontId="2" numFmtId="165" xfId="0" applyAlignment="1" applyBorder="1" applyFont="1" applyNumberFormat="1">
      <alignment horizontal="center" shrinkToFit="0" wrapText="1"/>
    </xf>
    <xf borderId="1" fillId="0" fontId="20" numFmtId="0" xfId="0" applyAlignment="1" applyBorder="1" applyFont="1">
      <alignment horizontal="center" shrinkToFit="0" wrapText="1"/>
    </xf>
    <xf borderId="1" fillId="0" fontId="21" numFmtId="0" xfId="0" applyAlignment="1" applyBorder="1" applyFont="1">
      <alignment horizontal="center" shrinkToFit="0" wrapText="1"/>
    </xf>
    <xf borderId="1" fillId="8" fontId="1" numFmtId="165" xfId="0" applyAlignment="1" applyBorder="1" applyFill="1" applyFont="1" applyNumberFormat="1">
      <alignment horizontal="center" shrinkToFit="0" wrapText="1"/>
    </xf>
    <xf borderId="9" fillId="2" fontId="19" numFmtId="0" xfId="0" applyAlignment="1" applyBorder="1" applyFont="1">
      <alignment shrinkToFit="0" wrapText="1"/>
    </xf>
    <xf borderId="10" fillId="2" fontId="10" numFmtId="0" xfId="0" applyAlignment="1" applyBorder="1" applyFont="1">
      <alignment horizontal="center" shrinkToFit="0" wrapText="1"/>
    </xf>
    <xf borderId="11" fillId="2" fontId="10" numFmtId="0" xfId="0" applyAlignment="1" applyBorder="1" applyFont="1">
      <alignment horizontal="center" shrinkToFit="0" wrapText="1"/>
    </xf>
    <xf borderId="12" fillId="2" fontId="10" numFmtId="0" xfId="0" applyAlignment="1" applyBorder="1" applyFont="1">
      <alignment horizontal="center" shrinkToFit="0" wrapText="1"/>
    </xf>
    <xf borderId="9" fillId="6" fontId="19" numFmtId="0" xfId="0" applyAlignment="1" applyBorder="1" applyFont="1">
      <alignment shrinkToFit="0" wrapText="1"/>
    </xf>
    <xf borderId="1" fillId="2" fontId="1" numFmtId="0" xfId="0" applyAlignment="1" applyBorder="1" applyFont="1">
      <alignment horizontal="center" shrinkToFit="0" wrapText="0"/>
    </xf>
    <xf borderId="0" fillId="0" fontId="22" numFmtId="0" xfId="0" applyAlignment="1" applyFont="1">
      <alignment horizontal="center" shrinkToFit="0" wrapText="1"/>
    </xf>
    <xf borderId="2" fillId="0" fontId="23" numFmtId="0" xfId="0" applyAlignment="1" applyBorder="1" applyFont="1">
      <alignment horizontal="center" shrinkToFit="0" wrapText="1"/>
    </xf>
    <xf borderId="3" fillId="0" fontId="24" numFmtId="0" xfId="0" applyAlignment="1" applyBorder="1" applyFont="1">
      <alignment shrinkToFit="0" wrapText="1"/>
    </xf>
    <xf borderId="1" fillId="0" fontId="22" numFmtId="0" xfId="0" applyAlignment="1" applyBorder="1" applyFont="1">
      <alignment horizontal="center" shrinkToFit="0" wrapText="1"/>
    </xf>
    <xf borderId="1" fillId="0" fontId="25" numFmtId="0" xfId="0" applyAlignment="1" applyBorder="1" applyFont="1">
      <alignment horizontal="center" shrinkToFit="0" wrapText="1"/>
    </xf>
    <xf borderId="1" fillId="0" fontId="22" numFmtId="169" xfId="0" applyAlignment="1" applyBorder="1" applyFont="1" applyNumberFormat="1">
      <alignment horizontal="center" shrinkToFit="0" wrapText="1"/>
    </xf>
    <xf borderId="1" fillId="2" fontId="26" numFmtId="0" xfId="0" applyAlignment="1" applyBorder="1" applyFont="1">
      <alignment horizontal="center" shrinkToFit="0" wrapText="1"/>
    </xf>
    <xf borderId="1" fillId="0" fontId="4" numFmtId="169" xfId="0" applyAlignment="1" applyBorder="1" applyFont="1" applyNumberFormat="1">
      <alignment horizontal="center" shrinkToFit="0" wrapText="1"/>
    </xf>
    <xf borderId="1" fillId="2" fontId="27" numFmtId="0" xfId="0" applyAlignment="1" applyBorder="1" applyFont="1">
      <alignment horizontal="center" shrinkToFit="0" vertical="top" wrapText="1"/>
    </xf>
    <xf borderId="1" fillId="2" fontId="27" numFmtId="0" xfId="0" applyAlignment="1" applyBorder="1" applyFont="1">
      <alignment horizontal="left" shrinkToFit="0" vertical="top" wrapText="1"/>
    </xf>
    <xf borderId="1" fillId="2" fontId="27" numFmtId="170" xfId="0" applyAlignment="1" applyBorder="1" applyFont="1" applyNumberFormat="1">
      <alignment horizontal="left" shrinkToFit="0" vertical="top" wrapText="1"/>
    </xf>
    <xf borderId="5" fillId="2" fontId="27" numFmtId="0" xfId="0" applyAlignment="1" applyBorder="1" applyFont="1">
      <alignment horizontal="left" shrinkToFit="0" vertical="top" wrapText="1"/>
    </xf>
    <xf borderId="5" fillId="2" fontId="26" numFmtId="0" xfId="0" applyAlignment="1" applyBorder="1" applyFont="1">
      <alignment shrinkToFit="0" wrapText="1"/>
    </xf>
    <xf borderId="1" fillId="0" fontId="4" numFmtId="165" xfId="0" applyAlignment="1" applyBorder="1" applyFont="1" applyNumberFormat="1">
      <alignment shrinkToFit="0" wrapText="1"/>
    </xf>
    <xf borderId="0" fillId="0" fontId="28" numFmtId="0" xfId="0" applyAlignment="1" applyFont="1">
      <alignment horizontal="center" shrinkToFit="0" wrapText="1"/>
    </xf>
    <xf borderId="0" fillId="0" fontId="29" numFmtId="0" xfId="0" applyAlignment="1" applyFont="1">
      <alignment shrinkToFit="0" wrapText="1"/>
    </xf>
    <xf borderId="13" fillId="2" fontId="30" numFmtId="0" xfId="0" applyAlignment="1" applyBorder="1" applyFont="1">
      <alignment horizontal="center" shrinkToFit="0" wrapText="1"/>
    </xf>
    <xf borderId="14" fillId="0" fontId="24" numFmtId="0" xfId="0" applyAlignment="1" applyBorder="1" applyFont="1">
      <alignment shrinkToFit="0" wrapText="1"/>
    </xf>
    <xf borderId="15" fillId="0" fontId="24" numFmtId="0" xfId="0" applyAlignment="1" applyBorder="1" applyFont="1">
      <alignment shrinkToFit="0" wrapText="1"/>
    </xf>
    <xf borderId="0" fillId="0" fontId="29" numFmtId="0" xfId="0" applyAlignment="1" applyFont="1">
      <alignment horizontal="center" shrinkToFit="0" wrapText="1"/>
    </xf>
    <xf borderId="2" fillId="3" fontId="31" numFmtId="0" xfId="0" applyAlignment="1" applyBorder="1" applyFont="1">
      <alignment horizontal="center" shrinkToFit="0" wrapText="1"/>
    </xf>
    <xf borderId="4" fillId="0" fontId="24" numFmtId="0" xfId="0" applyAlignment="1" applyBorder="1" applyFont="1">
      <alignment shrinkToFit="0" wrapText="1"/>
    </xf>
    <xf borderId="1" fillId="0" fontId="28" numFmtId="0" xfId="0" applyAlignment="1" applyBorder="1" applyFont="1">
      <alignment horizontal="center" shrinkToFit="0" wrapText="1"/>
    </xf>
    <xf borderId="1" fillId="0" fontId="29" numFmtId="0" xfId="0" applyAlignment="1" applyBorder="1" applyFont="1">
      <alignment horizontal="center" shrinkToFit="0" wrapText="1"/>
    </xf>
    <xf borderId="1" fillId="0" fontId="29" numFmtId="14" xfId="0" applyAlignment="1" applyBorder="1" applyFont="1" applyNumberFormat="1">
      <alignment horizontal="center" shrinkToFit="0" wrapText="1"/>
    </xf>
    <xf borderId="1" fillId="0" fontId="32" numFmtId="0" xfId="0" applyAlignment="1" applyBorder="1" applyFont="1">
      <alignment horizontal="center" shrinkToFit="0" wrapText="1"/>
    </xf>
    <xf borderId="1" fillId="0" fontId="33" numFmtId="0" xfId="0" applyAlignment="1" applyBorder="1" applyFont="1">
      <alignment horizontal="center" shrinkToFit="0" vertical="top" wrapText="1"/>
    </xf>
    <xf borderId="1" fillId="0" fontId="34" numFmtId="0" xfId="0" applyAlignment="1" applyBorder="1" applyFont="1">
      <alignment horizontal="center" shrinkToFit="0" wrapText="1"/>
    </xf>
    <xf borderId="1" fillId="0" fontId="29" numFmtId="165" xfId="0" applyAlignment="1" applyBorder="1" applyFont="1" applyNumberFormat="1">
      <alignment horizontal="center" shrinkToFit="0" wrapText="1"/>
    </xf>
    <xf borderId="1" fillId="0" fontId="29" numFmtId="169" xfId="0" applyAlignment="1" applyBorder="1" applyFont="1" applyNumberFormat="1">
      <alignment horizontal="center" shrinkToFit="0" wrapText="1"/>
    </xf>
    <xf borderId="1" fillId="0" fontId="32" numFmtId="165" xfId="0" applyAlignment="1" applyBorder="1" applyFont="1" applyNumberFormat="1">
      <alignment horizontal="center" shrinkToFit="0" vertical="top" wrapText="1"/>
    </xf>
    <xf borderId="1" fillId="0" fontId="35" numFmtId="0" xfId="0" applyAlignment="1" applyBorder="1" applyFont="1">
      <alignment horizontal="center" shrinkToFit="0" wrapText="1"/>
    </xf>
    <xf borderId="1" fillId="0" fontId="36" numFmtId="0" xfId="0" applyAlignment="1" applyBorder="1" applyFont="1">
      <alignment horizontal="center" shrinkToFit="0" wrapText="1"/>
    </xf>
    <xf borderId="1" fillId="0" fontId="37" numFmtId="0" xfId="0" applyAlignment="1" applyBorder="1" applyFont="1">
      <alignment horizontal="center" shrinkToFit="0" wrapText="1"/>
    </xf>
    <xf borderId="1" fillId="0" fontId="38" numFmtId="0" xfId="0" applyAlignment="1" applyBorder="1" applyFont="1">
      <alignment horizontal="center" shrinkToFit="0" wrapText="1"/>
    </xf>
    <xf borderId="1" fillId="0" fontId="29" numFmtId="0" xfId="0" applyAlignment="1" applyBorder="1" applyFont="1">
      <alignment horizontal="center" shrinkToFit="0" vertical="top" wrapText="1"/>
    </xf>
    <xf borderId="1" fillId="0" fontId="29" numFmtId="170" xfId="0" applyAlignment="1" applyBorder="1" applyFont="1" applyNumberFormat="1">
      <alignment horizontal="center" shrinkToFit="0" vertical="top" wrapText="1"/>
    </xf>
    <xf borderId="5" fillId="2" fontId="39" numFmtId="0" xfId="0" applyAlignment="1" applyBorder="1" applyFont="1">
      <alignment horizontal="left" shrinkToFit="0" vertical="top" wrapText="1"/>
    </xf>
    <xf borderId="1" fillId="0" fontId="28" numFmtId="0" xfId="0" applyAlignment="1" applyBorder="1" applyFont="1">
      <alignment shrinkToFit="0" wrapText="1"/>
    </xf>
    <xf borderId="0" fillId="0" fontId="5" numFmtId="0" xfId="0" applyAlignment="1" applyFont="1">
      <alignment shrinkToFit="0" wrapText="1"/>
    </xf>
    <xf borderId="1" fillId="0" fontId="40" numFmtId="0" xfId="0" applyAlignment="1" applyBorder="1" applyFont="1">
      <alignment horizontal="center" shrinkToFit="0" wrapText="1"/>
    </xf>
    <xf borderId="1" fillId="0" fontId="40" numFmtId="164" xfId="0" applyAlignment="1" applyBorder="1" applyFont="1" applyNumberFormat="1">
      <alignment horizontal="center" shrinkToFit="0" wrapText="1"/>
    </xf>
    <xf borderId="1" fillId="0" fontId="40" numFmtId="167" xfId="0" applyAlignment="1" applyBorder="1" applyFont="1" applyNumberFormat="1">
      <alignment horizontal="center" shrinkToFit="0" wrapText="1"/>
    </xf>
    <xf borderId="1" fillId="3" fontId="40" numFmtId="0" xfId="0" applyAlignment="1" applyBorder="1" applyFont="1">
      <alignment horizontal="center" shrinkToFit="0" wrapText="1"/>
    </xf>
    <xf borderId="1" fillId="3" fontId="40" numFmtId="164" xfId="0" applyAlignment="1" applyBorder="1" applyFont="1" applyNumberFormat="1">
      <alignment horizontal="center" shrinkToFit="0" wrapText="1"/>
    </xf>
    <xf borderId="1" fillId="3" fontId="40" numFmtId="167" xfId="0" applyAlignment="1" applyBorder="1" applyFont="1" applyNumberFormat="1">
      <alignment horizontal="center" shrinkToFit="0" wrapText="1"/>
    </xf>
    <xf borderId="1" fillId="9" fontId="41" numFmtId="0" xfId="0" applyAlignment="1" applyBorder="1" applyFill="1" applyFont="1">
      <alignment horizontal="center" shrinkToFit="0" wrapText="1"/>
    </xf>
    <xf borderId="0" fillId="0" fontId="28" numFmtId="0" xfId="0" applyAlignment="1" applyFont="1">
      <alignment shrinkToFit="0" wrapText="1"/>
    </xf>
    <xf borderId="1" fillId="2" fontId="42" numFmtId="0" xfId="0" applyAlignment="1" applyBorder="1" applyFont="1">
      <alignment horizontal="center" shrinkToFit="0" wrapText="1"/>
    </xf>
    <xf borderId="1" fillId="2" fontId="29" numFmtId="0" xfId="0" applyAlignment="1" applyBorder="1" applyFont="1">
      <alignment horizontal="center" shrinkToFit="0" wrapText="1"/>
    </xf>
    <xf borderId="5" fillId="2" fontId="43" numFmtId="0" xfId="0" applyAlignment="1" applyBorder="1" applyFont="1">
      <alignment shrinkToFit="0" wrapText="1"/>
    </xf>
    <xf borderId="1" fillId="2" fontId="41" numFmtId="165" xfId="0" applyAlignment="1" applyBorder="1" applyFont="1" applyNumberFormat="1">
      <alignment horizontal="center" shrinkToFit="0" wrapText="1"/>
    </xf>
    <xf borderId="1" fillId="2" fontId="29" numFmtId="165" xfId="0" applyAlignment="1" applyBorder="1" applyFont="1" applyNumberFormat="1">
      <alignment horizontal="center" shrinkToFit="0" wrapText="1"/>
    </xf>
    <xf quotePrefix="1" borderId="1" fillId="2" fontId="29" numFmtId="167" xfId="0" applyAlignment="1" applyBorder="1" applyFont="1" applyNumberFormat="1">
      <alignment horizontal="center" shrinkToFit="0" wrapText="1"/>
    </xf>
    <xf quotePrefix="1" borderId="7" fillId="2" fontId="29" numFmtId="167" xfId="0" applyAlignment="1" applyBorder="1" applyFont="1" applyNumberFormat="1">
      <alignment horizontal="center" shrinkToFit="0" wrapText="1"/>
    </xf>
    <xf borderId="1" fillId="2" fontId="43" numFmtId="0" xfId="0" applyAlignment="1" applyBorder="1" applyFont="1">
      <alignment shrinkToFit="0" wrapText="1"/>
    </xf>
    <xf borderId="5" fillId="2" fontId="29" numFmtId="0" xfId="0" applyAlignment="1" applyBorder="1" applyFont="1">
      <alignment shrinkToFit="0" wrapText="1"/>
    </xf>
    <xf borderId="1" fillId="2" fontId="32" numFmtId="0" xfId="0" applyAlignment="1" applyBorder="1" applyFont="1">
      <alignment shrinkToFit="0" wrapText="1"/>
    </xf>
    <xf borderId="1" fillId="0" fontId="41" numFmtId="165" xfId="0" applyAlignment="1" applyBorder="1" applyFont="1" applyNumberFormat="1">
      <alignment horizontal="center" shrinkToFit="0" wrapText="1"/>
    </xf>
    <xf borderId="1" fillId="0" fontId="43" numFmtId="0" xfId="0" applyAlignment="1" applyBorder="1" applyFont="1">
      <alignment shrinkToFit="0" wrapText="1"/>
    </xf>
    <xf borderId="1" fillId="0" fontId="32" numFmtId="0" xfId="0" applyAlignment="1" applyBorder="1" applyFont="1">
      <alignment shrinkToFit="0" wrapText="1"/>
    </xf>
    <xf borderId="5" fillId="2" fontId="32" numFmtId="0" xfId="0" applyAlignment="1" applyBorder="1" applyFont="1">
      <alignment shrinkToFit="0" wrapText="1"/>
    </xf>
    <xf borderId="1" fillId="0" fontId="41" numFmtId="0" xfId="0" applyAlignment="1" applyBorder="1" applyFont="1">
      <alignment horizontal="center" shrinkToFit="0" wrapText="1"/>
    </xf>
    <xf borderId="1" fillId="0" fontId="44" numFmtId="0" xfId="0" applyAlignment="1" applyBorder="1" applyFont="1">
      <alignment horizontal="center" shrinkToFit="0" wrapText="1"/>
    </xf>
    <xf borderId="1" fillId="2" fontId="43" numFmtId="0" xfId="0" applyAlignment="1" applyBorder="1" applyFont="1">
      <alignment horizontal="center" shrinkToFit="0" wrapText="1"/>
    </xf>
    <xf borderId="1" fillId="2" fontId="41" numFmtId="0" xfId="0" applyAlignment="1" applyBorder="1" applyFont="1">
      <alignment shrinkToFit="0" wrapText="1"/>
    </xf>
    <xf quotePrefix="1" borderId="1" fillId="2" fontId="29" numFmtId="0" xfId="0" applyAlignment="1" applyBorder="1" applyFont="1">
      <alignment horizontal="center" shrinkToFit="0" wrapText="1"/>
    </xf>
    <xf borderId="1" fillId="0" fontId="29" numFmtId="167" xfId="0" applyAlignment="1" applyBorder="1" applyFont="1" applyNumberFormat="1">
      <alignment horizontal="center" shrinkToFit="0" wrapText="1"/>
    </xf>
    <xf borderId="1" fillId="0" fontId="41" numFmtId="0" xfId="0" applyAlignment="1" applyBorder="1" applyFont="1">
      <alignment shrinkToFit="0" wrapText="1"/>
    </xf>
    <xf borderId="5" fillId="2" fontId="43" numFmtId="0" xfId="0" applyAlignment="1" applyBorder="1" applyFont="1">
      <alignment horizontal="center" shrinkToFit="0" wrapText="1"/>
    </xf>
    <xf borderId="5" fillId="2" fontId="41" numFmtId="0" xfId="0" applyAlignment="1" applyBorder="1" applyFont="1">
      <alignment shrinkToFit="0" wrapText="1"/>
    </xf>
    <xf borderId="1" fillId="2" fontId="29" numFmtId="0" xfId="0" applyAlignment="1" applyBorder="1" applyFont="1">
      <alignment shrinkToFit="0" wrapText="1"/>
    </xf>
    <xf borderId="1" fillId="0" fontId="29" numFmtId="0" xfId="0" applyAlignment="1" applyBorder="1" applyFont="1">
      <alignment shrinkToFit="0" wrapText="1"/>
    </xf>
    <xf borderId="1" fillId="2" fontId="41" numFmtId="0" xfId="0" applyAlignment="1" applyBorder="1" applyFont="1">
      <alignment horizontal="center" shrinkToFit="0" wrapText="1"/>
    </xf>
    <xf borderId="1" fillId="0" fontId="41" numFmtId="167" xfId="0" applyAlignment="1" applyBorder="1" applyFont="1" applyNumberFormat="1">
      <alignment horizontal="center" shrinkToFit="0" wrapText="1"/>
    </xf>
    <xf borderId="0" fillId="0" fontId="41" numFmtId="167" xfId="0" applyAlignment="1" applyFont="1" applyNumberFormat="1">
      <alignment horizontal="center" shrinkToFit="0" wrapText="1"/>
    </xf>
    <xf borderId="1" fillId="2" fontId="45" numFmtId="0" xfId="0" applyAlignment="1" applyBorder="1" applyFont="1">
      <alignment shrinkToFit="0" wrapText="1"/>
    </xf>
    <xf borderId="5" fillId="2" fontId="29" numFmtId="0" xfId="0" applyAlignment="1" applyBorder="1" applyFont="1">
      <alignment horizontal="center" shrinkToFit="0" wrapText="1"/>
    </xf>
    <xf borderId="1" fillId="2" fontId="29" numFmtId="167" xfId="0" applyAlignment="1" applyBorder="1" applyFont="1" applyNumberFormat="1">
      <alignment horizontal="center" shrinkToFit="0" wrapText="1"/>
    </xf>
    <xf borderId="0" fillId="0" fontId="46" numFmtId="0" xfId="0" applyAlignment="1" applyFont="1">
      <alignment horizontal="center" shrinkToFit="0" wrapText="1"/>
    </xf>
    <xf borderId="1" fillId="0" fontId="28" numFmtId="167" xfId="0" applyAlignment="1" applyBorder="1" applyFont="1" applyNumberFormat="1">
      <alignment horizontal="center" shrinkToFit="0" wrapText="1"/>
    </xf>
    <xf borderId="1" fillId="0" fontId="28" numFmtId="171" xfId="0" applyAlignment="1" applyBorder="1" applyFont="1" applyNumberFormat="1">
      <alignment horizontal="center" shrinkToFit="0" wrapText="1"/>
    </xf>
    <xf borderId="1" fillId="0" fontId="28" numFmtId="0" xfId="0" applyAlignment="1" applyBorder="1" applyFont="1">
      <alignment horizontal="left" shrinkToFit="0" wrapText="1"/>
    </xf>
    <xf borderId="1" fillId="0" fontId="28" numFmtId="166" xfId="0" applyAlignment="1" applyBorder="1" applyFont="1" applyNumberFormat="1">
      <alignment horizontal="center" shrinkToFit="0" wrapText="1"/>
    </xf>
    <xf borderId="1" fillId="3" fontId="41" numFmtId="0" xfId="0" applyAlignment="1" applyBorder="1" applyFont="1">
      <alignment horizontal="center" shrinkToFit="0" wrapText="1"/>
    </xf>
    <xf borderId="1" fillId="3" fontId="41" numFmtId="167" xfId="0" applyAlignment="1" applyBorder="1" applyFont="1" applyNumberFormat="1">
      <alignment horizontal="center" shrinkToFit="0" wrapText="1"/>
    </xf>
    <xf borderId="1" fillId="3" fontId="28" numFmtId="167" xfId="0" applyAlignment="1" applyBorder="1" applyFont="1" applyNumberFormat="1">
      <alignment horizontal="center" shrinkToFit="0" wrapText="1"/>
    </xf>
    <xf borderId="1" fillId="3" fontId="28" numFmtId="171" xfId="0" applyAlignment="1" applyBorder="1" applyFont="1" applyNumberFormat="1">
      <alignment horizontal="center" shrinkToFit="0" wrapText="1"/>
    </xf>
    <xf borderId="1" fillId="3" fontId="40" numFmtId="166" xfId="0" applyAlignment="1" applyBorder="1" applyFont="1" applyNumberFormat="1">
      <alignment horizontal="center" shrinkToFit="0" wrapText="1"/>
    </xf>
    <xf borderId="1" fillId="0" fontId="29" numFmtId="171" xfId="0" applyAlignment="1" applyBorder="1" applyFont="1" applyNumberFormat="1">
      <alignment horizontal="center" shrinkToFit="0" wrapText="1"/>
    </xf>
    <xf borderId="1" fillId="0" fontId="29" numFmtId="172" xfId="0" applyAlignment="1" applyBorder="1" applyFont="1" applyNumberFormat="1">
      <alignment horizontal="center" shrinkToFit="0" wrapText="1"/>
    </xf>
    <xf borderId="1" fillId="2" fontId="41" numFmtId="167" xfId="0" applyAlignment="1" applyBorder="1" applyFont="1" applyNumberFormat="1">
      <alignment horizontal="center" shrinkToFit="0" wrapText="1"/>
    </xf>
    <xf borderId="1" fillId="2" fontId="29" numFmtId="171" xfId="0" applyAlignment="1" applyBorder="1" applyFont="1" applyNumberFormat="1">
      <alignment horizontal="center" shrinkToFit="0" wrapText="1"/>
    </xf>
    <xf borderId="1" fillId="2" fontId="47" numFmtId="0" xfId="0" applyAlignment="1" applyBorder="1" applyFont="1">
      <alignment shrinkToFit="0" wrapText="1"/>
    </xf>
    <xf borderId="7" fillId="2" fontId="41" numFmtId="0" xfId="0" applyAlignment="1" applyBorder="1" applyFont="1">
      <alignment horizontal="center" shrinkToFit="0" wrapText="1"/>
    </xf>
    <xf borderId="1" fillId="2" fontId="48" numFmtId="0" xfId="0" applyAlignment="1" applyBorder="1" applyFont="1">
      <alignment horizontal="center" shrinkToFit="0" wrapText="1"/>
    </xf>
    <xf borderId="4" fillId="0" fontId="41" numFmtId="0" xfId="0" applyAlignment="1" applyBorder="1" applyFont="1">
      <alignment horizontal="center" shrinkToFit="0" wrapText="1"/>
    </xf>
    <xf borderId="5" fillId="2" fontId="41" numFmtId="0" xfId="0" applyAlignment="1" applyBorder="1" applyFont="1">
      <alignment horizontal="center" shrinkToFit="0" wrapText="1"/>
    </xf>
    <xf borderId="1" fillId="2" fontId="41" numFmtId="171" xfId="0" applyAlignment="1" applyBorder="1" applyFont="1" applyNumberFormat="1">
      <alignment horizontal="center" shrinkToFit="0" wrapText="1"/>
    </xf>
    <xf borderId="5" fillId="2" fontId="49" numFmtId="0" xfId="0" applyAlignment="1" applyBorder="1" applyFont="1">
      <alignment horizontal="center" shrinkToFit="0" wrapText="1"/>
    </xf>
    <xf borderId="1" fillId="0" fontId="29" numFmtId="0" xfId="0" applyAlignment="1" applyBorder="1" applyFont="1">
      <alignment horizontal="left" shrinkToFit="0" wrapText="1"/>
    </xf>
    <xf borderId="1" fillId="2" fontId="50" numFmtId="0" xfId="0" applyAlignment="1" applyBorder="1" applyFont="1">
      <alignment horizontal="center" shrinkToFit="0" wrapText="1"/>
    </xf>
    <xf borderId="5" fillId="2" fontId="47" numFmtId="0" xfId="0" applyAlignment="1" applyBorder="1" applyFont="1">
      <alignment shrinkToFit="0" wrapText="1"/>
    </xf>
    <xf borderId="1" fillId="0" fontId="51" numFmtId="0" xfId="0" applyAlignment="1" applyBorder="1" applyFont="1">
      <alignment horizontal="center" shrinkToFit="0" wrapText="1"/>
    </xf>
    <xf borderId="1" fillId="0" fontId="41" numFmtId="171" xfId="0" applyAlignment="1" applyBorder="1" applyFont="1" applyNumberFormat="1">
      <alignment horizontal="center" shrinkToFit="0" wrapText="1"/>
    </xf>
    <xf borderId="5" fillId="2" fontId="45" numFmtId="0" xfId="0" applyAlignment="1" applyBorder="1" applyFont="1">
      <alignment shrinkToFit="0" wrapText="1"/>
    </xf>
    <xf borderId="1" fillId="0" fontId="41" numFmtId="0" xfId="0" applyAlignment="1" applyBorder="1" applyFont="1">
      <alignment horizontal="left" shrinkToFit="0" wrapText="1"/>
    </xf>
    <xf borderId="5" fillId="2" fontId="29" numFmtId="167" xfId="0" applyAlignment="1" applyBorder="1" applyFont="1" applyNumberFormat="1">
      <alignment horizontal="center" shrinkToFit="0" wrapText="1"/>
    </xf>
    <xf borderId="1" fillId="2" fontId="47" numFmtId="0" xfId="0" applyAlignment="1" applyBorder="1" applyFont="1">
      <alignment horizontal="center" shrinkToFit="0" wrapText="1"/>
    </xf>
    <xf borderId="0" fillId="0" fontId="29" numFmtId="0" xfId="0" applyAlignment="1" applyFont="1">
      <alignment horizontal="left" shrinkToFit="0" wrapText="1"/>
    </xf>
    <xf borderId="0" fillId="0" fontId="41" numFmtId="0" xfId="0" applyAlignment="1" applyFont="1">
      <alignment shrinkToFit="0" wrapText="1"/>
    </xf>
    <xf borderId="5" fillId="2" fontId="29" numFmtId="171" xfId="0" applyAlignment="1" applyBorder="1" applyFont="1" applyNumberFormat="1">
      <alignment horizontal="center" shrinkToFit="0" wrapText="1"/>
    </xf>
    <xf borderId="0" fillId="0" fontId="29" numFmtId="167" xfId="0" applyAlignment="1" applyFont="1" applyNumberFormat="1">
      <alignment horizontal="center" shrinkToFit="0" wrapText="1"/>
    </xf>
    <xf borderId="1" fillId="0" fontId="47" numFmtId="0" xfId="0" applyAlignment="1" applyBorder="1" applyFont="1">
      <alignment horizontal="left" shrinkToFit="0" wrapText="1"/>
    </xf>
    <xf borderId="1" fillId="2" fontId="52" numFmtId="0" xfId="0" applyAlignment="1" applyBorder="1" applyFont="1">
      <alignment shrinkToFit="0" wrapText="1"/>
    </xf>
    <xf borderId="1" fillId="9" fontId="40" numFmtId="0" xfId="0" applyAlignment="1" applyBorder="1" applyFont="1">
      <alignment horizontal="center" shrinkToFit="0" wrapText="1"/>
    </xf>
    <xf borderId="1" fillId="2" fontId="53" numFmtId="0" xfId="0" applyAlignment="1" applyBorder="1" applyFont="1">
      <alignment horizontal="center" shrinkToFit="0" wrapText="1"/>
    </xf>
    <xf borderId="1" fillId="2" fontId="29" numFmtId="14" xfId="0" applyAlignment="1" applyBorder="1" applyFont="1" applyNumberFormat="1">
      <alignment horizontal="center" shrinkToFit="0" wrapText="1"/>
    </xf>
    <xf borderId="7" fillId="2" fontId="29" numFmtId="167" xfId="0" applyAlignment="1" applyBorder="1" applyFont="1" applyNumberFormat="1">
      <alignment horizontal="center" shrinkToFit="0" wrapText="1"/>
    </xf>
    <xf borderId="1" fillId="9" fontId="29" numFmtId="0" xfId="0" applyAlignment="1" applyBorder="1" applyFont="1">
      <alignment shrinkToFit="0" wrapText="1"/>
    </xf>
    <xf borderId="0" fillId="0" fontId="54" numFmtId="0" xfId="0" applyAlignment="1" applyFont="1">
      <alignment shrinkToFit="0" wrapText="1"/>
    </xf>
    <xf borderId="1" fillId="2" fontId="29" numFmtId="0" xfId="0" applyAlignment="1" applyBorder="1" applyFont="1">
      <alignment horizontal="left" shrinkToFit="0" wrapText="1"/>
    </xf>
    <xf borderId="1" fillId="2" fontId="45" numFmtId="0" xfId="0" applyAlignment="1" applyBorder="1" applyFont="1">
      <alignment horizontal="center" shrinkToFit="0" wrapText="1"/>
    </xf>
    <xf borderId="1" fillId="2" fontId="41" numFmtId="0" xfId="0" applyAlignment="1" applyBorder="1" applyFont="1">
      <alignment horizontal="left" shrinkToFit="0" wrapText="1"/>
    </xf>
    <xf borderId="5" fillId="2" fontId="29" numFmtId="0" xfId="0" applyAlignment="1" applyBorder="1" applyFont="1">
      <alignment horizontal="left" shrinkToFit="0" wrapText="1"/>
    </xf>
    <xf borderId="4" fillId="0" fontId="29" numFmtId="0" xfId="0" applyAlignment="1" applyBorder="1" applyFont="1">
      <alignment horizontal="center" shrinkToFit="0" wrapText="1"/>
    </xf>
    <xf borderId="1" fillId="2" fontId="45" numFmtId="167" xfId="0" applyAlignment="1" applyBorder="1" applyFont="1" applyNumberFormat="1">
      <alignment horizontal="center" shrinkToFit="0" wrapText="1"/>
    </xf>
    <xf borderId="1" fillId="0" fontId="55" numFmtId="0" xfId="0" applyAlignment="1" applyBorder="1" applyFont="1">
      <alignment horizontal="center" shrinkToFit="0" vertical="center" wrapText="1"/>
    </xf>
    <xf borderId="1" fillId="0" fontId="40" numFmtId="0" xfId="0" applyAlignment="1" applyBorder="1" applyFont="1">
      <alignment horizontal="left" shrinkToFit="0" vertical="center" wrapText="1"/>
    </xf>
    <xf borderId="1" fillId="0" fontId="56" numFmtId="167" xfId="0" applyAlignment="1" applyBorder="1" applyFont="1" applyNumberFormat="1">
      <alignment horizontal="center" shrinkToFit="0" vertical="center" wrapText="1"/>
    </xf>
    <xf borderId="1" fillId="0" fontId="57" numFmtId="14" xfId="0" applyAlignment="1" applyBorder="1" applyFont="1" applyNumberFormat="1">
      <alignment horizontal="center" shrinkToFit="0" vertical="center" wrapText="1"/>
    </xf>
    <xf borderId="1" fillId="2" fontId="56" numFmtId="14" xfId="0" applyAlignment="1" applyBorder="1" applyFont="1" applyNumberFormat="1">
      <alignment horizontal="center" shrinkToFit="0" vertical="center" wrapText="1"/>
    </xf>
    <xf borderId="1" fillId="0" fontId="55" numFmtId="0" xfId="0" applyAlignment="1" applyBorder="1" applyFont="1">
      <alignment horizontal="left" shrinkToFit="0" vertical="center" wrapText="1"/>
    </xf>
    <xf borderId="1" fillId="0" fontId="55" numFmtId="166" xfId="0" applyAlignment="1" applyBorder="1" applyFont="1" applyNumberFormat="1">
      <alignment horizontal="center" shrinkToFit="0" vertical="center" wrapText="1"/>
    </xf>
    <xf borderId="0" fillId="0" fontId="58" numFmtId="0" xfId="0" applyAlignment="1" applyFont="1">
      <alignment shrinkToFit="0" wrapText="1"/>
    </xf>
    <xf borderId="1" fillId="3" fontId="40" numFmtId="0" xfId="0" applyAlignment="1" applyBorder="1" applyFont="1">
      <alignment horizontal="center" shrinkToFit="0" vertical="center" wrapText="1"/>
    </xf>
    <xf borderId="1" fillId="3" fontId="57" numFmtId="0" xfId="0" applyAlignment="1" applyBorder="1" applyFont="1">
      <alignment horizontal="center" shrinkToFit="0" vertical="center" wrapText="1"/>
    </xf>
    <xf borderId="1" fillId="3" fontId="40" numFmtId="0" xfId="0" applyAlignment="1" applyBorder="1" applyFont="1">
      <alignment horizontal="left" shrinkToFit="0" vertical="center" wrapText="1"/>
    </xf>
    <xf borderId="1" fillId="3" fontId="40" numFmtId="167" xfId="0" applyAlignment="1" applyBorder="1" applyFont="1" applyNumberFormat="1">
      <alignment horizontal="center" shrinkToFit="0" vertical="center" wrapText="1"/>
    </xf>
    <xf borderId="1" fillId="3" fontId="40" numFmtId="14" xfId="0" applyAlignment="1" applyBorder="1" applyFont="1" applyNumberFormat="1">
      <alignment horizontal="center" shrinkToFit="0" vertical="center" wrapText="1"/>
    </xf>
    <xf borderId="1" fillId="9" fontId="59" numFmtId="0" xfId="0" applyAlignment="1" applyBorder="1" applyFont="1">
      <alignment horizontal="center" shrinkToFit="0" vertical="center" wrapText="1"/>
    </xf>
    <xf borderId="1" fillId="3" fontId="40" numFmtId="166" xfId="0" applyAlignment="1" applyBorder="1" applyFont="1" applyNumberFormat="1">
      <alignment horizontal="center" shrinkToFit="0" vertical="center" wrapText="1"/>
    </xf>
    <xf borderId="1" fillId="2" fontId="60" numFmtId="0" xfId="0" applyAlignment="1" applyBorder="1" applyFont="1">
      <alignment horizontal="center" shrinkToFit="0" vertical="center" wrapText="1"/>
    </xf>
    <xf borderId="1" fillId="2" fontId="41" numFmtId="0" xfId="0" applyAlignment="1" applyBorder="1" applyFont="1">
      <alignment horizontal="center" shrinkToFit="0" vertical="center" wrapText="1"/>
    </xf>
    <xf borderId="1" fillId="0" fontId="29" numFmtId="0" xfId="0" applyAlignment="1" applyBorder="1" applyFont="1">
      <alignment horizontal="center" shrinkToFit="0" vertical="center" wrapText="1"/>
    </xf>
    <xf borderId="1" fillId="2" fontId="41" numFmtId="0" xfId="0" applyAlignment="1" applyBorder="1" applyFont="1">
      <alignment horizontal="left" shrinkToFit="0" vertical="center" wrapText="1"/>
    </xf>
    <xf borderId="1" fillId="2" fontId="41" numFmtId="14" xfId="0" applyAlignment="1" applyBorder="1" applyFont="1" applyNumberFormat="1">
      <alignment horizontal="center" shrinkToFit="0" vertical="center" wrapText="1"/>
    </xf>
    <xf borderId="7" fillId="10" fontId="41" numFmtId="0" xfId="0" applyAlignment="1" applyBorder="1" applyFill="1" applyFont="1">
      <alignment horizontal="center" shrinkToFit="0" vertical="center" wrapText="1"/>
    </xf>
    <xf borderId="1" fillId="2" fontId="41" numFmtId="0" xfId="0" applyAlignment="1" applyBorder="1" applyFont="1">
      <alignment shrinkToFit="0" vertical="center" wrapText="1"/>
    </xf>
    <xf borderId="1" fillId="0" fontId="29" numFmtId="172" xfId="0" applyAlignment="1" applyBorder="1" applyFont="1" applyNumberFormat="1">
      <alignment horizontal="center" shrinkToFit="0" vertical="center" wrapText="1"/>
    </xf>
    <xf borderId="1" fillId="0" fontId="41" numFmtId="0" xfId="0" applyAlignment="1" applyBorder="1" applyFont="1">
      <alignment horizontal="center" shrinkToFit="0" vertical="center" wrapText="1"/>
    </xf>
    <xf borderId="7" fillId="2" fontId="41" numFmtId="14" xfId="0" applyAlignment="1" applyBorder="1" applyFont="1" applyNumberFormat="1">
      <alignment horizontal="center" shrinkToFit="0" vertical="center" wrapText="1"/>
    </xf>
    <xf borderId="7" fillId="2" fontId="41" numFmtId="0" xfId="0" applyAlignment="1" applyBorder="1" applyFont="1">
      <alignment horizontal="center" shrinkToFit="0" vertical="center" wrapText="1"/>
    </xf>
    <xf borderId="1" fillId="2" fontId="41" numFmtId="173" xfId="0" applyAlignment="1" applyBorder="1" applyFont="1" applyNumberFormat="1">
      <alignment horizontal="center" shrinkToFit="0" vertical="center" wrapText="1"/>
    </xf>
    <xf borderId="1" fillId="10" fontId="41" numFmtId="0" xfId="0" applyAlignment="1" applyBorder="1" applyFont="1">
      <alignment horizontal="center" shrinkToFit="0" vertical="center" wrapText="1"/>
    </xf>
    <xf borderId="4" fillId="0" fontId="41" numFmtId="0" xfId="0" applyAlignment="1" applyBorder="1" applyFont="1">
      <alignment horizontal="center" shrinkToFit="0" vertical="center" wrapText="1"/>
    </xf>
    <xf borderId="1" fillId="2" fontId="41" numFmtId="169" xfId="0" applyAlignment="1" applyBorder="1" applyFont="1" applyNumberFormat="1">
      <alignment horizontal="center" shrinkToFit="0" vertical="center" wrapText="1"/>
    </xf>
    <xf borderId="1" fillId="2" fontId="29" numFmtId="0" xfId="0" applyAlignment="1" applyBorder="1" applyFont="1">
      <alignment horizontal="center" shrinkToFit="0" vertical="center" wrapText="1"/>
    </xf>
    <xf borderId="1" fillId="2" fontId="29" numFmtId="172" xfId="0" applyAlignment="1" applyBorder="1" applyFont="1" applyNumberFormat="1">
      <alignment horizontal="center" shrinkToFit="0" vertical="center" wrapText="1"/>
    </xf>
    <xf borderId="1" fillId="2" fontId="40" numFmtId="14" xfId="0" applyAlignment="1" applyBorder="1" applyFont="1" applyNumberFormat="1">
      <alignment horizontal="center" shrinkToFit="0" vertical="center" wrapText="1"/>
    </xf>
    <xf borderId="1" fillId="2" fontId="41" numFmtId="174" xfId="0" applyAlignment="1" applyBorder="1" applyFont="1" applyNumberFormat="1">
      <alignment horizontal="center" shrinkToFit="0" vertical="center" wrapText="1"/>
    </xf>
    <xf borderId="1" fillId="0" fontId="61" numFmtId="0" xfId="0" applyAlignment="1" applyBorder="1" applyFont="1">
      <alignment horizontal="center" shrinkToFit="0" vertical="center" wrapText="1"/>
    </xf>
    <xf borderId="1" fillId="2" fontId="62" numFmtId="0" xfId="0" applyAlignment="1" applyBorder="1" applyFont="1">
      <alignment shrinkToFit="0" vertical="center" wrapText="1"/>
    </xf>
    <xf borderId="1" fillId="0" fontId="41" numFmtId="14" xfId="0" applyAlignment="1" applyBorder="1" applyFont="1" applyNumberFormat="1">
      <alignment horizontal="center" shrinkToFit="0" vertical="center" wrapText="1"/>
    </xf>
    <xf borderId="1" fillId="2" fontId="63" numFmtId="0" xfId="0" applyAlignment="1" applyBorder="1" applyFont="1">
      <alignment shrinkToFit="0" vertical="center" wrapText="1"/>
    </xf>
    <xf borderId="8" fillId="2" fontId="41" numFmtId="0" xfId="0" applyAlignment="1" applyBorder="1" applyFont="1">
      <alignment shrinkToFit="0" vertical="center" wrapText="1"/>
    </xf>
    <xf borderId="1" fillId="0" fontId="6" numFmtId="14" xfId="0" applyAlignment="1" applyBorder="1" applyFont="1" applyNumberFormat="1">
      <alignment horizontal="center" shrinkToFit="0" vertical="center" wrapText="1"/>
    </xf>
    <xf borderId="6" fillId="2" fontId="41" numFmtId="14" xfId="0" applyAlignment="1" applyBorder="1" applyFont="1" applyNumberFormat="1">
      <alignment horizontal="center" shrinkToFit="0" vertical="center" wrapText="1"/>
    </xf>
    <xf borderId="7" fillId="2" fontId="41" numFmtId="0" xfId="0" applyAlignment="1" applyBorder="1" applyFont="1">
      <alignment shrinkToFit="0" vertical="center" wrapText="1"/>
    </xf>
    <xf borderId="7" fillId="2" fontId="64" numFmtId="14" xfId="0" applyAlignment="1" applyBorder="1" applyFont="1" applyNumberFormat="1">
      <alignment horizontal="center" shrinkToFit="0" vertical="center" wrapText="1"/>
    </xf>
    <xf borderId="7" fillId="2" fontId="10" numFmtId="14" xfId="0" applyAlignment="1" applyBorder="1" applyFont="1" applyNumberFormat="1">
      <alignment horizontal="center" shrinkToFit="0" vertical="center" wrapText="1"/>
    </xf>
    <xf borderId="1" fillId="0" fontId="10" numFmtId="14" xfId="0" applyAlignment="1" applyBorder="1" applyFont="1" applyNumberFormat="1">
      <alignment horizontal="center" shrinkToFit="0" vertical="center" wrapText="1"/>
    </xf>
    <xf borderId="1" fillId="0" fontId="58" numFmtId="172" xfId="0" applyAlignment="1" applyBorder="1" applyFont="1" applyNumberFormat="1">
      <alignment shrinkToFit="0" vertical="center" wrapText="1"/>
    </xf>
    <xf borderId="4" fillId="0" fontId="29" numFmtId="0" xfId="0" applyAlignment="1" applyBorder="1" applyFont="1">
      <alignment horizontal="center" shrinkToFit="0" vertical="center" wrapText="1"/>
    </xf>
    <xf borderId="4" fillId="0" fontId="58" numFmtId="172" xfId="0" applyAlignment="1" applyBorder="1" applyFont="1" applyNumberFormat="1">
      <alignment shrinkToFit="0" vertical="center" wrapText="1"/>
    </xf>
    <xf borderId="7" fillId="2" fontId="41" numFmtId="0" xfId="0" applyAlignment="1" applyBorder="1" applyFont="1">
      <alignment horizontal="left" shrinkToFit="0" vertical="center" wrapText="1"/>
    </xf>
    <xf borderId="4" fillId="0" fontId="41" numFmtId="14" xfId="0" applyAlignment="1" applyBorder="1" applyFont="1" applyNumberFormat="1">
      <alignment horizontal="center" shrinkToFit="0" vertical="center" wrapText="1"/>
    </xf>
    <xf borderId="4" fillId="0" fontId="29" numFmtId="172" xfId="0" applyAlignment="1" applyBorder="1" applyFont="1" applyNumberFormat="1">
      <alignment horizontal="center" shrinkToFit="0" vertical="center" wrapText="1"/>
    </xf>
    <xf borderId="1" fillId="2" fontId="10" numFmtId="14" xfId="0" applyAlignment="1" applyBorder="1" applyFont="1" applyNumberFormat="1">
      <alignment horizontal="center" shrinkToFit="0" vertical="center" wrapText="1"/>
    </xf>
    <xf borderId="4" fillId="0" fontId="10" numFmtId="14" xfId="0" applyAlignment="1" applyBorder="1" applyFont="1" applyNumberFormat="1">
      <alignment horizontal="center" shrinkToFit="0" vertical="center" wrapText="1"/>
    </xf>
    <xf borderId="7" fillId="2" fontId="29" numFmtId="0" xfId="0" applyAlignment="1" applyBorder="1" applyFont="1">
      <alignment horizontal="center" shrinkToFit="0" vertical="center" wrapText="1"/>
    </xf>
    <xf borderId="1" fillId="2" fontId="64" numFmtId="14" xfId="0" applyAlignment="1" applyBorder="1" applyFont="1" applyNumberFormat="1">
      <alignment horizontal="center" shrinkToFit="0" vertical="center" wrapText="1"/>
    </xf>
    <xf borderId="1" fillId="2" fontId="65" numFmtId="0" xfId="0" applyAlignment="1" applyBorder="1" applyFont="1">
      <alignment shrinkToFit="0" vertical="center" wrapText="1"/>
    </xf>
    <xf borderId="1" fillId="2" fontId="66" numFmtId="14" xfId="0" applyAlignment="1" applyBorder="1" applyFont="1" applyNumberFormat="1">
      <alignment horizontal="center" shrinkToFit="0" vertical="center" wrapText="1"/>
    </xf>
    <xf borderId="5" fillId="2" fontId="41" numFmtId="0" xfId="0" applyAlignment="1" applyBorder="1" applyFont="1">
      <alignment horizontal="left" shrinkToFit="0" vertical="center" wrapText="1"/>
    </xf>
    <xf borderId="1" fillId="2" fontId="43" numFmtId="0" xfId="0" applyAlignment="1" applyBorder="1" applyFont="1">
      <alignment horizontal="center" shrinkToFit="0" vertical="center" wrapText="1"/>
    </xf>
    <xf borderId="5" fillId="2" fontId="41" numFmtId="0" xfId="0" applyAlignment="1" applyBorder="1" applyFont="1">
      <alignment horizontal="center" shrinkToFit="0" vertical="center" wrapText="1"/>
    </xf>
    <xf borderId="5" fillId="2" fontId="43" numFmtId="0" xfId="0" applyAlignment="1" applyBorder="1" applyFont="1">
      <alignment horizontal="center" shrinkToFit="0" vertical="center" wrapText="1"/>
    </xf>
    <xf borderId="0" fillId="0" fontId="41" numFmtId="14" xfId="0" applyAlignment="1" applyFont="1" applyNumberFormat="1">
      <alignment horizontal="center" shrinkToFit="0" vertical="center" wrapText="1"/>
    </xf>
    <xf borderId="1" fillId="2" fontId="43" numFmtId="0" xfId="0" applyAlignment="1" applyBorder="1" applyFont="1">
      <alignment horizontal="left" shrinkToFit="0" vertical="center" wrapText="1"/>
    </xf>
    <xf borderId="1" fillId="2" fontId="67" numFmtId="14" xfId="0" applyAlignment="1" applyBorder="1" applyFont="1" applyNumberFormat="1">
      <alignment horizontal="center" shrinkToFit="0" vertical="center" wrapText="1"/>
    </xf>
    <xf borderId="5" fillId="2" fontId="41" numFmtId="14" xfId="0" applyAlignment="1" applyBorder="1" applyFont="1" applyNumberFormat="1">
      <alignment horizontal="center" shrinkToFit="0" vertical="center" wrapText="1"/>
    </xf>
    <xf borderId="1" fillId="3" fontId="41" numFmtId="0" xfId="0" applyAlignment="1" applyBorder="1" applyFont="1">
      <alignment shrinkToFit="0" vertical="center" wrapText="1"/>
    </xf>
    <xf borderId="1" fillId="0" fontId="68" numFmtId="0" xfId="0" applyAlignment="1" applyBorder="1" applyFont="1">
      <alignment horizontal="center" shrinkToFit="0" vertical="center" wrapText="1"/>
    </xf>
    <xf borderId="1" fillId="2" fontId="69" numFmtId="0" xfId="0" applyAlignment="1" applyBorder="1" applyFont="1">
      <alignment horizontal="center" shrinkToFit="0" vertical="center" wrapText="1"/>
    </xf>
    <xf borderId="1" fillId="2" fontId="66" numFmtId="0" xfId="0" applyAlignment="1" applyBorder="1" applyFont="1">
      <alignment horizontal="center" shrinkToFit="0" vertical="center" wrapText="1"/>
    </xf>
    <xf borderId="1" fillId="2" fontId="70" numFmtId="0" xfId="0" applyAlignment="1" applyBorder="1" applyFont="1">
      <alignment horizontal="center" shrinkToFit="0" vertical="center" wrapText="1"/>
    </xf>
    <xf borderId="5" fillId="2" fontId="43" numFmtId="0" xfId="0" applyAlignment="1" applyBorder="1" applyFont="1">
      <alignment horizontal="left" shrinkToFit="0" vertical="center" wrapText="1"/>
    </xf>
    <xf borderId="1" fillId="2" fontId="19" numFmtId="14" xfId="0" applyAlignment="1" applyBorder="1" applyFont="1" applyNumberFormat="1">
      <alignment horizontal="center" shrinkToFit="0" vertical="center" wrapText="1"/>
    </xf>
    <xf borderId="5" fillId="2" fontId="41" numFmtId="0" xfId="0" applyAlignment="1" applyBorder="1" applyFont="1">
      <alignment shrinkToFit="0" vertical="center" wrapText="1"/>
    </xf>
    <xf borderId="0" fillId="0" fontId="29" numFmtId="0" xfId="0" applyAlignment="1" applyFont="1">
      <alignment shrinkToFit="0" vertical="center" wrapText="1"/>
    </xf>
    <xf borderId="1" fillId="2" fontId="71" numFmtId="0" xfId="0" applyAlignment="1" applyBorder="1" applyFont="1">
      <alignment horizontal="center" shrinkToFit="0" vertical="center" wrapText="1"/>
    </xf>
    <xf borderId="1" fillId="2" fontId="66" numFmtId="14" xfId="0" applyAlignment="1" applyBorder="1" applyFont="1" applyNumberFormat="1">
      <alignment shrinkToFit="0" vertical="center" wrapText="1"/>
    </xf>
    <xf borderId="1" fillId="0" fontId="72" numFmtId="0" xfId="0" applyAlignment="1" applyBorder="1" applyFont="1">
      <alignment horizontal="center" shrinkToFit="0" vertical="center" wrapText="1"/>
    </xf>
    <xf borderId="1" fillId="2" fontId="66" numFmtId="0" xfId="0" applyAlignment="1" applyBorder="1" applyFont="1">
      <alignment shrinkToFit="0" vertical="center" wrapText="1"/>
    </xf>
    <xf borderId="5" fillId="2" fontId="19" numFmtId="14" xfId="0" applyAlignment="1" applyBorder="1" applyFont="1" applyNumberFormat="1">
      <alignment horizontal="center" shrinkToFit="0" vertical="center" wrapText="1"/>
    </xf>
    <xf borderId="0" fillId="0" fontId="73" numFmtId="0" xfId="0" applyAlignment="1" applyFont="1">
      <alignment horizontal="center" shrinkToFit="0" vertical="center" wrapText="1"/>
    </xf>
    <xf borderId="1" fillId="2" fontId="29" numFmtId="0" xfId="0" applyAlignment="1" applyBorder="1" applyFont="1">
      <alignment horizontal="left" shrinkToFit="0" vertical="center" wrapText="1"/>
    </xf>
    <xf borderId="1" fillId="2" fontId="47" numFmtId="0" xfId="0" applyAlignment="1" applyBorder="1" applyFont="1">
      <alignment shrinkToFit="0" vertical="center" wrapText="1"/>
    </xf>
    <xf borderId="0" fillId="0" fontId="29" numFmtId="0" xfId="0" applyAlignment="1" applyFont="1">
      <alignment horizontal="center" shrinkToFit="0" vertical="center" wrapText="1"/>
    </xf>
    <xf borderId="1" fillId="0" fontId="41" numFmtId="167" xfId="0" applyAlignment="1" applyBorder="1" applyFont="1" applyNumberFormat="1">
      <alignment horizontal="center" shrinkToFit="0" vertical="center" wrapText="1"/>
    </xf>
    <xf borderId="1" fillId="2" fontId="45" numFmtId="0" xfId="0" applyAlignment="1" applyBorder="1" applyFont="1">
      <alignment shrinkToFit="0" vertical="center" wrapText="1"/>
    </xf>
    <xf borderId="5" fillId="2" fontId="74" numFmtId="0" xfId="0" applyAlignment="1" applyBorder="1" applyFont="1">
      <alignment horizontal="center" shrinkToFit="0" vertical="center" wrapText="1"/>
    </xf>
    <xf borderId="0" fillId="0" fontId="41" numFmtId="0" xfId="0" applyAlignment="1" applyFont="1">
      <alignment horizontal="center" shrinkToFit="0" vertical="center" wrapText="1"/>
    </xf>
    <xf borderId="0" fillId="0" fontId="29" numFmtId="172" xfId="0" applyAlignment="1" applyFont="1" applyNumberFormat="1">
      <alignment horizontal="center" shrinkToFit="0" vertical="center" wrapText="1"/>
    </xf>
    <xf borderId="1" fillId="10" fontId="58" numFmtId="0" xfId="0" applyAlignment="1" applyBorder="1" applyFont="1">
      <alignment horizontal="center" shrinkToFit="0" vertical="center" wrapText="1"/>
    </xf>
    <xf borderId="1" fillId="0" fontId="28" numFmtId="0" xfId="0" applyAlignment="1" applyBorder="1" applyFont="1">
      <alignment horizontal="center" shrinkToFit="0" vertical="center" wrapText="1"/>
    </xf>
    <xf borderId="1" fillId="0" fontId="56" numFmtId="0" xfId="0" applyAlignment="1" applyBorder="1" applyFont="1">
      <alignment horizontal="center" shrinkToFit="0" vertical="center" wrapText="1"/>
    </xf>
    <xf borderId="1" fillId="0" fontId="55" numFmtId="167" xfId="0" applyAlignment="1" applyBorder="1" applyFont="1" applyNumberFormat="1">
      <alignment horizontal="center" shrinkToFit="0" vertical="center" wrapText="1"/>
    </xf>
    <xf borderId="1" fillId="0" fontId="55" numFmtId="171" xfId="0" applyAlignment="1" applyBorder="1" applyFont="1" applyNumberFormat="1">
      <alignment horizontal="center" shrinkToFit="0" vertical="center" wrapText="1"/>
    </xf>
    <xf borderId="1" fillId="2" fontId="55" numFmtId="0" xfId="0" applyAlignment="1" applyBorder="1" applyFont="1">
      <alignment horizontal="center" shrinkToFit="0" vertical="center" wrapText="1"/>
    </xf>
    <xf borderId="5" fillId="2" fontId="58" numFmtId="0" xfId="0" applyAlignment="1" applyBorder="1" applyFont="1">
      <alignment shrinkToFit="0" vertical="center" wrapText="1"/>
    </xf>
    <xf borderId="0" fillId="0" fontId="58" numFmtId="0" xfId="0" applyAlignment="1" applyFont="1">
      <alignment shrinkToFit="0" vertical="center" wrapText="1"/>
    </xf>
    <xf borderId="1" fillId="9" fontId="40" numFmtId="0" xfId="0" applyAlignment="1" applyBorder="1" applyFont="1">
      <alignment horizontal="center" shrinkToFit="0" vertical="center" wrapText="1"/>
    </xf>
    <xf borderId="5" fillId="2" fontId="29" numFmtId="0" xfId="0" applyAlignment="1" applyBorder="1" applyFont="1">
      <alignment shrinkToFit="0" vertical="center" wrapText="1"/>
    </xf>
    <xf borderId="1" fillId="2" fontId="40" numFmtId="0" xfId="0" applyAlignment="1" applyBorder="1" applyFont="1">
      <alignment horizontal="center" shrinkToFit="0" vertical="center" wrapText="1"/>
    </xf>
    <xf borderId="1" fillId="2" fontId="30" numFmtId="0" xfId="0" applyAlignment="1" applyBorder="1" applyFont="1">
      <alignment horizontal="left" shrinkToFit="0" vertical="center" wrapText="1"/>
    </xf>
    <xf borderId="1" fillId="2" fontId="41" numFmtId="165" xfId="0" applyAlignment="1" applyBorder="1" applyFont="1" applyNumberFormat="1">
      <alignment horizontal="center" shrinkToFit="0" vertical="center" wrapText="1"/>
    </xf>
    <xf borderId="1" fillId="2" fontId="75" numFmtId="0" xfId="0" applyAlignment="1" applyBorder="1" applyFont="1">
      <alignment horizontal="center" shrinkToFit="0" vertical="center" wrapText="1"/>
    </xf>
    <xf borderId="1" fillId="2" fontId="41" numFmtId="172" xfId="0" applyAlignment="1" applyBorder="1" applyFont="1" applyNumberFormat="1">
      <alignment horizontal="center" shrinkToFit="0" vertical="center" wrapText="1"/>
    </xf>
    <xf borderId="1" fillId="2" fontId="29" numFmtId="14" xfId="0" applyAlignment="1" applyBorder="1" applyFont="1" applyNumberFormat="1">
      <alignment horizontal="center" shrinkToFit="0" vertical="center" wrapText="1"/>
    </xf>
    <xf borderId="1" fillId="2" fontId="45" numFmtId="14" xfId="0" applyAlignment="1" applyBorder="1" applyFont="1" applyNumberFormat="1">
      <alignment horizontal="center" shrinkToFit="0" vertical="center" wrapText="1"/>
    </xf>
    <xf borderId="1" fillId="2" fontId="45" numFmtId="0" xfId="0" applyAlignment="1" applyBorder="1" applyFont="1">
      <alignment horizontal="left" shrinkToFit="0" vertical="center" wrapText="1"/>
    </xf>
    <xf borderId="1" fillId="2" fontId="41" numFmtId="10" xfId="0" applyAlignment="1" applyBorder="1" applyFont="1" applyNumberFormat="1">
      <alignment horizontal="center" shrinkToFit="0" vertical="center" wrapText="1"/>
    </xf>
    <xf borderId="7" fillId="2" fontId="40" numFmtId="0" xfId="0" applyAlignment="1" applyBorder="1" applyFont="1">
      <alignment horizontal="center" shrinkToFit="0" vertical="center" wrapText="1"/>
    </xf>
    <xf borderId="1" fillId="2" fontId="30" numFmtId="0" xfId="0" applyAlignment="1" applyBorder="1" applyFont="1">
      <alignment horizontal="center" shrinkToFit="0" vertical="center" wrapText="1"/>
    </xf>
    <xf borderId="1" fillId="2" fontId="40" numFmtId="172" xfId="0" applyAlignment="1" applyBorder="1" applyFont="1" applyNumberFormat="1">
      <alignment horizontal="center" shrinkToFit="0" vertical="center" wrapText="1"/>
    </xf>
    <xf borderId="1" fillId="2" fontId="76" numFmtId="0" xfId="0" applyAlignment="1" applyBorder="1" applyFont="1">
      <alignment horizontal="left" shrinkToFit="0" vertical="center" wrapText="1"/>
    </xf>
    <xf borderId="1" fillId="2" fontId="77" numFmtId="14" xfId="0" applyAlignment="1" applyBorder="1" applyFont="1" applyNumberFormat="1">
      <alignment horizontal="center" shrinkToFit="0" vertical="center" wrapText="1"/>
    </xf>
    <xf borderId="1" fillId="2" fontId="78" numFmtId="0" xfId="0" applyAlignment="1" applyBorder="1" applyFont="1">
      <alignment horizontal="left" shrinkToFit="0" vertical="center" wrapText="1"/>
    </xf>
    <xf borderId="1" fillId="2" fontId="79" numFmtId="0" xfId="0" applyAlignment="1" applyBorder="1" applyFont="1">
      <alignment horizontal="center" shrinkToFit="0" vertical="center" wrapText="1"/>
    </xf>
    <xf borderId="1" fillId="2" fontId="80" numFmtId="0" xfId="0" applyAlignment="1" applyBorder="1" applyFont="1">
      <alignment horizontal="left" shrinkToFit="0" vertical="center" wrapText="1"/>
    </xf>
    <xf borderId="7" fillId="2" fontId="29" numFmtId="14" xfId="0" applyAlignment="1" applyBorder="1" applyFont="1" applyNumberFormat="1">
      <alignment horizontal="center" shrinkToFit="0" vertical="center" wrapText="1"/>
    </xf>
    <xf borderId="5" fillId="2" fontId="4" numFmtId="0" xfId="0" applyAlignment="1" applyBorder="1" applyFont="1">
      <alignment shrinkToFit="0" wrapText="1"/>
    </xf>
    <xf borderId="0" fillId="0" fontId="81" numFmtId="0" xfId="0" applyAlignment="1" applyFont="1">
      <alignment horizontal="center" shrinkToFit="0" wrapText="1"/>
    </xf>
    <xf borderId="5" fillId="2" fontId="39" numFmtId="0" xfId="0" applyAlignment="1" applyBorder="1" applyFont="1">
      <alignment horizontal="center" shrinkToFit="0" wrapText="1"/>
    </xf>
    <xf borderId="1" fillId="2" fontId="66" numFmtId="0" xfId="0" applyAlignment="1" applyBorder="1" applyFont="1">
      <alignment horizontal="center" shrinkToFit="0" wrapText="1"/>
    </xf>
    <xf borderId="5" fillId="10" fontId="55" numFmtId="0" xfId="0" applyAlignment="1" applyBorder="1" applyFont="1">
      <alignment horizontal="center" shrinkToFit="0" wrapText="1"/>
    </xf>
    <xf borderId="1" fillId="0" fontId="55" numFmtId="0" xfId="0" applyAlignment="1" applyBorder="1" applyFont="1">
      <alignment horizontal="center" shrinkToFit="0" wrapText="1"/>
    </xf>
    <xf borderId="1" fillId="2" fontId="82" numFmtId="0" xfId="0" applyAlignment="1" applyBorder="1" applyFont="1">
      <alignment shrinkToFit="0" wrapText="1"/>
    </xf>
    <xf borderId="0" fillId="0" fontId="29" numFmtId="0" xfId="0" applyAlignment="1" applyFont="1">
      <alignment horizontal="center" shrinkToFit="0" vertical="top" wrapText="1"/>
    </xf>
    <xf borderId="1" fillId="2" fontId="40" numFmtId="0" xfId="0" applyAlignment="1" applyBorder="1" applyFont="1">
      <alignment horizontal="center" shrinkToFit="0" wrapText="1"/>
    </xf>
    <xf borderId="1" fillId="0" fontId="83" numFmtId="0" xfId="0" applyAlignment="1" applyBorder="1" applyFont="1">
      <alignment shrinkToFit="0" wrapText="1"/>
    </xf>
    <xf borderId="1" fillId="2" fontId="84" numFmtId="0" xfId="0" applyAlignment="1" applyBorder="1" applyFont="1">
      <alignment shrinkToFit="0" wrapText="1"/>
    </xf>
    <xf borderId="1" fillId="2" fontId="83" numFmtId="0" xfId="0" applyAlignment="1" applyBorder="1" applyFont="1">
      <alignment horizontal="center" shrinkToFit="0" wrapText="1"/>
    </xf>
    <xf borderId="0" fillId="0" fontId="29" numFmtId="0" xfId="0" applyAlignment="1" applyFont="1">
      <alignment shrinkToFit="0" vertical="top" wrapText="1"/>
    </xf>
    <xf borderId="1" fillId="2" fontId="45" numFmtId="165" xfId="0" applyAlignment="1" applyBorder="1" applyFont="1" applyNumberFormat="1">
      <alignment horizontal="center" shrinkToFit="0" wrapText="1"/>
    </xf>
    <xf borderId="1" fillId="11" fontId="29" numFmtId="167" xfId="0" applyAlignment="1" applyBorder="1" applyFill="1" applyFont="1" applyNumberFormat="1">
      <alignment horizontal="center" shrinkToFit="0" wrapText="1"/>
    </xf>
    <xf borderId="1" fillId="11" fontId="41" numFmtId="0" xfId="0" applyAlignment="1" applyBorder="1" applyFont="1">
      <alignment horizontal="center" shrinkToFit="0" wrapText="1"/>
    </xf>
    <xf borderId="7" fillId="12" fontId="29" numFmtId="167" xfId="0" applyAlignment="1" applyBorder="1" applyFill="1" applyFont="1" applyNumberFormat="1">
      <alignment horizontal="center" shrinkToFit="0" wrapText="1"/>
    </xf>
    <xf borderId="1" fillId="12" fontId="29" numFmtId="167" xfId="0" applyAlignment="1" applyBorder="1" applyFont="1" applyNumberFormat="1">
      <alignment horizontal="center" shrinkToFit="0" wrapText="1"/>
    </xf>
    <xf borderId="1" fillId="10" fontId="29" numFmtId="0" xfId="0" applyAlignment="1" applyBorder="1" applyFont="1">
      <alignment horizontal="center" shrinkToFit="0" wrapText="1"/>
    </xf>
    <xf borderId="1" fillId="2" fontId="30" numFmtId="0" xfId="0" applyAlignment="1" applyBorder="1" applyFont="1">
      <alignment horizontal="center" shrinkToFit="0" wrapText="1"/>
    </xf>
    <xf borderId="1" fillId="2" fontId="41" numFmtId="14" xfId="0" applyAlignment="1" applyBorder="1" applyFont="1" applyNumberFormat="1">
      <alignment horizontal="center" shrinkToFit="0" wrapText="1"/>
    </xf>
    <xf borderId="5" fillId="2" fontId="29" numFmtId="165" xfId="0" applyAlignment="1" applyBorder="1" applyFont="1" applyNumberFormat="1">
      <alignment horizontal="center" shrinkToFit="0" wrapText="1"/>
    </xf>
    <xf borderId="1" fillId="2" fontId="41" numFmtId="172" xfId="0" applyAlignment="1" applyBorder="1" applyFont="1" applyNumberFormat="1">
      <alignment horizontal="center" shrinkToFit="0" wrapText="1"/>
    </xf>
    <xf borderId="1" fillId="2" fontId="85" numFmtId="0" xfId="0" applyAlignment="1" applyBorder="1" applyFont="1">
      <alignment horizontal="center" shrinkToFit="0" wrapText="1"/>
    </xf>
    <xf borderId="1" fillId="2" fontId="58" numFmtId="165" xfId="0" applyAlignment="1" applyBorder="1" applyFont="1" applyNumberFormat="1">
      <alignment horizontal="center" shrinkToFit="0" wrapText="1"/>
    </xf>
    <xf borderId="7" fillId="2" fontId="29" numFmtId="0" xfId="0" applyAlignment="1" applyBorder="1" applyFont="1">
      <alignment horizontal="center" shrinkToFit="0" wrapText="1"/>
    </xf>
    <xf borderId="0" fillId="0" fontId="4" numFmtId="0" xfId="0" applyAlignment="1" applyFont="1">
      <alignment shrinkToFit="0" wrapText="1"/>
    </xf>
    <xf borderId="1" fillId="2" fontId="86" numFmtId="0" xfId="0" applyAlignment="1" applyBorder="1" applyFont="1">
      <alignment shrinkToFit="0" wrapText="1"/>
    </xf>
    <xf borderId="1" fillId="3" fontId="56" numFmtId="0" xfId="0" applyAlignment="1" applyBorder="1" applyFont="1">
      <alignment horizontal="center" shrinkToFit="0" wrapText="1"/>
    </xf>
    <xf borderId="1" fillId="2" fontId="87" numFmtId="167" xfId="0" applyAlignment="1" applyBorder="1" applyFont="1" applyNumberFormat="1">
      <alignment horizontal="center" shrinkToFit="0" wrapText="1"/>
    </xf>
    <xf borderId="1" fillId="12" fontId="87" numFmtId="167" xfId="0" applyAlignment="1" applyBorder="1" applyFont="1" applyNumberFormat="1">
      <alignment horizontal="center" shrinkToFit="0" wrapText="1"/>
    </xf>
    <xf borderId="7" fillId="12" fontId="87" numFmtId="167" xfId="0" applyAlignment="1" applyBorder="1" applyFont="1" applyNumberFormat="1">
      <alignment horizontal="center" shrinkToFit="0" wrapText="1"/>
    </xf>
    <xf borderId="7" fillId="2" fontId="87" numFmtId="167" xfId="0" applyAlignment="1" applyBorder="1" applyFont="1" applyNumberFormat="1">
      <alignment horizontal="center" shrinkToFit="0" wrapText="1"/>
    </xf>
    <xf borderId="7" fillId="2" fontId="41" numFmtId="167" xfId="0" applyAlignment="1" applyBorder="1" applyFont="1" applyNumberFormat="1">
      <alignment horizontal="center" shrinkToFit="0" wrapText="1"/>
    </xf>
    <xf borderId="1" fillId="2" fontId="40" numFmtId="0" xfId="0" applyAlignment="1" applyBorder="1" applyFont="1">
      <alignment shrinkToFit="0" wrapText="1"/>
    </xf>
    <xf borderId="0" fillId="0" fontId="4" numFmtId="0" xfId="0" applyAlignment="1" applyFont="1">
      <alignment shrinkToFit="0" vertical="top" wrapText="1"/>
    </xf>
    <xf borderId="1" fillId="10" fontId="55" numFmtId="0" xfId="0" applyAlignment="1" applyBorder="1" applyFont="1">
      <alignment horizontal="center" shrinkToFit="0" vertical="center" wrapText="1"/>
    </xf>
    <xf borderId="1" fillId="2" fontId="56" numFmtId="0" xfId="0" applyAlignment="1" applyBorder="1" applyFont="1">
      <alignment horizontal="center" shrinkToFit="0" vertical="center" wrapText="1"/>
    </xf>
    <xf borderId="1" fillId="2" fontId="58" numFmtId="0" xfId="0" applyAlignment="1" applyBorder="1" applyFont="1">
      <alignment shrinkToFit="0" vertical="center" wrapText="1"/>
    </xf>
    <xf borderId="1" fillId="2" fontId="29" numFmtId="0" xfId="0" applyAlignment="1" applyBorder="1" applyFont="1">
      <alignment shrinkToFit="0" vertical="center" wrapText="1"/>
    </xf>
    <xf borderId="7" fillId="12" fontId="41" numFmtId="0" xfId="0" applyAlignment="1" applyBorder="1" applyFont="1">
      <alignment horizontal="center" shrinkToFit="0" vertical="center" wrapText="1"/>
    </xf>
    <xf borderId="7" fillId="13" fontId="41" numFmtId="0" xfId="0" applyAlignment="1" applyBorder="1" applyFill="1" applyFont="1">
      <alignment horizontal="center" shrinkToFit="0" vertical="center" wrapText="1"/>
    </xf>
    <xf borderId="1" fillId="2" fontId="39" numFmtId="0" xfId="0" applyAlignment="1" applyBorder="1" applyFont="1">
      <alignment horizontal="center" shrinkToFit="0" vertical="center" wrapText="1"/>
    </xf>
    <xf borderId="1" fillId="9" fontId="41" numFmtId="0" xfId="0" applyAlignment="1" applyBorder="1" applyFont="1">
      <alignment horizontal="center" shrinkToFit="0" vertical="center" wrapText="1"/>
    </xf>
    <xf borderId="1" fillId="2" fontId="88" numFmtId="0" xfId="0" applyAlignment="1" applyBorder="1" applyFont="1">
      <alignment horizontal="left" shrinkToFit="0" vertical="center" wrapText="1"/>
    </xf>
    <xf borderId="1" fillId="2" fontId="87" numFmtId="0" xfId="0" applyAlignment="1" applyBorder="1" applyFont="1">
      <alignment horizontal="right" shrinkToFit="0" wrapText="1"/>
    </xf>
    <xf borderId="7" fillId="11" fontId="28" numFmtId="0" xfId="0" applyAlignment="1" applyBorder="1" applyFont="1">
      <alignment horizontal="center" shrinkToFit="0" vertical="center" wrapText="1"/>
    </xf>
    <xf borderId="1" fillId="11" fontId="41" numFmtId="14" xfId="0" applyAlignment="1" applyBorder="1" applyFont="1" applyNumberFormat="1">
      <alignment horizontal="center" shrinkToFit="0" vertical="center" wrapText="1"/>
    </xf>
    <xf borderId="7" fillId="2" fontId="87" numFmtId="0" xfId="0" applyAlignment="1" applyBorder="1" applyFont="1">
      <alignment horizontal="center" shrinkToFit="0" vertical="center" wrapText="1"/>
    </xf>
    <xf borderId="1" fillId="2" fontId="89" numFmtId="0" xfId="0" applyAlignment="1" applyBorder="1" applyFont="1">
      <alignment horizontal="center" shrinkToFit="0" vertical="center" wrapText="1"/>
    </xf>
    <xf borderId="1" fillId="2" fontId="29" numFmtId="0" xfId="0" applyAlignment="1" applyBorder="1" applyFont="1">
      <alignment shrinkToFit="0" vertical="top" wrapText="1"/>
    </xf>
    <xf borderId="5" fillId="2" fontId="29" numFmtId="0" xfId="0" applyAlignment="1" applyBorder="1" applyFont="1">
      <alignment horizontal="center" shrinkToFit="0" vertical="center" wrapText="1"/>
    </xf>
    <xf borderId="5" fillId="2" fontId="29" numFmtId="172" xfId="0" applyAlignment="1" applyBorder="1" applyFont="1" applyNumberFormat="1">
      <alignment horizontal="center" shrinkToFit="0" vertical="center" wrapText="1"/>
    </xf>
    <xf borderId="5" fillId="2" fontId="29" numFmtId="0" xfId="0" applyAlignment="1" applyBorder="1" applyFont="1">
      <alignment shrinkToFit="0" vertical="top" wrapText="1"/>
    </xf>
    <xf borderId="1" fillId="2" fontId="55" numFmtId="0" xfId="0" applyAlignment="1" applyBorder="1" applyFont="1">
      <alignment horizontal="left" shrinkToFit="0" vertical="center" wrapText="1"/>
    </xf>
    <xf borderId="1" fillId="2" fontId="90" numFmtId="0" xfId="0" applyAlignment="1" applyBorder="1" applyFont="1">
      <alignment horizontal="center" shrinkToFit="0" vertical="center" wrapText="1"/>
    </xf>
    <xf borderId="1" fillId="10" fontId="90" numFmtId="0" xfId="0" applyAlignment="1" applyBorder="1" applyFont="1">
      <alignment horizontal="center" shrinkToFit="0" vertical="center" wrapText="1"/>
    </xf>
    <xf borderId="1" fillId="2" fontId="90" numFmtId="0" xfId="0" applyAlignment="1" applyBorder="1" applyFont="1">
      <alignment horizontal="left" shrinkToFit="0" vertical="center" wrapText="1"/>
    </xf>
    <xf borderId="1" fillId="2" fontId="84" numFmtId="0" xfId="0" applyAlignment="1" applyBorder="1" applyFont="1">
      <alignment horizontal="center" shrinkToFit="0" vertical="center" wrapText="1"/>
    </xf>
    <xf borderId="1" fillId="2" fontId="90" numFmtId="0" xfId="0" applyAlignment="1" applyBorder="1" applyFont="1">
      <alignment shrinkToFit="0" vertical="center" wrapText="1"/>
    </xf>
    <xf borderId="1" fillId="2" fontId="91" numFmtId="0" xfId="0" applyAlignment="1" applyBorder="1" applyFont="1">
      <alignment horizontal="center" shrinkToFit="0" vertical="center" wrapText="1"/>
    </xf>
    <xf borderId="1" fillId="3" fontId="91" numFmtId="172" xfId="0" applyAlignment="1" applyBorder="1" applyFont="1" applyNumberFormat="1">
      <alignment horizontal="center" shrinkToFit="0" vertical="center" wrapText="1"/>
    </xf>
    <xf borderId="1" fillId="3" fontId="41" numFmtId="0" xfId="0" applyAlignment="1" applyBorder="1" applyFont="1">
      <alignment horizontal="left" shrinkToFit="0" vertical="center" wrapText="1"/>
    </xf>
    <xf borderId="1" fillId="11" fontId="29" numFmtId="0" xfId="0" applyAlignment="1" applyBorder="1" applyFont="1">
      <alignment horizontal="center" shrinkToFit="0" vertical="center" wrapText="1"/>
    </xf>
    <xf borderId="7" fillId="3" fontId="41" numFmtId="0" xfId="0" applyAlignment="1" applyBorder="1" applyFont="1">
      <alignment horizontal="center" shrinkToFit="0" vertical="center" wrapText="1"/>
    </xf>
    <xf borderId="1" fillId="2" fontId="92" numFmtId="0" xfId="0" applyAlignment="1" applyBorder="1" applyFont="1">
      <alignment shrinkToFit="0" wrapText="1"/>
    </xf>
    <xf borderId="7" fillId="9" fontId="41" numFmtId="0" xfId="0" applyAlignment="1" applyBorder="1" applyFont="1">
      <alignment horizontal="center" shrinkToFit="0" vertical="center" wrapText="1"/>
    </xf>
    <xf borderId="1" fillId="2" fontId="28" numFmtId="167" xfId="0" applyAlignment="1" applyBorder="1" applyFont="1" applyNumberFormat="1">
      <alignment horizontal="center" shrinkToFit="0" wrapText="1"/>
    </xf>
    <xf borderId="1" fillId="2" fontId="93" numFmtId="0" xfId="0" applyAlignment="1" applyBorder="1" applyFont="1">
      <alignment shrinkToFit="0" wrapText="1"/>
    </xf>
    <xf borderId="2" fillId="0" fontId="5" numFmtId="0" xfId="0" applyAlignment="1" applyBorder="1" applyFont="1">
      <alignment horizontal="center" shrinkToFit="0" vertical="center" wrapText="1"/>
    </xf>
    <xf borderId="5" fillId="2" fontId="8" numFmtId="0" xfId="0" applyAlignment="1" applyBorder="1" applyFont="1">
      <alignment horizontal="center" shrinkToFit="0" wrapText="1"/>
    </xf>
    <xf borderId="2" fillId="0" fontId="4" numFmtId="0" xfId="0" applyAlignment="1" applyBorder="1" applyFont="1">
      <alignment horizontal="center" shrinkToFit="0" wrapText="1"/>
    </xf>
    <xf borderId="1" fillId="3" fontId="1" numFmtId="0" xfId="0" applyAlignment="1" applyBorder="1" applyFont="1">
      <alignment horizontal="center" shrinkToFit="0" vertical="center" wrapText="0"/>
    </xf>
    <xf borderId="1" fillId="14" fontId="47" numFmtId="0" xfId="0" applyAlignment="1" applyBorder="1" applyFill="1" applyFont="1">
      <alignment shrinkToFit="0" wrapText="1"/>
    </xf>
    <xf borderId="9" fillId="2" fontId="10" numFmtId="165" xfId="0" applyAlignment="1" applyBorder="1" applyFont="1" applyNumberFormat="1">
      <alignment horizontal="center" shrinkToFit="0" wrapText="1"/>
    </xf>
    <xf borderId="1" fillId="2" fontId="94" numFmtId="0" xfId="0" applyAlignment="1" applyBorder="1" applyFont="1">
      <alignment horizontal="center" shrinkToFit="0" wrapText="1"/>
    </xf>
    <xf borderId="1" fillId="0" fontId="1" numFmtId="0" xfId="0" applyAlignment="1" applyBorder="1" applyFont="1">
      <alignment horizontal="left" shrinkToFit="0" wrapText="1"/>
    </xf>
    <xf borderId="2" fillId="0" fontId="4" numFmtId="172" xfId="0" applyAlignment="1" applyBorder="1" applyFont="1" applyNumberFormat="1">
      <alignment horizontal="center" shrinkToFit="0" wrapText="1"/>
    </xf>
    <xf borderId="0" fillId="0" fontId="4" numFmtId="166" xfId="0" applyAlignment="1" applyFont="1" applyNumberFormat="1">
      <alignment horizontal="center" shrinkToFit="0" wrapText="1"/>
    </xf>
    <xf borderId="10" fillId="2" fontId="10" numFmtId="0" xfId="0" applyAlignment="1" applyBorder="1" applyFont="1">
      <alignment shrinkToFit="0" wrapText="1"/>
    </xf>
    <xf borderId="1" fillId="2" fontId="10" numFmtId="165" xfId="0" applyAlignment="1" applyBorder="1" applyFont="1" applyNumberFormat="1">
      <alignment horizontal="center" shrinkToFit="0" wrapText="1"/>
    </xf>
    <xf borderId="1" fillId="0" fontId="6" numFmtId="0" xfId="0" applyAlignment="1" applyBorder="1" applyFont="1">
      <alignment horizontal="center" shrinkToFit="0" vertical="center" wrapText="1"/>
    </xf>
    <xf borderId="16" fillId="0" fontId="10" numFmtId="0" xfId="0" applyAlignment="1" applyBorder="1" applyFont="1">
      <alignment shrinkToFit="0" wrapText="1"/>
    </xf>
    <xf borderId="1" fillId="0" fontId="10" numFmtId="0" xfId="0" applyAlignment="1" applyBorder="1" applyFont="1">
      <alignment horizontal="center" shrinkToFit="0" vertical="center" wrapText="1"/>
    </xf>
    <xf borderId="1" fillId="2" fontId="10" numFmtId="169" xfId="0" applyAlignment="1" applyBorder="1" applyFont="1" applyNumberFormat="1">
      <alignment horizontal="center" shrinkToFit="0" wrapText="1"/>
    </xf>
    <xf borderId="1" fillId="2" fontId="95" numFmtId="165" xfId="0" applyAlignment="1" applyBorder="1" applyFont="1" applyNumberFormat="1">
      <alignment horizontal="center" shrinkToFit="0" wrapText="1"/>
    </xf>
    <xf borderId="9" fillId="2" fontId="10" numFmtId="0" xfId="0" applyAlignment="1" applyBorder="1" applyFont="1">
      <alignment horizontal="center" shrinkToFit="0" wrapText="1"/>
    </xf>
    <xf borderId="17" fillId="2" fontId="10" numFmtId="0" xfId="0" applyAlignment="1" applyBorder="1" applyFont="1">
      <alignment horizontal="left" shrinkToFit="0" wrapText="1"/>
    </xf>
    <xf borderId="18" fillId="0" fontId="10" numFmtId="0" xfId="0" applyAlignment="1" applyBorder="1" applyFont="1">
      <alignment horizontal="left" shrinkToFit="0" wrapText="1"/>
    </xf>
    <xf borderId="1" fillId="0" fontId="10" numFmtId="14" xfId="0" applyAlignment="1" applyBorder="1" applyFont="1" applyNumberFormat="1">
      <alignment horizontal="center" shrinkToFit="0" wrapText="1"/>
    </xf>
    <xf borderId="1" fillId="0" fontId="10" numFmtId="165" xfId="0" applyAlignment="1" applyBorder="1" applyFont="1" applyNumberFormat="1">
      <alignment horizontal="center" shrinkToFit="0" wrapText="1"/>
    </xf>
    <xf borderId="18" fillId="0" fontId="1" numFmtId="0" xfId="0" applyAlignment="1" applyBorder="1" applyFont="1">
      <alignment shrinkToFit="0" wrapText="1"/>
    </xf>
    <xf borderId="19" fillId="0" fontId="1" numFmtId="165" xfId="0" applyAlignment="1" applyBorder="1" applyFont="1" applyNumberFormat="1">
      <alignment horizontal="center" shrinkToFit="0" wrapText="0"/>
    </xf>
    <xf borderId="1" fillId="0" fontId="1" numFmtId="169" xfId="0" applyAlignment="1" applyBorder="1" applyFont="1" applyNumberFormat="1">
      <alignment horizontal="center" shrinkToFit="0" wrapText="1"/>
    </xf>
    <xf borderId="16" fillId="0" fontId="10" numFmtId="0" xfId="0" applyAlignment="1" applyBorder="1" applyFont="1">
      <alignment horizontal="left" shrinkToFit="0" wrapText="1"/>
    </xf>
    <xf borderId="1" fillId="0" fontId="10" numFmtId="169" xfId="0" applyAlignment="1" applyBorder="1" applyFont="1" applyNumberFormat="1">
      <alignment horizontal="center" shrinkToFit="0" wrapText="1"/>
    </xf>
    <xf borderId="10" fillId="2" fontId="96" numFmtId="0" xfId="0" applyAlignment="1" applyBorder="1" applyFont="1">
      <alignment horizontal="center" shrinkToFit="0" wrapText="1"/>
    </xf>
    <xf borderId="11" fillId="2" fontId="10" numFmtId="0" xfId="0" applyAlignment="1" applyBorder="1" applyFont="1">
      <alignment shrinkToFit="0" wrapText="1"/>
    </xf>
    <xf borderId="5" fillId="2" fontId="10" numFmtId="165" xfId="0" applyAlignment="1" applyBorder="1" applyFont="1" applyNumberFormat="1">
      <alignment horizontal="center" shrinkToFit="0" wrapText="1"/>
    </xf>
    <xf borderId="0" fillId="0" fontId="4" numFmtId="0" xfId="0" applyAlignment="1" applyFont="1">
      <alignment horizontal="center" shrinkToFit="0" wrapText="1"/>
    </xf>
    <xf borderId="1" fillId="2" fontId="6" numFmtId="0" xfId="0" applyAlignment="1" applyBorder="1" applyFont="1">
      <alignment shrinkToFit="0" wrapText="1"/>
    </xf>
    <xf borderId="1" fillId="2" fontId="97" numFmtId="0" xfId="0" applyAlignment="1" applyBorder="1" applyFont="1">
      <alignment horizontal="center" shrinkToFit="0" wrapText="1"/>
    </xf>
    <xf borderId="0" fillId="0" fontId="6" numFmtId="0" xfId="0" applyAlignment="1" applyFont="1">
      <alignment shrinkToFit="0" wrapText="1"/>
    </xf>
    <xf borderId="1" fillId="0" fontId="4" numFmtId="0" xfId="0" applyAlignment="1" applyBorder="1" applyFont="1">
      <alignment horizontal="center" shrinkToFit="0" vertical="center" wrapText="1"/>
    </xf>
    <xf borderId="1" fillId="0" fontId="5" numFmtId="169" xfId="0" applyAlignment="1" applyBorder="1" applyFont="1" applyNumberFormat="1">
      <alignment horizontal="center" shrinkToFit="0" wrapText="0"/>
    </xf>
    <xf borderId="1" fillId="0" fontId="5" numFmtId="169" xfId="0" applyAlignment="1" applyBorder="1" applyFont="1" applyNumberFormat="1">
      <alignment horizontal="center" shrinkToFit="0" wrapText="1"/>
    </xf>
    <xf borderId="0" fillId="0" fontId="1" numFmtId="165" xfId="0" applyAlignment="1" applyFont="1" applyNumberFormat="1">
      <alignment horizontal="center" shrinkToFit="0" wrapText="0"/>
    </xf>
    <xf borderId="1" fillId="2" fontId="98" numFmtId="169" xfId="0" applyAlignment="1" applyBorder="1" applyFont="1" applyNumberFormat="1">
      <alignment horizontal="center" shrinkToFit="0" wrapText="1"/>
    </xf>
    <xf borderId="1" fillId="0" fontId="1" numFmtId="168" xfId="0" applyAlignment="1" applyBorder="1" applyFont="1" applyNumberFormat="1">
      <alignment horizontal="center" shrinkToFit="0" wrapText="0"/>
    </xf>
    <xf borderId="5" fillId="2" fontId="99" numFmtId="0" xfId="0" applyAlignment="1" applyBorder="1" applyFont="1">
      <alignment shrinkToFit="0" wrapText="1"/>
    </xf>
    <xf borderId="5" fillId="2" fontId="10" numFmtId="14" xfId="0" applyAlignment="1" applyBorder="1" applyFont="1" applyNumberFormat="1">
      <alignment horizontal="center" shrinkToFit="0" wrapText="1"/>
    </xf>
    <xf borderId="1" fillId="0" fontId="100" numFmtId="165" xfId="0" applyAlignment="1" applyBorder="1" applyFont="1" applyNumberFormat="1">
      <alignment horizontal="center" shrinkToFit="0" wrapText="0"/>
    </xf>
    <xf borderId="1" fillId="0" fontId="12" numFmtId="0" xfId="0" applyAlignment="1" applyBorder="1" applyFont="1">
      <alignment horizontal="center" shrinkToFit="0" vertical="center" wrapText="1"/>
    </xf>
    <xf borderId="1" fillId="15" fontId="101" numFmtId="0" xfId="0" applyAlignment="1" applyBorder="1" applyFill="1" applyFont="1">
      <alignment shrinkToFit="0" wrapText="1"/>
    </xf>
    <xf borderId="1" fillId="0" fontId="9" numFmtId="0" xfId="0" applyAlignment="1" applyBorder="1" applyFont="1">
      <alignment horizontal="center" shrinkToFit="0" vertical="center" wrapText="1"/>
    </xf>
    <xf borderId="1" fillId="16" fontId="1" numFmtId="0" xfId="0" applyAlignment="1" applyBorder="1" applyFill="1" applyFont="1">
      <alignment shrinkToFit="0" wrapText="1"/>
    </xf>
    <xf borderId="1" fillId="0" fontId="102" numFmtId="0" xfId="0" applyAlignment="1" applyBorder="1" applyFont="1">
      <alignment horizontal="center" shrinkToFit="0" wrapText="1"/>
    </xf>
    <xf borderId="1" fillId="0" fontId="11" numFmtId="0" xfId="0" applyAlignment="1" applyBorder="1" applyFont="1">
      <alignment horizontal="center" shrinkToFit="0" vertical="center" wrapText="1"/>
    </xf>
    <xf borderId="5" fillId="2" fontId="103" numFmtId="0" xfId="0" applyAlignment="1" applyBorder="1" applyFont="1">
      <alignment shrinkToFit="0" wrapText="1"/>
    </xf>
    <xf borderId="1" fillId="2" fontId="11" numFmtId="0" xfId="0" applyAlignment="1" applyBorder="1" applyFont="1">
      <alignment shrinkToFit="0" wrapText="1"/>
    </xf>
    <xf borderId="1" fillId="0" fontId="104" numFmtId="0" xfId="0" applyAlignment="1" applyBorder="1" applyFont="1">
      <alignment horizontal="center" shrinkToFit="0" vertical="center" wrapText="1"/>
    </xf>
    <xf borderId="1" fillId="0" fontId="104" numFmtId="0" xfId="0" applyAlignment="1" applyBorder="1" applyFont="1">
      <alignment shrinkToFit="0" wrapText="1"/>
    </xf>
    <xf borderId="1" fillId="17" fontId="1" numFmtId="0" xfId="0" applyAlignment="1" applyBorder="1" applyFill="1" applyFont="1">
      <alignment shrinkToFit="0" wrapText="1"/>
    </xf>
    <xf borderId="1" fillId="18" fontId="1" numFmtId="0" xfId="0" applyAlignment="1" applyBorder="1" applyFill="1" applyFont="1">
      <alignment shrinkToFit="0" wrapText="1"/>
    </xf>
    <xf borderId="1" fillId="2" fontId="1" numFmtId="14" xfId="0" applyAlignment="1" applyBorder="1" applyFont="1" applyNumberFormat="1">
      <alignment horizontal="center" shrinkToFit="0" wrapText="1"/>
    </xf>
    <xf borderId="0" fillId="0" fontId="4" numFmtId="0" xfId="0" applyAlignment="1" applyFont="1">
      <alignment horizontal="center" shrinkToFit="0" vertical="center" wrapText="1"/>
    </xf>
    <xf borderId="20" fillId="0" fontId="6" numFmtId="0" xfId="0" applyAlignment="1" applyBorder="1" applyFont="1">
      <alignment shrinkToFit="0" wrapText="1"/>
    </xf>
    <xf borderId="21" fillId="0" fontId="6" numFmtId="0" xfId="0" applyAlignment="1" applyBorder="1" applyFont="1">
      <alignment shrinkToFit="0" wrapText="1"/>
    </xf>
    <xf borderId="22" fillId="0" fontId="6" numFmtId="0" xfId="0" applyAlignment="1" applyBorder="1" applyFont="1">
      <alignment shrinkToFit="0" wrapText="1"/>
    </xf>
    <xf borderId="23" fillId="0" fontId="6" numFmtId="0" xfId="0" applyAlignment="1" applyBorder="1" applyFont="1">
      <alignment shrinkToFit="0" wrapText="1"/>
    </xf>
    <xf borderId="24" fillId="0" fontId="6" numFmtId="0" xfId="0" applyAlignment="1" applyBorder="1" applyFont="1">
      <alignment shrinkToFit="0" wrapText="1"/>
    </xf>
    <xf borderId="25" fillId="0" fontId="6" numFmtId="0" xfId="0" applyAlignment="1" applyBorder="1" applyFont="1">
      <alignment shrinkToFit="0" wrapText="1"/>
    </xf>
    <xf borderId="26" fillId="0" fontId="6" numFmtId="0" xfId="0" applyAlignment="1" applyBorder="1" applyFont="1">
      <alignment shrinkToFit="0" wrapText="1"/>
    </xf>
    <xf borderId="27" fillId="0" fontId="6" numFmtId="0" xfId="0" applyAlignment="1" applyBorder="1" applyFont="1">
      <alignment shrinkToFit="0" wrapText="1"/>
    </xf>
    <xf borderId="28" fillId="0" fontId="6" numFmtId="0" xfId="0" applyAlignment="1" applyBorder="1" applyFont="1">
      <alignment shrinkToFit="0" wrapText="1"/>
    </xf>
    <xf borderId="29" fillId="0" fontId="6" numFmtId="0" xfId="0" applyAlignment="1" applyBorder="1" applyFont="1">
      <alignment shrinkToFit="0" wrapText="1"/>
    </xf>
    <xf borderId="1" fillId="0" fontId="58" numFmtId="0" xfId="0" applyAlignment="1" applyBorder="1" applyFont="1">
      <alignment horizontal="center" shrinkToFit="0" vertical="center" wrapText="1"/>
    </xf>
    <xf borderId="1" fillId="3" fontId="56" numFmtId="0" xfId="0" applyAlignment="1" applyBorder="1" applyFont="1">
      <alignment horizontal="center" shrinkToFit="0" vertical="center" wrapText="1"/>
    </xf>
    <xf borderId="1" fillId="2" fontId="30" numFmtId="14" xfId="0" applyAlignment="1" applyBorder="1" applyFont="1" applyNumberFormat="1">
      <alignment horizontal="center" shrinkToFit="0" vertical="center" wrapText="1"/>
    </xf>
    <xf borderId="7" fillId="2" fontId="90" numFmtId="0" xfId="0" applyAlignment="1" applyBorder="1" applyFont="1">
      <alignment horizontal="center" shrinkToFit="0" vertical="center" wrapText="1"/>
    </xf>
    <xf borderId="7" fillId="2" fontId="91" numFmtId="0" xfId="0" applyAlignment="1" applyBorder="1" applyFont="1">
      <alignment horizontal="center" shrinkToFit="0" vertical="center" wrapText="1"/>
    </xf>
    <xf borderId="1" fillId="3" fontId="29" numFmtId="172" xfId="0" applyAlignment="1" applyBorder="1" applyFont="1" applyNumberFormat="1">
      <alignment horizontal="center" shrinkToFit="0" vertical="center" wrapText="1"/>
    </xf>
    <xf borderId="1" fillId="19" fontId="40" numFmtId="14" xfId="0" applyAlignment="1" applyBorder="1" applyFill="1" applyFont="1" applyNumberFormat="1">
      <alignment horizontal="center" shrinkToFit="0" vertical="center" wrapText="1"/>
    </xf>
    <xf borderId="1" fillId="19" fontId="40" numFmtId="0" xfId="0" applyAlignment="1" applyBorder="1" applyFont="1">
      <alignment horizontal="center" shrinkToFit="0" vertical="center" wrapText="1"/>
    </xf>
    <xf borderId="1" fillId="9" fontId="41" numFmtId="14" xfId="0" applyAlignment="1" applyBorder="1" applyFont="1" applyNumberFormat="1">
      <alignment horizontal="center" shrinkToFit="0" vertical="center" wrapText="1"/>
    </xf>
    <xf borderId="1" fillId="3" fontId="41" numFmtId="0" xfId="0" applyAlignment="1" applyBorder="1" applyFont="1">
      <alignment horizontal="center" shrinkToFit="0" vertical="center" wrapText="1"/>
    </xf>
    <xf borderId="1" fillId="2" fontId="87" numFmtId="0" xfId="0" applyAlignment="1" applyBorder="1" applyFont="1">
      <alignment horizontal="center" shrinkToFit="0" vertical="center" wrapText="1"/>
    </xf>
    <xf borderId="1" fillId="2" fontId="84" numFmtId="14" xfId="0" applyAlignment="1" applyBorder="1" applyFont="1" applyNumberFormat="1">
      <alignment horizontal="center" shrinkToFit="0" vertical="center" wrapText="1"/>
    </xf>
    <xf borderId="1" fillId="19" fontId="41" numFmtId="14" xfId="0" applyAlignment="1" applyBorder="1" applyFont="1" applyNumberFormat="1">
      <alignment horizontal="center" shrinkToFit="0" vertical="center" wrapText="1"/>
    </xf>
    <xf borderId="1" fillId="9" fontId="84" numFmtId="14" xfId="0" applyAlignment="1" applyBorder="1" applyFont="1" applyNumberFormat="1">
      <alignment horizontal="center" shrinkToFit="0" vertical="center" wrapText="1"/>
    </xf>
    <xf borderId="1" fillId="13" fontId="40" numFmtId="14" xfId="0" applyAlignment="1" applyBorder="1" applyFont="1" applyNumberFormat="1">
      <alignment horizontal="center" shrinkToFit="0" vertical="center" wrapText="1"/>
    </xf>
    <xf borderId="7" fillId="9" fontId="87" numFmtId="0" xfId="0" applyAlignment="1" applyBorder="1" applyFont="1">
      <alignment horizontal="center" shrinkToFit="0" vertical="center" wrapText="1"/>
    </xf>
    <xf borderId="1" fillId="2" fontId="105" numFmtId="0" xfId="0" applyAlignment="1" applyBorder="1" applyFont="1">
      <alignment horizontal="center" shrinkToFit="0" vertical="center" wrapText="1"/>
    </xf>
    <xf borderId="5" fillId="2" fontId="87" numFmtId="0" xfId="0" applyAlignment="1" applyBorder="1" applyFont="1">
      <alignment horizontal="right" shrinkToFit="0" wrapText="1"/>
    </xf>
    <xf borderId="7" fillId="2" fontId="28" numFmtId="0" xfId="0" applyAlignment="1" applyBorder="1" applyFont="1">
      <alignment horizontal="center" shrinkToFit="0" vertical="center" wrapText="1"/>
    </xf>
    <xf borderId="30" fillId="2" fontId="106" numFmtId="0" xfId="0" applyAlignment="1" applyBorder="1" applyFont="1">
      <alignment horizontal="center" shrinkToFit="0" vertical="center" wrapText="1"/>
    </xf>
    <xf borderId="30" fillId="2" fontId="41" numFmtId="0" xfId="0" applyAlignment="1" applyBorder="1" applyFont="1">
      <alignment horizontal="center" shrinkToFit="0" vertical="center" wrapText="1"/>
    </xf>
    <xf borderId="30" fillId="2" fontId="29" numFmtId="0" xfId="0" applyAlignment="1" applyBorder="1" applyFont="1">
      <alignment horizontal="center" shrinkToFit="0" vertical="center" wrapText="1"/>
    </xf>
    <xf borderId="30" fillId="2" fontId="41" numFmtId="0" xfId="0" applyAlignment="1" applyBorder="1" applyFont="1">
      <alignment horizontal="left" shrinkToFit="0" vertical="center" wrapText="1"/>
    </xf>
    <xf borderId="30" fillId="2" fontId="41" numFmtId="14" xfId="0" applyAlignment="1" applyBorder="1" applyFont="1" applyNumberFormat="1">
      <alignment horizontal="center" shrinkToFit="0" vertical="center" wrapText="1"/>
    </xf>
    <xf borderId="30" fillId="2" fontId="41" numFmtId="0" xfId="0" applyAlignment="1" applyBorder="1" applyFont="1">
      <alignment shrinkToFit="0" vertical="center" wrapText="1"/>
    </xf>
    <xf borderId="30" fillId="2" fontId="29" numFmtId="172" xfId="0" applyAlignment="1" applyBorder="1" applyFont="1" applyNumberFormat="1">
      <alignment horizontal="center" shrinkToFit="0" vertical="center" wrapText="1"/>
    </xf>
    <xf borderId="1" fillId="0" fontId="58" numFmtId="0" xfId="0" applyAlignment="1" applyBorder="1" applyFont="1">
      <alignment shrinkToFit="0" vertical="center" wrapText="1"/>
    </xf>
    <xf borderId="1" fillId="9" fontId="87" numFmtId="0" xfId="0" applyAlignment="1" applyBorder="1" applyFont="1">
      <alignment horizontal="center" shrinkToFit="0" vertical="center" wrapText="1"/>
    </xf>
    <xf borderId="1" fillId="2" fontId="82" numFmtId="0" xfId="0" applyAlignment="1" applyBorder="1" applyFont="1">
      <alignment horizontal="center" shrinkToFit="0" vertical="center" wrapText="1"/>
    </xf>
    <xf borderId="4" fillId="0" fontId="6" numFmtId="0" xfId="0" applyAlignment="1" applyBorder="1" applyFont="1">
      <alignment shrinkToFit="0" wrapText="1"/>
    </xf>
    <xf borderId="1" fillId="2" fontId="87" numFmtId="0" xfId="0" applyAlignment="1" applyBorder="1" applyFont="1">
      <alignment horizontal="right" shrinkToFit="0" vertical="center" wrapText="1"/>
    </xf>
    <xf borderId="0" fillId="0" fontId="6" numFmtId="0" xfId="0" applyAlignment="1" applyFont="1">
      <alignment shrinkToFit="0" vertical="center" wrapText="1"/>
    </xf>
    <xf borderId="5" fillId="2" fontId="4" numFmtId="0" xfId="0" applyAlignment="1" applyBorder="1" applyFont="1">
      <alignment shrinkToFit="0" vertical="center" wrapText="1"/>
    </xf>
    <xf borderId="0" fillId="0" fontId="4" numFmtId="0" xfId="0" applyAlignment="1" applyFont="1">
      <alignment shrinkToFit="0" vertical="center" wrapText="1"/>
    </xf>
    <xf borderId="5" fillId="10" fontId="55" numFmtId="0" xfId="0" applyAlignment="1" applyBorder="1" applyFont="1">
      <alignment horizontal="center" shrinkToFit="0" vertical="center" wrapText="1"/>
    </xf>
    <xf borderId="1" fillId="0" fontId="28" numFmtId="0" xfId="0" applyAlignment="1" applyBorder="1" applyFont="1">
      <alignment shrinkToFit="0" vertical="center" wrapText="1"/>
    </xf>
    <xf borderId="1" fillId="0" fontId="40" numFmtId="0" xfId="0" applyAlignment="1" applyBorder="1" applyFont="1">
      <alignment horizontal="center" shrinkToFit="0" vertical="center" wrapText="1"/>
    </xf>
    <xf borderId="1" fillId="0" fontId="40" numFmtId="167" xfId="0" applyAlignment="1" applyBorder="1" applyFont="1" applyNumberFormat="1">
      <alignment horizontal="center" shrinkToFit="0" vertical="center" wrapText="1"/>
    </xf>
    <xf borderId="0" fillId="0" fontId="28" numFmtId="0" xfId="0" applyAlignment="1" applyFont="1">
      <alignment horizontal="center" shrinkToFit="0" vertical="center" wrapText="1"/>
    </xf>
    <xf borderId="0" fillId="0" fontId="28" numFmtId="0" xfId="0" applyAlignment="1" applyFont="1">
      <alignment shrinkToFit="0" vertical="center" wrapText="1"/>
    </xf>
    <xf borderId="1" fillId="2" fontId="41" numFmtId="167" xfId="0" applyAlignment="1" applyBorder="1" applyFont="1" applyNumberFormat="1">
      <alignment horizontal="center" shrinkToFit="0" vertical="center" wrapText="1"/>
    </xf>
    <xf borderId="1" fillId="2" fontId="29" numFmtId="167" xfId="0" applyAlignment="1" applyBorder="1" applyFont="1" applyNumberFormat="1">
      <alignment horizontal="center" shrinkToFit="0" vertical="center" wrapText="1"/>
    </xf>
    <xf borderId="7" fillId="2" fontId="41" numFmtId="167" xfId="0" applyAlignment="1" applyBorder="1" applyFont="1" applyNumberFormat="1">
      <alignment horizontal="center" shrinkToFit="0" vertical="center" wrapText="1"/>
    </xf>
    <xf borderId="1" fillId="2" fontId="45" numFmtId="0" xfId="0" applyAlignment="1" applyBorder="1" applyFont="1">
      <alignment horizontal="center" shrinkToFit="0" vertical="center" wrapText="1"/>
    </xf>
    <xf borderId="1" fillId="2" fontId="84" numFmtId="0" xfId="0" applyAlignment="1" applyBorder="1" applyFont="1">
      <alignment shrinkToFit="0" vertical="center" wrapText="1"/>
    </xf>
    <xf borderId="1" fillId="2" fontId="29" numFmtId="165" xfId="0" applyAlignment="1" applyBorder="1" applyFont="1" applyNumberFormat="1">
      <alignment horizontal="center" shrinkToFit="0" vertical="center" wrapText="1"/>
    </xf>
    <xf borderId="1" fillId="2" fontId="40" numFmtId="0" xfId="0" applyAlignment="1" applyBorder="1" applyFont="1">
      <alignment shrinkToFit="0" vertical="center" wrapText="1"/>
    </xf>
    <xf borderId="1" fillId="2" fontId="83" numFmtId="0" xfId="0" applyAlignment="1" applyBorder="1" applyFont="1">
      <alignment horizontal="center" shrinkToFit="0" vertical="center" wrapText="1"/>
    </xf>
    <xf borderId="5" fillId="2" fontId="6" numFmtId="0" xfId="0" applyAlignment="1" applyBorder="1" applyFont="1">
      <alignment shrinkToFit="0" vertical="center" wrapText="1"/>
    </xf>
    <xf borderId="1" fillId="2" fontId="28" numFmtId="0" xfId="0" applyAlignment="1" applyBorder="1" applyFont="1">
      <alignment horizontal="left" shrinkToFit="0" vertical="center" wrapText="1"/>
    </xf>
    <xf borderId="0" fillId="0" fontId="58" numFmtId="0" xfId="0" applyAlignment="1" applyFont="1">
      <alignment horizontal="center" shrinkToFit="0" vertical="center" wrapText="1"/>
    </xf>
    <xf borderId="1" fillId="2" fontId="107" numFmtId="0" xfId="0" applyAlignment="1" applyBorder="1" applyFont="1">
      <alignment horizontal="center" shrinkToFit="0" vertical="center" wrapText="1"/>
    </xf>
    <xf borderId="1" fillId="7" fontId="41" numFmtId="0" xfId="0" applyAlignment="1" applyBorder="1" applyFont="1">
      <alignment horizontal="center" shrinkToFit="0" vertical="center" wrapText="1"/>
    </xf>
    <xf borderId="1" fillId="10" fontId="107" numFmtId="0" xfId="0" applyAlignment="1" applyBorder="1" applyFont="1">
      <alignment horizontal="center" shrinkToFit="0" vertical="center" wrapText="1"/>
    </xf>
    <xf borderId="1" fillId="0" fontId="108" numFmtId="0" xfId="0" applyAlignment="1" applyBorder="1" applyFont="1">
      <alignment horizontal="center" shrinkToFit="0" vertical="center" wrapText="1"/>
    </xf>
    <xf borderId="1" fillId="2" fontId="83" numFmtId="0" xfId="0" applyAlignment="1" applyBorder="1" applyFont="1">
      <alignment shrinkToFit="0" vertical="center" wrapText="1"/>
    </xf>
    <xf borderId="1" fillId="2" fontId="19" numFmtId="0" xfId="0" applyAlignment="1" applyBorder="1" applyFont="1">
      <alignment horizontal="center" shrinkToFit="0" vertical="center" wrapText="1"/>
    </xf>
    <xf borderId="1" fillId="9" fontId="41" numFmtId="0" xfId="0" applyAlignment="1" applyBorder="1" applyFont="1">
      <alignment horizontal="left" shrinkToFit="0" vertical="center" wrapText="1"/>
    </xf>
    <xf borderId="1" fillId="10" fontId="6" numFmtId="0" xfId="0" applyAlignment="1" applyBorder="1" applyFont="1">
      <alignment shrinkToFit="0" wrapText="1"/>
    </xf>
    <xf borderId="1" fillId="0" fontId="29" numFmtId="14" xfId="0" applyAlignment="1" applyBorder="1" applyFont="1" applyNumberFormat="1">
      <alignment horizontal="center" shrinkToFit="0" vertical="center" wrapText="1"/>
    </xf>
    <xf borderId="1" fillId="2" fontId="6" numFmtId="0" xfId="0" applyAlignment="1" applyBorder="1" applyFont="1">
      <alignment shrinkToFit="0" vertical="center" wrapText="1"/>
    </xf>
    <xf borderId="1" fillId="10" fontId="6" numFmtId="0" xfId="0" applyAlignment="1" applyBorder="1" applyFont="1">
      <alignment shrinkToFit="0" vertical="center" wrapText="1"/>
    </xf>
    <xf borderId="1" fillId="0" fontId="41" numFmtId="0" xfId="0" applyAlignment="1" applyBorder="1" applyFont="1">
      <alignment horizontal="left" shrinkToFit="0" vertical="center" wrapText="1"/>
    </xf>
    <xf borderId="1" fillId="10" fontId="7" numFmtId="0" xfId="0" applyAlignment="1" applyBorder="1" applyFont="1">
      <alignment shrinkToFit="0" wrapText="1"/>
    </xf>
    <xf borderId="1" fillId="10" fontId="4" numFmtId="0" xfId="0" applyAlignment="1" applyBorder="1" applyFont="1">
      <alignment shrinkToFit="0" wrapText="1"/>
    </xf>
    <xf borderId="1" fillId="2" fontId="109" numFmtId="0" xfId="0" applyAlignment="1" applyBorder="1" applyFont="1">
      <alignment horizontal="center" shrinkToFit="0" vertical="center" wrapText="1"/>
    </xf>
    <xf borderId="1" fillId="0" fontId="41" numFmtId="0" xfId="0" applyAlignment="1" applyBorder="1" applyFont="1">
      <alignment shrinkToFit="0" vertical="center" wrapText="1"/>
    </xf>
    <xf borderId="1" fillId="0" fontId="29" numFmtId="0" xfId="0" applyAlignment="1" applyBorder="1" applyFont="1">
      <alignment shrinkToFit="0" vertical="center" wrapText="1"/>
    </xf>
    <xf borderId="5" fillId="2" fontId="30" numFmtId="0" xfId="0" applyAlignment="1" applyBorder="1" applyFont="1">
      <alignment horizontal="center" shrinkToFit="0" vertical="center" wrapText="1"/>
    </xf>
    <xf borderId="5" fillId="2" fontId="41" numFmtId="167" xfId="0" applyAlignment="1" applyBorder="1" applyFont="1" applyNumberFormat="1">
      <alignment horizontal="center" shrinkToFit="0" vertical="center" wrapText="1"/>
    </xf>
    <xf borderId="1" fillId="10" fontId="82" numFmtId="0" xfId="0" applyAlignment="1" applyBorder="1" applyFont="1">
      <alignment horizontal="center" shrinkToFit="0" vertical="center" wrapText="1"/>
    </xf>
    <xf borderId="1" fillId="7" fontId="41" numFmtId="0" xfId="0" applyAlignment="1" applyBorder="1" applyFont="1">
      <alignment horizontal="left" shrinkToFit="0" vertical="center" wrapText="1"/>
    </xf>
    <xf borderId="1" fillId="7" fontId="30" numFmtId="0" xfId="0" applyAlignment="1" applyBorder="1" applyFont="1">
      <alignment horizontal="center" shrinkToFit="0" vertical="center" wrapText="1"/>
    </xf>
    <xf borderId="1" fillId="13" fontId="40" numFmtId="0" xfId="0" applyAlignment="1" applyBorder="1" applyFont="1">
      <alignment horizontal="center" shrinkToFit="0" vertical="center" wrapText="1"/>
    </xf>
    <xf borderId="1" fillId="13" fontId="30" numFmtId="0" xfId="0" applyAlignment="1" applyBorder="1" applyFont="1">
      <alignment horizontal="center" shrinkToFit="0" vertical="center" wrapText="1"/>
    </xf>
    <xf borderId="1" fillId="2" fontId="110" numFmtId="0" xfId="0" applyAlignment="1" applyBorder="1" applyFont="1">
      <alignment horizontal="center" shrinkToFit="0" vertical="center" wrapText="1"/>
    </xf>
    <xf borderId="1" fillId="2" fontId="111" numFmtId="0" xfId="0" applyAlignment="1" applyBorder="1" applyFont="1">
      <alignment shrinkToFit="0" wrapText="1"/>
    </xf>
    <xf borderId="0" fillId="0" fontId="112" numFmtId="0" xfId="0" applyAlignment="1" applyFont="1">
      <alignment shrinkToFit="0" wrapText="1"/>
    </xf>
    <xf borderId="1" fillId="10" fontId="29" numFmtId="0" xfId="0" applyAlignment="1" applyBorder="1" applyFont="1">
      <alignment horizontal="center" shrinkToFit="0" vertical="center" wrapText="1"/>
    </xf>
    <xf borderId="5" fillId="2" fontId="40" numFmtId="0" xfId="0" applyAlignment="1" applyBorder="1" applyFont="1">
      <alignment horizontal="center" shrinkToFit="0" vertical="center" wrapText="1"/>
    </xf>
    <xf borderId="13" fillId="3" fontId="113" numFmtId="0" xfId="0" applyAlignment="1" applyBorder="1" applyFont="1">
      <alignment horizontal="center" shrinkToFit="0" vertical="center" wrapText="1"/>
    </xf>
    <xf borderId="13" fillId="3" fontId="114" numFmtId="0" xfId="0" applyAlignment="1" applyBorder="1" applyFont="1">
      <alignment horizontal="left" shrinkToFit="0" vertical="center" wrapText="1"/>
    </xf>
    <xf borderId="0" fillId="0" fontId="29" numFmtId="0" xfId="0" applyAlignment="1" applyFont="1">
      <alignment horizontal="left" shrinkToFit="0" vertical="center" wrapText="1"/>
    </xf>
    <xf borderId="13" fillId="2" fontId="115" numFmtId="0" xfId="0" applyAlignment="1" applyBorder="1" applyFont="1">
      <alignment horizontal="center" shrinkToFit="0" wrapText="1"/>
    </xf>
    <xf borderId="13" fillId="2" fontId="115" numFmtId="0" xfId="0" applyAlignment="1" applyBorder="1" applyFont="1">
      <alignment horizontal="left" shrinkToFit="0" wrapText="1"/>
    </xf>
    <xf borderId="31" fillId="0" fontId="58" numFmtId="0" xfId="0" applyAlignment="1" applyBorder="1" applyFont="1">
      <alignment horizontal="left" shrinkToFit="0" vertical="top" wrapText="1"/>
    </xf>
    <xf borderId="32" fillId="0" fontId="24" numFmtId="0" xfId="0" applyAlignment="1" applyBorder="1" applyFont="1">
      <alignment shrinkToFit="0" wrapText="1"/>
    </xf>
    <xf borderId="33" fillId="0" fontId="24" numFmtId="0" xfId="0" applyAlignment="1" applyBorder="1" applyFont="1">
      <alignment shrinkToFit="0" wrapText="1"/>
    </xf>
    <xf borderId="31" fillId="0" fontId="10" numFmtId="0" xfId="0" applyAlignment="1" applyBorder="1" applyFont="1">
      <alignment horizontal="left" shrinkToFit="0" vertical="top" wrapText="1"/>
    </xf>
    <xf borderId="34" fillId="0" fontId="24" numFmtId="0" xfId="0" applyAlignment="1" applyBorder="1" applyFont="1">
      <alignment shrinkToFit="0" wrapText="1"/>
    </xf>
    <xf borderId="35" fillId="0" fontId="24" numFmtId="0" xfId="0" applyAlignment="1" applyBorder="1" applyFont="1">
      <alignment shrinkToFit="0" wrapText="1"/>
    </xf>
    <xf borderId="36" fillId="0" fontId="24" numFmtId="0" xfId="0" applyAlignment="1" applyBorder="1" applyFont="1">
      <alignment shrinkToFit="0" wrapText="1"/>
    </xf>
    <xf borderId="19" fillId="0" fontId="24" numFmtId="0" xfId="0" applyAlignment="1" applyBorder="1" applyFont="1">
      <alignment shrinkToFit="0" wrapText="1"/>
    </xf>
    <xf borderId="16" fillId="0" fontId="24" numFmtId="0" xfId="0" applyAlignment="1" applyBorder="1" applyFont="1">
      <alignment shrinkToFit="0" wrapText="1"/>
    </xf>
    <xf borderId="37" fillId="0" fontId="6" numFmtId="0" xfId="0" applyAlignment="1" applyBorder="1" applyFont="1">
      <alignment shrinkToFit="0" wrapText="1"/>
    </xf>
    <xf borderId="38" fillId="0" fontId="6" numFmtId="175" xfId="0" applyAlignment="1" applyBorder="1" applyFont="1" applyNumberFormat="1">
      <alignment shrinkToFit="0" wrapText="1"/>
    </xf>
    <xf borderId="20" fillId="0" fontId="6" numFmtId="14" xfId="0" applyAlignment="1" applyBorder="1" applyFont="1" applyNumberFormat="1">
      <alignment shrinkToFit="0" wrapText="1"/>
    </xf>
    <xf borderId="21" fillId="0" fontId="6" numFmtId="175" xfId="0" applyAlignment="1" applyBorder="1" applyFont="1" applyNumberFormat="1">
      <alignment shrinkToFit="0" wrapText="1"/>
    </xf>
    <xf borderId="24" fillId="0" fontId="6" numFmtId="14" xfId="0" applyAlignment="1" applyBorder="1" applyFont="1" applyNumberFormat="1">
      <alignment shrinkToFit="0" wrapText="1"/>
    </xf>
    <xf borderId="39" fillId="0" fontId="6" numFmtId="0" xfId="0" applyAlignment="1" applyBorder="1" applyFont="1">
      <alignment shrinkToFit="0" wrapText="1"/>
    </xf>
    <xf borderId="40" fillId="0" fontId="6" numFmtId="0" xfId="0" applyAlignment="1" applyBorder="1" applyFont="1">
      <alignment shrinkToFit="0" wrapText="1"/>
    </xf>
    <xf borderId="0" fillId="0" fontId="116" numFmtId="0" xfId="0" applyAlignment="1" applyFont="1">
      <alignment shrinkToFit="0" wrapText="1"/>
    </xf>
    <xf borderId="0" fillId="0" fontId="117" numFmtId="0" xfId="0" applyAlignment="1" applyFont="1">
      <alignment shrinkToFit="0" wrapText="1"/>
    </xf>
    <xf borderId="0" fillId="0" fontId="22" numFmtId="0" xfId="0" applyAlignment="1" applyFont="1">
      <alignment shrinkToFit="0" wrapText="1"/>
    </xf>
    <xf borderId="23" fillId="0" fontId="6" numFmtId="14" xfId="0" applyAlignment="1" applyBorder="1" applyFont="1" applyNumberFormat="1">
      <alignment shrinkToFit="0" wrapText="1"/>
    </xf>
    <xf borderId="0" fillId="0" fontId="4" numFmtId="164" xfId="0" applyAlignment="1" applyFont="1" applyNumberFormat="1">
      <alignment horizontal="center" shrinkToFit="0" wrapText="1"/>
    </xf>
    <xf borderId="1" fillId="2" fontId="118" numFmtId="0" xfId="0" applyAlignment="1" applyBorder="1" applyFont="1">
      <alignment horizontal="center" shrinkToFit="0" wrapText="1"/>
    </xf>
    <xf borderId="5" fillId="2" fontId="119" numFmtId="0" xfId="0" applyAlignment="1" applyBorder="1" applyFont="1">
      <alignment horizontal="center" shrinkToFit="0" wrapText="1"/>
    </xf>
    <xf borderId="1" fillId="0" fontId="32" numFmtId="0" xfId="0" applyAlignment="1" applyBorder="1" applyFont="1">
      <alignment horizontal="center" shrinkToFit="0" vertical="top" wrapText="1"/>
    </xf>
    <xf borderId="5" fillId="2" fontId="45" numFmtId="0" xfId="0" applyAlignment="1" applyBorder="1" applyFont="1">
      <alignment horizontal="center" shrinkToFit="0" wrapText="1"/>
    </xf>
    <xf borderId="5" fillId="2" fontId="120" numFmtId="0" xfId="0" applyAlignment="1" applyBorder="1" applyFont="1">
      <alignment horizontal="center" shrinkToFit="0" wrapText="1"/>
    </xf>
    <xf borderId="5" fillId="2" fontId="66" numFmtId="0" xfId="0" applyAlignment="1" applyBorder="1" applyFont="1">
      <alignment horizontal="center" shrinkToFit="0" wrapText="1"/>
    </xf>
    <xf quotePrefix="1" borderId="1" fillId="0" fontId="29" numFmtId="0" xfId="0" applyAlignment="1" applyBorder="1" applyFont="1">
      <alignment horizontal="center" shrinkToFit="0" wrapText="1"/>
    </xf>
    <xf borderId="5" fillId="2" fontId="39" numFmtId="0" xfId="0" applyAlignment="1" applyBorder="1" applyFont="1">
      <alignment horizontal="center" shrinkToFit="0" vertical="top" wrapText="1"/>
    </xf>
    <xf borderId="5" fillId="2" fontId="121" numFmtId="0" xfId="0" applyAlignment="1" applyBorder="1" applyFont="1">
      <alignment shrinkToFit="0" wrapText="1"/>
    </xf>
    <xf borderId="1" fillId="0" fontId="41" numFmtId="0" xfId="0" applyAlignment="1" applyBorder="1" applyFont="1">
      <alignment horizontal="center" shrinkToFit="0" wrapText="0"/>
    </xf>
    <xf borderId="1" fillId="0" fontId="40" numFmtId="0" xfId="0" applyAlignment="1" applyBorder="1" applyFont="1">
      <alignment horizontal="center" shrinkToFit="0" wrapText="0"/>
    </xf>
    <xf borderId="1" fillId="0" fontId="41" numFmtId="167" xfId="0" applyAlignment="1" applyBorder="1" applyFont="1" applyNumberFormat="1">
      <alignment horizontal="center" shrinkToFit="0" wrapText="0"/>
    </xf>
    <xf borderId="1" fillId="0" fontId="41" numFmtId="164" xfId="0" applyAlignment="1" applyBorder="1" applyFont="1" applyNumberFormat="1">
      <alignment horizontal="center" shrinkToFit="0" wrapText="0"/>
    </xf>
    <xf borderId="1" fillId="0" fontId="87" numFmtId="0" xfId="0" applyAlignment="1" applyBorder="1" applyFont="1">
      <alignment shrinkToFit="0" wrapText="1"/>
    </xf>
    <xf borderId="1" fillId="0" fontId="29" numFmtId="166" xfId="0" applyAlignment="1" applyBorder="1" applyFont="1" applyNumberFormat="1">
      <alignment horizontal="center" shrinkToFit="0" wrapText="1"/>
    </xf>
    <xf borderId="1" fillId="2" fontId="122" numFmtId="0" xfId="0" applyAlignment="1" applyBorder="1" applyFont="1">
      <alignment horizontal="center" shrinkToFit="0" wrapText="1"/>
    </xf>
    <xf borderId="1" fillId="0" fontId="47" numFmtId="0" xfId="0" applyAlignment="1" applyBorder="1" applyFont="1">
      <alignment shrinkToFit="0" wrapText="1"/>
    </xf>
    <xf borderId="5" fillId="2" fontId="66" numFmtId="165" xfId="0" applyAlignment="1" applyBorder="1" applyFont="1" applyNumberFormat="1">
      <alignment shrinkToFit="0" wrapText="1"/>
    </xf>
    <xf borderId="1" fillId="0" fontId="41" numFmtId="14" xfId="0" applyAlignment="1" applyBorder="1" applyFont="1" applyNumberFormat="1">
      <alignment horizontal="center" shrinkToFit="0" wrapText="1"/>
    </xf>
    <xf borderId="1" fillId="2" fontId="41" numFmtId="0" xfId="0" applyAlignment="1" applyBorder="1" applyFont="1">
      <alignment horizontal="center" shrinkToFit="0" wrapText="0"/>
    </xf>
    <xf borderId="1" fillId="2" fontId="123" numFmtId="0" xfId="0" applyAlignment="1" applyBorder="1" applyFont="1">
      <alignment horizontal="center" shrinkToFit="0" wrapText="1"/>
    </xf>
    <xf borderId="1" fillId="0" fontId="124" numFmtId="0" xfId="0" applyAlignment="1" applyBorder="1" applyFont="1">
      <alignment horizontal="center" shrinkToFit="0" wrapText="1"/>
    </xf>
    <xf borderId="1" fillId="0" fontId="29" numFmtId="0" xfId="0" applyAlignment="1" applyBorder="1" applyFont="1">
      <alignment horizontal="center" shrinkToFit="0" wrapText="0"/>
    </xf>
    <xf borderId="1" fillId="0" fontId="45" numFmtId="0" xfId="0" applyAlignment="1" applyBorder="1" applyFont="1">
      <alignment horizontal="center" shrinkToFit="0" wrapText="1"/>
    </xf>
    <xf borderId="5" fillId="2" fontId="47" numFmtId="0" xfId="0" applyAlignment="1" applyBorder="1" applyFont="1">
      <alignment horizontal="center" shrinkToFit="0" wrapText="1"/>
    </xf>
    <xf borderId="0" fillId="0" fontId="125" numFmtId="0" xfId="0" applyAlignment="1" applyFont="1">
      <alignment horizontal="center" shrinkToFit="0" wrapText="1"/>
    </xf>
    <xf borderId="1" fillId="2" fontId="26" numFmtId="0" xfId="0" applyAlignment="1" applyBorder="1" applyFont="1">
      <alignment shrinkToFit="0" wrapText="1"/>
    </xf>
    <xf borderId="1" fillId="2" fontId="8" numFmtId="0" xfId="0" applyAlignment="1" applyBorder="1" applyFont="1">
      <alignment horizontal="center" shrinkToFit="0" wrapText="1"/>
    </xf>
    <xf borderId="1" fillId="3" fontId="1" numFmtId="167" xfId="0" applyAlignment="1" applyBorder="1" applyFont="1" applyNumberFormat="1">
      <alignment horizontal="center" shrinkToFit="0" wrapText="0"/>
    </xf>
    <xf borderId="1" fillId="3" fontId="2" numFmtId="166" xfId="0" applyAlignment="1" applyBorder="1" applyFont="1" applyNumberFormat="1">
      <alignment horizontal="center" shrinkToFit="0" wrapText="0"/>
    </xf>
    <xf borderId="1" fillId="2" fontId="126" numFmtId="0" xfId="0" applyAlignment="1" applyBorder="1" applyFont="1">
      <alignment horizontal="center" shrinkToFit="0" wrapText="1"/>
    </xf>
    <xf borderId="1" fillId="2" fontId="26" numFmtId="165" xfId="0" applyAlignment="1" applyBorder="1" applyFont="1" applyNumberFormat="1">
      <alignment horizontal="center" shrinkToFit="0" wrapText="1"/>
    </xf>
    <xf borderId="1" fillId="0" fontId="4" numFmtId="172" xfId="0" applyAlignment="1" applyBorder="1" applyFont="1" applyNumberFormat="1">
      <alignment horizontal="center" shrinkToFit="0" wrapText="1"/>
    </xf>
    <xf borderId="1" fillId="20" fontId="127" numFmtId="165" xfId="0" applyAlignment="1" applyBorder="1" applyFill="1" applyFont="1" applyNumberFormat="1">
      <alignment horizontal="center" shrinkToFit="0" wrapText="1"/>
    </xf>
    <xf borderId="1" fillId="0" fontId="10" numFmtId="0" xfId="0" applyAlignment="1" applyBorder="1" applyFont="1">
      <alignment horizontal="center" shrinkToFit="0" wrapText="1"/>
    </xf>
    <xf borderId="1" fillId="2" fontId="10" numFmtId="14" xfId="0" applyAlignment="1" applyBorder="1" applyFont="1" applyNumberFormat="1">
      <alignment horizontal="center" shrinkToFit="0" wrapText="1"/>
    </xf>
    <xf borderId="1" fillId="2" fontId="56" numFmtId="167" xfId="0" applyAlignment="1" applyBorder="1" applyFont="1" applyNumberFormat="1">
      <alignment horizontal="center" shrinkToFit="0" wrapText="1"/>
    </xf>
    <xf borderId="1" fillId="0" fontId="128" numFmtId="0" xfId="0" applyAlignment="1" applyBorder="1" applyFont="1">
      <alignment horizontal="center" shrinkToFit="0" wrapText="1"/>
    </xf>
    <xf borderId="1" fillId="2" fontId="8" numFmtId="0" xfId="0" applyAlignment="1" applyBorder="1" applyFont="1">
      <alignment shrinkToFit="0" wrapText="1"/>
    </xf>
    <xf borderId="1" fillId="0" fontId="6" numFmtId="165" xfId="0" applyAlignment="1" applyBorder="1" applyFont="1" applyNumberFormat="1">
      <alignment horizontal="center" shrinkToFit="0" wrapText="0"/>
    </xf>
    <xf borderId="1" fillId="2" fontId="56" numFmtId="165" xfId="0" applyAlignment="1" applyBorder="1" applyFont="1" applyNumberFormat="1">
      <alignment horizontal="center" shrinkToFit="0" wrapText="1"/>
    </xf>
    <xf borderId="1" fillId="7" fontId="10" numFmtId="0" xfId="0" applyAlignment="1" applyBorder="1" applyFont="1">
      <alignment horizontal="center" shrinkToFit="0" wrapText="1"/>
    </xf>
    <xf borderId="5" fillId="7" fontId="10" numFmtId="0" xfId="0" applyAlignment="1" applyBorder="1" applyFont="1">
      <alignment horizontal="center" shrinkToFit="0" wrapText="1"/>
    </xf>
    <xf borderId="1" fillId="20" fontId="26" numFmtId="165" xfId="0" applyAlignment="1" applyBorder="1" applyFont="1" applyNumberFormat="1">
      <alignment horizontal="center" shrinkToFit="0" wrapText="1"/>
    </xf>
    <xf borderId="1" fillId="20" fontId="56" numFmtId="0" xfId="0" applyAlignment="1" applyBorder="1" applyFont="1">
      <alignment horizontal="center" shrinkToFit="0" wrapText="1"/>
    </xf>
    <xf borderId="1" fillId="2" fontId="129" numFmtId="0" xfId="0" applyAlignment="1" applyBorder="1" applyFont="1">
      <alignment horizontal="center" shrinkToFit="0" wrapText="1"/>
    </xf>
    <xf borderId="5" fillId="2" fontId="103" numFmtId="0" xfId="0" applyAlignment="1" applyBorder="1" applyFont="1">
      <alignment horizontal="center" shrinkToFit="0" wrapText="1"/>
    </xf>
    <xf borderId="1" fillId="2" fontId="26" numFmtId="169" xfId="0" applyAlignment="1" applyBorder="1" applyFont="1" applyNumberFormat="1">
      <alignment horizontal="center" shrinkToFit="0" wrapText="1"/>
    </xf>
    <xf borderId="1" fillId="2" fontId="56" numFmtId="0" xfId="0" applyAlignment="1" applyBorder="1" applyFont="1">
      <alignment horizontal="center" shrinkToFit="0" wrapText="1"/>
    </xf>
    <xf borderId="1" fillId="2" fontId="56" numFmtId="169" xfId="0" applyAlignment="1" applyBorder="1" applyFont="1" applyNumberFormat="1">
      <alignment horizontal="center" shrinkToFit="0" wrapText="1"/>
    </xf>
    <xf borderId="1" fillId="20" fontId="6" numFmtId="0" xfId="0" applyAlignment="1" applyBorder="1" applyFont="1">
      <alignment horizontal="center" shrinkToFit="0" wrapText="1"/>
    </xf>
    <xf borderId="5" fillId="2" fontId="6" numFmtId="0" xfId="0" applyAlignment="1" applyBorder="1" applyFont="1">
      <alignment horizontal="center" shrinkToFit="0" wrapText="1"/>
    </xf>
    <xf borderId="1" fillId="7" fontId="56" numFmtId="0" xfId="0" applyAlignment="1" applyBorder="1" applyFont="1">
      <alignment horizontal="center" shrinkToFit="0" wrapText="1"/>
    </xf>
    <xf borderId="1" fillId="2" fontId="6" numFmtId="165" xfId="0" applyAlignment="1" applyBorder="1" applyFont="1" applyNumberFormat="1">
      <alignment horizontal="center" shrinkToFit="0" wrapText="1"/>
    </xf>
    <xf borderId="1" fillId="20" fontId="26" numFmtId="0" xfId="0" applyAlignment="1" applyBorder="1" applyFont="1">
      <alignment horizontal="center" shrinkToFit="0" wrapText="1"/>
    </xf>
    <xf borderId="1" fillId="20" fontId="10" numFmtId="0" xfId="0" applyAlignment="1" applyBorder="1" applyFont="1">
      <alignment shrinkToFit="0" wrapText="1"/>
    </xf>
    <xf borderId="1" fillId="2" fontId="129" numFmtId="167" xfId="0" applyAlignment="1" applyBorder="1" applyFont="1" applyNumberFormat="1">
      <alignment horizontal="center" shrinkToFit="0" wrapText="1"/>
    </xf>
    <xf borderId="1" fillId="10" fontId="10" numFmtId="0" xfId="0" applyAlignment="1" applyBorder="1" applyFont="1">
      <alignment shrinkToFit="0" wrapText="1"/>
    </xf>
    <xf borderId="1" fillId="2" fontId="130" numFmtId="0" xfId="0" applyAlignment="1" applyBorder="1" applyFont="1">
      <alignment horizontal="center" shrinkToFit="0" wrapText="1"/>
    </xf>
    <xf borderId="1" fillId="2" fontId="131" numFmtId="0" xfId="0" applyAlignment="1" applyBorder="1" applyFont="1">
      <alignment horizontal="center" shrinkToFit="0" wrapText="1"/>
    </xf>
    <xf borderId="1" fillId="14" fontId="56" numFmtId="165" xfId="0" applyAlignment="1" applyBorder="1" applyFont="1" applyNumberFormat="1">
      <alignment horizontal="center" shrinkToFit="0" wrapText="1"/>
    </xf>
    <xf borderId="1" fillId="2" fontId="6" numFmtId="165" xfId="0" applyAlignment="1" applyBorder="1" applyFont="1" applyNumberFormat="1">
      <alignment horizontal="center" shrinkToFit="0" wrapText="0"/>
    </xf>
    <xf borderId="1" fillId="20" fontId="10" numFmtId="165" xfId="0" applyAlignment="1" applyBorder="1" applyFont="1" applyNumberFormat="1">
      <alignment horizontal="center" shrinkToFit="0" wrapText="1"/>
    </xf>
    <xf borderId="1" fillId="2" fontId="8" numFmtId="165" xfId="0" applyAlignment="1" applyBorder="1" applyFont="1" applyNumberFormat="1">
      <alignment horizontal="center" shrinkToFit="0" wrapText="1"/>
    </xf>
    <xf borderId="5" fillId="2" fontId="6" numFmtId="165" xfId="0" applyAlignment="1" applyBorder="1" applyFont="1" applyNumberFormat="1">
      <alignment horizontal="center" shrinkToFit="0" wrapText="0"/>
    </xf>
    <xf borderId="1" fillId="20" fontId="55" numFmtId="167" xfId="0" applyAlignment="1" applyBorder="1" applyFont="1" applyNumberFormat="1">
      <alignment horizontal="center" shrinkToFit="0" wrapText="1"/>
    </xf>
    <xf borderId="1" fillId="20" fontId="56" numFmtId="167" xfId="0" applyAlignment="1" applyBorder="1" applyFont="1" applyNumberFormat="1">
      <alignment horizontal="center" shrinkToFit="0" wrapText="1"/>
    </xf>
    <xf borderId="9" fillId="2" fontId="10" numFmtId="0" xfId="0" applyAlignment="1" applyBorder="1" applyFont="1">
      <alignment shrinkToFit="0" wrapText="1"/>
    </xf>
    <xf borderId="1" fillId="20" fontId="6" numFmtId="165" xfId="0" applyAlignment="1" applyBorder="1" applyFont="1" applyNumberFormat="1">
      <alignment horizontal="center" shrinkToFit="0" wrapText="0"/>
    </xf>
    <xf borderId="1" fillId="2" fontId="10" numFmtId="167" xfId="0" applyAlignment="1" applyBorder="1" applyFont="1" applyNumberFormat="1">
      <alignment horizontal="center" shrinkToFit="0" wrapText="1"/>
    </xf>
    <xf borderId="1" fillId="20" fontId="56" numFmtId="0" xfId="0" applyAlignment="1" applyBorder="1" applyFont="1">
      <alignment shrinkToFit="0" wrapText="1"/>
    </xf>
    <xf borderId="1" fillId="20" fontId="10" numFmtId="167" xfId="0" applyAlignment="1" applyBorder="1" applyFont="1" applyNumberFormat="1">
      <alignment horizontal="center" shrinkToFit="0" wrapText="1"/>
    </xf>
    <xf borderId="1" fillId="2" fontId="95" numFmtId="167" xfId="0" applyAlignment="1" applyBorder="1" applyFont="1" applyNumberFormat="1">
      <alignment horizontal="center" shrinkToFit="0" wrapText="1"/>
    </xf>
    <xf borderId="1" fillId="0" fontId="132" numFmtId="0" xfId="0" applyAlignment="1" applyBorder="1" applyFont="1">
      <alignment horizontal="center" shrinkToFit="0" wrapText="1"/>
    </xf>
    <xf borderId="1" fillId="0" fontId="6" numFmtId="165" xfId="0" applyAlignment="1" applyBorder="1" applyFont="1" applyNumberFormat="1">
      <alignment horizontal="center" shrinkToFit="0" wrapText="1"/>
    </xf>
    <xf borderId="1" fillId="2" fontId="133" numFmtId="0" xfId="0" applyAlignment="1" applyBorder="1" applyFont="1">
      <alignment shrinkToFit="0" wrapText="1"/>
    </xf>
    <xf borderId="19" fillId="0" fontId="6" numFmtId="0" xfId="0" applyAlignment="1" applyBorder="1" applyFont="1">
      <alignment horizontal="left" shrinkToFit="0" wrapText="1"/>
    </xf>
    <xf borderId="8" fillId="2" fontId="10" numFmtId="0" xfId="0" applyAlignment="1" applyBorder="1" applyFont="1">
      <alignment horizontal="center" shrinkToFit="0" wrapText="1"/>
    </xf>
    <xf borderId="9" fillId="2" fontId="4" numFmtId="0" xfId="0" applyAlignment="1" applyBorder="1" applyFont="1">
      <alignment horizontal="center" shrinkToFit="0" wrapText="1"/>
    </xf>
    <xf borderId="41" fillId="2" fontId="10" numFmtId="0" xfId="0" applyAlignment="1" applyBorder="1" applyFont="1">
      <alignment horizontal="center" shrinkToFit="0" wrapText="1"/>
    </xf>
    <xf borderId="0" fillId="0" fontId="6" numFmtId="0" xfId="0" applyAlignment="1" applyFont="1">
      <alignment horizontal="left" shrinkToFit="0" wrapText="1"/>
    </xf>
    <xf borderId="1" fillId="0" fontId="6" numFmtId="14" xfId="0" applyAlignment="1" applyBorder="1" applyFont="1" applyNumberFormat="1">
      <alignment horizontal="center" shrinkToFit="0" wrapText="0"/>
    </xf>
    <xf borderId="9" fillId="2" fontId="6" numFmtId="0" xfId="0" applyAlignment="1" applyBorder="1" applyFont="1">
      <alignment shrinkToFit="0" wrapText="1"/>
    </xf>
    <xf borderId="5" fillId="2" fontId="6" numFmtId="0" xfId="0" applyAlignment="1" applyBorder="1" applyFont="1">
      <alignment shrinkToFit="0" wrapText="1"/>
    </xf>
    <xf borderId="1" fillId="0" fontId="6" numFmtId="0" xfId="0" applyAlignment="1" applyBorder="1" applyFont="1">
      <alignment horizontal="center" shrinkToFit="0" wrapText="0"/>
    </xf>
    <xf borderId="0" fillId="0" fontId="4" numFmtId="167" xfId="0" applyAlignment="1" applyFont="1" applyNumberFormat="1">
      <alignment shrinkToFit="0" wrapText="1"/>
    </xf>
    <xf borderId="19" fillId="0" fontId="19" numFmtId="0" xfId="0" applyAlignment="1" applyBorder="1" applyFont="1">
      <alignment shrinkToFit="0" wrapText="1"/>
    </xf>
    <xf borderId="1" fillId="0" fontId="10" numFmtId="0" xfId="0" applyAlignment="1" applyBorder="1" applyFont="1">
      <alignment shrinkToFit="0" wrapText="1"/>
    </xf>
    <xf borderId="19" fillId="0" fontId="1" numFmtId="0" xfId="0" applyAlignment="1" applyBorder="1" applyFont="1">
      <alignment horizontal="center" shrinkToFit="0" wrapText="1"/>
    </xf>
    <xf borderId="0" fillId="0" fontId="1" numFmtId="0" xfId="0" applyAlignment="1" applyFont="1">
      <alignment horizontal="center" shrinkToFit="0" wrapText="1"/>
    </xf>
    <xf borderId="1" fillId="2" fontId="134" numFmtId="0" xfId="0" applyAlignment="1" applyBorder="1" applyFont="1">
      <alignment shrinkToFit="0" wrapText="1"/>
    </xf>
    <xf borderId="1" fillId="2" fontId="12" numFmtId="0" xfId="0" applyAlignment="1" applyBorder="1" applyFont="1">
      <alignment shrinkToFit="0" wrapText="1"/>
    </xf>
    <xf borderId="1" fillId="0" fontId="5" numFmtId="14" xfId="0" applyAlignment="1" applyBorder="1" applyFont="1" applyNumberFormat="1">
      <alignment horizontal="center" shrinkToFit="0" wrapText="0"/>
    </xf>
    <xf borderId="1" fillId="0" fontId="5" numFmtId="14" xfId="0" applyAlignment="1" applyBorder="1" applyFont="1" applyNumberFormat="1">
      <alignment horizontal="center" shrinkToFit="0" wrapText="1"/>
    </xf>
    <xf borderId="1" fillId="2" fontId="135" numFmtId="0" xfId="0" applyAlignment="1" applyBorder="1" applyFont="1">
      <alignment horizontal="center" shrinkToFit="0" wrapText="1"/>
    </xf>
    <xf borderId="2" fillId="0" fontId="22" numFmtId="0" xfId="0" applyAlignment="1" applyBorder="1" applyFont="1">
      <alignment horizontal="center" shrinkToFit="0" wrapText="1"/>
    </xf>
    <xf borderId="1" fillId="2" fontId="136" numFmtId="0" xfId="0" applyAlignment="1" applyBorder="1" applyFont="1">
      <alignment horizontal="center" shrinkToFit="0" wrapText="1"/>
    </xf>
    <xf borderId="1" fillId="3" fontId="1" numFmtId="0" xfId="0" applyAlignment="1" applyBorder="1" applyFont="1">
      <alignment horizontal="center" shrinkToFit="0" wrapText="1"/>
    </xf>
    <xf borderId="1" fillId="0" fontId="5" numFmtId="165" xfId="0" applyAlignment="1" applyBorder="1" applyFont="1" applyNumberFormat="1">
      <alignment shrinkToFit="0" wrapText="1"/>
    </xf>
    <xf borderId="1" fillId="0" fontId="5" numFmtId="165" xfId="0" applyAlignment="1" applyBorder="1" applyFont="1" applyNumberFormat="1">
      <alignment shrinkToFit="0" vertical="center" wrapText="1"/>
    </xf>
    <xf borderId="1" fillId="0" fontId="5" numFmtId="0" xfId="0" applyAlignment="1" applyBorder="1" applyFont="1">
      <alignment horizontal="left" shrinkToFit="0" vertical="center" wrapText="1"/>
    </xf>
    <xf borderId="1" fillId="0" fontId="5" numFmtId="165" xfId="0" applyAlignment="1" applyBorder="1" applyFont="1" applyNumberFormat="1">
      <alignment horizontal="right" shrinkToFit="0" vertical="center" wrapText="1"/>
    </xf>
    <xf borderId="1" fillId="0" fontId="1" numFmtId="0" xfId="0" applyAlignment="1" applyBorder="1" applyFont="1">
      <alignment horizontal="left" shrinkToFit="0" vertical="center" wrapText="0"/>
    </xf>
    <xf borderId="1" fillId="0" fontId="5" numFmtId="164" xfId="0" applyAlignment="1" applyBorder="1" applyFont="1" applyNumberFormat="1">
      <alignment shrinkToFit="0" vertical="center" wrapText="1"/>
    </xf>
    <xf borderId="1" fillId="0" fontId="5" numFmtId="164" xfId="0" applyAlignment="1" applyBorder="1" applyFont="1" applyNumberFormat="1">
      <alignment shrinkToFit="0" wrapText="1"/>
    </xf>
    <xf borderId="1" fillId="0" fontId="5" numFmtId="164" xfId="0" applyAlignment="1" applyBorder="1" applyFont="1" applyNumberFormat="1">
      <alignment horizontal="right" shrinkToFit="0" vertical="center" wrapText="1"/>
    </xf>
    <xf borderId="0" fillId="0" fontId="1" numFmtId="0" xfId="0" applyAlignment="1" applyFont="1">
      <alignment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0" xfId="0" applyAlignment="1" applyFont="1">
      <alignment horizontal="center" shrinkToFit="0" wrapText="1"/>
    </xf>
    <xf borderId="0" fillId="0" fontId="1" numFmtId="164" xfId="0" applyAlignment="1" applyFont="1" applyNumberFormat="1">
      <alignment shrinkToFit="0" wrapText="0"/>
    </xf>
    <xf borderId="0" fillId="0" fontId="1" numFmtId="164" xfId="0" applyAlignment="1" applyFont="1" applyNumberFormat="1">
      <alignment horizontal="center" shrinkToFit="0" wrapText="0"/>
    </xf>
    <xf borderId="19" fillId="0" fontId="1" numFmtId="0" xfId="0" applyAlignment="1" applyBorder="1" applyFont="1">
      <alignment shrinkToFit="0" wrapText="1"/>
    </xf>
    <xf borderId="19" fillId="0" fontId="1" numFmtId="0" xfId="0" applyAlignment="1" applyBorder="1" applyFont="1">
      <alignment horizontal="center" shrinkToFit="0" wrapText="0"/>
    </xf>
    <xf borderId="19" fillId="0" fontId="2" numFmtId="0" xfId="0" applyAlignment="1" applyBorder="1" applyFont="1">
      <alignment shrinkToFit="0" wrapText="1"/>
    </xf>
    <xf borderId="19" fillId="0" fontId="1" numFmtId="164" xfId="0" applyAlignment="1" applyBorder="1" applyFont="1" applyNumberFormat="1">
      <alignment horizontal="center" shrinkToFit="0" wrapText="1"/>
    </xf>
    <xf borderId="19" fillId="0" fontId="1" numFmtId="0" xfId="0" applyAlignment="1" applyBorder="1" applyFont="1">
      <alignment shrinkToFit="0" wrapText="0"/>
    </xf>
    <xf borderId="30" fillId="3" fontId="1" numFmtId="0" xfId="0" applyAlignment="1" applyBorder="1" applyFont="1">
      <alignment horizontal="center" shrinkToFit="0" wrapText="0"/>
    </xf>
    <xf borderId="30" fillId="3" fontId="1" numFmtId="0" xfId="0" applyAlignment="1" applyBorder="1" applyFont="1">
      <alignment horizontal="center" shrinkToFit="0" wrapText="1"/>
    </xf>
    <xf borderId="30" fillId="3" fontId="1" numFmtId="164" xfId="0" applyAlignment="1" applyBorder="1" applyFont="1" applyNumberFormat="1">
      <alignment horizontal="center" shrinkToFit="0" wrapText="0"/>
    </xf>
    <xf borderId="42" fillId="0" fontId="1" numFmtId="0" xfId="0" applyAlignment="1" applyBorder="1" applyFont="1">
      <alignment horizontal="center" shrinkToFit="0" vertical="center" wrapText="1"/>
    </xf>
    <xf borderId="42" fillId="0" fontId="5" numFmtId="0" xfId="0" applyAlignment="1" applyBorder="1" applyFont="1">
      <alignment horizontal="center" shrinkToFit="0" vertical="center" wrapText="1"/>
    </xf>
    <xf borderId="42" fillId="0" fontId="5" numFmtId="0" xfId="0" applyAlignment="1" applyBorder="1" applyFont="1">
      <alignment shrinkToFit="0" vertical="center" wrapText="1"/>
    </xf>
    <xf borderId="42" fillId="0" fontId="5" numFmtId="165" xfId="0" applyAlignment="1" applyBorder="1" applyFont="1" applyNumberFormat="1">
      <alignment shrinkToFit="0" vertical="center" wrapText="1"/>
    </xf>
    <xf borderId="42" fillId="0" fontId="1" numFmtId="165" xfId="0" applyAlignment="1" applyBorder="1" applyFont="1" applyNumberFormat="1">
      <alignment horizontal="center" shrinkToFit="0" vertical="center" wrapText="0"/>
    </xf>
    <xf borderId="42" fillId="0" fontId="1" numFmtId="165" xfId="0" applyAlignment="1" applyBorder="1" applyFont="1" applyNumberFormat="1">
      <alignment horizontal="center" shrinkToFit="0" vertical="center" wrapText="1"/>
    </xf>
    <xf borderId="42" fillId="0" fontId="1" numFmtId="0" xfId="0" applyAlignment="1" applyBorder="1" applyFont="1">
      <alignment shrinkToFit="0" vertical="center" wrapText="1"/>
    </xf>
    <xf borderId="42" fillId="0" fontId="1" numFmtId="0" xfId="0" applyAlignment="1" applyBorder="1" applyFont="1">
      <alignment horizontal="center" shrinkToFit="0" wrapText="1"/>
    </xf>
    <xf borderId="42" fillId="0" fontId="5" numFmtId="0" xfId="0" applyAlignment="1" applyBorder="1" applyFont="1">
      <alignment horizontal="center" shrinkToFit="0" wrapText="1"/>
    </xf>
    <xf borderId="42" fillId="0" fontId="5" numFmtId="0" xfId="0" applyAlignment="1" applyBorder="1" applyFont="1">
      <alignment shrinkToFit="0" wrapText="1"/>
    </xf>
    <xf borderId="42" fillId="0" fontId="5" numFmtId="165" xfId="0" applyAlignment="1" applyBorder="1" applyFont="1" applyNumberFormat="1">
      <alignment shrinkToFit="0" wrapText="1"/>
    </xf>
    <xf borderId="42" fillId="0" fontId="1" numFmtId="165" xfId="0" applyAlignment="1" applyBorder="1" applyFont="1" applyNumberFormat="1">
      <alignment horizontal="center" shrinkToFit="0" wrapText="0"/>
    </xf>
    <xf borderId="42" fillId="0" fontId="1" numFmtId="165" xfId="0" applyAlignment="1" applyBorder="1" applyFont="1" applyNumberFormat="1">
      <alignment horizontal="center" shrinkToFit="0" wrapText="1"/>
    </xf>
    <xf borderId="42" fillId="0" fontId="1" numFmtId="0" xfId="0" applyAlignment="1" applyBorder="1" applyFont="1">
      <alignment shrinkToFit="0" wrapText="1"/>
    </xf>
    <xf borderId="42" fillId="0" fontId="1" numFmtId="164" xfId="0" applyAlignment="1" applyBorder="1" applyFont="1" applyNumberFormat="1">
      <alignment horizontal="center" shrinkToFit="0" vertical="center" wrapText="1"/>
    </xf>
    <xf borderId="18" fillId="0" fontId="1"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8" fillId="0" fontId="5" numFmtId="0" xfId="0" applyAlignment="1" applyBorder="1" applyFont="1">
      <alignment shrinkToFit="0" vertical="center" wrapText="1"/>
    </xf>
    <xf borderId="18" fillId="0" fontId="5" numFmtId="165" xfId="0" applyAlignment="1" applyBorder="1" applyFont="1" applyNumberFormat="1">
      <alignment shrinkToFit="0" vertical="center" wrapText="1"/>
    </xf>
    <xf borderId="18" fillId="0" fontId="1" numFmtId="165" xfId="0" applyAlignment="1" applyBorder="1" applyFont="1" applyNumberFormat="1">
      <alignment horizontal="center" shrinkToFit="0" vertical="center" wrapText="0"/>
    </xf>
    <xf borderId="18" fillId="0" fontId="1" numFmtId="165" xfId="0" applyAlignment="1" applyBorder="1" applyFont="1" applyNumberFormat="1">
      <alignment horizontal="center" shrinkToFit="0" vertical="center" wrapText="1"/>
    </xf>
    <xf borderId="18" fillId="0" fontId="1" numFmtId="0" xfId="0" applyAlignment="1" applyBorder="1" applyFont="1">
      <alignment shrinkToFit="0" vertical="center" wrapText="1"/>
    </xf>
    <xf borderId="19" fillId="0" fontId="2" numFmtId="0" xfId="0" applyAlignment="1" applyBorder="1" applyFont="1">
      <alignment horizontal="center" shrinkToFit="0" wrapText="1"/>
    </xf>
    <xf borderId="1" fillId="0" fontId="4" numFmtId="0" xfId="0" applyAlignment="1" applyBorder="1" applyFont="1">
      <alignment shrinkToFit="0" vertical="center" wrapText="1"/>
    </xf>
    <xf borderId="42" fillId="0" fontId="1" numFmtId="164" xfId="0" applyAlignment="1" applyBorder="1" applyFont="1" applyNumberFormat="1">
      <alignment horizontal="center" shrinkToFit="0" wrapText="1"/>
    </xf>
    <xf borderId="18" fillId="0" fontId="5" numFmtId="0" xfId="0" applyAlignment="1" applyBorder="1" applyFont="1">
      <alignment shrinkToFit="0" wrapText="1"/>
    </xf>
    <xf borderId="18" fillId="0" fontId="5" numFmtId="0" xfId="0" applyAlignment="1" applyBorder="1" applyFont="1">
      <alignment horizontal="center" shrinkToFit="0" wrapText="1"/>
    </xf>
    <xf borderId="18" fillId="0" fontId="1" numFmtId="0" xfId="0" applyAlignment="1" applyBorder="1" applyFont="1">
      <alignment horizontal="center" shrinkToFit="0" wrapText="1"/>
    </xf>
    <xf borderId="18" fillId="0" fontId="5" numFmtId="165" xfId="0" applyAlignment="1" applyBorder="1" applyFont="1" applyNumberFormat="1">
      <alignment shrinkToFit="0" wrapText="1"/>
    </xf>
    <xf borderId="18" fillId="0" fontId="1" numFmtId="165" xfId="0" applyAlignment="1" applyBorder="1" applyFont="1" applyNumberFormat="1">
      <alignment horizontal="center" shrinkToFit="0" wrapText="0"/>
    </xf>
    <xf borderId="18" fillId="0" fontId="1" numFmtId="164" xfId="0" applyAlignment="1" applyBorder="1" applyFont="1" applyNumberFormat="1">
      <alignment horizontal="center" shrinkToFit="0" wrapText="0"/>
    </xf>
    <xf borderId="1" fillId="0" fontId="137" numFmtId="0" xfId="0" applyAlignment="1" applyBorder="1" applyFont="1">
      <alignment shrinkToFit="0" wrapText="1"/>
    </xf>
    <xf borderId="1" fillId="0" fontId="1" numFmtId="172" xfId="0" applyAlignment="1" applyBorder="1" applyFont="1" applyNumberFormat="1">
      <alignment shrinkToFit="0" wrapText="1"/>
    </xf>
    <xf borderId="1" fillId="0" fontId="1" numFmtId="176" xfId="0" applyAlignment="1" applyBorder="1" applyFont="1" applyNumberFormat="1">
      <alignment shrinkToFit="0" wrapText="1"/>
    </xf>
    <xf borderId="1" fillId="0" fontId="1" numFmtId="177" xfId="0" applyAlignment="1" applyBorder="1" applyFont="1" applyNumberFormat="1">
      <alignment shrinkToFit="0" wrapText="1"/>
    </xf>
    <xf borderId="1" fillId="0" fontId="1" numFmtId="178" xfId="0" applyAlignment="1" applyBorder="1" applyFont="1" applyNumberFormat="1">
      <alignment shrinkToFit="0" wrapText="1"/>
    </xf>
    <xf borderId="1" fillId="0" fontId="137" numFmtId="176" xfId="0" applyAlignment="1" applyBorder="1" applyFont="1" applyNumberFormat="1">
      <alignment shrinkToFit="0" wrapText="1"/>
    </xf>
    <xf borderId="1" fillId="0" fontId="137" numFmtId="172" xfId="0" applyAlignment="1" applyBorder="1" applyFont="1" applyNumberFormat="1">
      <alignment shrinkToFit="0" wrapText="1"/>
    </xf>
    <xf borderId="1" fillId="0" fontId="137" numFmtId="0" xfId="0" applyAlignment="1" applyBorder="1" applyFont="1">
      <alignment shrinkToFit="0" wrapText="0"/>
    </xf>
    <xf borderId="1" fillId="0" fontId="137" numFmtId="172" xfId="0" applyAlignment="1" applyBorder="1" applyFont="1" applyNumberFormat="1">
      <alignment shrinkToFit="0" wrapText="0"/>
    </xf>
    <xf borderId="1" fillId="0" fontId="137" numFmtId="176" xfId="0" applyAlignment="1" applyBorder="1" applyFont="1" applyNumberFormat="1">
      <alignment shrinkToFit="0" wrapText="0"/>
    </xf>
    <xf borderId="34" fillId="0" fontId="1" numFmtId="0" xfId="0" applyAlignment="1" applyBorder="1" applyFont="1">
      <alignment horizontal="center" shrinkToFit="0" wrapText="0"/>
    </xf>
    <xf borderId="34" fillId="0" fontId="5" numFmtId="0" xfId="0" applyAlignment="1" applyBorder="1" applyFont="1">
      <alignment shrinkToFit="0" wrapText="1"/>
    </xf>
    <xf borderId="42" fillId="0" fontId="138" numFmtId="0" xfId="0" applyAlignment="1" applyBorder="1" applyFont="1">
      <alignment shrinkToFit="0" wrapText="1"/>
    </xf>
    <xf borderId="42" fillId="0" fontId="1" numFmtId="164" xfId="0" applyAlignment="1" applyBorder="1" applyFont="1" applyNumberFormat="1">
      <alignment horizontal="center" shrinkToFit="0" wrapText="0"/>
    </xf>
    <xf borderId="18" fillId="0" fontId="1" numFmtId="0" xfId="0" applyAlignment="1" applyBorder="1" applyFont="1">
      <alignment shrinkToFit="0" wrapText="0"/>
    </xf>
    <xf borderId="1" fillId="0" fontId="138" numFmtId="0" xfId="0" applyAlignment="1" applyBorder="1" applyFont="1">
      <alignment shrinkToFit="0" wrapText="1"/>
    </xf>
    <xf borderId="1" fillId="0" fontId="1" numFmtId="165" xfId="0" applyAlignment="1" applyBorder="1" applyFont="1" applyNumberFormat="1">
      <alignment shrinkToFit="0" wrapText="0"/>
    </xf>
    <xf borderId="1" fillId="2" fontId="138" numFmtId="0" xfId="0" applyAlignment="1" applyBorder="1" applyFont="1">
      <alignment shrinkToFit="0" wrapText="1"/>
    </xf>
    <xf borderId="34" fillId="0" fontId="1" numFmtId="0" xfId="0" applyAlignment="1" applyBorder="1" applyFont="1">
      <alignment shrinkToFit="0" wrapText="0"/>
    </xf>
    <xf borderId="32" fillId="0" fontId="5" numFmtId="0" xfId="0" applyAlignment="1" applyBorder="1" applyFont="1">
      <alignment shrinkToFit="0" wrapText="1"/>
    </xf>
    <xf borderId="32" fillId="0" fontId="5" numFmtId="0" xfId="0" applyAlignment="1" applyBorder="1" applyFont="1">
      <alignment horizontal="center" shrinkToFit="0" wrapText="1"/>
    </xf>
    <xf borderId="32" fillId="0" fontId="1" numFmtId="0" xfId="0" applyAlignment="1" applyBorder="1" applyFont="1">
      <alignment horizontal="center" shrinkToFit="0" wrapText="1"/>
    </xf>
    <xf borderId="32" fillId="0" fontId="5" numFmtId="164" xfId="0" applyAlignment="1" applyBorder="1" applyFont="1" applyNumberFormat="1">
      <alignment shrinkToFit="0" wrapText="1"/>
    </xf>
    <xf borderId="32" fillId="0" fontId="1" numFmtId="164" xfId="0" applyAlignment="1" applyBorder="1" applyFont="1" applyNumberFormat="1">
      <alignment horizontal="center" shrinkToFit="0" wrapText="0"/>
    </xf>
    <xf borderId="32" fillId="0" fontId="1" numFmtId="0" xfId="0" applyAlignment="1" applyBorder="1" applyFont="1">
      <alignment shrinkToFit="0" wrapText="0"/>
    </xf>
    <xf borderId="0" fillId="0" fontId="5" numFmtId="164" xfId="0" applyAlignment="1" applyFont="1" applyNumberFormat="1">
      <alignment shrinkToFit="0" wrapText="1"/>
    </xf>
    <xf borderId="1" fillId="0" fontId="1" numFmtId="176" xfId="0" applyAlignment="1" applyBorder="1" applyFont="1" applyNumberFormat="1">
      <alignment shrinkToFit="0" wrapText="0"/>
    </xf>
    <xf borderId="1" fillId="0" fontId="1" numFmtId="177" xfId="0" applyAlignment="1" applyBorder="1" applyFont="1" applyNumberFormat="1">
      <alignment shrinkToFit="0" wrapText="0"/>
    </xf>
    <xf borderId="1" fillId="0" fontId="1" numFmtId="172" xfId="0" applyAlignment="1" applyBorder="1" applyFont="1" applyNumberFormat="1">
      <alignment shrinkToFit="0" wrapText="0"/>
    </xf>
    <xf borderId="1" fillId="0" fontId="138" numFmtId="0" xfId="0" applyAlignment="1" applyBorder="1" applyFont="1">
      <alignment shrinkToFit="0" wrapText="0"/>
    </xf>
    <xf borderId="1" fillId="2" fontId="138" numFmtId="0" xfId="0" applyAlignment="1" applyBorder="1" applyFont="1">
      <alignment shrinkToFit="0" wrapText="0"/>
    </xf>
    <xf borderId="0" fillId="0" fontId="6" numFmtId="0" xfId="0" applyAlignment="1" applyFont="1">
      <alignment shrinkToFit="0" wrapText="0"/>
    </xf>
    <xf borderId="0" fillId="0" fontId="6" numFmtId="0" xfId="0" applyAlignment="1" applyFont="1">
      <alignment horizontal="center" shrinkToFit="0" wrapText="0"/>
    </xf>
    <xf borderId="0" fillId="0" fontId="139" numFmtId="0" xfId="0" applyAlignment="1" applyFont="1">
      <alignment horizontal="center" shrinkToFit="0" wrapText="0"/>
    </xf>
    <xf borderId="19" fillId="0" fontId="6" numFmtId="0" xfId="0" applyAlignment="1" applyBorder="1" applyFont="1">
      <alignment shrinkToFit="0" wrapText="0"/>
    </xf>
    <xf borderId="19" fillId="0" fontId="6" numFmtId="0" xfId="0" applyAlignment="1" applyBorder="1" applyFont="1">
      <alignment horizontal="center" shrinkToFit="0" wrapText="1"/>
    </xf>
    <xf borderId="19" fillId="0" fontId="6" numFmtId="0" xfId="0" applyAlignment="1" applyBorder="1" applyFont="1">
      <alignment horizontal="center" shrinkToFit="0" wrapText="0"/>
    </xf>
    <xf borderId="19" fillId="0" fontId="140" numFmtId="0" xfId="0" applyAlignment="1" applyBorder="1" applyFont="1">
      <alignment shrinkToFit="0" wrapText="1"/>
    </xf>
    <xf borderId="1" fillId="3" fontId="6" numFmtId="0" xfId="0" applyAlignment="1" applyBorder="1" applyFont="1">
      <alignment horizontal="center" shrinkToFit="0" wrapText="0"/>
    </xf>
    <xf borderId="34" fillId="0" fontId="6" numFmtId="0" xfId="0" applyAlignment="1" applyBorder="1" applyFont="1">
      <alignment horizontal="center" shrinkToFit="0" wrapText="0"/>
    </xf>
    <xf borderId="1" fillId="2" fontId="6" numFmtId="0" xfId="0" applyAlignment="1" applyBorder="1" applyFont="1">
      <alignment shrinkToFit="0" wrapText="0"/>
    </xf>
    <xf borderId="1" fillId="2" fontId="6" numFmtId="0" xfId="0" applyAlignment="1" applyBorder="1" applyFont="1">
      <alignment horizontal="center" shrinkToFit="0" wrapText="0"/>
    </xf>
    <xf borderId="1" fillId="2" fontId="6" numFmtId="165" xfId="0" applyAlignment="1" applyBorder="1" applyFont="1" applyNumberFormat="1">
      <alignment shrinkToFit="0" wrapText="0"/>
    </xf>
    <xf borderId="1" fillId="2" fontId="6" numFmtId="164" xfId="0" applyAlignment="1" applyBorder="1" applyFont="1" applyNumberFormat="1">
      <alignment horizontal="center" shrinkToFit="0" wrapText="0"/>
    </xf>
    <xf borderId="43" fillId="2" fontId="6" numFmtId="0" xfId="0" applyAlignment="1" applyBorder="1" applyFont="1">
      <alignment shrinkToFit="0" wrapText="0"/>
    </xf>
    <xf borderId="5" fillId="2" fontId="6" numFmtId="0" xfId="0" applyAlignment="1" applyBorder="1" applyFont="1">
      <alignment shrinkToFit="0" wrapText="0"/>
    </xf>
    <xf borderId="1" fillId="0" fontId="6" numFmtId="0" xfId="0" applyAlignment="1" applyBorder="1" applyFont="1">
      <alignment shrinkToFit="0" wrapText="0"/>
    </xf>
    <xf borderId="1" fillId="0" fontId="6" numFmtId="165" xfId="0" applyAlignment="1" applyBorder="1" applyFont="1" applyNumberFormat="1">
      <alignment shrinkToFit="0" wrapText="0"/>
    </xf>
    <xf borderId="34" fillId="0" fontId="6" numFmtId="0" xfId="0" applyAlignment="1" applyBorder="1" applyFont="1">
      <alignment shrinkToFit="0" wrapText="0"/>
    </xf>
    <xf borderId="1" fillId="0" fontId="6" numFmtId="164" xfId="0" applyAlignment="1" applyBorder="1" applyFont="1" applyNumberFormat="1">
      <alignment horizontal="center" shrinkToFit="0" wrapText="0"/>
    </xf>
    <xf borderId="1" fillId="0" fontId="6" numFmtId="164" xfId="0" applyAlignment="1" applyBorder="1" applyFont="1" applyNumberFormat="1">
      <alignment horizontal="center" shrinkToFit="0" wrapText="1"/>
    </xf>
    <xf borderId="34" fillId="0" fontId="4" numFmtId="0" xfId="0" applyAlignment="1" applyBorder="1" applyFont="1">
      <alignment shrinkToFit="0" wrapText="1"/>
    </xf>
    <xf borderId="32" fillId="0" fontId="6" numFmtId="0" xfId="0" applyAlignment="1" applyBorder="1" applyFont="1">
      <alignment shrinkToFit="0" wrapText="0"/>
    </xf>
    <xf borderId="32" fillId="0" fontId="4" numFmtId="0" xfId="0" applyAlignment="1" applyBorder="1" applyFont="1">
      <alignment horizontal="center" shrinkToFit="0" wrapText="1"/>
    </xf>
    <xf borderId="32" fillId="0" fontId="6" numFmtId="0" xfId="0" applyAlignment="1" applyBorder="1" applyFont="1">
      <alignment horizontal="center" shrinkToFit="0" wrapText="0"/>
    </xf>
    <xf borderId="32" fillId="0" fontId="4" numFmtId="0" xfId="0" applyAlignment="1" applyBorder="1" applyFont="1">
      <alignment shrinkToFit="0" wrapText="1"/>
    </xf>
    <xf borderId="1" fillId="0" fontId="6" numFmtId="164" xfId="0" applyAlignment="1" applyBorder="1" applyFont="1" applyNumberFormat="1">
      <alignment shrinkToFit="0" wrapText="0"/>
    </xf>
  </cellXfs>
  <cellStyles count="1">
    <cellStyle xfId="0" name="Normal" builtinId="0"/>
  </cellStyles>
  <dxfs count="2">
    <dxf>
      <font/>
      <fill>
        <patternFill patternType="solid">
          <fgColor rgb="FFB7E1CD"/>
          <bgColor rgb="FFB7E1CD"/>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51" Type="http://schemas.openxmlformats.org/officeDocument/2006/relationships/pivotCacheDefinition" Target="pivotCache/pivotCacheDefinition2.xml"/><Relationship Id="rId50" Type="http://schemas.openxmlformats.org/officeDocument/2006/relationships/pivotCacheDefinition" Target="pivotCache/pivotCacheDefinition1.xml"/><Relationship Id="rId53" Type="http://schemas.openxmlformats.org/officeDocument/2006/relationships/pivotCacheDefinition" Target="pivotCache/pivotCacheDefinition4.xml"/><Relationship Id="rId52" Type="http://schemas.openxmlformats.org/officeDocument/2006/relationships/pivotCacheDefinition" Target="pivotCache/pivotCacheDefinition3.xml"/><Relationship Id="rId5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L131" sheet="#Tiger Balm 2022"/>
  </cacheSource>
  <cacheFields>
    <cacheField name="Invoice #" numFmtId="0">
      <sharedItems containsSemiMixedTypes="0" containsString="0" containsNumber="1" containsInteger="1">
        <n v="8.60000216E9"/>
        <n v="8.600002139E9"/>
        <n v="8.600002141E9"/>
        <n v="8.60000214E9"/>
        <n v="8.500000156E9"/>
        <n v="8.600002135E9"/>
        <n v="8.500000157E9"/>
        <n v="8.600002147E9"/>
        <n v="8.600002111E9"/>
        <n v="8.600002112E9"/>
        <n v="8.600002116E9"/>
        <n v="8.60000211E9"/>
        <n v="8.600002108E9"/>
        <n v="8.6000021E9"/>
        <n v="8.600002101E9"/>
        <n v="8.600002064E9"/>
        <n v="8.600002065E9"/>
        <n v="8.600002011E9"/>
        <n v="8.60000207E9"/>
        <n v="8.600002062E9"/>
        <n v="8.600002063E9"/>
        <n v="8.500000154E9"/>
        <n v="8.600002035E9"/>
        <n v="8.60000201E9"/>
        <n v="8.600002012E9"/>
        <n v="8.600001971E9"/>
        <n v="8.600002024E9"/>
        <n v="8.500000153E9"/>
        <n v="8.600002E9"/>
        <n v="8.600001991E9"/>
        <n v="8.600001936E9"/>
        <n v="8.600001921E9"/>
        <n v="8.600001916E9"/>
        <n v="8.600002003E9"/>
        <n v="8.600001988E9"/>
        <n v="8.600001972E9"/>
        <n v="8.600001901E9"/>
        <n v="8.600001969E9"/>
        <n v="8.600001987E9"/>
        <n v="8.600001933E9"/>
        <n v="8.600001883E9"/>
        <n v="8.500000147E9"/>
        <n v="8.500000151E9"/>
        <n v="8.600001952E9"/>
        <n v="8.600001934E9"/>
        <n v="8.600001917E9"/>
        <n v="8.600001954E9"/>
        <n v="8.600001935E9"/>
        <n v="8.600001924E9"/>
        <n v="8.600001897E9"/>
        <n v="8.600001836E9"/>
        <n v="8.60000184E9"/>
        <n v="8.600001909E9"/>
        <n v="8.600001908E9"/>
        <n v="8.600001907E9"/>
        <n v="8.60000183E9"/>
        <n v="8.60000189E9"/>
        <n v="8.600001811E9"/>
        <n v="8.600001812E9"/>
        <n v="8.600001888E9"/>
        <n v="8.600001863E9"/>
        <n v="8.6000019E9"/>
        <n v="8.60000187E9"/>
        <n v="8.60000186E9"/>
        <n v="8.600001668E9"/>
        <n v="8.600001855E9"/>
        <n v="8.600001831E9"/>
        <n v="8.500000141E9"/>
        <n v="8.600001837E9"/>
        <n v="8.600001842E9"/>
        <n v="8.600001833E9"/>
        <n v="8.600001832E9"/>
        <n v="8.600001825E9"/>
        <n v="8.600001745E9"/>
        <n v="8.600001835E9"/>
        <n v="8.600001774E9"/>
        <n v="8.600001829E9"/>
        <n v="8.600001828E9"/>
        <n v="8.600001824E9"/>
        <n v="8.60000182E9"/>
        <n v="8.600001822E9"/>
        <n v="8.60000175E9"/>
        <n v="8.600001794E9"/>
        <n v="8.600001781E9"/>
        <n v="8.600001733E9"/>
        <n v="8.600001795E9"/>
        <n v="8.600001639E9"/>
        <n v="8.600001657E9"/>
        <n v="8.600001729E9"/>
        <n v="8.600001759E9"/>
        <n v="8.600001807E9"/>
        <n v="8.600001804E9"/>
        <n v="8.600001792E9"/>
        <n v="8.60000176E9"/>
        <n v="8.600001803E9"/>
        <n v="8.600001726E9"/>
        <n v="8.600001692E9"/>
        <n v="8.600001772E9"/>
        <n v="8.600001737E9"/>
        <n v="8.500000137E9"/>
        <n v="8.60000173E9"/>
        <n v="8.600001728E9"/>
        <n v="8.600001736E9"/>
        <n v="8.600001674E9"/>
        <n v="8.600001771E9"/>
        <n v="8.500000132E9"/>
        <n v="8.600001641E9"/>
        <n v="8.600001642E9"/>
        <n v="8.600001689E9"/>
        <n v="8.600001705E9"/>
        <n v="8.600001714E9"/>
        <n v="8.60000168E9"/>
        <n v="8.600001661E9"/>
        <n v="8.600001645E9"/>
        <n v="8.500000138E9"/>
        <n v="8.600001671E9"/>
        <n v="8.60000166E9"/>
        <n v="8.600001649E9"/>
        <n v="8.500000135E9"/>
        <n v="8.600001631E9"/>
        <n v="8.60000163E9"/>
        <n v="8.600001647E9"/>
        <n v="8.60000164E9"/>
        <n v="8.600001665E9"/>
        <n v="8.600001588E9"/>
        <n v="8.600001656E9"/>
        <n v="8.600001619E9"/>
        <n v="8.500000127E9"/>
        <n v="8.600001601E9"/>
      </sharedItems>
    </cacheField>
    <cacheField name="Discharge Port" numFmtId="0">
      <sharedItems>
        <s v="LA"/>
        <s v="OAK"/>
        <s v="NJ"/>
        <s v="LA - OAK"/>
        <s v="JFK"/>
        <s v="SFO"/>
        <s v="LAX"/>
      </sharedItems>
    </cacheField>
    <cacheField name="# of Ctns" numFmtId="0">
      <sharedItems>
        <s v="19PLTS"/>
        <s v="64PLTS"/>
        <s v="14PLTS"/>
        <s v="23PLTS"/>
        <s v="7PLTS&#10;(LCL)"/>
        <s v="49PLTS"/>
        <s v="30PLTS"/>
        <s v="66PLTS"/>
        <s v="8PLTS"/>
        <s v="3PLTS&#10;(LCL)"/>
        <s v="1PLTS&#10;(LCL)"/>
        <s v="9PLTS&#10;(LCL)"/>
        <s v="18PLTS"/>
        <s v="9PLTS"/>
        <s v="124PLTS"/>
        <s v="2PLTS&#10;(LCL)"/>
        <s v="13PLTS"/>
        <s v="5PLTS&#10;(LCL)"/>
        <s v="16PLTS"/>
        <s v="116PLTS"/>
        <s v="85PLTS"/>
        <s v="84PLTS"/>
        <s v="44PLTS"/>
        <s v="54PLTS"/>
        <s v="50PLTS"/>
        <s v="29PLTS"/>
        <s v="15PLTS"/>
        <s v="101PLTS"/>
        <s v="28PLTS"/>
        <s v="48PLTS"/>
        <s v="6PLTS&#10;(LCL)"/>
        <s v="31PLTS"/>
        <s v="12PLTS"/>
        <s v="114PLTS"/>
        <s v="20PLTS"/>
        <s v="163PLTS"/>
        <s v="25PLTS"/>
        <s v="47PLTS"/>
        <s v="55PLTS"/>
        <s v="21PLTS"/>
        <s v="26PLTS"/>
        <s v="74PLTS"/>
        <s v="22PLTS"/>
        <s v="62PLTS"/>
        <s v="201PLTS"/>
        <s v="10PLTS"/>
        <s v="24PLTS"/>
        <s v="145PLTS"/>
        <s v="4PLTS"/>
        <s v="92PLTS"/>
        <s v="9 PLTS"/>
        <s v="8PLTS&#10;(LCL)"/>
        <s v="11PLTS"/>
        <s v="39PLTS"/>
        <s v="70PLTS"/>
        <s v="7PLTS"/>
        <s v="17PLTS"/>
        <s v="103PLTS"/>
        <s v="40PLTS"/>
        <s v="41PLTS"/>
        <s v="63PLTS"/>
        <s v="27PLTS"/>
        <s v="5PLTS"/>
        <s v="91PLTS"/>
        <s v="69PLTS"/>
        <s v="94PLTS"/>
        <s v="45PLTS"/>
        <s v="7PTLS&#10;(LCL)"/>
      </sharedItems>
    </cacheField>
    <cacheField name="Container #" numFmtId="0">
      <sharedItems>
        <s v="FCGU1998489"/>
        <s v="FSCU5115296&#10;TLLU6009001"/>
        <s v="KKTU8164425"/>
        <s v="WHSU5603359"/>
        <s v="BMOU6321740"/>
        <s v="WHLU5578517&#10;WHSU6173782"/>
        <s v="UETU4061578"/>
        <s v="KKTU8005038"/>
        <s v="TLLU4768539"/>
        <s v="WHSU6327337&#10;SEGU1892575&#10;WHSU6264239"/>
        <s v="NYKU3924943"/>
        <s v="OTPU6316872"/>
        <s v="SEGU5264387"/>
        <s v="HDMU5540955"/>
        <s v="SEGU5978002"/>
        <s v="TLLU2642182"/>
        <s v="MSCU5896344"/>
        <s v="GATU4438530&#10;MEDU4203992&#10;MSCU4618668&#10;MSDU4299435"/>
        <s v="TRIU8068421"/>
        <s v="WHLU0407002"/>
        <s v="SEGU6986363"/>
        <s v="UACU8608000"/>
        <s v="OOCU6939297&#10;FCIU9653325&#10;OOCU8794551&#10;CSNU1632429"/>
        <s v="DRYU9403910"/>
        <s v="OOLU0161091&#10;OOLU6761529&#10;OOLU6827760"/>
        <s v="TCLU9630570&#10;MEDU8989494 &#10;FBIU0211613"/>
        <s v="NYKU9903110&#10;SEKU4410286"/>
        <s v="CMAU4941750"/>
        <s v="WHLU0271066&#10;WHSU5119262&#10;DFSU7669326"/>
        <s v="WHSU2054321&#10;WHSU6336257&#10;WHSU6296956"/>
        <s v="GCXU5196440"/>
        <s v="TRHU5316449"/>
        <s v="NYKU4841777"/>
        <s v="WHSU6646653"/>
        <s v="CBHU5614810&#10;TGCU5063757"/>
        <s v="TCNU7167757&#10;TRHU7972718&#10;MSDU5519112"/>
        <s v="NYKU5883611"/>
        <s v="TRHU4788034"/>
        <s v="NYKU4934102&#10;TEMU7370240"/>
        <s v="TRHU7419750"/>
        <s v="TLLU5502353"/>
        <s v="DRYU2125988&#10;CAIU8301126"/>
        <s v="BMOU4894738"/>
        <s v="HJLU1396301"/>
        <s v="OOLU0255375"/>
        <s v="TTNU4817384&#10;MSDU4296441&#10;CRXU4254439&#10;MSDU4041836"/>
        <s v="SEKU4401366"/>
        <s v="NYKU3295590"/>
        <s v="FSCU5110308&#10;OOLU4361544&#10;CBHU6412007&#10;CBHU6356330&#10;FSCU5080420&#10;CCLU5283121"/>
        <s v="HMMU9039153"/>
        <s v="FDCU0437958"/>
        <s v="FDCU0544452"/>
        <s v="YMMU4073023"/>
        <s v="TRLU7458672"/>
        <s v="BMOU6084588"/>
        <s v="MEDU6088938&#10;MSDU4255329"/>
        <s v="TRHU6394410&#10;TCKU6494792"/>
        <s v="NYKU5821230"/>
        <s v="NYKU3272228"/>
        <s v="UACU8436390"/>
        <s v="HLBU1131967&#10;HLXU5368527&#10;HLBU1183549"/>
        <s v="WHSU6278269&#10;HJLU1382102"/>
        <s v="CLHU4782208&#10;UACU8196448"/>
        <s v="TCNU8579044&#10;CSNU6666490&#10;TCLU1753178&#10;BEAU6209145&#10;CSNU8069831&#10;CSNU6148422"/>
        <s v="MEDU6492240"/>
        <s v="TCLU1663623"/>
        <s v="CAAU5222041&#10;FSCU8223355&#10;ZCSU7330730&#10;ZCSU8979220"/>
        <s v="FBIU0003142"/>
        <s v="WHLU5706053"/>
        <s v="TRHU5753768"/>
        <s v="CSNU6939629"/>
        <s v="OOCU8409660&#10;CBHU8897611&#10;TCNU2542639"/>
        <s v="TRHU1353763"/>
        <s v="GLDU7630893"/>
        <s v="OOCU7520108"/>
        <s v="NYKU4945004"/>
        <s v="HMMU9058678"/>
        <s v="KKFU6756776&#10;SEGU9004238"/>
        <s v="DFSU6949235"/>
        <s v="CSLU2344559"/>
        <s v="CSNU6381500"/>
        <s v="BEAU5445423"/>
        <s v="MSDU1150366"/>
        <s v="OOLU8701540"/>
        <s v="WFHU5140909"/>
        <s v="BEAU4601645"/>
        <s v="MSDU4020480&#10;MEDU5543739"/>
        <s v="MSDU4273847&#10;MSDU4222562"/>
        <s v="NYKU0707707"/>
        <s v="WHLU0417058"/>
        <s v="AIR"/>
        <s v="OOLU0715146&#10;OOLU9974488"/>
        <s v="OOLU9336992&#10;BMOU5846884"/>
        <s v="ONEU0137617"/>
        <s v="TEMU2662655"/>
        <s v="KOCU9016160"/>
        <s v="WHSU2702070"/>
        <s v="KKFU7580207"/>
        <s v="CSNU7590423&#10;TCNU3853548&#10;FCIU9660807"/>
        <s v="YMLU8661952"/>
        <s v="BEAU2141140"/>
        <s v="BMOU2730870"/>
        <s v="TEMU8507450"/>
        <s v="WHSU6744161"/>
        <s v="SEGU5424588"/>
        <s v="TRHU6635585"/>
        <s v="GLDU0474063&#10;TCLU4005035"/>
        <s v="TTNU4557543&#10;TRLU9514287"/>
        <s v="TCNU1966550"/>
        <s v="TCNU3579550"/>
        <s v="TLLU5552816"/>
        <s v="TCLU1848036"/>
        <s v="BMOU3163087"/>
        <s v="TRHU8615295"/>
        <s v="TLLU4554579"/>
        <s v="FFAU1840106"/>
        <s v="FFAU3602853&#10;OOLU8913359&#10;FCIU7204372"/>
        <s v="WHSU2476100"/>
        <s v="TRLU4817906&#10;MEDU1785760"/>
        <s v="CULU6287337"/>
        <s v="UETU5691798"/>
        <s v="TEMU7659551"/>
        <s v="TEMU6855020"/>
      </sharedItems>
    </cacheField>
    <cacheField name="Product Description" numFmtId="0">
      <sharedItems>
        <s v="OINTMENT 18G, 50G, WHITE 18G"/>
        <s v="PATCH, PATCH 1'S"/>
        <s v="RED 18G, OINTMENT 18G, 50G, WHITE 18G"/>
        <s v="RUB 50G"/>
        <s v="OINTMENT 10G, 18G, RED 18G, 4G, WHITE 18G, 4G"/>
        <s v="OINTMENT 18G, 50G"/>
        <s v="PATCH, PATCH 1'S, LINIMENT 57ML"/>
        <s v="OINTMENT 10G, 18G, 50G, RED 4G"/>
        <s v="OINTMENT 18G, WHITE 18G"/>
        <s v="PATCH 1'S"/>
        <s v="LINIMENT 57ML"/>
        <s v="RUB 60G"/>
        <s v="KLO 57ML"/>
        <s v="KLO 57ML, 28ML"/>
        <s v="PATCH, PATCH 1'S, LINIMENT 57ML, KLO 28ML"/>
        <s v="LINIMENT 57ML, KLO 28ML"/>
        <s v="OINTMENT 10G, 18G, 50G, WHITE 18G"/>
        <s v="PATCH"/>
        <s v="LINIMENT 57ML, KLO 57ML, 28ML"/>
        <s v="PATCH, PATCH 1'S, KLO 28ML"/>
        <s v="OINTMENT 10G"/>
        <s v="RED 18G, OINTMENT 18G, 50G"/>
        <s v="OINTMENT 10G, 18G, 50G, RED 18G, WHITE 18G, RED 4G"/>
        <s v="OINTMENT 18G, 50G, WHITE 4G"/>
        <s v="RED 18G, OINTMENT 18G"/>
        <s v="OINTMENT 18G"/>
        <s v="OINTMENT 10G, 18G, 50G"/>
        <s v="OINTMENT 10G, 18G, RED 18G, WHITE 18G, RED 4G"/>
        <s v="PATCH, LINIMENT 57ML, KLO 57ML"/>
        <s v="PATCH 1'S, KLO 57ML, 28ML"/>
        <s v="OINTMENT 10G, RED 18G, WHITE 18G, RED 4G"/>
        <s v="OINTMENT 10G, RED 18G, WHITE 18G, RED 4G, WHITE 4G"/>
        <s v="KLO 58ML"/>
        <s v="KLO 57ML, PATCH, PATCH 1'S&#10;(4 containers)"/>
        <s v="OINTMENT 10G, WHITE 4G"/>
        <s v="PATCH, PATCH 1'S, KLO 28ML&#10;(6 containers)"/>
        <s v="RED 18G, OINTMENT 18G, WHITE 18G, RED 4G"/>
        <s v="OINTMENT 10G, 50G"/>
        <s v="OINTMENT 10G, 18G, 50G, WHITE 18G, 4G, RED 4G"/>
        <s v="OINTMENT 10G, RED 18G, OINTMENT 18G, WHITE 18G, RED 4G, WHITE 4G"/>
        <s v="PATCH 1'S, KLO 57ML"/>
        <s v="PATCH, KLO 57ML, 28ML"/>
        <s v="OINTMENT 10G, 18G, WHITE 18G, RED 4G, 18G"/>
        <s v="PATCH, LINIMENT 57ML, KLO 57ML, 28ML"/>
        <s v="PATCH, PATCH 1'S, LINIMENT 57ML, KLO 57ML, 28ML&#10;(6 containers)"/>
        <s v="OINTMENT 10G, 18G, WHITE 18G, RED 4G, WHITE 4G"/>
        <s v="MUSCLE SPRAY 75ML"/>
        <s v="OINTMENT 18G, 50G, RED 4G"/>
        <s v="PATCH 1'S, LINIMENT 57ML, KLO 28ML, 57ML"/>
        <s v="PATCH 1'S, PATCH 2'S, LINIMENT 57ML"/>
        <s v="OINTMENT 10G, RED 18G, OINTMENT 18G, WHITE 18G, RED 4G"/>
        <s v="PATCH 1'S, KLO 57ML, 28 ML"/>
        <s v="PATCH 1'S, LINIMENT 57ML, KLO 57ML, 28ML"/>
        <s v="RED 18G"/>
        <s v="OINTMENT 10G, WHITE 18G, RED 4G, WHITE 4G"/>
        <s v="RED 18G, OINTMENT 18G, WHITE 18G, RED 4G, WHITE 4G, OINTMENT 50G"/>
        <s v="OINTMENT 10G, 18G"/>
        <s v="PATCH, LINIMENT 57ML, KLO 28ML, KLO 57ML"/>
        <s v="OINTMENT 10G, RED 18G"/>
        <s v="OINTMENT 18G, WHITE 18G, RED 4G, WHITE 4G"/>
        <s v="PATCH, PATCH 1'S, LINIMENT 57ML, KLO 57ML, 28ML"/>
        <s v="OINTMENT 50G"/>
        <s v="PATCH 2'S (NEW)"/>
        <s v="NECK AND SHOULDER RUB"/>
        <s v="PATCH 2'S, LINIMENT 57ML"/>
        <s v="RED 18G, WHITE 18G, RED 4G, WHITE 4G"/>
        <s v="OINTMENT 10G, 18G, WHITE 18G, RED 4G, WHITE 4G, OINTMENT 50G"/>
        <s v="RED 18G, OINTMENT 50G"/>
        <s v="PATCH, LINIMENT 57ML"/>
        <s v="LARGE PATCH&#10;(NDC NO : 66761-321-04)"/>
        <s v="RED 18G, OINTMENT 18G, WHITE 18G, WHITE 4G, OINTMENT 50G"/>
        <s v="RED 18G, OINTMENT 18G, WHITE 18G, RED 4G, WHITE 4G"/>
        <s v="LARGE PATCH"/>
        <s v="OINTMENT 10G, 18G, RED 18G, WHITE 18G"/>
        <s v="OINTMENT 10G, 18G, 50G, RED 18G"/>
        <s v="PATCH, PATCH 1'S, LINIMENT 57ML, KLO 28ML, 57ML"/>
        <s v="PATCH, PATCH 1'S, KLO 57ML, 28ML"/>
        <s v="OINTMENT 10G, 18G, RED 18G, 4G / WHITE 18G, 4G"/>
        <s v="NECK AND SHOULDER RUB 50G"/>
        <s v="OINTMENT 18G, ULTRA 50G, RED 18G"/>
      </sharedItems>
    </cacheField>
    <cacheField name="Month" numFmtId="0">
      <sharedItems>
        <s v="Complete"/>
        <s v="Nov"/>
      </sharedItems>
    </cacheField>
    <cacheField name="Date" numFmtId="167">
      <sharedItems containsSemiMixedTypes="0" containsDate="1" containsString="0">
        <d v="2022-12-28T00:00:00Z"/>
        <d v="2022-12-22T00:00:00Z"/>
        <d v="2022-12-20T00:00:00Z"/>
        <d v="2022-12-17T00:00:00Z"/>
        <d v="2022-12-12T00:00:00Z"/>
        <d v="2022-12-10T00:00:00Z"/>
        <d v="2022-12-06T00:00:00Z"/>
        <d v="2022-12-05T00:00:00Z"/>
        <d v="2022-11-30T00:00:00Z"/>
        <d v="2022-11-23T00:00:00Z"/>
        <d v="2022-11-19T00:00:00Z"/>
        <d v="2022-11-16T00:00:00Z"/>
        <d v="2022-11-15T00:00:00Z"/>
        <d v="2022-10-26T00:00:00Z"/>
        <d v="2022-10-23T00:00:00Z"/>
        <d v="2022-10-22T00:00:00Z"/>
        <d v="2022-10-18T00:00:00Z"/>
        <d v="2022-10-17T00:00:00Z"/>
        <d v="2022-10-07T00:00:00Z"/>
        <d v="2022-10-01T00:00:00Z"/>
        <d v="2022-09-29T00:00:00Z"/>
        <d v="2022-09-23T00:00:00Z"/>
        <d v="2022-09-13T00:00:00Z"/>
        <d v="2022-09-09T00:00:00Z"/>
        <d v="2022-09-08T00:00:00Z"/>
        <d v="2022-09-03T00:00:00Z"/>
        <d v="2022-08-30T00:00:00Z"/>
        <d v="2022-08-29T00:00:00Z"/>
        <d v="2022-08-20T00:00:00Z"/>
        <d v="2022-08-16T00:00:00Z"/>
        <d v="2022-08-12T00:00:00Z"/>
        <d v="2022-08-11T00:00:00Z"/>
        <d v="2022-08-10T00:00:00Z"/>
        <d v="2022-08-09T00:00:00Z"/>
        <d v="2022-08-03T00:00:00Z"/>
        <d v="2022-08-02T00:00:00Z"/>
        <d v="2022-07-27T00:00:00Z"/>
        <d v="2022-07-24T00:00:00Z"/>
        <d v="2022-07-17T00:00:00Z"/>
        <d v="2022-07-14T00:00:00Z"/>
        <d v="2022-07-13T00:00:00Z"/>
        <d v="2022-07-09T00:00:00Z"/>
        <d v="2022-07-05T00:00:00Z"/>
        <d v="2022-07-02T00:00:00Z"/>
        <d v="2022-07-01T00:00:00Z"/>
        <d v="2022-06-30T00:00:00Z"/>
        <d v="2022-06-24T00:00:00Z"/>
        <d v="2022-06-23T00:00:00Z"/>
        <d v="2022-06-21T00:00:00Z"/>
        <d v="2022-06-16T00:00:00Z"/>
        <d v="2022-06-11T00:00:00Z"/>
        <d v="2022-05-31T00:00:00Z"/>
        <d v="2022-05-28T00:00:00Z"/>
        <d v="2022-05-26T00:00:00Z"/>
        <d v="2022-05-24T00:00:00Z"/>
        <d v="2022-05-21T00:00:00Z"/>
        <d v="2022-05-19T00:00:00Z"/>
        <d v="2022-05-15T00:00:00Z"/>
        <d v="2022-05-13T00:00:00Z"/>
        <d v="2022-05-12T00:00:00Z"/>
        <d v="2022-05-11T00:00:00Z"/>
        <d v="2022-05-10T00:00:00Z"/>
        <d v="2022-05-06T00:00:00Z"/>
        <d v="2022-05-03T00:00:00Z"/>
        <d v="2022-05-01T00:00:00Z"/>
        <d v="2022-04-30T00:00:00Z"/>
        <d v="2022-04-23T00:00:00Z"/>
        <d v="2022-04-20T00:00:00Z"/>
        <d v="2022-04-19T00:00:00Z"/>
        <d v="2022-04-18T00:00:00Z"/>
        <d v="2022-04-11T00:00:00Z"/>
        <d v="2022-04-09T00:00:00Z"/>
        <d v="2022-03-31T00:00:00Z"/>
        <d v="2022-03-28T00:00:00Z"/>
        <d v="2022-03-26T00:00:00Z"/>
        <d v="2022-03-25T00:00:00Z"/>
        <d v="2022-03-24T00:00:00Z"/>
        <d v="2022-03-21T00:00:00Z"/>
        <d v="2022-03-20T00:00:00Z"/>
        <d v="2022-03-11T00:00:00Z"/>
        <d v="2022-03-10T00:00:00Z"/>
        <d v="2022-03-09T00:00:00Z"/>
        <d v="2022-03-07T00:00:00Z"/>
        <d v="2022-03-04T00:00:00Z"/>
        <d v="2022-02-27T00:00:00Z"/>
        <d v="2022-02-26T00:00:00Z"/>
        <d v="2022-02-23T00:00:00Z"/>
        <d v="2022-02-22T00:00:00Z"/>
        <d v="2022-02-21T00:00:00Z"/>
        <d v="2022-02-19T00:00:00Z"/>
        <d v="2022-02-15T00:00:00Z"/>
        <d v="2022-02-14T00:00:00Z"/>
        <d v="2022-02-12T00:00:00Z"/>
        <d v="2022-02-10T00:00:00Z"/>
        <d v="2022-01-30T00:00:00Z"/>
        <d v="2022-01-29T00:00:00Z"/>
        <d v="2022-01-23T00:00:00Z"/>
        <d v="2022-01-20T00:00:00Z"/>
        <d v="2022-01-18T00:00:00Z"/>
        <d v="2022-01-15T00:00:00Z"/>
        <d v="2022-01-06T00:00:00Z"/>
        <d v="2021-12-27T00:00:00Z"/>
        <d v="2021-12-15T00:00:00Z"/>
        <d v="2021-11-14T00:00:00Z"/>
      </sharedItems>
    </cacheField>
    <cacheField name="date2">
      <sharedItems containsDate="1" containsMixedTypes="1">
        <d v="2022-12-28T00:00:00Z"/>
        <d v="2022-12-20T00:00:00Z"/>
        <d v="2022-12-06T00:00:00Z"/>
        <d v="2022-12-12T00:00:00Z"/>
        <d v="2022-12-08T00:00:00Z"/>
        <d v="2022-11-22T00:00:00Z"/>
        <d v="2022-11-16T00:00:00Z"/>
        <d v="2022-11-21T00:00:00Z"/>
        <d v="2022-11-13T00:00:00Z"/>
        <d v="2022-11-15T00:00:00Z"/>
        <d v="2022-11-30T00:00:00Z"/>
        <d v="2022-11-08T00:00:00Z"/>
        <d v="2022-10-18T00:00:00Z"/>
        <d v="2022-10-21T00:00:00Z"/>
        <d v="2022-11-02T00:00:00Z"/>
        <d v="2022-10-13T00:00:00Z"/>
        <d v="2022-10-04T00:00:00Z"/>
        <d v="2022-09-22T00:00:00Z"/>
        <d v="2022-09-28T00:00:00Z"/>
        <d v="2022-09-16T00:00:00Z"/>
        <d v="2022-08-15T00:00:00Z"/>
        <d v="2022-09-07T00:00:00Z"/>
        <d v="2022-08-31T00:00:00Z"/>
        <d v="2022-08-22T00:00:00Z"/>
        <d v="2022-08-16T00:00:00Z"/>
        <d v="2022-08-10T00:00:00Z"/>
        <d v="2022-08-12T00:00:00Z"/>
        <d v="2022-08-03T00:00:00Z"/>
        <d v="2022-08-02T00:00:00Z"/>
        <d v="2022-08-05T00:00:00Z"/>
        <d v="2022-07-18T00:00:00Z"/>
        <d v="2022-07-13T00:00:00Z"/>
        <d v="2022-07-19T00:00:00Z"/>
        <d v="2022-07-06T00:00:00Z"/>
        <d v="2022-07-07T00:00:00Z"/>
        <d v="2022-07-15T00:00:00Z"/>
        <d v="2022-07-01T00:00:00Z"/>
        <d v="2022-06-28T00:00:00Z"/>
        <d v="2022-06-13T00:00:00Z"/>
        <d v="2022-06-27T00:00:00Z"/>
        <d v="2022-06-23T00:00:00Z"/>
        <d v="2022-06-16T00:00:00Z"/>
        <d v="2022-06-14T00:00:00Z"/>
        <d v="2022-06-08T00:00:00Z"/>
        <d v="2022-06-06T00:00:00Z"/>
        <d v="2022-05-27T00:00:00Z"/>
        <d v="2022-05-25T00:00:00Z"/>
        <d v="2022-05-20T00:00:00Z"/>
        <d v="2022-05-10T00:00:00Z"/>
        <d v="2022-05-16T00:00:00Z"/>
        <d v="2022-05-05T00:00:00Z"/>
        <d v="2022-05-09T00:00:00Z"/>
        <d v="2022-05-24T00:00:00Z"/>
        <d v="2022-05-04T00:00:00Z"/>
        <d v="2022-04-25T00:00:00Z"/>
        <d v="2022-05-01T00:00:00Z"/>
        <d v="2022-04-26T00:00:00Z"/>
        <d v="2022-04-13T00:00:00Z"/>
        <d v="2022-04-18T00:00:00Z"/>
        <d v="2022-04-11T00:00:00Z"/>
        <d v="2022-04-04T00:00:00Z"/>
        <d v="2022-04-12T00:00:00Z"/>
        <d v="2022-04-06T00:00:00Z"/>
        <d v="2022-03-28T00:00:00Z"/>
        <d v="2022-03-31T00:00:00Z"/>
        <s v="3/23/22&#10;3/24/22"/>
        <d v="2022-03-21T00:00:00Z"/>
        <d v="2022-03-07T00:00:00Z"/>
        <d v="2022-03-09T00:00:00Z"/>
        <d v="2022-03-08T00:00:00Z"/>
        <d v="2022-02-17T00:00:00Z"/>
        <d v="2022-03-01T00:00:00Z"/>
        <d v="2022-01-21T00:00:00Z"/>
        <d v="2022-01-10T00:00:00Z"/>
        <d v="2022-01-07T00:00:00Z"/>
        <d v="2022-02-14T00:00:00Z"/>
        <d v="2022-02-15T00:00:00Z"/>
        <d v="2022-02-09T00:00:00Z"/>
        <d v="2022-02-05T00:00:00Z"/>
        <d v="2022-02-08T00:00:00Z"/>
        <d v="2022-02-04T00:00:00Z"/>
        <d v="2022-01-26T00:00:00Z"/>
        <d v="2022-01-13T00:00:00Z"/>
        <d v="2022-01-18T00:00:00Z"/>
        <d v="2022-01-12T00:00:00Z"/>
        <d v="2022-01-11T00:00:00Z"/>
        <d v="2021-12-23T00:00:00Z"/>
        <d v="2022-12-14T00:00:00Z"/>
        <d v="2021-12-17T00:00:00Z"/>
        <d v="2021-11-17T00:00:00Z"/>
      </sharedItems>
    </cacheField>
    <cacheField name="date3">
      <sharedItems containsDate="1" containsMixedTypes="1">
        <d v="2023-01-04T00:00:00Z"/>
        <s v="12/28/2022&#10;12/28/2022"/>
        <d v="2023-01-11T00:00:00Z"/>
        <d v="2022-12-22T00:00:00Z"/>
        <d v="2022-12-19T00:00:00Z"/>
        <s v="12/13/2022&#10;12/13/2022"/>
        <d v="2022-12-15T00:00:00Z"/>
        <d v="2022-12-08T00:00:00Z"/>
        <d v="2022-12-06T00:00:00Z"/>
        <s v="11/30/2022&#10;11/29/2022&#10;11/29/2022"/>
        <d v="2022-11-25T00:00:00Z"/>
        <d v="2022-11-28T00:00:00Z"/>
        <d v="2022-12-01T00:00:00Z"/>
        <d v="2022-11-23T00:00:00Z"/>
        <d v="2022-11-22T00:00:00Z"/>
        <d v="2022-10-31T00:00:00Z"/>
        <d v="2022-10-27T00:00:00Z"/>
        <s v="10/28/2022&#10;10/31/2022&#10;11/1/2022&#10;10/27/2022"/>
        <d v="2022-11-04T00:00:00Z"/>
        <d v="2022-10-21T00:00:00Z"/>
        <d v="2022-10-20T00:00:00Z"/>
        <d v="2022-10-12T00:00:00Z"/>
        <s v="10/7/2022&#10;10/10/2022&#10;10/10/2022&#10;10/10/2022"/>
        <d v="2022-10-04T00:00:00Z"/>
        <s v="9/28/2022&#10;9/29/2022&#10;9/29/2022"/>
        <s v="10/6/2022&#10;10/3/2022&#10;10/6/2022"/>
        <s v="9/16/2022&#10;9/16/2022"/>
        <d v="2022-09-20T00:00:00Z"/>
        <s v="9/7/2022&#10;9/7/2022&#10;9/9/2022"/>
        <s v="9/6/2022&#10;9/1/2022&#10;9/2/2022"/>
        <d v="2022-09-06T00:00:00Z"/>
        <d v="2022-08-26T00:00:00Z"/>
        <d v="2022-08-25T00:00:00Z"/>
        <d v="2022-09-08T00:00:00Z"/>
        <s v="8/25/2022&#10;9/16/2022"/>
        <s v="9/3/2022&#10;9/3/2022&#10;9/3/2022"/>
        <d v="2022-08-16T00:00:00Z"/>
        <d v="2022-08-15T00:00:00Z"/>
        <s v="8/18/2022&#10;8/24/2022"/>
        <d v="2022-08-17T00:00:00Z"/>
        <d v="2022-08-09T00:00:00Z"/>
        <s v="8/4/2022&#10;8/5/2022"/>
        <d v="2022-08-19T00:00:00Z"/>
        <d v="2022-07-21T00:00:00Z"/>
        <s v="7/21/2022&#10;7/19/2022&#10;7/25/2022&#10;7/22/2022"/>
        <d v="2022-07-22T00:00:00Z"/>
        <d v="2022-07-13T00:00:00Z"/>
        <s v="7/11/2022&#10;7/12/2022&#10;7/13/2022&#10;7/14/2022&#10;7/15/2022&#10;7/15/2022"/>
        <d v="2022-07-14T00:00:00Z"/>
        <d v="2022-07-08T00:00:00Z"/>
        <d v="2022-07-07T00:00:00Z"/>
        <d v="2022-07-11T00:00:00Z"/>
        <d v="2022-06-29T00:00:00Z"/>
        <d v="2022-07-05T00:00:00Z"/>
        <s v="7/27/2022&#10;7/26/2022"/>
        <s v="6/30/2022&#10;7/1/2022"/>
        <d v="2022-06-28T00:00:00Z"/>
        <s v="6/23/2022&#10;6/22/2022&#10;6/15/2022"/>
        <s v="6/27/2022&#10;7/1/2022"/>
        <s v="6/8/2022&#10;6/9/2022"/>
        <s v="6/8/2022&#10;6/7/2022&#10;6/8/2022&#10;6/6/2022&#10;6/7/2022&#10;6/7/2022"/>
        <d v="2022-06-16T00:00:00Z"/>
        <d v="2022-06-06T00:00:00Z"/>
        <s v="5/27/2022&#10;5/31/2022&#10;5/26/2022&#10;5/26/2022"/>
        <d v="2022-06-13T00:00:00Z"/>
        <d v="2022-05-27T00:00:00Z"/>
        <d v="2022-05-17T00:00:00Z"/>
        <s v="5/24/2022&#10;5/20/2022&#10;5/23/2022"/>
        <d v="2022-05-18T00:00:00Z"/>
        <d v="2022-05-24T00:00:00Z"/>
        <d v="2022-05-16T00:00:00Z"/>
        <d v="2022-05-13T00:00:00Z"/>
        <s v="5/17/2022&#10;5/13/2022"/>
        <d v="2022-05-11T00:00:00Z"/>
        <d v="2022-05-04T00:00:00Z"/>
        <d v="2022-05-05T00:00:00Z"/>
        <d v="2022-04-28T00:00:00Z"/>
        <d v="2022-04-22T00:00:00Z"/>
        <d v="2022-04-26T00:00:00Z"/>
        <d v="2022-04-29T00:00:00Z"/>
        <s v="4/15/2022&#10;4/14/2022"/>
        <s v="4/28/2022&#10;4/27/2022"/>
        <d v="2022-04-18T00:00:00Z"/>
        <d v="2022-04-11T00:00:00Z"/>
        <d v="2022-04-01T00:00:00Z"/>
        <d v="2022-03-28T00:00:00Z"/>
        <s v="3/31/2022&#10;3/30/2022"/>
        <d v="2022-03-30T00:00:00Z"/>
        <s v="3/24/2022&#10;3/24/2022"/>
        <d v="2022-03-25T00:00:00Z"/>
        <d v="2022-03-17T00:00:00Z"/>
        <d v="2022-03-15T00:00:00Z"/>
        <d v="2022-03-29T00:00:00Z"/>
        <d v="2022-03-31T00:00:00Z"/>
        <d v="2022-03-10T00:00:00Z"/>
        <s v="3/11/2022&#10;3/10/2022&#10;3/9/2022"/>
        <d v="2022-03-02T00:00:00Z"/>
        <d v="2022-03-11T00:00:00Z"/>
        <d v="2022-03-04T00:00:00Z"/>
        <d v="2022-03-03T00:00:00Z"/>
        <d v="2022-03-08T00:00:00Z"/>
        <d v="2022-02-25T00:00:00Z"/>
        <d v="2022-03-01T00:00:00Z"/>
        <s v="3/2/2022&#10;3/1/2022"/>
        <s v="2/24/2022&#10;2/22/2022"/>
        <d v="2022-02-23T00:00:00Z"/>
        <d v="2022-02-16T00:00:00Z"/>
        <d v="2022-02-14T00:00:00Z"/>
        <d v="2022-02-10T00:00:00Z"/>
        <d v="2022-01-31T00:00:00Z"/>
        <s v="2/1/2022 (LA)&#10;2/9/2022 (SF)"/>
        <d v="2022-01-25T00:00:00Z"/>
        <s v="1/27/2022&#10;1/27/2022&#10;1/26/2022"/>
        <d v="2022-01-24T00:00:00Z"/>
        <d v="2022-01-21T00:00:00Z"/>
        <d v="2022-02-09T00:00:00Z"/>
        <d v="2022-01-05T00:00:00Z"/>
        <d v="2022-01-04T00:00:00Z"/>
        <s v="1/10/22 (LA)&#10;1/17/22 (SF)"/>
      </sharedItems>
    </cacheField>
    <cacheField name="QC Received (Y/N)" numFmtId="0">
      <sharedItems containsBlank="1">
        <m/>
        <s v="----"/>
      </sharedItems>
    </cacheField>
    <cacheField name="QC Checked (Initial)" numFmtId="0">
      <sharedItems containsBlank="1">
        <m/>
        <s v="----"/>
      </sharedItems>
    </cacheField>
    <cacheField name="Remarks" numFmtId="0">
      <sharedItems>
        <s v="EN#5122942, INV#PI22-73, 22ILC027967, PO#37497, OBL12/28, empty return 1/5&#10;- CMA CGM SYMI, (TD8), ONE&#10;- Moored 12/28, discharged 12/28, LFD 1/3"/>
        <s v="EN#5122451, INV#PI22-53, 22ILC027938, PO#37455, OBL12/1, GATEFEE12/23&#10;- ONE HONOLULU, (TD6), YANG MING&#10;- 12/20 FDA request product info&#10;- Moored 12/23&#10;- c#5296 - discharged 12/23, LFD 12/28, empty return 12/28&#10;- c#9001 - discharged 12/23, LFD 12/28, empty"/>
        <s v="EN#2147735, INV#PI22-61, 22ILC027932, PO#37451, OBL12/5, GATEFEE12/20, empty return 1/11 (reuse for export)&#10;- YM UPWARD, (TD3), ONE&#10;- Moored 12/20, discharged 12/21, LFD 12/27&#10;- PCC moved container to PCC for customs exam 12/27&#10;- If PCC uses own chassis, "/>
        <s v="EN#5122446, INV#PI22-59, 22ILC027939, PO#37454, OBL12/1, empty return 12/23&#10;- WAN HAI 509, (TD4), WAN HAI&#10;- have an additional $350 GCT NY Surcharge&#10;- Moored 12/18, discharged 12/18, LFD 12/22&#10;- prepull 12/21"/>
        <s v="EN#2147650, INV#PI22-32, 22ILC027902, PO#37450, OBL11/14&#10;- ONE MUNCHEN, (TD2), YANG MING&#10;- Moored 12/12, discharged 12/13, (FCL) LFD 12/16&#10;- FCL picked up 12/13, GW will deliver LCL"/>
        <s v="EN#2147649, INV#PI22-63, 22ILC027933, PO#37453, OBL11/28&#10;- SEASPAN EMISSARY, (TD1), WAN HAI&#10;- E-Trans does not handle WAN HAI, need alternative trucker&#10;- Apex will deliver, Live unload 2 hrs free&#10;- At anchor 12/9, estimated berthing 12/10&#10;- Both Moored 12"/>
        <s v="EN#2147423, INV#PI22-26 &amp; PI22-40, 22ILC027901, PO#37369, OBL11/14, empty return 12/20&#10;- ONE GRUS, (TC22), ONE&#10;- Moored 12/6, discharged 12/10, LFD 12/15"/>
        <s v="EN#5122450, INV#PI22-65, 22ILC027942, PO#37452, OBL12/5, empty return 12/12&#10;- CMA CGM DIGNITY, (TD5), ONE&#10;- received OBL from LL 12/2&#10;- Moored 12/5, discharged 12/5, LFD 12/9"/>
        <s v="EN#2147361, INV#PI22-49 &amp; PI22-57, 22ILC027903, PO#37370, OBL11/14, empty return 12/8&#10;- CMA CGM CHILE, (TC21), COSCO&#10;- have additional $250 APM Surcharge&#10;- Moored 11/30, discharged 11/30, LFD 12/6"/>
        <s v="EN#2147187, INV#PI22-58, 22ILC027906, PO#37368, OBL11/14&#10;- WAN HAI 623, (TC19), WAN HAI&#10;- E-Trans does not handle WAN HAI, need to find alternative trucker&#10;- Apex will deliver, Live unload 2 hrs free&#10;- Moored 11/23&#10;- c#7337 - discharged 11/24, LFD 11/30, "/>
        <s v="EN#2147204, INV#PI22-52 &amp; PI22-56, LC05869U, PO#37367, OBL11/14, GATEFEE11/15&#10;- YM UNIFORMITY, (TC20), ONE&#10;- Moored 11/20, discharged 11/20, LFD 11/25&#10;- DCLI chassis can’t return to TRAPAC terminal, only can return to SSA terminal, split return charge fee"/>
        <s v="EN#2147185, INV#PI22-49, 22ILC027904, PO#37365, OBL11/2&#10;- NYK VIRGO, (TC17), ONE&#10;- Moored 11/16, discharged 11/17, LFD 11/23&#10;- LFD (LCL) 11/28"/>
        <s v="EN#2147186, INV#PI22-51, 22ILC027905, PO#37366, OBL11/8&#10;- NYK VIRGO, (TC18), YM&#10;- Moored 11/16, discharged 11/17, LFD?&#10;- LCL arrived OAK 11/23, pending LCL ready for pickup"/>
        <s v="EN#2147000, INV#PI22-25, LC05871U, PO#37305, OBL10/20&#10;- ONE BLUE JAY, (TC15), HMM&#10;- Moored 11/16, discharged 11/18, LFD 11/23&#10;- GW will deliver LCL, LFD (LCL) 11/28&#10;- Jie help submitted #37305 POPLA on 11/25"/>
        <s v="EN#2147026, INV#PI22-31 &amp; PI22-39, LC05870U, PO#37324, OBL11/1, empty return 11/28&#10;- MOL MAESTRO, (TC16), ONE&#10;- have $250 Global/GCT surcharge&#10;- Moored 11/15, discharged 11/16, LFD 11/22&#10;- Live unload"/>
        <s v="EN#2146626, INV#PI22-48, LC05867U, PO#37265, OBL10/4, empty return 11/1&#10;- CMA CGM PANAMA, (TC12), COSCO&#10;- have additional $250 APM Surcharge&#10;- Moored 10/26, discharged 10/27, LFD 11/2"/>
        <s v="EN#2146625, INV#PI22-48, LC05868U, PO#37266, OBL10/4&#10;- MSC VANDYA, (TC11), MSC&#10;- Moored 10/23, discharged 10/24, LFD?&#10;- prepull 10/26"/>
        <s v="EN#2145728, INV#PI22-37, PI22-42 &amp; PI22-43, LC05857U, PO#37170, OBL8/30, GATEFEE10/18&#10;- MAERSK VIRGINIA, (TC6), MSC&#10;- Waiting @ Mexico offshore 10/3&#10;- Moored 10/22&#10;- c#8530 - discharged 10/25, LFD 10/31, empty return 11/4&#10;- c#3992 - discharged 10/26, LFD "/>
        <s v="EN#2146696, INV#PI22-47 &amp; PI22-48, LC05864U, PO#37274, OBL10/6, No GATEFEE (LCL), empty return 10/20&#10;- ONE HARBOUR, (TC14), ONE&#10;- Will discharge @ LA, then LCL to OAK&#10;- Moored @ LA 10/18, discharged 10/19, FCL picked up 10/20, empty return 10/20&#10;- LCL arr"/>
        <s v="EN#2146520, INV#PI22-46, LC05866U, PO#37262, OBL10/4&#10;- HERTA, (TC10), WAN HAI&#10;- E-Trans does not handle WH, need alternative trucker&#10;- Apex will deliver, live unload 2 hrs free&#10;- Moored 10/18, discharged 10/18, LFD 10/24&#10;- delivered 10/21 without update T"/>
        <s v="EN#2146627, INV#PI22-46, LC05865U, PO#37264, OBL10/6, No GATEFEE (LCL)&#10;- OOCL BANGKOK, (TC13), COSCO&#10;- Will discharge @ LA, then LCL (train) to OAK&#10;- Moored @ LA 10/7, discharged 10/8, LFD 10/13, FCL picked up 10/11, eta to OAK 10/14, LCL LFD 10/19"/>
        <s v="EN#2146073, INV#PI22-45, T/R, PO#37242, empty return 10/13&#10;- MONACO BRIDGE, (TC8), HL&#10;- have additional $250 Global Surcharge&#10;- Moored 10/8, discharged 10/8, LFD 10/14"/>
        <s v="EN#2146190, INV#PI22-44, LC05861U, PO#37227, OBL9/16&#10;- CMA CGM BRAZIL, (TC9), COSCO&#10;- E-Trans cannot handle delivery&#10;- Apex will deliver, live unload 2 hrs free&#10;- At anchor 9/28, estimated berthing 10/1&#10;- Moored 10/2, all discharged 10/4, LFD 10/10&#10;- c#92"/>
        <s v="EN#2145726, INV#PI22-42 &amp; PI22-43, LC05856U, PO#37169, OBL8/25, empty return 10/5&#10;- MSC AURIGA, (TC4), MSC&#10;- Moored 9/29, discharged 9/30, LFD?&#10;- dpd checked"/>
        <s v="EN#2145727, INV#PI22-37 &amp; PI22-43, LC05855U, PO#37228, OBL9/7&#10;- CMA CGM T.JEFFERSON, (TC5), OOCL&#10;- Etrans cannot handle delivery&#10;- Apex will deliver, live unload 2 hrs free&#10;- Moored 9/25&#10;- c#1091 - discharged 9/25, LFD 9/29, live unload, prepull 9/26, emp"/>
        <s v="EN#2145135, INV#PI22-29, LC05846U, PO#37086, OBL7/27, GATEFEE8/29&#10;- MSC VEGA, (TB19), MSC&#10;- Moored 9/13&#10;- c#0570 - discharged 9/14, ready for pickup 9/26, LFD 10/6&#10;- c#9494 - discharged 9/18, ready for pickup 9/28, LFD 10/3&#10;- c#1613 - discharged 9/18, rea"/>
        <s v="EN#2145943, INV#PI22-41, LC05858U, PO#37226, OBL9/8 (sent by bank)&#10;- YM UNIFORMITY, (TC7), ONE&#10;- 9/7 bank receive OBL &amp; send one OBL to forwarder&#10;- Apex will deliver, drop&#10;- Moored 9/9&#10;- c#3110 - discharged 9/12, LFD 9/16, empty return 9/16&#10;- c#0286 - dis"/>
        <s v="EN#2145389, INV#PI22-38, PO#37159, T/R, empty return 9/20&#10;- EVER FOND, (TC1), CMA&#10;- have Maher surcharge $250&#10;- Moored 9/8, discharged 9/9, LFD 9/15&#10;- GW advance demurrage $1585.85 through 9/20&#10;- dpd checked"/>
        <s v="EN#2145650, INV#PI22-41, LC05854U, PO#37167, OBL8/26&#10;- WAN HAI 512, (TC3), WAN HAI&#10;- Apex will deliver, live unload 2 hrs free&#10;- Moored 9/3&#10;- c#1066 - discharged 9/4, LFD 9/9, empty return 9/15&#10;- c#9262 - discharged 9/4, LFD 9/9, empty return 9/9&#10;- c#9326"/>
        <s v="EN#2145302, INV#PI22-34, LC05849U, PO#37158, OBL8/19&#10;- WAN HAI 623, (TB20), WAN HAI&#10;- Apex will deliver, live unload 2 hrs free&#10;- Moored 8/30&#10;c#4321 - Discharged 8/31, LFD 9/7, empty return 9/7&#10;c#6257 - Discharged 8/31, LFD 9/5, empty return 9/1&#10;c#6956 - "/>
        <s v="EN#2144120, INV#PI22-28, LC05841U, PO#37073, OBL7/20&#10;- YM WITNESS, (TB12), ONE&#10;- have additional $250 GCT Bayonne Surcharge&#10;- Moored 8/29, discharged 8/29, LFD 9/2&#10;- prepull 9/2&#10;- the terminals are not receiving empty or have very limited receiving appoin"/>
        <s v="EN#2144128, INV#PI22-21, LC05830U, PO#37013, OBL6/27, empty return 9/2&#10;- ONE MUNCHEN, (TB10), ONE&#10;- have additional $250 GCT Bayonne Surcharge&#10;- Moored 8/20, discharged 8/21, LFD 8/25&#10;- Prepull 8/25, additional charges will apply: Pre-pull ($150), Storage"/>
        <s v="EN#2143795, INV#PI22-21, LC05830U, PO#37014, OBL7/6&#10;- ONE MUNCHEN, (TB11), ONE&#10;- have additional $250 GCT Bayonne Surcharge&#10;- Moored 8/20, discharged 8/21, LFD 8/25&#10;- empty return 9/1"/>
        <s v="EN#2145649, INV#PI22-41, LC05853U, PO#37168, OBL8/19, GATEFEE8/17, empty return 9/8&#10;- BOX ENDEAVOUR, (TC2), WH&#10;- Moored 8/21, discharged 8/21, LFD 8/25&#10;- ready for pickup 9/1, LFD 9/7&#10;- prepull 9/7, but cannot deliver by 5pm due to heavy traffic, so deliv"/>
        <s v="EN#2145303, INV#PI22-34, LC05848U, PO#37157, OBL8/10, GATEFEE8/15&#10;- EVER FEAT, (TB21), COSCO&#10;- Moored 8/16&#10;- c#4810 - discharged 8/18, LFD?&#10;- c#3757 - discharged 8/19, LFD?&#10;- c#4810 pier waiting was from 7:56-10:26am additional ½ hr, empty return 8/25&#10;- c"/>
        <s v="EN#2144946, INV#PI22-29, PI22-35 &amp; PI22-36, LC05844U, PO#37090, OBL7/27&#10;- MSC VEGA, (TB18), MSC&#10;- Moored 8/13, all discharged 8/17, LFD 8/23&#10;- Trucker was not able to pull all out many times, GW advance demurrage through 9/2, total demurrage paid $7815 + "/>
        <s v="EN#2143574, INV#PI22-21, LC05830U, PO#36992, OBL6/14 (by bank)&#10;- ONE MINATO, (TB1), ONE&#10;- 6/14 OBL sent by bank directly to forwarder, FedEx tracking 777124496762&#10;- have additional $250 Global Surcharge&#10;- Moored 8/11, discharged 8/13, LFD 8/18"/>
        <s v="EN#2144945, INV#PI22-29 &amp; PI22-36, LC05845U, PO#37076, OBL7/27&#10;- ONE MAJESTY, (TB17), ONE&#10;- have additional $250 Global Surcharge&#10;- Moored 8/10, discharged 8/11, LFD 8/17"/>
        <s v="EN#2145304, INV#PI22-34, LC05847U, PO#37155, OBL8/5&#10;- YM UNICORN, (TB22), ONE&#10;- received OBL 8/5&#10;- c#0240 - moored 8/9, discharged 8/12&#10;- c#4102 - moored 8/9, discharged 8/14&#10;- c#4102 - Prepull 8/16&#10;- c#0240 - pay demurrage $470 throu 8/19&#10;- c#0240 - pay "/>
        <s v="EN#2144060, INV#PI22-33, LC05839U, PO#37071, OBL7/6&#10;- ONE FALCON, (TB13), ONE&#10;- Moored 8/3, discharged 8/9, LFD 8/16&#10;- FCL picked up 8/11&#10;- 8/23 received &amp; submitted PO"/>
        <s v="EN#2143036, INV#PI22-21, LC05830U, PO#37005, OBL6/15&#10;- YM WARMTH, (TA18), ONE&#10;- Moored 8/2, discharged 8/3, LFD 8/8&#10;- prepull 8/8"/>
        <s v="EN#2143796, INV#PI22-27, T/R, PO#37011&#10;- YM WARMTH, (TB4), HL&#10;- have additional $250 Global Surcharge&#10;- Moored 8/2&#10;- c#5988 - discharged 8/2, LFD 8/8&#10;- c#1126 - discharged 8/2, LFD 8/8&#10;- DRYU2125988 no appointments for empty return, have Per Diem charges&#10;"/>
        <s v="EN#2144415, INV#PI22-30, T/R, PO#37070, GATEFEE7/25&#10;- EVER FINE, (TB14), EG&#10;- Waiting @ offshore 7/24, estimated berthing 7/27&#10;- Moored 7/27, discharged 7/27, LFD?&#10;- ready for pickup 8/22, LFD 8/26&#10;-  empty return 8/26&#10;- on BACP chassis.  it will be an ad"/>
        <s v="EN#2144378, INV#PI22-28, LC05840U, OBL7/12, PO#37075, GATEFEE7/25, empty return 8/19&#10;- GABRIELA A, (TB15), WAN HAI&#10;- Pending OBL (ETA to bank 7/11)&#10;- POP received OBL 7/12&#10;- Waiting @ offshore 7/10, estimated berthing 7/24&#10;- Moored 7/23, , LFD 7/28&#10;- read"/>
        <s v="EN#2144061, INV#PI22-33, LC05837U, PO#37072, OBL7/6&#10;- CMA CGM HERMES, (TB5), OOCL&#10;- Apex will deliver, live unload 2 hrs free&#10;- Moored 7/17, discharged 7/19, LFD 7/22"/>
        <s v="EN#2143791, INV#PI22-24 &amp; PI22-3, LC05839U, PO#37038, OBL6/15&#10;- MSC FAITH, (TB8), MSC&#10;- moored 7/15, discharged 7/18, LFD 7/22"/>
        <s v="EN#2144379, INV#PI22-28, LC05842U, PO#37074, OBL7/18&#10;- YM UNIFORMITY, (TB16), ONE&#10;- 7/18 JD mailed OBL, 7/19 TH informed GW&#10;- Moored 7/13, discharged 7/17, LFD 7/21&#10;- prepull 7/21, delivered 7/22, empty return 7/22"/>
        <s v="EN#2144121, INV#PI22-28, LC05842U, PO#37021, OBL7/8, empty return 7/13&#10;- YM UPSURGENCE, (TB9), ONE&#10;- bank received OBL 7/5, POP received OBL 7/8&#10;- Moored 7/9, discharged 7/10, LFD 7/14&#10;- Prepull 7/12 @ 6pm, deliver 7/13"/>
        <s v="EN#2144032, INV#PI22-24 &amp; PI22-33, LC05837U, PO#37012, OBL6/27&#10;- CMA CGM CHILE, (TB3), COSCO&#10;- APM Surcharge: $250&#10;- All moored 7/6, discharged 7/6, ready for pickup 7/6, LFD 7/12&#10;- c#0308 - delivered 7/11, empty return 7/11&#10;- c#1544 - delivered 7/12, emp"/>
        <s v="EN#2143573, INV#PI22-20, LC05834U, PO#37004, OBL6/22&#10;- ONE IBIS, (TA22), HMM&#10;- Moored 7/3, discharged 7/10, LFD 7/14&#10;- delivered 7/14 without inform TH"/>
        <s v="EN#2142045, INV#PI22-16, LC05817U, PO#36823, OBL5/5&#10;- YM WELLHEAD, (TA12), ONE&#10;- have additional $250 GCT Bayonne Surcharge&#10;- At anchor 6/16, estimated berthing 7/1&#10;- Moored 7/1, discharged 7/1, LFD 7/8&#10;- empty return 7/13, ONE not receiving empty"/>
        <s v="EN#2142223, INV#PI22-16, LC05817U, PO#36829, OBL5/5&#10;- YM WELLHEAD, (TA9), ONE&#10;- have additional $250 GCT Bayonne Surcharge&#10;- At anchor 6/16, estimated berthing 7/1&#10;- Moored 7/1, discharged 7/2, LFD 7/8&#10;- submitted as urgent 7/7&#10;- empty return 7/13, ONE no"/>
        <s v="EN#2143572, INV#PI22-24, LC05838U, PO#37003, OBL6/15, GATEFEE6/27&#10;- ONE OLYMPUS, (TA21), YM&#10;- Moored 6/30, discharged 7/1, LFD 7/11&#10;- ready for pickup 7/5"/>
        <s v="EN#2143793, IN#PI22-21, LC05832U, PO#37010, OBL6/27&#10;- YM UNICORN, (TB6), ONE&#10;- OBL FedEx 6/27, received OBL from LL 6/27&#10;- Moored 6/24, discharged 6/25, LFD 6/30"/>
        <s v="EN#2143792, INV#PI22-21, LC05832U, PO#37009, OBL6/27, empty 7/6&#10;- YM UNICORN,(TB7), ONE&#10;- OBL FedEx 6/27, received OBL from LL 6/27&#10;- Moored 6/24, discharged 6/14, LFD 6/30&#10;- Prepull 6/30 @ 8pm, scheduled 7/1, LFD 6/30&#10;- 6/30 no chassis, next appointment "/>
        <s v="EN#2142042, INV#PI22-14, LC05820U, PO#36749, OBL5/3, GATEFEE6/17&#10;- MSC WASHINGTON, (TA6), MSC&#10;- Waiting @ Mexico offshore 6/1&#10;- both moored 6/25, discharged 6/26, LFD 7/22&#10;- c#8938 - Discharged 6/26, ready for pickup 7/18, LFD 7/22&#10;- c#5329 - Discharged 6"/>
        <s v="EN#2143421, INV#PI22-19, LC05831U, PO#37006, OBL6/10&#10;- CMA CGM A. LINCOLN, (TA20), COSCO&#10;- have additional $250/container APM Surcharge&#10;- At anchor 6/21, estimated berthing 6/23&#10;- Moored 6/23, discharged 6/24, LFD 6/30&#10;- Demurrage charges for TCKU6494792,"/>
        <s v="EN#2141625, INV#PI22-09, LC05809U, PO#36755, OBL4/28&#10;- MONACO BRIDGE, (TD18), ONE&#10;- have additional $250 Global Surcharge&#10;- At anchor 6/20, estimated berthing 6/21&#10;- Moored 6/21, discharged 6/23, LFD 6/28"/>
        <s v="EN#2141626, INV#PI22-09, LC05809U, PO#36754, OBL4/28, empty return 7/11&#10;- MONACO BRIDGE, (TD19), ONE&#10;- have additional $250 Global Surcharge&#10;- At anchor 6/20, estimated berthing 6/21&#10;- Moored 6/21, discharged 6/23, LFD 6/28"/>
        <s v="EN#2143420, INV#PI22-19 &amp; PI22-23, LC05833U, PO#37007, OBL6/6&#10;- ONE COMMITMENT, (TA19), HL&#10;- Moored 6/16, discharged 6/22, LFD 6/28"/>
        <s v="EN#2142774, INV#PI22-19 &amp; PI22-23, LC05829U, PO#36977, OBL5/25, GATEFEE6/9&#10;- MOL CREATION, (TA14), HL&#10;- c#1967 - Moored 6/11, discharged 6/13, LFD 6/24&#10;- c#8527 - Moored 6/11, discharged 6/13, LFD 6/24&#10;- c#3549 - 6/15, discharged 6/12, LFD 6/16&#10;- Pending "/>
        <s v="EN#2143575, INV#PI22-21, LC05828U, PO#36964, OBL6/14 (by bank), GATEFEE6/13&#10;- WAN HAI 309, (TB2), WAN HAI&#10;- 6/14 OBL sent by bank directly to forwarder, FedEx tracking 777124496762&#10;- Both moored 6/11, discharged 6/12&#10;- c#8269, LFD 6/27&#10;- c#2102, ready for"/>
        <s v="EN#2142775, INV#PI22-19, PI22-22 &amp; PI22-23, LC05833U, PO#36963, OBL5/25&#10;- MOL CREATION, (TA15), HL&#10;- c#2208 - Moored 5/31, discharged 6/4, LFD 6/9&#10;- c#6448 - Moored 5/31, discharged 6/4, LFD 6/9"/>
        <s v="EN#2142949, INV#PI22-19, PI22-22 &amp; PI22-23, LC05831U, PO#36936, OBL5/25&#10;- CMA CGM MEXICO, (TA17), COSCO&#10;- have additional $150/container APM Surcharge&#10;- All moored 5/31, discharged 6/1, LFD 6/7&#10;- TCLU1753178 prepull 6/7&#10;- TCNU8579044 *Pre-pulled on 06/08/"/>
        <s v="EN#2138483, INV#PI21-88, LC05783U, PO#36291, OBL1/20, GATEFEE5/31, empty return 6/16&#10;- MSC BRUNELLA, (TC9), MSC&#10;- 5/16 LL paid vendor invoice&#10;- Waiting @ Mexico offshore 5/8&#10;- Moored 5/28, discharged 6/1, LFD 6/17"/>
        <s v="EN#2142776, INV#PI22-16, LC05816U, PO#36923, OBL5/31, empty return 6/6&#10;- YM UNIFORMITY, (TA16), ONE&#10;- Moored 5/26, discharged 5/29, LFD 6/3&#10;- prepull 6/3, LFD 6/3"/>
        <s v="EN#2142121, INV#PI22-13, LC05818U, PO#36748, OBL5/3&#10;- CCNI ANGOL, (TA8), ZIM&#10;- 5/5 E-Trans cannot handle, Apex will deliver&#10;- At anchor 5/17, moored 5/24&#10;- c#2041, discharged 5/24, LFD 5/31, delivered 5/27&#10;- c#3355, discharged 5/25, LFD 6/1, delivered 5/3"/>
        <s v="EN#2141231, INV#PI21-86, LC05791U, PO#36660, OBL4/4, GATEFEE5/23, empty return 6/13&#10;- MSC AMSTERDAM, (TD11), MSC&#10;- Moored 5/21, discharged 5/21, LFD 6/10&#10;- out gated at 4:25pm, driver can’t make it before 5pm. have additional charge of  pre-pull + 4days y"/>
        <s v="EN#2142122, INV#PI22-16, LC05816U, PO#36822, OBL5/10, empty return 6/1&#10;- WAN HAI 509, (TA11), WAN HAI&#10;- Moored 5/22, discharged 5/23, LFD 5/27&#10;- prepull 5/26, charged $120"/>
        <s v="EN#2142461, INV#PI22-16, LC05816U, PO#36831, OBL5/5&#10;- YM UPSURGENCE, (TA13), ONE&#10;- Moored 5/19, discharged 5/23, LFD 6/3&#10;- prepull 6/3"/>
        <s v="EN#2142222, INV#PI22-14, LC05819U, PO#36745, OBL5/2, empty return 5/19&#10;- CMA CGM MAGELLAN, (TA7), COSCO&#10;- have additional $150 APM Surcharge&#10;- Moored 5/15, discharged 5/16, LFD 5/20&#10;- no delivery appointment informed, delivered 5/17"/>
        <s v="EN#2142043, INV#PI22-13, PI22-17 &amp; PI22-18, LC05818U, PO#36746, OBL5/3&#10;- CMA CGM MAGELLAN, (TD22), COSCO&#10;- Etrans cannot handle delivery&#10;- All moored 5/15, discharged 5/18, LFD 5/24&#10;- c#9660 delivered 5/24&#10;- c#7611 delivered 5/20&#10;- c#2639 delivered 5/23"/>
        <s v="EN#2141837, INV#PI22-08, PI22-11 &amp; PI22-12, LC05810U, PO# 36750, OBL4/22, GATEAFEE5/5, empty return 5/18&#10;- ONE HANNOVER, (TA4), YM&#10;- Moored 5/13, discharged 5/15, LFD 5/19"/>
        <s v="EN#2140301, INV#PI22-01, PI22-04 &amp; PI22-06, LC05796U, PO#36531, OBL3/8&#10;- NORTHERN JUPITER, (TD6), MSC&#10;- Moored 4/28 @ OAK, but won't discharge&#10;- Moored 5/10 @ LA, discharged 5/11, LFD 5/16&#10;- Discharged @ LA 5/11, carrier will transfer to OAK&#10;- FCL picked "/>
        <s v="EN#2142044, INV#PI22-16, LC05815U, PO#36830, OBL5/5, GATEFEE5/11, empty return 5/17&#10;- EVER FEAT, (TA10), OOCL&#10;- Moored 5/12, discharged 5/12, LFD 5/19"/>
        <s v="EN#2140810, INV#PI22-10, LC05808U, PO#36624, OBL3/29, empty return 5/20&#10;- ONE STORK, (TD9), ONE&#10;- have additional $200 GCT Bayonne Surcharge&#10;- Moored 5/11, discharged 5/12, LFD 5/18"/>
        <s v="EN#2142000, INV#PI22-08 &amp; PI22-12, LC05804U, PO#36747, OBL5/3&#10;- YM UBIQUITY, (TA5), HDMU&#10;- 4/26 FG send GW the revised CI (updated FOB &amp; freight)&#10;- Moored 5/10, discharged 5/10, LFD 5/16&#10;- FCL picked up 5/13"/>
        <s v="EN#2142001, INV#PI22-13, PI22-17 &amp; PI22-18, LC05814U, PO#36753, OBL4/25&#10;- YM WELLNESS, (TA3), ONE&#10;- 5/13 submitted PO, only c#4238 received&#10;- c#4238, prepull 5/12, delivered 5/13, submitted 5/16&#10;- c#6776, moored 5/6, discharged 5/13, delivered 5/17, submi"/>
        <s v="EN#2141835, INV#PI22-15, LC05813U, PO#36752, OBL4/19&#10;- YM WELLNESS, (TA2), HDMU&#10;- Moored 5/6, discharged 5/8, LFD 5/12&#10;- FCL picked up 5/12, LCL pickup LFD 5/17"/>
        <s v="EN#2141694, INV#PI22-09, LC05811U, PO#36705, OBL4/25, GATEFEE5/3, empty return 5/11&#10;- EVER FAME, (TD17), OOCL&#10;- Moored 5/3, discharged 5/5, LFD 5/12&#10;- Container was returned to PTS yard and chassis is returning to terminal, $75 for split return chassis"/>
        <s v="EN#2141836, INV#PI22-08, LC05807U, PO#36751, OBL4/27, empty return 5/9&#10;- APL SENTOSA, (TA1), COSCO&#10;- have additional $150 APM Surcharge&#10;- Moored 5/1, discharged 5/1, LFD 5/5"/>
        <s v="EN#2140230, INV#PI22-05, LC05799U, PO#36532, OBL3/14, empty return 5/11&#10;- YM WITNESS, (TD7), ONE&#10;- have additional $200 Global Terminal Surcharge&#10;- Moored 5/1, discharged 5/2, LFD 5/5&#10;- 5/6 ONE has not empty return location, stored in Etrans yard, will ha"/>
        <s v="EN#2141428, INV#PI22-09, LC05806U, PO#36676, OBL4/15&#10;- MAERSK ESSEX, (TD20), MSC&#10;- OBL sent to correct mailing address, instead of addres on OBL&#10;- Moored 4/25, discharged 4/26, prepull 4/27&#10;- empty return 5/5, per diem 3 days, $405"/>
        <s v="EN#2141151, INV#PI22-09, LC05811U, PO#36658, OBL4/13, GATEFEE 4/21&#10;- EVER FUTURE, (TD12), OOCL&#10;- Moored 4/20, discharged 4/20&#10;- PO submitted 5/17"/>
        <s v="EN#2139758, INV#PI22-05, LC05799U, PO#36481, OBL3/2, empty return 5/2&#10;- ONE MUNCHEN, (TD1), ONE&#10;- have additional $200 Global Terminal Surcharge&#10;- Moored 4/20, discharged 4/21, LFD 4/26"/>
        <s v="EN#2141624, INV#PI22-10, LC05805U, PO#36677, OBL4/15&#10;- CMA CGM SYMI, (TD21), ONE&#10;- Moored 4/18, discharged 4/23, LFD 4/28, FCL picked up 4/27, LCL delivered 4/29"/>
        <s v="EN#2137507, INV#PI21-79, PI21-81 &amp; PI21-82, LC05775U, PO#36172, OBL12/17, GATEFEE 4/8, A/N 3/25&#10;- MSC VEGA, (TB21), MSC&#10;- Moored 4/8, both discharged 4/10, LFD 4/14&#10;- c#0480, prepull 4/14, deliver 4/15"/>
        <s v="EN#2138089, INV#PI21-83 &amp; PI21-89, LC05784U, PO# 36292, OBL1/11, GATEFEE 4/11 &amp; 4/12&#10;- MSC SONIA, (TC5), MSC&#10;- Moored 4/11, both containers discharged 4/13, LFD 5/3"/>
        <s v="EN#2139760, INV#PI22-05, LC05799U, PO#36480, OBL3/2, empty return 5/2&#10;- ONE MINATO, (TD2), ONE&#10;- have additional $200 GCT Bayonne Surcharge&#10;- Moored 4/9, discharged 4/11&#10;- Global terminal closed on 4/15, rescheduled to 4/18&#10;- ONE not received empty, empty"/>
        <s v="EN#2140200, INV#PI22-05, LC05799U, PO# 36529, OBL3/14, empty return 5/13&#10;- WAN HAI 517, (TD5), WAN HAI&#10;- E-Trans declined due to carrier and terminal carrier uses, need alternative trucker&#10;- Apex will deliver, Live unload&#10;- At anchor 3/31, moored 4/6, dis"/>
        <s v="EN#6015723, INV#PI22-12-air, T/R, PO#36668&#10;- (TD15)&#10;- Flight arrived 3/30"/>
        <s v="EN#9033634, INV#PI22-10-air, T/R, PO#36667&#10;- (TD16)&#10;- LFD 3/26, storage for one day (03/27) is $4790.50&#10;- Refer to received PO, customs took 1 dz T-31510, "/>
        <s v="EN#6015646, 9033627, 9033628, INV#PI22-08-air, T/R, PO#36657&#10;- CI5198, (TD13)&#10;- Split shipment has 4 parts (3 DOs)&#10;part A, EN# K80-6015646-1, 26 pallets&#10;part B, EN# K80-9033627-3, 48 pallets&#10;part C, EN# K80-9033627-3, 23 pallets&#10;part D, EN# K80-9033628-1,"/>
        <s v="EN#2140598, INV#PI22-08, PI22-11 &amp; PI22-12, LC05807U, PO#36564, OBL3/15&#10;- CMA CGM MARCO POLO, (TD8), OOCL&#10;- have additional $150/container APM Surcharge&#10;- OOLU0715146 - Moored 3/25, discharged 3/27, LFD 3/31&#10;- OOLU9974488 - Moored 3/25, discharged 3/26, L"/>
        <s v="EN#9033635, INV#PI22-09-air, T/R, PO#36666&#10;- (TD14)&#10;- IT shipment from ORD arrived JFK warehouse 3/24, LFD 3/28&#10;- extremely heavy shipment (41 pallets = 18,003 kgs )&#10;- LFD is 03/28, storage starts on 03/29 ($1/kg per day)&#10;- 3/28 All 41 pallets prepull fro"/>
        <s v="EN#2139762, INV#PI22-01, PI22-06 &amp; PI22-07, LC05798U, PO#36450, OBL2/25&#10;- OOCL KOREA, (TC19), COSCO&#10;- Etrans cannot handle, Apex will deliver&#10;- OOLU9336992 - Moored 3/21, discharged 3/22, LFD 3/28&#10;- BMOU5846884 - Moored 3/21, discharged 3/22, LFD 3/28"/>
        <s v="EN#2138697, INV#PI21-88, LC05785U, PO# 36343, OBL1/27, empty return 3/30&#10;- TANGIER EXPRESS, (TC12), ONE&#10;- have $200 Global Surcharge&#10;- Moored 3/20, discharged 3/21"/>
        <s v="EN#K80-6015301-3, INV#PI2209-Air, T/R, PO#36569&#10;- F639 KALITTA AIR, (TD10)&#10;- Split shipment, part A arrived 3/7, part B arrived 3/14"/>
        <s v="EN#2139848, INV#PI22-04, LC05798U, PO#36483, OBL3/2, empty return 3/17&#10;- CMA CGM J. MADISON, (TC20), COSCO&#10;- have additional $150 APM Surcharge&#10;- Moored 3/10, discharged 3/12"/>
        <s v="EN#2139847, INV#PI21-87, LC05792U, PO#36401, OBL2/9, No GATEFEE&#10;- ONE COMPETENCE, (TC18), HMM&#10;- Moored 3/9, discharged 3/17&#10;- 3/28 IT shipment ready in LA warehouse, pending transfer to OAK"/>
        <s v="EN#2139759, INV#PI22-04 &amp; PI22-06, LC05800U, PO#36477, OBL3/2&#10;- ONE COMPETENCE, (TD3)&#10;- NORMAN, HBL#: TWILGB39387&#10;- KRIEGER, MBL#: HDMUSINM31585900&#10;- Moored 3/9, discharged 3/17, picked up FCL 3/28"/>
        <s v="EN#2139996, INV#PI22-05, LC05795U, PO#36478, OBL2/24, GATEFEE3/8&#10;- CAPE FARO, (TC21), WAN HAI&#10;- At anchor @ offshore 2/20&#10;- Moored 3/8, discharged 3/10"/>
        <s v="EN#2139761, IN#PI22-05, LC05801U, PO#36482, OBL3/2&#10;- YM UNANIMITY, (TC22), ONE&#10;- Moored 3/4, discharged 3/5&#10;- 3/9 no chassis, rescheduled 3/10"/>
        <s v="EN#2138496, INV#PI21-83 &amp; PI21-89, LC05786U, PO#36295, OBL1/20&#10;- COSCO HELLAS, (TC13), COSCO&#10;- additional $150/container Maher Surcharge&#10;- Moored 3/4, All discharged 3/4, LFD 3/10&#10;- CSNU7590423 prepull 3/10, LFD 3/10, deliver 3/11"/>
        <s v="EN#6015254, INV#PI2209-Air, T/R, PO#36528&#10;- Atlas Air 5Y4416, (TD4)&#10;- Arrived 2/27, has demurrage&#10;- delivery rate for this large shipment will be $1787.81 (including the additional $400)&#10;- storage charges (demurrage) is $4,572.17"/>
        <s v="EN#2137937, INV#PI21-75, LC05772U, PO#36205, OBL12/17, AN 1/6&#10;- MADRID BRIDGE, (TC3), YM&#10;- 2/3 Vessel suffered container collapse in the North Atlantic Ocean 1/7, pending further info&#10;- Moored 2/26, discharged 2/27, FCL picked up 3/3"/>
        <s v="EN#2137509, IN#PI21-77, LC05766U, PO#36166, OBL12/17, empty return 3/9&#10;- MADRID BRIDGE, (TC1), ONE&#10;- have $200 GCT Bayonne Surcharge&#10;- 2/3 Vessel suffered container collapse in the North Atlantic Ocean 1/7, pending further info&#10;- 2/7 per ONE, not listed o"/>
        <s v="EN#2137508, INV#PI21-80, LC05776U, PO#36171, OBL12/10, empty return 3/7&#10;- MADRID BRIDGE, (TB22), ONE&#10;- have $200 GCT Bayonne Surcharge&#10;- 2/3 Vessel suffered container collapse in the North Atlantic Ocean 1/7, pending further info&#10;- 2/7 per ONE, not listed"/>
        <s v="EN#2139042, INV#PI21-85, LC05787U, PO#36365, OBL1/27&#10;- YM WIDTH, (TC15), YM&#10;- Moored 2/23, discharged 2/24, LFD 3/2&#10;- LCL ready for pickup 3/3, LCL LFD 3/7"/>
        <s v="EN#2139114, INV#PI21-88, LC05785U, PO#36402, OBL2/7, empty return 3/15&#10;- WAN HAI 612, (TC16), WAN HAI&#10;- per Etrans, avoid WAN HAI!&#10;- Moored 3/4, discharged 3/5&#10;- 3/10 Wan Hai is not open for receiving empties until further notice, have additional charges "/>
        <s v="EN#2140015, INV#PI22-03, LC05797U, PO#36452, OBL2/15&#10;- AL QIBLA, (TC17), YM&#10;- Moored 2/21, discharged 2/21, picked up FCL 2/22, LCL ready for pickup 2/23"/>
        <s v="EN#2138482, INV#PI21-88, LC05785U, PO#36294, OBL1/20&#10;- AL QIBLA, (TC8), ONE&#10;- have GCT Bayonne Surcharge: $200&#10;- Moored 2/21, discharged 2/22&#10;- LFD 2/28, deliver 3/1, has demurrage"/>
        <s v="EN#2138243, INV#PI21-83 &amp; PI21-89, LC05789U, PO# 36293, OBL1/11&#10;- MSC SONIA, (TC7), MSC&#10;- At anchor @ Mexico offshore 2/14&#10;- GLDU0474063, Moored 2/21, discharged 2/24&#10;- TCLU4005035, Moored 2/21, discharged 2/23&#10;- TCLU4005035 LFD 2/28, trucker will pull ou"/>
        <s v="EN#2137505, INV#PI21-79, PI21-81 &amp; PI21-82, LC05779U, PO#36173, OBL12/17&#10;- MSC VEGA, (TB17), MSC&#10;- At anchor @ Mexico offshore 1/9&#10;- Moored 2/15, discharged 2/15"/>
        <s v="EN#2139168, INV#PI22-02, T/R, PO#36451, GATEFEE2/9&#10;- BINDI IPSA, (TC14), YM&#10;- Moored 2/14, discharged 2/16"/>
        <s v="EN#2138648, INV#PI21-88, LC05788U, PO#36296, OBL1/17&#10;- YM UNICORN, (TC11), ONE&#10;- At anchor @ Mexico offshore 2/1 &#10;- Moored 2/12, discharged 2/15"/>
        <s v="EN#2138088, INV#PI21-80, LC05776U, PO#36226, OBL12/28&#10;- YM WELLHEAD, (TC4), ONE&#10;- Moored 2/10, discharged 2/11&#10;- 2/15 Etrans no driver, Apex will deliver"/>
        <s v="EN#2137682, INV#PI21-80, LC05778U, PO#36206, OBL12/23&#10;- YM UNIFORM, (TB18), ONE&#10;- no chassis 2/8, reschedule 2/10&#10;- no chassis, cannot pull out 2/9 night, repull 2/11 night, store at yard, rescheduled 2/14&#10;- Demurrage will be paid through 2/11, pull 2/11 "/>
        <s v="EN#2138643, INV#PI21-84, T/R, PO#36309, GATEFEE1/17&#10;- YM ETERNITY, (TC10), YM"/>
        <s v="EN#2137246, INV#PI21-77, PO#36162, OBL12/17&#10;- YM UNIFORMITY, (TB16), ONE"/>
        <s v="EN#2137245, INV#PI21-77, PO#36167, OBL12/17&#10;- YM UNIFORMITY, (TB15), ONE&#10;- prepull 1/31 @ 3.05pm, deliver 2/1"/>
        <s v="EN#2137629, INV#PI21-80, LC05776U, PO#36179, OBL12/23&#10;- YM WIND, (TB19), ONE&#10;- empty return 2/1, ONE not receiving empty, ELFD 1/31, may have per diem charge"/>
        <s v="EN#2137506, INV#PI21-79, PI21-81 &amp; PI21-82, LC05777U, PO#36169, OBL12/10&#10;- COSCO PACIFIC, (TB20), COSCO&#10;- have additional $150/container Maher Surcharge"/>
        <s v="EN#2138093, INV#PI21-88, LC05785U, PO#36225, OBL1/17&#10;- WAN HAI 523, (TC6), WAN HAI&#10;- have additional $250 GCT NY Surcharge&#10;- 1/26 the origin made mistake on HBL, should send to Global Forwarding Enterprise, instead of Global Distribution &amp; Logistics&#10;- 1/2"/>
        <s v="EN#2136228, INV#PI21-73 &amp; PI21-78, PO#36055, OBL11/3&#10;- MSC ALTAIR, (TB1), MSC&#10;- additional $180 in chassis fees"/>
        <s v="EN#2137925, INV#PI21-80, LC05774U, PO#36224, OBL12/23, No GATEFEE (reason unknown), empty return 2/9&#10;- ALS VENUS, (TC2), CU LINES&#10;- 12/22 FDA request products information, FG replied&#10;- 12/23 bank send OBL to freight forwarder&#10;- tentative berthing pending "/>
        <s v="EN#2136980, INV#PI21-77, PO# 36134, OBL12/1&#10;- OOCL KOREA, (TB13), COSCO&#10;- have additional $150 Maher Surcharge"/>
        <s v="EN#2137165, INV#PI21-66, PO#36117, OBL11/24&#10;- ONE MINATO, (TB14), YM&#10;- Picked up 12/29, delivered 1/4 by GW"/>
        <s v="EN#2136466, INV#PI21-70, PO#36090, OBL11/15 (by bank)&#10;- REN JIAN 26, (TB3), CU LINES&#10;- Arrange transfer (final destination SF)&#10;- Bank mailed OBL 11/15, FedEx 775217162293&#10;- At anchor since 11/14, moored 12/28&#10;- Received 18dz T-31510R for previous PO#3585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S397" sheet="#Other Products 2025"/>
  </cacheSource>
  <cacheFields>
    <cacheField name="PO#">
      <sharedItems containsMixedTypes="1" containsNumber="1" containsInteger="1">
        <n v="41395.0"/>
        <n v="41739.0"/>
        <n v="41796.0"/>
        <n v="41495.0"/>
        <n v="41272.0"/>
        <n v="41271.0"/>
        <n v="41206.0"/>
        <n v="41447.0"/>
        <n v="41721.0"/>
        <n v="41643.0"/>
        <n v="41427.0"/>
        <n v="41446.0"/>
        <n v="41394.0"/>
        <n v="41557.0"/>
        <n v="41452.0"/>
        <n v="41393.0"/>
        <n v="41494.0"/>
        <n v="41217.0"/>
        <n v="41216.0"/>
        <n v="41482.0"/>
        <n v="40138.0"/>
        <n v="41429.0"/>
        <n v="41542.0"/>
        <n v="41461.0"/>
        <n v="41556.0"/>
        <n v="41410.0"/>
        <n v="41408.0"/>
        <n v="41407.0"/>
        <n v="41199.0"/>
        <n v="41198.0"/>
        <n v="41200.0"/>
        <n v="41365.0"/>
        <n v="41459.0"/>
        <n v="41554.0"/>
        <n v="41226.0"/>
        <n v="41458.0"/>
        <n v="41392.0"/>
        <n v="41445.0"/>
        <n v="41401.0"/>
        <n v="41400.0"/>
        <n v="41409.0"/>
        <n v="41402.0"/>
        <n v="41450.0"/>
        <n v="41411.0"/>
        <n v="41215.0"/>
        <n v="41572.0"/>
        <n v="41453.0"/>
        <n v="41451.0"/>
        <n v="41405.0"/>
        <n v="41404.0"/>
        <n v="41403.0"/>
        <n v="41497.0"/>
        <n v="41294.0"/>
        <n v="41367.0"/>
        <s v="SFCAC2026Calendar"/>
        <n v="41381.0"/>
        <n v="41382.0"/>
        <n v="41195.0"/>
        <n v="41523.0"/>
        <n v="41196.0"/>
        <n v="40611.0"/>
        <n v="41123.0"/>
        <n v="41391.0"/>
        <n v="41433.0"/>
        <n v="41457.0"/>
        <n v="41555.0"/>
        <n v="41553.0"/>
        <n v="41173.0"/>
        <n v="41164.0"/>
        <n v="41162.0"/>
        <n v="41166.0"/>
        <n v="41213.0"/>
        <n v="41214.0"/>
        <n v="41122.0"/>
        <n v="41090.0"/>
        <n v="41443.0"/>
        <n v="41225.0"/>
        <n v="41194.0"/>
        <n v="41159.0"/>
        <n v="41136.0"/>
        <n v="41211.0"/>
        <n v="41153.0"/>
        <n v="41212.0"/>
        <n v="41158.0"/>
        <n v="41152.0"/>
        <n v="41137.0"/>
        <n v="41135.0"/>
        <n v="41133.0"/>
        <n v="40773.0"/>
        <n v="41193.0"/>
        <n v="41192.0"/>
        <n v="41190.0"/>
        <n v="41210.0"/>
        <n v="41390.0"/>
        <n v="41432.0"/>
        <n v="41352.0"/>
        <n v="41426.0"/>
        <n v="41175.0"/>
        <n v="41151.0"/>
        <n v="41191.0"/>
        <n v="41209.0"/>
        <n v="41121.0"/>
        <n v="41127.0"/>
        <n v="41126.0"/>
        <n v="41041.0"/>
        <n v="41224.0"/>
        <n v="41208.0"/>
        <n v="41207.0"/>
        <n v="41040.0"/>
        <n v="41035.0"/>
        <n v="41168.0"/>
        <n v="41165.0"/>
        <n v="41218.0"/>
        <s v="41205&#10;41204"/>
        <n v="40693.0"/>
        <n v="41174.0"/>
        <n v="41034.0"/>
        <n v="41023.0"/>
        <n v="40851.0"/>
        <n v="41176.0"/>
        <n v="41022.0"/>
        <n v="41167.0"/>
        <n v="40711.0"/>
        <n v="41161.0"/>
        <n v="41021.0"/>
        <n v="40856.0"/>
        <n v="41163.0"/>
        <n v="41125.0"/>
        <n v="41124.0"/>
        <n v="41160.0"/>
        <n v="40645.0"/>
        <n v="40137.0"/>
        <n v="40847.0"/>
        <n v="40941.0"/>
        <n v="41001.0"/>
        <n v="40855.0"/>
        <s v="40811&#10;(Part B)"/>
        <n v="40609.0"/>
        <n v="40965.0"/>
        <n v="41091.0"/>
        <n v="41083.0"/>
        <n v="41109.0"/>
        <n v="41039.0"/>
        <n v="40853.0"/>
        <n v="40852.0"/>
        <n v="41033.0"/>
        <n v="41154.0"/>
        <n v="40942.0"/>
        <n v="41134.0"/>
        <n v="40619.0"/>
        <n v="40964.0"/>
        <n v="41015.0"/>
        <n v="41017.0"/>
        <n v="41016.0"/>
        <n v="41009.0"/>
        <n v="41038.0"/>
        <n v="41037.0"/>
        <n v="41036.0"/>
        <n v="40668.0"/>
        <n v="40966.0"/>
        <n v="41031.0"/>
        <n v="40673.0"/>
        <n v="40809.0"/>
        <n v="40854.0"/>
        <n v="41020.0"/>
        <n v="41019.0"/>
        <n v="41236.0"/>
        <n v="40689.0"/>
        <s v="40811&#10;(Part A)"/>
        <n v="41004.0"/>
        <n v="41032.0"/>
        <n v="41014.0"/>
        <n v="41202.0"/>
        <n v="41018.0"/>
        <n v="41051.0"/>
        <n v="40722.0"/>
        <n v="40995.0"/>
        <n v="40848.0"/>
        <n v="40624.0"/>
        <n v="40218.0"/>
        <n v="40849.0"/>
        <n v="40511.0"/>
        <n v="40267.0"/>
        <n v="41006.0"/>
        <n v="41005.0"/>
        <n v="41111.0"/>
        <n v="40692.0"/>
        <n v="40678.0"/>
        <n v="41049.0"/>
        <n v="41184.0"/>
        <n v="40968.0"/>
        <n v="40625.0"/>
        <n v="40621.0"/>
        <n v="40801.0"/>
        <n v="40550.0"/>
        <n v="40841.0"/>
        <n v="40878.0"/>
        <n v="41008.0"/>
        <n v="40994.0"/>
        <n v="40840.0"/>
        <n v="40850.0"/>
        <n v="40846.0"/>
        <n v="40622.0"/>
        <n v="40669.0"/>
        <n v="41065.0"/>
        <n v="40763.0"/>
        <n v="40650.0"/>
        <n v="40672.0"/>
        <n v="40987.0"/>
        <n v="40735.0"/>
        <n v="40800.0"/>
        <n v="40551.0"/>
        <n v="40710.0"/>
        <n v="40879.0"/>
        <n v="40549.0"/>
        <n v="40690.0"/>
        <n v="40721.0"/>
        <n v="40839.0"/>
        <n v="40838.0"/>
        <n v="40691.0"/>
        <n v="40623.0"/>
        <n v="40618.0"/>
        <n v="40612.0"/>
        <n v="40136.0"/>
        <n v="40777.0"/>
        <n v="40720.0"/>
        <n v="40708.0"/>
        <n v="40617.0"/>
        <n v="40616.0"/>
        <n v="40608.0"/>
        <n v="40706.0"/>
        <n v="40468.0"/>
        <n v="40699.0"/>
        <n v="40446.0"/>
        <n v="40635.0"/>
        <n v="40613.0"/>
        <n v="40615.0"/>
        <n v="40614.0"/>
        <n v="40610.0"/>
        <n v="40435.0"/>
        <n v="40434.0"/>
        <n v="40433.0"/>
        <s v="40806&#10;40739"/>
        <n v="40175.0"/>
        <n v="40442.0"/>
        <n v="40438.0"/>
        <n v="40330.0"/>
        <s v="40736&#10;40737"/>
        <n v="40502.0"/>
        <n v="40473.0"/>
        <n v="40445.0"/>
        <n v="40688.0"/>
        <n v="40671.0"/>
        <n v="40444.0"/>
        <n v="40443.0"/>
        <n v="40436.0"/>
        <n v="40437.0"/>
        <n v="40248.0"/>
        <n v="40349.0"/>
        <n v="40350.0"/>
        <n v="40670.0"/>
        <n v="40510.0"/>
        <n v="40328.0"/>
        <n v="40760.0"/>
        <n v="40222.0"/>
        <n v="40221.0"/>
        <n v="40220.0"/>
        <s v="40599&#10;40600"/>
        <n v="40250.0"/>
        <n v="40346.0"/>
        <n v="40327.0"/>
        <n v="40283.0"/>
        <n v="40653.0"/>
        <n v="40281.0"/>
        <n v="40172.0"/>
        <n v="40472.0"/>
        <n v="40219.0"/>
        <n v="40545.0"/>
        <n v="40501.0"/>
        <n v="40246.0"/>
        <n v="40546.0"/>
        <n v="40500.0"/>
        <n v="40570.0"/>
        <n v="40249.0"/>
        <n v="40278.0"/>
        <n v="40030.0"/>
        <n v="40321.0"/>
        <n v="40247.0"/>
        <n v="40242.0"/>
        <n v="40325.0"/>
        <n v="40324.0"/>
        <n v="40280.0"/>
        <n v="39652.0"/>
        <n v="40345.0"/>
        <n v="40276.0"/>
        <n v="40217.0"/>
        <n v="40339.0"/>
        <n v="39928.0"/>
        <n v="40173.0"/>
        <n v="40326.0"/>
        <n v="40424.0"/>
        <n v="40474.0"/>
        <n v="40032.0"/>
        <n v="40329.0"/>
        <n v="40266.0"/>
        <n v="40323.0"/>
        <n v="40167.0"/>
        <n v="40158.0"/>
        <n v="40170.0"/>
        <n v="39777.0"/>
        <n v="40275.0"/>
        <n v="40159.0"/>
        <n v="40168.0"/>
        <n v="40322.0"/>
        <n v="40320.0"/>
        <n v="40272.0"/>
        <n v="40166.0"/>
        <n v="40028.0"/>
        <n v="39749.0"/>
        <n v="40161.0"/>
        <n v="40026.0"/>
        <n v="40163.0"/>
        <n v="40031.0"/>
        <n v="39860.0"/>
        <n v="40273.0"/>
        <n v="40421.0"/>
        <n v="40160.0"/>
        <n v="40033.0"/>
        <n v="40164.0"/>
        <n v="39752.0"/>
        <n v="40029.0"/>
        <n v="40361.0"/>
        <n v="39747.0"/>
        <n v="39767.0"/>
        <n v="40450.0"/>
        <n v="39766.0"/>
        <n v="40338.0"/>
        <n v="39765.0"/>
        <n v="40279.0"/>
        <n v="39743.0"/>
        <n v="39763.0"/>
        <n v="39653.0"/>
        <n v="39907.0"/>
        <n v="40241.0"/>
        <n v="40027.0"/>
        <n v="40271.0"/>
        <n v="40319.0"/>
        <n v="39741.0"/>
        <n v="40337.0"/>
        <n v="39640.0"/>
        <n v="39751.0"/>
        <n v="39750.0"/>
        <n v="39768.0"/>
        <n v="40265.0"/>
        <n v="40425.0"/>
        <n v="40135.0"/>
        <n v="40019.0"/>
        <n v="39760.0"/>
        <n v="39737.0"/>
        <n v="39774.0"/>
        <n v="40206.0"/>
        <n v="39776.0"/>
        <n v="40296.0"/>
        <n v="40020.0"/>
        <n v="39764.0"/>
        <n v="39748.0"/>
        <n v="39736.0"/>
        <n v="39636.0"/>
        <n v="40303.0"/>
        <n v="40118.0"/>
        <n v="39632.0"/>
        <n v="39757.0"/>
        <n v="39756.0"/>
        <n v="39926.0"/>
        <n v="39738.0"/>
        <n v="39633.0"/>
        <n v="39859.0"/>
        <n v="39762.0"/>
        <n v="39739.0"/>
        <n v="39639.0"/>
        <n v="39742.0"/>
        <n v="39746.0"/>
        <n v="39927.0"/>
        <n v="39775.0"/>
        <n v="39794.0"/>
        <n v="39637.0"/>
        <n v="39629.0"/>
        <n v="39631.0"/>
        <n v="40291.0"/>
        <n v="39793.0"/>
        <n v="39627.0"/>
        <n v="39855.0"/>
        <n v="39755.0"/>
        <n v="39759.0"/>
      </sharedItems>
    </cacheField>
    <cacheField name="DEST &#10;Port" numFmtId="0">
      <sharedItems>
        <s v="NY"/>
        <s v="LA"/>
        <s v="NY-RC"/>
        <s v="OAK"/>
        <s v="LA-OAK"/>
      </sharedItems>
    </cacheField>
    <cacheField name="# of &#10;Ctns">
      <sharedItems containsMixedTypes="1" containsNumber="1" containsInteger="1">
        <n v="1000.0"/>
        <n v="465.0"/>
        <n v="5000.0"/>
        <n v="2111.0"/>
        <n v="1991.0"/>
        <n v="1870.0"/>
        <n v="940.0"/>
        <n v="4355.0"/>
        <n v="2391.0"/>
        <n v="1030.0"/>
        <n v="2081.0"/>
        <n v="2413.0"/>
        <n v="5280.0"/>
        <n v="4502.0"/>
        <n v="5251.0"/>
        <n v="5222.0"/>
        <s v="268 (LCL)"/>
        <n v="515.0"/>
        <n v="565.0"/>
        <n v="2050.0"/>
        <n v="2275.0"/>
        <n v="5034.0"/>
        <n v="1100.0"/>
        <n v="1055.0"/>
        <n v="2784.0"/>
        <n v="5250.0"/>
        <n v="758.0"/>
        <n v="500.0"/>
        <n v="1355.0"/>
        <s v="4&#10;(LCL)"/>
        <s v="960&#10;(LCL)"/>
        <n v="2576.0"/>
        <n v="980.0"/>
        <n v="1274.0"/>
        <n v="730.0"/>
        <n v="5252.0"/>
        <n v="2595.0"/>
        <n v="930.0"/>
        <n v="1260.0"/>
        <n v="900.0"/>
        <n v="4501.0"/>
        <s v="1870&#10;1000"/>
        <n v="1250.0"/>
        <n v="5244.0"/>
        <n v="2396.0"/>
        <n v="3992.0"/>
        <s v="341&#10;(LCL)"/>
        <n v="508.0"/>
        <s v="2PLTS&#10;(LCL)"/>
        <n v="2136.0"/>
        <n v="2598.0"/>
        <n v="5072.0"/>
        <n v="1855.0"/>
        <n v="510.0"/>
        <s v="154&#10;(LCL)"/>
        <n v="560.0"/>
        <n v="1726.0"/>
        <n v="981.0"/>
        <s v="111&#10;(LCL)"/>
        <s v="297&#10;(LCL)"/>
        <n v="4500.0"/>
        <n v="5024.0"/>
        <n v="1800.0"/>
        <n v="974.0"/>
        <n v="798.0"/>
        <n v="2750.0"/>
        <n v="600.0"/>
        <n v="5092.0"/>
        <n v="840.0"/>
        <n v="1245.0"/>
        <n v="1190.0"/>
        <n v="1920.0"/>
        <n v="5028.0"/>
        <n v="1495.0"/>
        <n v="1306.0"/>
        <s v="350&#10;(LCL)"/>
        <n v="1200.0"/>
        <n v="950.0"/>
        <n v="755.0"/>
        <n v="880.0"/>
        <n v="654.0"/>
        <n v="601.0"/>
        <n v="674.0"/>
        <s v="970&#10;1115"/>
        <n v="1130.0"/>
        <n v="2578.0"/>
        <n v="1600.0"/>
        <n v="307.0"/>
        <n v="1050.0"/>
        <s v="130&#10;(LCL)"/>
        <n v="1803.0"/>
        <n v="4356.0"/>
        <n v="2205.0"/>
        <n v="1070.0"/>
        <n v="5055.0"/>
        <n v="1230.0"/>
        <n v="2400.0"/>
        <n v="2141.0"/>
        <n v="1150.0"/>
        <n v="1981.0"/>
        <n v="1776.0"/>
        <s v="494&#10;(10 PLTS)"/>
        <n v="1052.0"/>
        <n v="970.0"/>
        <n v="1480.0"/>
        <n v="5035.0"/>
        <n v="910.0"/>
        <n v="1028.0"/>
        <n v="1745.0"/>
        <s v="60&#10;(LCL)"/>
        <n v="629.0"/>
        <n v="960.0"/>
        <s v="85&#10;(LCL)"/>
        <s v="240&#10;(LCL)"/>
        <s v="21PLTS"/>
        <n v="5384.0"/>
        <n v="1220.0"/>
        <n v="1065.0"/>
        <n v="1754.0"/>
      </sharedItems>
    </cacheField>
    <cacheField name="Container #" numFmtId="0">
      <sharedItems>
        <s v="EMCU1831705"/>
        <s v="TRHU1192680"/>
        <s v="MSBU1441385"/>
        <s v="OOCU8746893"/>
        <s v="TIIU5708888"/>
        <s v="TIIU4253022"/>
        <s v="NYKU0763980"/>
        <s v="EGSU1204746"/>
        <s v="EGSU6405580"/>
        <s v="EGSU9553472"/>
        <s v="CAIU7147119"/>
        <s v="EISU8319273"/>
        <s v="EGSU9145207"/>
        <s v="CAAU5721272"/>
        <s v="EGSU9339481"/>
        <s v="TGBU7295700"/>
        <s v="OOCU7821930"/>
        <s v="TXGU5830858"/>
        <s v="EGSU1325959"/>
        <s v="HAMU2440493"/>
        <s v="TCLU8909853"/>
        <s v="EGSU1842015"/>
        <s v="OOLU0364165"/>
        <s v="SLEU2498434"/>
        <s v="EGHU9684714"/>
        <s v="EMCU8734857"/>
        <s v="TIIU6494749"/>
        <s v="EGSU1532637"/>
        <s v="GAOU7242970"/>
        <s v="TXGU7521441"/>
        <s v="EGHU8502651"/>
        <s v="CSNU5563840"/>
        <s v="HMMU6533650"/>
        <s v="SZLU2035396"/>
        <s v="EMCU8737774"/>
        <s v="MRKU2224180"/>
        <s v="EMCU8825290"/>
        <s v="EITU1531406"/>
        <s v="TXGU8319327"/>
        <s v="TRHU8088384"/>
        <s v="EMCU9933508"/>
        <s v="TXGU7382243"/>
        <s v="CAAU5879400"/>
        <s v="FFAU5106528"/>
        <s v="TXGU6149089"/>
        <s v="TGBU9968307"/>
        <s v="TXGU7517499"/>
        <s v="EGSU6397139"/>
        <s v="EGSU6397951"/>
        <s v="EGSU6393257"/>
        <s v="EGSU6396533"/>
        <s v="OOLU4928345"/>
        <s v="HPGU2246267"/>
        <s v="MSKU0449872"/>
        <s v="TIIU4985609"/>
        <s v="EGSU1171540"/>
        <s v="EGSU9252313"/>
        <s v="EGHU9377765"/>
        <s v="YMLU8722024"/>
        <s v="EGHU9863427"/>
        <s v="TGBU4039114"/>
        <s v="TIIU5193231"/>
        <s v="EITU1745223"/>
        <s v="MAGU5279269"/>
        <s v="MRKU5182869"/>
        <s v="TRHU6843866"/>
        <s v="EGSU6310247"/>
        <s v="ONEU5817983"/>
        <s v="ONEU6018868"/>
        <s v="GCXU5250860"/>
        <s v="ONEU1867055"/>
        <s v="EGSU9462829"/>
        <s v="EITU9314897"/>
        <s v="EGSU9270030"/>
        <s v="EMCU8928282"/>
        <s v="TRHU1352685"/>
        <s v="EISU8520014"/>
        <s v="TIIU4904720"/>
        <s v="EGSU1535641"/>
        <s v="EGSU1499499"/>
        <s v="GCXU6342575"/>
        <s v="TXGU7384647"/>
        <s v="FFAU4868088"/>
        <s v="EGHU8201405"/>
        <s v="TXGU7377545"/>
        <s v="TIIU4263078"/>
        <s v="EGSU1028272"/>
        <s v="TIIU5402645"/>
        <s v="TLLU7936488"/>
        <s v="BEAU6310865"/>
        <s v="EGSU6388029"/>
        <s v="EMCU1577735"/>
        <s v="EGSU1120619"/>
        <s v="GAOU7228312"/>
        <s v="EITU9211116"/>
        <s v="EGSU9677730"/>
        <s v="ONEU5275814"/>
        <s v="EGSU9402060"/>
        <s v="EGSU1370135"/>
        <s v="EISU8366130"/>
        <s v="TLLU5791087"/>
        <s v="CAAU6813429"/>
        <s v="EMCU8617655"/>
        <s v="EGHU9341079"/>
        <s v="EGSU9896830"/>
        <s v="EISU8552520"/>
        <s v="EMCU1568230"/>
        <s v="TIIU4289658"/>
        <s v="TRHU4423150"/>
        <s v="EMCU8954152"/>
        <s v="CAAU7996556"/>
        <s v="EGSU9835202"/>
        <s v="TRHU8296080"/>
        <s v="ONEU2653377&#10;TGBU4659460"/>
        <s v="EGSU9607687"/>
        <s v="FFAU4887236"/>
        <s v="TLLU4909869"/>
        <s v="EGSU1558251"/>
        <s v="EITU1846445"/>
        <s v="TXGU5827520"/>
        <s v="EMCU8751221"/>
        <s v="TIIU6480067"/>
        <s v="EGSU1269834"/>
        <s v="EMCU8486555"/>
        <s v="HPCU4843164"/>
        <s v="EGSU1535235"/>
        <s v="TXGU5537686"/>
        <s v="EMCU9903817"/>
        <s v="TXGU7530295"/>
        <s v="EMCU8293582"/>
        <s v="SKIU9139421"/>
        <s v="CAIU5678380"/>
        <s v="GAOU6921235"/>
        <s v="TXGU7761988"/>
        <s v="TXGU5841723"/>
        <s v="EGSU9616570"/>
        <s v="EITU0580279"/>
        <s v="GCXU6321968"/>
        <s v="TLLU5494690"/>
        <s v="TGBU8636761"/>
        <s v="FBIU5193359"/>
        <s v="TIIU4499356"/>
        <s v="EITU9129060"/>
        <s v="EMCU9974298"/>
        <s v="TRHU8359275"/>
        <s v="EGSU1300842"/>
        <s v="TGBU9912170"/>
        <s v="TIIU5134373"/>
        <s v="ECMU7244916"/>
        <s v="CMAU3789999"/>
        <s v="MSNU5437441"/>
        <s v="BMOU6137646"/>
        <s v="EGSU1134588"/>
        <s v="EMCU1669019"/>
        <s v="EGSU1702327"/>
        <s v="TRHU5611676"/>
        <s v="CMAU9529664"/>
        <s v="SEKU5631358"/>
        <s v="EMCU8413688"/>
        <s v="FFAU6002092"/>
        <s v="CMAU9663420"/>
        <s v="FFAU1185909"/>
        <s v="EGSU1100839"/>
        <s v="TRHU5202240"/>
        <s v="EGHU8334075"/>
        <s v="GAOU6463180"/>
        <s v="HMMU6811474"/>
        <s v="TCKU6462650"/>
        <s v="EMCU6270530"/>
        <s v="EITU9339452"/>
        <s v="EISU8583352"/>
        <s v="TIIU5597315"/>
        <s v="CCLU7426453"/>
        <s v="YMMU6638962"/>
        <s v="MRKU9904701"/>
        <s v="EGSU9581427"/>
        <s v="CMAU7605359"/>
        <s v="EMCU8559380"/>
        <s v="WHSU6806448"/>
        <s v="EMCU8605422"/>
        <s v="CAAU5881769"/>
        <s v="EGHU9097907"/>
        <s v="EITU1059898"/>
        <s v="GAOU6935429"/>
        <s v="EITU1239293"/>
        <s v="MRSU7676755"/>
        <s v="CAAU5348934"/>
        <s v="EGSU9656681"/>
        <s v="OTPU6494513"/>
        <s v="EITU9064587"/>
        <s v="EMCU5691411"/>
        <s v="WHSU8077638"/>
        <s v="WHSU5928288"/>
        <s v="TIIU4874863"/>
        <s v="TIIU5431237"/>
        <s v="MSMU6235729"/>
        <s v="ONEU0288526"/>
        <s v="GCXU8001900"/>
        <s v="SEGU1466939"/>
        <s v="EGSU1230133"/>
        <s v="EMCU1544855"/>
        <s v="GCXU6359285"/>
        <s v="WHSU8100281"/>
        <s v="TIIU6787752"/>
        <s v="TCLU8888302"/>
        <s v="EMCU1805671"/>
        <s v="EGHU3728287"/>
        <s v="OOCU8587549"/>
        <s v="WHSU0219470"/>
        <s v="HLBU6053390"/>
        <s v="CAAU5883099"/>
        <s v="TLLU4761004"/>
        <s v="TLLU7752006"/>
        <s v="HLBU9803564"/>
        <s v="TCNU6513618"/>
        <s v="EMCU8667466"/>
        <s v="EMCU8830399"/>
        <s v="EGSU9387432"/>
        <s v="EGSU9623610"/>
        <s v="CSNU7385780"/>
        <s v="TCNU3969970"/>
        <s v="TIIU6041315"/>
        <s v="EGSU9808948"/>
        <s v="ONEU9273316"/>
        <s v="EMCU8458147"/>
        <s v="TIIU6240908"/>
        <s v="GCXU6437011"/>
        <s v="TLLU8980593"/>
        <s v="TXGU6565091"/>
        <s v="EISU8516605"/>
        <s v="OOCU0370855"/>
        <s v="GAOU7265701"/>
        <s v="SEGU1790188"/>
        <s v="TXGU7988797"/>
        <s v="HMMU6423329"/>
        <s v="EGSU3599157"/>
        <s v="EGSU9539622"/>
        <s v="CAAU9456789"/>
        <s v="CAAU8056181"/>
        <s v="TIIU5448369"/>
        <s v="MSBU6703913"/>
        <s v="FFAU3709610"/>
        <s v="FSCU8023017"/>
        <s v="SMCU1150351"/>
        <s v="TIIU5200840"/>
        <s v="EGSU1444140"/>
        <s v="TIIU5040572"/>
        <s v="CAAU7773188"/>
        <s v="OOLU7962127&#10;OOCU7970168"/>
        <s v="KOCU5095812"/>
        <s v="WHSU6896987"/>
        <s v="ONEU0757140"/>
        <s v="EISU8506973"/>
        <s v="OOCU7103790"/>
        <s v="CMAU6735281"/>
        <s v="FFAU2513875"/>
        <s v="MSDU6042301 "/>
        <s v="MSNU6118048"/>
        <s v="UETU6125049"/>
        <s v="TTNU1149532"/>
        <s v="MRKU3420649"/>
        <s v="TXGU5762305"/>
        <s v="TRHU8966788"/>
        <s v="EGSU9812151"/>
        <s v="MSKU9895068"/>
        <s v="EGSU9397847"/>
        <s v="EMCU8680600"/>
        <s v="TIIU5913408"/>
        <s v="KOCU2189190"/>
        <s v="TIIU6357094"/>
        <s v="MRSU3359900"/>
        <s v="GCXU6245024"/>
        <s v="TCKU6049035"/>
        <s v="TIIU5463023"/>
        <s v="EITU9309735"/>
        <s v="WHSU6555255"/>
        <s v="TXGU7922742"/>
        <s v="TIIU5117566"/>
        <s v="TIIU4988568"/>
        <s v="EGSU1271111"/>
        <s v="CAAU5329636"/>
        <s v="TRHU7760848"/>
        <s v="EGSU9576626"/>
        <s v="EITU1056420"/>
        <s v="EMCU8456890"/>
        <s v="TGCU5445132"/>
        <s v="EMCU8277278"/>
        <s v="EITU1166197"/>
        <s v="FFAU4899875"/>
        <s v="FSCU7139532"/>
        <s v="EMCU8926905"/>
        <s v="TGBU8671422"/>
        <s v="EGHU8210393"/>
        <s v="EGHU9875900"/>
        <s v="TIIU5333307"/>
        <s v="GAOU6328174"/>
        <s v="WHSU6938491"/>
        <s v="EGHU8278412"/>
        <s v="MAGU5213092"/>
        <s v="TXGU7804950"/>
        <s v="EGHU9753728"/>
        <s v="EMCU8429874"/>
        <s v="YMMU6532013"/>
        <s v="EMCU1722598"/>
        <s v="MSNU5221344"/>
        <s v="GAOU6450177"/>
        <s v="EMCU8674341"/>
        <s v="TIIU5459595"/>
        <s v="TIIU6045563"/>
        <s v="EMCU8523392"/>
        <s v="TCNU1477966"/>
        <s v="EMCU8720160"/>
        <s v="WHSU6570558"/>
        <s v="WHLU5668570"/>
        <s v="EISU8485280"/>
        <s v="EITU9301760"/>
        <s v="EITU1767264"/>
        <s v="WHSU6115852"/>
        <s v="TIIU6400903"/>
        <s v="WHSU6928106"/>
        <s v="CMAU9402392"/>
        <s v="TIIU5838006"/>
        <s v="ONEU0901005"/>
        <s v="TGBU6574450"/>
        <s v="CAAU5692786"/>
        <s v="TLLU7979509"/>
        <s v="YMLU5720769"/>
        <s v="WHSU6479941"/>
        <s v="WHSU6609942"/>
        <s v="TLLU4355160"/>
        <s v="EGSU9572810"/>
        <s v="EGSU1351808"/>
        <s v="KKFU7927765 "/>
        <s v="TXGU7479188"/>
        <s v="BSIU8391260"/>
        <s v="EMCU6123680"/>
        <s v="TRHU8476219"/>
        <s v="DRYU9572210"/>
        <s v="MSNU6673307"/>
        <s v="EMCU8899923"/>
        <s v="EGSU9337350"/>
        <s v="TGBU9930425"/>
        <s v="EMCU8680663"/>
        <s v="TIIU6803318"/>
        <s v="TRHU3886041"/>
        <s v="ONEU0888900"/>
        <s v="TIIU4499438"/>
        <s v="EGHU9763686"/>
        <s v="EGSU9569210"/>
        <s v="EITU9268997"/>
        <s v="TGCU5401983"/>
        <s v="TXGU7961081"/>
        <s v="TXGU8286286"/>
        <s v="MSDU5948781"/>
        <s v="TGBU8677673"/>
        <s v="ONEU9289550"/>
        <s v="HMMU6689860"/>
        <s v="MSMU6253384"/>
        <s v="TGBU6437523"/>
        <s v="GAOU6508366"/>
        <s v="CAIU7395408"/>
        <s v="CICU4756219"/>
        <s v="MRSU5822151"/>
        <s v="EMCU5630910"/>
        <s v="EGHU8260840"/>
        <s v="CAAU7039940"/>
        <s v="EGSU9230166"/>
        <s v="ONEU1944911"/>
        <s v="TRHU4032772"/>
        <s v="EGSU9382894"/>
        <s v="ONEU6017060 "/>
        <s v="EMCU1815469"/>
        <s v="GAOU6987417"/>
        <s v="EGSU9699770"/>
        <s v="EMCU1750500"/>
        <s v="OOCU8498164"/>
        <s v="SLPU5013696"/>
        <s v="MRKU5992176"/>
        <s v="CAAU5220590"/>
        <s v="OOCU7426344"/>
        <s v="TGBU8026199"/>
        <s v="TRHU8954025"/>
        <s v="EGSU9562659"/>
        <s v="CBHU7085320"/>
        <s v="GAOU7299297"/>
        <s v="EGHU9095205"/>
        <s v="BEAU5168099"/>
        <s v="TXGU7465970"/>
        <s v="EMCU8726527"/>
        <s v="DRYU4064984"/>
        <s v="MSKU0542033"/>
        <s v="EMCU8677485"/>
        <s v="EMCU8567045"/>
        <s v="EMCU8619684"/>
        <s v="CAAU7032272"/>
      </sharedItems>
    </cacheField>
    <cacheField name="Product Description" numFmtId="0">
      <sharedItems>
        <s v="GHC TURMERIC D-04033, GHC LEMON D-04043, GHC D-04061"/>
        <s v="ON KEE ABALONE"/>
        <s v="GAVOTTES"/>
        <s v="ORGANIC TEA&#10;D-13206, D-14206, D-15206, D-17206, D-18206, D-19206"/>
        <s v="THAI TEA, MATCHA LATTE, CAPPUCCINO, TEA LATTE"/>
        <s v="THAI TEA, MATCHA LATTE"/>
        <s v="GHC LEMON D-04017, GHC TURMERIC D-04018&#10;(to RC Commerce)"/>
        <s v="GINGER CHEWS 8 OZ (BLOOD ORANGE), QC SAMPLE"/>
        <s v="GINGER CHEWS 1 LBS (ORIGINAL), QC SAMPLE"/>
        <s v="GHC D-04011, D-04061, GHC LEMON D-04043, GHC AGSG D-04030"/>
        <s v="GHC D-04016&#10;(to RC Commerce)"/>
        <s v="GHC D-04011, D-04061, GHC PASSION FRUIT D-04048"/>
        <s v="AM GSG CANDY, QC SAMPLE"/>
        <s v="GINGER CHEWS 2 OZ (LEMON), QC SAMPLE"/>
        <s v="GHC D-04011, D-04061, GHC DARK BROWN SUGAR D-41986"/>
        <s v="ORGANIC TEA&#10;D-13206, D-13212, D-14206, D-14212, D-15206, D-15212, D-17206, D-18206, D-18212, D-19206"/>
        <s v="GINGER CHEWS 8 OZ (ORIGINAL, LEMON), QC SAMPLE"/>
        <s v="GINGER CHEWS 4 OZ (ORIGINAL), QC SAMPLE"/>
        <s v="ORGANIC TEA&#10;D-13206, D-14206, D-15206, D-15212, D-17206, D-18206, D-18212, D-19206, D-19212"/>
        <s v="SEIROGAN 36, 100 PILLS"/>
        <s v="MEI-XIN"/>
        <s v="RED GINSENG ROYAL JELLY&#10;C-70052"/>
        <s v="GINGER CHEWS 2 OZ (ORIGINAL, LEMON), QC SAMPLE"/>
        <s v="GINGER CHEW PLUS+ 3 OZ (ORIGINAL, LEMON), QC SAMPLE"/>
        <s v="GINGER CHEWS 8 OZ (MANGO, LYCHEE), QC SAMPLE"/>
        <s v="TEA&#10;D-13106, D-13306, D-14106, D-15106, D-16106, D-17106, D-18106, D-18012"/>
        <s v="RED PANAX GINSENG EXTRACT, GINKGO BILOBA, ULTRA GINGKGO PLUS, ULTRA JOINT HEALTH"/>
        <s v="McVITIES"/>
        <s v="GINGER CHEWS 4 OZ (ORIGINAL, LEMON), QC SAMPLE"/>
        <s v="RED PANAX GINSENG EXTRACT, GINKGO BILOBA, ULTRA JOINT HEALTH, BEIJING ROYAL JELLY"/>
        <s v="GHC D-04011, GHC TURMERIC D-04033, GHC LEMON D-04043"/>
        <s v="GINGER CHEWS 8 OZ (MANGO), QC SAMPLE"/>
        <s v="GINGER CHEWS 8 OZ (LYCHEE), QC SAMPLE"/>
        <s v="GINGER CHEW PLUS+ 3 OZ (ORIGINAL), QC SAMPLE"/>
        <s v="GINGER CHEWS 8 OZ (ASSORTED), QC SAMPLE"/>
        <s v="1MM CRACKER"/>
        <s v="GINGER CHEWS 2 OZ (ORIGINAL), QC SAMPLE"/>
        <s v="GINGER CHEWS 4 OZ (MANGO, BLOOD ORANGE, PINEAPPLE COCONUT), QC SAMPLE"/>
        <s v="ORGANIC TEA&#10;D-13400, D-15400&#10;(to RC Commerce)"/>
        <s v="PANAX GINSENG EXTRACT (C-70021)"/>
        <s v="BEE &amp; FLOWER SOAP"/>
        <s v="CALENDAR"/>
        <s v="GINGER CHEWS 8 OZ (MANGO, ASSORTED), QC SAMPLE"/>
        <s v="WING WAH COOKIES &amp; DESSERT"/>
        <s v="GINGER CHEWS 1 LBS (MANGO, BLOOD ORANGE), QC SAMPLE"/>
        <s v="GHC D-04011, D-04061"/>
        <s v="GHC D-04011, DONG QUAI RED DATE TEA D-04020, GHC LEMON D-04043, INSTANT TEA CHINESE BULK A-6101G"/>
        <s v="RED PANAX GINSENG EXTRACT, ULTRA GINKGO PLUS"/>
        <s v="RICHY BISCUITS"/>
        <s v="GINGER CHEWS 8 OZ (LYCHEE, BLOOD ORANGE, ASSORTED), QC SAMPLE"/>
        <s v="GINGER CHEWS 4 OZ (LEMON, BLOOD ORANGE), QC SAMPLE"/>
        <s v="HONEY LOQUAT CANDY&#10;F-11076A, F-11178A"/>
        <s v="GINGER CHEWS 4 OZ (ORIGINAL, HARD), QC SAMPLE"/>
        <s v="GINGER CHEWS 8 OZ (MANGO, LYCHEE, BLOOD ORANGE), QC SAMPLE"/>
        <s v="GINGER CHEWS 8 OZ (LEMON, MANGO, BLOOD ORANGE), QC SAMPLE"/>
        <s v="GINGER CHEWS 8 OZ (MANGO, BLOOD ORANGE, ASSORTED), QC SAMPLE"/>
        <s v="GINGER CHEWS 1 KG (ORIGINAL), QC SAMPLE&#10;(to RC Commerce)"/>
        <s v="GINGER CHEWS 4 OZ (ORIGINAL), HARD CANDY 4 OZ, QC SAMPLE"/>
        <s v="GHC D-04011, GHC TUMERIC D-04033, GHC PASSION FRUIT D-04048, INSTANT TEA CHINESE HERBAL BULK A-6101G "/>
        <s v="GHC PLUM D-04036, GHC PASSION FRUIT D-04038, GHC MATCHA D-04024, GHC D-04061"/>
        <s v="GHC D-04011, GHC PASSION FRUIT D-04048, GHC DARK BROWN SUGAR D-41986"/>
        <s v="GINGER CHEWS 4 OZ (MANGO), QC SAMPLE"/>
        <s v="GINGER CHEWS 4 OZ (MANGO, LYCHEE), QC SAMPLE"/>
        <s v="GINGER CHEWS 4 OZ (BLOOD ORANGE, PINEAPPLE COCONUT), QC SAMPLE"/>
        <s v="GINGER CHEWS 8 OZ (ORIGINAL), QC SAMPLE"/>
        <s v="GINGER CHEWS 4 OZ (MANGO, LYCHEE, PINEAPPLE COCONUT), QC SAMPLE"/>
        <s v="GINGER CHEWS 1 KG (ASSORTED), QC SAMPLE&#10;(to RC Commerce)"/>
        <s v="GHC LEMON D-04037, GHC D-04061"/>
        <s v="GINGER CHEWS 8 OZ (BLOOD ORANGE, PINEAPPLE COCONUT, COLA), QC SAMPLE"/>
        <s v="GINGER CHEWS 8 OZ (BLOOD ORANGE, ASSORTED), QC SAMPLE"/>
        <s v="GINGER HARD CANDY 4 OZ, 4 OZ (ORIGINAL), QC SAMPLE"/>
        <s v="GINGER CHEWS 4 OZ (LEMON), QC SAMPLE"/>
        <s v="GINGER HARD CANDY 4 OZ, QC SAMPLE"/>
        <s v="GINGER CHEWS 8 OZ (LYCHEE, BLOOD ORANGE), QC SAMPLE"/>
        <s v="YNBY TOOTHPASTE"/>
        <s v="SEIROGAN 36, 100, 400 PILLS"/>
        <s v="GINGER CHEWS 4 OZ (COLA), QC SAMPLE"/>
        <s v="GINGER CHEWS 4 OZ (LEMON, MANGO, LYCHEE, BLOOD ORANGE), QC SAMPLES"/>
        <s v="SEALER &amp; SHRINK WRAP MACHINES"/>
        <s v="GINGER CHEWS PLUS+ 3 OZ (ORIGINAL, LEMON), QC SAMPLE"/>
        <s v="GINGER CHEWS 4 OZ (LEMON, MANGO), QC SAMPLE"/>
        <s v="GINGER CHEWS 8 OZ (ORIGINAL, LEMON), QC SAMPLES"/>
        <s v="GINGER HARD CANDY 4 OZ, GINGER CHEWS 4 OZ (ORIGINAL), QC SAMPLE"/>
        <s v="GINGER CHEWS 4 OZ (LYCHEE, BLOOD ORANGE), QC SAMPLE"/>
        <s v="GINGER HARD CANDY 1 KG, QC SAMPLE&#10;(to RC Commerce)"/>
        <s v="ORGANIC TEA&#10;D-13206, D-13212, D-14206, D-15206, D-17206, D-18206, D-19206"/>
        <s v="CAPPUCCINO, THAI TEA, MATCHA LATTE"/>
        <s v="RED PANAX GINSENG EXTRACT (C-70121/C-70123/C-70113)"/>
        <s v="GHC PLUM D-04036, GHC MATCHA D-04024, GHC D-04061"/>
        <s v="GINGER CHEW 8 OZ (ORIGINAL, LEMON), QC SAMPLE"/>
        <s v="CALENDARS &amp; ENVELOPES"/>
        <s v="RED GINSENG ROYAL JELLY&#10;C-70050, C-70052"/>
        <s v="TEA LATTE, MATCHA LATTE"/>
        <s v="GINGER CHEWS 4 OZ (LEMON, LYCHEE, BLOOD ORANGE), QC SAMPLE"/>
        <s v="GHC LEMON D-04017, GHC COCONUT D-04047&#10;(to RC Commerce)"/>
        <s v="GHC D-04011, GHC TURMERIC D-04033, GHC LEMON D-04043, GHC ASSORTED D-04040, INSTANT TEA CHINESE HERBAL BULK A-6101G"/>
        <s v="GHC D-04011, GHC TURMERIC D-04033, GHC ASSORTED D-04040, GHC LEMON D-04043"/>
        <s v="RED PANAX GINSENG EXTRACT, AG ROYAL JELLY BEE POLLEN"/>
        <s v="GHC D-04011, GHC D-04043"/>
        <s v="WING WAH MOONCAKES, ICY MOONCAKES"/>
        <s v="POP TEA&#10;D-60011B, D-60012B, D-60013B, D-60023B, D-60014B, D-60015B, D-60017B"/>
        <s v="ALUMINIUM FOIL&#10;(to Sun Ten, 8 PLTS)"/>
        <s v="GHC D-04011, GHC TURMERIC D-04033, GHC LEMON D-04043, INSTANT TEA CHINESE HERBAL BULK A-6101G"/>
        <s v="WING WAH MOONCAKES"/>
        <s v="HONEY LOQUAT CANDY&#10;F-11076A, F-11077, F-11078, F-11148A, F-11178A"/>
        <s v="GINGER CHEWS 1 KG (ASSORTED), QC SAMPLE"/>
        <s v="GINGER CHEWS 8 OZ (ORIGINAL, LEMON)"/>
        <s v="GINGER CHEWS 4 OZ (ORIGINAL)"/>
        <s v="GINGER CHEWS 1 KG (ORIGINAL), QC SAMPLE"/>
        <s v="ESSENCE OF CHICKEN DRINK"/>
        <s v="ORGANIC TEA &#10;D-13206, D-13212, D-14206, D-15206, D-17206, D-18206, D-19206"/>
        <s v="AM GSG CANDY"/>
        <s v="GHC D-04061, GHC AM GSG D-04030, GHC LEMON D-04037, INSTANT TEA CHINESE HERBAL BULK A-6101G"/>
        <s v="ORGANIC TEA&#10;D-13206, D-14206, D-15206, D-18206, D-19206"/>
        <s v="GHC D-04011, GHC TURMERIC D-04033, GHC ASSORTED D-04040"/>
        <s v="TEA&#10;D-13106, D-13012, D-13306, D-14106, D-15106, D-16106, D-17106, D-18106"/>
        <s v="GHC LEMON D-04037, GHC D-04061, DONG QUAI RED DATE D-04020"/>
        <s v="CAPPUCCINO, THAI TEA"/>
        <s v="GHC TURMERIC D-04032, GHC LEMON D-04037, GHC D-04061"/>
        <s v="SEIROGAN 100, 400 PILLS"/>
        <s v="IRVINS POTATO CHIPS, SALMON SKIN"/>
        <s v="TEA LATTE, QC SAMPLE"/>
        <s v="GHC TURMERIC D-04032, GHC D-04061, GHC BROWN SUGAR D-41986"/>
        <s v="KOREAN GINSENG TEA, TU CHUNG TEA, YOUNG JI TEA"/>
        <s v="BRAND'S ESSENCE OF CHICKEN"/>
        <s v="GINGER CHEWS 8 OZ (ORIGINAL)"/>
        <s v="KOREAN GINSENG TEA, TU CHUNG TEA, YOUNG JI TEA, KOREAN GINSENG POWDER "/>
        <s v="GINGER HARD CANDY 4 OZ, CHEWS 4 OZ (ORIGINAL)"/>
        <s v="GHC TURMERIC D-04032, GHC LEMON D-04037, GHC D-04061, INSTANT TEA CHINESE HERBAL BULK A-6101G"/>
        <s v="GINGER CHEWS 4 OZ (LEMON, MANGO, PINEAPPLE COCNUT), QC SAMPLE "/>
        <s v="GHC TURMERIC D-04032, GHC LEMON D-04037, GHC BROWN SUGAR D-41986"/>
        <s v="ORGANIC TEA&#10;D-13206, D-14206, D-14212, D-15206, D-17206, D-18206, D-19206"/>
        <s v="GINGER CHEWS 1 LB (LEMON, MANGO), QC SAMPLE"/>
        <s v="RED GINSENG ROYAL JELLY (C-70052)"/>
        <s v="RED PANAX GINSENG EXTRACT, GINKGO BILOBA, ULTRA GINKGO PLUS, ULTRA JOINT HEALTH, AMERICAN GINSENG ROYAL JELLY"/>
        <s v="GHC D-04016, D-04018&#10;(to RC Commerce)"/>
        <s v="SOAP (S-06022)"/>
        <s v="GINGER CHEWS 4 OZ (MANGO, LYCHEE, BLOOD ORANGE)"/>
        <s v="RED PANAX GINSENG EXTRACT, GINKGO BILOBA, ULTRA GINKGO PLUS"/>
        <s v="GHC LEMON D-04037, D-04043"/>
        <s v="ALUMINIUM FOIL&#10;(to Sun Ten, 4 PLTS)"/>
        <s v="GHC D-04011, GHC TURMERIC D-04033"/>
        <s v="GINGER CHEWS 1 LB (MANGO, BLOOD ORANGE)"/>
        <s v="GINGER CHEWS 4 OZ (LEMON)"/>
        <s v="ORGANIC TEA&#10;D-13206, D-14206, D-15206, D-182066"/>
        <s v="GHC TURMERIC D-04032, GHC MATCHA D-04024, GHC LEMON D-04037, GHC D-04061"/>
        <s v="GINGER CHEWS 4 OZ (LEMON, MANGO, BLOOD ORANGE, PINEAPPLE COCONUT), QC SAMPLE"/>
        <s v="GINGER CHEWS 8 OZ (LYCHEE, ASSORTED)"/>
        <s v="GHC D-04011, GHC LEMON D-04043"/>
        <s v="GHC D-04011, GHC TURMERIC D-04033, GHC MATCHA D-04024, GHC LEMOM D-04043"/>
        <s v="GINGER CHEWS 8 OZ (MANGO, LYCHEE)"/>
        <s v="GHC D-04011, GHC TURMERIC D-04032, GHC LEMON D-04037, INSTANT TEA CHINESE HERBAL BULK A-6101G"/>
        <s v="ORGANIC TEA&#10;D-13206, D-14206, D-15206, D-17206, D-18206, D-18212, D-19206"/>
        <s v="ZESS CRACKERS"/>
        <s v="GINGER CHEWS 4 OZ (MANGO)"/>
        <s v="GHC D-04016, GHC TURMERIC D-04018&#10;(to RC Commerce)"/>
        <s v="GINGER CHEWS 1 LB (ORIGINAL)"/>
        <s v="GINGER CHEWS 8 OZ (LYCHEE)"/>
        <s v="GINGER CHEWS 1 LB (LEMON, LYCHEE, BLOOD ORANGE)"/>
        <s v="GINGER CHEWS 4 OZ (LEMON, BLOOD ORANGE, PINEAPPLE COCONUT)"/>
        <s v="GHC LEMON D-04037, GHC TURMERIC D-04033"/>
        <s v="GINGER CHEWS 4 OZ (LYCHEE) 2 OZ (ORIGINAL)"/>
        <s v="GINGER CHEWS 4 OZ (LEMON, LYCHEE, BLOOD ORANGE)"/>
        <s v="GHC D-04011"/>
        <s v="GINGER CHEWS 2 OZ (ORIGINAL, LEMON)"/>
        <s v="GINGER CHEWS 4 OZ (MANGO, BLOOD ORANGE)"/>
        <s v="GINGER CHEWS PLUS+ 3 OZ (ORIGINAL)"/>
        <s v="GINGER CHEWS 8 OZ (MANGO)"/>
        <s v="GINGER CHEWS 1 LB (LEMON, MANGO, BLOOD ORANGE)"/>
        <s v="GINGER CHEWS 4 OZ (LYCHEE, PINEAPPLE COCONUT)"/>
        <s v="GINGER CHEWS 8 OZ (MANGO, BLOOD ORANGE)"/>
        <s v="RED PANAX GINSENG EXTRACT, GINKGO BILOBA, ULTRA GINKGO PLUS, ULTRA JOINT HEALTH"/>
        <s v="GHC TURMERIC D-04033, GHC LEMON D-04043"/>
        <s v="GINGER CHEWS 4 OZ (PINEAPPLE COCONUT)"/>
        <s v="GINGER CHEWS 4 OZ (LEMON, MANGO)"/>
        <s v="GINGER CHEWS 8 OZ (MANGO, LYCHEE, BLOOD ORANGE, ASSORTED)"/>
        <s v="GHC D-04011, DONG QUAI RED DATE TEA D-04020, GHC TURMERIC D-04032, GHC LEMON D-04037, INSTANT TEA CHINESE HERBAL BULK A-6101G"/>
        <s v="GHC D-04011, GHC LEMON D-04043, GHC PASSION FRUIT D-04038"/>
        <s v="TEA LATTE, THAI TEA"/>
        <s v="TEA&#10;D-13106, D-13012, D-13306, D-14106, D-15106, D-16106, D-17106, D-60021B"/>
        <s v="GHC D-04011, GHC TURMERIC D-04033, GHC PASSION FRUIT D-04038"/>
        <s v="GINGER CHEWS 1 KG (ASSORTED)&#10;(to RC Commerce)"/>
        <s v="GHC D-04011, GHC TURMERIC D-04032, GHC PASSION FRUIT D-04038, INSTANT TEA CHINESE HERBAL BULK A-6101G"/>
        <s v="GINGER CHEWS 1 LB (LEMON, MANGO, LYCHEE, BLOOD ORANGE)"/>
        <s v="GINGER CHEWS 4 OZ (LEMON, MANGO, LYCHEE)"/>
        <s v="GINGER CHEWS PLUS+ 3 OZ (ORIGINAL, LEMON)"/>
        <s v="GINGER CHEWS 1 LB, 4 OZ (ORIGINAL)"/>
        <s v="GHC D-04016, GHC COCONUT D-04047&#10;(to RC Commerce)"/>
        <s v="GINGER CHEWS 8 OZ (LEMON)"/>
        <s v="GHC D-04011, GHC LEMON D-04037"/>
        <s v="RED GINSENG ROYAL JELLY, GOJI ON THE GO"/>
        <s v="GHC D-04011, GCH TURMEIC D-04033, D-04032"/>
        <s v="TEA&#10;D-60011B, D-60012B, D-60013B, D-60014B, D-60015B, D-60017B&#10;(3 PLTS)"/>
        <s v="GINGER CHEWS 8 OZ (ORIGINAL, MANGO)"/>
        <s v="ALUMINIUM FOIL &amp; TAG&#10;(to Sun Ten, 6 PLTS)"/>
        <s v="GINGER CHEWS 4 OZ (LEMON, BLOOD ORANGE)"/>
        <s v="GINGER CHEWS 4 OZ (MANGO, BLOOD ORANGE, PINEAPPLE COCONUT)"/>
        <s v="GINGER CHEWS 8 OZ (ASSORTED)"/>
        <s v="GINGER CHEWS 4 OZ (LEMON, MANGO, LYCHEE, PINEAPPLE COCONUT)"/>
        <s v="RED PANAX GINSENG EXTRACT, GINKGO BILOBA EXTRACT, ULTRA GINKGO PLUS, ULTRA JOINT HEALTH, BEIJING ROYAL JELLY"/>
        <s v="GINGER CHEWS 8 OZ (LYCHEE, BLOOD ORANGE, ASSORTED)"/>
        <s v="ORGANIC TEA&#10;D-13206, D-13212, D-15206, D-15212, D-18206, D-19206"/>
        <s v="GHC D-04061, GHC LEMON D-04043, D-04037"/>
        <s v="GINGER CHEWS 2 OZ (ORIGINAL)"/>
        <s v="GHC D-04011, D-04061, GHC LEMON D-04043"/>
        <s v="GINGER CHEWS 2 OZ (LEMON)"/>
        <s v="GINGER HARD CANDY 4 OZ"/>
        <s v="GINGER CHEWS 1 LB, 4 OZ (ORIGINAL), HARD CANDY"/>
      </sharedItems>
    </cacheField>
    <cacheField name=" ETA Port Date" numFmtId="14">
      <sharedItems containsSemiMixedTypes="0" containsNonDate="0" containsDate="1" containsString="0" minDate="2025-01-02T00:00:00Z" maxDate="2026-01-01T00:00:00Z">
        <d v="2025-12-31T00:00:00Z"/>
        <d v="2025-12-30T00:00:00Z"/>
        <d v="2025-12-26T00:00:00Z"/>
        <d v="2025-12-24T00:00:00Z"/>
        <d v="2025-12-22T00:00:00Z"/>
        <d v="2025-12-19T00:00:00Z"/>
        <d v="2025-12-18T00:00:00Z"/>
        <d v="2025-12-17T00:00:00Z"/>
        <d v="2025-12-15T00:00:00Z"/>
        <d v="2025-12-14T00:00:00Z"/>
        <d v="2025-12-12T00:00:00Z"/>
        <d v="2025-12-10T00:00:00Z"/>
        <d v="2025-12-06T00:00:00Z"/>
        <d v="2025-12-05T00:00:00Z"/>
        <d v="2025-12-04T00:00:00Z"/>
        <d v="2025-12-03T00:00:00Z"/>
        <d v="2025-12-02T00:00:00Z"/>
        <d v="2025-11-29T00:00:00Z"/>
        <d v="2025-11-28T00:00:00Z"/>
        <d v="2025-11-26T00:00:00Z"/>
        <d v="2025-11-25T00:00:00Z"/>
        <d v="2025-11-24T00:00:00Z"/>
        <d v="2025-11-20T00:00:00Z"/>
        <d v="2025-11-18T00:00:00Z"/>
        <d v="2025-11-17T00:00:00Z"/>
        <d v="2025-11-16T00:00:00Z"/>
        <d v="2025-11-15T00:00:00Z"/>
        <d v="2025-11-14T00:00:00Z"/>
        <d v="2025-11-12T00:00:00Z"/>
        <d v="2025-11-11T00:00:00Z"/>
        <d v="2025-11-08T00:00:00Z"/>
        <d v="2025-11-04T00:00:00Z"/>
        <d v="2025-10-30T00:00:00Z"/>
        <d v="2025-10-25T00:00:00Z"/>
        <d v="2025-10-23T00:00:00Z"/>
        <d v="2025-10-19T00:00:00Z"/>
        <d v="2025-10-18T00:00:00Z"/>
        <d v="2025-10-16T00:00:00Z"/>
        <d v="2025-10-11T00:00:00Z"/>
        <d v="2025-10-10T00:00:00Z"/>
        <d v="2025-10-09T00:00:00Z"/>
        <d v="2025-10-08T00:00:00Z"/>
        <d v="2025-10-06T00:00:00Z"/>
        <d v="2025-10-02T00:00:00Z"/>
        <d v="2025-09-30T00:00:00Z"/>
        <d v="2025-09-26T00:00:00Z"/>
        <d v="2025-09-25T00:00:00Z"/>
        <d v="2025-09-23T00:00:00Z"/>
        <d v="2025-09-22T00:00:00Z"/>
        <d v="2025-09-20T00:00:00Z"/>
        <d v="2025-09-19T00:00:00Z"/>
        <d v="2025-09-16T00:00:00Z"/>
        <d v="2025-09-15T00:00:00Z"/>
        <d v="2025-09-10T00:00:00Z"/>
        <d v="2025-09-09T00:00:00Z"/>
        <d v="2025-09-06T00:00:00Z"/>
        <d v="2025-09-04T00:00:00Z"/>
        <d v="2025-09-02T00:00:00Z"/>
        <d v="2025-08-31T00:00:00Z"/>
        <d v="2025-08-29T00:00:00Z"/>
        <d v="2025-08-24T00:00:00Z"/>
        <d v="2025-08-23T00:00:00Z"/>
        <d v="2025-08-21T00:00:00Z"/>
        <d v="2025-08-19T00:00:00Z"/>
        <d v="2025-08-18T00:00:00Z"/>
        <d v="2025-08-17T00:00:00Z"/>
        <d v="2025-08-16T00:00:00Z"/>
        <d v="2025-08-15T00:00:00Z"/>
        <d v="2025-08-14T00:00:00Z"/>
        <d v="2025-08-13T00:00:00Z"/>
        <d v="2025-08-10T00:00:00Z"/>
        <d v="2025-08-09T00:00:00Z"/>
        <d v="2025-08-06T00:00:00Z"/>
        <d v="2025-08-05T00:00:00Z"/>
        <d v="2025-08-04T00:00:00Z"/>
        <d v="2025-08-02T00:00:00Z"/>
        <d v="2025-08-01T00:00:00Z"/>
        <d v="2025-07-29T00:00:00Z"/>
        <d v="2025-07-28T00:00:00Z"/>
        <d v="2025-07-27T00:00:00Z"/>
        <d v="2025-07-26T00:00:00Z"/>
        <d v="2025-07-25T00:00:00Z"/>
        <d v="2025-07-24T00:00:00Z"/>
        <d v="2025-07-23T00:00:00Z"/>
        <d v="2025-07-22T00:00:00Z"/>
        <d v="2025-07-21T00:00:00Z"/>
        <d v="2025-07-16T00:00:00Z"/>
        <d v="2025-07-14T00:00:00Z"/>
        <d v="2025-07-13T00:00:00Z"/>
        <d v="2025-07-11T00:00:00Z"/>
        <d v="2025-07-10T00:00:00Z"/>
        <d v="2025-07-09T00:00:00Z"/>
        <d v="2025-07-08T00:00:00Z"/>
        <d v="2025-07-06T00:00:00Z"/>
        <d v="2025-07-01T00:00:00Z"/>
        <d v="2025-06-28T00:00:00Z"/>
        <d v="2025-06-21T00:00:00Z"/>
        <d v="2025-06-19T00:00:00Z"/>
        <d v="2025-06-18T00:00:00Z"/>
        <d v="2025-06-15T00:00:00Z"/>
        <d v="2025-06-12T00:00:00Z"/>
        <d v="2025-06-09T00:00:00Z"/>
        <d v="2025-06-08T00:00:00Z"/>
        <d v="2025-06-05T00:00:00Z"/>
        <d v="2025-06-04T00:00:00Z"/>
        <d v="2025-06-03T00:00:00Z"/>
        <d v="2025-06-01T00:00:00Z"/>
        <d v="2025-05-30T00:00:00Z"/>
        <d v="2025-05-29T00:00:00Z"/>
        <d v="2025-05-24T00:00:00Z"/>
        <d v="2025-05-20T00:00:00Z"/>
        <d v="2025-05-18T00:00:00Z"/>
        <d v="2025-05-17T00:00:00Z"/>
        <d v="2025-05-12T00:00:00Z"/>
        <d v="2025-05-10T00:00:00Z"/>
        <d v="2025-05-09T00:00:00Z"/>
        <d v="2025-05-08T00:00:00Z"/>
        <d v="2025-05-03T00:00:00Z"/>
        <d v="2025-05-02T00:00:00Z"/>
        <d v="2025-04-30T00:00:00Z"/>
        <d v="2025-04-26T00:00:00Z"/>
        <d v="2025-04-25T00:00:00Z"/>
        <d v="2025-04-24T00:00:00Z"/>
        <d v="2025-04-21T00:00:00Z"/>
        <d v="2025-04-18T00:00:00Z"/>
        <d v="2025-04-15T00:00:00Z"/>
        <d v="2025-04-14T00:00:00Z"/>
        <d v="2025-04-12T00:00:00Z"/>
        <d v="2025-04-11T00:00:00Z"/>
        <d v="2025-04-10T00:00:00Z"/>
        <d v="2025-04-09T00:00:00Z"/>
        <d v="2025-04-06T00:00:00Z"/>
        <d v="2025-04-04T00:00:00Z"/>
        <d v="2025-04-02T00:00:00Z"/>
        <d v="2025-03-31T00:00:00Z"/>
        <d v="2025-03-30T00:00:00Z"/>
        <d v="2025-03-29T00:00:00Z"/>
        <d v="2025-03-27T00:00:00Z"/>
        <d v="2025-03-26T00:00:00Z"/>
        <d v="2025-03-23T00:00:00Z"/>
        <d v="2025-03-22T00:00:00Z"/>
        <d v="2025-03-19T00:00:00Z"/>
        <d v="2025-03-17T00:00:00Z"/>
        <d v="2025-03-14T00:00:00Z"/>
        <d v="2025-03-13T00:00:00Z"/>
        <d v="2025-03-11T00:00:00Z"/>
        <d v="2025-03-10T00:00:00Z"/>
        <d v="2025-03-09T00:00:00Z"/>
        <d v="2025-03-07T00:00:00Z"/>
        <d v="2025-03-06T00:00:00Z"/>
        <d v="2025-03-05T00:00:00Z"/>
        <d v="2025-03-01T00:00:00Z"/>
        <d v="2025-02-28T00:00:00Z"/>
        <d v="2025-02-27T00:00:00Z"/>
        <d v="2025-02-26T00:00:00Z"/>
        <d v="2025-02-25T00:00:00Z"/>
        <d v="2025-02-22T00:00:00Z"/>
        <d v="2025-02-20T00:00:00Z"/>
        <d v="2025-02-19T00:00:00Z"/>
        <d v="2025-02-18T00:00:00Z"/>
        <d v="2025-02-15T00:00:00Z"/>
        <d v="2025-02-14T00:00:00Z"/>
        <d v="2025-02-13T00:00:00Z"/>
        <d v="2025-02-12T00:00:00Z"/>
        <d v="2025-02-11T00:00:00Z"/>
        <d v="2025-02-07T00:00:00Z"/>
        <d v="2025-02-06T00:00:00Z"/>
        <d v="2025-02-02T00:00:00Z"/>
        <d v="2025-02-01T00:00:00Z"/>
        <d v="2025-01-31T00:00:00Z"/>
        <d v="2025-01-30T00:00:00Z"/>
        <d v="2025-01-28T00:00:00Z"/>
        <d v="2025-01-27T00:00:00Z"/>
        <d v="2025-01-25T00:00:00Z"/>
        <d v="2025-01-21T00:00:00Z"/>
        <d v="2025-01-19T00:00:00Z"/>
        <d v="2025-01-16T00:00:00Z"/>
        <d v="2025-01-15T00:00:00Z"/>
        <d v="2025-01-13T00:00:00Z"/>
        <d v="2025-01-12T00:00:00Z"/>
        <d v="2025-01-11T00:00:00Z"/>
        <d v="2025-01-10T00:00:00Z"/>
        <d v="2025-01-09T00:00:00Z"/>
        <d v="2025-01-08T00:00:00Z"/>
        <d v="2025-01-02T00:00:00Z"/>
      </sharedItems>
      <fieldGroup base="5">
        <rangePr autoStart="0" autoEnd="0" groupBy="months" startDate="2025-01-02T00:00:00Z" endDate="2026-01-01T00:00:00Z"/>
        <groupItems>
          <s v="&lt;01/02/25"/>
          <s v="Jan"/>
          <s v="Feb"/>
          <s v="Mar"/>
          <s v="Apr"/>
          <s v="May"/>
          <s v="Jun"/>
          <s v="Jul"/>
          <s v="Aug"/>
          <s v="Sep"/>
          <s v="Oct"/>
          <s v="Nov"/>
          <s v="Dec"/>
          <s v="&gt;01/01/26"/>
        </groupItems>
      </fieldGroup>
    </cacheField>
    <cacheField name="Date">
      <sharedItems containsDate="1" containsMixedTypes="1">
        <d v="2026-01-05T00:00:00Z"/>
        <d v="2025-12-31T00:00:00Z"/>
        <d v="2025-12-22T00:00:00Z"/>
        <d v="2025-12-21T00:00:00Z"/>
        <d v="2025-12-23T00:00:00Z"/>
        <d v="2025-12-17T00:00:00Z"/>
        <d v="2025-12-16T00:00:00Z"/>
        <d v="2026-01-06T00:00:00Z"/>
        <d v="2025-12-14T00:00:00Z"/>
        <d v="2025-12-11T00:00:00Z"/>
        <d v="2025-12-10T00:00:00Z"/>
        <d v="2025-12-07T00:00:00Z"/>
        <d v="2025-12-12T00:00:00Z"/>
        <d v="2025-12-02T00:00:00Z"/>
        <d v="2025-12-04T00:00:00Z"/>
        <d v="2025-12-01T00:00:00Z"/>
        <d v="2025-11-30T00:00:00Z"/>
        <d v="2025-11-26T00:00:00Z"/>
        <d v="2025-12-08T00:00:00Z"/>
        <d v="2025-12-05T00:00:00Z"/>
        <d v="2025-11-25T00:00:00Z"/>
        <d v="2025-11-23T00:00:00Z"/>
        <d v="2025-11-24T00:00:00Z"/>
        <d v="2025-11-20T00:00:00Z"/>
        <d v="2025-11-21T00:00:00Z"/>
        <d v="2025-11-19T00:00:00Z"/>
        <d v="2025-11-10T00:00:00Z"/>
        <d v="2025-11-17T00:00:00Z"/>
        <d v="2025-11-16T00:00:00Z"/>
        <s v="NA"/>
        <d v="2025-11-13T00:00:00Z"/>
        <d v="2025-11-12T00:00:00Z"/>
        <d v="2025-11-14T00:00:00Z"/>
        <d v="2025-11-09T00:00:00Z"/>
        <d v="2025-11-06T00:00:00Z"/>
        <d v="2025-11-07T00:00:00Z"/>
        <d v="2025-11-04T00:00:00Z"/>
        <d v="2025-10-30T00:00:00Z"/>
        <d v="2025-10-27T00:00:00Z"/>
        <d v="2025-10-21T00:00:00Z"/>
        <d v="2025-10-20T00:00:00Z"/>
        <d v="2025-10-15T00:00:00Z"/>
        <d v="2025-10-14T00:00:00Z"/>
        <d v="2025-10-16T00:00:00Z"/>
        <d v="2025-10-08T00:00:00Z"/>
        <d v="2025-10-07T00:00:00Z"/>
        <d v="2025-10-02T00:00:00Z"/>
        <d v="2025-10-01T00:00:00Z"/>
        <d v="2025-09-28T00:00:00Z"/>
        <d v="2025-09-25T00:00:00Z"/>
        <d v="2025-09-22T00:00:00Z"/>
        <d v="2025-09-18T00:00:00Z"/>
        <d v="2025-09-17T00:00:00Z"/>
        <d v="2025-09-30T00:00:00Z"/>
        <d v="2025-09-16T00:00:00Z"/>
        <d v="2025-09-15T00:00:00Z"/>
        <d v="2025-09-23T00:00:00Z"/>
        <d v="2026-01-27T00:00:00Z"/>
        <d v="2025-09-11T00:00:00Z"/>
        <d v="2025-09-08T00:00:00Z"/>
        <d v="2025-10-23T00:00:00Z"/>
        <d v="2025-09-01T00:00:00Z"/>
        <d v="2025-08-28T00:00:00Z"/>
        <d v="2025-08-27T00:00:00Z"/>
        <d v="2025-08-25T00:00:00Z"/>
        <d v="2025-08-19T00:00:00Z"/>
        <d v="2025-08-18T00:00:00Z"/>
        <d v="2025-08-13T00:00:00Z"/>
        <d v="2025-08-12T00:00:00Z"/>
        <d v="2025-08-14T00:00:00Z"/>
        <d v="2025-08-11T00:00:00Z"/>
        <d v="2025-08-08T00:00:00Z"/>
        <d v="2025-07-31T00:00:00Z"/>
        <d v="2025-08-01T00:00:00Z"/>
        <d v="2025-07-29T00:00:00Z"/>
        <d v="2025-07-23T00:00:00Z"/>
        <d v="2025-07-25T00:00:00Z"/>
        <d v="2025-07-24T00:00:00Z"/>
        <d v="2025-07-28T00:00:00Z"/>
        <d v="2025-07-22T00:00:00Z"/>
        <d v="2025-07-21T00:00:00Z"/>
        <d v="2025-07-16T00:00:00Z"/>
        <d v="2025-07-14T00:00:00Z"/>
        <d v="2025-07-11T00:00:00Z"/>
        <d v="2025-07-10T00:00:00Z"/>
        <d v="2025-07-08T00:00:00Z"/>
        <d v="2025-07-07T00:00:00Z"/>
        <d v="2025-07-04T00:00:00Z"/>
        <d v="2025-07-03T00:00:00Z"/>
        <d v="2025-06-27T00:00:00Z"/>
        <d v="2025-06-30T00:00:00Z"/>
        <d v="2025-06-23T00:00:00Z"/>
        <d v="2025-06-25T00:00:00Z"/>
        <d v="2025-06-16T00:00:00Z"/>
        <d v="2025-06-17T00:00:00Z"/>
        <d v="2025-06-24T00:00:00Z"/>
        <d v="2025-06-10T00:00:00Z"/>
        <d v="2025-06-09T00:00:00Z"/>
        <d v="2025-06-05T00:00:00Z"/>
        <d v="2025-06-06T00:00:00Z"/>
        <d v="2025-06-02T00:00:00Z"/>
        <d v="2025-05-29T00:00:00Z"/>
        <d v="2025-05-26T00:00:00Z"/>
        <d v="2025-05-27T00:00:00Z"/>
        <d v="2025-05-18T00:00:00Z"/>
        <d v="2025-05-15T00:00:00Z"/>
        <d v="2025-05-13T00:00:00Z"/>
        <d v="2025-05-07T00:00:00Z"/>
        <d v="2025-05-06T00:00:00Z"/>
        <d v="2025-05-05T00:00:00Z"/>
        <d v="2025-04-29T00:00:00Z"/>
        <d v="2025-04-27T00:00:00Z"/>
        <d v="2025-04-28T00:00:00Z"/>
        <d v="2025-04-21T00:00:00Z"/>
        <d v="2025-04-22T00:00:00Z"/>
        <d v="2025-04-16T00:00:00Z"/>
        <d v="2025-04-17T00:00:00Z"/>
        <d v="2025-04-07T00:00:00Z"/>
        <d v="2025-04-06T00:00:00Z"/>
        <d v="2025-04-18T00:00:00Z"/>
        <d v="2025-04-09T00:00:00Z"/>
        <d v="2025-04-01T00:00:00Z"/>
        <d v="2025-03-31T00:00:00Z"/>
        <d v="2025-03-26T00:00:00Z"/>
        <d v="2025-03-23T00:00:00Z"/>
        <d v="2025-03-24T00:00:00Z"/>
        <d v="2025-03-18T00:00:00Z"/>
        <d v="2025-03-19T00:00:00Z"/>
        <d v="2025-03-16T00:00:00Z"/>
        <d v="2025-03-17T00:00:00Z"/>
        <d v="2025-03-12T00:00:00Z"/>
        <d v="2025-03-14T00:00:00Z"/>
        <d v="2025-03-08T00:00:00Z"/>
        <d v="2025-03-10T00:00:00Z"/>
        <d v="2025-03-06T00:00:00Z"/>
        <d v="2025-03-05T00:00:00Z"/>
        <d v="2025-03-04T00:00:00Z"/>
        <d v="2025-03-03T00:00:00Z"/>
        <d v="2025-02-28T00:00:00Z"/>
        <d v="2025-02-23T00:00:00Z"/>
        <d v="2025-02-24T00:00:00Z"/>
        <d v="2025-02-20T00:00:00Z"/>
        <d v="2025-02-19T00:00:00Z"/>
        <d v="2025-02-17T00:00:00Z"/>
        <d v="2025-02-12T00:00:00Z"/>
        <d v="2025-02-11T00:00:00Z"/>
        <d v="2025-02-09T00:00:00Z"/>
        <d v="2025-02-10T00:00:00Z"/>
        <d v="2025-02-04T00:00:00Z"/>
        <d v="2025-02-27T00:00:00Z"/>
        <d v="2025-02-03T00:00:00Z"/>
        <d v="2025-01-29T00:00:00Z"/>
        <d v="2025-02-02T00:00:00Z"/>
        <d v="2025-01-26T00:00:00Z"/>
        <d v="2025-01-31T00:00:00Z"/>
        <d v="2025-01-27T00:00:00Z"/>
        <d v="2025-01-22T00:00:00Z"/>
        <d v="2025-01-23T00:00:00Z"/>
        <d v="2025-01-20T00:00:00Z"/>
        <d v="2025-01-30T00:00:00Z"/>
        <d v="2025-01-15T00:00:00Z"/>
        <d v="2025-01-17T00:00:00Z"/>
        <d v="2025-02-06T00:00:00Z"/>
        <d v="2025-01-16T00:00:00Z"/>
        <d v="2025-01-14T00:00:00Z"/>
        <d v="2025-01-09T00:00:00Z"/>
        <d v="2025-01-03T00:00:00Z"/>
        <d v="2025-01-06T00:00:00Z"/>
        <d v="2025-01-21T00:00:00Z"/>
        <d v="2025-01-10T00:00:00Z"/>
        <d v="2025-01-08T00:00:00Z"/>
        <d v="2024-12-25T00:00:00Z"/>
        <d v="2024-12-18T00:00:00Z"/>
        <d v="2024-12-30T00:00:00Z"/>
      </sharedItems>
    </cacheField>
    <cacheField name="date2">
      <sharedItems containsDate="1" containsMixedTypes="1">
        <d v="2026-01-05T00:00:00Z"/>
        <d v="2025-12-31T00:00:00Z"/>
        <d v="2025-12-22T00:00:00Z"/>
        <d v="2025-12-21T00:00:00Z"/>
        <d v="2025-12-23T00:00:00Z"/>
        <d v="2025-12-17T00:00:00Z"/>
        <d v="2025-12-16T00:00:00Z"/>
        <d v="2025-12-30T00:00:00Z"/>
        <d v="2025-12-14T00:00:00Z"/>
        <d v="2025-12-11T00:00:00Z"/>
        <d v="2025-12-10T00:00:00Z"/>
        <d v="2025-12-07T00:00:00Z"/>
        <d v="2025-12-12T00:00:00Z"/>
        <d v="2025-12-02T00:00:00Z"/>
        <d v="2025-12-04T00:00:00Z"/>
        <d v="2025-12-01T00:00:00Z"/>
        <d v="2025-11-30T00:00:00Z"/>
        <d v="2025-11-26T00:00:00Z"/>
        <d v="2025-12-05T00:00:00Z"/>
        <d v="2025-12-08T00:00:00Z"/>
        <d v="2025-11-25T00:00:00Z"/>
        <d v="2025-11-24T00:00:00Z"/>
        <d v="2025-12-03T00:00:00Z"/>
        <d v="2025-11-20T00:00:00Z"/>
        <d v="2025-11-21T00:00:00Z"/>
        <d v="2025-11-19T00:00:00Z"/>
        <d v="2025-11-10T00:00:00Z"/>
        <d v="2025-11-17T00:00:00Z"/>
        <d v="2025-11-16T00:00:00Z"/>
        <d v="2025-11-13T00:00:00Z"/>
        <d v="2025-11-14T00:00:00Z"/>
        <d v="2025-11-12T00:00:00Z"/>
        <d v="2025-11-09T00:00:00Z"/>
        <d v="2025-11-06T00:00:00Z"/>
        <d v="2025-11-07T00:00:00Z"/>
        <d v="2025-11-04T00:00:00Z"/>
        <d v="2025-10-30T00:00:00Z"/>
        <d v="2025-10-27T00:00:00Z"/>
        <d v="2025-10-21T00:00:00Z"/>
        <d v="2025-11-05T00:00:00Z"/>
        <d v="2025-10-20T00:00:00Z"/>
        <d v="2025-10-15T00:00:00Z"/>
        <d v="2025-10-14T00:00:00Z"/>
        <d v="2025-10-16T00:00:00Z"/>
        <d v="2025-10-08T00:00:00Z"/>
        <d v="2025-10-07T00:00:00Z"/>
        <d v="2025-10-02T00:00:00Z"/>
        <d v="2025-10-10T00:00:00Z"/>
        <d v="2025-10-01T00:00:00Z"/>
        <d v="2025-09-28T00:00:00Z"/>
        <d v="2025-09-25T00:00:00Z"/>
        <d v="2025-10-06T00:00:00Z"/>
        <d v="2025-09-22T00:00:00Z"/>
        <d v="2025-09-18T00:00:00Z"/>
        <d v="2025-09-17T00:00:00Z"/>
        <d v="2025-09-24T00:00:00Z"/>
        <d v="2025-09-26T00:00:00Z"/>
        <d v="2025-09-16T00:00:00Z"/>
        <d v="2025-09-15T00:00:00Z"/>
        <d v="2025-09-23T00:00:00Z"/>
        <d v="2025-09-19T00:00:00Z"/>
        <d v="2025-09-11T00:00:00Z"/>
        <d v="2025-09-08T00:00:00Z"/>
        <d v="2025-09-01T00:00:00Z"/>
        <d v="2025-08-28T00:00:00Z"/>
        <d v="2025-08-27T00:00:00Z"/>
        <d v="2025-08-25T00:00:00Z"/>
        <d v="2025-08-19T00:00:00Z"/>
        <d v="2025-08-18T00:00:00Z"/>
        <d v="2025-08-13T00:00:00Z"/>
        <d v="2025-08-12T00:00:00Z"/>
        <d v="2025-08-14T00:00:00Z"/>
        <d v="2025-08-11T00:00:00Z"/>
        <d v="2025-08-08T00:00:00Z"/>
        <d v="2025-07-31T00:00:00Z"/>
        <d v="2025-08-01T00:00:00Z"/>
        <d v="2025-07-29T00:00:00Z"/>
        <d v="2025-07-23T00:00:00Z"/>
        <d v="2025-07-25T00:00:00Z"/>
        <d v="2025-07-24T00:00:00Z"/>
        <d v="2025-07-28T00:00:00Z"/>
        <d v="2025-07-22T00:00:00Z"/>
        <d v="2025-07-21T00:00:00Z"/>
        <s v="NA"/>
        <d v="2025-07-16T00:00:00Z"/>
        <d v="2025-07-14T00:00:00Z"/>
        <d v="2025-07-13T00:00:00Z"/>
        <d v="2025-07-10T00:00:00Z"/>
        <d v="2025-07-08T00:00:00Z"/>
        <d v="2025-07-07T00:00:00Z"/>
        <d v="2025-07-04T00:00:00Z"/>
        <d v="2025-07-11T00:00:00Z"/>
        <d v="2025-06-27T00:00:00Z"/>
        <d v="2025-06-30T00:00:00Z"/>
        <d v="2025-06-23T00:00:00Z"/>
        <d v="2025-06-25T00:00:00Z"/>
        <d v="2025-06-16T00:00:00Z"/>
        <d v="2025-06-17T00:00:00Z"/>
        <d v="2025-06-24T00:00:00Z"/>
        <d v="2025-06-10T00:00:00Z"/>
        <d v="2025-06-09T00:00:00Z"/>
        <d v="2025-06-05T00:00:00Z"/>
        <d v="2025-06-06T00:00:00Z"/>
        <d v="2025-06-02T00:00:00Z"/>
        <d v="2025-05-29T00:00:00Z"/>
        <d v="2025-05-26T00:00:00Z"/>
        <d v="2025-05-27T00:00:00Z"/>
        <d v="2025-05-18T00:00:00Z"/>
        <d v="2025-05-15T00:00:00Z"/>
        <d v="2025-05-21T00:00:00Z"/>
        <d v="2025-05-13T00:00:00Z"/>
        <d v="2025-05-07T00:00:00Z"/>
        <d v="2025-05-05T00:00:00Z"/>
        <d v="2025-05-06T00:00:00Z"/>
        <d v="2025-04-29T00:00:00Z"/>
        <d v="2025-04-27T00:00:00Z"/>
        <d v="2025-04-28T00:00:00Z"/>
        <d v="2025-04-21T00:00:00Z"/>
        <d v="2025-04-22T00:00:00Z"/>
        <d v="2025-04-16T00:00:00Z"/>
        <d v="2025-04-17T00:00:00Z"/>
        <d v="2025-04-07T00:00:00Z"/>
        <d v="2025-04-06T00:00:00Z"/>
        <d v="2025-04-18T00:00:00Z"/>
        <d v="2025-04-09T00:00:00Z"/>
        <d v="2025-04-01T00:00:00Z"/>
        <d v="2025-03-31T00:00:00Z"/>
        <d v="2025-04-03T00:00:00Z"/>
        <d v="2025-03-26T00:00:00Z"/>
        <d v="2025-03-23T00:00:00Z"/>
        <d v="2025-03-24T00:00:00Z"/>
        <d v="2025-03-18T00:00:00Z"/>
        <d v="2025-03-19T00:00:00Z"/>
        <d v="2025-03-16T00:00:00Z"/>
        <d v="2025-03-20T00:00:00Z"/>
        <d v="2025-03-12T00:00:00Z"/>
        <d v="2025-03-14T00:00:00Z"/>
        <d v="2025-03-08T00:00:00Z"/>
        <d v="2025-03-10T00:00:00Z"/>
        <d v="2025-03-06T00:00:00Z"/>
        <d v="2025-03-05T00:00:00Z"/>
        <d v="2025-03-04T00:00:00Z"/>
        <d v="2025-03-07T00:00:00Z"/>
        <d v="2025-03-03T00:00:00Z"/>
        <d v="2025-02-28T00:00:00Z"/>
        <d v="2025-02-23T00:00:00Z"/>
        <d v="2025-02-24T00:00:00Z"/>
        <d v="2025-02-20T00:00:00Z"/>
        <d v="2025-02-19T00:00:00Z"/>
        <d v="2025-02-17T00:00:00Z"/>
        <d v="2025-02-12T00:00:00Z"/>
        <d v="2025-02-26T00:00:00Z"/>
        <d v="2025-02-11T00:00:00Z"/>
        <d v="2025-02-09T00:00:00Z"/>
        <d v="2025-02-10T00:00:00Z"/>
        <d v="2025-02-04T00:00:00Z"/>
        <d v="2025-02-18T00:00:00Z"/>
        <d v="2025-02-03T00:00:00Z"/>
        <d v="2025-01-29T00:00:00Z"/>
        <d v="2025-02-02T00:00:00Z"/>
        <d v="2025-01-26T00:00:00Z"/>
        <d v="2025-01-31T00:00:00Z"/>
        <d v="2025-01-27T00:00:00Z"/>
        <d v="2025-01-22T00:00:00Z"/>
        <d v="2025-01-23T00:00:00Z"/>
        <d v="2025-01-20T00:00:00Z"/>
        <d v="2025-01-28T00:00:00Z"/>
        <d v="2025-01-15T00:00:00Z"/>
        <d v="2025-01-21T00:00:00Z"/>
        <d v="2025-02-05T00:00:00Z"/>
        <d v="2025-01-16T00:00:00Z"/>
        <d v="2025-01-14T00:00:00Z"/>
        <d v="2025-01-09T00:00:00Z"/>
        <d v="2025-01-03T00:00:00Z"/>
        <d v="2025-01-06T00:00:00Z"/>
        <d v="2025-01-17T00:00:00Z"/>
        <d v="2025-01-10T00:00:00Z"/>
        <d v="2025-01-08T00:00:00Z"/>
        <d v="2024-12-25T00:00:00Z"/>
        <d v="2024-12-18T00:00:00Z"/>
        <d v="2024-12-30T00:00:00Z"/>
      </sharedItems>
    </cacheField>
    <cacheField name="Arrived Date">
      <sharedItems containsDate="1" containsMixedTypes="1">
        <d v="2026-01-07T00:00:00Z"/>
        <d v="2026-01-06T00:00:00Z"/>
        <d v="2026-12-31T00:00:00Z"/>
        <d v="2025-12-31T00:00:00Z"/>
        <d v="2025-12-30T00:00:00Z"/>
        <d v="2025-12-29T00:00:00Z"/>
        <d v="2025-12-24T00:00:00Z"/>
        <d v="2025-12-23T00:00:00Z"/>
        <d v="2025-12-22T00:00:00Z"/>
        <d v="2025-12-18T00:00:00Z"/>
        <d v="2025-12-17T00:00:00Z"/>
        <d v="2025-12-16T00:00:00Z"/>
        <d v="2025-12-10T00:00:00Z"/>
        <d v="2025-12-11T00:00:00Z"/>
        <d v="2025-12-09T00:00:00Z"/>
        <d v="2025-12-05T00:00:00Z"/>
        <d v="2025-12-08T00:00:00Z"/>
        <d v="2025-12-04T00:00:00Z"/>
        <d v="2025-12-02T00:00:00Z"/>
        <d v="2025-12-03T00:00:00Z"/>
        <d v="2025-12-01T00:00:00Z"/>
        <d v="2025-11-28T00:00:00Z"/>
        <d v="2025-11-26T00:00:00Z"/>
        <d v="2025-11-24T00:00:00Z"/>
        <d v="2025-11-21T00:00:00Z"/>
        <d v="2025-11-20T00:00:00Z"/>
        <d v="2025-11-19T00:00:00Z"/>
        <d v="2025-11-14T00:00:00Z"/>
        <d v="2025-11-18T00:00:00Z"/>
        <d v="2025-11-17T00:00:00Z"/>
        <d v="2025-11-13T00:00:00Z"/>
        <d v="2025-11-12T00:00:00Z"/>
        <d v="2025-11-10T00:00:00Z"/>
        <d v="2025-11-05T00:00:00Z"/>
        <d v="2025-11-07T00:00:00Z"/>
        <d v="2025-10-29T00:00:00Z"/>
        <d v="2025-10-28T00:00:00Z"/>
        <d v="2025-10-30T00:00:00Z"/>
        <d v="2025-10-27T00:00:00Z"/>
        <d v="2025-10-24T00:00:00Z"/>
        <d v="2025-10-22T00:00:00Z"/>
        <d v="2025-10-15T00:00:00Z"/>
        <d v="2025-10-17T00:00:00Z"/>
        <d v="2025-10-16T00:00:00Z"/>
        <d v="2025-10-13T00:00:00Z"/>
        <d v="2025-10-14T00:00:00Z"/>
        <d v="2025-10-09T00:00:00Z"/>
        <d v="2025-10-07T00:00:00Z"/>
        <d v="2025-10-08T00:00:00Z"/>
        <d v="2025-10-06T00:00:00Z"/>
        <d v="2025-10-03T00:00:00Z"/>
        <d v="2025-10-01T00:00:00Z"/>
        <d v="2025-09-30T00:00:00Z"/>
        <d v="2025-09-29T00:00:00Z"/>
        <d v="2025-09-24T00:00:00Z"/>
        <d v="2025-09-26T00:00:00Z"/>
        <d v="2025-09-25T00:00:00Z"/>
        <d v="2025-09-22T00:00:00Z"/>
        <d v="2025-09-18T00:00:00Z"/>
        <d v="2025-09-23T00:00:00Z"/>
        <d v="2025-09-19T00:00:00Z"/>
        <d v="2025-09-17T00:00:00Z"/>
        <d v="2025-09-15T00:00:00Z"/>
        <d v="2025-09-16T00:00:00Z"/>
        <d v="2025-09-09T00:00:00Z"/>
        <d v="2025-09-10T00:00:00Z"/>
        <d v="2025-09-08T00:00:00Z"/>
        <d v="2025-09-05T00:00:00Z"/>
        <d v="2025-08-29T00:00:00Z"/>
        <d v="2025-08-27T00:00:00Z"/>
        <d v="2025-08-28T00:00:00Z"/>
        <d v="2025-08-25T00:00:00Z"/>
        <d v="2025-08-22T00:00:00Z"/>
        <d v="2025-08-26T00:00:00Z"/>
        <d v="2025-08-21T00:00:00Z"/>
        <d v="2025-08-20T00:00:00Z"/>
        <d v="2025-08-19T00:00:00Z"/>
        <d v="2025-08-13T00:00:00Z"/>
        <d v="2025-08-18T00:00:00Z"/>
        <d v="2025-08-11T00:00:00Z"/>
        <d v="2025-08-12T00:00:00Z"/>
        <d v="2025-08-07T00:00:00Z"/>
        <d v="2025-08-08T00:00:00Z"/>
        <d v="2025-08-06T00:00:00Z"/>
        <d v="2025-07-31T00:00:00Z"/>
        <d v="2025-08-01T00:00:00Z"/>
        <d v="2025-08-04T00:00:00Z"/>
        <d v="2025-07-29T00:00:00Z"/>
        <d v="2025-07-30T00:00:00Z"/>
        <d v="2025-07-28T00:00:00Z"/>
        <d v="2025-07-25T00:00:00Z"/>
        <d v="2025-07-22T00:00:00Z"/>
        <d v="2025-07-17T00:00:00Z"/>
        <d v="2025-07-21T00:00:00Z"/>
        <d v="2025-07-18T00:00:00Z"/>
        <d v="2025-07-14T00:00:00Z"/>
        <d v="2025-07-15T00:00:00Z"/>
        <d v="2025-07-11T00:00:00Z"/>
        <d v="2025-07-10T00:00:00Z"/>
        <d v="2025-07-09T00:00:00Z"/>
        <d v="2025-07-07T00:00:00Z"/>
        <d v="2025-07-02T00:00:00Z"/>
        <d v="2025-07-01T00:00:00Z"/>
        <d v="2025-06-26T00:00:00Z"/>
        <d v="2025-06-27T00:00:00Z"/>
        <d v="2025-06-25T00:00:00Z"/>
        <d v="2025-06-24T00:00:00Z"/>
        <d v="2025-06-23T00:00:00Z"/>
        <d v="2025-06-18T00:00:00Z"/>
        <d v="2025-06-11T00:00:00Z"/>
        <d v="2025-06-13T00:00:00Z"/>
        <d v="2025-06-12T00:00:00Z"/>
        <d v="2025-06-10T00:00:00Z"/>
        <d v="2025-06-06T00:00:00Z"/>
        <d v="2025-06-09T00:00:00Z"/>
        <d v="2025-06-05T00:00:00Z"/>
        <d v="2025-06-04T00:00:00Z"/>
        <d v="2025-06-03T00:00:00Z"/>
        <d v="2025-05-28T00:00:00Z"/>
        <d v="2025-05-27T00:00:00Z"/>
        <d v="2025-05-23T00:00:00Z"/>
        <d v="2025-05-22T00:00:00Z"/>
        <d v="2025-05-20T00:00:00Z"/>
        <d v="2025-05-21T00:00:00Z"/>
        <d v="2025-05-19T00:00:00Z"/>
        <d v="2025-05-16T00:00:00Z"/>
        <d v="2025-05-13T00:00:00Z"/>
        <d v="2025-05-14T00:00:00Z"/>
        <d v="2025-05-08T00:00:00Z"/>
        <d v="2025-05-05T00:00:00Z"/>
        <d v="2025-05-06T00:00:00Z"/>
        <d v="2025-05-07T00:00:00Z"/>
        <d v="2025-04-30T00:00:00Z"/>
        <d v="2025-04-28T00:00:00Z"/>
        <d v="2025-04-25T00:00:00Z"/>
        <d v="2025-04-23T00:00:00Z"/>
        <d v="2025-04-22T00:00:00Z"/>
        <d v="2025-04-21T00:00:00Z"/>
        <d v="2025-04-15T00:00:00Z"/>
        <d v="2025-04-16T00:00:00Z"/>
        <d v="2025-04-17T00:00:00Z"/>
        <d v="2025-04-11T00:00:00Z"/>
        <d v="2025-04-08T00:00:00Z"/>
        <d v="2025-04-09T00:00:00Z"/>
        <d v="2025-04-10T00:00:00Z"/>
        <d v="2025-04-04T00:00:00Z"/>
        <d v="2025-04-02T00:00:00Z"/>
        <d v="2025-04-03T00:00:00Z"/>
        <d v="2025-04-01T00:00:00Z"/>
        <d v="2025-03-31T00:00:00Z"/>
        <d v="2025-03-28T00:00:00Z"/>
        <d v="2025-03-25T00:00:00Z"/>
        <d v="2025-03-26T00:00:00Z"/>
        <d v="2025-03-27T00:00:00Z"/>
        <d v="2025-03-21T00:00:00Z"/>
        <d v="2025-03-20T00:00:00Z"/>
        <d v="2025-03-19T00:00:00Z"/>
        <d v="2025-03-14T00:00:00Z"/>
        <d v="2025-03-13T00:00:00Z"/>
        <d v="2025-03-12T00:00:00Z"/>
        <d v="2025-03-10T00:00:00Z"/>
        <d v="2025-03-11T00:00:00Z"/>
        <d v="2025-03-07T00:00:00Z"/>
        <d v="2025-03-06T00:00:00Z"/>
        <d v="2025-02-05T00:00:00Z"/>
        <d v="2025-03-04T00:00:00Z"/>
        <d v="2025-02-25T00:00:00Z"/>
        <d v="2025-02-26T00:00:00Z"/>
        <d v="2025-02-21T00:00:00Z"/>
        <d v="2025-02-19T00:00:00Z"/>
        <d v="2025-02-20T00:00:00Z"/>
        <d v="2025-02-18T00:00:00Z"/>
        <d v="2025-02-13T00:00:00Z"/>
        <d v="2025-02-12T00:00:00Z"/>
        <d v="2025-02-10T00:00:00Z"/>
        <d v="2025-02-07T00:00:00Z"/>
        <d v="2025-02-06T00:00:00Z"/>
        <d v="2025-02-04T00:00:00Z"/>
        <d v="2025-02-03T00:00:00Z"/>
        <d v="2025-01-28T00:00:00Z"/>
        <d v="2025-01-29T00:00:00Z"/>
        <d v="2025-01-30T00:00:00Z"/>
        <d v="2025-01-31T00:00:00Z"/>
        <s v="1/28/0225"/>
        <d v="2025-01-27T00:00:00Z"/>
        <d v="2025-01-24T00:00:00Z"/>
        <d v="2025-01-22T00:00:00Z"/>
        <d v="2025-01-23T00:00:00Z"/>
        <d v="2025-01-20T00:00:00Z"/>
        <d v="2025-01-17T00:00:00Z"/>
        <d v="2025-01-21T00:00:00Z"/>
        <d v="2025-01-16T00:00:00Z"/>
        <d v="2025-01-14T00:00:00Z"/>
        <d v="2025-01-15T00:00:00Z"/>
        <d v="2025-01-09T00:00:00Z"/>
        <d v="2025-01-08T00:00:00Z"/>
        <d v="2025-01-07T00:00:00Z"/>
        <d v="2025-01-06T00:00:00Z"/>
      </sharedItems>
    </cacheField>
    <cacheField name="Delivery Schedule">
      <sharedItems containsDate="1" containsMixedTypes="1">
        <d v="2026-01-07T00:00:00Z"/>
        <d v="2026-01-06T00:00:00Z"/>
        <d v="2025-12-31T00:00:00Z"/>
        <d v="2025-12-30T00:00:00Z"/>
        <d v="2025-12-29T00:00:00Z"/>
        <s v="12/24/2025&#10;Pending per diem?"/>
        <d v="2025-12-23T00:00:00Z"/>
        <d v="2025-12-24T00:00:00Z"/>
        <d v="2025-12-22T00:00:00Z"/>
        <d v="2025-12-18T00:00:00Z"/>
        <s v="12/17/2025&#10;Pending per diem"/>
        <d v="2025-12-16T00:00:00Z"/>
        <d v="2025-12-10T00:00:00Z"/>
        <d v="2025-12-11T00:00:00Z"/>
        <d v="2025-12-09T00:00:00Z"/>
        <d v="2025-12-05T00:00:00Z"/>
        <d v="2025-12-08T00:00:00Z"/>
        <d v="2025-12-04T00:00:00Z"/>
        <d v="2025-12-02T00:00:00Z"/>
        <d v="2025-12-03T00:00:00Z"/>
        <d v="2024-12-03T00:00:00Z"/>
        <d v="2025-12-01T00:00:00Z"/>
        <d v="2025-11-28T00:00:00Z"/>
        <d v="2025-11-26T00:00:00Z"/>
        <d v="2025-11-24T00:00:00Z"/>
        <d v="2025-11-21T00:00:00Z"/>
        <d v="2025-11-20T00:00:00Z"/>
        <d v="2025-11-19T00:00:00Z"/>
        <d v="2025-11-14T00:00:00Z"/>
        <d v="2025-11-18T00:00:00Z"/>
        <d v="2025-11-17T00:00:00Z"/>
        <d v="2025-11-13T00:00:00Z"/>
        <d v="2025-11-12T00:00:00Z"/>
        <d v="2025-11-10T00:00:00Z"/>
        <d v="2025-11-05T00:00:00Z"/>
        <d v="2025-11-07T00:00:00Z"/>
        <d v="2025-10-29T00:00:00Z"/>
        <d v="2025-10-28T00:00:00Z"/>
        <d v="2025-10-30T00:00:00Z"/>
        <d v="2025-10-27T00:00:00Z"/>
        <d v="2025-10-24T00:00:00Z"/>
        <d v="2025-10-22T00:00:00Z"/>
        <d v="2025-10-15T00:00:00Z"/>
        <d v="2025-10-17T00:00:00Z"/>
        <d v="2025-10-16T00:00:00Z"/>
        <d v="2025-10-13T00:00:00Z"/>
        <d v="2025-10-14T00:00:00Z"/>
        <d v="2025-10-09T00:00:00Z"/>
        <d v="2025-10-07T00:00:00Z"/>
        <d v="2025-10-08T00:00:00Z"/>
        <d v="2025-10-06T00:00:00Z"/>
        <d v="2025-10-03T00:00:00Z"/>
        <d v="2025-10-01T00:00:00Z"/>
        <s v="9/30/2025&#10;9/29/2025"/>
        <d v="2025-09-29T00:00:00Z"/>
        <d v="2025-09-30T00:00:00Z"/>
        <d v="2025-09-24T00:00:00Z"/>
        <d v="2025-09-26T00:00:00Z"/>
        <d v="2025-09-25T00:00:00Z"/>
        <d v="2025-09-22T00:00:00Z"/>
        <d v="2025-09-18T00:00:00Z"/>
        <d v="2025-09-23T00:00:00Z"/>
        <d v="2025-09-19T00:00:00Z"/>
        <d v="2025-09-17T00:00:00Z"/>
        <d v="2025-09-15T00:00:00Z"/>
        <d v="2025-09-16T00:00:00Z"/>
        <d v="2025-09-09T00:00:00Z"/>
        <d v="2025-09-10T00:00:00Z"/>
        <d v="2025-09-08T00:00:00Z"/>
        <d v="2025-09-05T00:00:00Z"/>
        <d v="2025-08-29T00:00:00Z"/>
        <d v="2025-08-27T00:00:00Z"/>
        <d v="2025-08-28T00:00:00Z"/>
        <d v="2025-08-25T00:00:00Z"/>
        <d v="2025-08-22T00:00:00Z"/>
        <d v="2025-08-26T00:00:00Z"/>
        <d v="2025-08-21T00:00:00Z"/>
        <d v="2025-08-20T00:00:00Z"/>
        <d v="2025-08-19T00:00:00Z"/>
        <d v="2025-08-13T00:00:00Z"/>
        <d v="2025-08-18T00:00:00Z"/>
        <d v="2025-08-11T00:00:00Z"/>
        <d v="2025-08-12T00:00:00Z"/>
        <d v="2025-08-07T00:00:00Z"/>
        <d v="2025-08-08T00:00:00Z"/>
        <d v="2025-08-06T00:00:00Z"/>
        <d v="2025-07-31T00:00:00Z"/>
        <d v="2025-08-01T00:00:00Z"/>
        <d v="2025-08-04T00:00:00Z"/>
        <d v="2025-07-29T00:00:00Z"/>
        <d v="2025-07-30T00:00:00Z"/>
        <d v="2025-07-28T00:00:00Z"/>
        <d v="2025-07-25T00:00:00Z"/>
        <d v="2025-07-22T00:00:00Z"/>
        <d v="2025-07-17T00:00:00Z"/>
        <d v="2025-07-21T00:00:00Z"/>
        <d v="2025-07-18T00:00:00Z"/>
        <d v="2025-07-14T00:00:00Z"/>
        <d v="2025-07-15T00:00:00Z"/>
        <d v="2025-07-11T00:00:00Z"/>
        <d v="2025-07-10T00:00:00Z"/>
        <d v="2025-07-16T00:00:00Z"/>
        <d v="2025-07-09T00:00:00Z"/>
        <d v="2025-07-07T00:00:00Z"/>
        <d v="2025-07-02T00:00:00Z"/>
        <d v="2025-07-01T00:00:00Z"/>
        <d v="2025-06-26T00:00:00Z"/>
        <d v="2025-06-27T00:00:00Z"/>
        <d v="2025-06-25T00:00:00Z"/>
        <d v="2025-06-24T00:00:00Z"/>
        <d v="2025-06-23T00:00:00Z"/>
        <d v="2025-06-18T00:00:00Z"/>
        <d v="2025-06-11T00:00:00Z"/>
        <d v="2025-06-13T00:00:00Z"/>
        <d v="2025-06-12T00:00:00Z"/>
        <d v="2025-06-10T00:00:00Z"/>
        <d v="2025-06-06T00:00:00Z"/>
        <d v="2025-06-09T00:00:00Z"/>
        <d v="2025-06-05T00:00:00Z"/>
        <d v="2025-06-04T00:00:00Z"/>
        <d v="2025-06-03T00:00:00Z"/>
        <d v="2025-05-28T00:00:00Z"/>
        <d v="2025-05-27T00:00:00Z"/>
        <d v="2025-05-23T00:00:00Z"/>
        <d v="2025-05-22T00:00:00Z"/>
        <d v="2025-05-20T00:00:00Z"/>
        <d v="2025-05-21T00:00:00Z"/>
        <d v="2025-05-19T00:00:00Z"/>
        <d v="2025-05-15T00:00:00Z"/>
        <s v="5/15/2025&#10;5/16/2025"/>
        <d v="2025-05-13T00:00:00Z"/>
        <d v="2025-05-14T00:00:00Z"/>
        <d v="2025-05-08T00:00:00Z"/>
        <d v="2025-05-05T00:00:00Z"/>
        <d v="2025-05-06T00:00:00Z"/>
        <d v="2028-05-07T00:00:00Z"/>
        <d v="2025-04-30T00:00:00Z"/>
        <d v="2025-04-28T00:00:00Z"/>
        <d v="2025-04-25T00:00:00Z"/>
        <d v="2025-04-23T00:00:00Z"/>
        <d v="2025-04-22T00:00:00Z"/>
        <d v="2025-04-21T00:00:00Z"/>
        <d v="2025-04-15T00:00:00Z"/>
        <d v="2025-04-16T00:00:00Z"/>
        <d v="2025-04-17T00:00:00Z"/>
        <d v="2025-04-11T00:00:00Z"/>
        <d v="2025-04-08T00:00:00Z"/>
        <d v="2025-04-09T00:00:00Z"/>
        <d v="2025-04-10T00:00:00Z"/>
        <d v="2025-04-04T00:00:00Z"/>
        <d v="2025-04-02T00:00:00Z"/>
        <d v="2025-04-03T00:00:00Z"/>
        <d v="2025-04-01T00:00:00Z"/>
        <d v="2025-03-31T00:00:00Z"/>
        <d v="2025-03-28T00:00:00Z"/>
        <d v="2025-03-25T00:00:00Z"/>
        <d v="2025-03-26T00:00:00Z"/>
        <d v="2025-03-27T00:00:00Z"/>
        <d v="2025-03-21T00:00:00Z"/>
        <d v="2025-03-20T00:00:00Z"/>
        <d v="2025-03-19T00:00:00Z"/>
        <d v="2025-03-14T00:00:00Z"/>
        <d v="2025-03-13T00:00:00Z"/>
        <d v="2025-03-12T00:00:00Z"/>
        <d v="2025-03-10T00:00:00Z"/>
        <d v="2025-03-11T00:00:00Z"/>
        <d v="2025-03-07T00:00:00Z"/>
        <d v="2025-03-06T00:00:00Z"/>
        <d v="2025-03-05T00:00:00Z"/>
        <d v="2025-03-04T00:00:00Z"/>
        <d v="2025-02-26T00:00:00Z"/>
        <d v="2025-02-21T00:00:00Z"/>
        <d v="2025-02-25T00:00:00Z"/>
        <d v="2025-02-19T00:00:00Z"/>
        <d v="2025-02-20T00:00:00Z"/>
        <d v="2025-02-18T00:00:00Z"/>
        <d v="2025-02-13T00:00:00Z"/>
        <d v="2025-02-12T00:00:00Z"/>
        <d v="2025-02-10T00:00:00Z"/>
        <d v="2025-02-07T00:00:00Z"/>
        <d v="2025-02-05T00:00:00Z"/>
        <d v="2025-02-06T00:00:00Z"/>
        <d v="2025-02-04T00:00:00Z"/>
        <d v="2025-02-03T00:00:00Z"/>
        <d v="2025-01-28T00:00:00Z"/>
        <d v="2025-01-29T00:00:00Z"/>
        <d v="2025-01-30T00:00:00Z"/>
        <d v="2025-01-31T00:00:00Z"/>
        <d v="2025-01-27T00:00:00Z"/>
        <d v="2025-01-24T00:00:00Z"/>
        <d v="2025-01-22T00:00:00Z"/>
        <d v="2025-01-23T00:00:00Z"/>
        <d v="2025-01-20T00:00:00Z"/>
        <d v="2025-01-17T00:00:00Z"/>
        <d v="2025-01-21T00:00:00Z"/>
        <d v="2025-01-16T00:00:00Z"/>
        <d v="2025-01-14T00:00:00Z"/>
        <d v="2025-01-15T00:00:00Z"/>
        <d v="2025-01-09T00:00:00Z"/>
        <d v="2025-01-08T00:00:00Z"/>
        <d v="2025-01-07T00:00:00Z"/>
      </sharedItems>
    </cacheField>
    <cacheField name="QC Received (Y/N)" numFmtId="0">
      <sharedItems containsBlank="1">
        <m/>
        <s v="5642452 / Y"/>
        <s v="5642453 / Y"/>
        <s v="Y"/>
        <s v="5642680 / Y"/>
        <s v="5642681 / Y"/>
        <s v="5642682 / Y"/>
        <s v="NA"/>
        <s v="5643777 / Y"/>
        <s v="5644230 / Y"/>
        <s v="5644232 / Y"/>
        <s v="5544236 / Y"/>
        <s v="5544237 / Y"/>
        <s v="5644368 / Y"/>
        <s v="5644377 / Y"/>
        <s v="pending"/>
        <s v="5628529/Y"/>
        <s v="5612774/Y"/>
        <s v="5611021/Y"/>
        <s v="5611457/Y"/>
        <s v="5610214/Y"/>
        <s v="5610212/Y"/>
        <s v="5610209/Y"/>
        <s v="5608480/Y"/>
        <s v="5608438/Y"/>
        <s v="5608432/Y"/>
        <s v="5608332, D-04038 fr GC, Y"/>
        <s v="5608331/Y"/>
      </sharedItems>
    </cacheField>
    <cacheField name="QC Checked (Initial)" numFmtId="0">
      <sharedItems containsBlank="1">
        <m/>
        <s v="DA"/>
      </sharedItems>
    </cacheField>
    <cacheField name="Remarks" numFmtId="0">
      <sharedItems>
        <s v="EN#2173837, INV#JB2536, T/R, empty return 1/8&#10;- COSCO HARMONY, (Y2), EG&#10;- total tariffs 33.9%&#10;- have additional $150 Maher Surcharge&#10;- GC providee ingredient labels&#10;- Moored 12/31, discharged 1/4, LFD 1/8"/>
        <s v="EN#2174031, INV#20251031, T/R, empty return 1/6&#10;- EVER MAGUS, (Z5), EG&#10;- total tariffs 45 &amp; 30.7%&#10;- JD provided renewed IFTP&#10;- Moored 12/30, discharged 1/3, LFD 1/8&#10;- prepulled 1/5, delivered 1/6&#10;- Drop"/>
        <s v="EN#2174317, INV#151602, T/R, empty return 1/2&#10;- HENRIKA SCHULTE, (Y11), MSC&#10;- total tariffs 15%&#10;- 20 plts, Live unload&#10;- have additional $150 PNCT Surcharge&#10;- Moored 12/26, discharged 12/28, LFD 1/5&#10;- prepulled 12/30"/>
        <s v="EN#2174429, INV#YD25-T15, T/R, empty return 1/6&#10;- COSCO BELGIUM, (Y13), COSCO&#10;- total tariffs 17.5%&#10;- Moored 12/26, discharged 12/27, LFD 1/2&#10;- Prepulled 12/30, delivered 12/31"/>
        <s v="EN#2174088, INV#EMI250001011, OBL12/15, empty return 1/8&#10;- EVER MAGIC, (Y10), EG&#10;- total tariffs 19% &amp; ($0.305/KG + 8.5%)&#10;- Moored 12/26, discharged 12/27, LFD 1/5&#10;- prepulled 1/5, delivered 1/6"/>
        <s v="EN#2173995, INV#EMI250001010, OBL12/15, empty return 1/5&#10;- EVER MAGIC, (Y8), EG&#10;- total tariffs 19% &amp; ($0.305/KG + 8.5%)&#10;- Moored 12/26, discharged 12/26, LFD 1/2"/>
        <s v="EN#2174334, INV#151603, T/R, empty return 1/9&#10;- CMA CGM FIDELIO, (Y9), ONE&#10;- total tariffs 15%&#10;- 33 plts, Live unload&#10;- have additional $150 Port Liberty Bayonne (Global) Surcharge&#10;- Moored 12/26, discharged 12/26, LFD 1/6"/>
        <s v="EN#2173836, INV#JB2543, T/R, empty return 1/6&#10;- OOCL LILAC, (Y1), EG&#10;- total tariffs 33.9%&#10;- have additional $150 Maher Surcharge&#10;- Moored 12/24, discharged 12/29, LFD 1/6&#10;- prepull 1/5"/>
        <s v="EN#2173389, INV#E/SNA/2025/00133, T/R, empty return 1/6&#10;- EVER MAGNA, (X18), EG&#10;- total tariffs 24.6%&#10;- have additional $150 Maher Surcharge&#10;- Moored 12/22, discharged 12/23, LFD 1/2&#10;- prepull 12/29"/>
        <s v="EN#2173246, INV#207/EXP/INV/X/2025, T/R, empty return 1/6&#10;- EVER MAGNA, (X16), EG&#10;- total tariffs 24.6%&#10;- have an additional $150 Maher Surcharge&#10;- Moored 12/22, discharged 12/23, LFD 1/2"/>
        <s v="EN#2173929, INV#JB2540, T/R, empty return 12/31&#10;- HMM DAON, (X20), HMM&#10;- total tariffs 33.9%&#10;- Moored 12/19, discharged 12/21, LFD 12/26&#10;- prepulled 12/23"/>
        <s v="EN#2173580, INV#JB2542, T/R, empty return 12/30&#10;- COSCO AZALEA, (X21), EG&#10;- total tariffs 33.9%&#10;- GC provided ingredient list to FDA&#10;- have an additional $150 Maher Surcharge&#10;- Moored 12/18, discharged 12/21, LFD 12/29&#10;- prepulled 12/26"/>
        <s v="EN#2173579, INV#JB2535, T/R, empty return 12/29&#10;- COSCO AZALEA, (X22), EG&#10;- total tariffs 33.9%&#10;- have an additional $150 Maher Surcharge&#10;- Moored 12/18, discharged 12/21, LFD 12/29&#10;- prepull 12/22"/>
        <s v="EN#2173783, INV#2183, T/R, GATEFEE12/16, empty return 12/31&#10;- EVER MOST, (W16), EG&#10;- total tariffs 50.6%&#10;- Moored 12/17, discharged 12/17, LFD 12/26&#10;- respot 12/24"/>
        <s v="EN#2172992, INV#E/SNA/2025/00131, T/R, empty return 12/23&#10;- EVER MAST, (X15), EG&#10;- total tariffs 24.6%&#10;- have additional $150 Maher Surcharge&#10;- Moored 12/17, discharged 12/18, LFD 12/26&#10;- prepull 12/19"/>
        <s v="EN#2173232, INV#JB2534, T/R, emtpy return 12/22&#10;- THESEUS, (W8), EG&#10;- total tariffs 33.9%&#10;- have additional $150 Maher Surcharge&#10;- Moored 12/15, discharged 12/15, LFD 12/19"/>
        <s v="EN#2173539, INV#YD25-T13, T/R, GATEFEE12/12, empty return 12/26&#10;- EVER LEADING, (X17), COSCO&#10;- total tariffs 17.5%&#10;- Moored 12/14, discharged 12/15, LFD 12/18&#10;- Pier waiting was from 9:29-1:17pm additional 2hr"/>
        <s v="EN#2173239, INV#209/EXP/INV/X/2025, T/R, GATEFEE12/11, empty return 12/29&#10;- EVER MODE, (X14), EG&#10;- total tariffs 24.6%&#10;- Moored 12/12, discharged 12/12, LFD 12/18"/>
        <s v="EN#2173244, INV#208/EXP/INV/X/2025, T/R, GATEFEE12/11, empty return 12/18&#10;- EVER MODE, (X13), EG&#10;- total tariffs 24.6%&#10;- Moored 12/12, discharged 12/12, LFD 12/18&#10;- Live unload (trucking $525)"/>
        <s v="EN#2173044, INV#YD25-T12, T/R, empty return 12/18&#10;- WAN HAI A08, (W9), HLCU&#10;- total tariffs 17.5%&#10;- have an additional $150 APM Surcharge&#10;- Moored 12/12, discharged 12/12, LFD 12/18"/>
        <s v="EN#2173951, INV#US-251101, OBL12/11&#10;- ONE HAMBURG, (Y7), ONE&#10;- total tariffs 15% &amp; 56.4% (steel)&#10;- FG provided steel or aluminum info&#10;- Moored 12/10, discharged 12/10, FCL LFD 12/16, FCL picked up 12/12, FCL empty return 12/12"/>
        <s v="EN#2173238, INV#210/EXP/INV/X/2025, T/R, empty return 12/10&#10;- EVER MODE, (X12), EG&#10;- total tariffs 24.6%&#10;- Moored 12/6, discharged 12/7, LFD 12/14&#10;- also submit internal invoice"/>
        <s v="EN#2173191, INV#SH00020429 &amp; SI00015782, T/R, empty return 12/11&#10;- OOCL BANGKOK, (W4), OOCL&#10;- total tariffs 20 &amp; 43.5%&#10;- have an additional $150 Maher Surcharge&#10;- Moored 12/5, discharged 12/6, LFD 12/11&#10;- Live unload"/>
        <s v="EN#2173192, INV#2025TAT04, T/R, GATEFEE12/2, empty return 12/15 (per Benz)&#10;- GERNER MAERSK, (W7), MAEU&#10;- total tariffs 33.9% (non-aluminum) &amp; 73.9% (aluminium)&#10;- Moored 12/4, discharged 12/5, LFD 12/11"/>
        <s v="EN#2172942, INV#2179, T/R, empty return 12/15&#10;- CMA CGM ARGENTINA, (W6), EG&#10;- total tariffs 50.6%&#10;- have an additional $150 Port Liberty Bayonne (Global) Surcharge&#10;- Moored 12/3, discharged 12/5, LFD 12/11&#10;- have additional Empty Pick-up Surcharge ($535 +"/>
        <s v="EN#2173008, INV#E/SNA/2025/00130, T/R, GATEFEE12/3, empty return 12/18&#10;- EVER MACH, (W22), EG&#10;- total tariffs 24.6%&#10;- Moored 12/3, discharged 12/3, LFD 12/9"/>
        <s v="EN#2172842, INV#E/SNA/2025/00125, T/R, empty return 12/11&#10;- EVER MATCH, (X11), EG&#10;- total tariffs 24.6%&#10;- have additional $150 Maher Surcharge&#10;- Moored 12/2, discharged 12/3, LFD 12/9"/>
        <s v="EN#2172845, INV#E/SNA/2025/00124. T/R, empty return 12/9&#10;- EVER MATCH, (X10), EG&#10;- total tariffs 24.6%&#10;- have additional $150 Maher Surcharge&#10;- Moored 12/2, discharged 12/3, LFD 12/9&#10;- prepulled 12/4"/>
        <s v="EN#2173018, INV#190/EXO/INV/X/2025, T/R, empty return 12/5&#10;- EVER MATCH, (X9), EG&#10;- total tariffs 24.6%&#10;- have additional $150 Maher Surcharge&#10;- Moored 12/2, discharged 12/3, LFD 12/8&#10;- prepulled 12/4"/>
        <s v="EN#2172703, INV#184/EXP/INV/IX/2025, T/R, empty return 12/9&#10;- EVER MATCH, (X8), EG&#10;- total tariffs 24.6%&#10;- have additional $150 Maher Surcharge&#10;- Moored 12/2, discharged 12/4, LFD 12/9&#10;- live unload"/>
        <s v="EN#2172702, INV#186/EXP/INV/X/2025, T/R, empty return 12/9&#10;- EVER MATCH, (X7), EG&#10;- total tariffs 24.6%&#10;- have additional $150 Maher Surcharge&#10;- Moored 12/2, discharged 12/2, LFD 12/8"/>
        <s v="EN#2172978, INV#YD25-T10, T/R, empty return 12/8&#10;- COSCOSHIPPING ORCHID, (V17), COSCO&#10;- total tariffs 27.5%&#10;- have additional $150 Maher Surcharge&#10;- Moored 11/29, discharged, LFD 12/4&#10;- prepulled 12/3"/>
        <s v="EN#2173102, INV#HR-2508, T/R, GATEFEE11/28, empty return 12/8&#10;- HMM PEARL, (W3), HMM&#10;- total tariffs 33.9% (non-aluminum) &amp; 73.9% (aluminium)&#10;- GC provided aluminium info&#10;- Moored 11/30, discharged 11/30, LFD 12/4"/>
        <s v="EN#2173126, INV#94438846, T/R, GATEFEE11/28, empty return 12/4&#10;- NYK ROMULUS, (V20), ONE&#10;- total tariffs 10%&#10;- No need genset&#10;- Moored 11/29, discharged 11/29, LFD 12/2&#10;- additional split return chassis charge"/>
        <s v="EN#2173245, INV#199/EXP/INV/X/2025, T/R, empty return 12/3&#10;- EVER MACH, (X6), EG&#10;- total tariffs 24.6%&#10;- Moored 11/28, discharged 11/29, LFD 12/4"/>
        <s v="EN#2172867, INV#HR2507, T/R, empty return 12/3&#10;- FRANKFURT EXPRESS, (V14), MAEU&#10;- total tariffs 33.9% (non-aluminum) &amp; 73.9% (aluminium)&#10;- have an additional $150 APM Surcharge&#10;- Moored 11/26, discharged 11/26, LFD 12/3"/>
        <s v="EN#2172815, INV#JB2533, T/R, empty return 12/4&#10;- TOLEDO TRIUMPH, (V12), EG&#10;-  total tariffs 33.9%&#10;- have an additional $150 Maher Surcharge&#10;- Moored 11/26, discharged 11/26, LFD 12/3&#10;- prepulled 12/2&#10;- FDA released 12/10"/>
        <s v="EN#2172977, INV#JB2541, T/R, empty return 12/4&#10;- OOCL FRANCE, (W2), EG&#10;- total tariffs 33.9%&#10;- have an additional $150 Maher Surcharge&#10;- Moored 11/25, discharged 11/28, LFD 12/4&#10;- prepull 12/3&#10;- received Proforma Invoice &amp; DO from Eric"/>
        <s v="EN#2172797, INV#E/SNA/2025/00121, T/R, GATEFEE11/24, empty return 12/4&#10;- EVER MILD, (W15), EG&#10;- total tariffs 24.6%&#10;- Moored 11/24, discharged 11/25, LFD 12/1"/>
        <s v="EN#2172798, INV#E/SNA/2025/00122, T/R, GATEFEE11/24, empty return 12/12&#10;- EVER MILD, (W14), EG&#10;- total tariffs 24.6%&#10;- Moored 11/24, discharged 11/25, LFD 12/2&#10;- Prepulled 12/2, delivered 12/8&#10;- respot 12/12"/>
        <s v="EN#2172869, INV#E/SNA/2025/00128, T/R, GATEFEE11/24, empty return 12/18&#10;- EVER MILD, (X5), EG&#10;- total tariffs 24.6%&#10;- Moored 11/24, discharged 11/25, LFD 12/4&#10;- prepulled 12/4, delivered 12/10&#10;- respot 12/15"/>
        <s v="EN#2172871, INV#E/SNA/2025/00126, T/R, GATEFEE11/24, empty return 12/11&#10;- EVER MILD, (X4), EG&#10;- total tariffs 24.6%&#10;- Moored 11/24, discharged 11/25, LFD 12/2&#10;- Prepulled 12/2, delivered 12/4"/>
        <s v="EN#2172870, INV#E/SNA/2025/00127, T/R, GATEFEE11/24, empty return 12/9&#10;- EVER MILD, (X3), EG&#10;- total tariffs 24.6%&#10;- Moored 11/24, discharged 11/25, LFD 12/2&#10;- respot 12/4"/>
        <s v="EN#2172943, INV#E/SNA/2025/00129, T/R, GATEFEE11/24, empty return 12/4&#10;- EVER MILD, (X2), EG&#10;- total tariffs 24.6%&#10;- Moored 11/24, discharged 11/25, LFD 12/2&#10;- Prepulled 12/1, delivered 12/2"/>
        <s v="EN#2172843, INV#193/EXP/INV/X/2025, T/R, GATEFEE11/24, empty return 12/24&#10;- EVER MILD, (X1), EG&#10;- total tariffs 24.6%&#10;- Moored 11/24, discharged 11/25, LFD 12/3&#10;- Prepulled 12/3, delivered 12/9&#10;- respot 12/16 &amp; 12/24&#10;- free 10 calendar day after pickup, s"/>
        <s v="EN#2173086, INV#JYPOP20251008, T/R, GATEFEE11/24, empty return 12/9&#10;- EVER MILD, (V19), EG&#10;- total tariffs 45%&#10;- Moored 11/24, discharged 11/25, LFD 12/3&#10;- Prepulled 12/3, delivered 12/8&#10;- empty return Pier waiting was from 2:09-3:49pm additional 1hr."/>
        <s v="EN#2172665, INV#E/SNA/2025/00118, T/R, empty return 12/1&#10;- EVER MODEL, (W21), EG&#10;- total tariffs 24.6%&#10;- have an additional $150 Maher Surcharge&#10;- Moored 11/24, discharged 11/24, LFD 12/1"/>
        <s v="EN#2172666, INV#E/SNA/2025/00115, T/R, empty return 12/1&#10;- EVER MODEL, (W20), EG&#10;- total tariffs 24.6%&#10;- have an additional $150 Maher Surcharge&#10;- Moored 11/24, discharged 11/24, LFD 12/1"/>
        <s v="EN#2172667, INV#E/SNA/2025/00114, T/R, empty return 11/26&#10;- EVER MODEL, (W19), EG&#10;- total tariffs 24.6%&#10;- Live unload, 21 plts&#10;- have an additional $150 Maher Surcharge&#10;- Moored 11/24, discharged 11/24, LFD 12/1"/>
        <s v="EN#2172663, INV#E/SNA/2025/00117, T/R, empty return 12/2&#10;- EVER MODEL, (W18), EG&#10;- total tariffs 24.6%&#10;- have an additional $150 Maher Surcharge&#10;- Moored 11/24, discharged 11/25, LFD 12/1"/>
        <s v="EN#2172664, INV#E/SNA/2025/00116, T/R, empty return 11/28&#10;- EVER MODEL, (W17), EG&#10;- total tariffs 24.6%&#10;- have an additional $150 Maher Surcharge&#10;- Moored 11/24, discharged 11/24, LFD 12/1"/>
        <s v="EN#2172959, INV#YD25-T09, T/R, empty return 11/26&#10;- OOCL IRIS, (V16), COSCO&#10;- total tariffs 27.5%&#10;- have an additional $150 Maher Surcharge&#10;- Moored 11/20, discharged 11/21, LFD 11/26&#10;- prepulled 11/25, delivered 11/26&#10;- received Proforma Invoice &amp; DO fro"/>
        <s v="EN#2172674, INV#2025TAT03, T/R, GATEFEE11/18, empty return 12/2 (per Benz)&#10;- GUSTAV MAERSK, (V5), MAEU&#10;- total tariffs 33.9% (non-aluminum) &amp; 73.9% (aluminium)&#10;- provided breakdown information of aluminum content&#10;- Moored 11/20, discharged 11/21, LFD 11/2"/>
        <s v="EN#2173109, INV#SS2508049-H, T/R, GATEFEE11/18, empty return 12/2&#10;- GUSTAV MAERSK, (W1), MAEU&#10;- total tariffs 45%&#10;- Moored 11/20, discharged 11/21, LFD 11/28"/>
        <s v="EN#2173231, INV#202510, T/R, no GATEFEE (LCL)&#10;- XIN FEI ZHOU, (V22) COSCO&#10;- total tariffs 0%&#10;- Maisie/Vivian (HK) provided calendar info&#10;- Moored 11/18, discharged 11/19, FCL LFD 11/25, FCL picked up 11/21, FCL empty return 11/25, LCL to OAK eta 11/27, LC"/>
        <s v="EN#2172844, INV#E/SNA/2025/00123, T/R, GATEFEE11/18, empty return 11/28&#10;- EVER MACRO, (W13), EG&#10;- total tariffs 24.6%&#10;- Moored 11/18, discharged 11/19, LFD 11/25&#10;- Pier waiting was from 8:48-11:03am additional ½ hr"/>
        <s v="EN#2172662, INV#E/SNA/2025/00119, T/R, GATEFEE11/17, empty return 11/26&#10;- EVER MACRO, (V10), EG&#10;- total tariffs 24.6%&#10;- Moored 11/18, discharged 11/19, LFD 11/25&#10;- pier waiting was from 11:38-2pm additional ½ hr."/>
        <s v="EN#2172183, INV#177/EXP/INV/IX/2025, T/R, empty return 11/24&#10;- EVER MAGI, (U16), EG&#10;- total tariffs 24.6%&#10;- have an additional $150 Maher Surcharge&#10;- Moored 11/18, discharged 11/19, LFD 11/24&#10;- live unload"/>
        <s v="EN#2172655, INV#WW109/2025, T/R, no GATEFEE (LCL)&#10;- YM UTILITY, (V13), YANG MING&#10;- total tariffs 20-36%&#10;- Moored 11/17, discharged 11/17, LFD 11/21, FCL pickup 11/19, FCL empty return 11/20, then LCL delivery&#10;- GW deliver LCL&#10;- LFD 11/26, 14 exchange pall"/>
        <s v="EN#2173390, INV#172/EXP/INV/IX/2025, T/R, empty return 11/24&#10;- TOKYO TRIUMPH, (W10), EG&#10;- total tariffs 24.6%&#10;- have an additional $150 Maher Surcharge&#10;- Moored 11/15, discharged 11/16, LFD 11/20&#10;- prepulled 11/20, delivered 11/21"/>
        <s v="EN#2172100, INV#E/SNA/2025/00101, T/R, empty return 11/25&#10;- TOKYO TRIUMPH, (U7), EG&#10;- total tariffs 34.6%&#10;- have an additional $150 Maher Surcharge&#10;- Moored 11/15, discharged 11/16, LFD 11/20&#10;- Prepulled 11/20, delivered 11/21"/>
        <s v="EN#2172102, INV#E/SNA/2025/00100, T/R, empty return 11/26&#10;- TOKYO TRIUMPH, (U8), EG&#10;- total tariffs 24.6%&#10;- have an additional $150 Maher Surcharge&#10;- Moored 11/15, discharged 11/16, LFD 11/20&#10;- Prepulled 11/20, delivered 11/24"/>
        <s v="EN#2172547, INV#JB2532, T/R, empty return 11/21&#10;- TOKYO TRIUMPH, (V3), EG&#10;- total tariffs 33.9%&#10;- have an additional $150 Maher Surcharge&#10;- Moored 11/15, discharged 11/15, LFD 11/20"/>
        <s v="EN#2172882, INV#AIT2506, T/R, GATEFEE11/13, empty return 11/25&#10;- EVER FORWARD, (V21), EG&#10;- total tariffs 33.9%&#10;- Moored 11/14, discharged 11/14, LFD 11/20&#10;- Driver wait outside terminal waiting for check in since 10:15am until 1:05pm check in, so prepull "/>
        <s v="EN#2172538, INV#HR2506, T/R, empty return 11/20&#10;- KANDLA EXPRESS, (V2), MAEU&#10;- total tariffs 33.9% (non-aluminum) &amp; 73.9% (aluminium)&#10;- Packaging has steel or aluminum conten, GC provided exact values &amp; net weight&#10;- Subject to the Section 232 Steel/Alumin"/>
        <s v="EN#2173152, INV#2180, T/R, empty return 11/18&#10;- EVER MACRO, (W5), EG&#10;- total tariffs 50.6%&#10;- Moored 11/12, discharged 11/12, LFD 11/18, ready for pickup 11/13"/>
        <s v="EN#2172976, INV#RGN/POP-0225, T/R, empty return 11/19&#10;- EVER MACRO, (V18), EG&#10;- total tariffs 20%&#10;- moored 11/12, discharged 11/12, LFD 11/19"/>
        <s v="EN#2172551, INV#E/SNA/2025/00113, T/R, empty return 11/20&#10;- ONE EAGLE, (V15), ONE&#10;- total tariffs 24.6%&#10;- have an additional $150 Port Liberty Bayonne (Global) Surcharge&#10;- Moored 11/12, discharged 11/12, LFD 11/18"/>
        <s v="EN#2172554, INV#E/SNA/2025/00110, T/R, empty return 11/18&#10;- ONE EAGLE, (W11), ONE&#10;- total tariffs 24.6%&#10;- have an additional $150 Port Liberty Bayonne (Global) Surcharge&#10;- Moored 11/12, discharged 11/12, LFD 11/18"/>
        <s v="EN#2172553, INV#E/SNA/2025/00112, T/R, empty return 11/19&#10;- ONE EAGLE, (V4), ONE&#10;- total tariffs 24.6%&#10;- 21 plts, Live unload&#10;-  have an additional $150 Port Liberty Bayonne (Global) Surcharge&#10;- Moored 11/12, discharged 11/12, LFD 11/18"/>
        <s v="EN#2172400, INV#E/SNA/2025/00111, T/R, empty return 11/20&#10;- ONE EAGLE, (W12), ONE&#10;- total tariffs 24.6%&#10;- have an additional $150 Port Liberty Bayonne (Global) Surcharge&#10;- Moored 11/12, discharged 11/12, LFD 11/18"/>
        <s v="EN#2172230, INV#176/EXP/INV/IX/2025, T/R, GATEFEE11/12, empty return 11/21&#10;- APL ESPLANADE, (U19), EG&#10;- total tariffs 24.6%&#10;- Moored 11/11, discharged 11/11, LFD 11/17&#10;- pickup pier waiting was from 7:41-11:22am additional 2hr"/>
        <s v="EN#2172556, INV#181/EXP/INV/IX/2025, T/R, GATEFEE11/10, empty return 11/24&#10;- EVER MEMO, (V11), EG&#10;- total tariffs 24.6%&#10;- Moored 11/11, discharged 11/12, LFD 11/18"/>
        <s v="EN#2171980, INV#E/SNA/2025/00099, T/R, empty return 11/17&#10;- TAURUS, (U3), EG&#10;- total tariffs 24.6%&#10;- have an additional $150 Maher Surcharge&#10;- moored 11/8, discharged 11/9, LFD 11/14"/>
        <s v="EN#2172431, INV#EMI250000846, OBL10/28, empty return 11/13&#10;- CMA CGM LIBRA, (V1), EG&#10;- total tariffs 19%&#10;- have an additional $150 Port Liberty Bayonne (Global) Surcharge&#10;- moored 11/8, discharged 11/8, LFD 11/14"/>
        <s v="EN#2172548, INV#MP-202541443, T/R, GATEFEE10/31, empty return 11/14&#10;- YM UNIFORM, (V6), YANG MING&#10;- total tariffs 60.6%&#10;- additional one invoice to accounting&#10;- Moored 11/4, discharged 11/5, LFD 11/10"/>
        <s v="EN#2172555, INV#178/EXP/INV/IX/2025, T/R, empty return 11/12&#10;- APL ESPLANADE, (V9), EG&#10;- total tariffs 24.6%&#10;- Moored 11/4, discharged 11/6, LFD 11/13"/>
        <s v="EN#2172229, INV#162/EXP/INV/VIII/2025, T/R, empty return 11/5&#10;- TITAN, (U18), EG&#10;- total tariffs 24.6%&#10;- have an additional $150 Maher Surcharge&#10;- Moored 10/31, discharged 11/1, LFD 11/7"/>
        <s v="EN#2172364, INV#E/SNA/2025/00108, T/R, GATEFEE10/27, empty return 11/13&#10;- EVER MAGIC, (V8), EG&#10;- total tariffs 24.6%&#10;- Moored 10/25, discharged 10/26, LFD 10/30, updated LFD 11/3&#10;- prepulled 11/3, delivered 11/7&#10;- pickup Pier waiting: 1:05-3:25pm addition"/>
        <s v="EN#2172289, INV#E/SNA/2025/00107, T/R, GATEFEE10/27, empty return 11/7&#10;- EVER MAGIC, (U22), EG&#10;- total tariffs 24.6%&#10;- Moored 10/25, discharged 10/26, LFD 10/30&#10;- prepulled 10/30, delivered 11/5&#10;- empty return Pier waiting: 12:12-1:34pm additional ½ hr"/>
        <s v="EN#2172184, INV#174/EXP/INV/IX/2025, T/R, GATEFEE10/27, empty return 11/13&#10;- EVER MAGIC, (U17), EG&#10;- total tariffs 24.6%&#10;- K80-2172184-1&#10;- FDA hold 10/22, informed ready for exam 11/10, FDA came exam 12/1 &amp; collect sample (2 cs F-04111), lab test complete"/>
        <s v="EN#2172365, INV#E/SNA/2025/00109, T/R, GATEFEE10/27, empty return 11/12&#10;- EVER MAGIC, (V7), EG&#10;- total tariffs 24.6%&#10;- Moored 10/25, discharged 10/26, LFD 10/30&#10;- respot 11/5&#10;- terminal closed 11/11"/>
        <s v="EN#2172144, INV#173/EXP/INV/IX/2025, T/R, GATEFEE10/27, empty return 11/6&#10;- EVER MAGIC, (U15), EG&#10;- total tariffs 24.6%&#10;- Moored 10/25, discharged 10/26, LFD 10/30&#10;- pickup pier waiting: 10:10-1:51pm additional 2hrs&#10;- respot 10/31"/>
        <s v="EN#2172146, INV#E/SNA/2025/00105, T/R, GATEFEE10/27, empty return 10/30&#10;- EVER MAGIC, (U10), EG&#10;- total tariffs 24.6%&#10;- 21 plts, Live unload&#10;- Moored 10/25, discharged 10/26, LFD 10/30, updated ETA 11/2&#10;- pickup Pier waiting: 7:25 – 10:05am additional 1hr"/>
        <s v="EN#2172147, INV#E/SNA/2025/00106, T/R, GATEFEE10/27, empty return 11/3&#10;- EVER MAGIC, (U11), EG&#10;- total tariffs 24.6%&#10;- Moored 10/25, discharged 10/26, LFD 10/30&#10;- respot 10/28&#10;- K80-2172147-8&#10;- FDA hold 10/27, released 2 bags of sample, informed ready for"/>
        <s v="EN#2172182, INV#E/SNA/2025/00102, T/R, GATEFEE10/27, empty return 11/7&#10;- EVER MAGIC, (U14), EG&#10;- total tariffs 24.6%&#10;- Moored 10/25, discharged 10/26, LFD 10/30&#10;- respot 10/31&#10;- empty return Pier waiting: 2:25-3:36pm additional ½ hr"/>
        <s v="EN#2172101, INV#E/SNA/2025/00104, T/R, GATEFEE10/27, empty return 11/14&#10;- EVER MAGIC, (U9), EG&#10;- total tariffs 24.6%&#10;- Moored 10/25, discharged 10/26, LFD 10/30, updated LFD 11/3&#10;- prepulled 11/3, delivered 11/7&#10;- have prepull charge &amp; 3 days storage"/>
        <s v="EN#2172181, INV#E/SNA/2025/00103, T/R, GATEFEE10/27, empty return 11/3&#10;- EVER MAGIC, (U13), EG&#10;- total tariffs 24.6%&#10;- Moored 10/25, discharged 10/26, LFD 10/30"/>
        <s v="EN#2171817, INV#159/EXP/INV/VIII/2025, T/R, empty return 11/3&#10;- TAIPEI TRIUMPH, (T17), EG&#10;-  total tariffs 24.6%&#10;- have an additional $150 Maher Surcharge&#10;- Moored 10/23, discharged 10/23, LFD 10/29&#10;- prepulled 10/29, delivered 10/30&#10;- unloading Waiting T"/>
        <s v="EN#2171581, INV#152/EXP/INV/VIII/2025, T/R, empty return 10/28&#10;- TAIPEI TRIUMPH, (T9), EG&#10;- total tariffs 24.6%&#10;- have an additional $150 Maher Surcharge&#10;- moored 10/23, discharged 1023, LFD 10/29&#10;- have additional Empty Pick-up surcharge ($535 + 30% Fuel"/>
        <s v="EN#2172148, INV#161/EXP/INV/VIII/2025, T/R, empty return 10/29&#10;- TAIPEI TRIUMPH, (T19), EG&#10;- total tariffs 24.6%&#10;- have an additional $150 Maher Surcharge&#10;- Moored 10/23, discharged 10/23, LFD 10/29&#10;- Live unload"/>
        <s v="EN#2171515, INV#151/EXP/INV/VIII/2025, T/R, empty return 10/28&#10;- TAIPEI TRIUMPH, (T8), EG&#10;- total tariffs 24.6%&#10;- have an additional $150 Maher Surcharge&#10;- Moored 10/23, discharged 10/23, LFD 10/29&#10;- Live unload"/>
        <s v="EN#2172103, INV#166/EXP/INV/IX/2025, T/R, GATEFEE10/20, empty return 10/31&#10;- EVER MAX, (U12), EG&#10;- total tariffs 24.6%&#10;- moored 10/19, discharged 10/20, LFD 10/26"/>
        <s v="EN#2172064, INV#JB2531, T/R, empty return 10/24&#10;- COSCO FAITH, (U6), EG&#10;- total tariffs 43.9%&#10;- have an additional $150 Maher Surcharge&#10;- Moored 10/20, discharged 10/22, LFD 10/27"/>
        <s v="EN#2172225, INV#AIT2505, T/R, GATEFEE10/15, empty return 10/29&#10;- EVER FRANK, (U2), EG&#10;- total tariffs 43.9%&#10;- Moored 10/16, discharged 10/16, LFD 10/22&#10;- ETS terminal has no 40’ chassis, driver go to other terminal to pick up chassis, it will be additiona"/>
        <s v="EN#2172012, INV#JB2530, T/R, GATEFEE10/10, empty return 10/17&#10;- EVER LASTING, (U4), EG&#10;- total tariffs 43.9%&#10;- Moored 10/11, discharged 10/11, LFD 10/16"/>
        <s v="EN#2172252, INV#JB2539, T/R, empty return 10/17&#10;- YM WONDERLAND, (U21), ONE&#10;- total tariffs 43.9%&#10;- Moored 10/10, discharged 10/13, LFD 10/17"/>
        <s v="EN#2171201, INV#140/EXP/INV/VIII/2025, T/R, empty return 10/17&#10;- CMA CGM PANAMA, (S9), EG&#10;- total tariffs 24.6%&#10;- have an additional $150 Port Liberty Bayonne Surcharge (Global)&#10;- Moored 10/9, discharged 10/10, LFD 10/17"/>
        <s v="EN#2171739, INV#E/SNA/2025/00098, T/R, GATEFEE10/8, empty return 10/23&#10;- EVER MOST, (T13), EG&#10;- total tariffs 24.6%&#10;- moored 10/8, discharged 10/10, LFD 10/19&#10;- empty return pier waiting: 7-8:17am additional ½ hr"/>
        <s v="EN#2171787, INV#154/EXP/INV/VIII/2025, T/R, GATEFEE10/8, empty return 10/27&#10;- EVER MOST, (T16), EG&#10;- total tariffs 24.6%&#10;- Moored 10/8, discharged 10/9, LFD 10/19&#10;- K80-2171787-2&#10;- FDA hold 1 bx QC sample F-04070 10/16, others released, informed ready for"/>
        <s v="EN#2171740, INV#155/EXP/INV/VIII/2025, T/R, GATEFEE10/8, empty return 10/22&#10;- EVER MOST, (T18), EG&#10;- total tariffs 24.6%&#10;- Moored 10/8, discharged 10/9, LFD 10/19"/>
        <s v="EN#2171691, INV#E/SNA/2025/00094, T/R, empty return 10/14&#10;- EVER META, (T7), EG&#10;- total tariffs 24.6%&#10;- have an additional $150 Maher Surcharge&#10;- Moored 10/6, discharged 10/8, LFD 10/15&#10;- have additional Empty Pick-up surcharge ($535 + 30%)&#10;- prepulled 10"/>
        <s v="EN#2171317, INV#E/SNA/2025/00092, T/R, empty return 10/15&#10;- EVER META, (T6), EG&#10;- 21 plts, Live unload&#10;- total tariffs 24.6%&#10;- have an additional $150 Maher Surcharge&#10;- Moored 10/6, discharged 10/8, LFD 10/15"/>
        <s v="EN#2171318, INV#E/SNA/2025/00091, T/R, empty return 10/14&#10;- EVER META, (T5), EG&#10;- total tariffs 24.6%&#10;- 21 plts, Live unload&#10;- have an additional $150 Maher Surcharge&#10;- Moored 10/6, discharged 10/8, LFD 10/15"/>
        <s v="EN#2171350, INV#E/SNA/2025/00093, T/R, empty return 10/10&#10;- EVER META, (T4), EG&#10;- total tariffs 24.6%&#10;- 21 plts, Live unload&#10;- have an additional $150 Maher Surcharge&#10;- Moored 10/6, discharged 10/8, LFD 10/15"/>
        <s v="EN#2171741， INV#158/EXP/INV/VIII/2025, T/R, empty return 10/7&#10;- EVER MOST, (T14), EG&#10;- total tariffs 24.6%&#10;- Moored 10/3, discharged 10/4, LFD 10/9&#10;- prepulled 10/6, delivered 10/7"/>
        <s v="EN#2171427, INV#150/EXP/INV/VIII/2025, T/R, GATEFEE10/1, empty return 10/16&#10;- EVER MACH, (T3), EG&#10;- total tariffs 24.6%&#10;- Moored 10/2, discharged 10/3, LFD 10/8&#10;- cases fell out when opened container door for unloading&#10;- have informed vendor 10/9 to bette"/>
        <s v="EN#2171497, INV#148/EXP/INV/VIII/2025, T/R, GATEFEE10/1, empty return 10/14&#10;- EVER MACH, (T2), EG&#10;- total tariffs 24.6%&#10;- Moored 10/2, discharged 10/3, LFD 10/8&#10;- cases fell out when opened container door for unloading&#10;- have informed vendor 10/9 to bette"/>
        <s v="EN#2171319, INV#E/SNA/2025/00090, T/R, empty return 10/8&#10;- EVER MODE, (S19), EG&#10;- total tariffs 24.6%&#10;- have an additional $150 Maher Surcharge&#10;- moored 9/30, discharged 10/1, LFD 10/7&#10;- have additional Empty Pick-up surcharge ($535 + 30% Fuel)"/>
        <s v="EN#2171320, INV#E/SNA/2025/00089, T/R, empty return 10/6&#10;- EVER MODE, (S18), EG&#10;- total tariffs 24.6%&#10;- have an additional $150 Maher Surcharge&#10;- moored 9/30, discharged 10/1, LFD 10/7"/>
        <s v="EN#2171231, INV#E/SNA/2025/00086, T/R, empty return 10/3&#10;- EVER MODE, (S10), EG&#10;- total tariffs 24.6%&#10;- 21 plts, Live unload&#10;- have an additional $150 Maher Surcharge&#10;- Moored 9/30, discharged 10/1, LFD 10/7"/>
        <s v="EN#2171253, INV#E/SNA/2025/00087, T/R, empty return 10/6&#10;- EVER MODE, (S12), EG&#10;- total tariffs 24.6%&#10;- have an additional $150 Maher Surcharge&#10;- moored 9/30, discharged 10/1, LFD 10/6&#10;- prepulled 10/3, delivered 10/6&#10;- unloading Waiting Time Charge = (3."/>
        <s v="EN#2171516, INV#149/EXP/INV/VIII/2025, T/R, empty return 10/1&#10;- EVER MACH, (S22), EG&#10;- total tariffs 24.6%&#10;- Moored 9/26, discharged 9/27, LFD 10/3"/>
        <s v="EN#2171450, INV#147649 &amp; 147650, T/R&#10;- NYK NEBULA, (S15), ONE&#10;- total tariffs 15%&#10;- Moored 9/25&#10;- c#3377 - discharged 9/26, LFD 10/1, empty return 9/30&#10;- c#9460 - discharged 9/25, LFD 9/30, empty return 9/29&#10;- both live unload"/>
        <s v="EN#2171415, INV#JB2514, T/R, empty return 9/29&#10;- COSCO AZALEA, (S13), EG&#10;- total tariffs 43.9%&#10;- have additional $150 Maher Surcharge&#10;- Moored 9/24, discharged 9/24, LFD 9/30&#10;- dent in the middle of container, Etrans will inform shipping line"/>
        <s v="EN#2171126, INV#E/SNA/2025/00083, T/R, empty return 10/1&#10;- EVER MAGNA, (U5), EG&#10;- total tariffs 24.6%&#10;- have additional $150 Maher Surcharge&#10;- Moored 9/22, discharged 9/22, LFD 9/26&#10;- prepulled 9/26, delivered 9/30&#10;- have additional Empty Pick-up charge ("/>
        <s v="EN#2170950, INV#E/SNA/2025/00080, T/R, empty return 9/30&#10;- EVER MAGNA, (S6), EG&#10;- total tariffs 24.6%&#10;- have additional $150 Maher Surcharge&#10;- Moored 9/22, discharged 9/22, LFD 9/26&#10;- prepulled 9/26, delivered 9/30"/>
        <s v="EN#2170959, INV#131/EXP/INV/VII/2025, T/R, empty return 10/1&#10;- EVER MAGNA, (T21), EG&#10;- total tariffs 24.6%&#10;- have additional $150 Maher Surcharge&#10;- K80-2170959-8&#10;- FDA hold 9/18, came to collect sample 10/2 (17 bags of F-03805), lab test in progress 10/9,"/>
        <s v="EN#2171125, INV#E/SNA/2025/00084, T/R, empty return 9/30&#10;- EVER MAGNA, (T22), EG&#10;- total tariffs 24.6%&#10;- have additional $150 Maher Surcharge&#10;- Moored 9/22, discharged 9/22, LFD 9/26&#10;- Prepulled 9/26, delivered 9/30"/>
        <s v="EN#2171079, INV#134/EXP/INV/VII/2025, T/R, empty return 9/26&#10;- CMA CGM ANDROMEDA, (S21), EG&#10;- total tariffs 24.6%&#10;- K80-2171079-4&#10;- FDA hold 9/18, informed ready for exam 9/24, come exam 9/30, released 9/30&#10;- have additional $150 Port Liberty Surcharge (G"/>
        <s v="EN#2170786, INV#125/EXP/INV/VII/2025, T/R, empty return 9/29&#10;- CMA CGM ANDROMEDA, (S1), EG&#10;- total tariffs 24.6%&#10;- have additional $150 Port Liberty Surcharge (Global)&#10;- K80-2170786-5&#10;- FDA hold 9/18, informed ready for exam 9/30, came to collect sample 1"/>
        <s v="EN#2171013, INV#E/SNA/2025/00082, T/R, empty return 9/25&#10;- CMA CGM ANDROMEDA, (S5), CMA&#10;- total tariffs 24.6%&#10;- 21 plts, Live unload&#10;- have additional $150 Port Liberty Surcharge (Global Terminal)&#10;- Moored 9/21, discharged 9/21, LFD 9/25"/>
        <s v="EN#2171487, INV#JB2522, T/R, GATEFEE9/19, empty return 10/1&#10;- EVER FAITH, (T1), EG&#10;-  total tariffs 43.9%&#10;- FDA request product photo &amp; ingredient list&#10;- Moored 9/19, discharged 9/20, LFD 9/28&#10;- per EMC (EG), LFD is 9/25"/>
        <s v="EN#2171582, INV#E/SNA/2025/00097, T/R, empty return 9/24&#10;- EVER MILD, (S20), EG&#10;- total tariffs 24.6%&#10;- Moored 9/19, discharged 9/20, LFD 9/25"/>
        <s v="EN#2170475, INV#118/EXP/INV/VII/2025, T/R, empty return 9/19&#10;- TEXAS TRIUMPH, (R13), EG&#10;- total tariffs 15.6%&#10;- K80-2170475-5&#10;- FDA hold 9/12, informed ready for exam 9/24, come exam 9/30, released 9/30&#10;- have additional $150 Maher Surcharge&#10;- Moored 9/16"/>
        <s v="EN#2170474, INV#116/EXP/INV/VII/2025, T/R, empty return 9/22&#10;- TEXAS TRIUMPH, (R12), EG&#10;- total tariffs 15.6%&#10;- K80-2170474-8&#10;- FDA hold 9/12, informed ready for exam 9/24, released 9/30 without come to exam &#10;- have additional $150 Maher Surcharge&#10;- Moore"/>
        <s v="EN#2171026, INV#E/SNA/2025/00081, T/R, empty return 9/24&#10;- TEXAS TRIUMPH, (S7), EG&#10;- total tariffs 24.6%&#10;- have an additional $150 Maher Surcharge&#10;- Moored 9/16, discharged 9/17, LFD 9/23&#10;- K80-2171026-5&#10;- FDA hold 9/18, informed ready for exam 9/24, come"/>
        <s v="EN#2170563, INV#E/SNA/2025/00071, T/R, empty return 9/19&#10;- TEXAS TRIUMPH, (R18), EG&#10;- total tariffs 24.6%&#10;- have additional $150 Maher Surcharge&#10;- Moored 9/16, discharged 9/16, LFD 9/22&#10;- K80-2170563-8&#10;- FDA hold 9/18, informed ready for exam 9/22, FDA ca"/>
        <s v="EN#2170564, INV#E/SIN/2025/00070, T/R, empty return 9/23&#10;- TEXAS TRIUMPH, (R17), EG&#10;- total tariffs 24.6%&#10;- have an additional $150 Maher Surcharge&#10;- Moored 9/16, discharged 9/17, LFD 9/23&#10;- K80-2170564-6&#10;- FDA hold 9/18, informed ready for exam 9/22, FDA"/>
        <s v="EN#2171123, INV#E/SNA/2025/00085, T/R, GATEFEE9/15, empty return 9/26&#10;- EVER MACRO, (T20), EG&#10;- total tariffs 24.6%&#10;- Moored 9/15, discharged 9/17, LFD 9/23&#10;- K80-2171123-0&#10;- FDA hold 9/19, informed ready for exam 9/26, came to collect sample 10/10 (1 cs "/>
        <s v="EN#2171351, INV#2025.07.002, T/R, GATEFEE9/12, empty return 9/22&#10;- CMA CGM ARGENTINA, (T15), COSCO&#10;- total tariffs 19%&#10;- Moored 9/15, discharged 9/16, LFD 9/19&#10;- have additional Split return charge&#10;- have split return charge and 1.5 hrs. pier waiting time"/>
        <s v="EN#2171904, INV#US-250801, OBL9/8,&#10;- ONE HUMBER, (U2), ONE&#10;- total tariffs 15%&#10;- OBL received &amp; mailed out 9/8&#10;- Moored 9/10, discharged 9/13, FCL LFD 9/18&#10;- FCL picked up 9/18, FCL empty return 9/19&#10;- 6 plts, delivered without notice&#10;- trucker asked for "/>
        <s v="EN#2170670, INV#E/SNA/2025/00073, T/R, empty return 9/16&#10;- EVER MAST, (R21), EG&#10;- total tariffs 15.6%&#10;- have additional $150 Maher Surcharge&#10;- moored 9/11, discharged 9/11, LFD 9/17&#10;- K80-2170670-1&#10;- FDA hold 9/11, informed FDA ready for exam 9/18, FDA ca"/>
        <s v="EN#2170671, INV#E/SNA/2025/00072, T/R, empty return 9/17&#10;- EVER MAST, (R20), EG&#10;- total tariffs 15.6%&#10;- 21 plts, Live unload&#10;- have additional $150 Maher Surcharge&#10;- Moored 9/11, discharged 9/11, LFD 9/17&#10;- K80-2170671-9&#10;- FDA hold 9/10, informed ready fo"/>
        <s v="EN#2170542, INV#103/EXP/INV/VI/2025, T/R, empty return 9/18&#10;- EVER MAST, (Q14), EG&#10;- total tariffs 15.6%&#10;- have additional $150 Maher Surcharge&#10;- Moored 9/11, discharged 9/11, LFD 9/17&#10;- K80-2170542-2&#10;- FDA hold 9/11, informed FDA ready for exam 9/18, FDA"/>
        <s v="EN#2171379, INV#102/EXP/INV/VI/2025, T/R, empty return 9/19&#10;- EVER MAST, (R6), EG&#10;- total tariffs 15.6%&#10;- have additional $150 Maher Surcharge&#10;- Moored 9/11, discharged 9/11, LFD 9/17&#10;- K80-2171379-8&#10;- FDA hold 9/10, informed ready for exam 9/18, FDA came"/>
        <s v="EN#2171353, INV#20250812, T/R, empty return 9/15&#10;- EVER MACRO, (S11), EG&#10;- total tariffs 20%&#10;- 10 plts, Live unload&#10;- Moored 9/10, discharged 9/12, LFD 9/17"/>
        <s v="EN#2171449, INV#E/SNA/2025/00095, T/R, empty return 9/19&#10;- EVER MACRO, (S17), EG&#10;- total tariffs 24.6%&#10;- 21 plts, Live unload&#10;- Moored 9/10, discharged 9/11, LFD 917&#10;- K80-2171449-9&#10;- FDA hold 9/11, informed ready for exam 9/19, came to collect sample 10/"/>
        <s v="EN#2170947, INV#E/SNA/2025/00079, T/R, GATEFEE9/8, empty return 9/17&#10;- NYK VESTA, (U1), ONE&#10;- total tariffs 24.6%&#10;- Moored 9/9, discharged 9/10, LFD 9/15&#10;- K80-2170947-3&#10;- FDA hold 9/9, informed ready for exam 9/19, pending exam 10/14, FDA didn't come 10/"/>
        <s v="EN#2171352, INV#T-1140806001, T/R&#10;- EVER MEMO, (S16), EG&#10;- total tariffs 20%&#10;- Moored 9/9, discharged 9/9, FCL LFD 9/15&#10;- FCL pickup 9/10, FCL empty return 9/12&#10;- LCL LFD 9/19"/>
        <s v="EN#2170962, INV#94417241, T/R, empty return 9/9&#10;- NYK METEOR, (S4), ONE&#10;- total tariffs 10%&#10;- need genset, drop&#10;- Moored 9/6, discharged 9/7, LFD 9/9&#10;- genset charge $300"/>
        <s v="EN#2171124, INV#RGN/POP-0125, T/R, empty return 9/12&#10;- EVER MEMO, (S14), EG&#10;- total tariffs 20%&#10;- prepulled 9/8, delivered 9/9"/>
        <s v="EN#2170295, INV#E/SNA/2025/00069, T/R, empty return 9/15&#10;- EVER MASS, (R10), EG&#10;- total tariffs 15.6%&#10;- have additional $150 Maher Surcharge&#10;- Moored 9/2, discharged 9/4, LFD 9/10&#10;- have an additional Empty Pick-up Surcharge $535 + 30% Fuel"/>
        <s v="EN#2170294, INV#E/SNA/2025/00067, T/R, empty return 9/8&#10;- EVER MASS, (R5), EG&#10;- total tariffs 15.6%&#10;- 21 plts, Live unload&#10;- have additional $150 Maher Surcharge&#10;- Moored 9/2, discharged 9/4, LFD 9/10"/>
        <s v="EN#2170296, INV#E/SNA/2025/00068, T/R, empty return 9/9&#10;- EVER MASS, (R4), EG&#10;- total tariffs 15.6%&#10;- 21 plts, Live unload&#10;- have additional $150 Maher Surcharge&#10;- Moored 9/2, discharged 9/4, LFD 9/10"/>
        <s v="EN#2170879, INV#E/SNA/2025/00077, T/R, GATEFEE9/2, empty return 9/12&#10;- EVER MAGUS, (T12), EG&#10;- total tariffs 24.6%&#10;- moored 9/2, discharged 9/3, LFD 9/9"/>
        <s v="EN#2170949, INV#E/SNA/2025/00076, T/R, GATEFEE9/2, empty return 9/9&#10;- EVER MAGUS, (T11), EG&#10;- total tariffs 24.6%&#10;- 21 plts, Live unload&#10;- moored 9/2, discharged 9/3, LFD 9/9"/>
        <s v="EN#2170948, INV#E/SNA/2025/00078, T/R, GATEFEE9/2, empty return 9/8&#10;- EVER MAGUS, (T10), EG&#10;- total tariffs 24.6%&#10;- 21 plts, Live unload&#10;- moored 9/2, discharged 9/2, LFD 9/9"/>
        <s v="EN#2170787, INV#E/SNA/2025/00075, T/R, GATEFEE8/26, empty return 9/9&#10;- CMA CGM FLORIDA, (S3), CMA&#10;- total tariffs 24.6%&#10;- Moored 8/29, discharged 8/29, LFD 9/5"/>
        <s v="EN#2170788, INV#E/SNA/2025/00074, T/R, GATEFEE8/26, empty return 9/9&#10;- CMA CGM FLORIDA, (S2), CMA&#10;- total tariffs 24.6%&#10;- Moored 8/29, discharged 8/29, LFD 9/5"/>
        <s v="EN#2170194, INV#E/SNA/2025/00066, T/R, GATEFEE8/20&#10;- MSC ALEXANDRA, (Q16), MSC&#10;- total tariffs 15.6%&#10;- Moored 8/25, discharged 8/25, LFD 8/29&#10;- ELFD 9/4, empty return 9/5, have per diem $25&#10;- respot 9/3&#10;- Benz wasn't using own chassis, so issued credit me"/>
        <s v="EN#2170278, INV#107/EXP/INV/VII/2025, T/R, GATEFEE8/18, empty return 9/2&#10;- YM UPSURGENCE, (S8), YANG MING&#10;- total tariffs 15.6%&#10;- moored 8/23, discharged 8/23, LFD 8/28"/>
        <s v="EN#2170345, INV#111/EXP/INV/VII/2025, T/R, GATEFEE8/20, empty return 9/3&#10;- EVER MAX, (Q22), EG&#10;- total tariffs 15.6%&#10;- Moored 8/21, discharged 8/21, LFD 8/28"/>
        <s v="EN#2170266, INV#110/EXP/INV/VII/2025, T/R, GATEFEE8/20&#10;- EVER MAX, (R8), EG&#10;- total tariffs 15.6%&#10;- Moored 8/21, discharged 8/21, LFD 8/28&#10;- cases fall out when opened container door&#10;- ELFD 9/4, empty return 9/5, have per diem?"/>
        <s v="EN#2170293, INV#112/EXP/INV/VII/2025, T/R, GATEFEE8/20, empty return 9/4&#10;- EVER MAX, (R7), EG&#10;- total tariffs 15.6%&#10;- Moored 8/21, discharged 8/21, LFD 8/28&#10;- respot 9/2&#10;- respot 9/3"/>
        <s v="EN#2170133, INV#E/SNA/2025/00063, T/R, empty return 8/27&#10;- ONE MADRID, (Q19), ONE&#10;- total tariffs 15.6%&#10;- 21 plts, live unload&#10;- have additional Global Terminal (aka Port Liberty-Bayonne) surcharge $150&#10;- Moored 8/19, discharged 8/20, LFD 8/25"/>
        <s v="EN#2170456, INV#E/SNA/2025/00064, T/R, empty return 8/25&#10;- APL ESPLANADE, (Q18), CMA&#10;- total tariffs 15.6%&#10;- 21 plts, Live unload&#10;- have additional Global Terminal (aka Port Liberty-Bayonne) surcharge ($150)&#10;- Moored 8/18, discharged 8/19, LFD 8/25"/>
        <s v="EN#2170134, INV#E/SNA/2025/00065, T/R, empty return 8/25&#10;- APL ESPLANADE, (Q17), CMA&#10;- total tariffs 15.6%&#10;- 21 plts, Live unload&#10;- have additional Global Terminal (aka Port Liberty-Bayonne) surcharge ($150)&#10;- Moored 8/18, discharged 8/19, LFD 8/25"/>
        <s v="EN#2169638, INV#094/EXP/INV/VI/2025, T/R, empty return 8/26&#10;- APL ESPLANADE, (P12), EG&#10;- total tariffs 15.6%&#10;- have additional Global Terminal (aka Port Liberty-Bayonne) surcharge ($150)&#10;- Moored 8/18, discharged 8/19, LFD 8/25&#10;- prepulled 8/25, delivered"/>
        <s v="EN#2170023, INV#E/SNA/2025/00060, T/R, GATEFEE8/13, empty return 8/27&#10;- CMA CGM CHILE, (Q12), CMA&#10;- total tariffs 15.6%&#10;- Moored 8/17, discharged 8/18, LFD 8/21&#10;- pickup pier waiting was from 7:53-10:54am additional 1hr&#10;- ELFD 8/26, empty return 8/27, hav"/>
        <s v="EN#2169771, INV#E/SNA/2025/00061, T/R, GATEFEE8/13, empty return 8/25&#10;- CMA CGM CHILE , (P19), CMA&#10;- total tariffs 15.6%&#10;- Moored 8/17, discharged 8/18, LFD 8/21"/>
        <s v="EN#2170339, INV#YD25-T08, T/R, empty return 8/22&#10;- COSCO CAMELLIA, (R16), EG&#10;- total tariffs 37.5%&#10;- have additional Maher surcharge ($150)&#10;- Moored 8/16, discharged 8/17, LFD 8/21&#10;- have an additional Empty Pick-up surcharge ($535 + 30% Fuel)"/>
        <s v="EN#2169773, INV#EMI250000500, OBL7/31, empty return 8/21&#10;- TOKYO TRIUMPH, (P21), EG&#10;- total tariffs 10% &amp; ($0.305/KG + 8.5%)&#10;- have additional $150 Maher Surcharge&#10;- Moored 8/15, discharged 8/15, LFD 8/21"/>
        <s v="EN#2169654, INV#088/EXP/INV/VI/2025, T/R, empty return 8/21&#10;- TOKYO TRIUMPH, (P9), EG&#10;- total tariffs 15.6%&#10;- Palletized, Live Unload&#10;- have additional $150 Maher Surcharge&#10;- Moored 8/15, discharged 8/15, LFD 8/21"/>
        <s v="EN#2170274, INV#109/EXP/INV/VII/2025, T/R, empty return 8/25&#10;- EVER MAX, (R9), EG&#10;- total tariffs 15.6%&#10;- 21 plts, live unload&#10;- moored 8/14, discharged 8/18, LFD 8/24"/>
        <s v="EN#2170281, INV#108/EXP/INV/VII/2025, T/R, empty return 8/21&#10;- EVER MAX, (R19), EG&#10;- total tariffs 15.6%&#10;- moored 8/14, discharged 8/16, LFD 8/20&#10;- Prepulled 8/19, delievered 8/20"/>
        <s v="EN#2170261, INV#HR2505, T/R, GATEFEE8/12, empty return 8/21&#10;- HMM OPAL, (Q21), HMM&#10;- total tariffs 43.9%&#10;- customs released 8/13&#10;- Moored 8/13, discharged 8/13, LFD 8/19"/>
        <s v="EN#2169815, INV#JB2510, T/R, empty return 8/14&#10;- SOFIA EXPRESS, (Q1), HL&#10;- total tariffs 43.9%&#10;- have additional $150 APM Surcharge&#10;- Moored 8/10, discharged 8/10, LFD 8/14&#10;- have additional Empty Pick-up surcharge ($535 + 30%)"/>
        <s v="EN#2170435, INV#20250630, T/R, empty return 8/18&#10;- EVER MOST, (R15), EG&#10;- total tariffs 10-16.4%&#10;- 10 plts, Live unload&#10;- Moored 8/9, discharged 8/13, LFD 8/18"/>
        <s v="EN#2169997, INV#JB2528, T/R, empty return 8/13&#10;- COSCO FAITH, (Q10), EG&#10;- total tariffs 43.9%&#10;- additional Maher surcharge ($150)&#10;- Moored 8/6, discharged 8/7, LFD 8/13"/>
        <s v="EN#2170025, INV#E/SNA/2025/00062, T/R, GATEFEE8/6, empty return 8/15&#10;- EVER MACH, (Q13), EG&#10;- total tariffs 15.6%&#10;- Moored 8/5, discharged 8/6, LFD 8/12&#10;- empty return pier waiting was from 9:09-10:49am additional 1hr"/>
        <s v="EN#2170617, INV#104/EXP/INV/VI/2025, T/R, GATEFEE8/6, empty return 8/14&#10;- EVER MACH, (R11), EG&#10;- total tariffs 15.6%&#10;- Moored 8/5, discharged 8/6, LFD 8/12&#10;- pickup Pier waiting was from 7:06-9:59am additional 1hr"/>
        <s v="EN#2170477, INV#SI2507060, T/R&#10;- OOCL VIOLET, (R22), OOCL&#10;- 3 plts&#10;- FCL discharged @ LA, then LCL transfer to OAK&#10;- total tariffs: calendars 0%, envelopes 30%&#10;- moored 8/4, discharged 8/9, LFD 8/13&#10;- FCL pickup 8/12, FCL empty return 8/13&#10;- LCL LFD 8/20,"/>
        <s v="EN#2170304, INV#100/EXP/INV/VI/2025, T/R, empty return 8/8&#10;- YM UBIQUITY, (R2), YANG MING&#10;- total tariffs 15.6%&#10;- Moored 8/2, discharged 8/3, LFD 8/7&#10;- prepulled 8/6, delivered 8/7"/>
        <s v="EN#2169756, INV#2025TAT02, T/R, GATEFEE7/31, empty return 8/11&#10;- GUSTAV MAERSK, (P20), MAEU&#10;- total tariffs 43.9%&#10;- Moored 8/1, discharged 8/2, LFD 8/7&#10;- prepulled 8/7 @ 3:45pm, cannot be delivered 8/7 due to traffic, so delivered 8/8&#10;- have prepull &amp; sto"/>
        <s v="EN#2169657, INV#EMI250000487, OBL7/31, GATEFEE7/31, empty return 8/12&#10;- CMA CGM ARCTIC, (P17), EG&#10;- total tariffs 10% &amp; ($0.305/KG + 8.5%)&#10;- Moored 8/1, discharged 8/2, LFD 8/7"/>
        <s v="EN#2170318, INV#145987, T/R, empty return 7/31&#10;- COSCO HOPE, (Q15), CMA&#10;- total tariffs 10%&#10;- have additional $150 Global Terminal surcharge&#10;- Moored 7/29, discharged 7/30, LFD 8/5&#10;- Live unload"/>
        <s v="EN#2169728, INV#E/SNA/2025/00054, T/R, empty return 8/4&#10;- TITAN, (P14), EG&#10;- total tariffs 15.6%&#10;- have Maher surcharge ($150)&#10;- Moored 7/29, discharged 7/30, LFD 8/5&#10;- 21 plts, Live unload"/>
        <s v="EN#2170424, INV#092/EXP/INV/VI/2025, T/R, GATEFEE 7/25, empty return 8/8&#10;- WAN HAI A18, (P18), WAN HAI&#10;- total tariffs 15.6%&#10;- Moored 7/28, discharged 7/29, LFD 8/4&#10;- pier waiting was from 7:28-10:53am additional 1 ½ hr&#10;- respot empty 8/8"/>
        <s v="EN#2169449, INV#E/SNA/2025/00059, T/R, empty return 8/8&#10;- TITAN, (P2), EG&#10;- total tariffs 15.6%&#10;- additional Maher surcharge ($150)&#10;- Moored 7/29, discharged 7/30, LFD 8/5&#10;- have an additional Empty Pick-up Surcharge $535 + 30% Fuel"/>
        <s v="EN#2169727, INV#E/SNA/2025/00055, T/R, empty return 8/1&#10;- TITAN, (P15), EG&#10;- total tariffs 15.6%&#10;- additional Maher surcharge ($150)&#10;- Moored 7/29, discharged 7/30, LFD 8/5&#10;- 21 plts, Live unload"/>
        <s v="EN#2169465, INV#JB2507, T/R, empty return 8/4&#10;- EVER TOP, (P5), EG&#10;- total tariffs 43.9%&#10;- discharged 7/27, LFD 7/31&#10;- prepulled 7/31"/>
        <s v="EN#2169596, INV#JB2457, T/R, empty return 7/31&#10;- EVER TOP, (P7), EG&#10;- total tariffs 43.9%&#10;- additional Maher surcharge ($150)&#10;- Moored 7/27, discharged 7/27, LFD 7/31&#10;- prepulled 7/30"/>
        <s v="EN#2169939, INV#AIT2502, T/R, GATEFEE7/23, empty return 8/6&#10;- EVER LEARNED, (Q7), EG&#10;- total tariffs 43.9%&#10;- Moored 7/27, discharged 7/28, LFD 7/31"/>
        <s v="EN#2170145, INV#JB2529, T/R, empty return 8/6&#10;- CSCL SOUTH CHINA SEA, (R3), EG&#10;- total tariffs 43.9%&#10;- Moored 7/27, discharged 7/30, LFD 8/5"/>
        <s v="EN#2169831, INV#HR-2504, T/R, GATEFEE7/22, empty return 8/5&#10;- GERDA MAERSK, (Q5), MAEU&#10;- total tariffs 43.9%&#10;- Moored 7/26, discharged 7/26, SSL LFD 7/31 (per Rosa, follow this LFD) or Port LFD 8/1&#10;- per forwarder, ELFD is 8/7, instead of 8/5"/>
        <s v="EN#2169840, INV#JB2513, T/R, empty return 7/31&#10;- OOCL BERLIN, (Q6), EG&#10;- total tariffs 43.9%&#10;- additional Maher surcharge ($150)&#10;- have additional Empty Pick-up surcharge $535 + 30% Fuel"/>
        <s v="EN#2169832, INV#085/EXP/INV/VI/2025, T/R, GATEFEE7/23, empty return 8/6&#10;- EVER BALMY, (Q3), EG&#10;- total tariffs 15.6%&#10;- respot 8/5&#10;- respot 8/6"/>
        <s v="EN#2169896, INV#WW58B/2025, T/R, GATEFEE7/21, empty return 7/31&#10;- MOL COURAGE, (Q8), YANG MING&#10;- total tariffs 30%&#10;- need genset (-5 C)&#10;- Health Cert mailed to GW 7/11 (Tracking #882719345996)&#10;- split pickup genset chassis&#10;- empty returned to UIS. Pier wa"/>
        <s v="EN#2170137, INV#25TM020, OBL 7/22, no GATEFEE (LCL), empty return 7/28&#10;- EVER MACRO, (Q20), EG&#10;- total tariffs 37.5%&#10;- LCL LFD 8/5&#10;- OBL delivered to forwarder 7/29, freight release 7/29"/>
        <s v="EN#2170159, INV#LF-140603, T/R, empty return 7/29&#10;- EVER MILD, (R1), EG&#10;- total tariffs 10+50%"/>
        <s v="EN#2169666, INV#090/EXP/INV/VI/2025, T/R, GATEFEE 7/21&#10;- WAN HAI A12, (P11), WAN HAI&#10;- total tariffs 15.6%&#10;- respot 8/6&#10;- ELFD 8/5, empty return 8/8, have per diem $443.10&#10;- per diem day rate $140 x 3 days"/>
        <s v="EN#2169665, INV#089/EXP/INV/VI/2025, T/R, GATEFEE 7/21, empty return 8/4&#10;- WAN HAI A12, (P10), WAN HAI&#10;- total tariffs 15.6%&#10;- respot 7/31"/>
        <s v="EN#2169716, INV#AIT2503, T/R, GATEFEE7/21, empty return 7/31&#10;- EVER FORE, (P16), EG&#10;- total tariffs 43.9%"/>
        <s v="EN#2169838, INV#YD25-T04, T/R, empty return 7/28&#10;- EVER LEARNED, (Q4), EG&#10;- total tariffs 37.5%"/>
        <s v="EN#2169400, INV#E/SNA/2025/00053, T/R, GATEFEE7/15, empty return 7/30&#10;- MSC MARTINA MARIA, (N18), MSC&#10;- total tariffs 15.6%&#10;- have empty pickup waiting time (10:40-11:10am) additional ½ hr waiting time"/>
        <s v="EN#2169401, INV#94403179, T/R, GATEFEE7/14, empty return 7/25&#10;- NYK REMUS, (N17), ONE&#10;- total tariffs 10%&#10;- no need genset&#10;- have additional 1 hour drop off waiting time"/>
        <s v="EN#2169499, INV#WW45/2025, T/R, GATEFEE 7/10, empty return 7/21&#10;- YM UPWARD, (P6), YANG MING&#10;- total tariffs 30% / 70%&#10;- Health cert mail to GW 7/10 (Tracking #882687289560)&#10;- reefer empty will return to UIS per YML, charge fee applies"/>
        <s v="EN#2169645, INV#MP-202540994, T/R, GATEFEE 7/10, empty return 7/24&#10;- YM UNICORN, (P13), YANG MING&#10;- total tariffs 60.6%"/>
        <s v="EN#2169464, INV#E/SNA/2025/00056, T/R, GATEFEE 7/10, empty return 7/23&#10;- EVER MAGUS, (P4), EG&#10;- total tariffs 15.6%"/>
        <s v="EN#2169049, INV#E/SNA/2025/00052, T/R, empty return 7/21 (Live-unloaded but driver cannot make it back on time. Hence return the following business day)&#10;- TRITON, (N9), EG&#10;- total tariffs 15.6%&#10;- Pre-pull ($150), Storage ($50/dayx3), Chassis $40/day, and "/>
        <s v="EN#2168977, INV#E/SNA/2025/00049, T/R, empty return 7/15&#10;- TRITON, (N5), EG&#10;- total tariffs 15.6%&#10;- have additional $150 Maher Surcharge"/>
        <s v="EN#2169114, INV#075/EXP/INV/V/2025, T/R, empty return 7/21&#10;- WAN HAI A15, (N14), WAN HAI&#10;- total tariffs 15.6%&#10;- $150 APM Surcharge&#10;- have an additional Empty Pick-up surcharge ($535 + 30% Fuel)."/>
        <s v="EN#2169115, INV#074/EXP/INV/V/2025, T/R, empty return 7/15&#10;- WAN HAI A15, (N13), WAN HAI&#10;- total tariffs 15.6%&#10;- 21 plts (Live unload)&#10;- have additional $150 APM Surcharge"/>
        <s v="EN#2169798, INV#JYPOP20250604, T/R, empty return 7/22&#10;- EVER MEMO, (P22), EG&#10;- total tariffs 55%"/>
        <s v="EN#2168534, INV#064/EXP/INV/IV/2025, T/R, empty return 7/17 &#10;- EVER MODE, (M17), EG&#10;- total tariffs 15.6%"/>
        <s v="- EN#8NP-0809929-7&#10;- EVER MODE, (Q11), EG&#10;- customs cleaered by KHONG GUAN&#10;- deliver by E-Trans&#10;- additional Maher surcharge ($150)"/>
        <s v="EN#2169342, INV#YD25-T07, T/R, empty return 7/11&#10;- COSCO AZALEA, (P3), COSCO&#10;- total tariffs 37.5%&#10;- BL# 6419162650&#10;- have additional $150 Maher Surcharge&#10;- Moored 7/7, discharged 7/8, LFD 7/14"/>
        <s v="EN#2169369, INV#2174, T/R, GATEFEE7/3, empty return 7/18&#10;- WAN HAI 721, (N20), WAN HAI&#10;- total tariffs 60.6%"/>
        <s v="EN#2168749, INV#94392287, T/R, no PL, empty return 7/14 (Live unloaded)&#10;- SEASPAN THAMES, (M13), HL&#10;- total tariffs 10%&#10;- port corrected from NJ to LA&#10;- need genset (temp 18C)&#10;- not door move, GW will deliver&#10;- GW provide triaxle &amp; genset charges&#10;- USDA r"/>
        <s v="EN#2169371, INV#AIT2504, T/R, GATEFEE7/7, empty return 7/19&#10;- EVER FRONT, (N22), EG&#10;- total tariffs 43.9%&#10;- Moored 7/6, discharged 7/6, LFD 7/17&#10;- LFD 7/13, eModal shows 7/14 as earliest, 1day Demurrage fee might apply&#10;- FDA requested ingredient list for "/>
        <s v="EN#2169823, INV#YD25-T05, T/R, empty return 7/14&#10;- EVER LADEN, (Q2), EG&#10;- total tariffs 37.5%&#10;- Moored 7/1, discharged 7/4, LFD 7/9"/>
        <s v="EN#2169480, INV#JB2523, T/R, empty return 7/9&#10;- EVER LADEN, (P8), EG&#10;- total tariffs 43.9%&#10;- Moored 7/1, discharged 7/1, LFD 7/6&#10;- prepulled 7/6, delivered 7/7"/>
        <s v="EN#2169243, INV#94402816, T/R&#10;- HELLA, (P1), HL&#10;- total tariffs 10%&#10;- need genset (temp 18C)&#10;- 40 reefer, instead of 45 reefer&#10;- have additional $150 APM Surcharge&#10;- Etrans cannot deliver, Apex will deliver&#10;- Moored 6/28, discharged 6/29, LFD 7/1&#10;- Live u"/>
        <s v="EN#2169091, INV#YD25-T03, T/R, empty return 7/8&#10;- COSCO SHIPPING ROSE, (N15), COSCO&#10;- BL# 6417881860&#10;- total tariffs 37.5%&#10;- have additional $150 Maher Surcharge&#10;- Moored 6/28, discharged 6/29, LFD 7/3&#10;- have additional Empty Pick-up surcharge ($535 + 32%"/>
        <s v="EN#2169030, INV#JB2511, T/R, empty return 7/2&#10;- COSCO SHIPPING ROSE, (N10), EG&#10;- total tariffs 43.9%&#10;- have additional $150 Maher Surcharge&#10;- Moored 6/28, discharged 6/28, LFD 7/3"/>
        <s v="EN#2169037, INV#EMI250000365, OBL6/19, GATEFEE 6/23, empty return 6/30&#10;- EVER MAGI, (N12), EG&#10;- total tariffs 10% &amp; ($0.305/KG + 8.5%)&#10;- Moored 6/21, discharged 6/22, LFD 6/26"/>
        <s v="EN#2168975, INV#E/SNA/2025/00051, T/R, GATEFEE 6/23, empty return 7/2&#10;- EVER MAGI, (N3), EG&#10;- total tariffs 15.6%&#10;- Moored 6/21, discharged 6/22, LFD 6/29"/>
        <s v="EN#2168976, INV#E/SNA/2025/00050, T/R, GATEFEE 6/23, empty return 2/27&#10;- EVER MAGI, (N4), EG&#10;- total tariffs 15.6%&#10;- Moored 6/21, discharged 6/22, LFD 6/26"/>
        <s v="EN#2169031, INV#JB2512, T/R, empty return 6/25&#10;- COSCOSHIPPING ORCHID, (N11), OOCL&#10;- have additional $150 Maher Surcharge&#10;- total tariffs 43.9%&#10;- moored 6/21, discharged 6/22, LFD 6/26"/>
        <s v="EN#2168730, INV#067/EXP/INV/IV/2025, T/R, empty return 6/23&#10;- ONE MILANO, (M21), YANG MING&#10;- have additional $150 Port Liberty Bayonne (Global) Surcharge&#10;- total tariffs 15.6%&#10;- 21 plts (Live unload)&#10;- Moored 6/19, discharged 6/20, LFD 6/26"/>
        <s v="EN#2168741, INV#E/SNA/2025/00047, T/R,  empty return 6/27&#10;- CMA CGM JEAN GABRIEL, (M22), EG&#10;- have additional $150 Port Liberty Bayonne (Global) Surcharge&#10;- total tariffs 15.6%&#10;- Moored 6/19, discharged 6/20, LFD 6/26&#10;- have additional Empty Pick-up surch"/>
        <s v="EN#2168626, INV#E/SNA/2025/00046, T/R, empty return 6/26&#10;- CMA CGM JEAN GABRIEL, (M19), EG&#10;- have additional $150 Port Liberty Bayonne (Global) Surcharge&#10;- total tariffs 15.6%&#10;- Moored 6/19, discharged 6/20, LFD 6/26"/>
        <s v="EN#2169349, INV#US-250501, OBL6/16&#10;- NYK VENUS, (N19), ONE&#10;- total tariffs 16.4%&#10;- Moored 6/18, discharged 6/20, LFD 6/25&#10;- FCL picked up 6/23, FCL empty return 6/25&#10;- GW deliver LCL"/>
        <s v="EN#?, INV#2500033, T/R&#10;- CMA CGM J. ADAMS, (N21), EG, empty return 6/25&#10;- total tariffs?&#10;- COCOBA USA filed ISF&#10;- door move by vendor&#10;- Moored 6/15, discharged 6/16, LFD 6/20&#10;- picked up 6/18, customs hold for exam 6/12&#10;- POP pay freight invoice"/>
        <s v="EN#2168823, INV#EMI250000358, OBL6/2, GATEFEE6/16, empty return 6/25&#10;- EVER MACH, (N2), EG&#10;- total tariffs 10% &amp; ($0.305/KG + 8.5%)&#10;- Moored 6/16, discharged 6/16, LFD 6/23"/>
        <s v="EN#2168962, INV#JB2520, T/R, GATEFEE6/12, empty return 6/20&#10;- EVER FAITH, (N8), EG&#10;- total tariffs 43.9%&#10;- Moored 6/12, discharged 6/13, LFD 6/19, updated LFD 6/22&#10;- port closed 6/19"/>
        <s v="EN#2168237, INV#E/SNA/2025/00039, T/R, empty return 6/12&#10;- EVER MAX, (M12), EG&#10;- total tariffs 15.6%&#10;- have additional $150 Maher Surcharge&#10;- Moored 6/9, discharged 6/10, LFD 6/16"/>
        <s v="EN#2168334, INV#E/SNA/2025/00041, T/R, empty return 6/16&#10;- EVER MAX, (M15), EG&#10;- total tariffs 15.6%&#10;- have additional $150 Maher Surcharge&#10;- Moored 6/9, discharged 6/10, LFD 6/16&#10;- have additional Empty Pick-up surcharge ($535 + 30% Fuel)"/>
        <s v="EN#2168335, INV#E/SNA/2025/00040, T/R,  empty return 6/13&#10;- EVER MAX, (M14), EG&#10;- total tariffs 15.6%&#10;- have additional $150 Maher Surcharge&#10;- Moored 6/9, discharged 6/11, LFD 6/16"/>
        <s v="EN#2168963, INV#20250516, T/R, empty return 6/11&#10;- OOCL MALAYSIA, (N7), COSCO&#10;- total tariffs 35.3-55.0%&#10;- FDA request LACF (Low Acid Canned Food) dimensions&#10;- Unpalletized (Drop unload)&#10;- Moored 6/8, discharged 6/8, LFD 6/12"/>
        <s v="EN#2168539, INV#E/SNA/2025/00043, T/R, empty return 6/12&#10;- APL SENTOSA, (M18), EG&#10;- total tariffs 15.6%&#10;- Moored 6/5, discharged 6/9, LFD 6/13&#10;- prepulled 6/10, delivered 6/11"/>
        <s v="EN#2168959, INV#143998, T/R, empty return 6/9&#10;- COSCO HOPE, (N6), CMA&#10;- total tariffs 10%&#10;- have an additional $150 Maher Surcharge&#10;- Live unload&#10;- Moored 6/4, discharged 6/5, LFD 6/10"/>
        <s v="EN#2168627, INV#E/SNA/2025/00045, T/R, GATEFEE5/29&#10;- PRESIDENT MONROE, (M20), CMA&#10;- total tariffs 15.6%&#10;- Moored 6/3, discharged 6/3, LFD 6/9&#10;- ELFD 6/12, empty return 6/16, have per diem?"/>
        <s v="EN#2168694, INV#250320, OBL5/15, empty return 6/6&#10;- HMM DRIVE, (M10), HMM&#10;- total tariffs 10%&#10;- forwarder address need to be updated&#10;- wrong mailing address, forwarder picked up the OBL from Fedex&#10;- have an additional $150 Port Liberty Bayonne (Global) Su"/>
        <s v="EN#8NP-0809446-2, INV#8007516531, T/R, empty return 6/6&#10;- THESEUS, (N16), EG&#10;- customs cleared by KHONG GUAN customs broker&#10;- have additional Maher surcharge ($150)&#10;- total tariffs 16.4%&#10;- Moored 5/30, discharged 5/30, LFD 6/5&#10;- customs released 6/2&#10;- hav"/>
        <s v="EN#2168401, INV#E/SNA/2025/00042, T/R, GATEFEE5/29, empty return 6/6&#10;- EVER MILD, (M16), EG&#10;- total tariffs 15.6%&#10;- moored 5/30, discharged 5/30, LFD 6/5"/>
        <s v="EN#2167810, INV#E/SNA/2025/00038, T/R, empty return 6/5&#10;- GREENFIELD, (M4), MSC&#10;- total tariffs 15.6%&#10;- have additional $150 PNCT Surcharge&#10;- Moored 5/29, discharged 5/30, LFD 6/4"/>
        <s v="EN#2167793, INV#E/SNA/2025/00037, T/R, empty return 6/5&#10;- GREENFIELD, (M1), MSC&#10;- total tariffs 15.6%&#10;- have additional $150 PNCT Surcharge&#10;- Moored 5/29, discharged 5/30, LFD 6/4"/>
        <s v="EN#2167765, INV#E/SNA/2025/00034, T/R, empty return 5/29&#10;- CMA CGM CHILE, (L22), EG&#10;- total tariffs 5.6%&#10;- have additional $150 APM Surcharge&#10;- Moored 5/24, discharged 5/24, LFD 5/30"/>
        <s v="EN#2167663, INV#054/EXP/INV/III/2025, T/R, GATEFEE5/15, empty return 5/30&#10;- CAPE KORTIA, (L17), MSC&#10;- total tariffs 5.6%&#10;- Moroed 5/20, discharged 5/20, LFD 5/27&#10;- empty return pier waiting was from 12:28-1:45pm additional ½ hr."/>
        <s v="EN#2168328, INV#048/EXP/INV/III/2025, T/R, GATEFEE5/15&#10;- CAPE KORTIA, (L18), MSC&#10;- total tariffs 5.6%&#10;- Moroed 5/20, discharged 5/20, LFD 5/27&#10;- ELFD 5/30, empty return 6/4, have per diem&#10;- MSC chassis charge $110&#10;- MSC per diem charge $75"/>
        <s v="EN#2168130, INV#049/EXP/INV/III/2025, T/R, GATEFEE5/15, empty return 5/28&#10;- CAPE KORTIA, (M9), MSC&#10;- total tariffs 5.6%&#10;- Moroed 5/20, discharged 5/20, LFD 5/27&#10;- MSC invoice (chassis $110)"/>
        <s v="EN#2168700, INV#KB250415, OBL5/15, empty return 5/23&#10;- SM SHANGHAI, (N1), SM LINE&#10;- total tariffs 10%&#10;- customs hold for exam 5/13&#10;- (Bestway Shipping Inc) forwarder address need to be updated (125 W. VICTORIA ST, LONG BEACH, CA 90805)&#10;- Moored 5/18, disc"/>
        <s v="EN#2167763, INV#E/SNA/2025/00035, T/R, empty return 5/21&#10;- TOKYO TRIUMPH, (L21), EG&#10;- total tariffs 5.6%&#10;- have additional $150 Maher Surcharge&#10;- Moored 5/17, discharged 5/18, LFD 5/22"/>
        <s v="EN#2167542, INV#E/SNA/2025/00031, T/R, empty return 5/22&#10;- TOKYO TRIUMPH, (L11), EG&#10;- total tariffs 5.6%&#10;- have additional $150 Maher Surcharge&#10;- Moored 5/17, discharged 5/18, LFD 5/22&#10;- have additional Empty Pick-up surcharge ($535 + 30%)"/>
        <s v="EN#2167589, INV#045/EXP/INV/III/2025, T/R, empty return 5/20&#10;- CMA CGM LEO, (L19), EG&#10;- total tariffs 5.6%&#10;- have an additional $150 APM Surcharge&#10;- Moored 5/12, discharged 5/13, LFD 5/19"/>
        <s v="EN#2168236, INV#040/EXP/INV/III/2025, T/R, GATEFEE5/8, empty return 5/20&#10;- MSC BIANCA SILVIA, (L5), MSC&#10;- total tariffs 5.6%&#10;- held for X-ray exam, GW handling fee of $25&#10;- Moored 5/10, discharged 5/11, LFD 5/15&#10;- customs released 5/13&#10;- x-ray exam invoic"/>
        <s v="EN#2167968, INV#SO00008377, SO00008378, T/R&#10;- OOCL BRUSSELS, (M8), OOCL&#10;- total tariffs 20%&#10;- have an additional $150/contr Maher Surcharge&#10;- moored 5/10&#10;- c#2127 - discharged 5/12, LFD 5/16, empty return 5/16&#10;- c#0168 - discharged 5/12, LFD 5/16, empty r"/>
        <s v="EN#2167927, INV#AIT2501, T/R, GATEFEE5/5, empty return 5/15&#10;- HMM RUBY, (M6), HMM&#10;- total tariffs 33.9%&#10;- Moored 5/9, discharged 5/10, LFD 5/15&#10;- pickup pier waiting was from 8-10:37am additional ½ hr"/>
        <s v="EN#2167772, INV#2172, T/R, empty return 5/14&#10;- VALUE, (M3), WAN HAI&#10;- total tariffs 50.6%&#10;- have additional $150 APM Surcharge&#10;- Moored 5/8, discharged 5/9, LFD 5/15&#10;- Live unload"/>
        <s v="EN#2167988, INV#E/SIN/2025/00036, T/R, GATEFEE5/5, empty return 5/19&#10;- MOL CELEBRATION, (M2), ONE&#10;- total tariffs 5.6%&#10;- Moored 5/8, discharged 5/8, LFD 5/14&#10;- pickup pier waiting was from 9:05-11:25am additional ½ hr"/>
        <s v="EN#2167946, INV#JB2509, T/R, empty return 5/8&#10;- COSCO JASMINE, (M7), EG&#10;- total tariffs 33.9%&#10;- have additional $150 Maher Surcharge&#10;- Moored 5/3, discharged 5/4, LFD 5/8"/>
        <s v="EN#2167926, INV#YD25-T06, T/R, empty return 5/13&#10;- COSCO JASMINE, (M5), COSCO&#10;- total tariffs 27.5%&#10;- have additional $150 Maher Surcharge&#10;- BL# 6412688910&#10;- Moored 5/3, discharged 5/4, LFD 5/8&#10;- have Empty Pick-up Surcharge ($535 + 30% Fuel)"/>
        <s v="EN#2167664, INV#E/SNA/2025/00032, T/R, GATEFEE4/29, empty return 5/13&#10;- CMA CGM TARPON, (L16), CMA&#10;- total tariffs 5.6%&#10;- Moored 5/2, discharged 5/2, LFD 5/8"/>
        <s v="EN#2167499, INV#E/SNA/2025/00030, T/R, GATEFEE4/29&#10;- MSC TARANTO, (L8), MSC&#10;- total tariffs 5.6%&#10;- Moored 5/3, discharged 5/3, LFD 5/8&#10;- ELFD 5/13, empty return 5/14, have per diem&#10;- MSC chassis charge $110&#10;- MSC per diem $25"/>
        <s v="EN#2167187, INV#034/EXP/INV/II/2025, T/R, empty return 5/6&#10;- MSC RENEE, (K14), MSC&#10;- total tariffs 5.6%&#10;- have additional $150 PNCT Surcharge&#10;- Moored 4/30, discharged 5/2, LFD 5/7"/>
        <s v="EN#2167264, INV#035/EXP/INV/II/2025, T/R, empty return 5/7&#10;- MSC RENEE, (K18), MSC&#10;- total tariffs 5.6%&#10;- have an additional $150 PNCT Surcharge&#10;- Moored 4/30, discharged 5/2, LFD 5/8"/>
        <s v="EN#2167279, INV#E/SNA/2025/00028, T/R, empty return 5/8&#10;- MSC RENEE, (L2), MSC&#10;- total tariffs 5.6%&#10;- have additional $150 PNCT Surcharge&#10;- Moored 4/30, discharged 5/2, LFD 5/8&#10;- warehouse receive QC samples as PN-QC in data collection"/>
        <s v="EN#2167281, INV#2025TAT01, T/R, empty return 4/30&#10;- YOKOHAMA EXPRESS, (L4), MAEU&#10;- total tariffs 33.9%&#10;- have additional $150 APM Surcharge&#10;- Moored 4/26, discharged 4/27, LFD 5/1&#10;- live unload"/>
        <s v="EN#2167504, INV#HR-2503, T/R, GATEFEE4/21, empty return 5/5&#10;- GERNER MAERSK, (L10), MAEU&#10;- total tariffs 33.9%&#10;- Moored 4/25, discharged 4/26, LFD 5/2&#10;- per forwarder, Line LFD 5/1, Port LFD 5/2&#10;- per Benz, ELFD 5/5, but per forwarder, ELFD 5/3, and per M"/>
        <s v="EN#2167667, INV#JB2508, T/R, empty return 5/5&#10;- OOCL BERLIN, (L20), EG&#10;- total tariffs 33.9%&#10;- have additional $150 Maher Surcharge&#10;- RC closed 4/29-5/4&#10;- Moored 4/25, discharged 4/26, LFD 5/1&#10;- prepulled 5/1, delivered 5/5 (live unload)&#10;- have pre-pull ("/>
        <s v="EN#2167517, INV#JB2506, T/R, empty return 4/28&#10;- COSCO AZALEA, (L12), EG&#10;- have additional $150 Maher Surcharge&#10;- total tariffs 33.9%&#10;- RC closed 4/29-5/4&#10;- Moored 4/24, discharged 4/25, LFD 4/30&#10;- Prepulled 4/25, delivered 4/28&#10;- Eric provided Proforma I"/>
        <s v="EN#2167173, INV#037/EXP/INV/III/2025, T/R, GATEFEE4/21&#10;- EVER MAST, (K19), EG&#10;- total tariffs 5.6%&#10;- Moored 4/21, discharged 4/21, LFD 4/27&#10;- ELFD 5/1, empty return 5/2, EG has 10 days ELFD, so no per diem&#10;- Pier waiting was from 9:05-10:51am additional 1"/>
        <s v="EN#2167477, INV#SS2412102-H, T/R, empty return 4/24&#10;- NAVIOS CONSTELLATION, (L9), MAEU&#10;- have additional $150 APM Surcharge&#10;- total tariffs 45%&#10;- Moored 4/18, discharged 4/19, LFD 4/24&#10;- have Empty Pick-up Surcharge ($535 + 30% Fuel)"/>
        <s v="EN#2166803, INV#E/SNA/2025/00021, T/R, empty return 4/22&#10;- CMA CGM T.JEFFERSON, (K3), EG&#10;- have additional $150 APM Surcharge&#10;- total tariffs 5.6%&#10;- Moored 4/15, discharged 4/16, LFD 4/23"/>
        <s v="EN#2166802, INV#E/SNA/2025/00019, T/R, empty return 4/24&#10;- CMA CGM T.JEFFERSON, (K2), EG&#10;- have additional $150 APM Surcharge&#10;- total tariffs 5.6%&#10;- Moored 4/15, discharged 4/15, LFD 4/22&#10;- prepulled 4/22, delivered 4/23"/>
        <s v="EN#2166741, INV#E/SNA/2025/00018, T/R, empty return 4/23&#10;- CMA CGM T.JEFFERSON, (J22), EG&#10;- have additional $150 APM Surcharge&#10;- total tariffs 5.6%&#10;- Moored 4/15, discharged 4/15, LFD 4/22"/>
        <s v="EN#2167603, INV#KB250225, OBL4/3, GATEFEE4/9, empty return 4/23&#10;- HMM SAPPHIRE, (L14), HMM&#10;- total tariffs 0%&#10;- CREATABIO CO., LTD FDA# is 19626453394&#10;- Moored 4/15, discharged 4/16, LFD 4/22&#10;- cases in container collapsed once delivered to warehouse&#10;- Li"/>
        <s v="EN#2167171, INV#E/SNA/2025/00025, T/R, GATEFEE4/9, empty return 4/24&#10;- WAN HAI A16, (K13), WAN HAI&#10;- total tariffs 5.6%&#10;- Moored 4/15, discharged 4/15, LFD 4/21"/>
        <s v="EN#2167157, INV#HR2502, T/R, empty return 4/17&#10;- COYHAIQUE, (K16), MAEU&#10;- have additional $150 APM Surcharge&#10;- Moored 4/12, discharged 4/12, LFD 4/17 (per forwarder)&#10;- total tariffs 33.9%&#10;- ELFD 4/17 (per forwarder)"/>
        <s v="EN#2166831, INV#026/EXP/INV/II/2025, T/R, empty return 4/17&#10;- WAN HAI A09, (K1), WAN HAI&#10;- have additional $150 APM Surcharge&#10;- Moored 4/12, discharged 4/13, LFD 4/17&#10;- total tariffs 5.6%"/>
        <s v="EN#2167153, INV#JB2467, T/R, empty return 4/16&#10;- COSCO SHIPPING ROSE, (K15), EG&#10;- have additional $150 Maher Surcharge&#10;- Moored 4/11, discharged 4/12, LFD 4/17&#10;- total tariffs 33.9%"/>
        <s v="EN#2167492, INV#LF-140301, T/R&#10;- EVER MAGI, (L15), EG&#10;- total tariffs 30.3%&#10;- moored 4/10, discharged 4/11, FCL LFD 4/17, FCL picked up 4/16, FCL empty return 4/17&#10;- GW deliver LCL to Sun Ten"/>
        <s v="EN#2167280, INV#JB2466, T/R, empty return 4/22&#10;- COSCO DEVELOPMENT, (L3), EG&#10;- have additional $150 Maher Surcharge&#10;- total tariffs 33.9%&#10;- Moored 4/9, discharged 4/11, LFD 4/17"/>
        <s v="EN#2166112, INV#E/SNA/2025/00006, T/R, empty return 4/15&#10;- WAN HAI A15, (J1), WAN HAI&#10;- have additional $150 APM Surcharge&#10;- Moored 4/6, discharged 4/7, LFD 4/11&#10;- total tariffs 5.6%"/>
        <s v="EN#2167172, INV#2170, T/R, GATEFEE3/31&#10;- CONTI CRYSTAL, (K17), YANG MING&#10;- total tariffs 50.6%&#10;- Moored 4/7, discharged 4/7, LFD 4/11&#10;- total tariffs 50.6%&#10;- ELFD 4/16, empty return 4/17, have per diem"/>
        <s v="EN#2166571, INV#E/SNA/2025/00015, T/R, empty return 4/9&#10;- CMA CGM ZEPHYR, (J16), EG&#10;- total tariffs 5.6%&#10;- have additional $150 APM Surcharge&#10;- Moored 4/4, discharged 4/4, LFD 4/10"/>
        <s v="EN#2167259, INV#YD25-T01, T/R, GATEFEE4/4&#10;- EVER FRANK, (L1), COSCO&#10;- total tariffs 27.5%&#10;- BL# 6410319380&#10;- Moored 4/4, discharged 4/5, LFD 4/10&#10;- pickup pier waiting : 11:04-1:51pm additional 1hr&#10;- ELFD 4/14, empty return 4/15, have per diem?&#10;- total ta"/>
        <s v="EN#2167230, INV#JB2505, T/R, GATEFEE4/4&#10;- EVER FRANK, (K21), EG&#10;- total tariffs 33.9%&#10;- Moored 4/4, discharged 4/5, LFD 4/10&#10;- ELFD 4/16, empty return 4/21, have per diem&#10;- pickup pier waiting was from 8:17-1:28pm addition 3 ½ hr&#10;- Pier waiting was from: "/>
        <s v="EN#2167240, INV#E/SNA/2025/00026, T/R, empty return 4/10&#10;- PRESIDENT GRANT, (K20), CMA&#10;- total tariffs 5.6%&#10;- Moored 4/4, discharged 4/4, LFD 4/10&#10;- prepulled 4/8, delivered 4/9"/>
        <s v="EN#2167522, INV#YD25-T02, T/R, empty return 4/14&#10;- COSCO ITALY, (L13), COSCO&#10;- total tariffs 27.5%&#10;- Moored 4/2, discharged 4/5, LFD 4/10&#10;- Prepulled 4/9, delivered 4/10"/>
        <s v="EN#2167434, INV#JB2504, T/R, empty return 4/9&#10;- COSCO ITALY, (L7), EG&#10;- total tariffs 33.9%&#10;- Moored 4/2, discharged 4/5, LFD 4/10&#10;- Prepulled 4/7, delivered 4/8"/>
        <s v="EN#2167359, INV#JYPOP20250227, T/R, GATEFEE3/31, empty return 4/11&#10;- EVER MOST, (L6), EG&#10;- total tariffs 45%&#10;- provided ingredient list to FDA&#10;- Moored 3/31, discharged 4/1, LFD 4/7&#10;- 4/7 night gate only, LFD extended to 4/8&#10;- pickup pier waiting was from"/>
        <s v="EN#2167120, INV#E/SNA/2025/00024, T/R, GATEFEE3/31, empty return 4/9&#10;- EVER MOST, (K12), EG&#10;- total tariffs 5.6%&#10;- original favor: old Pouch Bag : 1,323 ctn, new Pouch Bag : 452 ctn&#10;- Moored 3/31, discharged 3/31, LFD 4/6&#10;- Pier waiting was from 9:15-11:0"/>
        <s v="EN#2166935, INV#JB2463, T/R, empty return 4/2&#10;- COSCOSHIPPING ORCHID, (K10), EG&#10;- total tariffs 33.9%&#10;- have additional $150 Maher Surcharge&#10;- Moored 3/29, discharged 3/30, LFD 4/3&#10;- Live unload"/>
        <s v="EN#2166442, INV#E/SNA/2025/00013, T/R, empty return 4/3&#10;- TRITON, (J8), EG&#10;- total tariffs 5.6%&#10;- have additional $150 Maher Surcharge&#10;- Vessel IMO 9728916&#10;- Moored 3/29, discharged 3/30, LFD 4/3&#10;- empty bobtail pick 4/3&#10;- have additional Empty Pick-up su"/>
        <s v="EN#2167257, INV#JB2503, T/R, empty return 4/7&#10;- OOCL SUNFLOWER, (K22), EG&#10;- total tariffs 33.9%&#10;- Moored 3/27, discharged 3/29, LFD 4/4"/>
        <s v="EN#2166904, INV#E/SNA/2025/00023, T/R, empty return 4/4&#10;- OOCL SUNFLOWER, (K7), CMA&#10;- total tariffs 5.6%&#10;- Moored 3/27, discharged 3/28, LFD 4/4"/>
        <s v="EN#2166905, INV#E/SNA/2025/00022, T/R, empty return 4/3&#10;- OOCL SUNFLOWER, (K8), CMA&#10;- total tariffs 5.6%&#10;- Moored 3/27, discharged 3/29, LFD 4/4"/>
        <s v="EN#2166115, INV#003/EXP/INV/I/2025, T/R, empty return 4/1&#10;- EVER MODE, (H15), EG&#10;- total tariffs 5.6%&#10;- have additional $150 Maher Surcharge&#10;- Moored 3/26, discharged 3/27, LFD 4/2"/>
        <s v="EN#2166281, INV#006/EXP/INV/I/2025, T/R, empty return 4/2&#10;- EVER MODE, (H22), EG&#10;- total tariffs 5.6%&#10;- have additional $150 Maher Surcharge&#10;- Moored 3/26, discharged 3/27, LFD 4/2"/>
        <s v="EN#2166936, INV#JB2465, T/R, empty return 3/31&#10;- COSCO HARMONY, (K11), EG&#10;- total tariffs 33.9%&#10;- have additional $150/container Maher Surcharge&#10;- moored 3/26, discharged 3/26, LFD 4/1"/>
        <s v="EN#2166630, INV#EMI250000108, OBL3/17, GATEFEE3/20, empty return 4/7&#10;- CMA CGM J. ADAMS, (J20), EG&#10;- total tariffs = $0.305 per KG + 8.5%&#10;- At anchor 3/22&#10;- Moored 3/25, discharged 3/25, LFD 3/31 or 4/1&#10;- 3/31 no night gate&#10;- updated LFD 4/1"/>
        <s v="EN#2166585, INV#HR-2501, T/R, empty return 3/26&#10;- MADRID EXPRESS, (J11), MAEU&#10;- have additional $150 APM Surcharge&#10;- total tariffs 33.9%&#10;- Moored 3/22, discharged 3/22, LFD 3/27"/>
        <s v="EN#2166785, INV#JB2462, T/R, empty return 3/28&#10;- COSCO SAKURA, (K9), EG&#10;- total tariffs 33.9%&#10;- have additional $150 Maher Surcharge&#10;- Moored 3/22, discharged 3/22, LFD 3/27"/>
        <s v="EN#2166517, INV#E/SNA/2025/00014, T/R, GATEFEE3/17, empty return 4/2&#10;- WAN HAI 356, (J13), WAN HAI&#10;- total tariffs 5.6%&#10;- Moored 3/22, discharged 3/23, LFD 3/27"/>
        <s v="EN#2166816, INV#AIT2407, T/R, GATEFEE3/20, empty return 4/7&#10;- EVER LOGIC, (K6), EG&#10;- total tariffs 33.9%&#10;- Moored 3/22, discharged 3/22, LFD 3/31&#10;- prepulled 3/28, delivered 4/1, due to late pickup &amp; heavy traffic&#10;- Oakland terminal closed on 3/31, all dr"/>
        <s v="EN#2166815, INV#YD24-T17, T/R, empty return 3/26&#10;- COSCO EXCELLENCE, (K5), COSCO&#10;- have additional $150 Maher Surcharge&#10;- total tariffs 27.5%&#10;- Moored 3/19, discharged 3/20, LFD 3/25"/>
        <s v="EN#2166592, INV#E/SNA/2025/00016, T/R, GATEFEE3/17, empty return 4/1&#10;- EVER MACRO, (J17), EG&#10;- total tariffs 5.6%&#10;- moored 3/17, discharged 3/19, LFD 3/26&#10;- Pier waiting was from 9:38- 1:30pm.  additional 3hr  for empty return"/>
        <s v="EN#2166500, INV#016/EXP/INV/II/2025, T/R, GATEFEE3/17, empty return 3/28&#10;- EVER MACRO, (J12), EG&#10;- total tariffs 5.6%&#10;- moored 3/17, discharged 3/20, LFD 3/26&#10;- empty return pier waiting was from 7:02 -8:56 am additional 1hr.  for empty return"/>
        <s v="EN#2166598, INV#POP-01/25, OBL3/17, GATEFEE3/17, empty return 4/1&#10;- EVER MACRO, (J18), EG&#10;- total tariffs 0%&#10;- moored 3/17, discharged 3/19, LFD 3/25&#10;- LFD extended to 3/26&#10;- Evergreen received OBL 3/20, freight released 3/20&#10;- Pier waiting was from 7-9am"/>
        <s v="EN#2166807, INV#2169, T/R, empty return 3/24&#10;- YM UNANIMITY, (K4), YANG MING&#10;- total tariffs 50.6%&#10;- Moored 3/17, discharged 3/18, LFD 3/24"/>
        <s v="EN#2165742, INV#E/SNA/2024/00191, T/R, empty return 3/21&#10;- EVER MAX, (H3), EG&#10;- total tariffs 5.6%&#10;- have additional $150 Maher Surcharge&#10;- Moored 3/13, discharged 3/14, LFD 3/21"/>
        <s v="EN#2166534, INV#020/EXP/INV/II/2025, T/R, empty return 3/21&#10;- MSC VICTORINE, (J15), MSC&#10;- total tariffs 5.6%&#10;- Moored 3/13, discharged 3/16, LFD 3/20"/>
        <s v="EN#2166612, INV#JB2456, T/R, empty return 3/19&#10;- COSCO SHIPPING LOTUS, (J19), EG&#10;- total tariffs 33.9%&#10;- have additional $150 Maher Surcharge&#10;- moored 3/13, discharged, LFD 3/21&#10;- prepulled 3/18, delivered 3/19, live unload&#10;- Eric provided Proforma Invoic"/>
        <s v="EN#2166020, INV#001/EXP/INV/I/2025, T/R, empty return 3/20&#10;- CMA CGM HERMES, (J2), EG&#10;- total tariffs 5.6%&#10;- have additional $150 APM Surcharge&#10;- Moored 3/12, discharged 3/13, LFD 3/20"/>
        <s v="EN#2166458, INV#E/SNA/2025/00012, T/R, GATEFEE3/10, empty return 3/20&#10;- EVER FRONT, (J9), EG&#10;- total tariffs 5.6%&#10;- Moored 3/10, discharged 3/10, LFD 3/16"/>
        <s v="EN#2166457, INV#E/SNA/2025/00011, T/R, GATEFEE3/10, empty return 3/20&#10;- EVER FRONT, (H19), EG&#10;- total tariffs 5.6%&#10;- Moored 3/10, discharged 3/10, LFD 3/16&#10;- respot 3/18"/>
        <s v="EN#2166280, INV#E/SNA/2025/00010, T/R, empty return 3/18&#10;- CMA CGM LAPEROUSE, (J6), EG&#10;- total tariffs 5.6%&#10;- Moored 3/9, discharged 3/11, LFD 3/17&#10;- prepulled 3/12, delivered 3/13"/>
        <s v="EN#2165623, INV#JB2446, T/R, empty return 3/18&#10;- TOCONAO, (H8), MAEU&#10;- have additional $150 APM Surcharge&#10;- total tariffs 33.9%&#10;- Moored 3/9, discharged 3/10, LFD 3/13"/>
        <s v="EN#2166399, INV#JB2461, T/R, empty return 3/13&#10;- OOCL BANGKOK, (H21), EG&#10;- have additional $150 Maher Surcharge&#10;- total tariffs 33.9%&#10;- Moored 3/8, discharged 3/9, LFD 3/13"/>
        <s v="EN#2165934, INV#E/SNA/2025/00005, T/R, GATEFEE3/5, empty return 3/18&#10;- WAN HAI 723, (H9), WAN HAI&#10;- total tariffs 5.6%&#10;- USDA released 3/7&#10;- Moored 3/8, discharged 3/8, LFD 3/13"/>
        <s v="EN#2165739, INV#E/SNA/2025/00001, T/R, GATEFEE3/5, empty return 3/19&#10;- WAN HAI 723, (H5), WAN HAI&#10;- total tariffs 5.6%&#10;- USDA released 3/7&#10;- Moored 3/8, discharged 3/8, LFD 3/13"/>
        <s v="EN#2166461, INV#015/EXP/INV/I/2025, T/R, empty return 3/17&#10;- EVER LIBERAL, (J10), EG&#10;- total tariffs 5.6%&#10;- Moored 3/6, discharged 3/10, LFD 3/14&#10;- APM @ LA&#10;- Prepull 3/11"/>
        <s v="EN#2166784, INV#JB2502, T/R, empty return 3/12&#10;- OOCL EGYPT, (J21), EG&#10;- total tariffs 33.9%&#10;- Moored 3/6, discharged 3/6, LFD 3/12"/>
        <s v="EN#2165958, INV#JB2459, T/R, empty return 3/14&#10;- EVER FOND, (H16), EG&#10;- have additional $150 Maher Surcharge&#10;- total tariffs 13.9%&#10;- Moored 3/5, discharged 3/5, LFD 3/11"/>
        <s v="EN#2165935, INV#E/SNA/2025/00002, T/R, empty return 3/10&#10;- SAVANNAH EXPRESS, (H10), WAN HAI&#10;- total tariffs 5.6%&#10;- have additional $150 APM Surcharge&#10;- Moored 3/1, discharged 3/1, LFD 3/6&#10;- prepulled 3/6, delivered 3/7"/>
        <s v="EN#2165743, INV#E/SNA/2024/00182, T/R, empty return 3/10&#10;- SAVANNAH EXPRESS, (G9), WAN HAI&#10;- total tariffs 5.6%&#10;- have additional $150 APM Surcharge&#10;- Moored 3/1, discharged 3/2, LFD 3/6"/>
        <s v="EN#2165323, INV#E/SNA/2024/00181, T/R, empty return 3/10&#10;- SAVANNAH EXPRESS, (G10), WAN HAI&#10;- total tariffs 5.6%&#10;- have additional $150 APM Surcharge&#10;- moored 3/1, discharged 3/2, LFD 3/6&#10;- prepulled 3/6, delivered 3/7"/>
        <s v="EN#2166114, INV#E/SNA/2025/00007, T/R, GATEFEE2/24&#10;- PRESIDENT MONROE, (J5), CMA&#10;- total tariffs 5.6%&#10;- Moored 3/1, discharged 3/2, LFD 3/6&#10;- ELFD 3/11, empty return 3/12, have per diem?"/>
        <s v="EN#2166279, INV#E/SNA/2025/00009, T/R, GATEFEE2/27&#10;- EVER MEMO, (J7), EG&#10;- Moored 2/28, discharged 3/1, LFD 3/6&#10;- respot 3/7&#10;- ELFD 3/12, empty return 3/14, EG provide 10-calendar day per diem free time, so no per diem"/>
        <s v="EN#2165744, INV#E/SNA/2024/00192, T/R, GATEFEE2/24, empty return 3/10&#10;- ONE ORPHEUS, (H6), ONE&#10;- moored 3/1, discharged 3/2, LFD 3/6"/>
        <s v="EN#2165531, INV#E/SNA/2024/00185, T/R, empty return 3/7&#10;- THESEUS, (G18), EG&#10;- have additional $150 Maher Surcharge&#10;- Moored 2/26, discharged 2/28, LFD 3/5"/>
        <s v="EN#2165709, INV#HR2408, T/R, GATEFEE2/21, empty return 3/7&#10;- GERNER MAERSK, (H12), MAEU&#10;- Moored 2/27, discharged 2/27, LFD 3/5&#10;- per Benz, ELFD is 3/10, according to UIIA&#10;- per forwarder, ELFD 3/7 (3 days), instead 3/10&#10;- shorter ELFD, maybe due to spot "/>
        <s v="EN#2166131, INV#JB2460, T/R, empty return 3/11&#10;- COSCO CAMELLIA, (H20), EG&#10;- have additional $150 Maher Surcharge&#10;- Moored 2/26, discharged 3/1, LFD 3/6&#10;- prepulled 3/6, delivered 3/10&#10;- have pre-pull and storage"/>
        <s v="EN#2166113, INV#WW06/2025, T/R, GATEFEE2/21, empty return 3/6&#10;- YM WELCOME, (J14), YANG MING&#10;- Moored 2/25, discharged 2/27, LFD 3/4"/>
        <s v="EN#2165740, INV#E/SNA/2024/00190, T/R, empty return 3/6&#10;- WAN HAI A12, (H4), WAN HAI&#10;- have additional $150 APM Surcharge&#10;- moored 2/24, discharged 2/24, LFD 3/5"/>
        <s v="EN#2165741, INV#E/SNA/2024/00189, T/R, empty return 3/6&#10;- WAN HAI A12, (H2), WAN HAI&#10;- have additional $150 APM Surcharge&#10;- moored 2/24, discharged 2/24, LFD 3/5"/>
        <s v="EN#2166192, INV#E/SNA/2025/00008, T/R&#10;- COSCO EUROPE, (J4), CMA&#10;- moored 2/22, discharged 2/22, LFD 2/27&#10;- prepulled 2/25 @ 4:20pm, delivered 2/26&#10;- ELFD 2/28, no return appt, empty return 3/3, have per diem?"/>
        <s v="EN#2165532, INV#E/SNA/2024/00186, T/R, empty return 2/28&#10;- CMA CGM ARGENTINA, (G16), EG&#10;- have additional $150 APM surcharge&#10;- Moored 2/20, discharged 2/20, LFD 2/26"/>
        <s v="EN#2165529, INV#E/SNA/2024/00188, T/R, empty return 3/4&#10;- CMA CGM ARGENTINA, (G15), EG&#10;- have additional $150 APM surcharge&#10;- Moored 2/20, discharged 2/20, LFD 2/26&#10;- FDA hold 2/25, informed ready for exam 2/28, did not come for exam&#10;- K80-2165529-6&#10;- FDA"/>
        <s v="EN#2166224, INV#94371738, T/R, no PL, empty return 2/26&#10;- CHENNAI EXPRESS, (J3), ONE&#10;- have additional $150 Maher Surcharge&#10;- Moored 2/19, discharged 2/19, LFD 2/25"/>
        <s v="EN#2165080, INV#E/SNA/2024/00178, T/R, empty return 2/26&#10;- TOKYO TRIUMPH, (F20), EG&#10;- have additional $150 Maher Surcharge&#10;- Moored 2/18, discharged 2/20, LFD 2/25"/>
        <s v="EN#2165745, INV#296/EXP/INV/XII/2024, T/R, GATEFEE2/14, empty return 2/27&#10;- EVER MAGI, (G14), EG&#10;- Moored 2/16, discharged 2/17, LFD 2/23"/>
        <s v="EN#2166026, INV#20250115, T/R, empty return 2/24&#10;- EVER MAST, (H18), EG&#10;- 10 plts, live unload&#10;- Moored 2/14, discharged 2/15, LFD 2/23 (Sun)"/>
        <s v="EN#2165251, INV#289/EXP/INV/XII/2024, T/R, empty return 2/21&#10;- MAERSK STOCKHOLM, (G2), SETH&#10;- have additional $150 Maher Surcharge&#10;- Moored 2/15, discharged 2/15, LFD 2/21"/>
        <s v="EN#2166022, INV#AIT2406, T/R, GATEFEE2/12, empty return 2/26&#10;- EVER FRANK, (H17), EG&#10;- Moored 2/12, discharged 2/14, LFD 2/20&#10;- pickup pier waiting was from 9:10-11:25am additional ½ hr&#10;- empty return pier waiting was from 11:57 – 2:05pm additional 1hr"/>
        <s v="EN#2165198, INV#286/EXP/INV/XII/2024, T/R, GATEFEE2/6, empty return 2/21&#10;- MSC MARTINA MARIA, (G6), MSC&#10;- Moored 2/12, discharged 2/13, LFD 2/19"/>
        <s v="EN#2165839, INV#JB2464, T/R, empty return 2/19&#10;- OOCL IRIS, (H14), EG&#10;- have additional $150 Maher Surcharge&#10;- Provided ingredient lists to FDA&#10;- Moored 2/11, discharged 2/13, LFD 2/19&#10;- K80-2165839-9&#10;- FDA hold 2/13, informed ready for exam 2/19, FDA cam"/>
        <s v="EN#2165076, INV#E/SNA/224/00176, T/R, empty return 2/13&#10;- TAURUS, (F19), EG&#10;- have additional $150 Maher Surcharge&#10;- Moored 2/7, discharged 2/8, LFD 2/13&#10;- prepull 2/11"/>
        <s v="EN#2165082, INV#279/EXP/INV/XII/2024, T/R, empty return 2/18&#10;- TAURUS, (F22), EG&#10;- have additional $150 Maher Surcharge&#10;- Vessel IMO 9728942&#10;- Moored 2/7, discharged 2/8, LFD 2/13"/>
        <s v="EN#2165528, INV#EMI240003050, OBL1/27, empty return 2/13&#10;- CMA CGM G.WASHINGTON, (G22), EG&#10;- have additional $150 APM surcharge&#10;- Moored 2/7, discharged 2/9, LFD 2/13"/>
        <s v="EN#2165746, INV#YD24-T14, T/R, GATEFEE2/6, empty return 2/19&#10;- EVER FAME, (H13), COSCO&#10;- Moored 2/7, discharged 2/8, LFD 2/13&#10;- ELFD 2/18 or 2/19, have per diem?&#10;- QC D-17106 lot# should be HB241P08"/>
        <s v="EN#2164716, INV#138875, T/R, empty return 2/12&#10;- NYK DAEDALUS, (G3), CMA&#10;- moored 2/6, discharged 2/7, LFD 2/14"/>
        <s v="EN#2165078, INV#E/SNA/2024/00180, T/R, empty return 2/12&#10;- ONE AQUILA, (F12), ONE&#10;- have additional $150 Port Liberty Bayonne (aka GCT Bayonne) surcharge&#10;- Moored 2/4, discharged 2/5, LFD 2/11"/>
        <s v="EN#2165456, INV#JB2458, T/R, empty return 2/10&#10;- COSCO JASMINE, (G19), EG&#10;- have additional $150 Maher Surcharge&#10;- GC provided labels and ingredients&#10;- Moored 2/1, discharged 2/3, LFD 2/7"/>
        <s v="EN#2165840, INV#JB2501, T/R, empty return 2/6&#10;- COSCO PORTUGAL, (H11), EG&#10;- Moored 1/31, discharged 2/1, LFD 2/6&#10;- prepulled 2/4, delivered 2/5"/>
        <s v="EN#2164502, INV#E/SNA/2024/00169, T/R, empty return 2/6&#10;- CMA CGM SYMI, (E21), EG&#10;- have additional $150 APM surcharge&#10;- moored 1/31, discharged 2/1, LFD?&#10;- prepulled 2/5, delivered 2/6&#10;- Unload waiting time was incurred from 8:30am to 11:20am (3hr), Wait"/>
        <s v="EN#2165618, INV#AIT2405, T/R, GATEFEE1/30&#10;- EVER FAST, (H7), EG&#10;- Moored 1/30, discharged 1/30, LFD 2/6&#10;- pickup pier waiting was from:8:30-11:42am additional 1 ½ hr&#10;- respot 2/6?&#10;- respot 2/7&#10;- ELFD 2/12, empty return 2/14, EG provide 10-calendar day per"/>
        <s v="EN#2164551, INV#E/SNA/2024/00173, T/R, empty return 2/10&#10;- TITAN, (F3), EG&#10;- have additional $150 Maher surcharge&#10;- Vessel IMO 9728928&#10;- Moored 1/31, discharged 1/31, LFD 2/6"/>
        <s v="EN#2165501, INV#E/SNA/2024/00183, T/R, empty return 2/7&#10;- PRESIDENT REAGAN, (G13), CMA&#10;- moored 1/30, discharged 1/31, LFD 2/6&#10;- prepulled 2/4, delivered 2/5"/>
        <s v="EN#2165530, INV#E/SNA/2024/00184, T/R, empty return 2/5&#10;- PRESIDENT REAGAN, (G17), CMA&#10;- moored 1/30, discharged 1/31, LFD 2/6&#10;- prepulled 2/3, delivered 2/4"/>
        <s v="EN#2165199, INV#290/EXP/INV/VII/2024, T/R, empty return 2/4&#10;- MSC ELOANE, (G5), MSC&#10;- moored 1/28, discharged 1/29, LFD 2/4"/>
        <s v="EN#2165324, INV#JB2455, T/R, empty return 2/4&#10;- OOCL BERLIN, (G11), EG&#10;- have additional $150 Maher surcharge&#10;- GC provided labels and ingredients&#10;- Deliver to RC, live unload&#10;- Moored 1/28, discharged 1/28, LFD 2/3&#10;- prepulled 1/31&#10;- K80-2165324-2&#10;- FDA "/>
        <s v="EN#2165421, INV#SS2412111-H, T/R, no GATEFEE (LCL)&#10;- HMM EMERALD, (G12), ONE&#10;- GW will deliver LCL (60 cs)&#10;- Moored 1/27, discharged 1/27, LFD 1/31&#10;- FCL picked up 1/30, FCL empty return 2/3"/>
        <s v="EN#2165640, INV#KB241215, OBL1/16, empty return 1/30&#10;- HMM PEARL, (H1), HMM&#10;- Moored 1/23, discharged 1/24, LFD 1/29&#10;- Prepulled 1/27, delivered 1/28&#10;- Provide ACTUAL product labeling (Korean Ginseng Tea) to FDA 1/29&#10;- FDA released TU CHUNG TEA &amp; YOUNG JI"/>
        <s v="EN#2164314, INV#270/EXP/INV/XI/2024, T/R, GATEFEE1/23, empty return 2/3&#10;- MSC LAUREN, (E17), MSC&#10;- Moored 1/25, discharged 1/25, LFD 1/30&#10;- Transcon Shipping charged us chassis rental, no chassis charge from Benz"/>
        <s v="EN#2164197, INV#265/EXP/INV/XI/2024, T/R, GATEFEE1/23&#10;- MSC LAUREN, (E9), MSC&#10;- Moored 1/25, discharged 1/25, LFD 1/30&#10;- respot 1/31&#10;- ELFD 2/4, empty return 2/7, have per diem $555 ($185/day)"/>
        <s v="EN#2164510, INV#E/SNA/2024/00171, T/R, empty return 2/3&#10;- ONE FALCON, (F1), ONE&#10;- have additional $150 Maher surcharge&#10;- Moored 1/25, discharged 1/25, LFD 1/30&#10;- prepulled 1/30, delivered 1/31"/>
        <s v="EN#2164316, INV#JB2443, T/R, empty return 2/5&#10;- TANGIER EXPRESS, (F7), HMM&#10;- have an additional $150 Port Liberty Bayonne Surcharge (Global)&#10;- At anchor 1/19, estimated berthing 1/25&#10;- Moored 1/25, discharged 1/27, LFD 1/30&#10;- prepulled 1/30, delivered 2/3"/>
        <s v="EN#2164840, INV#2024TAT04, T/R, empty return 1/31 (per Etrans)&#10;- MAERSK SKARSTIND, (F15), MAEU&#10;- have an additional $150 APM Surcharge&#10;- At anchor 1/19, estimated berthing 1/25&#10;- Moored 1/25, discharged 1/26, LFD 1/30&#10;- additional $150 for SOC empty retur"/>
        <s v="EN#2164961, INV#JB2445, T/R, empty return 2/6&#10;- MAERSK SKARSTIND, (F10), MAEU&#10;- have an additional $150 APM Surcharge&#10;- At anchor 1/19, estimated berthing 1/25&#10;- Moored 1/25, discharged 1/26, LFD 2/5&#10;- FDA hold 1/25, informed FDA ready for exam 2/6, FDA r"/>
        <s v="EN#2165468, INV#24TM050, OBL1/16, no GATEFEE (LCL)&#10;- EVER MILD, (G20), EG&#10;- GW will deliver LCL (3 plts)&#10;- moored 1/21, discharged 1/22, LFD 1/29&#10;- FCL picked up 1/24, FCL empty return 1/27&#10;- LCL LFD 2/4"/>
        <s v="EN#2165075, INV#E/SNA/2024/00177, T/R, GATEFEE1/21&#10;- EVER MILD, (F18), EG&#10;- moored 1/21, discharged 1/22, LFD 1/30&#10;- respot 2/3&#10;- ELFD 2/5, empty return 2/10, EG provide 10-calendar day per diem free time, so no per diem&#10;- pier waiting was from: 12:25-1:4"/>
        <s v="EN#2165083, INV#278/EXP/INV/XII/2024, T/R, GATEFEE1/21, empty return 1/31&#10;- EVER MILD, (G1), EG&#10;- moored 1/21, discharged 1/22, LFD 1/30"/>
        <s v="EN#2165081, INV#E/SNA/2024/00179, T/R, GATEFEE1/21, empty return 2/5&#10;- EVER MILD, (F21), EG&#10;- moored 1/21, discharged 1/22, LFD 1/30"/>
        <s v="EN#2164550, INV#E/SNA/2024/00168, T/R, empty return 1/29&#10;- ONE MADRID, (E16), ONE&#10;- have additional $150 Port Liberty Bayonne (Global) Surcharge&#10;- Moored 1/19, discharged 1/21, LFD 1/24&#10;- Prepulled 1/24, delivered 1/28"/>
        <s v="EN#2164235, INV#E/SNA/2024/00166, T/R, empty return 1/31&#10;- ONE MADRID, (E10), ONE&#10;- have additional $150 Port Liberty Bayonne (Global) Surcharge&#10;- Moored 1/19, discharged 1/21, LFD 1/27&#10;- Prepulled 1/27, delivered 1/30"/>
        <s v="EN#2165254, INV#LF-1202, T/R&#10;- EVER MILD, (G21), EG&#10;- Moored 1/16, discharged 1/17, LFD 1/23&#10;- FCL picked up 1/21, FCL empty return 1/22&#10;- GW deliver wrongly to LA 1/23, redelivered to Sun Ten 1/27"/>
        <s v="EN#2164243, INV#94355268, T/R, no PL, GATEFEE1/10, empty return 2/13&#10;- NYK METEOR, (E18), ONE&#10;- Moored 1/15, discharged 1/15, LFD 2/3&#10;- ready for pickup 1/24, LFD 2/3&#10;- respot 2/6&#10;- ELFD 2/7, have per diem"/>
        <s v="EN#2164236, INV#E/SNA/2024/00165, T/R, empty return 1/24&#10;- CMA CGM T. ROOSEVELT, (E15), EG&#10;- have additional $150 APM Surcharge&#10;- Moored 1/15, discharged 1/16, LFD 1/21&#10;- prepulled 1/22, delivered 1/24"/>
        <s v="EN#2164238, INV#258/EXP/INV/XI/2024, T/R, empty return 1/27&#10;- CMA CGM T. ROOSEVELT, (E13), EG&#10;- have additional $150 APM Surcharge&#10;- Moored 1/15, discharged 1/16, LFD 1/22&#10;- Live unload"/>
        <s v="EN#2164237, INV#257/EXP/INV/XI/2024, T/R, empty return 1/28&#10;- CMA CGM T. ROOSEVELT, (E12), EG&#10;- have additional $150 APM Surcharge&#10;- Moored 1/15, discharged 1/16, LFD 1/21, adjusted LFD 1/22 (no app 1/21)&#10;- prepulled 1/22, delivered 1/24"/>
        <s v="EN#2164152, INV#E/SNA/2024/00161, T/R, empty return 1/24&#10;- CMA CGM T. ROOSEVELT, (E1), EG&#10;- 21 plts, Live Unload&#10;- have additional $150 APM Surcharge&#10;- Moored 1/15, discharged 1/16, LFD 1/21&#10;- rescheduled 1/22 due to snow storm terminal is closed 1/20&#10;- J"/>
        <s v="EN#2164144, INV#E/SNA/2024/00163, T/R, empty return 1/24&#10;- CMA CGM T.ROOSEVELT, (E3), OOCL&#10;- have additional $150 APM Surcharge&#10;- Moored 1/15, discharged 1/15, LFD 1/21&#10;- Prepulled 1/21, delivered 1/23"/>
        <s v="EN#2164145, INV#E/SNA/2024/00162, T/R, empty return 1/28&#10;- CMA CGM T.ROOSEVELT, (E2), OOCL&#10;- have an additional $150 APM Surcharge&#10;- Moored 1/15, discharged 1/15, LFD 1/21&#10;- no prepull 1/21"/>
        <s v="EN#2164546, INV#HR2407, T/R, empty return 1/21&#10;- YM TRUST, (F4), MAEU&#10;- have additional $150 APM Surcharge&#10;- Moored 1/13, discharged 1/13, LFD 1/17&#10;- Prepulled1/17, delivered 1/20&#10;- FDA hold ULTRA GINKGO PLUS 1/15, other released, but have others in shipm"/>
        <s v="EN#2164555, INV#273/EXP/INV/XI/2024, T/R, empty return 1/22&#10;- MAERSK SEVILLE, (F5), SETH&#10;- have an additional $150 APM Surcharge&#10;- Moored 1/12, discharged 1/12, LFD 1/16&#10;- prepulled 1/16, delivered 1/17"/>
        <s v="EN#2164596, INV#E/SNA/2024/00172, T/R, GATEFEE 1/10, empty return 1/30&#10;- CMA CGM J.MADISON, (F2), OOCL&#10;- At anchor 1/13, estimated berthing 1/16&#10;- moored 1/16, discharged 1/17, LFD 1/24"/>
        <s v="EN#2164511, INV#E/SNA/2024/00170, T/R, GATEFEE1/13, empty return 1/28&#10;- EVER MODE, (E22), EG&#10;- Moored 1/12, discharged 1/12, LFD 1/21&#10;- empty return pier waiting was from 1:00 -2:35pm additional ½ hr"/>
        <s v="EN#2164803, INV#E/SNA/2024/00175, T/R, GATEFEE1/13, empty return 1/24&#10;- EVER MODE, (F16), EG&#10;- Moored 1/12, discharged 1/12, LFD 1/19&#10;- respot 1/21&#10;- ELFD 1/23, EG provide 10-calendar day per diem free time, so no per diem&#10;- empty return pier waiting was "/>
        <s v="EN#2164804, INV#E/SNA/2024/00174, T/R, GATEFEE1/13, empty return 1/22 (1/21 per Benz)&#10;- EVER MODE, (F17), EG&#10;- Moored 1/12, discharged 1/12, LFD 1/19&#10;- respot 1/21"/>
        <s v="EN#2164874, INV#YD24-T16, T/R, empty return 1/22&#10;- OOCL KOREA, (F14), COSCO&#10;- have an additional $150 Maher Surcharge&#10;- Moored 1/11, discharged 1/13, LFD 1/17&#10;- prepulled 1/17, delivered 1/21&#10;- have pre-pull and storage"/>
        <s v="EN#2164841, INV#JB2444, T/R, empty return 1/15&#10;- OOCL KOREA, (F9), EG&#10;- have additional $150 Maher Surcharge&#10;- Moored 1/11, discharged 1/12, LFD 1/16"/>
        <s v="EN#2165205, INV#JB2454, T/R, empty return 1/22 (per terminal)&#10;- OOCL MALAYSIA, (G8), EG&#10;- Moored 1/11, discharged 1/13, LFD 1/17&#10;- Prepulled 1/15, delivered 1/16"/>
        <s v="EN#2164008, INV#E/SNA/2024/00160, T/R, empty return 1/17&#10;- CMA CGM OSIRIS, (E5), EG&#10;- have additional $150 APM Surcharge&#10;- At anchor 1/4, estimated berthing 1/10&#10;- Moored 1/10, discharged 1/11, LFD 1/16&#10;- prepulled 1/15, delivered 1/16"/>
        <s v="EN#2163759, INV#E/SNA/2024/00155, T/R, empty return 1/17&#10;- CMA CGM OSIRIS, (D13), EG&#10;- have additional $150 APM Surcharge&#10;- At anchor 1/4, estimated berthing 1/10&#10;- Moored 1/10, discharged 1/11, LFD 1/16&#10;- prepulled 1/16, delivered 1/17"/>
        <s v="EN#2163902, INV#E/SNA/2024/00156, T/R, empty return 1/17&#10;- CMA CGM OSIRIS, (D20), EG&#10;- have additional $150 APM Surcharge&#10;- At anchor 1/4, estimated berthing 1/10&#10;- Moored 1/10, discharged 1/11, LFD 1/16"/>
        <s v="EN#2165200, INV#WW156/2024, T/R, empty return 1/21&#10;- COSCOSHIPPING DENALI, (G4), ONE&#10;- Moored 1/12, discharged 1/14, LFD 1/21&#10;- FDA hold for exam 1/14, informed FDA ready for exam 1/20&#10;- K80-2165200-4&#10;- Only F-96005, F-96007 &amp; F-96008 are FDA released&#10;- F"/>
        <s v="EN#2165201, INV#JB2453, T/R, empty return 2/3 (per GW)&#10;- MSC LORENZA, (G7), MAEU&#10;- have customs exam - Non-Intrusive Inspection (NII)&#10;- Moored 1/8, discharged 1/12, LFD (MAEU) 1/16&#10;- FCL picked up 1/17, customs released 1/28&#10;- pending per diem?"/>
        <s v="EN#2163733, INV#E/SNA/2024/00151, T/R, empty return 1/13&#10;- CMA CGM J. ADAMS, (D3), EG&#10;- have additional $150 APM Surcharge&#10;- At anchor 1/2, estimated berthing 1/3&#10;- Moored 1/3, discharged 1/3, LFD 1/8&#10;- prepulled 1/8, delivered 1/9&#10;- have additional Empty"/>
        <s v="EN#2163633, INV#240/EXP/INV/X/2024, T/R, empty return 1/9&#10;- CMA CGM J. ADAMS, (D1), EG&#10;- have additional $150 APM Surcharge&#10;- At anchor 1/2, estimated berthing 1/3&#10;- Moored 1/3, discharged 1/3, LFD 1/8"/>
        <s v="EN#2163734, INV#241/EXP/INV/X/2024, T/R, empty return 1/8&#10;- CMA CGM J. ADAMS, (D9), EG&#10;- selected by Malaysia CSI for NII scan 11/7, will have customs scan charge, customs exam fee $240 (included in AN)&#10;- have additional $150 APM Surcharge&#10;- At anchor 1/2"/>
        <s v="EN#2164234, INV#266/EXP/INV/XI/2024, T/R, GATEFEE1/3, empty return 1/23&#10;- EVER MEMO, (E11), EG&#10;- Moored 1/2, discharged 1/3, LFD 1/16&#10;- ready for pickup 1/11, LFD 1/16&#10;- Pier waiting was from 9:49-1:04pm additional 1 ½ hr.  + split return chassis"/>
      </sharedItems>
    </cacheField>
    <cacheField name="Terms" numFmtId="0">
      <sharedItems>
        <s v="CIF"/>
        <s v="FOB"/>
        <s v="EXW"/>
        <s v="C&amp;F"/>
        <s v="?"/>
      </sharedItems>
    </cacheField>
    <cacheField name="Port of Origin" numFmtId="0">
      <sharedItems>
        <s v="CHINA"/>
        <s v="HONG KONG"/>
        <s v="FRANCE"/>
        <s v="MALAYSIA"/>
        <s v="INDONESIA"/>
        <s v="JAPAN"/>
        <s v="UK"/>
        <s v="VIETNAM"/>
        <s v="THAILAND"/>
        <s v="TAIWAN"/>
        <s v="SINGAPORE"/>
        <s v="KOREA"/>
      </sharedItems>
    </cacheField>
    <cacheField name="Total Inv Amt" numFmtId="172">
      <sharedItems containsSemiMixedTypes="0" containsString="0" containsNumber="1">
        <n v="33795.5"/>
        <n v="29688.0"/>
        <n v="59521.0"/>
        <n v="45119.0"/>
        <n v="65689.3"/>
        <n v="61441.0"/>
        <n v="132470.0"/>
        <n v="45405.2"/>
        <n v="30049.5"/>
        <n v="41418.7"/>
        <n v="36574.5"/>
        <n v="39633.6"/>
        <n v="33562.0"/>
        <n v="44149.0"/>
        <n v="43434.0"/>
        <n v="34814.0"/>
        <n v="45254.2"/>
        <n v="30757.0"/>
        <n v="26250.0"/>
        <n v="46628.96"/>
        <n v="125805.0"/>
        <n v="23677.5"/>
        <n v="52611.0"/>
        <n v="59545.35"/>
        <n v="43535.5"/>
        <n v="42951.2"/>
        <n v="35505.0"/>
        <n v="33187.5"/>
        <n v="39832.26"/>
        <n v="89009.0"/>
        <n v="23232.82"/>
        <n v="88578.9"/>
        <n v="39349.8"/>
        <n v="35490.0"/>
        <n v="35972.3"/>
        <n v="33000.0"/>
        <n v="35635.2"/>
        <n v="42468.8"/>
        <n v="33305.0"/>
        <n v="38524.8"/>
        <n v="38730.0"/>
        <n v="46129.54"/>
        <n v="704.0"/>
        <n v="33011.58"/>
        <n v="31245.0"/>
        <n v="58307.76"/>
        <n v="34408.0"/>
        <n v="69497.0"/>
        <n v="84819.3"/>
        <n v="27760.9"/>
        <n v="33252.3"/>
        <n v="32917.5"/>
        <n v="55306.62"/>
        <n v="32093.0"/>
        <n v="25312.5"/>
        <n v="33125.0"/>
        <n v="33052.0"/>
        <n v="30865.5"/>
        <n v="49045.5"/>
        <n v="32937.5"/>
        <n v="39594.8"/>
        <n v="67752.5"/>
        <n v="26334.3"/>
        <n v="34531.0"/>
        <n v="35503.5"/>
        <n v="33187.0"/>
        <n v="29849.5"/>
        <n v="30649.5"/>
        <n v="32625.0"/>
        <n v="30329.5"/>
        <n v="60083.7"/>
        <n v="64262.0"/>
        <n v="28543.8"/>
        <n v="31599.38"/>
        <n v="34197.5"/>
        <n v="23250.0"/>
        <n v="27530.5"/>
        <n v="35831.5"/>
        <n v="22312.5"/>
        <n v="42169.6"/>
        <n v="133421.76"/>
        <n v="164962.5"/>
        <n v="86528.0"/>
        <n v="33010.22"/>
        <n v="25420.0"/>
        <n v="45091.71"/>
        <n v="21758.94"/>
        <n v="35840.0"/>
        <n v="32024.22"/>
        <n v="34129.5"/>
        <n v="32962.5"/>
        <n v="25125.0"/>
        <n v="45153.0"/>
        <n v="46284.58"/>
        <n v="62542.42"/>
        <n v="81586.0"/>
        <n v="27848.8"/>
        <n v="81648.0"/>
        <n v="26159.4"/>
        <n v="55425.9"/>
        <n v="61800.68"/>
        <n v="130789.0"/>
        <n v="29860.42"/>
        <n v="58866.0"/>
        <n v="39663.6"/>
        <n v="69136.45"/>
        <n v="38660.5"/>
        <n v="86058.4"/>
        <n v="40084.8"/>
        <n v="249916.0"/>
        <n v="29664.66"/>
        <n v="72480.0"/>
        <n v="68482.0"/>
        <n v="42683.68"/>
        <n v="38169.72"/>
        <n v="311962.0"/>
        <n v="34771.0"/>
        <n v="35945.0"/>
        <n v="35236.54"/>
        <n v="29857.5"/>
        <n v="35200.0"/>
        <n v="105800.0"/>
        <n v="47808.84"/>
        <n v="20318.4"/>
        <n v="25799.32"/>
        <n v="52335.85"/>
        <n v="47365.0"/>
        <n v="38842.8"/>
        <n v="41510.57"/>
        <n v="42485.28"/>
        <n v="28663.8"/>
        <n v="54669.6"/>
        <n v="33972.3"/>
        <n v="28356.8"/>
        <n v="44795.8"/>
        <n v="175875.0"/>
        <n v="131567.4"/>
        <n v="46128.0"/>
        <n v="28168.3"/>
        <n v="31530.54"/>
        <n v="31529.18"/>
        <n v="66771.6"/>
        <n v="35503.0"/>
        <n v="61298.0"/>
        <n v="82904.4"/>
        <n v="171000.0"/>
        <n v="36248.0"/>
        <n v="32875.0"/>
        <n v="36250.0"/>
        <n v="151797.6"/>
        <n v="36058.5"/>
        <n v="34062.5"/>
        <n v="247459.8"/>
        <n v="57432.9"/>
        <n v="40608.0"/>
        <n v="45415.2"/>
        <n v="29968.0"/>
        <n v="46016.84"/>
        <n v="33041.5"/>
        <n v="57489.4"/>
        <n v="60957.85"/>
        <n v="88026.4"/>
        <n v="42317.3"/>
        <n v="44993.0"/>
        <n v="46036.5"/>
        <n v="99570.8"/>
        <n v="80988.1"/>
        <n v="33766.0"/>
        <n v="41600.0"/>
        <n v="40304.8"/>
        <n v="58546.66"/>
        <n v="45863.0"/>
        <n v="28710.5"/>
        <n v="45099.8"/>
        <n v="45870.0"/>
        <n v="28760.5"/>
        <n v="35740.0"/>
        <n v="40549.8"/>
        <n v="34005.84"/>
        <n v="39809.0"/>
        <n v="57824.4"/>
        <n v="39205.0"/>
        <n v="68074.37"/>
        <n v="41284.8"/>
        <n v="30056.4"/>
        <n v="61730.9"/>
        <n v="48413.12"/>
        <n v="33018.48"/>
        <n v="19574.1"/>
        <n v="43517.3"/>
        <n v="41592.0"/>
        <n v="57921.55"/>
        <n v="34850.0"/>
        <n v="41188.6"/>
        <n v="39074.0"/>
        <n v="58159.4"/>
        <n v="84637.5"/>
        <n v="40696.8"/>
        <n v="87344.0"/>
        <n v="47277.2"/>
        <n v="45365.8"/>
        <n v="37660.79"/>
        <n v="31537.44"/>
        <n v="66192.0"/>
        <n v="63065.22"/>
        <n v="40295.8"/>
        <n v="52285.64"/>
        <n v="43457.18"/>
        <n v="59185.32"/>
        <n v="38118.2"/>
        <n v="63733.28"/>
        <n v="57854.55"/>
        <n v="40860.55"/>
        <n v="56978.1"/>
        <n v="3078.0"/>
        <n v="85742.4"/>
        <n v="33750.0"/>
        <n v="36320.0"/>
        <n v="59401.75"/>
        <n v="38991.2"/>
        <n v="22549.16"/>
        <n v="58560.0"/>
        <n v="30045.92"/>
        <n v="35980.56"/>
        <n v="45447.5"/>
        <n v="86439.5"/>
        <n v="46952.08"/>
        <n v="40145.55"/>
        <n v="29388.5"/>
        <n v="45417.1"/>
        <n v="85222.0"/>
        <n v="33349.95"/>
        <n v="31875.0"/>
        <n v="40686.55"/>
      </sharedItems>
    </cacheField>
    <cacheField name="Week" numFmtId="0">
      <sharedItems containsSemiMixedTypes="0" containsString="0" containsNumber="1" containsInteger="1">
        <n v="53.0"/>
        <n v="52.0"/>
        <n v="51.0"/>
        <n v="50.0"/>
        <n v="49.0"/>
        <n v="48.0"/>
        <n v="47.0"/>
        <n v="46.0"/>
        <n v="45.0"/>
        <n v="44.0"/>
        <n v="43.0"/>
        <n v="42.0"/>
        <n v="41.0"/>
        <n v="40.0"/>
        <n v="39.0"/>
        <n v="38.0"/>
        <n v="37.0"/>
        <n v="36.0"/>
        <n v="35.0"/>
        <n v="34.0"/>
        <n v="33.0"/>
        <n v="32.0"/>
        <n v="31.0"/>
        <n v="30.0"/>
        <n v="29.0"/>
        <n v="28.0"/>
        <n v="27.0"/>
        <n v="26.0"/>
        <n v="25.0"/>
        <n v="24.0"/>
        <n v="23.0"/>
        <n v="22.0"/>
        <n v="21.0"/>
        <n v="20.0"/>
        <n v="19.0"/>
        <n v="18.0"/>
        <n v="17.0"/>
        <n v="16.0"/>
        <n v="15.0"/>
        <n v="14.0"/>
        <n v="13.0"/>
        <n v="12.0"/>
        <n v="11.0"/>
        <n v="10.0"/>
        <n v="9.0"/>
        <n v="8.0"/>
        <n v="7.0"/>
        <n v="6.0"/>
        <n v="5.0"/>
        <n v="4.0"/>
        <n v="3.0"/>
        <n v="2.0"/>
        <n v="1.0"/>
      </sharedItems>
    </cacheField>
    <cacheField name="Vendors" numFmtId="0">
      <sharedItems containsBlank="1">
        <m/>
        <s v="SNA"/>
        <s v="PTA"/>
      </sharedItems>
    </cacheField>
    <cacheField name="Categories" numFmtId="0">
      <sharedItems>
        <s v="GHC"/>
        <s v="OTHER"/>
        <s v="GC"/>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M135" sheet="#Tiger Balm 2024"/>
  </cacheSource>
  <cacheFields>
    <cacheField name="Invoice #" numFmtId="0">
      <sharedItems containsSemiMixedTypes="0" containsString="0" containsNumber="1" containsInteger="1">
        <n v="8.600003071E9"/>
        <n v="8.500000289E9"/>
        <n v="8.500000291E9"/>
        <n v="8.600003034E9"/>
        <n v="8.500000299E9"/>
        <n v="8.600003032E9"/>
        <n v="8.600003031E9"/>
        <n v="8.500000293E9"/>
        <n v="8.500000288E9"/>
        <n v="8.600003037E9"/>
        <n v="8.600003058E9"/>
        <n v="8.600003028E9"/>
        <n v="8.600003033E9"/>
        <n v="8.600003001E9"/>
        <n v="8.600002984E9"/>
        <n v="8.500000282E9"/>
        <n v="8.60000303E9"/>
        <n v="8.600002987E9"/>
        <n v="8.500000279E9"/>
        <n v="8.500000286E9"/>
        <n v="8.500000276E9"/>
        <n v="8.600002982E9"/>
        <n v="8.600002983E9"/>
        <n v="8.500000274E9"/>
        <n v="8.60000295E9"/>
        <n v="8.600002981E9"/>
        <n v="8.500000285E9"/>
        <n v="8.600002975E9"/>
        <n v="8.600002931E9"/>
        <n v="8.500000278E9"/>
        <n v="8.500000271E9"/>
        <n v="8.600002955E9"/>
        <n v="8.50000027E9"/>
        <n v="8.500000272E9"/>
        <n v="8.500000273E9"/>
        <n v="8.60000293E9"/>
        <n v="8.500000275E9"/>
        <n v="8.500000277E9"/>
        <n v="8.600002959E9"/>
        <n v="8.600002932E9"/>
        <n v="8.600002941E9"/>
        <n v="8.600002977E9"/>
        <n v="8.600002929E9"/>
        <n v="8.600002901E9"/>
        <n v="8.600002942E9"/>
        <n v="8.500000265E9"/>
        <n v="8.600002946E9"/>
        <n v="8.500000259E9"/>
        <n v="8.60000289E9"/>
        <n v="8.500000264E9"/>
        <n v="8.600002893E9"/>
        <n v="8.500000256E9"/>
        <n v="8.500000269E9"/>
        <n v="8.500000266E9"/>
        <n v="8.600002845E9"/>
        <n v="8.500000267E9"/>
        <n v="8.500000263E9"/>
        <n v="8.60000285E9"/>
        <n v="8.600002896E9"/>
        <n v="8.600002864E9"/>
        <n v="8.600002835E9"/>
        <n v="8.500000261E9"/>
        <n v="8.60000284E9"/>
        <n v="8.500000253E9"/>
        <n v="8.500000257E9"/>
        <n v="8.500000251E9"/>
        <n v="8.500000254E9"/>
        <n v="8.600002841E9"/>
        <n v="8.600002809E9"/>
        <n v="8.500000258E9"/>
        <n v="8.600002846E9"/>
        <n v="8.600002826E9"/>
        <n v="8.600002793E9"/>
        <n v="8.600002794E9"/>
        <n v="8.60000281E9"/>
        <n v="8.500000252E9"/>
        <n v="8.500000248E9"/>
        <n v="8.500000246E9"/>
        <n v="8.600002779E9"/>
        <n v="8.600002808E9"/>
        <n v="8.500000242E9"/>
        <n v="8.600002784E9"/>
        <n v="8.600002781E9"/>
        <n v="8.500000245E9"/>
        <n v="8.600002767E9"/>
        <n v="8.600002753E9"/>
        <n v="8.600002735E9"/>
        <n v="8.600002776E9"/>
        <n v="8.50000024E9"/>
        <n v="8.600002747E9"/>
        <n v="8.500000244E9"/>
        <n v="8.500000238E9"/>
        <n v="8.600002746E9"/>
        <n v="8.500000236E9"/>
        <n v="8.600002724E9"/>
        <n v="8.500000235E9"/>
        <n v="8.600002736E9"/>
        <n v="8.600002721E9"/>
        <n v="8.600002737E9"/>
        <n v="8.600002706E9"/>
        <n v="8.600002708E9"/>
        <n v="8.500000231E9"/>
        <n v="8.500000228E9"/>
        <n v="8.600002723E9"/>
        <n v="8.500000234E9"/>
        <n v="8.50000023E9"/>
        <n v="8.600002704E9"/>
        <n v="8.600002664E9"/>
        <n v="8.60000266E9"/>
        <n v="8.500000229E9"/>
        <n v="8.500000221E9"/>
        <n v="8.500000227E9"/>
        <n v="8.600002658E9"/>
        <n v="8.500000225E9"/>
        <n v="8.600002662E9"/>
        <n v="8.600002657E9"/>
        <n v="8.500000224E9"/>
        <n v="8.60000262E9"/>
        <n v="8.600002663E9"/>
        <n v="8.500000223E9"/>
        <n v="8.50000022E9"/>
        <n v="8.600002618E9"/>
        <n v="8.500000218E9"/>
        <n v="8.500000222E9"/>
        <n v="8.600002616E9"/>
        <n v="8.600002619E9"/>
        <n v="8.600002617E9"/>
        <n v="8.500000219E9"/>
        <n v="8.600002621E9"/>
        <n v="8.500000212E9"/>
        <n v="8.600002599E9"/>
        <n v="8.500000216E9"/>
        <n v="8.50000021E9"/>
      </sharedItems>
    </cacheField>
    <cacheField name="Discharge Port" numFmtId="0">
      <sharedItems>
        <s v="OAK"/>
        <s v="NJ"/>
        <s v="LA"/>
        <s v="LA-OAK"/>
        <s v="JFK"/>
        <s v="SFO"/>
      </sharedItems>
    </cacheField>
    <cacheField name="# of Ctns" numFmtId="0">
      <sharedItems>
        <s v="12PLTS"/>
        <s v="72PLTS"/>
        <s v="42PLTS"/>
        <s v="18PLTS"/>
        <s v="24PLTS"/>
        <s v="54PLTS"/>
        <s v="16PLTS"/>
        <s v="4PLTS&#10;(LCL)"/>
        <s v="38PLTS"/>
        <s v="30PLTS"/>
        <s v="6PLTS&#10;(LCL)"/>
        <s v="29PLTS"/>
        <s v="66PLTS"/>
        <s v="57PLTS"/>
        <s v="39PLTS"/>
        <s v="53PLTS"/>
        <s v="17PLTS"/>
        <s v="19PLTS"/>
        <s v="56PLTS"/>
        <s v="78PLTS"/>
        <s v="7PLTS"/>
        <s v="9PLTS&#10;(LCL)"/>
        <s v="36PLTS"/>
        <s v="27PLTS"/>
        <s v="23PLTS"/>
        <s v="71PLTS"/>
        <s v="20PLTS"/>
        <s v="9PLTS"/>
        <s v="40PLTS"/>
        <s v="32PLTS"/>
        <s v="34PLTS"/>
        <s v="60PLTS"/>
        <s v="48PLTS"/>
        <s v="14PLTS"/>
        <s v="40PTLS"/>
        <s v="15PLTS"/>
        <s v="70PLTS"/>
        <s v="22PLTS"/>
        <s v="82PLTS"/>
        <s v="7PLTS&#10;(LCL)"/>
        <s v="86PLTS"/>
        <s v="5PLTS&#10;(LCL)"/>
        <s v="69PLTS"/>
        <s v="4PLTS"/>
        <s v="79PLTS"/>
        <s v="67PLTS"/>
        <s v="6PLTS"/>
        <s v="87PLTS"/>
        <s v="21PLTS"/>
        <s v="35PLTS"/>
        <s v="33PLTS"/>
        <s v="26PLTS"/>
      </sharedItems>
    </cacheField>
    <cacheField name="Container #" numFmtId="0">
      <sharedItems>
        <s v="WHSU5963910"/>
        <s v="TCKU3682712"/>
        <s v="WHLU5565187&#10;BHCU5002761"/>
        <s v="ONEU5626415&#10;FDCU0612198"/>
        <s v="OOCU5027129"/>
        <s v="FFAU5641761"/>
        <s v="OOLU2990743"/>
        <s v="TCNU6322458&#10;OOCU4974920"/>
        <s v="WHSU4030268"/>
        <s v="OOCU0620717"/>
        <s v="MSMU6468295"/>
        <s v="TSSU5198233"/>
        <s v="TLLU2588230&#10;KOCU4420970"/>
        <s v="GCXU5240922"/>
        <s v="YMMU6809469"/>
        <s v="WHSU4031639"/>
        <s v="TEMU4226820&#10;ZCSU7614823"/>
        <s v="WHLU5540173&#10;WHSU5849213&#10;WHSU5591807"/>
        <s v="DFSU7763327&#10;WHSU4010678"/>
        <s v="HMMU6148891&#10;HDMU4776463"/>
        <s v="WHLU5809895"/>
        <s v="TLLU2054553"/>
        <s v="YMLU8720865"/>
        <s v="FFAU3034619"/>
        <s v="WHLU5694796&#10;WHSU5856280&#10;WHLU0436778"/>
        <s v="WHSU5820436"/>
        <s v="OOCU4727072"/>
        <s v="ONEU5475495"/>
        <s v="TGBU1098920&#10;WHSU5072946&#10;WHSU5629590"/>
        <s v="FSCU5064521&#10;OOLU9685696"/>
        <s v="WHLU4304213"/>
        <s v="WHSU6829016"/>
        <s v="WHLU5655470&#10;DFSU7615166"/>
        <s v="CSNU1998423"/>
        <s v="OOLU0698922"/>
        <s v="YMLU8811667"/>
        <s v="OOLU9274530"/>
        <s v="DFSU4349313"/>
        <s v="WHSU6282905"/>
        <s v="TXGU6848996"/>
        <s v="TGBU3270685&#10;TIIU5625973"/>
        <s v="AIR"/>
        <s v="DFSU6666282"/>
        <s v="BEAU5989936&#10;WHSU6745717&#10;WHSU5823585"/>
        <s v="ZIMU2794418&#10;ZCSU7063016"/>
        <s v="BEAU4802531"/>
        <s v="WHLU5843755&#10;WHSU2015496"/>
        <s v="CSNU1843587"/>
        <s v="YMLU8707457&#10;TGHU5307471"/>
        <s v="FCIU5670026&#10;TRHU5105528"/>
        <s v="WHSU2703842"/>
        <s v="CSNU4044666"/>
        <s v="TCNU7312074"/>
        <s v="WHSU6122677&#10;WHSU6327147"/>
        <s v="FSCU5033480"/>
        <s v="TGHU6158515"/>
        <s v="CSLU2110273"/>
        <s v="TGBU1095990&#10;WHSU5459576"/>
        <s v="WHLU5581629"/>
        <s v="HPCU4756516&#10;HPCU4756521"/>
        <s v="TEMU1775596"/>
        <s v="HMMU6314652"/>
        <s v="TCKU7715516&#10;WHLU5569963"/>
        <s v="TCKU7043617"/>
        <s v="TEMU4232231&#10;ZCSU7608538"/>
        <s v="WHSU4025343"/>
        <s v="WHSU2207375"/>
        <s v="CAIU9880188"/>
        <s v="WHSU5017717"/>
        <s v="TCNU7970310"/>
        <s v="WHSU5031145"/>
        <s v="NYKU3914800"/>
        <s v="WHLU5667342&#10;WHSU5542295&#10;WHSU6827250"/>
        <s v="TEMU9676394"/>
        <s v="TLLU2537649&#10;KOCU4917910"/>
        <s v="WHSU6580828"/>
        <s v="WHLU0349971&#10;WHSU4056719"/>
        <s v="TEMU7056882"/>
        <s v="WHSU6921842"/>
        <s v="OOLU9207505"/>
        <s v="TCLU8837223"/>
        <s v="FBIU5400688"/>
        <s v="KOCU5000442"/>
        <s v="FBIU5196384"/>
        <s v="KKTU8140300"/>
        <s v="WHSU6222130&#10;WHSU6226408&#10;WHSU6366499"/>
        <s v="NYKU4813918"/>
        <s v="WHSU2377197&#10;WHSU6520829"/>
        <s v="ONEU7029487"/>
        <s v="CSNU6115218"/>
        <s v="WHLU5749836&#10;WHSU6438053"/>
        <s v="HDMU5588990"/>
        <s v="YMLU8736440"/>
        <s v="FCIU6219850&#10;WHSU5771917&#10;WHSU6385101&#10;WHSU6826742"/>
        <s v="HMMU5418652"/>
        <s v="WHSU5711836"/>
        <s v="WHSU6910642"/>
        <s v="SEGU5931767"/>
        <s v="WHSU0055503"/>
        <s v="MOAU1422035"/>
        <s v="WHLU5736778&#10;WHLU5766860"/>
        <s v="WHLU5673577"/>
        <s v="WHSU2106359&#10;WHSU6804722"/>
        <s v="WHSU5588819&#10;WHSU6033353"/>
        <s v="MSMU1698891"/>
        <s v="TGHU6290157"/>
        <s v="WHSU5267341&#10;WHSU5965580&#10;WHSU6378859"/>
        <s v="TCLU2340815"/>
        <s v="WHLU5834542&#10;WHLU5765821"/>
        <s v="WHLU0401600&#10;WHSU5755367"/>
        <s v="TCNU5887320"/>
        <s v="TRHU6462387"/>
        <s v="HDMU6698919&#10;HDMU6685948"/>
        <s v="HMMU5476812"/>
        <s v="WHSU6758226"/>
        <s v="KOCU4742323"/>
        <s v="SEGU1832339&#10;WHSU5903274&#10;TCKU7531170"/>
        <s v="WHSU0181409"/>
        <s v="WHSU6593804&#10;WHLU5811660"/>
        <s v="CAIU6030128&#10;TGBU4902544&#10;OOLU9273702"/>
        <s v="GCXU5221727"/>
        <s v="WHLU4271531"/>
        <s v="TEMU1668638"/>
        <s v="TGBU9698140"/>
        <s v="TCLU3818180&#10;FCIU8967050"/>
        <s v="SZLU9427486"/>
        <s v="INKU2367147"/>
        <s v="FCIU9843705"/>
        <s v="ZCSU7279860"/>
        <s v="WHSU2144554&#10;WHSU6919207"/>
        <s v="INKU2681707&#10;WBPU7006900"/>
        <s v="DFSU3023209&#10;WHSU5948617&#10;WHSU5309560"/>
      </sharedItems>
    </cacheField>
    <cacheField name="Product Description" numFmtId="0">
      <sharedItems>
        <s v="RED 4G, 18G, OINTMENT 18G, WHITE 4G, 18G"/>
        <s v="RUB 113ML"/>
        <s v="SMALL PATCH"/>
        <s v="OINTMENT 18G, 50G,  WHITE 18G, RED 4G"/>
        <s v="PATCH 1'S"/>
        <s v="KLO 57ML"/>
        <s v="LARGE PATCH"/>
        <s v="WHITE 18G"/>
        <s v="OINTMENT 10G, 50G, RED 18G, WHITE 4G, 18G "/>
        <s v="OINTMENT 10G, 18G, 50G, RED 18G, WHITE 18G"/>
        <s v="OINTMENT 10G, 18G, 50G, RED 4G, 18G, WHITE 18G"/>
        <s v="OINTMENT 10G, 18G, RED 18G"/>
        <s v="OINTMENT 10G, 18G, RED 18G, WHITE 4G, 18G"/>
        <s v="RED 4G, 18G, OINTMENT 18G, 50G, WHITE 18G"/>
        <s v="NSR 50G"/>
        <s v="OINTMENT 10G, 18G, RED 18G, WHITE 18G"/>
        <s v="OINTMENT 10G, 18G, RED 18G, WHITE 4G"/>
        <s v="OINTMENT 10G, 18G, 50G, RED 4G, 18G, WHITE 4G, 18G "/>
        <s v="OINTMENT 10G, 18G, RED 4G, 18G, WHITE 18G"/>
        <s v="RUB 60G"/>
        <s v="OINTMENT 10G, 18G, RED 4G, 18G, WHITE 4G"/>
        <s v="OINTMENT 10G, 18G, RED 4G, 18G"/>
        <s v="OINTMENT 10G, 18G, 50G, RED 4G, 18G, WHITE 18G "/>
        <s v="RED 4G, 18G, OINTMENT 18G, WHITE 4G"/>
        <s v="OINTMENT 10G, 18G, 50G, WHITE 18G"/>
        <s v="RED 18G, WHITE 18G, OINTMENT 50G"/>
        <s v="KLO 57 ML"/>
        <s v="RED 18G, OINTMENT 50G"/>
        <s v="NECK AND SHOULDER RUB 50G"/>
        <s v="RED 18G, OINTMENT 18G, WHITE 18G"/>
        <s v="MUSCLE SPRAY 75ML"/>
        <s v="RED 18G, WHITE 18G, OINTMENT 18G, 50G"/>
        <s v="RED 18G, OINTMENT 18G, 50G, WHITE 18G"/>
        <s v="KLO 57ML, MUSCLE RUB 60G, MUSCLE GEL 60G"/>
        <s v="OINTMENT 10G, 18G, 50G, RED 18G"/>
      </sharedItems>
    </cacheField>
    <cacheField name="ETA Date" numFmtId="14">
      <sharedItems containsSemiMixedTypes="0" containsNonDate="0" containsDate="1" containsString="0" minDate="2024-01-02T00:00:00Z" maxDate="2025-01-01T00:00:00Z">
        <d v="2024-12-31T00:00:00Z"/>
        <d v="2024-12-29T00:00:00Z"/>
        <d v="2024-12-19T00:00:00Z"/>
        <d v="2024-12-16T00:00:00Z"/>
        <d v="2024-12-14T00:00:00Z"/>
        <d v="2024-12-12T00:00:00Z"/>
        <d v="2024-12-11T00:00:00Z"/>
        <d v="2024-12-04T00:00:00Z"/>
        <d v="2024-11-26T00:00:00Z"/>
        <d v="2024-11-24T00:00:00Z"/>
        <d v="2024-11-23T00:00:00Z"/>
        <d v="2024-11-21T00:00:00Z"/>
        <d v="2024-11-18T00:00:00Z"/>
        <d v="2024-11-14T00:00:00Z"/>
        <d v="2024-11-10T00:00:00Z"/>
        <d v="2024-11-07T00:00:00Z"/>
        <d v="2024-11-05T00:00:00Z"/>
        <d v="2024-11-03T00:00:00Z"/>
        <d v="2024-10-31T00:00:00Z"/>
        <d v="2024-10-27T00:00:00Z"/>
        <d v="2024-10-25T00:00:00Z"/>
        <d v="2024-10-21T00:00:00Z"/>
        <d v="2024-10-20T00:00:00Z"/>
        <d v="2024-10-18T00:00:00Z"/>
        <d v="2024-10-17T00:00:00Z"/>
        <d v="2024-10-14T00:00:00Z"/>
        <d v="2024-10-12T00:00:00Z"/>
        <d v="2024-10-11T00:00:00Z"/>
        <d v="2024-10-09T00:00:00Z"/>
        <d v="2024-10-07T00:00:00Z"/>
        <d v="2024-10-05T00:00:00Z"/>
        <d v="2024-10-02T00:00:00Z"/>
        <d v="2024-09-27T00:00:00Z"/>
        <d v="2024-09-26T00:00:00Z"/>
        <d v="2024-09-21T00:00:00Z"/>
        <d v="2024-09-14T00:00:00Z"/>
        <d v="2024-09-11T00:00:00Z"/>
        <d v="2024-09-03T00:00:00Z"/>
        <d v="2024-09-01T00:00:00Z"/>
        <d v="2024-08-31T00:00:00Z"/>
        <d v="2024-08-30T00:00:00Z"/>
        <d v="2024-08-26T00:00:00Z"/>
        <d v="2024-08-25T00:00:00Z"/>
        <d v="2024-08-24T00:00:00Z"/>
        <d v="2024-08-18T00:00:00Z"/>
        <d v="2024-08-17T00:00:00Z"/>
        <d v="2024-08-15T00:00:00Z"/>
        <d v="2024-08-11T00:00:00Z"/>
        <d v="2024-08-09T00:00:00Z"/>
        <d v="2024-08-05T00:00:00Z"/>
        <d v="2024-08-01T00:00:00Z"/>
        <d v="2024-07-27T00:00:00Z"/>
        <d v="2024-07-22T00:00:00Z"/>
        <d v="2024-07-20T00:00:00Z"/>
        <d v="2024-07-18T00:00:00Z"/>
        <d v="2024-07-12T00:00:00Z"/>
        <d v="2024-07-10T00:00:00Z"/>
        <d v="2024-06-30T00:00:00Z"/>
        <d v="2024-06-29T00:00:00Z"/>
        <d v="2024-06-28T00:00:00Z"/>
        <d v="2024-06-27T00:00:00Z"/>
        <d v="2024-06-24T00:00:00Z"/>
        <d v="2024-06-15T00:00:00Z"/>
        <d v="2024-06-14T00:00:00Z"/>
        <d v="2024-06-11T00:00:00Z"/>
        <d v="2024-06-05T00:00:00Z"/>
        <d v="2024-05-31T00:00:00Z"/>
        <d v="2024-05-30T00:00:00Z"/>
        <d v="2024-05-27T00:00:00Z"/>
        <d v="2024-05-25T00:00:00Z"/>
        <d v="2024-05-21T00:00:00Z"/>
        <d v="2024-05-18T00:00:00Z"/>
        <d v="2024-05-16T00:00:00Z"/>
        <d v="2024-05-13T00:00:00Z"/>
        <d v="2024-05-11T00:00:00Z"/>
        <d v="2024-05-06T00:00:00Z"/>
        <d v="2024-05-01T00:00:00Z"/>
        <d v="2024-04-24T00:00:00Z"/>
        <d v="2024-04-22T00:00:00Z"/>
        <d v="2024-04-20T00:00:00Z"/>
        <d v="2024-04-18T00:00:00Z"/>
        <d v="2024-04-13T00:00:00Z"/>
        <d v="2024-04-12T00:00:00Z"/>
        <d v="2024-03-22T00:00:00Z"/>
        <d v="2024-03-21T00:00:00Z"/>
        <d v="2024-03-19T00:00:00Z"/>
        <d v="2024-03-16T00:00:00Z"/>
        <d v="2024-03-04T00:00:00Z"/>
        <d v="2024-03-02T00:00:00Z"/>
        <d v="2024-03-01T00:00:00Z"/>
        <d v="2024-02-28T00:00:00Z"/>
        <d v="2024-02-26T00:00:00Z"/>
        <d v="2024-02-25T00:00:00Z"/>
        <d v="2024-02-22T00:00:00Z"/>
        <d v="2024-02-17T00:00:00Z"/>
        <d v="2024-02-14T00:00:00Z"/>
        <d v="2024-02-11T00:00:00Z"/>
        <d v="2024-02-08T00:00:00Z"/>
        <d v="2024-02-03T00:00:00Z"/>
        <d v="2024-01-26T00:00:00Z"/>
        <d v="2024-01-22T00:00:00Z"/>
        <d v="2024-01-21T00:00:00Z"/>
        <d v="2024-01-18T00:00:00Z"/>
        <d v="2024-01-17T00:00:00Z"/>
        <d v="2024-01-09T00:00:00Z"/>
        <d v="2024-01-02T00:00:00Z"/>
      </sharedItems>
      <fieldGroup base="5">
        <rangePr autoStart="0" autoEnd="0" groupBy="months" startDate="2024-01-02T00:00:00Z" endDate="2025-01-01T00:00:00Z"/>
        <groupItems>
          <s v="&lt;01/02/24"/>
          <s v="Jan"/>
          <s v="Feb"/>
          <s v="Mar"/>
          <s v="Apr"/>
          <s v="May"/>
          <s v="Jun"/>
          <s v="Jul"/>
          <s v="Aug"/>
          <s v="Sep"/>
          <s v="Oct"/>
          <s v="Nov"/>
          <s v="Dec"/>
          <s v="&gt;01/01/25"/>
        </groupItems>
      </fieldGroup>
    </cacheField>
    <cacheField name="Date">
      <sharedItems containsDate="1" containsMixedTypes="1">
        <d v="2024-12-26T00:00:00Z"/>
        <d v="2024-12-13T00:00:00Z"/>
        <d v="2024-12-27T00:00:00Z"/>
        <d v="2024-12-18T00:00:00Z"/>
        <d v="2024-12-16T00:00:00Z"/>
        <d v="2024-12-06T00:00:00Z"/>
        <d v="2024-12-09T00:00:00Z"/>
        <d v="2024-12-10T00:00:00Z"/>
        <d v="2024-12-04T00:00:00Z"/>
        <d v="2024-11-20T00:00:00Z"/>
        <d v="2024-11-18T00:00:00Z"/>
        <d v="2024-11-12T00:00:00Z"/>
        <d v="2024-11-25T00:00:00Z"/>
        <d v="2024-11-07T00:00:00Z"/>
        <d v="2024-11-06T00:00:00Z"/>
        <d v="2024-11-04T00:00:00Z"/>
        <d v="2024-11-01T00:00:00Z"/>
        <d v="2024-10-28T00:00:00Z"/>
        <d v="2024-10-18T00:00:00Z"/>
        <d v="2024-10-16T00:00:00Z"/>
        <d v="2024-10-15T00:00:00Z"/>
        <d v="2024-10-11T00:00:00Z"/>
        <d v="2024-10-08T00:00:00Z"/>
        <d v="2024-10-07T00:00:00Z"/>
        <d v="2024-10-01T00:00:00Z"/>
        <d v="2024-10-02T00:00:00Z"/>
        <d v="2024-09-30T00:00:00Z"/>
        <d v="2024-09-23T00:00:00Z"/>
        <d v="2024-09-19T00:00:00Z"/>
        <d v="2024-09-26T00:00:00Z"/>
        <d v="2024-09-11T00:00:00Z"/>
        <d v="2024-09-09T00:00:00Z"/>
        <d v="2024-09-05T00:00:00Z"/>
        <d v="2024-09-03T00:00:00Z"/>
        <d v="2024-08-25T00:00:00Z"/>
        <d v="2024-08-26T00:00:00Z"/>
        <d v="2024-08-19T00:00:00Z"/>
        <d v="2024-08-20T00:00:00Z"/>
        <d v="2024-08-14T00:00:00Z"/>
        <d v="2024-08-13T00:00:00Z"/>
        <d v="2024-08-12T00:00:00Z"/>
        <d v="2024-08-09T00:00:00Z"/>
        <d v="2024-08-05T00:00:00Z"/>
        <d v="2024-08-01T00:00:00Z"/>
        <d v="2024-07-29T00:00:00Z"/>
        <d v="2024-07-22T00:00:00Z"/>
        <d v="2024-07-26T00:00:00Z"/>
        <d v="2024-07-08T00:00:00Z"/>
        <d v="2024-07-16T00:00:00Z"/>
        <d v="2024-07-15T00:00:00Z"/>
        <d v="2024-07-09T00:00:00Z"/>
        <d v="2024-07-02T00:00:00Z"/>
        <d v="2024-06-26T00:00:00Z"/>
        <d v="2024-06-25T00:00:00Z"/>
        <d v="2024-06-24T00:00:00Z"/>
        <d v="2024-06-23T00:00:00Z"/>
        <d v="2024-06-17T00:00:00Z"/>
        <d v="2024-06-09T00:00:00Z"/>
        <d v="2024-06-10T00:00:00Z"/>
        <d v="2024-06-06T00:00:00Z"/>
        <d v="2024-05-28T00:00:00Z"/>
        <d v="2024-05-23T00:00:00Z"/>
        <d v="2024-06-11T00:00:00Z"/>
        <d v="2024-05-15T00:00:00Z"/>
        <d v="2024-05-16T00:00:00Z"/>
        <d v="2024-05-14T00:00:00Z"/>
        <d v="2024-05-13T00:00:00Z"/>
        <d v="2024-05-09T00:00:00Z"/>
        <d v="2024-05-07T00:00:00Z"/>
        <d v="2024-05-02T00:00:00Z"/>
        <d v="2024-04-26T00:00:00Z"/>
        <d v="2024-04-22T00:00:00Z"/>
        <d v="2024-04-19T00:00:00Z"/>
        <d v="2024-04-17T00:00:00Z"/>
        <d v="2024-04-15T00:00:00Z"/>
        <d v="2024-04-11T00:00:00Z"/>
        <d v="2024-04-08T00:00:00Z"/>
        <d v="2024-04-04T00:00:00Z"/>
        <d v="2024-03-18T00:00:00Z"/>
        <s v="3/17/2024&#10;3/19/2024"/>
        <d v="2024-03-14T00:00:00Z"/>
        <d v="2024-03-11T00:00:00Z"/>
        <d v="2024-02-29T00:00:00Z"/>
        <d v="2024-02-28T00:00:00Z"/>
        <d v="2024-02-26T00:00:00Z"/>
        <d v="2024-02-20T00:00:00Z"/>
        <d v="2024-02-16T00:00:00Z"/>
        <s v="2/12/2024&#10;2/13/2024"/>
        <d v="2024-02-13T00:00:00Z"/>
        <d v="2024-02-05T00:00:00Z"/>
        <d v="2024-01-29T00:00:00Z"/>
        <d v="2024-01-22T00:00:00Z"/>
        <d v="2024-01-17T00:00:00Z"/>
        <d v="2024-01-31T00:00:00Z"/>
        <d v="2024-01-16T00:00:00Z"/>
        <d v="2024-01-11T00:00:00Z"/>
        <d v="2024-01-08T00:00:00Z"/>
        <s v="1/14/2024&#10;1/16/2024"/>
        <d v="2024-01-04T00:00:00Z"/>
        <d v="2023-12-26T00:00:00Z"/>
      </sharedItems>
    </cacheField>
    <cacheField name="Arrive WH Date" numFmtId="14">
      <sharedItems containsSemiMixedTypes="0" containsDate="1" containsString="0">
        <d v="2025-01-09T00:00:00Z"/>
        <d v="2025-01-07T00:00:00Z"/>
        <d v="2024-12-27T00:00:00Z"/>
        <d v="2025-01-02T00:00:00Z"/>
        <d v="2024-12-20T00:00:00Z"/>
        <d v="2024-12-18T00:00:00Z"/>
        <d v="2024-12-17T00:00:00Z"/>
        <d v="2024-12-16T00:00:00Z"/>
        <d v="2024-12-04T00:00:00Z"/>
        <d v="2024-12-03T00:00:00Z"/>
        <d v="2024-11-27T00:00:00Z"/>
        <d v="2024-12-05T00:00:00Z"/>
        <d v="2024-11-22T00:00:00Z"/>
        <d v="2024-11-20T00:00:00Z"/>
        <d v="2024-11-19T00:00:00Z"/>
        <d v="2024-11-18T00:00:00Z"/>
        <d v="2024-11-13T00:00:00Z"/>
        <d v="2024-11-12T00:00:00Z"/>
        <d v="2024-11-06T00:00:00Z"/>
        <d v="2024-11-01T00:00:00Z"/>
        <d v="2024-10-31T00:00:00Z"/>
        <d v="2024-10-25T00:00:00Z"/>
        <d v="2024-10-24T00:00:00Z"/>
        <d v="2024-10-23T00:00:00Z"/>
        <d v="2024-10-18T00:00:00Z"/>
        <d v="2024-10-21T00:00:00Z"/>
        <d v="2024-10-16T00:00:00Z"/>
        <d v="2024-10-15T00:00:00Z"/>
        <d v="2024-10-11T00:00:00Z"/>
        <d v="2024-10-10T00:00:00Z"/>
        <d v="2024-10-08T00:00:00Z"/>
        <d v="2024-10-02T00:00:00Z"/>
        <d v="2024-10-03T00:00:00Z"/>
        <d v="2024-09-30T00:00:00Z"/>
        <d v="2024-10-09T00:00:00Z"/>
        <d v="2024-09-25T00:00:00Z"/>
        <d v="2024-09-18T00:00:00Z"/>
        <d v="2024-09-17T00:00:00Z"/>
        <d v="2024-09-05T00:00:00Z"/>
        <d v="2024-09-12T00:00:00Z"/>
        <d v="2024-09-10T00:00:00Z"/>
        <d v="2024-09-06T00:00:00Z"/>
        <d v="2024-08-30T00:00:00Z"/>
        <d v="2024-08-21T00:00:00Z"/>
        <d v="2024-08-23T00:00:00Z"/>
        <d v="2024-08-19T00:00:00Z"/>
        <d v="2024-08-13T00:00:00Z"/>
        <d v="2024-08-15T00:00:00Z"/>
        <d v="2024-08-09T00:00:00Z"/>
        <d v="2024-08-06T00:00:00Z"/>
        <d v="2024-08-08T00:00:00Z"/>
        <d v="2024-08-02T00:00:00Z"/>
        <d v="2029-07-24T00:00:00Z"/>
        <d v="2024-07-25T00:00:00Z"/>
        <d v="2024-07-24T00:00:00Z"/>
        <d v="2024-07-26T00:00:00Z"/>
        <d v="2024-07-23T00:00:00Z"/>
        <d v="2024-07-18T00:00:00Z"/>
        <d v="2024-07-16T00:00:00Z"/>
        <d v="2024-07-02T00:00:00Z"/>
        <d v="2024-07-09T00:00:00Z"/>
        <d v="2024-07-11T00:00:00Z"/>
        <d v="2024-07-03T00:00:00Z"/>
        <d v="2024-06-27T00:00:00Z"/>
        <d v="2024-06-21T00:00:00Z"/>
        <d v="2024-06-24T00:00:00Z"/>
        <d v="2024-06-14T00:00:00Z"/>
        <d v="2024-06-10T00:00:00Z"/>
        <d v="2024-06-05T00:00:00Z"/>
        <d v="2024-06-19T00:00:00Z"/>
        <d v="2024-05-31T00:00:00Z"/>
        <d v="2024-06-11T00:00:00Z"/>
        <d v="2024-05-30T00:00:00Z"/>
        <d v="2024-05-29T00:00:00Z"/>
        <d v="2024-05-23T00:00:00Z"/>
        <d v="2024-05-22T00:00:00Z"/>
        <d v="2024-05-28T00:00:00Z"/>
        <d v="2024-05-20T00:00:00Z"/>
        <d v="2024-05-16T00:00:00Z"/>
        <d v="2024-05-24T00:00:00Z"/>
        <d v="2024-05-13T00:00:00Z"/>
        <d v="2024-05-15T00:00:00Z"/>
        <d v="2024-05-07T00:00:00Z"/>
        <d v="2024-04-26T00:00:00Z"/>
        <d v="2024-04-29T00:00:00Z"/>
        <d v="2024-04-25T00:00:00Z"/>
        <d v="2024-04-19T00:00:00Z"/>
        <d v="2024-04-17T00:00:00Z"/>
        <d v="2024-03-28T00:00:00Z"/>
        <d v="2024-03-27T00:00:00Z"/>
        <d v="2024-03-19T00:00:00Z"/>
        <d v="2024-03-07T00:00:00Z"/>
        <d v="2024-03-05T00:00:00Z"/>
        <d v="2024-03-08T00:00:00Z"/>
        <d v="2024-03-18T00:00:00Z"/>
        <d v="2024-03-11T00:00:00Z"/>
        <d v="2024-02-27T00:00:00Z"/>
        <d v="2024-02-23T00:00:00Z"/>
        <d v="2021-02-21T00:00:00Z"/>
        <d v="2024-02-28T00:00:00Z"/>
        <d v="2024-02-16T00:00:00Z"/>
        <d v="2024-02-21T00:00:00Z"/>
        <d v="2024-02-15T00:00:00Z"/>
        <d v="2024-02-07T00:00:00Z"/>
        <d v="2024-02-01T00:00:00Z"/>
        <d v="2024-01-26T00:00:00Z"/>
        <d v="2024-01-24T00:00:00Z"/>
        <d v="2024-01-30T00:00:00Z"/>
        <d v="2024-01-22T00:00:00Z"/>
        <d v="2024-01-23T00:00:00Z"/>
        <d v="2024-01-12T00:00:00Z"/>
        <d v="2024-01-08T00:00:00Z"/>
      </sharedItems>
    </cacheField>
    <cacheField name="Delivery Schedule">
      <sharedItems containsDate="1" containsMixedTypes="1">
        <d v="2025-01-09T00:00:00Z"/>
        <d v="2025-01-07T00:00:00Z"/>
        <s v="12/27/2024&#10;12/27/2024"/>
        <s v="1/2/2025&#10;1/2/2025"/>
        <d v="2024-12-20T00:00:00Z"/>
        <d v="2024-12-18T00:00:00Z"/>
        <s v="12/18/2024&#10;12/18/2024"/>
        <d v="2024-12-17T00:00:00Z"/>
        <d v="2024-12-16T00:00:00Z"/>
        <d v="2024-12-04T00:00:00Z"/>
        <s v="12/3/2024&#10;11/29/2024"/>
        <d v="2024-11-27T00:00:00Z"/>
        <d v="2024-12-05T00:00:00Z"/>
        <d v="2024-11-22T00:00:00Z"/>
        <s v="11/20/2024&#10;11/20/2024"/>
        <s v="11/19/2024&#10;11/18/2024&#10;11/18/2024"/>
        <s v="11/15/2024&#10;11/18/2024"/>
        <s v="11/13/2024&#10;11/12/2024"/>
        <d v="2024-11-12T00:00:00Z"/>
        <d v="2024-11-06T00:00:00Z"/>
        <d v="2024-11-01T00:00:00Z"/>
        <s v="10/31/2024&#10;10/31/2024&#10;10/30/2024"/>
        <d v="2024-10-25T00:00:00Z"/>
        <d v="2024-10-24T00:00:00Z"/>
        <d v="2024-10-23T00:00:00Z"/>
        <s v="10/23/2024&#10;10/22/2024&#10;10/23/2024"/>
        <s v="10/18/2024&#10;10/17/2024"/>
        <d v="2024-10-21T00:00:00Z"/>
        <d v="2024-10-16T00:00:00Z"/>
        <s v="10/16/2024&#10;10/16/2024"/>
        <d v="2024-10-15T00:00:00Z"/>
        <d v="2024-10-11T00:00:00Z"/>
        <d v="2024-10-10T00:00:00Z"/>
        <d v="2024-10-08T00:00:00Z"/>
        <d v="2024-10-02T00:00:00Z"/>
        <s v="10/3/2024&#10;10/2/2024"/>
        <d v="2024-09-30T00:00:00Z"/>
        <d v="2024-10-09T00:00:00Z"/>
        <s v="9/24/2025&#10;9/25/2024&#10;9/25/2024"/>
        <s v="9/18/2024&#10;9/18/2024"/>
        <d v="2024-09-17T00:00:00Z"/>
        <d v="2024-09-05T00:00:00Z"/>
        <s v="9/12/2024&#10;9/12/2024"/>
        <s v="9/9/2024&#10;9/10/2024"/>
        <s v="9/6/2024&#10;9/5/2024"/>
        <d v="2024-09-06T00:00:00Z"/>
        <d v="2024-08-30T00:00:00Z"/>
        <d v="2024-08-21T00:00:00Z"/>
        <s v="8/21/2024&#10;8/21/2024"/>
        <d v="2024-08-23T00:00:00Z"/>
        <d v="2024-08-19T00:00:00Z"/>
        <s v="8/13/2024&#10;8/13/2024"/>
        <d v="2024-08-15T00:00:00Z"/>
        <s v="8/9/2024&#10;8/8/2024"/>
        <d v="2024-08-06T00:00:00Z"/>
        <d v="2024-08-08T00:00:00Z"/>
        <s v="8/2/2024&#10;8/2/2024"/>
        <d v="2024-08-02T00:00:00Z"/>
        <s v="7/26/2024&#10;7/29/2024"/>
        <d v="2025-07-25T00:00:00Z"/>
        <d v="2024-07-24T00:00:00Z"/>
        <d v="2024-07-26T00:00:00Z"/>
        <d v="2024-07-23T00:00:00Z"/>
        <d v="2024-07-18T00:00:00Z"/>
        <d v="2024-07-16T00:00:00Z"/>
        <d v="2024-07-02T00:00:00Z"/>
        <s v="7/5/2024&#10;7/5/2024&#10;7/9/2024"/>
        <d v="2024-07-11T00:00:00Z"/>
        <s v="7/3/2024&#10;7/1/2024"/>
        <d v="2024-06-27T00:00:00Z"/>
        <s v="6/21/2024&#10;6/21/2024"/>
        <d v="2024-06-24T00:00:00Z"/>
        <d v="2024-06-14T00:00:00Z"/>
        <d v="2024-06-10T00:00:00Z"/>
        <d v="2024-06-05T00:00:00Z"/>
        <d v="2024-06-19T00:00:00Z"/>
        <d v="2024-05-31T00:00:00Z"/>
        <d v="2024-06-11T00:00:00Z"/>
        <d v="2024-05-30T00:00:00Z"/>
        <s v="5/28/2024&#10;5/29/2024&#10;5/24/2024"/>
        <d v="2023-05-23T00:00:00Z"/>
        <s v="5/22/2024&#10;5/22/2024"/>
        <d v="2024-05-28T00:00:00Z"/>
        <d v="2024-05-20T00:00:00Z"/>
        <s v="5/16/2024&#10;5/16/2024"/>
        <d v="2024-05-24T00:00:00Z"/>
        <s v="5/13/2024&#10;5/10/2024&#10;5/9/2024&#10;5/13/2024"/>
        <d v="2024-05-15T00:00:00Z"/>
        <d v="2024-05-07T00:00:00Z"/>
        <d v="2024-04-26T00:00:00Z"/>
        <d v="2024-04-29T00:00:00Z"/>
        <d v="2024-04-25T00:00:00Z"/>
        <s v="4/19/2024&#10;4/19/2024"/>
        <d v="2024-04-17T00:00:00Z"/>
        <s v="4/17/2024&#10;4/17/2024"/>
        <s v="4/19/2024&#10;4/18/2024"/>
        <d v="2024-03-28T00:00:00Z"/>
        <s v="3/27/2024&#10;3/26/2024&#10;3/25/2024"/>
        <d v="2024-03-27T00:00:00Z"/>
        <s v="3/19/2024&#10;3/19/2024"/>
        <s v="3/7/2024&#10;3/6/2024"/>
        <d v="2024-03-05T00:00:00Z"/>
        <d v="2024-03-08T00:00:00Z"/>
        <s v="3/5/2024&#10;3/5/2024"/>
        <d v="2024-03-18T00:00:00Z"/>
        <d v="2024-03-11T00:00:00Z"/>
        <d v="2024-02-27T00:00:00Z"/>
        <s v="2/22/2024&#10;2/23/2024&#10;2/23/2024"/>
        <d v="2021-02-21T00:00:00Z"/>
        <s v="2/28/2024&#10;2/26/2024"/>
        <s v="2/16/2024&#10;2/16/2024&#10;2/16/2024"/>
        <d v="2024-02-21T00:00:00Z"/>
        <d v="2024-02-15T00:00:00Z"/>
        <d v="2024-02-07T00:00:00Z"/>
        <d v="2024-02-01T00:00:00Z"/>
        <s v="1/26/2024&#10;1/25/2024"/>
        <d v="2024-01-24T00:00:00Z"/>
        <d v="2024-01-30T00:00:00Z"/>
        <d v="2024-01-22T00:00:00Z"/>
        <s v="1/22/2024&#10;1/23/2024"/>
        <s v="1/12/2024&#10;1/12/2024"/>
        <s v="1/5/2024&#10;1/8/2024&#10;1/8/2024"/>
      </sharedItems>
    </cacheField>
    <cacheField name="QC Received (Y/N)">
      <sharedItems containsBlank="1" containsMixedTypes="1" containsNumber="1" containsInteger="1">
        <n v="5599925.0"/>
        <m/>
        <n v="5600571.0"/>
        <n v="5600907.0"/>
        <n v="5600909.0"/>
        <s v="5600914&#10;(void)"/>
        <n v="5600926.0"/>
        <n v="5600929.0"/>
        <n v="5600931.0"/>
        <s v="NA"/>
        <s v="5610997/Y"/>
        <s v="5611016/Y"/>
        <n v="5579081.0"/>
        <n v="5578756.0"/>
        <n v="5578738.0"/>
        <n v="5578708.0"/>
        <n v="5578692.0"/>
        <n v="5578564.0"/>
        <n v="5578456.0"/>
        <n v="5577520.0"/>
      </sharedItems>
    </cacheField>
    <cacheField name="QC Checked (Initial)" numFmtId="0">
      <sharedItems containsBlank="1">
        <s v="received"/>
        <m/>
        <s v="DA"/>
        <s v="LV"/>
      </sharedItems>
    </cacheField>
    <cacheField name="Remarks" numFmtId="0">
      <sharedItems>
        <s v="EN#2164283, INV#PI24-135, 24ILC028916, PO#40380, OBL12/20, GATEFEE12/31, empty return 1/9&#10;- SEASPAN BEYOND, (TB7), WAN HAI&#10;- At anchor 1/1&#10;- Moored 1/5, discharged 1/5, LFD 1/9"/>
        <s v="EN#2163600, INV#PI24-114, 24ILC028876, PO#40236, OBL11/13, empty return 1/8&#10;- ONE WREN, (TA18), ONE&#10;- have an additional $150 Port Liberty Bayonne Surcharge&#10;- Moored 12/29, discharged 12/30, LFD 1/7"/>
        <s v="EN#2163745, INV#PI24-17, 24ILC028864, PO#40369, OBL12/10&#10;- BALTIMORE EXPRESS, (TA20), WAN HAI&#10;- have additional $150 per container APM Surcharge&#10;- moored12/19&#10;- c#5787 - discharged 12/19, LFD 12/27, empty return 12/27&#10;- c#2761 - discharged 12/19, LFD 12/2"/>
        <s v="EN#2163601, INV#PI24-132, 24ILC028877, PO#40234, OBL11/13&#10;- YM WARRANTY, (TA19), ONE&#10;- have additional $150/ container Port Liberty Bayonne (aka Global) Surcharge&#10;- moored 12/23&#10;- c#6415 - discharged 12/26, LFD 1/2, prepulled 12/30, empty return 1/3&#10;- c#2"/>
        <s v="EN#2164429, INV#PI24-21, 24ILC028896, PO#40377, OBL12/10, empty return 12/26&#10;- COSCO THAILAND, (TB9), COSCO&#10;- Moored 12/16, discharged 12/18, LFD 12/23"/>
        <s v="EN#2163536, INV#PI24-94, 24ILC028846, PO#40233, OBL11/13, empty return 12/18&#10;- CMA CGM CHILE, (TA15), OOCL&#10;- have an additional $150 APM Surcharge&#10;- Moored 12/14, discharged 12/14, LFD 12/19&#10;- 1/2 discrepancy issue with this PO, Francis is checking with t"/>
        <s v="EN#2163537, INV#PI24-88 &amp; PI24-96, 24ILC028859, PO#40230, OBL11/13, empty return 12/18&#10;- CMA CGM CHILE, (TA14), OOCL&#10;- have an additional $150 APM Surcharge&#10;- Moored 12/14, discharged 12/15, LFD 12/19"/>
        <s v="EN#2163995, INV#PI24-19, 24ILC028866, PO#40373, OBL12/10, GATEFEE12/11&#10;- EVER MACH, (TA22), COSCO&#10;- moored 12/12&#10;- c#2458 - discharged 12/13, LFD 12/19, empty return 12/19&#10;- c#4920 - discharged 12/12, LFD 12/18, empty return 12/18&#10;- c#2548 - 12/17 pickup "/>
        <s v="EN#2163492, INV#PI24-77, T/R, PO#40232, empty return 12/18&#10;- WAN HAI A15, (TA11), WAN HAI&#10;- have an additional $150 APM Surcharge&#10;- Moored 12/11, discharged 12/13, LFD 12/18"/>
        <s v="EN#2163534, INV#PI24-87 &amp; PI24-95, 24ILC028857, PO#40229, OBL11/13, GATEFEE12/9, empty return 12/16&#10;- CMA CGM ARGENTINA, (TA16), OOCL&#10;- Moored 12/11, discharged 12/12, LFD 12/18&#10;- pickup pier waiting was from 7:39-11:09am additional 1 ½ hr"/>
        <s v="EN#2164072, INV#PI24-137, 24ILC028914, PO#40344, OBL12/4&#10;- GUNHILDE MAERSK, (TB4), MSC&#10;- APM Terminal @ LA&#10;- Moored 12/4, discharged 12/5, FCL LFD 12/9, FCL picked up 12/10, FCL empty return 12/11, LCL ready for pickup 12/11, LCL LFD 12/19"/>
        <s v="EN#2163442, INV#PI24-89 &amp; PI24-97, 24ILC028858, PO#40228, OBL11/13, empty return 12/6&#10;- TS SINGAPORE, (TA12), TS LINES&#10;- Moored 11/26, discharged 11/26, LFD 12/4&#10;- prepulled 12/3"/>
        <s v="EN#2163599, INV#PI24-131 &amp; PI24-138, 24ILC028878, PO#40235, OBL11/13, GATEFEE11/18&#10;- YM UTILITY, (TA17), HMM&#10;- At anchor 11/25&#10;- Moored 11/26&#10;- c#8230 - discharged 11/26, LFD 12/3, empty return 12/3&#10;- c#0970 - discharged 11/26, LFD 11/30, empty return 11/"/>
        <s v="EN#2162945, INV#PI24-93, 24ILC028817, PO#40224, OBL10/30, GATEFEE11/18, empty return 11/27&#10;- ONE HELSINKI, (TA9), ONE&#10;- Moored 11/25, discharged 11/25, LFD 12/2&#10;- QC PL#5600914 void, items not found"/>
        <s v="EN#2162790, INV#PI24-85, 24ILC028830, PO#40126, OBL10/8&#10;- ONE MINATO, (TA5), YANG MING&#10;- Moored 11/21, discharged 11/22, LFD 11/29, FCL picked up 11/27, FCL empty return 12/2"/>
        <s v="EN#2162859, INV#PI24-69, T/R PO#40129, empty return 11/22&#10;- CHARLESTON EXPRESS, (TA7), WAN HAI&#10;- have an additional $150 APM Surcharge&#10;- Moored 11/18, discharged 11/18, LFD 11/22&#10;- prepulled 11/21(waived), delivered 11/22"/>
        <s v="EN#2163440, INV#PI24-133, 24ILC028879, PO#40231, OBL11/13&#10;- ZIM CHARLESTON, (TA13), ZIM&#10;- Moored 11/15&#10;- c#6820 - discharged 11/15, LFD 11/20, prepulled 11/19, delivered 11/20, empty return 11/20&#10;- c#4823 - discharged 11/15, LFD 11/20, prepulled 11/19, de"/>
        <s v="EN#2162673, INV#PI24-126, 24ILC028821, PO#40123, OBL10/8&#10;- WAN HAI A08, (TA3), WAN HAI&#10;- have an additional $150/contr APM Surcharge&#10;- moored 11/10&#10;- c#0173 - discharged 11/12, LFD 11/18, prepulled 11/18, empty return 11/21&#10;- c#9213 - discharged 11/12, LF"/>
        <s v="EN#2162541, INV#PI24-14, 24ILC028810, PO#40124, OBL10/8&#10;- WAN HAI A08, (TD21), WAN HAI&#10;- have an additional $150/contr APM Surcharge&#10;- moored 11/10&#10;- c#3327 - discharged 11/12, LFD 11/15, empty return 11/19&#10;- c#0678 - discharged 11/12, LFD 11/18, empty re"/>
        <s v="EN#2163102, INV#PI24-16, 24ILC028863, PO#40227, OBL10/30, GATEFEE11/4&#10;- YM UNIFORMITY, (TA10), HMM&#10;- Moored 11/7&#10;- c#8891 - discharged 11/7, LFD 11/13, empty return 11/13&#10;- c#6463 - discharged 11/7, LFD 11/12, empty return 11/12&#10;- HMMU6148891 empty return"/>
        <s v="EN#2162303, INV#PI24-14, 24ILC028810, PO#40063, OBL10/8, empty return 11/14&#10;- LOS ANGELES EXPRESS, (TD18), WAN HAI&#10;- have an additional $150 APM Surcharge&#10;- Moored 11/6, discharged 11/6, LFD 11/12"/>
        <s v="EN#2162789, INV#PI24-86, 24ILC028832, PO#40127, OBL10/14, empty return 11/6&#10;- COSCO SHIPPING ANDES, (TA6), COSCO&#10;- Moored 10/3, discharged 11/4, LFD 11/8"/>
        <s v="EN#2162786, INV#PI24-84, 24ILC028831, PO#40125, OBL10/8, no GATEFEE (LCL)&#10;- ONE HARBOUR, (TA4), YANG MING&#10;- Discharged @ LA, then transfer to OAK&#10;- moored @ LA 10/31, discharged 11/3, FCL pickup 11/4, FCL empty return 11/5"/>
        <s v="EN#2162123, INV#PI24-11, 24ILC028771, PO#39993, OBL 9/25, empty return 11/1&#10;- TITAN, (TD15), COSCO&#10;- vessel IMO 9728928&#10;- have additional Maher surcharge ($150) &#10;- Moored 10/27, discharged 10/28, LFD 11/1"/>
        <s v="EN#2162109, INV#PI24-122, 24ILC028809, PO#39992, OBL9/25&#10;- NORFOLK EXPRESS, (TD12), WAN HAI&#10;- have additional $150/container APM Surcharge&#10;- Moored 10/25&#10;- c#4796 - discharged 10/25, LFD 10/31, empty return 11/2&#10;- c#6280 - discharged 10/25, LFD 10/31, emp"/>
        <s v="EN#2162626, INV#PI24-127, 24ILC028820, PO#40120, OBL10/8, empty return 10/30&#10;- SEASPAN BEYOND, (TA2), WAN HAI&#10;- Moored 10/21, discharged 10/23, LFD?"/>
        <s v="EN#2162860, INV#PI24-18, 24ILC028811, PO#40128, OBL10/14, empty return 10/24&#10;- COSCO BELGIUM, (TA8), COSCO&#10;- Moored 10/20, discharged 10/20, LFD 10/24"/>
        <s v="EN#2162624, INV#PI24-125, 24ILC028822, PO#40122, OBL10/8, GATEFEE10/14, empty return 10/23&#10;- YM UNANIMITY, (TA1), ONE&#10;- Moored 10/18, discharged 10/18, LFD 10/24"/>
        <s v="EN#2161726, INV#PI24-118, 24ILC028788, PO#39988, OBL9/11&#10;- ATLANTA EXPRESS, (TD17), WAN HAI&#10;- have additional $150/contr APM Surcharge&#10;- moored 10/17&#10;- c#8920 - discharged 10/18, LFD 10/23, empty return 10/24&#10;- c#2946 - discharged 10/18, LFD 10/23, empty "/>
        <s v="EN#2162380, INV#PI24-13, 24ILC028808, PO#40065, OBL10/1, GATEFEE10/14&#10;- EVER MACH, (TD20), COSCO&#10;- moored 10/14&#10;- c#4521 - discharged 10/15, LFD?, empty return 10/18&#10;- c#5696 - discharged 10/14, LFD?, empty return 10/17&#10;- OOLU9685696 has split return chas"/>
        <s v="EN#2161565, INV#PI24-62, T/R, PO#39986, empty return 10/22&#10;- WAN HAI A10, (TD3), WAN HAI&#10;- have $150 APM Surcharge&#10;- Moored 10/15, discharged 10/16, LFD 10/21"/>
        <s v="EN#2162125, INV#PI24-121, 24ILC028812, PO#40060, OBL9/25, GATEFEE10/7, empty return 10/16&#10;- SEASPAN BRAVO, (TD13), WAN HAI&#10;- Moored 10/12, discharged 10/12, LFD 10/17&#10;- T-31520: lot# C240413 &amp; C240423 not available for QC&#10;- T-22010: lot# C240410 &amp; C240431"/>
        <s v="EN#2161447, INV#PI24-11, 24ILC028771, PO#39982, OBL9/3&#10;- WAN HAI A17, (TD2), WAN HAI&#10;- have $150/container APM Surcharge&#10;- moored 10/11&#10;- c#5470 - discharged 10/11, LFD 10/16, empty return 10/18&#10;- c#5166 - discharged 10/11, LFD 10/16, empty return 10/18"/>
        <s v="EN#2161890, INV#PI24-52, 24ILC028792, PO#39990, OBL9/11, empty return 10/16&#10;- OOCL KOREA, (TD9), OOCL&#10;- have $150 Maher Surcharge&#10;- Moored 10/9, discharged 10/9, LFD 10/15"/>
        <s v="EN#2161889, INV#PI24-90, 24ILC028785, PO#39991, OBL9/11, empty return 10/16&#10;- OOCL KOREA, (TD8), OOCL&#10;- have $150 Maher Surcharge&#10;- Moored 10/9, discharged 10/9, LFD 10/15"/>
        <s v="EN#2161835, INV#PI24-49, 24ILC028737, PO#39989, OBL9/5&#10;- ONE AQUILA, (TD6), YANG MING&#10;- At anchor 10/4, then another At anchor 10/9, estimated berthing 10/13&#10;- Moored 10/11, discharged 10/14, LFD 10/17&#10;- FCL picked up 10/15, FCL empty return 10/17, pendin"/>
        <s v="EN#2162204, INV#PI24-10, 24ILC028756, PO#40062, OBL9/25, GATEFEE10/7, empty return 10/11&#10;- EVER FAR, (TD16), COSCO&#10;- moored 10/7, discharged 10/8, LFD?&#10;- T-32206: lot# 026161093 not available for QC"/>
        <s v="EN#2162353, INV#PI24-15, 24ILC028813, PO#40064, OBL10/1, empty return 10/10&#10;- COSCOSHIPPING DENALI, (TD19), COSCO&#10;- Moored 10/5, discharged 10/6, LFD 10/10"/>
        <s v="EN#2162126, INV#PI24-123, 24ILC028807, PO#40061, OBL9/25, empty return 10/8&#10;- SEASPAN BRAVO, (TD14), WAN HAI&#10;- Moored 10/2, discharged 10/3, LFD?"/>
        <s v="EN#2161833, INV#PI24-48, 24ILC028740, PO#39984, OBL9/11, empty return 10/2&#10;- LIDIA, (TD4), TS LINES&#10;- At anchor 9/27&#10;- Moored 9/28, discharged 9/28, LFD 10/3&#10;- prepulled 10/1"/>
        <s v="EN#2161836, INV#PI24-117, 24ILC028789, PO#39980, OBL9/11, GATEFEE9/23&#10;- WAN HAI A16, (TD7), WAN HAI&#10;- Moored 9/27&#10;- c#0685 - discharged 9/28, LFD 10/3, empty return 10/3&#10;- c#5973 - discharged 9/27, LFD 10/3, empty return 10/2&#10;- TGBU3270685 pickup pier wai"/>
        <s v="EN#9035167, INV#PI24-92, T/R, PO#40059&#10;- KUL-IST-JFK, (TD22)&#10;- Crane Worldwide will deliver&#10;- actually POP (or GW) should arrange pickup&#10;- Crane Worldwide trucking invoice $1300"/>
        <s v="EN#2161834, INV#PI24-50, 24ILC028738, PO#39983, OBL9/5, no GATEFEE (LCL)&#10;- ONE HONOLULU, (TD5), HMM&#10;- discharged @ LA, then transfer to OAK&#10;- moored @ LA 9/26, discharged 9/28, LFD? FCL picked up 10/3, FCL empty return 10/4&#10;- LCL LFD 10/9, pending transfe"/>
        <s v="EN#2161281, INV#PI24-111, 24ILC028739, PO#39845, OBL9/3&#10;- WAN HAI 516, (TC21), WAN HAI&#10;- have $150/container APM Surcharge&#10;- At anchor 9/19, estimated berthing 9/21&#10;- moored 9/21&#10;- c#9936 - discharged 9/21, LFD 9/26, empty return 9/25&#10;- c#5717 - discharge"/>
        <s v="EN#2162018, INV#PI24-119, 24ILC028790, PO#39978, OBL9/11&#10;- ZIM FALCON, (TD11), ZIM&#10;- moored 9/14&#10;- c#4418 - discharged 9/15, LFD 9/19, empty return 9/20&#10;- c#3016 - discharged 9/15, LFD 9/19, empty return 9/19"/>
        <s v="EN#2160903, INV#PI24-08, 24ILC028716, PO#39734, OBL8/12, empty return 9/19&#10;- BALTIMORE EXPRESS, (TC16), WAN HAI&#10;- have additional $150 APM Surcharge&#10;- Moored 9/12, discharged 9/12, LFD 9/18"/>
        <s v="EN#9035128, INV#PI24-92, T/R, PO#39950&#10;- KUL-TPE-SFO, CI0004, (TD10)&#10;- Arrived 9/3, LFD 9/4&#10;- NDC# different from previous shipment, PO#39563&#10;- per Will, need transfer 85% (7,650 dz) to NJ&#10;- no trucking charge from GW, door move by vendor&#10;- Estimated air "/>
        <s v="EN#2160653, INV#PI24-91, T/R, PO#39728&#10;- WAN HAI A15, (TC12), WAN HAI&#10;- have additional $150/container APM Surcharge&#10;- At anchor 9/3, estimated berthing 9/5&#10;- moored 9/5&#10;- c#3755 - discharged 9/7, LFD 9/12, empty return 9/13&#10;- c#5496 - discharged 9/6, LFD"/>
        <s v="EN#2161099, INV#PI24-54, 24ILC028729, PO#39733, OBL8/12, empty return 9/5&#10;- COSCO BELGIUM, (TC17), COSCO&#10;- Moored 8/31, discharged 8/31, LFD 9/6&#10;- prepull 9/4, deliver 9/5"/>
        <s v="EN#2160900, INV#PI24-08, 24ILC028716, PO#39730, OBL7/29&#10;- AL QIBLA EXPRESS, (TC15), YANG MING&#10;- have additional $150/container Port Liberty Bayonne Surcharge&#10;- moored 9/1&#10;- c#7457 - discharged 9/3, LFD 9/9, empty return 9/10&#10;- c#7471 - discharged 9/5, LFD"/>
        <s v="EN#2161101, INV#PI24-110, 24ILC028741, PO#39842, OBL 8/19, GATEFEE8/19&#10;- YM MUTUALITY, (TC19), ONE&#10;- At anchor 8/23, estimated berthing 8/26&#10;- moored 8/26&#10;- c#0026 - discharged 8/27, LFD 9/3, prepull 9/3, deliver 9/6, ELFD 9/9, empty return 9/6, cannot de"/>
        <s v="EN#2160492, INV#PI24-73, 24ILC028702, PO#39611, OBL7/12, empty return 9/10&#10;- WAN HAI A09, (TC10), WAN HAI&#10;- have additional $150 APM Surcharge&#10;- At anchor 8/26, estimated berthing 8/29&#10;- Moored 8/29, discharged 8/30, LFD 9/6"/>
        <s v="EN#2161388, INV#PI24-12, 24ILC028757, PO#39916, OBL8/20, empty return 9/3&#10;- COSCO SPAIN, (TD1), COSCO&#10;- Moored 8/24, discharged 8/28, LFD 8/31&#10;- prepull 8/29, deliver 8/30"/>
        <s v="EN#2161100, INV#PI24-10, 24ILC028756, PO#39732, OBL8/12, GATEFEE8/14, empty return 8/21&#10;- YM UBIQUITY, (TC18), HMM&#10;- Moored 8/18, discharged 8/19, LFD 8/23&#10;- T-32206: lot# 026161093 not available for QC"/>
        <s v="EN#2160356, INV#PI24-105 &amp; PI24-109, 24ILC028707, PO#39565, OBL7/11&#10;- SAVANNAH EXPRESS, (TC5), WAN HAI&#10;- Moored 8/17&#10;- c#2677 - discharged 8/19, LFD 8/22, empty return 8/21&#10;- c#7147 - discharged 8/19, LFD 8/22, empty return 8/21"/>
        <s v="EN#2161280, INV#PI24-58, T/R, PO#39844, empty return 8/21&#10;- COSCOSHIPPING DENALI, (TC22), COSCO&#10;- Moored 8/17, discharged 8/18, LFD 8/22"/>
        <s v="EN#2160741, INV#PI24-09, 24ILC028713, PO#39731, OBL7/29, empty return 8/23&#10;- SEASPAN BEYOND, (TC14), WAN HAI&#10;- Moored 8/15, discharged 8/17, LFD?&#10;- Prepull 8/22 6pm, deliver 8/23"/>
        <s v="EN#2160489, INV#PI24-46, 24ILC028696, PO#39614, OBL7/12, empty return 8/19&#10;- OOCL SINGAPORE, (TC7), COSCO&#10;-  have additional $150 per container Maher Surcharge&#10;- moored 8/15, discharged 8/15, LFD 8/21"/>
        <s v="EN#2161169, INV#PI24-112, 24ILC028742, PO#39843, OBL8/14 (by EWB)&#10;- WAN HAI 355, (TC20), WAN HAI&#10;- moored 8/11&#10;- c#5990 - discharged 8/11, LFD 8/15, empty return 8/13&#10;- c#9576 - discharged 8/11, LFD 8/15, empty return 8/13&#10;- EWB mailed original OBL to for"/>
        <s v="EN#2160694, INV#PI24-45, 24ILC028697, PO#39729, OBL7/24, empty return 8/15&#10;- WAN HAI A11, (TC11), WAN HAI&#10;- Moored 8/9, discharged 8/10, LFD?&#10;- prepull 8/14, deliver 8/15"/>
        <s v="EN#2160161, INV#PI24-82, 24ILC028657, PO#39561, OBL7/11&#10;- CHARLESTON EXPRESS, (TC1), WAN HAI&#10;- have additional $150 per container APM Surcharge&#10;- Moored 8/5&#10;- c#6516 - discharged 8/6, LFD 8/12, empty return 8/12&#10;- c#6521 - discharged 8/5, LFD 8/9, empty r"/>
        <s v="EN#2160695, INV#PI24-07, 24ILC028709, PO#39735, OBL7/24, GATEFEE8/1, empty return 8/6&#10;- YM UPSURGENCE, (TC13), HL&#10;- Moored 8/1, discharged 8/1, LFD 8/7 (per HL)&#10;- container empty to UIS, split return charge fee applies&#10;- T-32206: lot# 026161089 not availa"/>
        <s v="EN#2160358, INV#PI24-47, PI24-47, PO#39562, OBL6/28, no GATEFEE (LCL)&#10;- ONE COMMITMENT, (TC4), HMM&#10;- Moored @ LA 7/27, discharged 7/31, LFD 8/4, FCL picked up 8/2, FCL empty return 8/5, pending LCL to OAK 8/7&#10;- IT# 898593091&#10;- T-47010: lot# M240304, M2403"/>
        <s v="EN#2160077, INV#PI24-05, 24ILC028671, PO#39558, OBL6/28&#10;- WAN HAI A08, (TB22), WAN HAI&#10;- have additional $150 per container APM Surcharge&#10;- Moored 7/28&#10;- c#5516 - discharged 7/30, LFD 8/3, empty return 8/6&#10;- c#9963 - discharged 7/30, LFD 8/3, empty return"/>
        <s v="EN#2160491, INV#PI24-07, 24ILC028709, PO#39612, OBL7/12, GATEFEE7/22, empty return 8/2&#10;- WAN HAI A16, (TC9), WAN HAI&#10;- Moored 7/29, discharged 7/29, LFD 8/2"/>
        <s v="EN#2159739, INV#PI24-05, 24ILC028671, PO#39557, OBL6/19&#10;- ZIM PEARL, (TB18), ZIM&#10;- have additional $150/container Maher Surcharge&#10;- moored 7/22&#10;- c#2231 - discharged 7/23, LFD 7/26, empty return 7/26&#10;c#8538 - discharged 7/24, LFD 7/30, empty return 8/1&#10;- "/>
        <s v="EN#2160488, INV#PI24-63, 24ILC028703, PO#39563, OBL7/10, GATEFEE7/16, empty return 7/25&#10;- WAN HAI 723, (TC3), WAN HAI&#10;- VERY URGENT&#10;- Moored 7/21, discharged 7/21, LFD 7/25&#10;- empty return pier waiting additional ½ hr"/>
        <s v="EN#2160275, INV#PI24-104, 24ILC028706, PO#39564, OBL7/11, GATEFEE7/16, empty return 7/24&#10;- WAN HAI 723, (TC2), WAN HAI&#10;- Moored 7/21, discharged 7/21, LFD 7/25"/>
        <s v="EN#2159846, INV#PI24-44, 24ILC028659, PO#39448, OBL6/5&#10;- ONE EAGLE, (TB16), HMM&#10;- Moored 7/18, discharged 7/22, LFD 7/25&#10;- FCL picked up 7/22, FCL empty return 7/24&#10;- LCL LFD 7/26"/>
        <s v="EN#2160490, INV#PI24-06, 24ILC028710, PO#39613, OBL7/12, empty return 7/23&#10;- WAN HAI A16, (TC8), WAN HAI&#10;- Moored 7/18, discharged 7/21, LFD?"/>
        <s v="EN#2160357, INV#PI24-106, 24ILC028705, PO#39566, OBL7/11, empty return 7/18&#10;- YM UNIFORMITY, (TC6), ONE&#10;- OBL received 7/10, mailed out 7/11&#10;- Moored 7/12, discharged 7/13, LFD 7/18&#10;- prepull 7/17, deliver 7/18"/>
        <s v="EN#2159960, INV#PI24-81, 24ILC028658, PO#39560, OBL6/28, GATEFEE7/3, empty return 7/16&#10;- WAN HAI A03, (TB21), WAN HAI&#10;- Moored 7/10, discharged 7/10, LFD 7/16&#10;- empty return pier waiting was from 4:04-7:23pm additional 1 ½ hr"/>
        <s v="EN#2159159, INV#PI24-40, 24ILC028619, PO#39395, OBL5/24, empty return 7/2&#10;- ONE COMPETENCE, (TB12), ONE&#10;- Moored 6/30, discharged 7/1, LFD 7/6&#10;- prepull 7/1, deliver 7/2"/>
        <s v="EN#2159199, INV#PI24-75 &amp; PI24-79, 24ILC028623, PO#39396, OBL5/24&#10;- WAN HAI A07, (TB13), WAN HAI&#10;- have additional $150/container APM Surcharge&#10;- Moored 6/30&#10;- c#7342 - discharged 7/2, LFD 7/9, empty return 7/5&#10;- c#2295 - discharged 7/2, LFD 7/9, empty re"/>
        <s v="EN#2159845, INV#PI24-43, 24ILC028660, PO#39449, OBL6/5, FCL empty return 7/10&#10;- NYK VIRGO, (TB17), HMM&#10;- Moored 6/30, discharged 7/2, LFD?&#10;- FCL picked up 7/8, LCL LFD 7/12, pending LCL delivery"/>
        <s v="EN#2159880, INV#PI24-51, T/R, PO#39451, GATEFEE6/24&#10;- YM UTILITY, (TB20), HMM&#10;- moored 6/27&#10;- c#7649 - discharged 6/27, LFD 7/3, empty return 7/3&#10;- c#7910 - discharged 6/27, LFD 7/3, empty return 7/1"/>
        <s v="EN#2159529, INV#PI24-04, 24ILC028637, PO#39447, OBL6/5, GATEFEE6/18, empty return 6/27&#10;- WAN HAI A11, (TB15), WAN HAI&#10;- Moored 6/22, discharged 6/23, LFD 6/27"/>
        <s v="EN#2159434, INV#PI24-51, T/R, PO#39446, GATEFEE6/11&#10;- SEASPAN BEYOND, (TB14), WAN HAI&#10;- Moored 6/15&#10;- c#9971 - discharged 6/15, LFD 6/21, empty return 6/21&#10;- c#6719 - discharged 6/15, LFD 6/21, empty return 6/21"/>
        <s v="EN#2158891, INV#PI24-41, 24ILC028618, PO#39364, OBL5/9&#10;- ONE AQUILA, (TB7), YANG MING&#10;- PO#39365 changed to 39364&#10;- Moored 6/14, discharged 6/14, LFD 6/21&#10;- FCL picked up 6/18, pending LCL delivery"/>
        <s v="EN#2159737, INV#PI24-83, 24ILC028661, PO#39450, OBL6/10, empty return 6/15&#10;- WAN HAI 357, (TB19), WAN HAI&#10;- Moored 6/11, discharged 6/12, LFD?"/>
        <s v="EN#2158676, INV#PI24-02, 24ILC028586, PO#39361, OBL5/9, empty return 6/10&#10;- EVER FOREVER, (TB4), COSCO&#10;- have additional $150 Maher Surcharge&#10;- Moored 6/6, discharged 6/6, LFD 6/12"/>
        <s v="EN#2158940, INV#PI24-76 &amp; PI24-80, 24ILC028621, PO#39397, OBL5/24, empty return 6/5&#10;- YM UNICORN, (TB9), ONE&#10;- Moored 5/31, discharged 6/1, LFD 6/6"/>
        <s v="EN#2158890, INV#PI24-42, 24ILC028620, PO#39363, OBL5/9, no GATEFEE (LCL)&#10;- NYK ORION, (TB8), ONE&#10;- ETA to LA 5/30, then LCL to OAK eta 6/5&#10;- Moored 5/30, discharged 5/30, FCL LFD 6/5&#10;- FCL picked up 6/5, pending customs exam, FCL empty return 6/13&#10;- custo"/>
        <s v="EN#2159030, INV#PI24-04, 24ILC028637, PO#39366, OBL5/14, GATEFEE5/24, empty return 5/31&#10;- YM UPWARD, (TB11), HMM&#10;- Moored 5/27, discharged 5/27, LFD 5/31"/>
        <s v="EN#2158767, INV#, PI23-93, 24ILC028588, PO#39360, OBL 5/9, no GATEFEE (LCL)&#10;- ONE HANNOVER, (TB6), ONE&#10;- ETA to LA 5/25, then LCL to OAK eta 6/1&#10;- Moored 5/25, discharged 5/25, FCL LFD 5/30, updated FCL LFD 6/7&#10;- FCL picked up 6/5, empty return 6/7&#10;- have"/>
        <s v="EN#2158258, INV#PI23-37, 24ILC028554, PO#39359, OBL4/26, empty return 5/30&#10;- ONE HANNOVER, (TB3), ONE&#10;- Moored 5/25, discharged 5/26, LFD 5/30&#10;- prepull 5/29, deliver 5/30"/>
        <s v="EN#2158006, INV#PI24-67 &amp; PI24-72, 24ILC028590, PO#39358, OBL4/19&#10;- WAN HAI 613, (TA22), WAN HAI&#10;- have additional $150/container APM Surcharge&#10;- moored 5/21&#10;- c#2130 - discharged 5/22, LFD 5/29, empty return 5/28&#10;- c#6408 - discharged 5/22, LFD 5/29, emp"/>
        <s v="EN#2158677, INV#PI24-74 &amp; PI24-78, 24ILC028622, PO#39362, OBL5/9, GATEFEE5/20, empty return 5/23&#10;- YM UBIQUITY, (TB5), ONE&#10;- Moored 5/18, discharged 5/18, LFD 5/23"/>
        <s v="EN#2158009, INV#PI24-02, 24ILC028586, PO#39357, OBL4/19&#10;- WAN HAI A15, (TA19), WAN HAI&#10;- have additional $150/container APM Surcharge&#10;- moored 5/18&#10;- c#7197 - discharged 5/19, LFD 5/23, empty return 5/22&#10;- c#0829 - discharged 5/18, LFD 5/23, empty return "/>
        <s v="EN#2158211, INV#PI24-38, 24ILC028555, PO#39356, OBL4/19&#10;- ONE OWL, (TB2), ONE&#10;- Moored 5/18, discharged 5/19, LFD 5/23&#10;- FCL picked up 5/21, empty return 5/23&#10;- LCL LFD 5/28, pending LCL delivery&#10;- pickup delay due to incorrect HBL#&#10;- LCL prepull 5/24, de"/>
        <s v="EN#2159029, INV#PI24-03, 24ILC028591, PO#39365, OBL5/14, empty return 5/20&#10;- COSCO SPAIN, (TB10), COSCO&#10;- Moored 5/16, discharged 5/16, LFD 5/22&#10;- PO#39364 changed to 39365"/>
        <s v="EN#2157822, INV#PI24-02, 24ILC028586, PO#39224, OBL4/10&#10;- WAN HAI A09, (TA18), WAN HAI&#10;- have additional $150/container APM Surcharge&#10;- Moored 5/13&#10;- c#9836 - discharged 5/13, LFD 5/17, empty return 5/17&#10;- c#8053 - discharged 5/13, LFD 5/17, empty return "/>
        <s v="EN#2158210, INV#PI24-39, 24ILC028556, PO#39355, OBL4/19, no GATEFEE (LCL)&#10;- SEASPAN ADONIS, (TB1), HMM&#10;- ETA to LA 5/14, then LCL to OAK eta 5/22&#10;- Moored 5/11, discharged 5/14, LFD?&#10;- FCL pickup 5/17, empty return 5/20&#10;- LCL arrived OAK 5/22, LFD 5/27, p"/>
        <s v="EN#2157891, INV#PI23-87, 24ILC028566, PO#39222, OBL4/4, FCL empty return 5/17&#10;- ONE CRANE, (TA14), YANG MING&#10;- Moored 5/11, discharged 5/11, LFD 5/16&#10;- FCL picked up 5/15, LCL LFD 5/21, pending LCL delivery"/>
        <s v="EN#2157689, INV#PI24-60 &amp; PI24-65, 24ILC028538, PO#39220, OBL4/2&#10;- SAVANNAH EXPRESS, (TA16), WAN HAI&#10;- have additional APM surcharge ($150)&#10;- Piece count mismatch between MBL and HBL?&#10;- moored5/6&#10;- c#9850 - discharged 5/7, LFD 5/13, empty return 5/13&#10;- c#"/>
        <s v="EN#2157892, INV#PI23-69, 24ILC028565, PO#39221, OBL4/4, No GATEFEE (LCL), FCL empty return 5/9&#10;- YM UNIFORMITY, (TA13), HMM&#10;- ETA to LA 4/29, then LCL to OAK&#10;- IT# 898518456&#10;- moored @ LA 5/1, discharged 5/1, FCL LFD 5/7, FCL picked up 5/7&#10;- LCL ready for"/>
        <s v="EN#2158008, INV#PI24-66 &amp; PI24-71, 24ILC028589, PO#39225, OBL4/19, GATEFEE4/23, empty return 5/7&#10;- WAN HAI A02, (TA20), WAN HAI&#10;- Moored 5/1, discharged 5/2,  LFD 5/8&#10;- pickup pier waiting was from 8-10:24am additional ½ hr&#10;- split return chassis charges"/>
        <s v="EN#2157654, INV#PI23-23-LA &amp; PI24-34, 24ILC028554, PO#39223, OBL4/4, empty return 4/30&#10;- WAN HAI A02, (TA17), WAN HAI&#10;- Moored 4/24, discharged 4/25, LFD 4/30&#10;- prepull 4/26, deliver 4/26"/>
        <s v="EN#2158007, INV#PI24-68, 24ILC028587, PO#39298, OBL4/19, FCL empty return 4/29&#10;- CMA CGM MUMBAI, (TA21), ONE&#10;- Moored 4/22, discharged 4/23, LFD 4/29&#10;- FCL picked up 4/25, pending LCL delivery, LCL LFD 5/1"/>
        <s v="EN#2157425, INV#PI23-23-NJ &amp; PI24-35, 24ILC028555, PO#39142, OBL3/20, empty return 4/26&#10;- WAN HAI A08, (TA9), WAN HAI&#10;- have additional $150 APM Surcharge&#10;- Moored 4/22, discharged 4/22, LFD 4/29"/>
        <s v="EN#2157495, INV#PI23-23-SF &amp; PI24-36, 24ILC028556, PO#39143, OBL3/20, GATEFEE4/22, empty return 4/26&#10;- ONE HANOI, (TA11), ONE&#10;- Moored 4/20, discharged 4/21, LFD 4/25&#10;- Drop 4/25 &amp; pickup empty 4/26&#10;- pickup empty EGSU9204531 when drop MOAU1422035, the tr"/>
        <s v="EN#2157216, INV#PI23-72, 24ILC028511, PO#39141, OBL3/14&#10;- NORFOLK EXPRESS, (TA8), WAN HAI&#10;- have additional $150/contr APM Surcharge&#10;- moored 4/18&#10;- c#6778 - discharged 4/18, LFD 4/24, empty return 4/19&#10;- c#6860 - discahrged 4/18, LFD 4/24, empty return 4"/>
        <s v="EN#2157012, INV#PI23-72, 24ILC028511, PO#39138, OBL3/8, empty return 4/17&#10;- WAN HAI 622, (TA5), WAN HAI&#10;- have additional $150 APM Surcharge&#10;- Moored 4/14, discharged 4/14, LFD 4/18"/>
        <s v="EN#2157617, INV#PI24-59 &amp; PI24-64, 24ILC028543, PO#39219, OBL4/2, GATEFEE4/10&#10;- WAN HAI A11, (TA15), WAN HAI&#10;- moored 4/14&#10;- c#6359 - discharged 4/14, LFD 4/19, prepull 4/16, pickup pier waiting 10:40am – 5:44 pm, empty return 4/17&#10;- c#4722 - discharged 4"/>
        <s v="EN#2157541, INV#PI24-01, 24ILC028569, PO#39217, OBL3/26, GATEFEE4/10&#10;- WAN HAI A11, (TA12), WAN HAI&#10;- moored 4/14&#10;- c#8819 - discharged 4/14, LFD 4/19, empty return 4/19&#10;c#3353 - discharged 4/14, LFD 4/19, empty return 4/18&#10;- per Ed, start issue QC PL fro"/>
        <s v="EN#2157217, INV#PI24-53, 24ILC028539, PO#39139, OBL3/8, empty return 4/17&#10;- SAN FRANCISCA, (TA7), MSC&#10;- have additional $150 PNCT Surcharge&#10;- At anchor 4/12, estimated berthing 4/14&#10;- Moored 4/13, discharged 4/14, LFD 4/17"/>
        <s v="EN#2157382, INV#PI24-61, PI24-61, 24ILC028544, PO#39144, OBL3/20, empty return 3/28&#10;- WAN HAI 363, (TA10), WAN HAI&#10;- Moored 3/22, discharged 3/23, LFD 3/28"/>
        <s v="EN#2156487, INV#PI24-56, 24ILC028494, PO#39055, OBL2/8&#10;- WAN HAI A07, (TA2), WAN HAI&#10;- have additional $150 APM terminal surcharge&#10;- Moored 3/22&#10;- c#7341 - discharged 3/23, LFD 3/28, empty return 3/27&#10;- c#5580 - discharged 3/22, LFD 3/28, empty return 3/2"/>
        <s v="EN#2156465, INV#PI23-11/22-NJ, 24ILC028491, PO#39003, OBL2/6, empty return 4/1&#10;- ONE EAGLE, (TD21), ONE&#10;- have additional $150 Global Terminal surcharge&#10;- At anchor 3/19, estimated berthing 3/21&#10;- Moored 3/21, discharged 3/22, LFD 3/28"/>
        <s v="EN#2157099, INV#PI23-73, 24ILC028509, PO#39140, OBL3/8&#10;- WAN HAI 353, (TA6), WAN HAI&#10;- Moored 3/16&#10;- c#4542 - discharged 3/16, LFD 3/21, prepull 3/18, empty return 3/19, prepull $120/container&#10;- c#5821 - discharged 3/16, LFD 3/21, prepulll 3/18, empty ret"/>
        <s v="EN#2156209, INV#PI23-59, 23ILC028456, PO#38999, OBL2/1&#10;- WAN HAI A13, (TD16), WAN HAI&#10;-  have additional $150/container APM Surcharge&#10;- Moored 3/4&#10;- c#1600 - discharged 3/5, LFD 3/11, empty return 3/8&#10;- c#5367 - discharged 3/5, LFD 3/8, empty return 3/6"/>
        <s v="EN#2156833, INV#PI23-73, 24ILC028509, PO#39084, OBL2/27, empty return 3/5&#10;- YM UNANIMITY, (TA4), HMM&#10;- Moored 3/2, discharged 3/3, LFD?&#10;- prepull 3/4, deliver 3/5"/>
        <s v="EN#2156366, INV#PI23-11/22-LA, 24ILC028490, PO#39002, OBL2/6, empty return 3/8&#10;- ONE HARBOUR, (TD17), ONE&#10;- Moored 3/1, discharged 3/1, LFD 3/7&#10;- prepull 3/7, deliver 3/8"/>
        <s v="EN#2156637, INV#PI23-71, 24ILC028510, PO#39054, OBL2/13, GATEFEE2/28&#10;- YM UPSURGENCE, (TA3), HMM&#10;- Moored 2/28&#10;- c#8919 - discharged 2/28, LFD 3/5, empty return 3/5, empty pier waiting was from 11:30-1:25pm additional 1hr&#10;- c#5948 - discharged 2/28, LFD 3"/>
        <s v="EN#2156486, INV#PI23-11/22-SF, 24ILC028492, PO#39001, OBL2/6, no GATEFEE (LCL), FCL empty return 3/12&#10;- ONE ARCADIA, (TA1), HMM&#10;- ETA to LA 2/26, ETA to OAK 3/3&#10;- Moored 2/26, discharged 2/27, LFD 3/1 - FCL picked up 3/1, LCL ready @ LA STG warehouse 3/9,"/>
        <s v="EN#2156400, INV#PI24-55, 24ILC028493, PO#39004, OBL2/8, GATEFEE2/21, empty return 3/11&#10;- WAN HAI A05, (TD19), WAN HAI&#10;- Moored 2/26, discharged 2/26, LFD 3/11&#10;- ready for pickup 3/3, LFD 3/11&#10;- empty return pier waiting was from 11:45-1:40pm additional 1h"/>
        <s v="EN#2156466, INV#PI23-71, 24ILC028510, PO#39053, OBL2/13, GATEFEE2/23, empty return 2/27&#10;- YM UNIFORM, (TD22), HMM&#10;- Moored 2/22, discharged 2/22, LFD  2/28"/>
        <s v="EN#2155648, INV#PI23-95, 23ILC028457, PO#38876, OBL1/9&#10;- VALENCE, (TD11), WAN HAI&#10;- have additional $150 per container APM Surcharge&#10;- moored 2/17&#10;- c#2339 - discharged 2/17, LFD 2/23, empty return 2/22&#10;c#3274 - discharged 2/17, LFD 2/23, empty return 2/2"/>
        <s v="EN#2156464, INV#PI24-57, 24ILC028495, PO#39005, OBL2/8, empty return 2/21&#10;- WAN HAI A05, (TD20), WAN HAI&#10;- Moored 2/17, discharged 2/17, LFD 2/23"/>
        <s v="EN#2156367, INV#PI23-61, 23ILC028455, PO#39000, OBL2/6&#10;- WAN HAI A05, (TD18), WAN HAI&#10;- moored 2/17&#10;- c#3804 - discharged 2/20, LFD 2/29, prepull 2/27 (late), deliver 2/28, empty return 2/28&#10;- c#1660 - discharged 2/18, LFD 2/27, empty return 2/26"/>
        <s v="EN#2155795, INV#PI23-59, 23ILC028456, PO#38997, OBL1/15&#10;- EVER FORTUNE, (TD14), COSCO&#10;- have additional $150 per container Maher Surcharge&#10;- Moored 2/14&#10;- c#0128 - discharged 2/14, LFD 2/21, empty return 2/16&#10;- c#2544 - discharged 2/14, LFD 2/20, empty re"/>
        <s v="EN#2155645, INV#PI23-12-NJ, PI23-78, PI23-88, 23ILC028459, PO#38874, OBL1/9, empty return 2/23&#10;- ONE FALCON, (TD9), ONE&#10;- have additional $150 Port Liberty Bayonne Surcharge&#10;- At anchor 2/12, estimated berthing 2/13&#10;- Moored 2/13, discharged 2/15, LFD 2/2"/>
        <s v="EN#2155536, INV#PI23-86, T/R, PO#38879, empty return 2/16&#10;- WAN HAI A09, (TD6), WAN HAI&#10;- have additional $150 APM Surcharge&#10;- Moored 2/8, discharged 2/9, LFD 2/15"/>
        <s v="EN#2156176, INV#PI23-61, 23ILC028455, PO#38998, OBL1/24, empty return 2/7&#10;- YM UPWARD, (TD15), HMM&#10;- Pending review by FDA compliance staff 2/1&#10;- Moored 2/3, discharged 2/4, LFD?&#10;- prepull 2/6&#10;- FDA detained 2/9, respond by 3/1&#10;- K80-2156176-7&#10;- Response "/>
        <s v="EN#5134354, INV#PI23-12-LA, 23ILC028458, PO#38873, OBL1/9, empty return 2/1&#10;- ONE HOUSTON, (TD7), ONE&#10;- Moored 1/26, discharged 1/28, LFD 2/1&#10;- prepull 1/31, delivered 2/1"/>
        <s v="EN#2155647, INV#PI23-96, 23ILC028453, PO#38929, OBL1/18&#10;- HYUNDAI FORCE, (TD10), ONE&#10;- moored 1/22&#10;- c#8180 - discharged 1/24, LFD 1/29, prepull 1/25, empty return 1/27&#10;- c#7050 - discharged 1/24, LFD 1/27, empty return 1/25"/>
        <s v="EN#2155663, INV#PI23-12-SF, 23ILC028454, PO#38875, OBL1/9, no GATEFEE (LCL), empty return 1/26&#10;- ONE OLYMPUS, (TD8), HMM&#10;- Moored @ LA 1/22, discharged 1/22, picked up 1/24, pending transfer to OAK&#10;- delivered 2/1 without appointment"/>
        <s v="EN#5134584, INV#PI23-56, 23ILC028452, PO#38878, OBL1/9, GATEFEE1/22, empty return 1/24&#10;- YM UNANIMITY, (TD13), HMM&#10;- Moored 1/21, discharged 1/21, LFD 1/25&#10;- split return chassis charge fee applies"/>
        <s v="EN#5134583, INV#PI23-94, 23ILC028460, PO#38877, OBL1/9, GATEFEE1/12, empty return 1/31&#10;- COSCO CAMELLIA, (TD12), COSCO&#10;- Moored 1/20, discharged 1/21, LFD 1/25&#10;- ready for pickup 1/25, LFD 1/30"/>
        <s v="EN#2154856, INV#PI23-43, 23ILC028348, PO#38907, OBL12/5, empty return 1/24 (per Etrans)&#10;- ZIM AMERICA, (TD1), ZIM&#10;- have additional $150 Maher Surcharge&#10;- Moored 1/18, discharged 1/18, LFD 1/24"/>
        <s v="EN#2155135, INV#PI23-90, 23ILC028427, PO#38825, OBL12/20,&#10;- SAVANNAH EXPRESS, (TD3), WAN HAI&#10;- have additional $150/contr APM Surcharge&#10;- Moored 1/17&#10;- c#4554 - discharged 1/17, LFD 1/23, empty return 1/25&#10;- c#9207 - discharged 1/18, LFD 1/24, empty retur"/>
        <s v="EN#5134065, INV#PI23-56, 23ILC028452, PO#38872, OBL1/3, GATEFEE1/10&#10;- YM UPSURGENCE, (TD5), HMM&#10;- Moored 1/9&#10;- c#1707 -  discharged 1/9, LFD 1/12? empty return 1/12&#10;- c#6900 - discharged 1/9, LFD 1/12? empty return 1/12&#10;- have split return chassis fee&#10;- W"/>
        <s v="EN#5133375, INV#PI23-43, 23ILC028348, PO#38753, OBL12/5&#10;- WAN HAI A08, (TC21), WAN HAI&#10;- have additional $150/contr APM Surcharge&#10;- GW advance ASL invoice OI-11010-23, though it's above $4500 (per Juliana verbal approval)&#10;- moored 1/2&#10;- c#3209 - discharge"/>
      </sharedItems>
    </cacheField>
    <cacheField name="Week" numFmtId="0">
      <sharedItems containsSemiMixedTypes="0" containsString="0" containsNumber="1" containsInteger="1">
        <n v="53.0"/>
        <n v="51.0"/>
        <n v="50.0"/>
        <n v="49.0"/>
        <n v="48.0"/>
        <n v="47.0"/>
        <n v="46.0"/>
        <n v="45.0"/>
        <n v="44.0"/>
        <n v="43.0"/>
        <n v="42.0"/>
        <n v="41.0"/>
        <n v="40.0"/>
        <n v="39.0"/>
        <n v="38.0"/>
        <n v="37.0"/>
        <n v="36.0"/>
        <n v="35.0"/>
        <n v="34.0"/>
        <n v="33.0"/>
        <n v="32.0"/>
        <n v="31.0"/>
        <n v="30.0"/>
        <n v="29.0"/>
        <n v="28.0"/>
        <n v="27.0"/>
        <n v="26.0"/>
        <n v="24.0"/>
        <n v="23.0"/>
        <n v="22.0"/>
        <n v="21.0"/>
        <n v="20.0"/>
        <n v="19.0"/>
        <n v="18.0"/>
        <n v="17.0"/>
        <n v="16.0"/>
        <n v="15.0"/>
        <n v="12.0"/>
        <n v="11.0"/>
        <n v="10.0"/>
        <n v="9.0"/>
        <n v="8.0"/>
        <n v="7.0"/>
        <n v="6.0"/>
        <n v="5.0"/>
        <n v="4.0"/>
        <n v="3.0"/>
        <n v="2.0"/>
        <n v="1.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I84" sheet="#Tiger Balm 2023"/>
  </cacheSource>
  <cacheFields>
    <cacheField name="Invoice #">
      <sharedItems containsMixedTypes="1" containsNumber="1" containsInteger="1">
        <n v="8.500000214E9"/>
        <n v="8.500000209E9"/>
        <n v="8.600002588E9"/>
        <n v="8.600002597E9"/>
        <n v="8.500000208E9"/>
        <n v="8.600002563E9"/>
        <n v="8.500000207E9"/>
        <n v="8.500000206E9"/>
        <n v="8.500000205E9"/>
        <n v="8.600002557E9"/>
        <n v="8.60000255E9"/>
        <n v="8.600002542E9"/>
        <n v="8.60000253E9"/>
        <n v="8.500000203E9"/>
        <n v="8.500000202E9"/>
        <n v="8.600002501E9"/>
        <n v="8.600002492E9"/>
        <n v="8.500000199E9"/>
        <n v="8.5000002E9"/>
        <n v="8.600002515E9"/>
        <n v="8.500000196E9"/>
        <n v="8.600002489E9"/>
        <n v="8.600002488E9"/>
        <n v="8.500000198E9"/>
        <n v="8.500000197E9"/>
        <n v="8.600002476E9"/>
        <n v="8.500000194E9"/>
        <n v="8.600002484E9"/>
        <n v="8.600002457E9"/>
        <n v="8.500000193E9"/>
        <n v="8.600002486E9"/>
        <n v="8.500000188E9"/>
        <n v="8.50000019E9"/>
        <n v="8.500000192E9"/>
        <n v="8.500000185E9"/>
        <n v="8.600002453E9"/>
        <n v="8.600002439E9"/>
        <n v="8.500000186E9"/>
        <n v="8.500000182E9"/>
        <n v="8.600002406E9"/>
        <n v="8.500000191E9"/>
        <n v="8.500000183E9"/>
        <n v="8.500000179E9"/>
        <n v="8.500000178E9"/>
        <n v="8.500000177E9"/>
        <n v="8.600002397E9"/>
        <n v="8.600002362E9"/>
        <n v="8.600002398E9"/>
        <n v="8.500000173E9"/>
        <n v="8.500000176E9"/>
        <n v="8.500000174E9"/>
        <n v="8.600002345E9"/>
        <n v="8.600002352E9"/>
        <n v="8.600002353E9"/>
        <n v="8.500000171E9"/>
        <n v="8.500000168E9"/>
        <n v="8.600002298E9"/>
        <s v="37601 replacement shipment"/>
        <n v="8.500000167E9"/>
        <n v="8.600002303E9"/>
        <n v="8.600002265E9"/>
        <n v="8.600002288E9"/>
        <s v="37600 replacement shipment"/>
        <n v="8.500000165E9"/>
        <n v="8.600002262E9"/>
        <n v="8.600002263E9"/>
        <n v="8.600002256E9"/>
        <n v="8.600002209E9"/>
        <n v="8.600002212E9"/>
        <n v="8.600002207E9"/>
        <n v="8.600002211E9"/>
        <n v="8.500000162E9"/>
        <n v="8.500000161E9"/>
        <n v="8.600002213E9"/>
        <n v="8.600002208E9"/>
        <n v="8.600002177E9"/>
        <n v="8.600002166E9"/>
        <n v="8.600002162E9"/>
        <n v="8.600002164E9"/>
        <n v="8.500000158E9"/>
        <n v="8.600002163E9"/>
      </sharedItems>
    </cacheField>
    <cacheField name="Discharge Port" numFmtId="0">
      <sharedItems>
        <s v="LA"/>
        <s v="NJ"/>
        <s v="OAK"/>
        <s v="SFO"/>
      </sharedItems>
    </cacheField>
    <cacheField name="# of Ctns" numFmtId="0">
      <sharedItems>
        <s v="75PLTS"/>
        <s v="33PLTS"/>
        <s v="18PLTS"/>
        <s v="31PLTS"/>
        <s v="39PLTS"/>
        <s v="55PLTS"/>
        <s v="40PLTS"/>
        <s v="63PLTS"/>
        <s v="9PLTS"/>
        <s v="28PLTS"/>
        <s v="49PLTS"/>
        <s v="12PLTS"/>
        <s v="48PLTS"/>
        <s v="35PLTS"/>
        <s v="64PLTS"/>
        <s v="19PLTS"/>
        <s v="9 PLTS"/>
        <s v="72PLTS"/>
        <s v="78PLTS"/>
        <s v="27PLTS"/>
        <s v="70PLTS"/>
        <s v="23PLTS"/>
        <s v="57PLTS"/>
        <s v="24PLTS"/>
        <s v="58PLTS"/>
        <s v="41PLTS"/>
        <s v="6PLTS"/>
        <s v="50PLTS"/>
        <s v="61PLTS"/>
        <s v="2PLTS"/>
        <s v="14PLTS"/>
        <s v="8PLTS"/>
        <s v="16PLTS"/>
        <s v="9PLTS&#10;(LCL)"/>
        <s v="22PLTS"/>
        <s v="20 PLTS"/>
        <s v="4PLTS"/>
        <s v="29PLTS"/>
        <s v="44PLTS"/>
        <s v="3PLTS&#10;(LCL)"/>
        <s v="15PLTS"/>
        <s v="26PLTS"/>
        <s v="20PLTS"/>
        <s v="25PLTS"/>
        <s v="149PLTS"/>
        <s v="6PLTS&#10;(LCL)"/>
        <s v="37PLTS"/>
        <s v="68PLTS"/>
        <s v="143PLTS"/>
      </sharedItems>
    </cacheField>
    <cacheField name="Container #" numFmtId="0">
      <sharedItems>
        <s v="CSNU7152392&#10;CSNU8047792"/>
        <s v="WHSU5849492"/>
        <s v="NYKU4891823"/>
        <s v="TEMU8848288"/>
        <s v="GCXU5353385"/>
        <s v="WHSU5030940&#10;WHSU5182964&#10;WHSU2153073"/>
        <s v="WHSU6909410"/>
        <s v="WHSU4018302"/>
        <s v="TGHU6126950&#10;WHLU5638160"/>
        <s v="TRHU2174757"/>
        <s v="TEMU7866570"/>
        <s v="FCIU5652296"/>
        <s v="GAOU6639010&#10;GCXU2234818&#10;TEMU8868556"/>
        <s v="WHLU4268754"/>
        <s v="WHSU2381181&#10;WHSU5520064"/>
        <s v="GCXU5259384&#10;TRHU1929020"/>
        <s v="BEAU4627130&#10;KKFU7939982&#10;NYKU4193571"/>
        <s v="WHLU4252130"/>
        <s v="KOCU4600890&#10;KOCU4700420"/>
        <s v="TCLU6889402&#10;TCNU5504334"/>
        <s v="TLLU5453048"/>
        <s v="OOLU7933601"/>
        <s v="KKTU8035747"/>
        <s v="NYKU9878249"/>
        <s v="DFSU2488475&#10;KOCU4638073"/>
        <s v="KOCU5053735&#10;KOCU5136362"/>
        <s v="MSMU5953510&#10;TLLU8731918&#10;TXGU6987029"/>
        <s v="WHSU6482502"/>
        <s v="KKTU8185080&#10;TCLU7821388"/>
        <s v="TGBU9690366&#10;TRHU4114628&#10;TRHU5317234"/>
        <s v="WHSU6410293"/>
        <s v="TGHU9056435"/>
        <s v="OOCU7891990&#10;CSNU4079765"/>
        <s v="WHSU4025153"/>
        <s v="HLBU3430709&#10;GCXU5927863"/>
        <s v="BMOU6440842&#10;APHU6819682"/>
        <s v="WHSU5885709&#10;WHLU5709896&#10;WHLU0318369"/>
        <s v="WHSU0038912"/>
        <s v="OOCU4899873"/>
        <s v="CSNU7524946&#10;RFCU2078404"/>
        <s v="ONEU0138790&#10;NYKU4736323&#10;TGBU3182265"/>
        <s v="AIR"/>
        <s v="CXDU2274249"/>
        <s v="CMAU6758883&#10;TCNU2940530"/>
        <s v="KOCU4301919&#10;HDMU2680911"/>
        <s v="OOLU4344059"/>
        <s v="WHSU2095439&#10;WHSU5635989"/>
        <s v="TLLU5601649&#10;NYKU4756504&#10;TCLU6447611"/>
        <s v="TEMU0760056"/>
        <s v="HLBU1783380"/>
        <s v="OOCU7844473&#10;SEGU1550058"/>
        <s v="KOCU5126169"/>
        <s v="HDMU5520060"/>
        <s v="WHSU6449783"/>
        <s v="WHSU6078147"/>
        <s v="TGBU6349660"/>
        <s v="CMAU7875190"/>
        <s v="WHSU2267970&#10;WHLU5752995&#10;WHLU5662398"/>
        <s v="CMAU9497382"/>
        <s v="MSDU1765165"/>
        <s v="NYKU3924223&#10;TRHU4414184"/>
        <s v="NYKU4415200&#10;NYKU4830324"/>
        <s v="ONEU0286879"/>
        <s v="CMAU7144806"/>
        <s v="MAGU5726433"/>
        <s v="TRHU4267571"/>
        <s v="MORU1142820"/>
        <s v="WHSU5192860&#10;WHLU0406963"/>
        <s v="MSDU2066100"/>
        <s v="TCNU4915109"/>
        <s v="OOLU0509084"/>
        <s v="WHSU2317177&#10;WHSU5447359"/>
        <s v="APZU4354803"/>
        <s v="UACU8300064"/>
        <s v="ONEU1116141"/>
        <s v="NYKU5250995&#10;GCXU5280334&#10;TCNU4901091&#10;ONEU0159529"/>
        <s v="BMOU4719334"/>
        <s v="TTNU4196857"/>
        <s v="WHSU5790429&#10;WHLU5834727&#10;WHSU5193676"/>
        <s v="ONEU0055313&#10;TRHU5585345&#10;TRHU8342143&#10;NYKU4192955"/>
        <s v="DFSU4219599"/>
        <s v="TRHU4498879"/>
      </sharedItems>
    </cacheField>
    <cacheField name="Product Description" numFmtId="0">
      <sharedItems>
        <s v="SMALL PATCH"/>
        <s v="OINTMENT 10G, 18G, RED 18G"/>
        <s v="RED 18G, OINTMENT 18G, 50G, WHITE 18G"/>
        <s v="LARGE PATCH"/>
        <s v="OINTMENT 10G, 18G"/>
        <s v="RUB 60G"/>
        <s v="RED 18G, OINTMENT 18G, 50G"/>
        <s v="OINTMENT 10G, 18G, 50G"/>
        <s v="OINTMENT 10G, 18G, 50G, RED 18G, WHITE 18G"/>
        <s v="OINTMENT 10G, 18G, 50G, RED 18G"/>
        <s v="RED 18G, WHITE 18G, OINTMENT 50G"/>
        <s v="RUB 113ML"/>
        <s v="RED 18G, OINTMENT 18G, WHITE 18G"/>
        <s v="OINTMENT 18G"/>
        <s v="OINTMENT 50G, 10G, 18G, RED 18G, WHITE 18G, 4G"/>
        <s v=" RUB 50G"/>
        <s v="RED 18G, OINTMENT 18G, WHITE 18G, 4G"/>
        <s v="OINTMENT 10G, 18G, 50G, RED 18G, 4G, WHITE 18G, 4G"/>
        <s v="RED 18G, 4G"/>
        <s v="OINTMENT 10G, 18G, RED 18G, 4G, WHITE 18G"/>
        <s v="RED 4G, 18G, OINTMENT 18G, 50G, WHITE 4G"/>
        <s v="PATCH 4'S"/>
        <s v="MUSCLE SPRAY 75ML"/>
        <s v="OINTMENT 10G, 18G, RED 18G, 4G, WHITE 18G, 4G"/>
        <s v="RED 18G, OINTMENT 18G, 50G, WHITE 18G, RED 4G, WHITE 4G"/>
        <s v="PATCH"/>
        <s v="RED 18G, OINTMENT 18G, RED 4G, WHITE 4G"/>
        <s v="RED 4G, WHITE 4G"/>
        <s v="OINTMENT 10G, 18G, WHITE 4G"/>
        <s v="PATCH, PATCH 1'S"/>
        <s v="OINTMENT 10G, 18G, 50G, WHITE 4G"/>
        <s v="MUSCLE RUB 60G"/>
        <s v="RED 18G, OINTMENT 18G, WHITE 18G, RED 4G"/>
        <s v="OINTMENT 10G, 18G, 50G, RED 4G, 18G,"/>
        <s v="MUSCLE GEL 60G"/>
        <s v="LINIMENT 57ML, PATCH 1'S"/>
        <s v="OINTMENT 10G, 18G, RED 18G, WHITE 18G, RED 4G, WHITE 4G"/>
        <s v="LINIMENT 57ML, PATCH"/>
      </sharedItems>
    </cacheField>
    <cacheField name="Month" numFmtId="0">
      <sharedItems>
        <s v="Complete"/>
      </sharedItems>
    </cacheField>
    <cacheField name="Date" numFmtId="14">
      <sharedItems containsSemiMixedTypes="0" containsDate="1" containsString="0">
        <d v="2023-12-22T00:00:00Z"/>
        <d v="2023-12-21T00:00:00Z"/>
        <d v="2023-12-19T00:00:00Z"/>
        <d v="2023-12-14T00:00:00Z"/>
        <d v="2023-12-07T00:00:00Z"/>
        <d v="2023-11-30T00:00:00Z"/>
        <d v="2023-11-23T00:00:00Z"/>
        <d v="2023-11-22T00:00:00Z"/>
        <d v="2023-11-21T00:00:00Z"/>
        <d v="2023-11-18T00:00:00Z"/>
        <d v="2023-11-16T00:00:00Z"/>
        <d v="2023-10-30T00:00:00Z"/>
        <d v="2023-10-26T00:00:00Z"/>
        <d v="2023-10-25T00:00:00Z"/>
        <d v="2023-10-22T00:00:00Z"/>
        <d v="2023-10-17T00:00:00Z"/>
        <d v="2023-10-14T00:00:00Z"/>
        <d v="2023-10-10T00:00:00Z"/>
        <d v="2023-10-09T00:00:00Z"/>
        <d v="2023-10-08T00:00:00Z"/>
        <d v="2023-10-04T00:00:00Z"/>
        <d v="2023-09-22T00:00:00Z"/>
        <d v="2023-09-20T00:00:00Z"/>
        <d v="2023-09-19T00:00:00Z"/>
        <d v="2023-09-17T00:00:00Z"/>
        <d v="2023-09-12T00:00:00Z"/>
        <d v="2023-09-09T00:00:00Z"/>
        <d v="2023-09-03T00:00:00Z"/>
        <d v="2023-08-31T00:00:00Z"/>
        <d v="2023-08-30T00:00:00Z"/>
        <d v="2023-08-27T00:00:00Z"/>
        <d v="2023-08-19T00:00:00Z"/>
        <d v="2023-08-17T00:00:00Z"/>
        <d v="2023-08-13T00:00:00Z"/>
        <d v="2023-08-09T00:00:00Z"/>
        <d v="2023-08-02T00:00:00Z"/>
        <d v="2023-07-30T00:00:00Z"/>
        <d v="2023-07-26T00:00:00Z"/>
        <d v="2023-07-16T00:00:00Z"/>
        <d v="2023-07-14T00:00:00Z"/>
        <d v="2023-07-08T00:00:00Z"/>
        <d v="2023-07-06T00:00:00Z"/>
        <d v="2023-07-01T00:00:00Z"/>
        <d v="2023-06-16T00:00:00Z"/>
        <d v="2023-06-09T00:00:00Z"/>
        <d v="2023-06-06T00:00:00Z"/>
        <d v="2023-05-30T00:00:00Z"/>
        <d v="2023-05-23T00:00:00Z"/>
        <d v="2023-05-04T00:00:00Z"/>
        <d v="2023-04-28T00:00:00Z"/>
        <d v="2023-04-26T00:00:00Z"/>
        <d v="2023-04-25T00:00:00Z"/>
        <d v="2023-04-23T00:00:00Z"/>
        <d v="2023-04-13T00:00:00Z"/>
        <d v="2023-04-04T00:00:00Z"/>
        <d v="2023-03-31T00:00:00Z"/>
        <d v="2023-03-28T00:00:00Z"/>
        <d v="2023-03-17T00:00:00Z"/>
        <d v="2023-03-11T00:00:00Z"/>
        <d v="2023-02-28T00:00:00Z"/>
        <d v="2023-02-22T00:00:00Z"/>
        <d v="2023-02-21T00:00:00Z"/>
        <d v="2023-02-20T00:00:00Z"/>
        <d v="2023-02-19T00:00:00Z"/>
        <d v="2023-02-17T00:00:00Z"/>
        <d v="2023-02-12T00:00:00Z"/>
        <d v="2023-01-24T00:00:00Z"/>
        <d v="2023-01-14T00:00:00Z"/>
        <d v="2023-01-07T00:00:00Z"/>
      </sharedItems>
    </cacheField>
    <cacheField name="date2">
      <sharedItems containsDate="1" containsMixedTypes="1">
        <d v="2023-12-18T00:00:00Z"/>
        <d v="2023-12-12T00:00:00Z"/>
        <d v="2023-12-14T00:00:00Z"/>
        <d v="2023-12-04T00:00:00Z"/>
        <d v="2023-11-30T00:00:00Z"/>
        <d v="2023-11-20T00:00:00Z"/>
        <d v="2023-11-15T00:00:00Z"/>
        <d v="2023-11-14T00:00:00Z"/>
        <d v="2023-10-24T00:00:00Z"/>
        <d v="2023-10-20T00:00:00Z"/>
        <d v="2023-10-17T00:00:00Z"/>
        <d v="2023-10-12T00:00:00Z"/>
        <d v="2023-10-10T00:00:00Z"/>
        <d v="2023-10-03T00:00:00Z"/>
        <d v="2023-10-02T00:00:00Z"/>
        <d v="2023-09-29T00:00:00Z"/>
        <d v="2023-09-19T00:00:00Z"/>
        <d v="2023-09-14T00:00:00Z"/>
        <d v="2023-09-12T00:00:00Z"/>
        <d v="2023-09-07T00:00:00Z"/>
        <d v="2023-09-06T00:00:00Z"/>
        <d v="2023-08-28T00:00:00Z"/>
        <d v="2023-08-15T00:00:00Z"/>
        <d v="2023-08-21T00:00:00Z"/>
        <d v="2023-08-14T00:00:00Z"/>
        <d v="2023-08-07T00:00:00Z"/>
        <d v="2023-08-04T00:00:00Z"/>
        <d v="2023-08-02T00:00:00Z"/>
        <d v="2023-07-31T00:00:00Z"/>
        <d v="2023-07-27T00:00:00Z"/>
        <d v="2023-07-24T00:00:00Z"/>
        <d v="2023-07-16T00:00:00Z"/>
        <d v="2023-07-11T00:00:00Z"/>
        <d v="2023-06-26T00:00:00Z"/>
        <d v="2023-07-03T00:00:00Z"/>
        <d v="2023-06-15T00:00:00Z"/>
        <d v="2023-06-06T00:00:00Z"/>
        <d v="2023-06-20T00:00:00Z"/>
        <d v="2023-05-25T00:00:00Z"/>
        <d v="2023-05-19T00:00:00Z"/>
        <d v="2023-05-22T00:00:00Z"/>
        <d v="2023-05-02T00:00:00Z"/>
        <d v="2023-04-24T00:00:00Z"/>
        <d v="2023-04-19T00:00:00Z"/>
        <d v="2023-04-17T00:00:00Z"/>
        <d v="2023-04-10T00:00:00Z"/>
        <d v="2023-03-31T00:00:00Z"/>
        <d v="2023-03-30T00:00:00Z"/>
        <d v="2023-03-27T00:00:00Z"/>
        <d v="2023-03-26T00:00:00Z"/>
        <d v="2023-03-15T00:00:00Z"/>
        <s v="REFUSED&#10;3/29/2023"/>
        <d v="2023-02-24T00:00:00Z"/>
        <d v="2023-02-23T00:00:00Z"/>
        <d v="2023-02-22T00:00:00Z"/>
        <d v="2023-02-10T00:00:00Z"/>
        <d v="2023-02-08T00:00:00Z"/>
        <d v="2023-02-13T00:00:00Z"/>
        <d v="2023-02-14T00:00:00Z"/>
        <d v="2023-01-19T00:00:00Z"/>
        <d v="2023-01-09T00:00:00Z"/>
        <d v="2023-01-03T00:00:00Z"/>
        <d v="2023-01-04T00:00:00Z"/>
      </sharedItems>
    </cacheField>
    <cacheField name="Date (Arrived WH)">
      <sharedItems containsDate="1" containsMixedTypes="1">
        <s v="12/28/2023&#10;12/27/2023"/>
        <d v="2023-12-27T00:00:00Z"/>
        <d v="2023-12-26T00:00:00Z"/>
        <d v="2023-12-22T00:00:00Z"/>
        <d v="2023-12-20T00:00:00Z"/>
        <s v="12/18/2023&#10;12/20/2023&#10;12/18/2023"/>
        <d v="2023-12-13T00:00:00Z"/>
        <s v="12/6/2023&#10;12/6/2023"/>
        <d v="2023-11-30T00:00:00Z"/>
        <d v="2023-11-29T00:00:00Z"/>
        <d v="2023-11-28T00:00:00Z"/>
        <s v="&#10;11/24/2023&#10;11/22/2023&#10;11/24/2023"/>
        <d v="2023-11-20T00:00:00Z"/>
        <s v="11/21/2023&#10;11/20/2023"/>
        <s v="11/6/2023&#10;11/6/2023"/>
        <s v="10/31/202&#10;10/31/2023&#10;11/1/2023"/>
        <d v="2023-10-30T00:00:00Z"/>
        <s v="10/25/2023&#10;10/26/2026"/>
        <s v="10/20/2023&#10;10/20/2023"/>
        <d v="2023-10-19T00:00:00Z"/>
        <d v="2023-10-18T00:00:00Z"/>
        <d v="2023-10-17T00:00:00Z"/>
        <d v="2023-10-13T00:00:00Z"/>
        <s v="10/13/2023&#10;10/12/2023"/>
        <s v="10/10/2023&#10;10/10/2023"/>
        <s v="9/29/2023&#10;9/28/2023&#10;9/29/2023"/>
        <d v="2023-09-28T00:00:00Z"/>
        <s v="9/26/2023&#10;9/26/2023"/>
        <s v="9/25/2023&#10;9/25/2023&#10;9/26/2023"/>
        <d v="2023-09-21T00:00:00Z"/>
        <d v="2023-09-22T00:00:00Z"/>
        <s v="9/13/2023&#10;9/13/2023"/>
        <d v="2023-09-13T00:00:00Z"/>
        <s v="9/7/2023&#10;9/7/2023"/>
        <s v="9/5/2023&#10;9/5/2023"/>
        <s v="9/6/2023&#10;9/6/2023&#10;8/30/2023"/>
        <d v="2023-08-25T00:00:00Z"/>
        <d v="2023-08-22T00:00:00Z"/>
        <s v="8/18/2023&#10;8/16/2023"/>
        <s v="8/11/2023&#10;8/14/2023&#10;8/14/2023"/>
        <d v="2023-08-03T00:00:00Z"/>
        <d v="2023-08-09T00:00:00Z"/>
        <s v="8/2/2023&#10;8/2/2023"/>
        <s v="8/1/2023&#10;8/1/2023"/>
        <d v="2023-07-21T00:00:00Z"/>
        <s v="7/24/2023&#10;7/27/2023"/>
        <s v="7/13/2023&#10;7/13/2023&#10;7/12/2023"/>
        <d v="2023-07-11T00:00:00Z"/>
        <d v="2023-07-06T00:00:00Z"/>
        <s v="6/22/2023&#10;6/22/2023"/>
        <d v="2023-06-16T00:00:00Z"/>
        <s v="6/16/2023&#10;Discharged LA, delivered OAK"/>
        <d v="2023-06-09T00:00:00Z"/>
        <d v="2023-06-05T00:00:00Z"/>
        <d v="2023-05-30T00:00:00Z"/>
        <d v="2023-05-10T00:00:00Z"/>
        <s v="5/1/2023&#10;5/1/2023&#10;5/2/2023"/>
        <d v="2023-04-28T00:00:00Z"/>
        <d v="2023-04-27T00:00:00Z"/>
        <s v="5/2/2023&#10;4/28/2023"/>
        <s v="4/17/2023&#10;4/18/2023"/>
        <d v="2023-04-19T00:00:00Z"/>
        <d v="2023-04-10T00:00:00Z"/>
        <d v="2023-04-06T00:00:00Z"/>
        <d v="2023-04-11T00:00:00Z"/>
        <s v="3/21/2023&#10;3/23/2023"/>
        <d v="2023-03-15T00:00:00Z"/>
        <d v="2023-03-07T00:00:00Z"/>
        <d v="2023-03-06T00:00:00Z"/>
        <s v="3/1/2023&#10;3/1/2023&#10;"/>
        <s v="2/27/2023&#10;Replacement shipment EN#5125591"/>
        <s v="2/27/2023&#10;Replacement shipment EN#5125073"/>
        <d v="2023-03-01T00:00:00Z"/>
        <s v="2/27/2023&#10;2/23/2023&#10;2/24/2023&#10;2/24/2023"/>
        <d v="2023-02-17T00:00:00Z"/>
        <d v="2023-01-27T00:00:00Z"/>
        <s v="1/19/2023&#10;1/18/2023&#10;1/18/2023"/>
        <s v="1/20/2023&#10;1/20/2023&#10;1/19/2023&#10;1/19/2023"/>
        <d v="2023-01-13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Summary_TB 2022" cacheId="0" dataCaption="" compact="0" compactData="0">
  <location ref="A1:D10" firstHeaderRow="0" firstDataRow="1" firstDataCol="1"/>
  <pivotFields>
    <pivotField name="Invoic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name="Discharge Port" axis="axisRow" compact="0" outline="0" multipleItemSelectionAllowed="1" showAll="0" sortType="ascending">
      <items>
        <item x="4"/>
        <item x="0"/>
        <item x="3"/>
        <item x="6"/>
        <item x="2"/>
        <item x="1"/>
        <item x="5"/>
        <item t="default"/>
      </items>
    </pivotField>
    <pivotField name="# of Ct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Containe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name="Produc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Month" axis="axisCol" compact="0" outline="0" multipleItemSelectionAllowed="1" showAll="0" sortType="ascending">
      <items>
        <item x="0"/>
        <item x="1"/>
        <item t="default"/>
      </items>
    </pivotField>
    <pivotField name="Date" dataField="1"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dat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date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QC Received (Y/N)" compact="0" outline="0" multipleItemSelectionAllowed="1" showAll="0">
      <items>
        <item x="0"/>
        <item x="1"/>
        <item t="default"/>
      </items>
    </pivotField>
    <pivotField name="QC Checked (Initial)" compact="0" outline="0" multipleItemSelectionAllowed="1" showAll="0">
      <items>
        <item x="0"/>
        <item x="1"/>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s>
  <rowFields>
    <field x="1"/>
  </rowFields>
  <colFields>
    <field x="5"/>
  </colFields>
  <dataFields>
    <dataField name="COUNTA of Date" fld="6" subtotal="count" baseField="0"/>
  </dataFields>
</pivotTableDefinition>
</file>

<file path=xl/pivotTables/pivotTable2.xml><?xml version="1.0" encoding="utf-8"?>
<pivotTableDefinition xmlns="http://schemas.openxmlformats.org/spreadsheetml/2006/main" name="Container Count" cacheId="1" dataCaption="" compact="0" compactData="0">
  <location ref="B4:BK10" firstHeaderRow="0" firstDataRow="1" firstDataCol="2" rowPageCount="1" colPageCount="1"/>
  <pivotFields>
    <pivotField name="P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t="default"/>
      </items>
    </pivotField>
    <pivotField name="DEST &#10;Port" compact="0" outline="0" multipleItemSelectionAllowed="1" showAll="0">
      <items>
        <item x="0"/>
        <item x="1"/>
        <item x="2"/>
        <item x="3"/>
        <item x="4"/>
        <item t="default"/>
      </items>
    </pivotField>
    <pivotField name="# of &#10;Ct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Containe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t="default"/>
      </items>
    </pivotField>
    <pivotField name="Product Description" axis="axisPage" compact="0" outline="0" multipleItemSelectionAllowed="1" showAll="0">
      <items>
        <item h="1" x="0"/>
        <item x="1"/>
        <item x="2"/>
        <item h="1" x="3"/>
        <item h="1" x="4"/>
        <item x="5"/>
        <item h="1" x="6"/>
        <item h="1" x="7"/>
        <item h="1" x="8"/>
        <item h="1" x="9"/>
        <item h="1" x="10"/>
        <item h="1" x="11"/>
        <item x="12"/>
        <item h="1" x="13"/>
        <item h="1" x="14"/>
        <item h="1" x="15"/>
        <item h="1" x="16"/>
        <item x="17"/>
        <item h="1" x="18"/>
        <item h="1" x="19"/>
        <item x="20"/>
        <item h="1" x="21"/>
        <item h="1" x="22"/>
        <item h="1" x="23"/>
        <item h="1" x="24"/>
        <item h="1" x="25"/>
        <item h="1" x="26"/>
        <item x="27"/>
        <item h="1" x="28"/>
        <item h="1" x="29"/>
        <item x="30"/>
        <item x="31"/>
        <item h="1" x="32"/>
        <item h="1" x="33"/>
        <item x="34"/>
        <item x="35"/>
        <item x="36"/>
        <item h="1" x="37"/>
        <item h="1" x="38"/>
        <item h="1" x="39"/>
        <item h="1" x="40"/>
        <item h="1" x="41"/>
        <item x="42"/>
        <item x="43"/>
        <item h="1" x="44"/>
        <item h="1" x="45"/>
        <item h="1" x="46"/>
        <item h="1" x="47"/>
        <item h="1" x="48"/>
        <item h="1" x="49"/>
        <item x="50"/>
        <item h="1" x="51"/>
        <item h="1" x="52"/>
        <item h="1" x="53"/>
        <item h="1" x="54"/>
        <item x="55"/>
        <item h="1" x="56"/>
        <item h="1" x="57"/>
        <item h="1" x="58"/>
        <item h="1" x="59"/>
        <item h="1" x="60"/>
        <item x="61"/>
        <item h="1" x="62"/>
        <item x="63"/>
        <item h="1" x="64"/>
        <item h="1" x="65"/>
        <item h="1" x="66"/>
        <item h="1" x="67"/>
        <item h="1" x="68"/>
        <item x="69"/>
        <item h="1" x="70"/>
        <item x="71"/>
        <item h="1" x="72"/>
        <item h="1" x="73"/>
        <item h="1" x="74"/>
        <item h="1" x="75"/>
        <item h="1" x="76"/>
        <item h="1" x="77"/>
        <item h="1" x="78"/>
        <item x="79"/>
        <item x="80"/>
        <item h="1" x="81"/>
        <item h="1" x="82"/>
        <item h="1" x="83"/>
        <item h="1" x="84"/>
        <item h="1" x="85"/>
        <item x="86"/>
        <item h="1" x="87"/>
        <item x="88"/>
        <item h="1" x="89"/>
        <item x="90"/>
        <item h="1" x="91"/>
        <item x="92"/>
        <item x="93"/>
        <item h="1" x="94"/>
        <item x="95"/>
        <item h="1" x="96"/>
        <item x="97"/>
        <item x="98"/>
        <item x="99"/>
        <item h="1" x="100"/>
        <item h="1" x="101"/>
        <item x="102"/>
        <item x="103"/>
        <item h="1" x="104"/>
        <item x="105"/>
        <item x="106"/>
        <item x="107"/>
        <item h="1" x="108"/>
        <item x="109"/>
        <item h="1" x="110"/>
        <item x="111"/>
        <item x="112"/>
        <item h="1" x="113"/>
        <item x="114"/>
        <item h="1" x="115"/>
        <item x="116"/>
        <item x="117"/>
        <item x="118"/>
        <item x="119"/>
        <item x="120"/>
        <item x="121"/>
        <item x="122"/>
        <item x="123"/>
        <item x="124"/>
        <item x="125"/>
        <item x="126"/>
        <item x="127"/>
        <item x="128"/>
        <item x="129"/>
        <item x="130"/>
        <item h="1" x="131"/>
        <item h="1" x="132"/>
        <item x="133"/>
        <item x="134"/>
        <item h="1" x="135"/>
        <item x="136"/>
        <item x="137"/>
        <item x="138"/>
        <item x="139"/>
        <item h="1" x="140"/>
        <item x="141"/>
        <item x="142"/>
        <item x="143"/>
        <item h="1" x="144"/>
        <item x="145"/>
        <item x="146"/>
        <item x="147"/>
        <item x="148"/>
        <item x="149"/>
        <item x="150"/>
        <item x="151"/>
        <item h="1" x="152"/>
        <item x="153"/>
        <item x="154"/>
        <item h="1" x="155"/>
        <item x="156"/>
        <item x="157"/>
        <item x="158"/>
        <item x="159"/>
        <item x="160"/>
        <item x="161"/>
        <item x="162"/>
        <item x="163"/>
        <item x="164"/>
        <item x="165"/>
        <item x="166"/>
        <item x="167"/>
        <item x="168"/>
        <item x="169"/>
        <item x="170"/>
        <item x="171"/>
        <item x="172"/>
        <item x="173"/>
        <item x="174"/>
        <item x="175"/>
        <item x="176"/>
        <item x="177"/>
        <item x="178"/>
        <item h="1" x="179"/>
        <item x="180"/>
        <item h="1" x="181"/>
        <item x="182"/>
        <item x="183"/>
        <item x="184"/>
        <item x="185"/>
        <item x="186"/>
        <item h="1" x="187"/>
        <item x="188"/>
        <item x="189"/>
        <item x="190"/>
        <item x="191"/>
        <item h="1" x="192"/>
        <item x="193"/>
        <item h="1" x="194"/>
        <item x="195"/>
        <item x="196"/>
        <item x="197"/>
        <item x="198"/>
        <item x="199"/>
        <item x="200"/>
        <item h="1" x="201"/>
        <item x="202"/>
        <item x="203"/>
        <item x="204"/>
        <item x="205"/>
        <item x="206"/>
        <item x="207"/>
        <item t="default"/>
      </items>
    </pivotField>
    <pivotField name=" ETA Port Date" axis="axisCol" dataField="1" compact="0" numFmtId="14" outline="0" multipleItemSelectionAllowed="1" showAll="0" sortType="ascending" defaultSubtotal="0">
      <items>
        <item x="0"/>
        <item x="1"/>
        <item x="2"/>
        <item x="3"/>
        <item x="4"/>
        <item x="5"/>
        <item x="6"/>
        <item x="7"/>
        <item x="8"/>
        <item x="9"/>
        <item x="10"/>
        <item x="11"/>
        <item x="12"/>
        <item x="13"/>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ame="dat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Arriv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t="default"/>
      </items>
    </pivotField>
    <pivotField name="Delivery Schedu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QC Received (Y/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QC Checked (Initial)" compact="0" outline="0" multipleItemSelectionAllowed="1" showAll="0">
      <items>
        <item x="0"/>
        <item x="1"/>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t="default"/>
      </items>
    </pivotField>
    <pivotField name="Terms" compact="0" outline="0" multipleItemSelectionAllowed="1" showAll="0">
      <items>
        <item x="0"/>
        <item x="1"/>
        <item x="2"/>
        <item x="3"/>
        <item x="4"/>
        <item t="default"/>
      </items>
    </pivotField>
    <pivotField name="Port of Origin" compact="0" outline="0" multipleItemSelectionAllowed="1" showAll="0">
      <items>
        <item x="0"/>
        <item x="1"/>
        <item x="2"/>
        <item x="3"/>
        <item x="4"/>
        <item x="5"/>
        <item x="6"/>
        <item x="7"/>
        <item x="8"/>
        <item x="9"/>
        <item x="10"/>
        <item x="11"/>
        <item t="default"/>
      </items>
    </pivotField>
    <pivotField name="Total Inv Amt" compact="0" numFmtId="17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name="Week" axis="axisCol" compact="0" outline="0" multipleItemSelectionAllowed="1" showAll="0" sortType="ascending">
      <items>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ame="Vendors" compact="0" outline="0" multipleItemSelectionAllowed="1" showAll="0">
      <items>
        <item x="0"/>
        <item x="1"/>
        <item x="2"/>
        <item t="default"/>
      </items>
    </pivotField>
    <pivotField name="Categories" axis="axisRow" compact="0" outline="0" multipleItemSelectionAllowed="1" showAll="0" sortType="ascending">
      <items>
        <item x="2"/>
        <item x="0"/>
        <item x="1"/>
        <item t="default"/>
      </items>
    </pivotField>
  </pivotFields>
  <rowFields>
    <field x="18"/>
  </rowFields>
  <colFields>
    <field x="5"/>
    <field x="16"/>
  </colFields>
  <pageFields>
    <pageField fld="4"/>
  </pageFields>
  <dataFields>
    <dataField name="COUNTA of  ETA Port Date" fld="5" subtotal="count" baseField="0"/>
  </dataFields>
</pivotTableDefinition>
</file>

<file path=xl/pivotTables/pivotTable3.xml><?xml version="1.0" encoding="utf-8"?>
<pivotTableDefinition xmlns="http://schemas.openxmlformats.org/spreadsheetml/2006/main" name="Summary" cacheId="2" dataCaption="" compact="0" compactData="0">
  <location ref="A42:BL51" firstHeaderRow="0" firstDataRow="1" firstDataCol="2"/>
  <pivotFields>
    <pivotField name="Invoic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Discharge Port" axis="axisRow" compact="0" outline="0" multipleItemSelectionAllowed="1" showAll="0" sortType="ascending">
      <items>
        <item x="4"/>
        <item x="2"/>
        <item x="3"/>
        <item x="1"/>
        <item x="0"/>
        <item x="5"/>
        <item t="default"/>
      </items>
    </pivotField>
    <pivotField name="# of Ct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ontaine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Produc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TA Date" axis="axisCol" compact="0" numFmtId="14" outline="0" multipleItemSelectionAllowed="1" showAll="0" sortType="ascending">
      <items>
        <item x="0"/>
        <item x="1"/>
        <item x="2"/>
        <item x="3"/>
        <item x="4"/>
        <item x="5"/>
        <item x="6"/>
        <item x="7"/>
        <item x="8"/>
        <item x="9"/>
        <item x="10"/>
        <item x="11"/>
        <item x="12"/>
        <item x="13"/>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rrive WH Date" dataField="1"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Delivery Schedu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ame="QC Received (Y/N)"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QC Checked (Initial)" compact="0" outline="0" multipleItemSelectionAllowed="1" showAll="0">
      <items>
        <item x="0"/>
        <item x="1"/>
        <item x="2"/>
        <item x="3"/>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Week" axis="axisCol" compact="0" outline="0" multipleItemSelectionAllowed="1" showAll="0" sortType="ascending">
      <items>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field x="1"/>
  </rowFields>
  <colFields>
    <field x="5"/>
    <field x="12"/>
  </colFields>
  <dataFields>
    <dataField name="COUNTA of Arrive WH Date" fld="7" subtotal="count" baseField="0"/>
  </dataFields>
</pivotTableDefinition>
</file>

<file path=xl/pivotTables/pivotTable4.xml><?xml version="1.0" encoding="utf-8"?>
<pivotTableDefinition xmlns="http://schemas.openxmlformats.org/spreadsheetml/2006/main" name="Summary 2" cacheId="3" dataCaption="" compact="0" compactData="0">
  <location ref="A64:B69" firstHeaderRow="0" firstDataRow="1" firstDataCol="0"/>
  <pivotFields>
    <pivotField name="Invoic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Discharge Port" axis="axisRow" compact="0" outline="0" multipleItemSelectionAllowed="1" showAll="0" sortType="ascending">
      <items>
        <item x="0"/>
        <item x="1"/>
        <item x="2"/>
        <item x="3"/>
        <item t="default"/>
      </items>
    </pivotField>
    <pivotField name="# of Ct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Containe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Produc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Month" compact="0" outline="0" multipleItemSelectionAllowed="1" showAll="0">
      <items>
        <item x="0"/>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dat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Date (Arrived W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s>
  <rowFields>
    <field x="1"/>
  </rowFields>
  <dataFields>
    <dataField name="COUNTA of Date (Arrived WH)" fld="8"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availability.emodal.com/" TargetMode="External"/><Relationship Id="rId2" Type="http://schemas.openxmlformats.org/officeDocument/2006/relationships/hyperlink" Target="http://availability.emodal.com/" TargetMode="External"/><Relationship Id="rId3" Type="http://schemas.openxmlformats.org/officeDocument/2006/relationships/hyperlink" Target="http://availability.emodal.com/"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De-iKHIUYEhz3BLnbbKdt2fZjSvNO1-b/view?usp=sharing" TargetMode="External"/><Relationship Id="rId42" Type="http://schemas.openxmlformats.org/officeDocument/2006/relationships/hyperlink" Target="https://drive.google.com/file/d/1yUeDUTXfcjfzPD0Oqt9X3KSkgk8lNrPc/view?usp=sharing" TargetMode="External"/><Relationship Id="rId41" Type="http://schemas.openxmlformats.org/officeDocument/2006/relationships/hyperlink" Target="https://drive.google.com/file/d/17zuNPGSbker1JvDChjIXZdAV6NnNRYmV/view?usp=sharing" TargetMode="External"/><Relationship Id="rId44" Type="http://schemas.openxmlformats.org/officeDocument/2006/relationships/hyperlink" Target="https://drive.google.com/file/d/131KF97UqxwnVWV0Sk3kBDq54QiWy44LB/view?usp=sharing" TargetMode="External"/><Relationship Id="rId43" Type="http://schemas.openxmlformats.org/officeDocument/2006/relationships/hyperlink" Target="https://drive.google.com/file/d/1MdLfEOoxW2z8iHq_m_YbO95IKrHT-7B1/view?usp=sharing" TargetMode="External"/><Relationship Id="rId46" Type="http://schemas.openxmlformats.org/officeDocument/2006/relationships/hyperlink" Target="https://drive.google.com/file/d/1p_Auad9OA4wBbGve_6uxbD8_D6PvMIBP/view?usp=sharing" TargetMode="External"/><Relationship Id="rId45" Type="http://schemas.openxmlformats.org/officeDocument/2006/relationships/hyperlink" Target="https://drive.google.com/file/d/1y4QwQHokXTWEbblIV2vQD-dNuKOou6Sh/view?usp=sharing" TargetMode="External"/><Relationship Id="rId1" Type="http://schemas.openxmlformats.org/officeDocument/2006/relationships/hyperlink" Target="https://drive.google.com/file/d/1OjCbvjxfN7WhUthdPmi4sKELUrYKT7c-/view?usp=sharing" TargetMode="External"/><Relationship Id="rId2" Type="http://schemas.openxmlformats.org/officeDocument/2006/relationships/hyperlink" Target="https://drive.google.com/file/d/1-QxAvmbkk5M_HUDukO6UkDdqqxXC6IQx/view?usp=sharing" TargetMode="External"/><Relationship Id="rId3" Type="http://schemas.openxmlformats.org/officeDocument/2006/relationships/hyperlink" Target="https://drive.google.com/file/d/1hjBMNmibaDptjL-vv1ydDPv0cEyhskqU/view?usp=sharing" TargetMode="External"/><Relationship Id="rId4" Type="http://schemas.openxmlformats.org/officeDocument/2006/relationships/hyperlink" Target="https://drive.google.com/file/d/1cFhX8mJHqkyuxCqBeNlptu_j1h9Ua6mG/view?usp=sharing" TargetMode="External"/><Relationship Id="rId9" Type="http://schemas.openxmlformats.org/officeDocument/2006/relationships/hyperlink" Target="https://drive.google.com/file/d/1siKvrO4oEpRihN9KsfZfmOeQPtDzXQUM/view?usp=sharing" TargetMode="External"/><Relationship Id="rId48" Type="http://schemas.openxmlformats.org/officeDocument/2006/relationships/hyperlink" Target="https://drive.google.com/file/d/1V_kCzEiMWZhRC1LUPo9gXK3JlMrC2yTD/view?usp=sharing" TargetMode="External"/><Relationship Id="rId47" Type="http://schemas.openxmlformats.org/officeDocument/2006/relationships/hyperlink" Target="https://drive.google.com/file/d/1pAmL-30YB_fRxupFMgnI7z6XFPceyyY8/view?usp=sharing" TargetMode="External"/><Relationship Id="rId49" Type="http://schemas.openxmlformats.org/officeDocument/2006/relationships/hyperlink" Target="https://drive.google.com/file/d/1gqnvLGDX4_lKsRgq5JbndLeK0lZW5how/view?usp=sharing" TargetMode="External"/><Relationship Id="rId5" Type="http://schemas.openxmlformats.org/officeDocument/2006/relationships/hyperlink" Target="https://drive.google.com/file/d/1Hs2yuUbomjXTIfHIEFG746xAoTlX8PAt/view?usp=sharing" TargetMode="External"/><Relationship Id="rId6" Type="http://schemas.openxmlformats.org/officeDocument/2006/relationships/hyperlink" Target="https://drive.google.com/file/d/1yBco1K8kRYEmc_ndVTzjqaTAjGpE73nk/view?usp=sharing" TargetMode="External"/><Relationship Id="rId7" Type="http://schemas.openxmlformats.org/officeDocument/2006/relationships/hyperlink" Target="https://drive.google.com/file/d/1qNNm8xioJKSKvU4V4yAbv7qtK4wm9-YZ/view?usp=sharing" TargetMode="External"/><Relationship Id="rId8" Type="http://schemas.openxmlformats.org/officeDocument/2006/relationships/hyperlink" Target="https://drive.google.com/file/d/1qrfHSdJQOloc1kgbAEdL8nXgHK5XvJVF/view?usp=sharing" TargetMode="External"/><Relationship Id="rId72" Type="http://schemas.openxmlformats.org/officeDocument/2006/relationships/drawing" Target="../drawings/drawing9.xml"/><Relationship Id="rId31" Type="http://schemas.openxmlformats.org/officeDocument/2006/relationships/hyperlink" Target="https://drive.google.com/file/d/1GMA5-yyai6XhUIQjEkvKc-63YTr_ZZk5/view?usp=sharing" TargetMode="External"/><Relationship Id="rId30" Type="http://schemas.openxmlformats.org/officeDocument/2006/relationships/hyperlink" Target="https://drive.google.com/file/d/1caPXErcwAwZYeL8uqyhDuT6b2gW8PpVN/view?usp=sharing" TargetMode="External"/><Relationship Id="rId33" Type="http://schemas.openxmlformats.org/officeDocument/2006/relationships/hyperlink" Target="https://drive.google.com/file/d/1YI0YWPYlZaZ4WYo6nEoqHDIvW1Og-8TA/view?usp=sharing" TargetMode="External"/><Relationship Id="rId32" Type="http://schemas.openxmlformats.org/officeDocument/2006/relationships/hyperlink" Target="https://drive.google.com/file/d/17d1Rr15Fiq5I0z7QDdkYQuUJH3FqYUGm/view?usp=sharing" TargetMode="External"/><Relationship Id="rId35" Type="http://schemas.openxmlformats.org/officeDocument/2006/relationships/hyperlink" Target="https://drive.google.com/file/d/1h1eZtR6iJOtrCGT2OGH2Ysss7B7tZrl8/view?usp=sharing" TargetMode="External"/><Relationship Id="rId34" Type="http://schemas.openxmlformats.org/officeDocument/2006/relationships/hyperlink" Target="https://drive.google.com/file/d/1s9XHeAqaKEWGNJSR-FmFMoXNdFh788XN/view?usp=sharing" TargetMode="External"/><Relationship Id="rId71" Type="http://schemas.openxmlformats.org/officeDocument/2006/relationships/hyperlink" Target="https://drive.google.com/open?id=1gTCed1baUd3Vv7B9dzP4VTBMEXWfyvVw" TargetMode="External"/><Relationship Id="rId70" Type="http://schemas.openxmlformats.org/officeDocument/2006/relationships/hyperlink" Target="https://drive.google.com/open?id=1hpFDCIHbxeCUhkgcPmNiyZTD4cGwDuPy" TargetMode="External"/><Relationship Id="rId37" Type="http://schemas.openxmlformats.org/officeDocument/2006/relationships/hyperlink" Target="https://drive.google.com/file/d/1s5R48QQG5gPevIyM7eWrPSrS65C6pSEr/view?usp=sharing" TargetMode="External"/><Relationship Id="rId36" Type="http://schemas.openxmlformats.org/officeDocument/2006/relationships/hyperlink" Target="https://drive.google.com/file/d/1YKCkfqpbtLiPebBngiI5NBPMbeR80gm9/view?usp=sharing" TargetMode="External"/><Relationship Id="rId39" Type="http://schemas.openxmlformats.org/officeDocument/2006/relationships/hyperlink" Target="https://drive.google.com/file/d/1B1tBroayk8H3_3Tf5zXmXz8wY1onYv87/view?usp=sharing" TargetMode="External"/><Relationship Id="rId38" Type="http://schemas.openxmlformats.org/officeDocument/2006/relationships/hyperlink" Target="https://drive.google.com/file/d/1v5hoyqmxBBeV2ehfXtgRQjekMGHnVVwq/view?usp=sharing" TargetMode="External"/><Relationship Id="rId62" Type="http://schemas.openxmlformats.org/officeDocument/2006/relationships/hyperlink" Target="https://drive.google.com/file/d/1Gsn7nDcWoR4YTGhojUwWjLvatWWfIQo6/view?usp=sharing" TargetMode="External"/><Relationship Id="rId61" Type="http://schemas.openxmlformats.org/officeDocument/2006/relationships/hyperlink" Target="https://drive.google.com/file/d/1-kjpqY0pIvkgw1iCtqJ2jjQ2IXKfSY5g/view?usp=sharing" TargetMode="External"/><Relationship Id="rId20" Type="http://schemas.openxmlformats.org/officeDocument/2006/relationships/hyperlink" Target="https://drive.google.com/file/d/1Z8cicfUoYWChocxbGp0na67tOv6sKZVV/view?usp=sharing" TargetMode="External"/><Relationship Id="rId64" Type="http://schemas.openxmlformats.org/officeDocument/2006/relationships/hyperlink" Target="https://drive.google.com/file/d/1jrL6ZchmnKOAnCWKFtQPf73-LJEvgT59/view?usp=sharing" TargetMode="External"/><Relationship Id="rId63" Type="http://schemas.openxmlformats.org/officeDocument/2006/relationships/hyperlink" Target="https://drive.google.com/file/d/1vqi02ne-zTsxwCM8i-H-SwB70ky25_-g/view?usp=sharing" TargetMode="External"/><Relationship Id="rId22" Type="http://schemas.openxmlformats.org/officeDocument/2006/relationships/hyperlink" Target="https://drive.google.com/file/d/1hA8ViOVZRRS0K_gI-Xb2X6v5PkAvjoyN/view?usp=sharing" TargetMode="External"/><Relationship Id="rId66" Type="http://schemas.openxmlformats.org/officeDocument/2006/relationships/hyperlink" Target="https://drive.google.com/file/d/1pVpUZMqInO_2DjHTDg8h6-OncjJKh9pT/view?usp=sharing" TargetMode="External"/><Relationship Id="rId21" Type="http://schemas.openxmlformats.org/officeDocument/2006/relationships/hyperlink" Target="https://drive.google.com/file/d/1cAjEqRjMNAIppUUbHJJAk3jE4UbFmeSA/view?usp=sharing" TargetMode="External"/><Relationship Id="rId65" Type="http://schemas.openxmlformats.org/officeDocument/2006/relationships/hyperlink" Target="https://drive.google.com/file/d/1EcFJtMYjBNqpTBB6TZVOGcVQqdwNYGAL/view?usp=sharing" TargetMode="External"/><Relationship Id="rId24" Type="http://schemas.openxmlformats.org/officeDocument/2006/relationships/hyperlink" Target="https://drive.google.com/file/d/1SB-EOVbF9CK7WR6OD6gMr7jyKfhXpUtL/view?usp=sharing" TargetMode="External"/><Relationship Id="rId68" Type="http://schemas.openxmlformats.org/officeDocument/2006/relationships/hyperlink" Target="https://drive.google.com/open?id=1f4Qm3K0HM1LhPru-PAd6V2BrWwtP5cky" TargetMode="External"/><Relationship Id="rId23" Type="http://schemas.openxmlformats.org/officeDocument/2006/relationships/hyperlink" Target="https://drive.google.com/file/d/15I1DF4MIyrBLpE38hKhLpwVCDSAMAUdd/view?usp=sharing" TargetMode="External"/><Relationship Id="rId67" Type="http://schemas.openxmlformats.org/officeDocument/2006/relationships/hyperlink" Target="https://drive.google.com/file/d/1tD1H2s4iVr4DIfCBwL2T4WAeqockuwXq/view?usp=sharing" TargetMode="External"/><Relationship Id="rId60" Type="http://schemas.openxmlformats.org/officeDocument/2006/relationships/hyperlink" Target="https://drive.google.com/file/d/1tU2h4VBoUqwA6egxa_L7YObn-WNHLvm5/view?usp=sharing" TargetMode="External"/><Relationship Id="rId26" Type="http://schemas.openxmlformats.org/officeDocument/2006/relationships/hyperlink" Target="https://drive.google.com/file/d/1Fdsle3wfiM1rEY6vgyfVk0GauCHfmVC0/view?usp=sharing" TargetMode="External"/><Relationship Id="rId25" Type="http://schemas.openxmlformats.org/officeDocument/2006/relationships/hyperlink" Target="https://drive.google.com/file/d/1j__h_W1nJvIiyN7a-H7SHdGwMwctlvu1/view?usp=sharing" TargetMode="External"/><Relationship Id="rId69" Type="http://schemas.openxmlformats.org/officeDocument/2006/relationships/hyperlink" Target="https://drive.google.com/open?id=1LjyBGRcLLHXebLKGoa5X2p6MhoWyJmvh" TargetMode="External"/><Relationship Id="rId28" Type="http://schemas.openxmlformats.org/officeDocument/2006/relationships/hyperlink" Target="https://drive.google.com/file/d/14YWondMo090riqiQzvcp_7ntDFdAGrR2/view?usp=sharing" TargetMode="External"/><Relationship Id="rId27" Type="http://schemas.openxmlformats.org/officeDocument/2006/relationships/hyperlink" Target="https://drive.google.com/file/d/1YhVXSOhTtDoBZZNrqkoaaAzkI5TOhP0t/view?usp=sharing" TargetMode="External"/><Relationship Id="rId29" Type="http://schemas.openxmlformats.org/officeDocument/2006/relationships/hyperlink" Target="https://drive.google.com/file/d/160zwCxYBOP9yfhd2-QroPESgHZ6Hh7zG/view?usp=sharing" TargetMode="External"/><Relationship Id="rId51" Type="http://schemas.openxmlformats.org/officeDocument/2006/relationships/hyperlink" Target="https://drive.google.com/file/d/1KVgLElmiSQTSwFjJpJy__DrLK9qD-tio/view?usp=sharing" TargetMode="External"/><Relationship Id="rId50" Type="http://schemas.openxmlformats.org/officeDocument/2006/relationships/hyperlink" Target="https://drive.google.com/file/d/1XRKEpIdchP2l5-B73t2Nd0UfnRFXvGVH/view?usp=sharing" TargetMode="External"/><Relationship Id="rId53" Type="http://schemas.openxmlformats.org/officeDocument/2006/relationships/hyperlink" Target="https://drive.google.com/file/d/1kEDLtAefDQ1whjC0QP9nKtJUjA58d9le/view?usp=sharing" TargetMode="External"/><Relationship Id="rId52" Type="http://schemas.openxmlformats.org/officeDocument/2006/relationships/hyperlink" Target="https://drive.google.com/file/d/1XsrUti7rOK6wTndhHjgOVlw07znYzEPZ/view?usp=sharing" TargetMode="External"/><Relationship Id="rId11" Type="http://schemas.openxmlformats.org/officeDocument/2006/relationships/hyperlink" Target="https://drive.google.com/file/d/1kPS-PWQGVp_JTVD6rXGeD2j5gnu17W7m/view?usp=sharing" TargetMode="External"/><Relationship Id="rId55" Type="http://schemas.openxmlformats.org/officeDocument/2006/relationships/hyperlink" Target="https://drive.google.com/file/d/1ryg6j3fJ4gY0fHySPcrwAReKY3zrk237/view?usp=sharing" TargetMode="External"/><Relationship Id="rId10" Type="http://schemas.openxmlformats.org/officeDocument/2006/relationships/hyperlink" Target="https://drive.google.com/file/d/1v8ugMlT0lFvU4uM5q_8nsiG4wc-BffYb/view?usp=sharing" TargetMode="External"/><Relationship Id="rId54" Type="http://schemas.openxmlformats.org/officeDocument/2006/relationships/hyperlink" Target="https://drive.google.com/file/d/1Eu58KcfTY5CX-bNOH9c1NBvogGMADq7n/view?usp=sharing" TargetMode="External"/><Relationship Id="rId13" Type="http://schemas.openxmlformats.org/officeDocument/2006/relationships/hyperlink" Target="https://drive.google.com/file/d/1PJiGEcJHb9zvA1952j9o9yEEr52pUENC/view?usp=sharing" TargetMode="External"/><Relationship Id="rId57" Type="http://schemas.openxmlformats.org/officeDocument/2006/relationships/hyperlink" Target="https://drive.google.com/file/d/1VhebL7t_8f2i4YhytQfzv1DiUbppNZeW/view?usp=sharing" TargetMode="External"/><Relationship Id="rId12" Type="http://schemas.openxmlformats.org/officeDocument/2006/relationships/hyperlink" Target="https://drive.google.com/file/d/1GLeu8pooJTETv1gEMdg_Qwp0Vl69CpMZ/view?usp=sharing" TargetMode="External"/><Relationship Id="rId56" Type="http://schemas.openxmlformats.org/officeDocument/2006/relationships/hyperlink" Target="https://drive.google.com/file/d/1m5klTkhEvVeVEzZpQBnGZaknTi1twWsR/view?usp=sharing" TargetMode="External"/><Relationship Id="rId15" Type="http://schemas.openxmlformats.org/officeDocument/2006/relationships/hyperlink" Target="https://drive.google.com/file/d/10OxMQmuQvkcZz59Dtn6bx3sWrhCc0WEn/view?usp=sharing" TargetMode="External"/><Relationship Id="rId59" Type="http://schemas.openxmlformats.org/officeDocument/2006/relationships/hyperlink" Target="https://drive.google.com/file/d/17zJY3KCOskIhZDzSTtqISLg5xD21eq-v/view?usp=sharing" TargetMode="External"/><Relationship Id="rId14" Type="http://schemas.openxmlformats.org/officeDocument/2006/relationships/hyperlink" Target="https://drive.google.com/file/d/1P_7lMkHlTrwwEID5qauw-OoyKE4GF9Rg/view?usp=sharing" TargetMode="External"/><Relationship Id="rId58" Type="http://schemas.openxmlformats.org/officeDocument/2006/relationships/hyperlink" Target="https://drive.google.com/file/d/19TDKB9mfgJ8ITA3vpFK8FpLkJdJKVRFS/view?usp=sharing" TargetMode="External"/><Relationship Id="rId17" Type="http://schemas.openxmlformats.org/officeDocument/2006/relationships/hyperlink" Target="https://drive.google.com/file/d/1a-XIo72tRPSubZIpsS0xSAnzeGTFhWuP/view?usp=sharing" TargetMode="External"/><Relationship Id="rId16" Type="http://schemas.openxmlformats.org/officeDocument/2006/relationships/hyperlink" Target="https://drive.google.com/file/d/1vacukC2G7JCXBMiARTfjtC2FNbnZNna3/view?usp=sharing" TargetMode="External"/><Relationship Id="rId19" Type="http://schemas.openxmlformats.org/officeDocument/2006/relationships/hyperlink" Target="https://drive.google.com/file/d/1QNO5DnmqYI9_M2q6Fkq8cKJIuBH9SRSI/view?usp=sharing" TargetMode="External"/><Relationship Id="rId18" Type="http://schemas.openxmlformats.org/officeDocument/2006/relationships/hyperlink" Target="https://drive.google.com/file/d/1zFsqoKTHsoeIME8IGZcExODC2oUbXoa1/view?usp=sharing"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file/d/1j2jzpZwFytTcNaY0-MeuXbvePnlG6EGl/view?usp=sharing" TargetMode="External"/><Relationship Id="rId190" Type="http://schemas.openxmlformats.org/officeDocument/2006/relationships/hyperlink" Target="https://drive.google.com/file/d/1jUFpF_jiHVyl1aiVb68KDgSCiYdqXi4x/view?usp=sharing" TargetMode="External"/><Relationship Id="rId42" Type="http://schemas.openxmlformats.org/officeDocument/2006/relationships/hyperlink" Target="https://drive.google.com/file/d/1nxIdFkyzkif03oULa9XPeSlogqNYNb-2/view?usp=sharing" TargetMode="External"/><Relationship Id="rId41" Type="http://schemas.openxmlformats.org/officeDocument/2006/relationships/hyperlink" Target="https://drive.google.com/file/d/18oPIifXMH9_ej3igl9zeXm3A5CpZKuor/view?usp=sharing" TargetMode="External"/><Relationship Id="rId44" Type="http://schemas.openxmlformats.org/officeDocument/2006/relationships/hyperlink" Target="https://drive.google.com/file/d/1T2oQ2qNof8b3SlkegeVluQEbdFoVRX5t/view?usp=sharing" TargetMode="External"/><Relationship Id="rId194" Type="http://schemas.openxmlformats.org/officeDocument/2006/relationships/hyperlink" Target="https://drive.google.com/file/d/1e24I0UWRFmszTggr9AEOW265JHKtcH0A/view?usp=sharing" TargetMode="External"/><Relationship Id="rId43" Type="http://schemas.openxmlformats.org/officeDocument/2006/relationships/hyperlink" Target="https://drive.google.com/file/d/1hys22GQtsquhd7zmrqpe_wx2k5F0Xbl9/view?usp=sharing" TargetMode="External"/><Relationship Id="rId193" Type="http://schemas.openxmlformats.org/officeDocument/2006/relationships/hyperlink" Target="https://drive.google.com/file/d/1hYGzgyXE4nhCMs8cONHAG4pDYhQf4fCt/view?usp=sharing" TargetMode="External"/><Relationship Id="rId46" Type="http://schemas.openxmlformats.org/officeDocument/2006/relationships/hyperlink" Target="https://drive.google.com/file/d/1Q0UeCSor5VgBZeMHxpY2pi0GFsy91O0s/view?usp=sharing" TargetMode="External"/><Relationship Id="rId192" Type="http://schemas.openxmlformats.org/officeDocument/2006/relationships/hyperlink" Target="https://drive.google.com/file/d/12VascR53M4oPqXd-M5-Voy6sGEe5Stos/view?usp=sharing" TargetMode="External"/><Relationship Id="rId45" Type="http://schemas.openxmlformats.org/officeDocument/2006/relationships/hyperlink" Target="https://drive.google.com/file/d/1_Y0SsG_dMNaBUL7i7R-x1COfGlC7Ykx8/view?usp=sharing" TargetMode="External"/><Relationship Id="rId191" Type="http://schemas.openxmlformats.org/officeDocument/2006/relationships/hyperlink" Target="https://drive.google.com/file/d/166MCSw0OKy4w2U_RrwFfRIe3NbseFeOV/view?usp=sharing" TargetMode="External"/><Relationship Id="rId48" Type="http://schemas.openxmlformats.org/officeDocument/2006/relationships/hyperlink" Target="https://drive.google.com/file/d/1Q3FiOgAsatQVyy1Fj-3V0MekKOyxabZT/view?usp=sharing" TargetMode="External"/><Relationship Id="rId187" Type="http://schemas.openxmlformats.org/officeDocument/2006/relationships/hyperlink" Target="https://drive.google.com/file/d/1FVox2DBy6fFQM3H-gyy1ZMAjoY325P8I/view?usp=sharing" TargetMode="External"/><Relationship Id="rId47" Type="http://schemas.openxmlformats.org/officeDocument/2006/relationships/hyperlink" Target="https://drive.google.com/file/d/1rjIY2OoA_baYj7jOK1stM7Q55tnZ9qiB/view?usp=sharing" TargetMode="External"/><Relationship Id="rId186" Type="http://schemas.openxmlformats.org/officeDocument/2006/relationships/hyperlink" Target="https://drive.google.com/file/d/1FpUoe_DtcFJLjfxU52WgRbpWcR-qkuHC/view?usp=sharing" TargetMode="External"/><Relationship Id="rId185" Type="http://schemas.openxmlformats.org/officeDocument/2006/relationships/hyperlink" Target="https://drive.google.com/file/d/10khP7b1t0U3eni-cASIpidDsx7R1gQMi/view?usp=sharing" TargetMode="External"/><Relationship Id="rId49" Type="http://schemas.openxmlformats.org/officeDocument/2006/relationships/hyperlink" Target="https://drive.google.com/file/d/1tk5HvM0YdHGj0ChzuqDi1HT9UO_-N83Q/view?usp=sharing" TargetMode="External"/><Relationship Id="rId184" Type="http://schemas.openxmlformats.org/officeDocument/2006/relationships/hyperlink" Target="https://drive.google.com/file/d/1d8ITKhNMtvp3YWF1pywGWEchJyMN8kNt/view?usp=sharing" TargetMode="External"/><Relationship Id="rId189" Type="http://schemas.openxmlformats.org/officeDocument/2006/relationships/hyperlink" Target="https://drive.google.com/file/d/171K1LzB1KokrEInnv02Pqo7umMzfkZhn/view?usp=sharing" TargetMode="External"/><Relationship Id="rId188" Type="http://schemas.openxmlformats.org/officeDocument/2006/relationships/hyperlink" Target="https://drive.google.com/file/d/1zpW-BVV5spbBECQN1fe4iE9dzjLi6jjU/view?usp=sharing" TargetMode="External"/><Relationship Id="rId31" Type="http://schemas.openxmlformats.org/officeDocument/2006/relationships/hyperlink" Target="https://drive.google.com/file/d/1GxlB9Rt975yXnfhQ_0K56PCMmMyQUxdd/view?usp=sharing" TargetMode="External"/><Relationship Id="rId30" Type="http://schemas.openxmlformats.org/officeDocument/2006/relationships/hyperlink" Target="https://drive.google.com/file/d/10KLP3ugTlw58UzVIHI0BnIsG8odbA7N3/view?usp=sharing" TargetMode="External"/><Relationship Id="rId33" Type="http://schemas.openxmlformats.org/officeDocument/2006/relationships/hyperlink" Target="https://drive.google.com/file/d/1Y-33ean_fMYZNl9gnR9qeofqYVECsvMO/view?usp=sharing" TargetMode="External"/><Relationship Id="rId183" Type="http://schemas.openxmlformats.org/officeDocument/2006/relationships/hyperlink" Target="https://drive.google.com/file/d/1H9DLh59LeJUH91lpFTETlURTPhyiiMky/view?usp=sharing" TargetMode="External"/><Relationship Id="rId32" Type="http://schemas.openxmlformats.org/officeDocument/2006/relationships/hyperlink" Target="https://drive.google.com/file/d/1AlJEJT-YDojmtRC9B3QYY92ItVQDEbc9/view?usp=sharing" TargetMode="External"/><Relationship Id="rId182" Type="http://schemas.openxmlformats.org/officeDocument/2006/relationships/hyperlink" Target="https://drive.google.com/file/d/10qqy-ElRphjlHhnnG_FCYPYyo_rBf7iW/view?usp=sharing" TargetMode="External"/><Relationship Id="rId35" Type="http://schemas.openxmlformats.org/officeDocument/2006/relationships/hyperlink" Target="https://drive.google.com/file/d/18ih5n_zG_5DkFDA2_S2ibfAas7Kn76y6/view?usp=sharing" TargetMode="External"/><Relationship Id="rId181" Type="http://schemas.openxmlformats.org/officeDocument/2006/relationships/hyperlink" Target="https://drive.google.com/file/d/15GL-4L_4yEhD8h7WTFVMMjNsOgl1_2mL/view?usp=sharing" TargetMode="External"/><Relationship Id="rId34" Type="http://schemas.openxmlformats.org/officeDocument/2006/relationships/hyperlink" Target="https://drive.google.com/file/d/1OjcYICRfSPB08HyOP-rz754sTofN0wCB/view?usp=sharing" TargetMode="External"/><Relationship Id="rId180" Type="http://schemas.openxmlformats.org/officeDocument/2006/relationships/hyperlink" Target="https://drive.google.com/file/d/1VXGaZbYui1mhQUXDlbCSL6Rhlr-pN1jR/view?usp=sharing" TargetMode="External"/><Relationship Id="rId37" Type="http://schemas.openxmlformats.org/officeDocument/2006/relationships/hyperlink" Target="https://drive.google.com/file/d/1UneIITzOF9SnxXlLnFmyzL9Kz1rvZDTz/view?usp=sharing" TargetMode="External"/><Relationship Id="rId176" Type="http://schemas.openxmlformats.org/officeDocument/2006/relationships/hyperlink" Target="https://drive.google.com/file/d/1ZgRfV-9026zHs_EdDgxrqDdEMgg9p-WC/view?usp=sharing" TargetMode="External"/><Relationship Id="rId36" Type="http://schemas.openxmlformats.org/officeDocument/2006/relationships/hyperlink" Target="https://drive.google.com/file/d/1K3WLLTOCG-aYf-LMrFwzNeS83EzhvUvc/view?usp=sharing" TargetMode="External"/><Relationship Id="rId175" Type="http://schemas.openxmlformats.org/officeDocument/2006/relationships/hyperlink" Target="https://drive.google.com/file/d/1ac3u0nSKuYPfsHmJvGxfFyeQ_-mR04TO/view?usp=sharing" TargetMode="External"/><Relationship Id="rId39" Type="http://schemas.openxmlformats.org/officeDocument/2006/relationships/hyperlink" Target="https://drive.google.com/file/d/152S8r3UCeFNdZ77lMg2XjjA6fN1Zivbf/view?usp=sharing" TargetMode="External"/><Relationship Id="rId174" Type="http://schemas.openxmlformats.org/officeDocument/2006/relationships/hyperlink" Target="https://drive.google.com/file/d/1NNMGsYwlwAUgZl1nDbnoOW6Ezz3jvrbK/view?usp=sharing" TargetMode="External"/><Relationship Id="rId38" Type="http://schemas.openxmlformats.org/officeDocument/2006/relationships/hyperlink" Target="https://drive.google.com/file/d/1c0HEU8muZpwpdlqxqptVLMmw-hNjoWoU/view?usp=sharing" TargetMode="External"/><Relationship Id="rId173" Type="http://schemas.openxmlformats.org/officeDocument/2006/relationships/hyperlink" Target="https://drive.google.com/file/d/1mFdTsw2N5lU3I5Hu7Q-FMNYBBB8M3KS1/view?usp=sharing" TargetMode="External"/><Relationship Id="rId179" Type="http://schemas.openxmlformats.org/officeDocument/2006/relationships/hyperlink" Target="https://drive.google.com/file/d/1PMUGxsj2i8BuUIL97JMEKd1FBFcqhJvI/view?usp=sharing" TargetMode="External"/><Relationship Id="rId178" Type="http://schemas.openxmlformats.org/officeDocument/2006/relationships/hyperlink" Target="https://drive.google.com/file/d/1kNoJEUsT1e41LMbAu-ZHO-WaapZ0dMzd/view?usp=sharing" TargetMode="External"/><Relationship Id="rId177" Type="http://schemas.openxmlformats.org/officeDocument/2006/relationships/hyperlink" Target="https://drive.google.com/file/d/1nCFKHdkdL2ctTU_SOlQDG3IaEXqqBAsk/view?usp=sharing" TargetMode="External"/><Relationship Id="rId20" Type="http://schemas.openxmlformats.org/officeDocument/2006/relationships/hyperlink" Target="https://drive.google.com/file/d/163IbQAdx9dzDHeg5Dxd7cZa3kiazo1xl/view?usp=sharing" TargetMode="External"/><Relationship Id="rId22" Type="http://schemas.openxmlformats.org/officeDocument/2006/relationships/hyperlink" Target="https://drive.google.com/file/d/1MEY6tGxNP9y2Zjs1ym5qdIIhpqyQcTmH/view?usp=sharing" TargetMode="External"/><Relationship Id="rId21" Type="http://schemas.openxmlformats.org/officeDocument/2006/relationships/hyperlink" Target="https://drive.google.com/file/d/16A-d1O1ze9X6bfoMnhuLTOZ77cky3uFN/view?usp=sharing" TargetMode="External"/><Relationship Id="rId24" Type="http://schemas.openxmlformats.org/officeDocument/2006/relationships/hyperlink" Target="https://drive.google.com/file/d/1w9tZLnl35jJHE6CE2KH_cZl3Ambu-yp6/view?usp=sharing" TargetMode="External"/><Relationship Id="rId23" Type="http://schemas.openxmlformats.org/officeDocument/2006/relationships/hyperlink" Target="https://drive.google.com/file/d/1cTOp4h5wJOfcmHvrTxnH_ThM92TPJ4Ti/view?usp=sharing" TargetMode="External"/><Relationship Id="rId26" Type="http://schemas.openxmlformats.org/officeDocument/2006/relationships/hyperlink" Target="https://drive.google.com/file/d/1iqYWvyzYldUwaVRlbfqLNPujITc9ON9Y/view?usp=sharing" TargetMode="External"/><Relationship Id="rId25" Type="http://schemas.openxmlformats.org/officeDocument/2006/relationships/hyperlink" Target="https://drive.google.com/file/d/1qFzxhzc1b_Y4NyuhnRDIXo7MdL3K5AMn/view?usp=sharing" TargetMode="External"/><Relationship Id="rId28" Type="http://schemas.openxmlformats.org/officeDocument/2006/relationships/hyperlink" Target="https://drive.google.com/file/d/1izqJw0h2EqNOG83qG6RvwUTnGbqFw5Oo/view?usp=sharing" TargetMode="External"/><Relationship Id="rId27" Type="http://schemas.openxmlformats.org/officeDocument/2006/relationships/hyperlink" Target="https://drive.google.com/file/d/1S8Ak0PvL-D9jvHgZGjgPQbvtZIlPMfUU/view?usp=sharing" TargetMode="External"/><Relationship Id="rId29" Type="http://schemas.openxmlformats.org/officeDocument/2006/relationships/hyperlink" Target="https://drive.google.com/file/d/1TM-H5udmtt2AQwaHh6l5FphfWtJo4UwZ/view?usp=sharing" TargetMode="External"/><Relationship Id="rId11" Type="http://schemas.openxmlformats.org/officeDocument/2006/relationships/hyperlink" Target="https://drive.google.com/file/d/1gq2r64Agi1Se3-q1sk1NkJFCgCtxL-WH/view?usp=sharing" TargetMode="External"/><Relationship Id="rId10" Type="http://schemas.openxmlformats.org/officeDocument/2006/relationships/hyperlink" Target="https://drive.google.com/file/d/1syzvv3NaqHKlh6_lsi87B1_iXRVVWAxy/view?usp=sharing" TargetMode="External"/><Relationship Id="rId13" Type="http://schemas.openxmlformats.org/officeDocument/2006/relationships/hyperlink" Target="https://drive.google.com/file/d/1kmEpf96zqRbbAeBq7HDFBz2_PXw9qEpp/view?usp=sharing" TargetMode="External"/><Relationship Id="rId12" Type="http://schemas.openxmlformats.org/officeDocument/2006/relationships/hyperlink" Target="https://drive.google.com/file/d/1EYCkHup9zqNAntdP60FdU8w7-4fMTyw5/view?usp=sharing" TargetMode="External"/><Relationship Id="rId15" Type="http://schemas.openxmlformats.org/officeDocument/2006/relationships/hyperlink" Target="https://drive.google.com/file/d/1NdNChn9Jz3nxF7Rn_bqnpCI9BHRn4UeU/view?usp=sharing" TargetMode="External"/><Relationship Id="rId198" Type="http://schemas.openxmlformats.org/officeDocument/2006/relationships/hyperlink" Target="https://drive.google.com/file/d/1w5K9rJtS7GAon2WMKx8Htdc-USVcF7T9/view?usp=sharing" TargetMode="External"/><Relationship Id="rId14" Type="http://schemas.openxmlformats.org/officeDocument/2006/relationships/hyperlink" Target="https://drive.google.com/file/d/11kmwLDvKi8a1AyDxLiFyAvDg8OKLl04k/view?usp=sharing" TargetMode="External"/><Relationship Id="rId197" Type="http://schemas.openxmlformats.org/officeDocument/2006/relationships/hyperlink" Target="https://drive.google.com/file/d/1_R2BFSKpaZhQCWd_9T217NSc21VKV0iZ/view?usp=sharing" TargetMode="External"/><Relationship Id="rId17" Type="http://schemas.openxmlformats.org/officeDocument/2006/relationships/hyperlink" Target="https://drive.google.com/file/d/1l05wi0MaxFDS5a9rL00q_Brr8ekWckAu/view?usp=sharing" TargetMode="External"/><Relationship Id="rId196" Type="http://schemas.openxmlformats.org/officeDocument/2006/relationships/hyperlink" Target="https://drive.google.com/file/d/1G_fl_azWtyLuUSo0B-wQgpp3-ZBLwIq6/view?usp=sharing" TargetMode="External"/><Relationship Id="rId16" Type="http://schemas.openxmlformats.org/officeDocument/2006/relationships/hyperlink" Target="https://drive.google.com/file/d/1NivluZf36lomiiOdK6Uawtc4OJXLs7La/view?usp=sharing" TargetMode="External"/><Relationship Id="rId195" Type="http://schemas.openxmlformats.org/officeDocument/2006/relationships/hyperlink" Target="https://drive.google.com/file/d/1Bm54RjehW9RjSFqU476BbEc0o51hiRKw/view?usp=sharing" TargetMode="External"/><Relationship Id="rId19" Type="http://schemas.openxmlformats.org/officeDocument/2006/relationships/hyperlink" Target="https://drive.google.com/file/d/1ceSm8BDWajIuprcAMiKQvKxmkTpOHPd1/view?usp=sharing" TargetMode="External"/><Relationship Id="rId18" Type="http://schemas.openxmlformats.org/officeDocument/2006/relationships/hyperlink" Target="https://drive.google.com/file/d/1fUmN2Vz_h10Qq38IV91NzTsW5YQ1Idhe/view?usp=sharing" TargetMode="External"/><Relationship Id="rId199" Type="http://schemas.openxmlformats.org/officeDocument/2006/relationships/hyperlink" Target="https://drive.google.com/file/d/10kV6Q59Xh1RQ9BPRqyknZj6KewPwU2ZO/view?usp=sharing" TargetMode="External"/><Relationship Id="rId84" Type="http://schemas.openxmlformats.org/officeDocument/2006/relationships/hyperlink" Target="https://drive.google.com/file/d/1vSBIHWla2AQsNt1MKlTEAw-p8PzTPOCm/view?usp=sharing" TargetMode="External"/><Relationship Id="rId83" Type="http://schemas.openxmlformats.org/officeDocument/2006/relationships/hyperlink" Target="https://drive.google.com/file/d/1f4Wle5-dEhbOcVvK87-2QiaZCVz8x9yR/view?usp=sharing" TargetMode="External"/><Relationship Id="rId86" Type="http://schemas.openxmlformats.org/officeDocument/2006/relationships/hyperlink" Target="https://drive.google.com/file/d/1pjNdrd0gobPEwEcEHAH36YhNgdoBCI6L/view?usp=sharing" TargetMode="External"/><Relationship Id="rId85" Type="http://schemas.openxmlformats.org/officeDocument/2006/relationships/hyperlink" Target="https://drive.google.com/file/d/1orAixrvk4LQcFON1_uiJXg2Ca3Z7XpXh/view?usp=sharing" TargetMode="External"/><Relationship Id="rId88" Type="http://schemas.openxmlformats.org/officeDocument/2006/relationships/hyperlink" Target="https://drive.google.com/file/d/1kYMIO-QnYxvsdsSptr3qlF7_9CikDUS6/view?usp=sharing" TargetMode="External"/><Relationship Id="rId150" Type="http://schemas.openxmlformats.org/officeDocument/2006/relationships/hyperlink" Target="https://drive.google.com/file/d/1ZfRwwf8g0AT5ZshPuYgJso1ozHeYn76-/view?usp=sharing" TargetMode="External"/><Relationship Id="rId87" Type="http://schemas.openxmlformats.org/officeDocument/2006/relationships/hyperlink" Target="https://drive.google.com/file/d/1fOCtxjuKBKeg7sXCtI1BpY0iKvi2tMv7/view?usp=sharing" TargetMode="External"/><Relationship Id="rId89" Type="http://schemas.openxmlformats.org/officeDocument/2006/relationships/hyperlink" Target="https://drive.google.com/file/d/1pHv1stjfGYoWMubXkxqCnrTkX0L6uppJ/view?usp=sharing" TargetMode="External"/><Relationship Id="rId80" Type="http://schemas.openxmlformats.org/officeDocument/2006/relationships/hyperlink" Target="https://drive.google.com/file/d/1132dEtRn6SOaqVwVBMKn8T_dUJvqly_2/view?usp=sharing" TargetMode="External"/><Relationship Id="rId82" Type="http://schemas.openxmlformats.org/officeDocument/2006/relationships/hyperlink" Target="https://drive.google.com/file/d/1I3P8s1y8bIENL3kVy13KZF0ao6fzTpbP/view?usp=sharing" TargetMode="External"/><Relationship Id="rId81" Type="http://schemas.openxmlformats.org/officeDocument/2006/relationships/hyperlink" Target="https://drive.google.com/file/d/1vWqR7Mnw49XSvUKvTOQWVx7kLwWSFhx0/view?usp=sharing" TargetMode="External"/><Relationship Id="rId1" Type="http://schemas.openxmlformats.org/officeDocument/2006/relationships/hyperlink" Target="https://drive.google.com/file/d/1AKFRt6kANxqydB_LfjMLuHu1rzvgF-9s/view?usp=sharing" TargetMode="External"/><Relationship Id="rId2" Type="http://schemas.openxmlformats.org/officeDocument/2006/relationships/hyperlink" Target="https://drive.google.com/file/d/1TrjYLZA3_qqfEi_B9ZXqdk1IJDP9AN5g/view?usp=sharing" TargetMode="External"/><Relationship Id="rId3" Type="http://schemas.openxmlformats.org/officeDocument/2006/relationships/hyperlink" Target="https://drive.google.com/file/d/1x428mVeMKdmIj_2pQQsv8-Th3zdkpSW5/view?usp=sharing" TargetMode="External"/><Relationship Id="rId149" Type="http://schemas.openxmlformats.org/officeDocument/2006/relationships/hyperlink" Target="https://drive.google.com/file/d/14QYtQ42U2lech4DCXOF-CNXjpzO9t-g5/view?usp=sharing" TargetMode="External"/><Relationship Id="rId4" Type="http://schemas.openxmlformats.org/officeDocument/2006/relationships/hyperlink" Target="https://drive.google.com/file/d/1SBzFXL3S4UcOCbEZRPhGl5ktgcG5-Ev4/view?usp=sharing" TargetMode="External"/><Relationship Id="rId148" Type="http://schemas.openxmlformats.org/officeDocument/2006/relationships/hyperlink" Target="https://drive.google.com/file/d/1IkgVektBj562koebG-nsInYw3XZ0zu-y/view?usp=sharing" TargetMode="External"/><Relationship Id="rId9" Type="http://schemas.openxmlformats.org/officeDocument/2006/relationships/hyperlink" Target="https://drive.google.com/file/d/1sEgyFtdIPPBe-SMrR8EBmE2iiikJLwLE/view?usp=sharing" TargetMode="External"/><Relationship Id="rId143" Type="http://schemas.openxmlformats.org/officeDocument/2006/relationships/hyperlink" Target="https://drive.google.com/file/d/1QF82C3jZn3_jefCGF29Yq3ZwIprJLXKC/view?usp=sharing" TargetMode="External"/><Relationship Id="rId142" Type="http://schemas.openxmlformats.org/officeDocument/2006/relationships/hyperlink" Target="https://drive.google.com/file/d/1lpTfyyUiC8An5yuGmFWrrM43cTvOEPgD/view?usp=sharing" TargetMode="External"/><Relationship Id="rId141" Type="http://schemas.openxmlformats.org/officeDocument/2006/relationships/hyperlink" Target="https://drive.google.com/file/d/1mM8X2LqymiI6oa6wvek_t6ReVT6zKtJk/view?usp=sharing" TargetMode="External"/><Relationship Id="rId140" Type="http://schemas.openxmlformats.org/officeDocument/2006/relationships/hyperlink" Target="https://drive.google.com/file/d/18Vz9xhom0jTl9X0tGRqv1pzblV2Tm1xj/view?usp=sharing" TargetMode="External"/><Relationship Id="rId5" Type="http://schemas.openxmlformats.org/officeDocument/2006/relationships/hyperlink" Target="https://drive.google.com/file/d/1EZO_GaV4gJlGDSASNrHzdbM2ak0DvgNG/view?usp=sharing" TargetMode="External"/><Relationship Id="rId147" Type="http://schemas.openxmlformats.org/officeDocument/2006/relationships/hyperlink" Target="https://drive.google.com/file/d/1dt7JA2_DqS3ksm6UwDA5CHtxmZtQmIaf/view?usp=sharing" TargetMode="External"/><Relationship Id="rId6" Type="http://schemas.openxmlformats.org/officeDocument/2006/relationships/hyperlink" Target="https://drive.google.com/file/d/1McQYqytLF7vqBq-ybspGmyYIamvTVfsA/view?usp=sharing" TargetMode="External"/><Relationship Id="rId146" Type="http://schemas.openxmlformats.org/officeDocument/2006/relationships/hyperlink" Target="https://drive.google.com/file/d/1PuUQ5PVl69Cx-zja_t4nrUQwtMy6PmMh/view?usp=sharing" TargetMode="External"/><Relationship Id="rId7" Type="http://schemas.openxmlformats.org/officeDocument/2006/relationships/hyperlink" Target="https://drive.google.com/file/d/1tWvcUkAkeXQRB55X1FNRFZTCxHDTk0jK/view?usp=sharing" TargetMode="External"/><Relationship Id="rId145" Type="http://schemas.openxmlformats.org/officeDocument/2006/relationships/hyperlink" Target="https://drive.google.com/file/d/1vxpIXuo7BM0pjf9SV3Rqdb1X05PZaCth/view?usp=sharing" TargetMode="External"/><Relationship Id="rId8" Type="http://schemas.openxmlformats.org/officeDocument/2006/relationships/hyperlink" Target="https://drive.google.com/file/d/1V6wY1ICDN2qXwZhRtX5sKtouA1VKqt-B/view?usp=sharing" TargetMode="External"/><Relationship Id="rId144" Type="http://schemas.openxmlformats.org/officeDocument/2006/relationships/hyperlink" Target="https://drive.google.com/file/d/1BfPhxa1jRTkE_p6jX4YKpnrhZGIPVTpt/view?usp=sharing" TargetMode="External"/><Relationship Id="rId73" Type="http://schemas.openxmlformats.org/officeDocument/2006/relationships/hyperlink" Target="https://drive.google.com/file/d/12piWSnU7aWNikVGVNXg8qnTZtiFxsxGu/view?usp=sharing" TargetMode="External"/><Relationship Id="rId72" Type="http://schemas.openxmlformats.org/officeDocument/2006/relationships/hyperlink" Target="https://drive.google.com/file/d/1VoYltf3rgNKyOnbaa_Hs59EGfJ6VyO_x/view?usp=sharing" TargetMode="External"/><Relationship Id="rId75" Type="http://schemas.openxmlformats.org/officeDocument/2006/relationships/hyperlink" Target="https://drive.google.com/file/d/1cIEj8OOX4Zm1IwwU3l7_eRgYeDMk9KFu/view?usp=sharing" TargetMode="External"/><Relationship Id="rId74" Type="http://schemas.openxmlformats.org/officeDocument/2006/relationships/hyperlink" Target="https://drive.google.com/file/d/1njdgbv5tbPqyAhtHPeZcvPLoOWf_5l1i/view?usp=sharing" TargetMode="External"/><Relationship Id="rId77" Type="http://schemas.openxmlformats.org/officeDocument/2006/relationships/hyperlink" Target="https://drive.google.com/file/d/1-G1XmXw6Js_l5nqXnZrFCZ_nFHkD48Kj/view?usp=sharing" TargetMode="External"/><Relationship Id="rId76" Type="http://schemas.openxmlformats.org/officeDocument/2006/relationships/hyperlink" Target="https://drive.google.com/file/d/1EvGEKGtSC1knCMaooaEW9p7dDCTkwssM/view?usp=sharing" TargetMode="External"/><Relationship Id="rId79" Type="http://schemas.openxmlformats.org/officeDocument/2006/relationships/hyperlink" Target="https://drive.google.com/file/d/10i_CN8tZ_XBBn0D79Sa1aEVaaV3-MNWI/view?usp=sharing" TargetMode="External"/><Relationship Id="rId78" Type="http://schemas.openxmlformats.org/officeDocument/2006/relationships/hyperlink" Target="https://drive.google.com/file/d/1XCWZIhlKWLqiHNMegQ1KwZ-Jkr_flufm/view?usp=sharing" TargetMode="External"/><Relationship Id="rId71" Type="http://schemas.openxmlformats.org/officeDocument/2006/relationships/hyperlink" Target="https://drive.google.com/file/d/1EcsRrnwePIqZ8c7ZdkoaywfDPW0ZXosj/view?usp=sharing" TargetMode="External"/><Relationship Id="rId70" Type="http://schemas.openxmlformats.org/officeDocument/2006/relationships/hyperlink" Target="https://drive.google.com/file/d/1ZhiLGRM1_46xpIhg7RoRX2QG1lFOxb6G/view?usp=sharing" TargetMode="External"/><Relationship Id="rId139" Type="http://schemas.openxmlformats.org/officeDocument/2006/relationships/hyperlink" Target="https://drive.google.com/file/d/1eVHW_GE93OCZ9wj0VqyedYGXbKq-Fv6R/view?usp=sharing" TargetMode="External"/><Relationship Id="rId138" Type="http://schemas.openxmlformats.org/officeDocument/2006/relationships/hyperlink" Target="https://drive.google.com/file/d/1PT6xemLWYLke0sHLdrrHLme4sdXNlnVj/view?usp=sharing" TargetMode="External"/><Relationship Id="rId137" Type="http://schemas.openxmlformats.org/officeDocument/2006/relationships/hyperlink" Target="https://drive.google.com/file/d/1et-FbyCqyBoYqfiPrYXIFTC6SQIL9-uO/view?usp=sharing" TargetMode="External"/><Relationship Id="rId132" Type="http://schemas.openxmlformats.org/officeDocument/2006/relationships/hyperlink" Target="https://drive.google.com/file/d/1hhDPGl3SuSIHT1r6vSOxrUDVkN_HuY8D/view?usp=sharing" TargetMode="External"/><Relationship Id="rId131" Type="http://schemas.openxmlformats.org/officeDocument/2006/relationships/hyperlink" Target="https://drive.google.com/file/d/178gs8jjyv0bvX6rKfPP9vaAMgLsWv_U_/view?usp=sharing" TargetMode="External"/><Relationship Id="rId130" Type="http://schemas.openxmlformats.org/officeDocument/2006/relationships/hyperlink" Target="https://drive.google.com/file/d/1UAauPeztf2X_FBONBTtE4FPqXP5VsOAE/view?usp=sharing" TargetMode="External"/><Relationship Id="rId136" Type="http://schemas.openxmlformats.org/officeDocument/2006/relationships/hyperlink" Target="https://drive.google.com/file/d/1YmsEEam3g7rsb_AQzy6-NjXHJAums-h4/view?usp=sharing" TargetMode="External"/><Relationship Id="rId135" Type="http://schemas.openxmlformats.org/officeDocument/2006/relationships/hyperlink" Target="https://drive.google.com/file/d/1w4nd1KY98CciqB25pVkguqoBqkA3aqYb/view?usp=sharing" TargetMode="External"/><Relationship Id="rId134" Type="http://schemas.openxmlformats.org/officeDocument/2006/relationships/hyperlink" Target="https://drive.google.com/file/d/1qurgsdTAyc6QvIKdVQCAW9KP42NLo8qm/view?usp=sharing" TargetMode="External"/><Relationship Id="rId133" Type="http://schemas.openxmlformats.org/officeDocument/2006/relationships/hyperlink" Target="https://drive.google.com/file/d/1GGRHQK1Cj1dwKv3vGW3djmZ-hH3iBM5P/view?usp=sharing" TargetMode="External"/><Relationship Id="rId62" Type="http://schemas.openxmlformats.org/officeDocument/2006/relationships/hyperlink" Target="https://drive.google.com/file/d/10zrhe_kFaHLB2z5khThRBJwmmzJSa2n_/view?usp=sharing" TargetMode="External"/><Relationship Id="rId61" Type="http://schemas.openxmlformats.org/officeDocument/2006/relationships/hyperlink" Target="https://drive.google.com/file/d/1ziHbbuNqm9ZRiXhkvZK-lnbLvbo3t2JZ/view?usp=sharing" TargetMode="External"/><Relationship Id="rId64" Type="http://schemas.openxmlformats.org/officeDocument/2006/relationships/hyperlink" Target="https://drive.google.com/file/d/1qdw2HAnueFoHxbFdeyOfliLGlFldQLRI/view?usp=sharing" TargetMode="External"/><Relationship Id="rId63" Type="http://schemas.openxmlformats.org/officeDocument/2006/relationships/hyperlink" Target="https://drive.google.com/file/d/1nh9GIbGMFG9vSpfcHSjT7bfV4qZ8A8My/view?usp=sharing" TargetMode="External"/><Relationship Id="rId66" Type="http://schemas.openxmlformats.org/officeDocument/2006/relationships/hyperlink" Target="https://drive.google.com/file/d/1uXYWVMVmH21jA6Sb0t8wjPRad4QcSu4V/view?usp=sharing" TargetMode="External"/><Relationship Id="rId172" Type="http://schemas.openxmlformats.org/officeDocument/2006/relationships/hyperlink" Target="https://drive.google.com/file/d/147uQu2Herk7uozqeMzICKz8FrZvSKJTl/view?usp=sharing" TargetMode="External"/><Relationship Id="rId65" Type="http://schemas.openxmlformats.org/officeDocument/2006/relationships/hyperlink" Target="https://drive.google.com/file/d/1yGQzjlSzBI1k-m-CtnLu12xTgj_FiBdI/view?usp=sharing" TargetMode="External"/><Relationship Id="rId171" Type="http://schemas.openxmlformats.org/officeDocument/2006/relationships/hyperlink" Target="https://drive.google.com/file/d/147uQu2Herk7uozqeMzICKz8FrZvSKJTl/view?usp=sharing" TargetMode="External"/><Relationship Id="rId68" Type="http://schemas.openxmlformats.org/officeDocument/2006/relationships/hyperlink" Target="https://drive.google.com/file/d/10pbHFFmMz6XL_VFyII4LarCKFBikI0da/view?usp=sharing" TargetMode="External"/><Relationship Id="rId170" Type="http://schemas.openxmlformats.org/officeDocument/2006/relationships/hyperlink" Target="https://drive.google.com/file/d/1BoIZ0ML2Fc9qhFnSvBWhGxpDI7VC-Mpb/view?usp=sharing" TargetMode="External"/><Relationship Id="rId67" Type="http://schemas.openxmlformats.org/officeDocument/2006/relationships/hyperlink" Target="https://drive.google.com/file/d/11jwqsrJN_8RXikpZx_kFRunZRayTrnE0/view?usp=sharing" TargetMode="External"/><Relationship Id="rId60" Type="http://schemas.openxmlformats.org/officeDocument/2006/relationships/hyperlink" Target="https://drive.google.com/file/d/1Bo9GgtuxSge8yBP6IQDmL-WkLvKCmwLg/view?usp=sharing" TargetMode="External"/><Relationship Id="rId165" Type="http://schemas.openxmlformats.org/officeDocument/2006/relationships/hyperlink" Target="https://drive.google.com/file/d/1TmCaDL-Piq3sKhrphPT5H9sFuFCoRXL1/view?usp=sharing" TargetMode="External"/><Relationship Id="rId69" Type="http://schemas.openxmlformats.org/officeDocument/2006/relationships/hyperlink" Target="https://drive.google.com/file/d/1gFlTPKw9Be7LgKbgJ0UvQGLpoGouPS84/view?usp=sharing" TargetMode="External"/><Relationship Id="rId164" Type="http://schemas.openxmlformats.org/officeDocument/2006/relationships/hyperlink" Target="https://drive.google.com/file/d/1KILkoZdCGoKaKVMJ-bFe7WwpJMFVMfKP/view?usp=sharing" TargetMode="External"/><Relationship Id="rId163" Type="http://schemas.openxmlformats.org/officeDocument/2006/relationships/hyperlink" Target="https://drive.google.com/file/d/1Mszuav1llMYLqGaEfYadrmTGkJG7tY8x/view?usp=sharing" TargetMode="External"/><Relationship Id="rId162" Type="http://schemas.openxmlformats.org/officeDocument/2006/relationships/hyperlink" Target="https://drive.google.com/file/d/1U1oR5OBy-x4vmcmydS6gh6CM58FmnKVR/view?usp=sharing" TargetMode="External"/><Relationship Id="rId169" Type="http://schemas.openxmlformats.org/officeDocument/2006/relationships/hyperlink" Target="https://drive.google.com/file/d/15JhZ07nOtV00qIIFezVWiQO15N33ttVk/view?usp=sharing" TargetMode="External"/><Relationship Id="rId168" Type="http://schemas.openxmlformats.org/officeDocument/2006/relationships/hyperlink" Target="https://drive.google.com/file/d/18wFpoWgfCJrsrsicTxcXTkV7ZFTrmvS0/view?usp=sharing" TargetMode="External"/><Relationship Id="rId167" Type="http://schemas.openxmlformats.org/officeDocument/2006/relationships/hyperlink" Target="https://drive.google.com/file/d/1U0-XuZ6IcV6MHR2sRmlfzRBH8jbwcEwf/view?usp=sharing" TargetMode="External"/><Relationship Id="rId166" Type="http://schemas.openxmlformats.org/officeDocument/2006/relationships/hyperlink" Target="https://drive.google.com/file/d/1oMwn2WbYsC6vmhflvI5YiJpiL-N8QxQv/view?usp=sharing" TargetMode="External"/><Relationship Id="rId51" Type="http://schemas.openxmlformats.org/officeDocument/2006/relationships/hyperlink" Target="https://drive.google.com/file/d/1ha3T-UjA1f3PTBtWIm9xaNKwLx5J3cR7/view?usp=sharing" TargetMode="External"/><Relationship Id="rId50" Type="http://schemas.openxmlformats.org/officeDocument/2006/relationships/hyperlink" Target="https://drive.google.com/file/d/1ezsuwNSL90ZLbqJM2ww2EGRPIQSBanJS/view?usp=sharing" TargetMode="External"/><Relationship Id="rId53" Type="http://schemas.openxmlformats.org/officeDocument/2006/relationships/hyperlink" Target="https://drive.google.com/file/d/1qdaaDQSz1D20EWZBls8bopp4nyymvruD/view?usp=sharing" TargetMode="External"/><Relationship Id="rId52" Type="http://schemas.openxmlformats.org/officeDocument/2006/relationships/hyperlink" Target="https://drive.google.com/file/d/1y4QwQHokXTWEbblIV2vQD-dNuKOou6Sh/view?usp=sharing" TargetMode="External"/><Relationship Id="rId55" Type="http://schemas.openxmlformats.org/officeDocument/2006/relationships/hyperlink" Target="https://drive.google.com/file/d/1PoAaEAvzz-c5i3Q-oNVKESxOXwZDSG_4/view?usp=sharing" TargetMode="External"/><Relationship Id="rId161" Type="http://schemas.openxmlformats.org/officeDocument/2006/relationships/hyperlink" Target="https://drive.google.com/file/d/1MPsrVFBFngas8eVOtqOmYjRi3IMhM1IV/view?usp=sharing" TargetMode="External"/><Relationship Id="rId54" Type="http://schemas.openxmlformats.org/officeDocument/2006/relationships/hyperlink" Target="https://drive.google.com/file/d/1KAEudx-XU1zSmvE4Q8b1Y-0vRdiRwEJs/view?usp=sharing" TargetMode="External"/><Relationship Id="rId160" Type="http://schemas.openxmlformats.org/officeDocument/2006/relationships/hyperlink" Target="https://drive.google.com/file/d/1KLSJVNrMIwqhWaBOyAeIHPsM3hwwIfMZ/view?usp=sharing" TargetMode="External"/><Relationship Id="rId57" Type="http://schemas.openxmlformats.org/officeDocument/2006/relationships/hyperlink" Target="https://drive.google.com/file/d/1v3uRF4Z8n9QcyMcnhqOMU0moJtZYSEhx/view?usp=sharing" TargetMode="External"/><Relationship Id="rId56" Type="http://schemas.openxmlformats.org/officeDocument/2006/relationships/hyperlink" Target="https://drive.google.com/file/d/15o8jsU5nQp5RoSKZ4R0RjrJEJbGLScVa/view?usp=sharing" TargetMode="External"/><Relationship Id="rId159" Type="http://schemas.openxmlformats.org/officeDocument/2006/relationships/hyperlink" Target="https://drive.google.com/file/d/1BgKlvB8B4B7DSIO8RhBMCXJzHlotASd9/view?usp=sharing" TargetMode="External"/><Relationship Id="rId59" Type="http://schemas.openxmlformats.org/officeDocument/2006/relationships/hyperlink" Target="https://drive.google.com/file/d/1RoYuY_kOerSy8erbdUpgRfd5GOryWAQi/view?usp=sharing" TargetMode="External"/><Relationship Id="rId154" Type="http://schemas.openxmlformats.org/officeDocument/2006/relationships/hyperlink" Target="https://drive.google.com/file/d/1fe59sONEm_uMwOjpmt5vzkBBOHP7n7Zo/view?usp=sharing" TargetMode="External"/><Relationship Id="rId58" Type="http://schemas.openxmlformats.org/officeDocument/2006/relationships/hyperlink" Target="https://drive.google.com/file/d/1hcQpIAGc85m_zjbDO0CyGJ4ib5WTLbIO/view?usp=sharing" TargetMode="External"/><Relationship Id="rId153" Type="http://schemas.openxmlformats.org/officeDocument/2006/relationships/hyperlink" Target="https://drive.google.com/file/d/1WSQOW3rzyaqlDFO8v43nZOftOVcjb6wE/view?usp=sharing" TargetMode="External"/><Relationship Id="rId152" Type="http://schemas.openxmlformats.org/officeDocument/2006/relationships/hyperlink" Target="https://drive.google.com/file/d/1CpT6hHFew86SIh_QluypCqyPkVEp3Ckj/view?usp=sharing" TargetMode="External"/><Relationship Id="rId151" Type="http://schemas.openxmlformats.org/officeDocument/2006/relationships/hyperlink" Target="https://drive.google.com/file/d/16kUO5z-b1FPliZYOCcU8p9sNo71A8RiV/view?usp=sharing" TargetMode="External"/><Relationship Id="rId158" Type="http://schemas.openxmlformats.org/officeDocument/2006/relationships/hyperlink" Target="https://drive.google.com/file/d/1ZUUwUC9O95sjuvG3a9gMyAN1_Qac-TLV/view?usp=sharing" TargetMode="External"/><Relationship Id="rId157" Type="http://schemas.openxmlformats.org/officeDocument/2006/relationships/hyperlink" Target="https://drive.google.com/file/d/1z-UAWSRhba20VyhFGpUg6C5Ki_UhOmh-/view?usp=sharing" TargetMode="External"/><Relationship Id="rId156" Type="http://schemas.openxmlformats.org/officeDocument/2006/relationships/hyperlink" Target="https://drive.google.com/file/d/14YUBLUtJ4c-nQQF7JGNS9jdhXdZIuH2G/view?usp=sharing" TargetMode="External"/><Relationship Id="rId155" Type="http://schemas.openxmlformats.org/officeDocument/2006/relationships/hyperlink" Target="https://drive.google.com/file/d/1gz8PWUtTmVjfKmvQ1BaQscggeR3KY11q/view?usp=sharing" TargetMode="External"/><Relationship Id="rId107" Type="http://schemas.openxmlformats.org/officeDocument/2006/relationships/hyperlink" Target="https://drive.google.com/file/d/1vkais9Kmk8GOGMuwPcuwm1_8Ewxi54d-/view?usp=sharing" TargetMode="External"/><Relationship Id="rId228" Type="http://schemas.openxmlformats.org/officeDocument/2006/relationships/hyperlink" Target="https://drive.google.com/open?id=17MWr6bpBzOrce3L0IfRAEodIBjFeZQWA" TargetMode="External"/><Relationship Id="rId106" Type="http://schemas.openxmlformats.org/officeDocument/2006/relationships/hyperlink" Target="https://drive.google.com/file/d/1B7b7aviJfOVq4HchKL7drP_sQrRK1cS6/view?usp=sharing" TargetMode="External"/><Relationship Id="rId227" Type="http://schemas.openxmlformats.org/officeDocument/2006/relationships/hyperlink" Target="https://drive.google.com/open?id=17q33or3zYuCqXZLusgA87G-Q7x3MZMiJ" TargetMode="External"/><Relationship Id="rId105" Type="http://schemas.openxmlformats.org/officeDocument/2006/relationships/hyperlink" Target="https://drive.google.com/file/d/1KG-zmJ7mr9f0uSmqmGt8_j5u9Ak1Z_Fn/view?usp=sharing" TargetMode="External"/><Relationship Id="rId226" Type="http://schemas.openxmlformats.org/officeDocument/2006/relationships/hyperlink" Target="https://drive.google.com/file/d/1IVMK5skqeeygxdlz8XVBKftGQY5CAICP/view?usp=sharing" TargetMode="External"/><Relationship Id="rId104" Type="http://schemas.openxmlformats.org/officeDocument/2006/relationships/hyperlink" Target="https://drive.google.com/file/d/1gKW6tHRqh9gUhKZLVDnuR3lideaIoCb9/view?usp=sharing" TargetMode="External"/><Relationship Id="rId225" Type="http://schemas.openxmlformats.org/officeDocument/2006/relationships/hyperlink" Target="https://drive.google.com/file/d/1mfXNhfdEw6VvsymKX4VzuQCzMjvuI3M4/view?usp=sharing" TargetMode="External"/><Relationship Id="rId109" Type="http://schemas.openxmlformats.org/officeDocument/2006/relationships/hyperlink" Target="https://drive.google.com/file/d/1-Rx4KOoee6zZpgICB4ST8_tA9lc7qsib/view?usp=sharing" TargetMode="External"/><Relationship Id="rId108" Type="http://schemas.openxmlformats.org/officeDocument/2006/relationships/hyperlink" Target="https://drive.google.com/file/d/1KkZv2a7q3a6blevZg0SijMGhWLZsjQT7/view?usp=sharing" TargetMode="External"/><Relationship Id="rId229" Type="http://schemas.openxmlformats.org/officeDocument/2006/relationships/hyperlink" Target="https://drive.google.com/file/d/13w1xgQkpC77I-5o7zfRtk79xiZo4vSzB/view?usp=sharing" TargetMode="External"/><Relationship Id="rId220" Type="http://schemas.openxmlformats.org/officeDocument/2006/relationships/hyperlink" Target="https://drive.google.com/file/d/1S6E6Eqoo80X4P6C0nL9npNKIzoTZ2jXX/view?usp=sharing" TargetMode="External"/><Relationship Id="rId103" Type="http://schemas.openxmlformats.org/officeDocument/2006/relationships/hyperlink" Target="https://drive.google.com/file/d/1cq7TJYtDVgwN83A9ODwqA5Ln7TONyswg/view?usp=sharing" TargetMode="External"/><Relationship Id="rId224" Type="http://schemas.openxmlformats.org/officeDocument/2006/relationships/hyperlink" Target="https://drive.google.com/file/d/1aebf9KS1xnSRJJKBsOCQgC2iCEDo2akK/view?usp=sharing" TargetMode="External"/><Relationship Id="rId102" Type="http://schemas.openxmlformats.org/officeDocument/2006/relationships/hyperlink" Target="https://drive.google.com/file/d/1A_eCLwWeAuAKapP6qIR-ilcBiCwnroQi/view?usp=sharing" TargetMode="External"/><Relationship Id="rId223" Type="http://schemas.openxmlformats.org/officeDocument/2006/relationships/hyperlink" Target="https://drive.google.com/open?id=15pFCcRIFMhOD-ERxUQwXKZFzZrE469hM" TargetMode="External"/><Relationship Id="rId101" Type="http://schemas.openxmlformats.org/officeDocument/2006/relationships/hyperlink" Target="https://drive.google.com/file/d/17RvMvHwNGmQtkuC7pWYMS4caMVm-AMif/view?usp=sharing" TargetMode="External"/><Relationship Id="rId222" Type="http://schemas.openxmlformats.org/officeDocument/2006/relationships/hyperlink" Target="https://drive.google.com/file/d/19s9nkNCpxbHSOxCg5d_GPymPsKHonqwX/view?usp=sharing" TargetMode="External"/><Relationship Id="rId100" Type="http://schemas.openxmlformats.org/officeDocument/2006/relationships/hyperlink" Target="https://drive.google.com/file/d/1ANZ1COuciu3V0_SQFTz2tL8M4cneBO7k/view?usp=sharing" TargetMode="External"/><Relationship Id="rId221" Type="http://schemas.openxmlformats.org/officeDocument/2006/relationships/hyperlink" Target="https://drive.google.com/file/d/1wekhmflU4vEa19ZjHYsL6c3NQ10yg6LS/view?usp=sharing" TargetMode="External"/><Relationship Id="rId217" Type="http://schemas.openxmlformats.org/officeDocument/2006/relationships/hyperlink" Target="https://drive.google.com/file/d/1_AR52pqXzUIo97ivfgRpifBqpQIVyRwL/view?usp=sharing" TargetMode="External"/><Relationship Id="rId216" Type="http://schemas.openxmlformats.org/officeDocument/2006/relationships/hyperlink" Target="https://drive.google.com/file/d/1ARRe7qDajfYnuokYV_EysNilU1bGe8PK/view?usp=sharing" TargetMode="External"/><Relationship Id="rId215" Type="http://schemas.openxmlformats.org/officeDocument/2006/relationships/hyperlink" Target="https://drive.google.com/file/d/1r9vG2qcgn79tJYcmiLbtfbJw2DTACgIG/view?usp=sharing" TargetMode="External"/><Relationship Id="rId214" Type="http://schemas.openxmlformats.org/officeDocument/2006/relationships/hyperlink" Target="https://drive.google.com/file/d/1Syu03YZhpE3fG-FrqTvT2Zlm7oAnOI_a/view?usp=sharing" TargetMode="External"/><Relationship Id="rId219" Type="http://schemas.openxmlformats.org/officeDocument/2006/relationships/hyperlink" Target="https://drive.google.com/file/d/1T9f7x4LmQx23KDCbnyd_QzdM6k1rROyQ/view?usp=sharing" TargetMode="External"/><Relationship Id="rId218" Type="http://schemas.openxmlformats.org/officeDocument/2006/relationships/hyperlink" Target="https://drive.google.com/file/d/1KntN00E0jCrXBOIfwYqCduMTJAW-p477/view?usp=sharing" TargetMode="External"/><Relationship Id="rId213" Type="http://schemas.openxmlformats.org/officeDocument/2006/relationships/hyperlink" Target="https://drive.google.com/file/d/1Syu03YZhpE3fG-FrqTvT2Zlm7oAnOI_a/view?usp=sharing" TargetMode="External"/><Relationship Id="rId212" Type="http://schemas.openxmlformats.org/officeDocument/2006/relationships/hyperlink" Target="https://drive.google.com/file/d/1T5a_kKnx_1PGFDc7i8f0dG1GUT2-ImoK/view?usp=sharing" TargetMode="External"/><Relationship Id="rId211" Type="http://schemas.openxmlformats.org/officeDocument/2006/relationships/hyperlink" Target="https://drive.google.com/file/d/1p7VEIuJbw0WtYeqgg_F9ouPyEre5D0m-/view?usp=sharing" TargetMode="External"/><Relationship Id="rId210" Type="http://schemas.openxmlformats.org/officeDocument/2006/relationships/hyperlink" Target="https://drive.google.com/file/d/1hztuUbTjDNLYGRWZntfryswsdbfuIIYM/view?usp=sharing" TargetMode="External"/><Relationship Id="rId129" Type="http://schemas.openxmlformats.org/officeDocument/2006/relationships/hyperlink" Target="https://drive.google.com/file/d/1eGE_w-TirXuDaTBO9TZhctOstZsP75kL/view?usp=sharing" TargetMode="External"/><Relationship Id="rId128" Type="http://schemas.openxmlformats.org/officeDocument/2006/relationships/hyperlink" Target="https://drive.google.com/file/d/16INm-FaAAak-Iq3MUwNhN8-NLA3OhYb2/view?usp=sharing" TargetMode="External"/><Relationship Id="rId127" Type="http://schemas.openxmlformats.org/officeDocument/2006/relationships/hyperlink" Target="https://drive.google.com/file/d/10Is9QcYpzhczixisS8GH9-8Oer9deI0t/view?usp=sharing" TargetMode="External"/><Relationship Id="rId126" Type="http://schemas.openxmlformats.org/officeDocument/2006/relationships/hyperlink" Target="https://drive.google.com/file/d/11IOY72LhPbRzGXb_2PWOn9x4pZl7fgDP/view?usp=sharing" TargetMode="External"/><Relationship Id="rId121" Type="http://schemas.openxmlformats.org/officeDocument/2006/relationships/hyperlink" Target="https://drive.google.com/file/d/1a9AwElFjDv35kH3wOnYxsoVRqNJf1Szj/view?usp=sharing" TargetMode="External"/><Relationship Id="rId120" Type="http://schemas.openxmlformats.org/officeDocument/2006/relationships/hyperlink" Target="https://drive.google.com/file/d/121WR7DP3KE8A1v55LSXR5o-dx7LjcqiD/view?usp=sharing" TargetMode="External"/><Relationship Id="rId125" Type="http://schemas.openxmlformats.org/officeDocument/2006/relationships/hyperlink" Target="https://drive.google.com/file/d/16ZiLnWJOuoI2PAfQ0IvZIWId06FYFb0h/view?usp=sharing" TargetMode="External"/><Relationship Id="rId124" Type="http://schemas.openxmlformats.org/officeDocument/2006/relationships/hyperlink" Target="https://drive.google.com/file/d/1v-89hwbHsW0dh6XqdjHNN5aAc3AVkuOp/view?usp=sharing" TargetMode="External"/><Relationship Id="rId123" Type="http://schemas.openxmlformats.org/officeDocument/2006/relationships/hyperlink" Target="https://drive.google.com/file/d/1h3RxQZLdvVpsAnjEBUKZMe41ZPjIfgqJ/view?usp=sharing" TargetMode="External"/><Relationship Id="rId122" Type="http://schemas.openxmlformats.org/officeDocument/2006/relationships/hyperlink" Target="https://drive.google.com/file/d/1hBpCCGM5Zfr7eOTm4Q_Iz-epAucRxzub/view?usp=sharing" TargetMode="External"/><Relationship Id="rId95" Type="http://schemas.openxmlformats.org/officeDocument/2006/relationships/hyperlink" Target="https://drive.google.com/file/d/1wUbbOk4b1-dSoYqHAer2CwgkN0633Asi/view?usp=sharing" TargetMode="External"/><Relationship Id="rId94" Type="http://schemas.openxmlformats.org/officeDocument/2006/relationships/hyperlink" Target="https://drive.google.com/file/d/10G5Rhr35js8WFWuZaO45xBNPhtZbRKfV/view?usp=sharing" TargetMode="External"/><Relationship Id="rId97" Type="http://schemas.openxmlformats.org/officeDocument/2006/relationships/hyperlink" Target="https://drive.google.com/file/d/1-pV6TBw3JurdCm4RXyfhju3qKjh7J8i3/view?usp=sharing" TargetMode="External"/><Relationship Id="rId96" Type="http://schemas.openxmlformats.org/officeDocument/2006/relationships/hyperlink" Target="https://drive.google.com/file/d/1cGOP9iZYUGzOxyWA0SLLRZn4Mvj5rpAX/view?usp=sharing" TargetMode="External"/><Relationship Id="rId99" Type="http://schemas.openxmlformats.org/officeDocument/2006/relationships/hyperlink" Target="https://drive.google.com/file/d/1qC3hZWx26ZnJu7oPFUItoprS2NhyCu20/view?usp=sharing" TargetMode="External"/><Relationship Id="rId98" Type="http://schemas.openxmlformats.org/officeDocument/2006/relationships/hyperlink" Target="https://drive.google.com/file/d/1dEGhnuIXRv6dDg_OGGTbxMhMu8Hu2Zjk/view?usp=sharing" TargetMode="External"/><Relationship Id="rId91" Type="http://schemas.openxmlformats.org/officeDocument/2006/relationships/hyperlink" Target="https://drive.google.com/file/d/12EqndnmLebTWyxXag_q0c0zWaxQ__3XG/view?usp=sharing" TargetMode="External"/><Relationship Id="rId90" Type="http://schemas.openxmlformats.org/officeDocument/2006/relationships/hyperlink" Target="https://drive.google.com/file/d/1f2d-uikSS6zp9hJtK8YDLqxcGGA4HsUC/view?usp=sharing" TargetMode="External"/><Relationship Id="rId93" Type="http://schemas.openxmlformats.org/officeDocument/2006/relationships/hyperlink" Target="https://drive.google.com/file/d/1YqHLxV6PrpnXaPXi1l_ITWCOUtaFMYg5/view?usp=sharing" TargetMode="External"/><Relationship Id="rId92" Type="http://schemas.openxmlformats.org/officeDocument/2006/relationships/hyperlink" Target="https://drive.google.com/file/d/1LXdde2ErzI5e01SicE5IhVkk72B6USq2/view?usp=sharing" TargetMode="External"/><Relationship Id="rId118" Type="http://schemas.openxmlformats.org/officeDocument/2006/relationships/hyperlink" Target="https://drive.google.com/file/d/1tLwVP52NtbioyyBW-UZbyRsErQcG-fca/view?usp=sharing" TargetMode="External"/><Relationship Id="rId117" Type="http://schemas.openxmlformats.org/officeDocument/2006/relationships/hyperlink" Target="https://drive.google.com/file/d/1xxp8l_2kv2OY5Qp_ujrPDSKqrlRwzEQL/view?usp=sharing" TargetMode="External"/><Relationship Id="rId238" Type="http://schemas.openxmlformats.org/officeDocument/2006/relationships/drawing" Target="../drawings/drawing10.xml"/><Relationship Id="rId116" Type="http://schemas.openxmlformats.org/officeDocument/2006/relationships/hyperlink" Target="https://drive.google.com/file/d/1fsVyj7DzIf2uY6E4sypw12FQodfYBWbb/view?usp=sharing" TargetMode="External"/><Relationship Id="rId237" Type="http://schemas.openxmlformats.org/officeDocument/2006/relationships/hyperlink" Target="https://drive.google.com/file/d/1IIzH4fYZWEbr7T4-vPHCbt-ke_ajarVH/view?usp=sharing" TargetMode="External"/><Relationship Id="rId115" Type="http://schemas.openxmlformats.org/officeDocument/2006/relationships/hyperlink" Target="https://drive.google.com/file/d/1CIDgwnC3Hz83UuObC7Vp4C0gxWliDVAS/view?usp=sharing" TargetMode="External"/><Relationship Id="rId236" Type="http://schemas.openxmlformats.org/officeDocument/2006/relationships/hyperlink" Target="https://drive.google.com/open?id=1DcfjuOXXOCfY2eX-DhuDntek99LpC-0H" TargetMode="External"/><Relationship Id="rId119" Type="http://schemas.openxmlformats.org/officeDocument/2006/relationships/hyperlink" Target="https://drive.google.com/file/d/1ju4nPrXyBQVtTDpWnJsk_4Nn4_ZvdyUY/view?usp=sharing" TargetMode="External"/><Relationship Id="rId110" Type="http://schemas.openxmlformats.org/officeDocument/2006/relationships/hyperlink" Target="https://drive.google.com/file/d/1uA269Rdwy9v4ciulWS00P9zabsQqJie8/view?usp=sharing" TargetMode="External"/><Relationship Id="rId231" Type="http://schemas.openxmlformats.org/officeDocument/2006/relationships/hyperlink" Target="https://drive.google.com/open?id=1UNWLdGbLQ-NUIXhJ0BVcfQDa51YMkN6k" TargetMode="External"/><Relationship Id="rId230" Type="http://schemas.openxmlformats.org/officeDocument/2006/relationships/hyperlink" Target="https://drive.google.com/open?id=1QcKnMdkJ5LdDZXMaHP-pGKPVuu-jRs2m" TargetMode="External"/><Relationship Id="rId114" Type="http://schemas.openxmlformats.org/officeDocument/2006/relationships/hyperlink" Target="https://drive.google.com/file/d/1KWLiEcfOhzTuTGMexlUE6yzqXLzRkhvl/view?usp=sharing" TargetMode="External"/><Relationship Id="rId235" Type="http://schemas.openxmlformats.org/officeDocument/2006/relationships/hyperlink" Target="https://drive.google.com/open?id=11vLGvjx0E8lqp_wc7wn_qmVunZtCZyWR" TargetMode="External"/><Relationship Id="rId113" Type="http://schemas.openxmlformats.org/officeDocument/2006/relationships/hyperlink" Target="https://drive.google.com/file/d/1DB8hk2hXcmkBIzDTqUC6z0OTXGERnN4S/view?usp=sharing" TargetMode="External"/><Relationship Id="rId234" Type="http://schemas.openxmlformats.org/officeDocument/2006/relationships/hyperlink" Target="https://drive.google.com/open?id=1wE2UDaIh5m7pd8lS7vNo1j1HR-KBfBgB" TargetMode="External"/><Relationship Id="rId112" Type="http://schemas.openxmlformats.org/officeDocument/2006/relationships/hyperlink" Target="https://drive.google.com/file/d/17bTSQgYpMR3HgmAa5NHT6MQR4bf3AQ0f/view?usp=sharing" TargetMode="External"/><Relationship Id="rId233" Type="http://schemas.openxmlformats.org/officeDocument/2006/relationships/hyperlink" Target="https://drive.google.com/open?id=1Tq14o28nC1YjIrJqCOlgOrLZEgLF9S7-" TargetMode="External"/><Relationship Id="rId111" Type="http://schemas.openxmlformats.org/officeDocument/2006/relationships/hyperlink" Target="https://drive.google.com/file/d/1Bhy1U3rV8QF4ucrJTmNLwahZhrytjL5s/view?usp=sharing" TargetMode="External"/><Relationship Id="rId232" Type="http://schemas.openxmlformats.org/officeDocument/2006/relationships/hyperlink" Target="https://drive.google.com/open?id=1hOTZtIeMMsRnyxzTl1wjvv-wzjlQgcfh" TargetMode="External"/><Relationship Id="rId206" Type="http://schemas.openxmlformats.org/officeDocument/2006/relationships/hyperlink" Target="https://drive.google.com/file/d/11f176CZqBP8RmipSFvwGaCO0oPZLW03K/view?usp=sharing" TargetMode="External"/><Relationship Id="rId205" Type="http://schemas.openxmlformats.org/officeDocument/2006/relationships/hyperlink" Target="https://drive.google.com/file/d/1IouBW2mFc8LgeR_5J38eCaKXK3HpplKp/view?usp=sharing" TargetMode="External"/><Relationship Id="rId204" Type="http://schemas.openxmlformats.org/officeDocument/2006/relationships/hyperlink" Target="https://drive.google.com/file/d/187nRJuDX3m8-X7EgjQ7r0zCJA8AEH-sS/view?usp=sharing" TargetMode="External"/><Relationship Id="rId203" Type="http://schemas.openxmlformats.org/officeDocument/2006/relationships/hyperlink" Target="https://drive.google.com/file/d/1fG_Aflotp34kTs0Kx_AH0mruaBulta0i/view?usp=sharing" TargetMode="External"/><Relationship Id="rId209" Type="http://schemas.openxmlformats.org/officeDocument/2006/relationships/hyperlink" Target="https://drive.google.com/file/d/1Ds6Sj-s5Iu45IlS4qUjAjpUTfGa930Gs/view?usp=sharing" TargetMode="External"/><Relationship Id="rId208" Type="http://schemas.openxmlformats.org/officeDocument/2006/relationships/hyperlink" Target="https://drive.google.com/file/d/1nklqPFrqRVCn2_hhaNb0AhnBUKJjee8A/view?usp=sharing" TargetMode="External"/><Relationship Id="rId207" Type="http://schemas.openxmlformats.org/officeDocument/2006/relationships/hyperlink" Target="https://drive.google.com/file/d/1azw8pXMBNzi1k-oGbwZsgAHLqt6gPvFc/view?usp=sharing" TargetMode="External"/><Relationship Id="rId202" Type="http://schemas.openxmlformats.org/officeDocument/2006/relationships/hyperlink" Target="https://drive.google.com/file/d/1O1HbVADfTDfYfDaUNnETjkgGrCrCKBdY/view?usp=sharing" TargetMode="External"/><Relationship Id="rId201" Type="http://schemas.openxmlformats.org/officeDocument/2006/relationships/hyperlink" Target="https://drive.google.com/file/d/1yw3dWoPRVFWsAMgV7syFvNTV8kEu-7WZ/view?usp=sharing" TargetMode="External"/><Relationship Id="rId200" Type="http://schemas.openxmlformats.org/officeDocument/2006/relationships/hyperlink" Target="https://drive.google.com/file/d/1NGEMW9pF_2JFtpAnaS1N2Z78_lgI0uxE/view?usp=sharing"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file/d/11-V-kKsD5z2ObEghsb9Y9f7JnpKVEU11/view?usp=sharing" TargetMode="External"/><Relationship Id="rId190" Type="http://schemas.openxmlformats.org/officeDocument/2006/relationships/hyperlink" Target="https://drive.google.com/file/d/1YXf03kUIT7gfRdwcVPCDp4ZU04VS0ODi/view?usp=sharing" TargetMode="External"/><Relationship Id="rId42" Type="http://schemas.openxmlformats.org/officeDocument/2006/relationships/hyperlink" Target="https://drive.google.com/file/d/1nkmjFCttUEIm0M6xVethZIT2ZMjTtamp/view?usp=sharing" TargetMode="External"/><Relationship Id="rId41" Type="http://schemas.openxmlformats.org/officeDocument/2006/relationships/hyperlink" Target="https://drive.google.com/file/d/1VrN7mve5ubdCnQZ_BUgH2PQXLsXBGysp/view?usp=sharing" TargetMode="External"/><Relationship Id="rId44" Type="http://schemas.openxmlformats.org/officeDocument/2006/relationships/hyperlink" Target="https://drive.google.com/file/d/1q9YDXhRbNW-rjvWxa1hyV6VGHCZJ5Jt1/view?usp=sharing" TargetMode="External"/><Relationship Id="rId194" Type="http://schemas.openxmlformats.org/officeDocument/2006/relationships/hyperlink" Target="https://drive.google.com/file/d/1u115DgK7AuyeeQ_8sgUVX9jAEukpzi4C/view?usp=sharing" TargetMode="External"/><Relationship Id="rId43" Type="http://schemas.openxmlformats.org/officeDocument/2006/relationships/hyperlink" Target="https://drive.google.com/file/d/1oY1LcyQ5abvIWexxMlAL46jAMwLb8GKB/view?usp=sharing" TargetMode="External"/><Relationship Id="rId193" Type="http://schemas.openxmlformats.org/officeDocument/2006/relationships/hyperlink" Target="https://drive.google.com/file/d/1kD5DRF3k-M-B9PEEDLWkKu3DqJkAtxxx/view?usp=sharing" TargetMode="External"/><Relationship Id="rId46" Type="http://schemas.openxmlformats.org/officeDocument/2006/relationships/hyperlink" Target="https://drive.google.com/file/d/1nP9fR6pGCuDykxwrNLk3S8-NkKLYhVwD/view?usp=sharing" TargetMode="External"/><Relationship Id="rId192" Type="http://schemas.openxmlformats.org/officeDocument/2006/relationships/hyperlink" Target="https://drive.google.com/file/d/13VeWPMGioO7lwH-MhMxLkXlCXZCllGrY/view?usp=sharing" TargetMode="External"/><Relationship Id="rId45" Type="http://schemas.openxmlformats.org/officeDocument/2006/relationships/hyperlink" Target="https://drive.google.com/file/d/1hMOp5S7NdSiV1tDs71CZCzYtFMeg-bdQ/view?usp=sharing" TargetMode="External"/><Relationship Id="rId191" Type="http://schemas.openxmlformats.org/officeDocument/2006/relationships/hyperlink" Target="https://drive.google.com/file/d/1spiYyhFIT0s3JqjQWdpcizD7doPeUBkS/view?usp=sharing" TargetMode="External"/><Relationship Id="rId48" Type="http://schemas.openxmlformats.org/officeDocument/2006/relationships/hyperlink" Target="https://drive.google.com/file/d/1t8Iws2dkK97ai5QlGnai9LFkRGcrNYaB/view?usp=sharing" TargetMode="External"/><Relationship Id="rId187" Type="http://schemas.openxmlformats.org/officeDocument/2006/relationships/hyperlink" Target="https://drive.google.com/file/d/1qB-_NYBxDpbjWvRXT5FUHVGoiV67rVoI/view?usp=sharing" TargetMode="External"/><Relationship Id="rId47" Type="http://schemas.openxmlformats.org/officeDocument/2006/relationships/hyperlink" Target="https://drive.google.com/file/d/1tn_gfAmSJ_4S2MVjX7JWRkW0K7Cu0XY4/view?usp=sharing" TargetMode="External"/><Relationship Id="rId186" Type="http://schemas.openxmlformats.org/officeDocument/2006/relationships/hyperlink" Target="https://drive.google.com/file/d/1jLiywEq6evas6SeqMUrtMfMdFJardTqm/view?usp=sharing" TargetMode="External"/><Relationship Id="rId185" Type="http://schemas.openxmlformats.org/officeDocument/2006/relationships/hyperlink" Target="https://drive.google.com/file/d/1f4Mz42VAZxbJ16IYaXqHXQmjBXD8o23j/view?usp=sharing" TargetMode="External"/><Relationship Id="rId49" Type="http://schemas.openxmlformats.org/officeDocument/2006/relationships/hyperlink" Target="https://drive.google.com/file/d/16EkURty51Xn1CrQ8kL9JMVEDOUlB5J7_/view?usp=sharing" TargetMode="External"/><Relationship Id="rId184" Type="http://schemas.openxmlformats.org/officeDocument/2006/relationships/hyperlink" Target="https://drive.google.com/file/d/1RRrTVKbIWEa4uBxS4d7UZowQetyglazi/view?usp=sharing" TargetMode="External"/><Relationship Id="rId189" Type="http://schemas.openxmlformats.org/officeDocument/2006/relationships/hyperlink" Target="https://drive.google.com/file/d/1Way_hL_GVKlIYEm9Ga61Q72h4KULvY18/view?usp=sharing" TargetMode="External"/><Relationship Id="rId188" Type="http://schemas.openxmlformats.org/officeDocument/2006/relationships/hyperlink" Target="https://drive.google.com/file/d/11uuemNVuleQpels5o7ctpdqqmhmxJvJm/view?usp=sharing" TargetMode="External"/><Relationship Id="rId31" Type="http://schemas.openxmlformats.org/officeDocument/2006/relationships/hyperlink" Target="https://drive.google.com/file/d/1Q5QUqnPafN-wkCYzSM6-rlpkbXLFpQRW/view?usp=sharing" TargetMode="External"/><Relationship Id="rId30" Type="http://schemas.openxmlformats.org/officeDocument/2006/relationships/hyperlink" Target="https://drive.google.com/file/d/1Nw9M2IxQ84E3OPfa87IFBIvEcSadkf72/view?usp=sharing" TargetMode="External"/><Relationship Id="rId33" Type="http://schemas.openxmlformats.org/officeDocument/2006/relationships/hyperlink" Target="https://drive.google.com/file/d/1-amTRaUfdhHAhDFN5O54PjdwZdne4GB4/view?usp=sharing" TargetMode="External"/><Relationship Id="rId183" Type="http://schemas.openxmlformats.org/officeDocument/2006/relationships/hyperlink" Target="https://drive.google.com/file/d/1gzJ6ufzuToemb1LYMSpJTOuHa_Q_Togz/view?usp=sharing" TargetMode="External"/><Relationship Id="rId32" Type="http://schemas.openxmlformats.org/officeDocument/2006/relationships/hyperlink" Target="https://drive.google.com/file/d/14Ar-kcWYHWl4r0nnK4v-TPkT-CCCaMxE/view?usp=sharing" TargetMode="External"/><Relationship Id="rId182" Type="http://schemas.openxmlformats.org/officeDocument/2006/relationships/hyperlink" Target="https://drive.google.com/file/d/1t0THYPTL18V3L3Q4ZGZfYGnI7WDYphSz/view?usp=sharing" TargetMode="External"/><Relationship Id="rId35" Type="http://schemas.openxmlformats.org/officeDocument/2006/relationships/hyperlink" Target="https://drive.google.com/file/d/1-0pdwcJr6L2uW5cYH_wFNgbY4LsJwuSc/view?usp=sharing" TargetMode="External"/><Relationship Id="rId181" Type="http://schemas.openxmlformats.org/officeDocument/2006/relationships/hyperlink" Target="https://drive.google.com/file/d/1Lk0_Me45yPRrCjzbOdk_oX6UfUPRDUup/view?usp=sharing" TargetMode="External"/><Relationship Id="rId34" Type="http://schemas.openxmlformats.org/officeDocument/2006/relationships/hyperlink" Target="https://drive.google.com/file/d/1mc5snU5e6WujMns5vyInpdVW-BgNPYUF/view?usp=sharing" TargetMode="External"/><Relationship Id="rId180" Type="http://schemas.openxmlformats.org/officeDocument/2006/relationships/hyperlink" Target="https://drive.google.com/file/d/1sw0X6iTTmWqMIfdyS0rgGBGe8TNJMEKw/view?usp=sharing" TargetMode="External"/><Relationship Id="rId37" Type="http://schemas.openxmlformats.org/officeDocument/2006/relationships/hyperlink" Target="https://drive.google.com/file/d/1JRf6JbfB7bGv1VAQKjC8WglkUxGzuFpD/view?usp=sharing" TargetMode="External"/><Relationship Id="rId176" Type="http://schemas.openxmlformats.org/officeDocument/2006/relationships/hyperlink" Target="https://drive.google.com/file/d/1fRmYh_JWyoZcF1Z3k_cxIBxok4FJ3pPu/view?usp=sharing" TargetMode="External"/><Relationship Id="rId297" Type="http://schemas.openxmlformats.org/officeDocument/2006/relationships/hyperlink" Target="https://drive.google.com/file/d/1P8FTQAFWVBzfAzPUKP1EPjj15YXXilQo/view?usp=sharing" TargetMode="External"/><Relationship Id="rId36" Type="http://schemas.openxmlformats.org/officeDocument/2006/relationships/hyperlink" Target="https://drive.google.com/file/d/1ubsLIKCfYNnduHJJhXav8W89XN8Mdupb/view?usp=sharing" TargetMode="External"/><Relationship Id="rId175" Type="http://schemas.openxmlformats.org/officeDocument/2006/relationships/hyperlink" Target="https://drive.google.com/file/d/1iiJ12Qy7Wu8xcdXPs-cpOsnVjgXbtvK2/view?usp=sharing" TargetMode="External"/><Relationship Id="rId296" Type="http://schemas.openxmlformats.org/officeDocument/2006/relationships/hyperlink" Target="https://drive.google.com/file/d/1ws1X6MkIB7hcCiiXwXmmm4M0rt6J_tNQ/view?usp=sharing" TargetMode="External"/><Relationship Id="rId39" Type="http://schemas.openxmlformats.org/officeDocument/2006/relationships/hyperlink" Target="https://drive.google.com/file/d/1CCXOGP4WoQnO9SrmmNg5JZ2sdf03yYHp/view?usp=sharing" TargetMode="External"/><Relationship Id="rId174" Type="http://schemas.openxmlformats.org/officeDocument/2006/relationships/hyperlink" Target="https://drive.google.com/file/d/1mUxQc4vwy5WqJ-tTrEhrLFeE6XRfETo-/view?usp=sharing" TargetMode="External"/><Relationship Id="rId295" Type="http://schemas.openxmlformats.org/officeDocument/2006/relationships/hyperlink" Target="https://drive.google.com/file/d/1_7YYHabKlQmRfx7_O7j-WmdKGKL1lMF5/view?usp=sharing" TargetMode="External"/><Relationship Id="rId38" Type="http://schemas.openxmlformats.org/officeDocument/2006/relationships/hyperlink" Target="https://drive.google.com/file/d/1IDBEemYzQQrcUJYhE_pmbMGJytBQSG7G/view?usp=sharing" TargetMode="External"/><Relationship Id="rId173" Type="http://schemas.openxmlformats.org/officeDocument/2006/relationships/hyperlink" Target="https://drive.google.com/file/d/1Jj-Ho0RvclaQPWRAPwUQvbpg6W7VpOvt/view?usp=sharing" TargetMode="External"/><Relationship Id="rId294" Type="http://schemas.openxmlformats.org/officeDocument/2006/relationships/hyperlink" Target="https://drive.google.com/file/d/15LKPWfGDkcNKXKUX40_feUHg7U_ZNq-2/view?usp=sharing" TargetMode="External"/><Relationship Id="rId179" Type="http://schemas.openxmlformats.org/officeDocument/2006/relationships/hyperlink" Target="https://drive.google.com/file/d/1yv7DivAzarTwPcFMq5i8WrLgznp9HM2K/view?usp=sharing" TargetMode="External"/><Relationship Id="rId178" Type="http://schemas.openxmlformats.org/officeDocument/2006/relationships/hyperlink" Target="https://drive.google.com/file/d/1zoTYYVIQGKahgbeeCW9-VawgCSPE_Zei/view?usp=sharing" TargetMode="External"/><Relationship Id="rId299" Type="http://schemas.openxmlformats.org/officeDocument/2006/relationships/hyperlink" Target="https://drive.google.com/file/d/1LWPJ_5sPeagzAhIyFJu0NLfm8N_pMJ15/view?usp=sharing" TargetMode="External"/><Relationship Id="rId177" Type="http://schemas.openxmlformats.org/officeDocument/2006/relationships/hyperlink" Target="https://drive.google.com/file/d/1bBs6BMQGIEdrHbzfSU53LMLv9eolct_w/view?usp=sharing" TargetMode="External"/><Relationship Id="rId298" Type="http://schemas.openxmlformats.org/officeDocument/2006/relationships/hyperlink" Target="https://drive.google.com/file/d/1yVg0LvNqNNMSJueMOpxROQQ5Xg6YE80I/view?usp=sharing" TargetMode="External"/><Relationship Id="rId20" Type="http://schemas.openxmlformats.org/officeDocument/2006/relationships/hyperlink" Target="https://drive.google.com/file/d/15e4iFHaIyccKM4mxiQr-e4vVXGO5PuY0/view?usp=sharing" TargetMode="External"/><Relationship Id="rId22" Type="http://schemas.openxmlformats.org/officeDocument/2006/relationships/hyperlink" Target="https://drive.google.com/file/d/1Rsm4gm9gcBHHSc0omYrRnhHu6UsUR7h0/view?usp=sharing" TargetMode="External"/><Relationship Id="rId21" Type="http://schemas.openxmlformats.org/officeDocument/2006/relationships/hyperlink" Target="https://drive.google.com/file/d/1yGWbUTF1OlNESG-Br2MBcjzKow3E2wei/view?usp=sharing" TargetMode="External"/><Relationship Id="rId24" Type="http://schemas.openxmlformats.org/officeDocument/2006/relationships/hyperlink" Target="https://drive.google.com/file/d/1U70X-g8iYIuhSr9rz_kgbEXWP5kMXqG5/view?usp=sharing" TargetMode="External"/><Relationship Id="rId23" Type="http://schemas.openxmlformats.org/officeDocument/2006/relationships/hyperlink" Target="https://drive.google.com/file/d/1jftPC_Fpy_f0xMKU2k78LqEniDwbwYNQ/view?usp=sharing" TargetMode="External"/><Relationship Id="rId26" Type="http://schemas.openxmlformats.org/officeDocument/2006/relationships/hyperlink" Target="https://drive.google.com/file/d/1WOdapbwfe6UsSCJYBTb8bsTN1A6ye6JN/view?usp=sharing" TargetMode="External"/><Relationship Id="rId25" Type="http://schemas.openxmlformats.org/officeDocument/2006/relationships/hyperlink" Target="https://drive.google.com/file/d/1YDfoTYC7cpi1TjqASJ24Hyy40uMnrRAy/view?usp=sharing" TargetMode="External"/><Relationship Id="rId28" Type="http://schemas.openxmlformats.org/officeDocument/2006/relationships/hyperlink" Target="https://drive.google.com/file/d/1SB2TEz8InMm5-F7V0jvRDfMrjIjV3McX/view?usp=sharing" TargetMode="External"/><Relationship Id="rId27" Type="http://schemas.openxmlformats.org/officeDocument/2006/relationships/hyperlink" Target="https://drive.google.com/file/d/1rjplnGbiT84WSZVfxiU-NXaW2SeLlSLc/view?usp=sharing" TargetMode="External"/><Relationship Id="rId29" Type="http://schemas.openxmlformats.org/officeDocument/2006/relationships/hyperlink" Target="https://drive.google.com/file/d/1Y-V5_b-AMT1NsXtVZipSBGUQudrutZzz/view?usp=sharing" TargetMode="External"/><Relationship Id="rId11" Type="http://schemas.openxmlformats.org/officeDocument/2006/relationships/hyperlink" Target="https://drive.google.com/file/d/1JsyY7uiTD_GDwhGotwEMgB0NxDFKyDCj/view?usp=sharing" TargetMode="External"/><Relationship Id="rId10" Type="http://schemas.openxmlformats.org/officeDocument/2006/relationships/hyperlink" Target="https://drive.google.com/file/d/1uZY55ypaWxp4ilbfX3evvoIXcISWeIr9/view?usp=sharing" TargetMode="External"/><Relationship Id="rId13" Type="http://schemas.openxmlformats.org/officeDocument/2006/relationships/hyperlink" Target="https://drive.google.com/file/d/1XOmUUpLREMn2YiS1BKP3IlZVeYa2aO_A/view?usp=sharing" TargetMode="External"/><Relationship Id="rId12" Type="http://schemas.openxmlformats.org/officeDocument/2006/relationships/hyperlink" Target="https://drive.google.com/file/d/16-Qx6S2xDwiARE6fdbUf3iXj_edE7OOl/view?usp=sharing" TargetMode="External"/><Relationship Id="rId15" Type="http://schemas.openxmlformats.org/officeDocument/2006/relationships/hyperlink" Target="https://drive.google.com/file/d/10rHDX0VfjLEPYMszIw3izIoEGS-EPVhc/view?usp=sharing" TargetMode="External"/><Relationship Id="rId198" Type="http://schemas.openxmlformats.org/officeDocument/2006/relationships/hyperlink" Target="https://drive.google.com/file/d/19vfDIKnlaht5Jbqwfm20CpGgyBk_aoD5/view?usp=sharing" TargetMode="External"/><Relationship Id="rId14" Type="http://schemas.openxmlformats.org/officeDocument/2006/relationships/hyperlink" Target="https://drive.google.com/file/d/1Xgi1z64sKTlzRi00XeIvH5H49xvYanNP/view?usp=sharing" TargetMode="External"/><Relationship Id="rId197" Type="http://schemas.openxmlformats.org/officeDocument/2006/relationships/hyperlink" Target="https://drive.google.com/file/d/1OMgVdemEgeAEvXZk6dE_wVtFPgNYGjgQ/view?usp=sharing" TargetMode="External"/><Relationship Id="rId17" Type="http://schemas.openxmlformats.org/officeDocument/2006/relationships/hyperlink" Target="https://drive.google.com/file/d/1d2uq9KfuPSuksO_h9hyueI8UGZL5iElN/view?usp=sharing" TargetMode="External"/><Relationship Id="rId196" Type="http://schemas.openxmlformats.org/officeDocument/2006/relationships/hyperlink" Target="https://drive.google.com/file/d/157ERUnk_hqpUsvyP9zoljCq7xMp-BP0E/view?usp=sharing" TargetMode="External"/><Relationship Id="rId16" Type="http://schemas.openxmlformats.org/officeDocument/2006/relationships/hyperlink" Target="https://drive.google.com/file/d/1UYhv1d7yM2dyN4LrZlG1r63Mm6BOFdAw/view?usp=sharing" TargetMode="External"/><Relationship Id="rId195" Type="http://schemas.openxmlformats.org/officeDocument/2006/relationships/hyperlink" Target="https://drive.google.com/file/d/1aYVuWejZ8a0Yxh6h-K4qsnURxjCRBU93/view?usp=sharing" TargetMode="External"/><Relationship Id="rId19" Type="http://schemas.openxmlformats.org/officeDocument/2006/relationships/hyperlink" Target="https://drive.google.com/file/d/1EFPgglMdh30eHhXTAYKQKQhvxq4u79WV/view?usp=sharing" TargetMode="External"/><Relationship Id="rId18" Type="http://schemas.openxmlformats.org/officeDocument/2006/relationships/hyperlink" Target="https://drive.google.com/file/d/19uMf2IbqTfQHvGq_7Ndew-tQHDfVVqy1/view?usp=sharing" TargetMode="External"/><Relationship Id="rId199" Type="http://schemas.openxmlformats.org/officeDocument/2006/relationships/hyperlink" Target="https://drive.google.com/file/d/1Zmw0rB8eygV-oU3LjmRJa0tPBDiqTMtd/view?usp=sharing" TargetMode="External"/><Relationship Id="rId84" Type="http://schemas.openxmlformats.org/officeDocument/2006/relationships/hyperlink" Target="https://drive.google.com/file/d/19P80walLB4F9U9VKJ6j7PKmoYhiO50t8/view?usp=sharing" TargetMode="External"/><Relationship Id="rId83" Type="http://schemas.openxmlformats.org/officeDocument/2006/relationships/hyperlink" Target="https://drive.google.com/file/d/1od9ABoFS6gEnxBkypmm4vHIWAFupfMB9/view?usp=sharing" TargetMode="External"/><Relationship Id="rId86" Type="http://schemas.openxmlformats.org/officeDocument/2006/relationships/hyperlink" Target="https://drive.google.com/file/d/1mVGllz2zOniXmx9qNHhu1ZPqu09lH4IL/view?usp=sharing" TargetMode="External"/><Relationship Id="rId85" Type="http://schemas.openxmlformats.org/officeDocument/2006/relationships/hyperlink" Target="https://drive.google.com/file/d/1LpduL7dl38WTAjO4e0a74lN7s3aMw17D/view?usp=sharing" TargetMode="External"/><Relationship Id="rId88" Type="http://schemas.openxmlformats.org/officeDocument/2006/relationships/hyperlink" Target="https://drive.google.com/file/d/1d1rTBwuCgI8dcIaTeWd3tFoymHTL2Ab8/view?usp=sharing" TargetMode="External"/><Relationship Id="rId150" Type="http://schemas.openxmlformats.org/officeDocument/2006/relationships/hyperlink" Target="https://drive.google.com/file/d/1_ldNR8QBMGCs-TJoM-HUV80anh9TMD8l/view?usp=sharing" TargetMode="External"/><Relationship Id="rId271" Type="http://schemas.openxmlformats.org/officeDocument/2006/relationships/hyperlink" Target="https://drive.google.com/file/d/1Y6TS8OP2cPqz0n40TM0aPxjpuSYwwoQ0/view?usp=sharing" TargetMode="External"/><Relationship Id="rId87" Type="http://schemas.openxmlformats.org/officeDocument/2006/relationships/hyperlink" Target="https://drive.google.com/file/d/1VXCnXNBK1ZKpMbrNxEpXR7WQ2duS_LQz/view?usp=sharing" TargetMode="External"/><Relationship Id="rId270" Type="http://schemas.openxmlformats.org/officeDocument/2006/relationships/hyperlink" Target="https://drive.google.com/file/d/1OtH9507KGKd1euUhhqHG_BmU9u8dlCuU/view?usp=sharing" TargetMode="External"/><Relationship Id="rId89" Type="http://schemas.openxmlformats.org/officeDocument/2006/relationships/hyperlink" Target="https://drive.google.com/file/d/19RGgOm5kjSxm9gAW45E9GLKMtwjk-6Ii/view?usp=sharing" TargetMode="External"/><Relationship Id="rId80" Type="http://schemas.openxmlformats.org/officeDocument/2006/relationships/hyperlink" Target="https://drive.google.com/file/d/1KBkBCjYGM-blVeuA7YLZP2j3OXERwLb5/view?usp=sharing" TargetMode="External"/><Relationship Id="rId82" Type="http://schemas.openxmlformats.org/officeDocument/2006/relationships/hyperlink" Target="https://drive.google.com/file/d/1GIVTeITNPhDFrGtdlLl9XuNVZ3n0nFMH/view?usp=sharing" TargetMode="External"/><Relationship Id="rId81" Type="http://schemas.openxmlformats.org/officeDocument/2006/relationships/hyperlink" Target="https://drive.google.com/file/d/1YHsI9hjOHBTxUlA3wpsHK86V-qg-sY5C/view?usp=sharing" TargetMode="External"/><Relationship Id="rId1" Type="http://schemas.openxmlformats.org/officeDocument/2006/relationships/hyperlink" Target="https://drive.google.com/file/d/1bUKehmePxR_clT8hbJMaLEmnEWsfrzMw/view?usp=sharing" TargetMode="External"/><Relationship Id="rId2" Type="http://schemas.openxmlformats.org/officeDocument/2006/relationships/hyperlink" Target="https://drive.google.com/file/d/12Nc_GA0KSncCrtENpO8DM5N7PfL8-1KE/view?usp=sharing" TargetMode="External"/><Relationship Id="rId3" Type="http://schemas.openxmlformats.org/officeDocument/2006/relationships/hyperlink" Target="https://drive.google.com/file/d/1DVaTMdPECSw48J5jFv0T1v_SVl9apYQw/view?usp=sharing" TargetMode="External"/><Relationship Id="rId149" Type="http://schemas.openxmlformats.org/officeDocument/2006/relationships/hyperlink" Target="https://drive.google.com/file/d/1QW_L8es1mBxAm9mlIA9yHRp-X0zMeRUi/view?usp=sharing" TargetMode="External"/><Relationship Id="rId4" Type="http://schemas.openxmlformats.org/officeDocument/2006/relationships/hyperlink" Target="https://drive.google.com/file/d/1IZxNbWSfTUDQWaK2TSl7Xc_yAe2CcKEO/view?usp=sharing" TargetMode="External"/><Relationship Id="rId148" Type="http://schemas.openxmlformats.org/officeDocument/2006/relationships/hyperlink" Target="https://drive.google.com/file/d/1onEEZkwsJ7SRpaHFcvLmnmFXLVJ6jqXR/view?usp=sharing" TargetMode="External"/><Relationship Id="rId269" Type="http://schemas.openxmlformats.org/officeDocument/2006/relationships/hyperlink" Target="https://drive.google.com/file/d/1L_xpbTa9f1QEw-OlHXEJK5d2-YVLs0ZN/view?usp=sharing" TargetMode="External"/><Relationship Id="rId9" Type="http://schemas.openxmlformats.org/officeDocument/2006/relationships/hyperlink" Target="https://drive.google.com/file/d/1kg8ja_52SUoFvt4K_KPsScgB_JEZ9j2M/view?usp=sharing" TargetMode="External"/><Relationship Id="rId143" Type="http://schemas.openxmlformats.org/officeDocument/2006/relationships/hyperlink" Target="https://drive.google.com/file/d/1UDrdsIncNzpSlDcGd419GYdNeuk9jSum/view?usp=sharing" TargetMode="External"/><Relationship Id="rId264" Type="http://schemas.openxmlformats.org/officeDocument/2006/relationships/hyperlink" Target="https://drive.google.com/file/d/1o80JZnvv--RC_dA7hcMDS0ruBs1rfoVr/view?usp=sharing" TargetMode="External"/><Relationship Id="rId142" Type="http://schemas.openxmlformats.org/officeDocument/2006/relationships/hyperlink" Target="https://drive.google.com/file/d/11d4-Ytgrni9OBp7jCqc0kvIrS2E3PUrD/view?usp=sharing" TargetMode="External"/><Relationship Id="rId263" Type="http://schemas.openxmlformats.org/officeDocument/2006/relationships/hyperlink" Target="https://drive.google.com/file/d/1JQLxmLEoGHqG6R3wg_viuRm3WbglRqor/view?usp=sharing" TargetMode="External"/><Relationship Id="rId141" Type="http://schemas.openxmlformats.org/officeDocument/2006/relationships/hyperlink" Target="https://drive.google.com/file/d/1eo3WhePSPZ0A4EcOG5_rU_7drsMk625E/view?usp=sharing" TargetMode="External"/><Relationship Id="rId262" Type="http://schemas.openxmlformats.org/officeDocument/2006/relationships/hyperlink" Target="https://drive.google.com/file/d/18t4nTzbrDETr5HlfSFFO3vp8J7eXLi6D/view?usp=sharing" TargetMode="External"/><Relationship Id="rId140" Type="http://schemas.openxmlformats.org/officeDocument/2006/relationships/hyperlink" Target="https://drive.google.com/file/d/1a1AL2mJX22jX9yKLknHaqO3yXzROszYN/view?usp=sharing" TargetMode="External"/><Relationship Id="rId261" Type="http://schemas.openxmlformats.org/officeDocument/2006/relationships/hyperlink" Target="https://drive.google.com/file/d/1fwdp3tIhpCnBvhgyp9gOMTQ2L-DaLrm7/view?usp=sharing" TargetMode="External"/><Relationship Id="rId5" Type="http://schemas.openxmlformats.org/officeDocument/2006/relationships/hyperlink" Target="https://drive.google.com/file/d/1AJZUzL7zKsNdMU6O8vv6jR4Lib3zc8pl/view?usp=sharing" TargetMode="External"/><Relationship Id="rId147" Type="http://schemas.openxmlformats.org/officeDocument/2006/relationships/hyperlink" Target="https://drive.google.com/file/d/105NaSuum69t2wZ_jmtSpasfSdb1uB_Ze/view?usp=sharing" TargetMode="External"/><Relationship Id="rId268" Type="http://schemas.openxmlformats.org/officeDocument/2006/relationships/hyperlink" Target="https://drive.google.com/file/d/1bURWMKFpmTaXQcisR9iz2-jO6oDB-RoU/view?usp=sharing" TargetMode="External"/><Relationship Id="rId6" Type="http://schemas.openxmlformats.org/officeDocument/2006/relationships/hyperlink" Target="https://drive.google.com/file/d/1YREB80uPUI1w-F8jXQO2NK2KeJ1Vn7zJ/view?usp=sharing" TargetMode="External"/><Relationship Id="rId146" Type="http://schemas.openxmlformats.org/officeDocument/2006/relationships/hyperlink" Target="https://drive.google.com/file/d/1TXJmTRGNnYtembft58rWpWubBR6zAIKX/view?usp=sharing" TargetMode="External"/><Relationship Id="rId267" Type="http://schemas.openxmlformats.org/officeDocument/2006/relationships/hyperlink" Target="https://drive.google.com/file/d/1JGpsCNtJafPLuvgnVz_slAailUIIDqQn/view?usp=sharing" TargetMode="External"/><Relationship Id="rId7" Type="http://schemas.openxmlformats.org/officeDocument/2006/relationships/hyperlink" Target="https://drive.google.com/file/d/1h4PAoHitHf7j9SdLiQ0XXQQOKWtsb9MU/view?usp=sharing" TargetMode="External"/><Relationship Id="rId145" Type="http://schemas.openxmlformats.org/officeDocument/2006/relationships/hyperlink" Target="https://drive.google.com/file/d/1FgKWKVeb_wS6Wn2lPRDp7jEhabkmHqJF/view?usp=sharing" TargetMode="External"/><Relationship Id="rId266" Type="http://schemas.openxmlformats.org/officeDocument/2006/relationships/hyperlink" Target="https://drive.google.com/file/d/1OSwhjr7BWia5V365FhJ0WAsKU6ABawsF/view?usp=sharing" TargetMode="External"/><Relationship Id="rId8" Type="http://schemas.openxmlformats.org/officeDocument/2006/relationships/hyperlink" Target="https://drive.google.com/file/d/188UGyw4QrvuSja5Qb4oNQO5qTs-cy1vQ/view?usp=sharing" TargetMode="External"/><Relationship Id="rId144" Type="http://schemas.openxmlformats.org/officeDocument/2006/relationships/hyperlink" Target="https://drive.google.com/file/d/12hTgktWPePeJPokkVJ9i2OSsxKnXKd0U/view?usp=sharing" TargetMode="External"/><Relationship Id="rId265" Type="http://schemas.openxmlformats.org/officeDocument/2006/relationships/hyperlink" Target="https://drive.google.com/file/d/1w_MuwJt7-mNH4WatCEEmCn5NHB_KPl12/view?usp=sharing" TargetMode="External"/><Relationship Id="rId73" Type="http://schemas.openxmlformats.org/officeDocument/2006/relationships/hyperlink" Target="https://drive.google.com/file/d/1wrnlHinzO7xk4rDrzjxJernY4WoVwcj3/view?usp=sharing" TargetMode="External"/><Relationship Id="rId72" Type="http://schemas.openxmlformats.org/officeDocument/2006/relationships/hyperlink" Target="https://drive.google.com/file/d/12Qso-vIngVnDyQ_7fE7g2uvDarBs2uWD/view?usp=sharing" TargetMode="External"/><Relationship Id="rId75" Type="http://schemas.openxmlformats.org/officeDocument/2006/relationships/hyperlink" Target="https://drive.google.com/file/d/12iUniXTl56U1RdJP5Ig7uKPA3OJPCNEP/view?usp=sharing" TargetMode="External"/><Relationship Id="rId74" Type="http://schemas.openxmlformats.org/officeDocument/2006/relationships/hyperlink" Target="https://drive.google.com/file/d/19lCIX3fJIIZukM_u64EOJxfwRHxKGK5k/view?usp=sharing" TargetMode="External"/><Relationship Id="rId77" Type="http://schemas.openxmlformats.org/officeDocument/2006/relationships/hyperlink" Target="https://drive.google.com/file/d/1Glhot6y0Gn9LehKRAgAa6tAtlpcSHdna/view?usp=sharing" TargetMode="External"/><Relationship Id="rId260" Type="http://schemas.openxmlformats.org/officeDocument/2006/relationships/hyperlink" Target="https://drive.google.com/file/d/1nwfq47KIgFo2mrvswC-FOTW3qZHrMu2m/view?usp=sharing" TargetMode="External"/><Relationship Id="rId76" Type="http://schemas.openxmlformats.org/officeDocument/2006/relationships/hyperlink" Target="https://drive.google.com/file/d/1Mcm-3lZsum8Awk9LP_G6XSqxBjmELrHi/view?usp=sharing" TargetMode="External"/><Relationship Id="rId79" Type="http://schemas.openxmlformats.org/officeDocument/2006/relationships/hyperlink" Target="https://drive.google.com/file/d/1-5IhHMrUHmPd8ffJpeX5ycz5K4Xr0o9r/view?usp=sharing" TargetMode="External"/><Relationship Id="rId78" Type="http://schemas.openxmlformats.org/officeDocument/2006/relationships/hyperlink" Target="https://drive.google.com/file/d/1arpIagqiwWoDpJ_MuGKlIaFgt9Iim-L7/view?usp=sharing" TargetMode="External"/><Relationship Id="rId71" Type="http://schemas.openxmlformats.org/officeDocument/2006/relationships/hyperlink" Target="https://drive.google.com/file/d/1B6QM77Rt-6Teq_18Nf8_io1ttABsFXw5/view?usp=sharing" TargetMode="External"/><Relationship Id="rId70" Type="http://schemas.openxmlformats.org/officeDocument/2006/relationships/hyperlink" Target="https://drive.google.com/file/d/1nJwMhZprPzvVvXSxqGPXgcUL1vVqprCQ/view?usp=sharing" TargetMode="External"/><Relationship Id="rId139" Type="http://schemas.openxmlformats.org/officeDocument/2006/relationships/hyperlink" Target="https://drive.google.com/file/d/1A0ivYh6CdOerZfXZ7z0_E8cGqJklzKyW/view?usp=sharing" TargetMode="External"/><Relationship Id="rId138" Type="http://schemas.openxmlformats.org/officeDocument/2006/relationships/hyperlink" Target="https://drive.google.com/file/d/1IBDLcZRjGiS5_Kh5OEqyEiLGEijT6JS6/view?usp=sharing" TargetMode="External"/><Relationship Id="rId259" Type="http://schemas.openxmlformats.org/officeDocument/2006/relationships/hyperlink" Target="https://drive.google.com/file/d/1dPdh8nyYJ2BAh_hZTCVvhGM4OYaQYGzb/view?usp=sharing" TargetMode="External"/><Relationship Id="rId137" Type="http://schemas.openxmlformats.org/officeDocument/2006/relationships/hyperlink" Target="https://drive.google.com/file/d/1kVt43-qVr26dMfe7jMuirUdHJwBUVXm1/view?usp=sharing" TargetMode="External"/><Relationship Id="rId258" Type="http://schemas.openxmlformats.org/officeDocument/2006/relationships/hyperlink" Target="https://drive.google.com/file/d/13eubvJhjQxnXfH7GAXoDs6gfBdZEbQT1/view?usp=sharing" TargetMode="External"/><Relationship Id="rId132" Type="http://schemas.openxmlformats.org/officeDocument/2006/relationships/hyperlink" Target="https://drive.google.com/file/d/1Od50qvps9A_0Dsd-6XXDow2p150_OY_p/view?usp=sharing" TargetMode="External"/><Relationship Id="rId253" Type="http://schemas.openxmlformats.org/officeDocument/2006/relationships/hyperlink" Target="https://drive.google.com/file/d/1aIqE_0-BDJzYHPOAbhcDri2gehr9rSnD/view?usp=sharing" TargetMode="External"/><Relationship Id="rId131" Type="http://schemas.openxmlformats.org/officeDocument/2006/relationships/hyperlink" Target="https://drive.google.com/file/d/1UyqxES5VuJSUxQUXUzeKFo9wz-Zta2P_/view?usp=sharing" TargetMode="External"/><Relationship Id="rId252" Type="http://schemas.openxmlformats.org/officeDocument/2006/relationships/hyperlink" Target="https://drive.google.com/file/d/1yWo17st9B7TZU8E48V4nr_JTct_r0LpO/view?usp=sharing" TargetMode="External"/><Relationship Id="rId130" Type="http://schemas.openxmlformats.org/officeDocument/2006/relationships/hyperlink" Target="https://drive.google.com/file/d/1iTwDZkNh-FvJQm58UY420CF0xw-zAg6R/view?usp=sharing" TargetMode="External"/><Relationship Id="rId251" Type="http://schemas.openxmlformats.org/officeDocument/2006/relationships/hyperlink" Target="https://drive.google.com/file/d/1dNvjW1-TwgBcTHug09k2en7ymDS7LRmr/view?usp=sharing" TargetMode="External"/><Relationship Id="rId250" Type="http://schemas.openxmlformats.org/officeDocument/2006/relationships/hyperlink" Target="https://drive.google.com/file/d/1y-yryBqBT33DwnKkHQxyZi72R910g3LB/view?usp=sharing" TargetMode="External"/><Relationship Id="rId136" Type="http://schemas.openxmlformats.org/officeDocument/2006/relationships/hyperlink" Target="https://drive.google.com/file/d/1t90hmpehwjN5VmXQSR3NLGpj91yGQq2-/view?usp=sharing" TargetMode="External"/><Relationship Id="rId257" Type="http://schemas.openxmlformats.org/officeDocument/2006/relationships/hyperlink" Target="https://drive.google.com/file/d/1QnPSRSh2SbXgxzotMUkv9ddKzMnqiQs8/view?usp=sharing" TargetMode="External"/><Relationship Id="rId135" Type="http://schemas.openxmlformats.org/officeDocument/2006/relationships/hyperlink" Target="https://drive.google.com/file/d/1BcP8gW7RUhVFFI53v4XLv9xSaQ3HuRBY/view?usp=sharing" TargetMode="External"/><Relationship Id="rId256" Type="http://schemas.openxmlformats.org/officeDocument/2006/relationships/hyperlink" Target="https://drive.google.com/file/d/1djJYfrGx67a82rVsv4MXNjZYkw-SlrRK/view?usp=sharing" TargetMode="External"/><Relationship Id="rId134" Type="http://schemas.openxmlformats.org/officeDocument/2006/relationships/hyperlink" Target="https://drive.google.com/file/d/1a3TCzVtisi57qadZ1xtBRqqHIyS159ez/view?usp=sharing" TargetMode="External"/><Relationship Id="rId255" Type="http://schemas.openxmlformats.org/officeDocument/2006/relationships/hyperlink" Target="https://drive.google.com/file/d/1nJop3Zszlf6LcWL4TS3CZWB4SgkbIgWz/view?usp=sharing" TargetMode="External"/><Relationship Id="rId133" Type="http://schemas.openxmlformats.org/officeDocument/2006/relationships/hyperlink" Target="https://drive.google.com/file/d/1WzyIP7Fb9JId9JDlMTMErfqiSYP-Psz_/view?usp=sharing" TargetMode="External"/><Relationship Id="rId254" Type="http://schemas.openxmlformats.org/officeDocument/2006/relationships/hyperlink" Target="https://drive.google.com/file/d/1z9Zk8i6m7vUphNCLC9uPCH7e82E1rDMH/view?usp=sharing" TargetMode="External"/><Relationship Id="rId62" Type="http://schemas.openxmlformats.org/officeDocument/2006/relationships/hyperlink" Target="https://drive.google.com/file/d/1ma5VtvRvyRIMSeyDrDc8ArGDFGd2qjLR/view?usp=sharing" TargetMode="External"/><Relationship Id="rId61" Type="http://schemas.openxmlformats.org/officeDocument/2006/relationships/hyperlink" Target="https://drive.google.com/file/d/1gvxGIdlO_Zlvuc_BulrVWFn8AL7wWp-o/view?usp=sharing" TargetMode="External"/><Relationship Id="rId64" Type="http://schemas.openxmlformats.org/officeDocument/2006/relationships/hyperlink" Target="https://drive.google.com/file/d/1mGaSMnESbNPFKPAtvlT7f9uk6Z7_FwQc/view?usp=sharing" TargetMode="External"/><Relationship Id="rId63" Type="http://schemas.openxmlformats.org/officeDocument/2006/relationships/hyperlink" Target="https://drive.google.com/file/d/1RwvnogT6tJpwk3tjiSfQb_powuhZk5N3/view?usp=sharing" TargetMode="External"/><Relationship Id="rId66" Type="http://schemas.openxmlformats.org/officeDocument/2006/relationships/hyperlink" Target="https://drive.google.com/file/d/1kZ3yIskLwz0vcOhXNho4l475KlcEohZo/view?usp=sharing" TargetMode="External"/><Relationship Id="rId172" Type="http://schemas.openxmlformats.org/officeDocument/2006/relationships/hyperlink" Target="https://drive.google.com/file/d/1MyMlj3Wug0LT8662C0dLoGRcpSo3ao_J/view?usp=sharing" TargetMode="External"/><Relationship Id="rId293" Type="http://schemas.openxmlformats.org/officeDocument/2006/relationships/hyperlink" Target="https://drive.google.com/file/d/1amH-cFwslq4xpZ0hT1zW2MaYK7vVrbVs/view?usp=sharing" TargetMode="External"/><Relationship Id="rId65" Type="http://schemas.openxmlformats.org/officeDocument/2006/relationships/hyperlink" Target="https://drive.google.com/file/d/1EcBwK6nWj1aAh0xi8FDTZnWXz5yseQ_-/view?usp=sharing" TargetMode="External"/><Relationship Id="rId171" Type="http://schemas.openxmlformats.org/officeDocument/2006/relationships/hyperlink" Target="https://drive.google.com/file/d/1LlhSzcm0EkJk5zU_O5gCUjCthzsf5lbY/view?usp=sharing" TargetMode="External"/><Relationship Id="rId292" Type="http://schemas.openxmlformats.org/officeDocument/2006/relationships/hyperlink" Target="https://drive.google.com/file/d/15o8ZtT1VApN6iUf3PqIA9uCN2algqHeU/view?usp=sharing" TargetMode="External"/><Relationship Id="rId68" Type="http://schemas.openxmlformats.org/officeDocument/2006/relationships/hyperlink" Target="https://drive.google.com/file/d/1c179H3JF__-Wfm0Rp7ZEdHZHX7LSqOJf/view?usp=sharing" TargetMode="External"/><Relationship Id="rId170" Type="http://schemas.openxmlformats.org/officeDocument/2006/relationships/hyperlink" Target="https://drive.google.com/file/d/1SPu8awtx5mOB3Tn9NdazS23dGzKdJTiM/view?usp=sharing" TargetMode="External"/><Relationship Id="rId291" Type="http://schemas.openxmlformats.org/officeDocument/2006/relationships/hyperlink" Target="https://drive.google.com/file/d/1AK7GOeKGgOQwOMOwWcLZ1-XxOYPLN0Yj/view?usp=sharing" TargetMode="External"/><Relationship Id="rId67" Type="http://schemas.openxmlformats.org/officeDocument/2006/relationships/hyperlink" Target="https://drive.google.com/file/d/1DGYeTAsUdyZgtJSbYyyat2DHSywTs0qx/view?usp=sharing" TargetMode="External"/><Relationship Id="rId290" Type="http://schemas.openxmlformats.org/officeDocument/2006/relationships/hyperlink" Target="https://drive.google.com/file/d/1hsy36nqHKilOAI8BSE9-fi_N32208CuN/view?usp=sharing" TargetMode="External"/><Relationship Id="rId60" Type="http://schemas.openxmlformats.org/officeDocument/2006/relationships/hyperlink" Target="https://drive.google.com/file/d/1zKGrNcKI8GInKhvG43F0bFkVT4nvWWXN/view?usp=sharing" TargetMode="External"/><Relationship Id="rId165" Type="http://schemas.openxmlformats.org/officeDocument/2006/relationships/hyperlink" Target="https://drive.google.com/file/d/1w25qohqrLvnNqAqiOJUakHtiF01ADw5x/view?usp=sharing" TargetMode="External"/><Relationship Id="rId286" Type="http://schemas.openxmlformats.org/officeDocument/2006/relationships/hyperlink" Target="https://drive.google.com/file/d/1-jEx4d5ggu_zekqwodmhrudEQtySiEpD/view?usp=sharing" TargetMode="External"/><Relationship Id="rId69" Type="http://schemas.openxmlformats.org/officeDocument/2006/relationships/hyperlink" Target="https://drive.google.com/file/d/1nZJAu8VwDoFSScCmVrM-QJu5sWsracCj/view?usp=sharing" TargetMode="External"/><Relationship Id="rId164" Type="http://schemas.openxmlformats.org/officeDocument/2006/relationships/hyperlink" Target="https://drive.google.com/file/d/1ZPqsnp1eFM2nW2MJvJedTU65f4x-93k3/view?usp=sharing" TargetMode="External"/><Relationship Id="rId285" Type="http://schemas.openxmlformats.org/officeDocument/2006/relationships/hyperlink" Target="https://drive.google.com/file/d/1jDmlzIe6BJAJT6zl6lTwm94CJhcRcUEm/view?usp=sharing" TargetMode="External"/><Relationship Id="rId163" Type="http://schemas.openxmlformats.org/officeDocument/2006/relationships/hyperlink" Target="https://drive.google.com/file/d/1BRlrNbkJ-sU0gcuZFI6Q_7L74y2u_Rq9/view?usp=sharing" TargetMode="External"/><Relationship Id="rId284" Type="http://schemas.openxmlformats.org/officeDocument/2006/relationships/hyperlink" Target="https://drive.google.com/file/d/1TaHF3-rKyl2StjCL1SDcq4aLJUreLFx7/view?usp=sharing" TargetMode="External"/><Relationship Id="rId162" Type="http://schemas.openxmlformats.org/officeDocument/2006/relationships/hyperlink" Target="https://drive.google.com/file/d/1ZRhFVM1V0wLSUMp8pXkyNzbxaXbRM8XF/view?usp=sharing" TargetMode="External"/><Relationship Id="rId283" Type="http://schemas.openxmlformats.org/officeDocument/2006/relationships/hyperlink" Target="https://drive.google.com/file/d/13iC58QKkwecAuaUeMI4XYCgP95KHMs0V/view?usp=sharing" TargetMode="External"/><Relationship Id="rId169" Type="http://schemas.openxmlformats.org/officeDocument/2006/relationships/hyperlink" Target="https://drive.google.com/file/d/1ntgsDMRw7jJ32Zt1vBwwSAkDmVvUrsj5/view?usp=sharing" TargetMode="External"/><Relationship Id="rId168" Type="http://schemas.openxmlformats.org/officeDocument/2006/relationships/hyperlink" Target="https://drive.google.com/file/d/1W7I27ivwcrFKC0UYzQTfxqNFnpyz5fkI/view?usp=sharing" TargetMode="External"/><Relationship Id="rId289" Type="http://schemas.openxmlformats.org/officeDocument/2006/relationships/hyperlink" Target="https://drive.google.com/file/d/1cT7os3avhMaXWkcQz32hFUC6O6e12Aan/view?usp=sharing" TargetMode="External"/><Relationship Id="rId167" Type="http://schemas.openxmlformats.org/officeDocument/2006/relationships/hyperlink" Target="https://drive.google.com/file/d/1zkKfsbSsRqe6Ll3u7sh4yO-wEFNyGKZX/view?usp=sharing" TargetMode="External"/><Relationship Id="rId288" Type="http://schemas.openxmlformats.org/officeDocument/2006/relationships/hyperlink" Target="https://drive.google.com/file/d/1cr7EXuk2Kqr1VsCoVp-2IkQxxQqbd4tk/view?usp=sharing" TargetMode="External"/><Relationship Id="rId166" Type="http://schemas.openxmlformats.org/officeDocument/2006/relationships/hyperlink" Target="https://drive.google.com/file/d/1cw3GW14LzSHnk9CUSmwdfRqfy6Uu_81j/view?usp=sharing" TargetMode="External"/><Relationship Id="rId287" Type="http://schemas.openxmlformats.org/officeDocument/2006/relationships/hyperlink" Target="https://drive.google.com/file/d/1st95fR0ysut9_KA_ENzgfgpCdQ7gThgg/view?usp=sharing" TargetMode="External"/><Relationship Id="rId51" Type="http://schemas.openxmlformats.org/officeDocument/2006/relationships/hyperlink" Target="https://drive.google.com/file/d/1ZrGKtnU41R6AMOYKmw4dtsCrB8QwmfSY/view?usp=sharing" TargetMode="External"/><Relationship Id="rId50" Type="http://schemas.openxmlformats.org/officeDocument/2006/relationships/hyperlink" Target="https://drive.google.com/file/d/1E8qs9kjOeLSkG9VTpUzQgX9dLDLqm8Vt/view?usp=sharing" TargetMode="External"/><Relationship Id="rId53" Type="http://schemas.openxmlformats.org/officeDocument/2006/relationships/hyperlink" Target="https://drive.google.com/file/d/1mdad2G18AknnaOznsvGVY1UPzVJOol2d/view?usp=sharing" TargetMode="External"/><Relationship Id="rId52" Type="http://schemas.openxmlformats.org/officeDocument/2006/relationships/hyperlink" Target="https://drive.google.com/file/d/1cNrZA6k-q_Rsk2dxT9obYOk92bNUtRgu/view?usp=sharing" TargetMode="External"/><Relationship Id="rId55" Type="http://schemas.openxmlformats.org/officeDocument/2006/relationships/hyperlink" Target="https://drive.google.com/file/d/1abnrmISk6SGhP7MHL00eNa5eSyh9J0Pm/view?usp=sharing" TargetMode="External"/><Relationship Id="rId161" Type="http://schemas.openxmlformats.org/officeDocument/2006/relationships/hyperlink" Target="https://drive.google.com/file/d/1auAQtIQc6G6TNhPgmzjV_uxhIUlb1Mld/view?usp=sharing" TargetMode="External"/><Relationship Id="rId282" Type="http://schemas.openxmlformats.org/officeDocument/2006/relationships/hyperlink" Target="https://drive.google.com/file/d/1hItAFgZrU7_80tWhr8MLU409uIBksWFR/view?usp=sharing" TargetMode="External"/><Relationship Id="rId54" Type="http://schemas.openxmlformats.org/officeDocument/2006/relationships/hyperlink" Target="https://drive.google.com/file/d/1DdsllcmzG2___3WsQwznYAzL43w-eIOX/view?usp=sharing" TargetMode="External"/><Relationship Id="rId160" Type="http://schemas.openxmlformats.org/officeDocument/2006/relationships/hyperlink" Target="https://drive.google.com/file/d/1Npe8GhFbqCPCG1lEVibXSJFePAlF5kqK/view?usp=sharing" TargetMode="External"/><Relationship Id="rId281" Type="http://schemas.openxmlformats.org/officeDocument/2006/relationships/hyperlink" Target="https://drive.google.com/file/d/13eVyfLtmuz1tD3yvRYFJT7L1N6Kpi1bL/view?usp=sharing" TargetMode="External"/><Relationship Id="rId57" Type="http://schemas.openxmlformats.org/officeDocument/2006/relationships/hyperlink" Target="https://drive.google.com/file/d/18bkWGk_D92xLv-GITG4Q94dbXhII18Oi/view?usp=sharing" TargetMode="External"/><Relationship Id="rId280" Type="http://schemas.openxmlformats.org/officeDocument/2006/relationships/hyperlink" Target="https://drive.google.com/file/d/1kuCAy-ubGPuw9I5i1eLMbDFPd-v9n62x/view?usp=sharing" TargetMode="External"/><Relationship Id="rId56" Type="http://schemas.openxmlformats.org/officeDocument/2006/relationships/hyperlink" Target="https://drive.google.com/file/d/1GGm7JHwToU6G6CFOGOIbrynUm5bAwvGz/view?usp=sharing" TargetMode="External"/><Relationship Id="rId159" Type="http://schemas.openxmlformats.org/officeDocument/2006/relationships/hyperlink" Target="https://drive.google.com/file/d/1qvncR_Goe7A2yRo1ULuRXDHPwZ_75oNg/view?usp=sharing" TargetMode="External"/><Relationship Id="rId59" Type="http://schemas.openxmlformats.org/officeDocument/2006/relationships/hyperlink" Target="https://drive.google.com/file/d/13pgcvrbIk2Cwevo9mhMwJTuMJJ-lCset/view?usp=sharing" TargetMode="External"/><Relationship Id="rId154" Type="http://schemas.openxmlformats.org/officeDocument/2006/relationships/hyperlink" Target="https://drive.google.com/file/d/1a0T1Pq6mLv48kIbjn1evTFSYf8fcBrKx/view?usp=sharing" TargetMode="External"/><Relationship Id="rId275" Type="http://schemas.openxmlformats.org/officeDocument/2006/relationships/hyperlink" Target="https://drive.google.com/file/d/1xptiOkoBCQr3m6dLTinznOw03_xUehs5/view?usp=sharing" TargetMode="External"/><Relationship Id="rId58" Type="http://schemas.openxmlformats.org/officeDocument/2006/relationships/hyperlink" Target="https://drive.google.com/file/d/1tySsMRrh4E3UdO-T81r1GEOYOkqCszCN/view?usp=sharing" TargetMode="External"/><Relationship Id="rId153" Type="http://schemas.openxmlformats.org/officeDocument/2006/relationships/hyperlink" Target="https://drive.google.com/file/d/1ump2LglyeBVNJc2oOyUp3DK7-OLfz76B/view?usp=sharing" TargetMode="External"/><Relationship Id="rId274" Type="http://schemas.openxmlformats.org/officeDocument/2006/relationships/hyperlink" Target="https://drive.google.com/file/d/12NBkPeEZ1_PqefPIs7EKb7qzeJF0C8KH/view?usp=sharing" TargetMode="External"/><Relationship Id="rId152" Type="http://schemas.openxmlformats.org/officeDocument/2006/relationships/hyperlink" Target="https://drive.google.com/file/d/161LOhzPqaC54s2rdz7PVN6Y4VTPNsX1o/view?usp=sharing" TargetMode="External"/><Relationship Id="rId273" Type="http://schemas.openxmlformats.org/officeDocument/2006/relationships/hyperlink" Target="https://drive.google.com/file/d/1IK_yTYmF5Bqz1h369aNLZpwxnMj5AqXX/view?usp=sharing" TargetMode="External"/><Relationship Id="rId151" Type="http://schemas.openxmlformats.org/officeDocument/2006/relationships/hyperlink" Target="https://drive.google.com/file/d/13AHt9zT7QWjLvHEJEu-VH1XUErN6PNNz/view?usp=sharing" TargetMode="External"/><Relationship Id="rId272" Type="http://schemas.openxmlformats.org/officeDocument/2006/relationships/hyperlink" Target="https://drive.google.com/file/d/10rr_VYxCubcxTpqMjKwkbK_fYQ6s0VNc/view?usp=sharing" TargetMode="External"/><Relationship Id="rId158" Type="http://schemas.openxmlformats.org/officeDocument/2006/relationships/hyperlink" Target="https://drive.google.com/file/d/1HMKkWS9GduGXGjXaAfOFpWKopN-o3tRU/view?usp=sharing" TargetMode="External"/><Relationship Id="rId279" Type="http://schemas.openxmlformats.org/officeDocument/2006/relationships/hyperlink" Target="https://drive.google.com/file/d/1SMpda6raCAyygZ9ldcHd3dzm6-kawti2/view?usp=sharing" TargetMode="External"/><Relationship Id="rId157" Type="http://schemas.openxmlformats.org/officeDocument/2006/relationships/hyperlink" Target="https://drive.google.com/file/d/1h1dhrwpFR_nWvo7uHB0SY1irtwpH9egy/view?usp=sharing" TargetMode="External"/><Relationship Id="rId278" Type="http://schemas.openxmlformats.org/officeDocument/2006/relationships/hyperlink" Target="https://drive.google.com/file/d/18V2oAkbfWVj7fqe6hWqAyAAr21bWTsPk/view?usp=sharing" TargetMode="External"/><Relationship Id="rId156" Type="http://schemas.openxmlformats.org/officeDocument/2006/relationships/hyperlink" Target="https://drive.google.com/file/d/14Rs4BBNDUud5C0FROHeQKQ07vb22Uohc/view?usp=sharing" TargetMode="External"/><Relationship Id="rId277" Type="http://schemas.openxmlformats.org/officeDocument/2006/relationships/hyperlink" Target="https://drive.google.com/file/d/1qeGgqu8J7hhJMZhl9FB6k3AVADfCjgXO/view?usp=sharing" TargetMode="External"/><Relationship Id="rId155" Type="http://schemas.openxmlformats.org/officeDocument/2006/relationships/hyperlink" Target="https://drive.google.com/file/d/1jAclg7sXCGZ6uvjdfJabla2-tbPD3FDS/view?usp=sharing" TargetMode="External"/><Relationship Id="rId276" Type="http://schemas.openxmlformats.org/officeDocument/2006/relationships/hyperlink" Target="https://drive.google.com/file/d/1JkvJCEtrgzu5YdYdhHoZb9Hw0d3aplF3/view?usp=sharing" TargetMode="External"/><Relationship Id="rId107" Type="http://schemas.openxmlformats.org/officeDocument/2006/relationships/hyperlink" Target="https://drive.google.com/file/d/1wC9EcVH6-_YB_1b24sXYQ5vs4IuC4VaD/view?usp=sharing" TargetMode="External"/><Relationship Id="rId228" Type="http://schemas.openxmlformats.org/officeDocument/2006/relationships/hyperlink" Target="https://drive.google.com/file/d/1z1NSYfo7V1fR5LyJRboWshrF9W5j8XDJ/view?usp=sharing" TargetMode="External"/><Relationship Id="rId106" Type="http://schemas.openxmlformats.org/officeDocument/2006/relationships/hyperlink" Target="https://drive.google.com/file/d/1uhAeNbltDVkqKIj7in7zFx5ZdVKs-q-R/view?usp=sharing" TargetMode="External"/><Relationship Id="rId227" Type="http://schemas.openxmlformats.org/officeDocument/2006/relationships/hyperlink" Target="https://drive.google.com/file/d/1fOlHZoEiP8zCINkVUqqEq2GlAaV8au8C/view?usp=sharing" TargetMode="External"/><Relationship Id="rId105" Type="http://schemas.openxmlformats.org/officeDocument/2006/relationships/hyperlink" Target="https://drive.google.com/file/d/1RtWq8DculzDTTk7eJX5Rzl3S3CuhQFyB/view?usp=sharing" TargetMode="External"/><Relationship Id="rId226" Type="http://schemas.openxmlformats.org/officeDocument/2006/relationships/hyperlink" Target="https://drive.google.com/file/d/1mHWO5NftL9rRzpPTSST4oISZVqlFwow0/view?usp=sharing" TargetMode="External"/><Relationship Id="rId104" Type="http://schemas.openxmlformats.org/officeDocument/2006/relationships/hyperlink" Target="https://drive.google.com/file/d/1SPUZQAegSkp0jvTaQ9Y51F9gJSQqoj_t/view?usp=sharing" TargetMode="External"/><Relationship Id="rId225" Type="http://schemas.openxmlformats.org/officeDocument/2006/relationships/hyperlink" Target="https://drive.google.com/file/d/1T8UteSUR9K5--A8-fitlKPpuwSihfSJy/view?usp=sharing" TargetMode="External"/><Relationship Id="rId109" Type="http://schemas.openxmlformats.org/officeDocument/2006/relationships/hyperlink" Target="https://drive.google.com/file/d/1fYpsvmoe1gXYI4HittZPSEHFD0is6032/view?usp=sharing" TargetMode="External"/><Relationship Id="rId108" Type="http://schemas.openxmlformats.org/officeDocument/2006/relationships/hyperlink" Target="https://drive.google.com/file/d/1DC4WX37reidtrF9iTSgqgZDoVAj8TBwX/view?usp=sharing" TargetMode="External"/><Relationship Id="rId229" Type="http://schemas.openxmlformats.org/officeDocument/2006/relationships/hyperlink" Target="https://drive.google.com/file/d/1O_k-H7m9X1WEHR2m1LesHWCSHvigh-PW/view?usp=sharing" TargetMode="External"/><Relationship Id="rId220" Type="http://schemas.openxmlformats.org/officeDocument/2006/relationships/hyperlink" Target="https://drive.google.com/file/d/1cTXUrN7lubFi7nc11YfTynfp0aviU4VX/view?usp=sharing" TargetMode="External"/><Relationship Id="rId103" Type="http://schemas.openxmlformats.org/officeDocument/2006/relationships/hyperlink" Target="https://drive.google.com/file/d/1-s0GBTDJ1Kus5DIAzgfS7UQqgRj8k1HU/view?usp=sharing" TargetMode="External"/><Relationship Id="rId224" Type="http://schemas.openxmlformats.org/officeDocument/2006/relationships/hyperlink" Target="https://drive.google.com/file/d/1mrZvDClDEjy3Pnu_joLaIitcL-ndA0Ja/view?usp=sharing" TargetMode="External"/><Relationship Id="rId102" Type="http://schemas.openxmlformats.org/officeDocument/2006/relationships/hyperlink" Target="https://drive.google.com/file/d/1GKKkhgB_evILjg2s425kb6NtHH6kPfkE/view?usp=sharing" TargetMode="External"/><Relationship Id="rId223" Type="http://schemas.openxmlformats.org/officeDocument/2006/relationships/hyperlink" Target="https://drive.google.com/file/d/16EWbWVuWb_G-3_21Xv_y9IXPVmGHT1gU/view?usp=sharing" TargetMode="External"/><Relationship Id="rId101" Type="http://schemas.openxmlformats.org/officeDocument/2006/relationships/hyperlink" Target="https://drive.google.com/file/d/11hfA5kK8vn3QCQ9aUyaDhQEeWavoPJ5a/view?usp=sharing" TargetMode="External"/><Relationship Id="rId222" Type="http://schemas.openxmlformats.org/officeDocument/2006/relationships/hyperlink" Target="https://drive.google.com/file/d/1e2HkMDKOxlOn8RQWlhZ7DtF_94a6Iu4N/view?usp=sharing" TargetMode="External"/><Relationship Id="rId100" Type="http://schemas.openxmlformats.org/officeDocument/2006/relationships/hyperlink" Target="https://drive.google.com/file/d/1axQutuc6_h0rfBnKX_-JFzB2Feu8AhWL/view?usp=sharing" TargetMode="External"/><Relationship Id="rId221" Type="http://schemas.openxmlformats.org/officeDocument/2006/relationships/hyperlink" Target="https://drive.google.com/file/d/1c7In0pWn3Ti7IVmR-fvBLydsFJEYfoi-/view?usp=sharing" TargetMode="External"/><Relationship Id="rId217" Type="http://schemas.openxmlformats.org/officeDocument/2006/relationships/hyperlink" Target="https://drive.google.com/file/d/1leXzwyGYdr6thaHGpPpsEC3QiqfFbmJh/view?usp=sharing" TargetMode="External"/><Relationship Id="rId216" Type="http://schemas.openxmlformats.org/officeDocument/2006/relationships/hyperlink" Target="https://drive.google.com/file/d/1_SH02lghuWYBhcozi4i5yfqRZbrQDjxr/view?usp=sharing" TargetMode="External"/><Relationship Id="rId215" Type="http://schemas.openxmlformats.org/officeDocument/2006/relationships/hyperlink" Target="https://drive.google.com/file/d/1h88kCSENlfh2E6h0d5UfpSiWjS-yg4J8/view?usp=sharing" TargetMode="External"/><Relationship Id="rId214" Type="http://schemas.openxmlformats.org/officeDocument/2006/relationships/hyperlink" Target="https://drive.google.com/file/d/1r7O0LE-6uLy8L5xNfzNiF0sjhUMAz-GG/view?usp=sharing" TargetMode="External"/><Relationship Id="rId219" Type="http://schemas.openxmlformats.org/officeDocument/2006/relationships/hyperlink" Target="https://drive.google.com/file/d/19oGs9cW6jkGaRhLmK66_AI1GStLXRHyc/view?usp=sharing" TargetMode="External"/><Relationship Id="rId218" Type="http://schemas.openxmlformats.org/officeDocument/2006/relationships/hyperlink" Target="https://drive.google.com/file/d/1ud3vVWZqO-ZeykhN4b9fsVqT9aajbCFR/view?usp=sharing" TargetMode="External"/><Relationship Id="rId213" Type="http://schemas.openxmlformats.org/officeDocument/2006/relationships/hyperlink" Target="https://drive.google.com/file/d/1osmbjLABqtYCWQW6Ig18U66X58pryDvi/view?usp=sharing" TargetMode="External"/><Relationship Id="rId212" Type="http://schemas.openxmlformats.org/officeDocument/2006/relationships/hyperlink" Target="https://drive.google.com/file/d/12il6rIPXVw0w5EDxCFNQ7DaFGFUAFuN9/view?usp=sharing" TargetMode="External"/><Relationship Id="rId211" Type="http://schemas.openxmlformats.org/officeDocument/2006/relationships/hyperlink" Target="https://drive.google.com/file/d/1TTQYDasY7PI83a4e1FLLLleSdXa9ppA4/view?usp=sharing" TargetMode="External"/><Relationship Id="rId210" Type="http://schemas.openxmlformats.org/officeDocument/2006/relationships/hyperlink" Target="https://drive.google.com/file/d/1Jd0OocE6hq-sbKN3CvaRXWHOD53XsYSe/view?usp=sharing" TargetMode="External"/><Relationship Id="rId129" Type="http://schemas.openxmlformats.org/officeDocument/2006/relationships/hyperlink" Target="https://drive.google.com/file/d/1kji8Cpx6OHJT-_8oWAqqwal8rZ-FFTmM/view?usp=sharing" TargetMode="External"/><Relationship Id="rId128" Type="http://schemas.openxmlformats.org/officeDocument/2006/relationships/hyperlink" Target="https://drive.google.com/file/d/1kJsILSxQHFGXCvWoEZdFJ52XL6bY1oQz/view?usp=sharing" TargetMode="External"/><Relationship Id="rId249" Type="http://schemas.openxmlformats.org/officeDocument/2006/relationships/hyperlink" Target="https://drive.google.com/file/d/1jzNZQDEO_CjdRFD5SSL2zG9_-VgdlCD0/view?usp=sharing" TargetMode="External"/><Relationship Id="rId127" Type="http://schemas.openxmlformats.org/officeDocument/2006/relationships/hyperlink" Target="https://drive.google.com/file/d/11KTlZk49DyUionAlK2Slc97kG7X3HAJD/view?usp=sharing" TargetMode="External"/><Relationship Id="rId248" Type="http://schemas.openxmlformats.org/officeDocument/2006/relationships/hyperlink" Target="https://drive.google.com/file/d/1MUMatuTKZCOeYRPFIYRapEwzf7-xJ6tN/view?usp=sharing" TargetMode="External"/><Relationship Id="rId126" Type="http://schemas.openxmlformats.org/officeDocument/2006/relationships/hyperlink" Target="https://drive.google.com/file/d/1ccdXNNwMvaRFDu4xxNyajBIJvFSyLvPh/view?usp=sharing" TargetMode="External"/><Relationship Id="rId247" Type="http://schemas.openxmlformats.org/officeDocument/2006/relationships/hyperlink" Target="https://drive.google.com/file/d/1jUorK1_pyRwN0Z89oMQX__vMc-ph91i6/view?usp=sharing" TargetMode="External"/><Relationship Id="rId121" Type="http://schemas.openxmlformats.org/officeDocument/2006/relationships/hyperlink" Target="https://drive.google.com/file/d/1lswpIJ446o9--5z5qC-phXpEH3vp4t5X/view?usp=sharing" TargetMode="External"/><Relationship Id="rId242" Type="http://schemas.openxmlformats.org/officeDocument/2006/relationships/hyperlink" Target="https://drive.google.com/file/d/13tKJgmyS6qy_AB5NWeHk2KibSPwTUNC4/view?usp=sharing" TargetMode="External"/><Relationship Id="rId120" Type="http://schemas.openxmlformats.org/officeDocument/2006/relationships/hyperlink" Target="https://drive.google.com/file/d/1vNv003wjBJ3omdhApMtVdhk8-QYY1hGF/view?usp=sharing" TargetMode="External"/><Relationship Id="rId241" Type="http://schemas.openxmlformats.org/officeDocument/2006/relationships/hyperlink" Target="https://drive.google.com/file/d/1hhn338zJwYLLW5ocXSKBOTnJ2iMpJKdv/view?usp=sharing" TargetMode="External"/><Relationship Id="rId240" Type="http://schemas.openxmlformats.org/officeDocument/2006/relationships/hyperlink" Target="https://drive.google.com/file/d/1-nmm3QT9jV47gOug4pI1Y4phD5oM6KRK/view?usp=sharing" TargetMode="External"/><Relationship Id="rId125" Type="http://schemas.openxmlformats.org/officeDocument/2006/relationships/hyperlink" Target="https://drive.google.com/file/d/1Iu6OhdcLTtUB47LLU058o14XQW48tbpH/view?usp=sharing" TargetMode="External"/><Relationship Id="rId246" Type="http://schemas.openxmlformats.org/officeDocument/2006/relationships/hyperlink" Target="https://drive.google.com/file/d/1QLT5DJM3SmmN8cOcZ741VlbjtbE8tVqR/view?usp=sharing" TargetMode="External"/><Relationship Id="rId124" Type="http://schemas.openxmlformats.org/officeDocument/2006/relationships/hyperlink" Target="https://drive.google.com/file/d/1Zm1JVpkGEcnHaQzDErLEx8loGAnPPfkN/view?usp=sharing" TargetMode="External"/><Relationship Id="rId245" Type="http://schemas.openxmlformats.org/officeDocument/2006/relationships/hyperlink" Target="https://drive.google.com/file/d/1Uf6N7j-zOibDUmQIIU_5gGOf8FD8wsvx/view?usp=sharing" TargetMode="External"/><Relationship Id="rId123" Type="http://schemas.openxmlformats.org/officeDocument/2006/relationships/hyperlink" Target="https://drive.google.com/file/d/1j3hwi3xJuMrM1G9qun2qsfx1SzJ7V7Jx/view?usp=sharing" TargetMode="External"/><Relationship Id="rId244" Type="http://schemas.openxmlformats.org/officeDocument/2006/relationships/hyperlink" Target="https://drive.google.com/file/d/1jqp1WxaPyxsNztNdYx-kW_CBXKIYR5ua/view?usp=sharing" TargetMode="External"/><Relationship Id="rId122" Type="http://schemas.openxmlformats.org/officeDocument/2006/relationships/hyperlink" Target="https://drive.google.com/file/d/1sR8KLNJTuMlsK5MrmLefki8PUSl9qdOi/view?usp=sharing" TargetMode="External"/><Relationship Id="rId243" Type="http://schemas.openxmlformats.org/officeDocument/2006/relationships/hyperlink" Target="https://drive.google.com/file/d/1XVsBx98g3sT_sTIsIu71NTN7Jq82JeRO/view?usp=sharing" TargetMode="External"/><Relationship Id="rId95" Type="http://schemas.openxmlformats.org/officeDocument/2006/relationships/hyperlink" Target="https://drive.google.com/file/d/12tjuklo5Ng2q4bH9MeXKNe7M5qV9VYkI/view?usp=sharing" TargetMode="External"/><Relationship Id="rId94" Type="http://schemas.openxmlformats.org/officeDocument/2006/relationships/hyperlink" Target="https://drive.google.com/file/d/1-_yfRvc9INjSkw6nu2V1zuhwfe0mBDpI/view?usp=sharing" TargetMode="External"/><Relationship Id="rId97" Type="http://schemas.openxmlformats.org/officeDocument/2006/relationships/hyperlink" Target="https://drive.google.com/file/d/1G6JxJlZk8B6I6XhYpFsBV3xxe7iD9c7F/view?usp=sharing" TargetMode="External"/><Relationship Id="rId96" Type="http://schemas.openxmlformats.org/officeDocument/2006/relationships/hyperlink" Target="https://drive.google.com/file/d/12kcmQTQtVQNOH8sXkCsG0V_C3sR0cImH/view?usp=sharing" TargetMode="External"/><Relationship Id="rId99" Type="http://schemas.openxmlformats.org/officeDocument/2006/relationships/hyperlink" Target="https://drive.google.com/file/d/16VzxfLPXF9MZPneQaIfJutWRqEMYWv6p/view?usp=sharing" TargetMode="External"/><Relationship Id="rId98" Type="http://schemas.openxmlformats.org/officeDocument/2006/relationships/hyperlink" Target="https://drive.google.com/file/d/1TwNCBsx8qUjws9OxPbpwSuO31BxJf4id/view?usp=sharing" TargetMode="External"/><Relationship Id="rId91" Type="http://schemas.openxmlformats.org/officeDocument/2006/relationships/hyperlink" Target="https://drive.google.com/file/d/1IvunVi5CKnskv4AndfKl3yF0gJ3ph-aW/view?usp=sharing" TargetMode="External"/><Relationship Id="rId90" Type="http://schemas.openxmlformats.org/officeDocument/2006/relationships/hyperlink" Target="https://drive.google.com/file/d/1Ce6wq3NnzWDOPRTBvps1MEVmajMI8F4n/view?usp=sharing" TargetMode="External"/><Relationship Id="rId93" Type="http://schemas.openxmlformats.org/officeDocument/2006/relationships/hyperlink" Target="https://drive.google.com/file/d/1sEURnKc8v1REe8fLvo79e0AmpDJ-sAk_/view?usp=sharing" TargetMode="External"/><Relationship Id="rId92" Type="http://schemas.openxmlformats.org/officeDocument/2006/relationships/hyperlink" Target="https://drive.google.com/file/d/15rUK7vssdBREAyptdni3UvsVOImPhfl_/view?usp=sharing" TargetMode="External"/><Relationship Id="rId118" Type="http://schemas.openxmlformats.org/officeDocument/2006/relationships/hyperlink" Target="https://drive.google.com/file/d/18ROS2Fffw89CQULLEw2UepcW5Gd-qJpF/view?usp=sharing" TargetMode="External"/><Relationship Id="rId239" Type="http://schemas.openxmlformats.org/officeDocument/2006/relationships/hyperlink" Target="https://drive.google.com/file/d/10Ef9XDNBBdl1zzSm6uhy1GQlJ3hmV1CA/view?usp=sharing" TargetMode="External"/><Relationship Id="rId117" Type="http://schemas.openxmlformats.org/officeDocument/2006/relationships/hyperlink" Target="https://drive.google.com/file/d/11q1bmuDnBCjlyw_enOYCOcCdaQvm2SiS/view?usp=sharing" TargetMode="External"/><Relationship Id="rId238" Type="http://schemas.openxmlformats.org/officeDocument/2006/relationships/hyperlink" Target="https://drive.google.com/file/d/1n7FS7PZssmDWxbAorawiVhL_7eBxQq_r/view?usp=sharing" TargetMode="External"/><Relationship Id="rId116" Type="http://schemas.openxmlformats.org/officeDocument/2006/relationships/hyperlink" Target="https://drive.google.com/file/d/1n9Td-SbSPus6Ek2IBJtwesIpqDAMfxoM/view?usp=sharing" TargetMode="External"/><Relationship Id="rId237" Type="http://schemas.openxmlformats.org/officeDocument/2006/relationships/hyperlink" Target="https://drive.google.com/file/d/1P3KuRr37znybXVVkdsOavimIHFwz2mtu/view?usp=sharing" TargetMode="External"/><Relationship Id="rId115" Type="http://schemas.openxmlformats.org/officeDocument/2006/relationships/hyperlink" Target="https://drive.google.com/file/d/1NItnyYqJ--ON7w3lwJkIQ6iSc5ZXOyfM/view?usp=sharing" TargetMode="External"/><Relationship Id="rId236" Type="http://schemas.openxmlformats.org/officeDocument/2006/relationships/hyperlink" Target="https://drive.google.com/file/d/14_3qNELX-26H0T4-CZR6YaVbeboGA3U2/view?usp=sharing" TargetMode="External"/><Relationship Id="rId119" Type="http://schemas.openxmlformats.org/officeDocument/2006/relationships/hyperlink" Target="https://drive.google.com/file/d/1SsB1CCTd8oXadYjvVIPpcbq-CqcSHv7O/view?usp=sharing" TargetMode="External"/><Relationship Id="rId110" Type="http://schemas.openxmlformats.org/officeDocument/2006/relationships/hyperlink" Target="https://drive.google.com/file/d/1i9YPMo3xbmJQbk2KhT7kJ9EuVyu-KWc-/view?usp=sharing" TargetMode="External"/><Relationship Id="rId231" Type="http://schemas.openxmlformats.org/officeDocument/2006/relationships/hyperlink" Target="https://drive.google.com/file/d/1VJOS0fU-qJLLMzjsZpF7jIbZ5-TqDzwv/view?usp=sharing" TargetMode="External"/><Relationship Id="rId230" Type="http://schemas.openxmlformats.org/officeDocument/2006/relationships/hyperlink" Target="https://drive.google.com/file/d/1ZROgqZ3uuADU7p2sGlrqEUl_YL4FLAFE/view?usp=sharing" TargetMode="External"/><Relationship Id="rId114" Type="http://schemas.openxmlformats.org/officeDocument/2006/relationships/hyperlink" Target="https://drive.google.com/file/d/1W9Y98LcZ3ga-IWEFlxcSu8-nGPueRI6z/view?usp=sharing" TargetMode="External"/><Relationship Id="rId235" Type="http://schemas.openxmlformats.org/officeDocument/2006/relationships/hyperlink" Target="https://drive.google.com/file/d/1EDN6fPX6tbKZKl_3ByEZqr5OADpIXFax/view?usp=sharing" TargetMode="External"/><Relationship Id="rId113" Type="http://schemas.openxmlformats.org/officeDocument/2006/relationships/hyperlink" Target="https://drive.google.com/file/d/1tj3azc_-I9IlDnYzrKOQpgflAFMbb6zv/view?usp=sharing" TargetMode="External"/><Relationship Id="rId234" Type="http://schemas.openxmlformats.org/officeDocument/2006/relationships/hyperlink" Target="https://drive.google.com/file/d/15PsWdhrB5HHl5klCuJ1G4-ImE_pTrPYo/view?usp=sharing" TargetMode="External"/><Relationship Id="rId112" Type="http://schemas.openxmlformats.org/officeDocument/2006/relationships/hyperlink" Target="https://drive.google.com/file/d/1K4jY1GQ6eQcsb0NnGKY3WB-vVMsqzLxO/view?usp=sharing" TargetMode="External"/><Relationship Id="rId233" Type="http://schemas.openxmlformats.org/officeDocument/2006/relationships/hyperlink" Target="https://drive.google.com/file/d/1UMjhqRM1BodHPcgCmpVVhTaFlfbTOlch/view?usp=sharing" TargetMode="External"/><Relationship Id="rId111" Type="http://schemas.openxmlformats.org/officeDocument/2006/relationships/hyperlink" Target="https://drive.google.com/file/d/1NnWgV8YS7qyBknXer3ovQak8ThVXnoPK/view?usp=sharing" TargetMode="External"/><Relationship Id="rId232" Type="http://schemas.openxmlformats.org/officeDocument/2006/relationships/hyperlink" Target="https://drive.google.com/file/d/1vmm2s5PwgEbHOs9A8lrv-zLdm4-3V4NW/view?usp=sharing" TargetMode="External"/><Relationship Id="rId305" Type="http://schemas.openxmlformats.org/officeDocument/2006/relationships/hyperlink" Target="https://drive.google.com/file/d/1N2MYG-nCfzPq2vSqpOsMGxYtExwbvv-f/view?usp=sharing" TargetMode="External"/><Relationship Id="rId304" Type="http://schemas.openxmlformats.org/officeDocument/2006/relationships/hyperlink" Target="https://drive.google.com/file/d/1MxKricG_JtAGBDDfgJH6XEZwTH3zPaKX/view?usp=sharing" TargetMode="External"/><Relationship Id="rId303" Type="http://schemas.openxmlformats.org/officeDocument/2006/relationships/hyperlink" Target="https://drive.google.com/file/d/1mbQuFhN4obYb0XyMdYUF2HQvKsWyveIs/view?usp=sharing" TargetMode="External"/><Relationship Id="rId302" Type="http://schemas.openxmlformats.org/officeDocument/2006/relationships/hyperlink" Target="https://drive.google.com/file/d/1Joh_EYbimDfuyGTXAFYAp6yB4VKPFx6w/view?usp=sharing" TargetMode="External"/><Relationship Id="rId309" Type="http://schemas.openxmlformats.org/officeDocument/2006/relationships/hyperlink" Target="https://drive.google.com/file/d/1biPnFYZqgh5BvF39aYgZ9bxDdx4IjKrq/view?usp=sharing" TargetMode="External"/><Relationship Id="rId308" Type="http://schemas.openxmlformats.org/officeDocument/2006/relationships/hyperlink" Target="https://drive.google.com/file/d/1w4AuBdK6gcP3VyjS1cGzqhy6x0od_P6b/view?usp=sharing" TargetMode="External"/><Relationship Id="rId307" Type="http://schemas.openxmlformats.org/officeDocument/2006/relationships/hyperlink" Target="https://drive.google.com/file/d/1KRXFvVrPps5Tai6KgL_5F8XNjnPYHmJK/view?usp=sharing" TargetMode="External"/><Relationship Id="rId306" Type="http://schemas.openxmlformats.org/officeDocument/2006/relationships/hyperlink" Target="https://drive.google.com/file/d/1ejX4y5tbQw-LnsPsNrp6xusMo18b3X52/view?usp=sharing" TargetMode="External"/><Relationship Id="rId301" Type="http://schemas.openxmlformats.org/officeDocument/2006/relationships/hyperlink" Target="https://drive.google.com/file/d/1skoLV6BP2f2uW1s6Lw_Llun0ekw75jgD/view?usp=sharing" TargetMode="External"/><Relationship Id="rId300" Type="http://schemas.openxmlformats.org/officeDocument/2006/relationships/hyperlink" Target="https://drive.google.com/file/d/1MXjE78E4YEsSAMiv29NwoxIF2OAex_gP/view?usp=sharing" TargetMode="External"/><Relationship Id="rId206" Type="http://schemas.openxmlformats.org/officeDocument/2006/relationships/hyperlink" Target="https://drive.google.com/file/d/1Ceh8ccTynsKmvZ-gGpPi9hquHdYdh7i9/view?usp=sharing" TargetMode="External"/><Relationship Id="rId205" Type="http://schemas.openxmlformats.org/officeDocument/2006/relationships/hyperlink" Target="https://drive.google.com/file/d/1O21Of3vbnkn9vboJgMvLxNDiekVcgJKO/view?usp=sharing" TargetMode="External"/><Relationship Id="rId204" Type="http://schemas.openxmlformats.org/officeDocument/2006/relationships/hyperlink" Target="https://drive.google.com/file/d/1J8kkhhCViHtp7fZ0QmrBZZD9HU3VL78f/view?usp=sharing" TargetMode="External"/><Relationship Id="rId203" Type="http://schemas.openxmlformats.org/officeDocument/2006/relationships/hyperlink" Target="https://drive.google.com/file/d/1QsYRp0i0jkUNBY10dBaeivhDFwl-xZ9A/view?usp=sharing" TargetMode="External"/><Relationship Id="rId209" Type="http://schemas.openxmlformats.org/officeDocument/2006/relationships/hyperlink" Target="https://drive.google.com/file/d/1aNV5ewUfr42zu0YD3y6WNEvLySPzlTNx/view?usp=sharing" TargetMode="External"/><Relationship Id="rId208" Type="http://schemas.openxmlformats.org/officeDocument/2006/relationships/hyperlink" Target="https://drive.google.com/file/d/1JM8ChJR8phoeNn1yZ018vQoUK9OkaKyp/view?usp=sharing" TargetMode="External"/><Relationship Id="rId207" Type="http://schemas.openxmlformats.org/officeDocument/2006/relationships/hyperlink" Target="https://drive.google.com/file/d/1_XYLzvwjFhSZCuL3JwtMi02SUXBaBzx8/view?usp=sharing" TargetMode="External"/><Relationship Id="rId202" Type="http://schemas.openxmlformats.org/officeDocument/2006/relationships/hyperlink" Target="https://drive.google.com/file/d/12A-SK09mcSV3w2LKs4MJLuv-QCnASlSk/view?usp=sharing" TargetMode="External"/><Relationship Id="rId201" Type="http://schemas.openxmlformats.org/officeDocument/2006/relationships/hyperlink" Target="https://drive.google.com/file/d/17oBWsQSU9WbF0KYksHNsPnFQ_SFHdU_d/view?usp=sharing" TargetMode="External"/><Relationship Id="rId200" Type="http://schemas.openxmlformats.org/officeDocument/2006/relationships/hyperlink" Target="https://drive.google.com/file/d/1tHYMr7b_z_StqMfL1lZm2_YNuhs93wEd/view?usp=sharing" TargetMode="External"/><Relationship Id="rId313" Type="http://schemas.openxmlformats.org/officeDocument/2006/relationships/drawing" Target="../drawings/drawing11.xml"/><Relationship Id="rId312" Type="http://schemas.openxmlformats.org/officeDocument/2006/relationships/hyperlink" Target="https://drive.google.com/file/d/1DmJTnOjDw16qdwSRgJcABH3DvQJqwsg8/view?usp=sharing" TargetMode="External"/><Relationship Id="rId311" Type="http://schemas.openxmlformats.org/officeDocument/2006/relationships/hyperlink" Target="https://drive.google.com/file/d/1hXkqJjnX6evrT-5r5u7dyRIyPXY2KM32/view?usp=sharing" TargetMode="External"/><Relationship Id="rId310" Type="http://schemas.openxmlformats.org/officeDocument/2006/relationships/hyperlink" Target="https://drive.google.com/file/d/17U9SaKxItByuEhTF41mQpkH03elXwU9t/view?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emodal.com/"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file/d/1Xbk972C3oisfZnoxnSIblv0tESfrzsSu/view?usp=sharing" TargetMode="External"/><Relationship Id="rId42" Type="http://schemas.openxmlformats.org/officeDocument/2006/relationships/hyperlink" Target="https://drive.google.com/file/d/18UlvCxgM-peS4LSNIcR9AqnanKjS26Hq/view?usp=sharing" TargetMode="External"/><Relationship Id="rId41" Type="http://schemas.openxmlformats.org/officeDocument/2006/relationships/hyperlink" Target="https://drive.google.com/file/d/1FyQCVlEOJ3TkVyrZZyEh0zRHoOiA0j6D/view?usp=sharing" TargetMode="External"/><Relationship Id="rId44" Type="http://schemas.openxmlformats.org/officeDocument/2006/relationships/hyperlink" Target="https://drive.google.com/file/d/12VlhaRqcxgMz4J4EKhRm5v9U_cG5_K7C/view?usp=sharing" TargetMode="External"/><Relationship Id="rId43" Type="http://schemas.openxmlformats.org/officeDocument/2006/relationships/hyperlink" Target="https://drive.google.com/file/d/1K0goiEpeN_yju_rg9FIX48SAPSs260KX/view?usp=sharing" TargetMode="External"/><Relationship Id="rId46" Type="http://schemas.openxmlformats.org/officeDocument/2006/relationships/hyperlink" Target="https://drive.google.com/file/d/1bDVLdu61gZP1J8W3ZCWEkWOyVynpN6TR/view?usp=sharing" TargetMode="External"/><Relationship Id="rId45" Type="http://schemas.openxmlformats.org/officeDocument/2006/relationships/hyperlink" Target="https://drive.google.com/file/d/1Mbtnv2YVmqMLr_bi98AXKxD_eiSHOpWy/view?usp=sharing" TargetMode="External"/><Relationship Id="rId48" Type="http://schemas.openxmlformats.org/officeDocument/2006/relationships/hyperlink" Target="https://drive.google.com/file/d/1FgfHkO4M9gFGzxv5rxZHBgwBmF17kGNU/view?usp=sharing" TargetMode="External"/><Relationship Id="rId47" Type="http://schemas.openxmlformats.org/officeDocument/2006/relationships/hyperlink" Target="https://drive.google.com/file/d/1DB1YQs0fO3NSMf8hWF5tWjbv_5bqOMa1/view?usp=sharing" TargetMode="External"/><Relationship Id="rId49" Type="http://schemas.openxmlformats.org/officeDocument/2006/relationships/hyperlink" Target="https://drive.google.com/file/d/1CFNuujHn250-Fe4Kuu9IEL8VT_y2iBQW/view?usp=sharing" TargetMode="External"/><Relationship Id="rId31" Type="http://schemas.openxmlformats.org/officeDocument/2006/relationships/hyperlink" Target="https://drive.google.com/file/d/1bwwYU6kypDH4ad4jKnoW5Gw3uuRzOXMV/view?usp=sharing" TargetMode="External"/><Relationship Id="rId30" Type="http://schemas.openxmlformats.org/officeDocument/2006/relationships/hyperlink" Target="https://drive.google.com/file/d/1oV23Y3l5NZlxd6URaBEoTThcaoVGu7WB/view?usp=sharing" TargetMode="External"/><Relationship Id="rId33" Type="http://schemas.openxmlformats.org/officeDocument/2006/relationships/hyperlink" Target="https://drive.google.com/file/d/11MXedFBA9JId456ndfDMm2EC5d7Mt0_Z/view?usp=sharing" TargetMode="External"/><Relationship Id="rId32" Type="http://schemas.openxmlformats.org/officeDocument/2006/relationships/hyperlink" Target="https://drive.google.com/file/d/1aCPFPFzJcaStRHWHcuQdcIWKaShdhdQU/view?usp=sharing" TargetMode="External"/><Relationship Id="rId35" Type="http://schemas.openxmlformats.org/officeDocument/2006/relationships/hyperlink" Target="https://drive.google.com/file/d/1TBjTZLkZ8njZW65uCyhZhTVN4ylpHveH/view?usp=sharing" TargetMode="External"/><Relationship Id="rId34" Type="http://schemas.openxmlformats.org/officeDocument/2006/relationships/hyperlink" Target="https://drive.google.com/file/d/1x334QLn9MJO0cH49J7b91i7cDaC71quR/view?usp=sharing" TargetMode="External"/><Relationship Id="rId37" Type="http://schemas.openxmlformats.org/officeDocument/2006/relationships/hyperlink" Target="https://drive.google.com/file/d/1ltzKGTJyQPkNMEz0gCGz50YFYkLo1p50/view?usp=sharing" TargetMode="External"/><Relationship Id="rId36" Type="http://schemas.openxmlformats.org/officeDocument/2006/relationships/hyperlink" Target="https://drive.google.com/file/d/1Rcxr3x8-UkUnFtDcaHya35L9EXmCszjP/view?usp=sharing" TargetMode="External"/><Relationship Id="rId39" Type="http://schemas.openxmlformats.org/officeDocument/2006/relationships/hyperlink" Target="https://drive.google.com/file/d/1W9bqgo128ZBIoARyyuo9mWnn37wNjgN2/view?usp=sharing" TargetMode="External"/><Relationship Id="rId38" Type="http://schemas.openxmlformats.org/officeDocument/2006/relationships/hyperlink" Target="https://drive.google.com/file/d/13icZXk557ACk91V9PpxKzwnXD2WJ6CP9/view?usp=sharing" TargetMode="External"/><Relationship Id="rId20" Type="http://schemas.openxmlformats.org/officeDocument/2006/relationships/hyperlink" Target="https://drive.google.com/file/d/1bjVuJjvIM_0xNSeCYOEiKBGOxfP-ES4b/view?usp=sharing" TargetMode="External"/><Relationship Id="rId22" Type="http://schemas.openxmlformats.org/officeDocument/2006/relationships/hyperlink" Target="https://drive.google.com/file/d/1Ze2kcl8jeX8pEfXBcckWIEOb8UGz2VFn/view?usp=sharing" TargetMode="External"/><Relationship Id="rId21" Type="http://schemas.openxmlformats.org/officeDocument/2006/relationships/hyperlink" Target="https://drive.google.com/file/d/1AwfUQEdD3W1JXV5EvmZUqn6R3FzlYBJ6/view?usp=sharing" TargetMode="External"/><Relationship Id="rId24" Type="http://schemas.openxmlformats.org/officeDocument/2006/relationships/hyperlink" Target="https://drive.google.com/file/d/1XgM93qLPkMpClfNNToVRslKOQ-ZqTArP/view?usp=sharing" TargetMode="External"/><Relationship Id="rId23" Type="http://schemas.openxmlformats.org/officeDocument/2006/relationships/hyperlink" Target="https://drive.google.com/file/d/1Y-8fThRXNwE_CnxMrFvISDCYd6kxlw4h/view?usp=sharing" TargetMode="External"/><Relationship Id="rId26" Type="http://schemas.openxmlformats.org/officeDocument/2006/relationships/hyperlink" Target="https://drive.google.com/file/d/1UdEj8sTofrM3Fh0ZywaOfgsOfoYZMlj3/view?usp=sharing" TargetMode="External"/><Relationship Id="rId25" Type="http://schemas.openxmlformats.org/officeDocument/2006/relationships/hyperlink" Target="https://drive.google.com/file/d/1u6viNMFW1xYIyU5u3dUyTIXEz3UI8sfv/view?usp=sharing" TargetMode="External"/><Relationship Id="rId28" Type="http://schemas.openxmlformats.org/officeDocument/2006/relationships/hyperlink" Target="https://drive.google.com/file/d/1odebQxVFXGQGzE3-nk_IKZc0sHKJ0wv6/view?usp=sharing" TargetMode="External"/><Relationship Id="rId27" Type="http://schemas.openxmlformats.org/officeDocument/2006/relationships/hyperlink" Target="https://drive.google.com/file/d/1ve5cQbkv3bE3d59VhkS1QXdwUyD-n8kD/view?usp=sharing" TargetMode="External"/><Relationship Id="rId29" Type="http://schemas.openxmlformats.org/officeDocument/2006/relationships/hyperlink" Target="https://drive.google.com/file/d/1SDvVrEhDu0WnI1u8q3zWGm3tsCgI21Zq/view?usp=sharing" TargetMode="External"/><Relationship Id="rId11" Type="http://schemas.openxmlformats.org/officeDocument/2006/relationships/hyperlink" Target="https://drive.google.com/file/d/1AqnC1f19dhj1JY-fy6khusWtgaFnrzB9/view?usp=sharing" TargetMode="External"/><Relationship Id="rId10" Type="http://schemas.openxmlformats.org/officeDocument/2006/relationships/hyperlink" Target="https://drive.google.com/file/d/1NCzbs3Kgiv1RPJWqRobP-ve5TNsPIt_6/view?usp=sharing" TargetMode="External"/><Relationship Id="rId13" Type="http://schemas.openxmlformats.org/officeDocument/2006/relationships/hyperlink" Target="https://drive.google.com/file/d/1nvP8VzdMpaVuh9SqJu-0afca9Sa-ZqGD/view?usp=sharing" TargetMode="External"/><Relationship Id="rId12" Type="http://schemas.openxmlformats.org/officeDocument/2006/relationships/hyperlink" Target="https://drive.google.com/file/d/1DCir8M69hmniHSDyQzo_H4GCznCpX2bb/view?usp=sharing" TargetMode="External"/><Relationship Id="rId15" Type="http://schemas.openxmlformats.org/officeDocument/2006/relationships/hyperlink" Target="https://drive.google.com/file/d/1n1eUFVjpAiZ-HmCtF2FM8_F_IYUVpBrM/view?usp=sharing" TargetMode="External"/><Relationship Id="rId14" Type="http://schemas.openxmlformats.org/officeDocument/2006/relationships/hyperlink" Target="https://drive.google.com/file/d/1LKHC4qSDkO4nvsUMUOPWAIDZ_7RmILI_/view?usp=sharing" TargetMode="External"/><Relationship Id="rId17" Type="http://schemas.openxmlformats.org/officeDocument/2006/relationships/hyperlink" Target="https://drive.google.com/file/d/1iFlV71U3Y1auceXADqUxLoN8t2BFiLk7/view?usp=sharing" TargetMode="External"/><Relationship Id="rId16" Type="http://schemas.openxmlformats.org/officeDocument/2006/relationships/hyperlink" Target="https://drive.google.com/file/d/1ajv0GRBqk0Vwyh_yZdSTSYlZS1DBS3kH/view?usp=sharing" TargetMode="External"/><Relationship Id="rId19" Type="http://schemas.openxmlformats.org/officeDocument/2006/relationships/hyperlink" Target="https://drive.google.com/file/d/1y-wuGvzu7-AQpASfTNrA9czLZ_eiJbp2/view?usp=sharing" TargetMode="External"/><Relationship Id="rId18" Type="http://schemas.openxmlformats.org/officeDocument/2006/relationships/hyperlink" Target="https://drive.google.com/file/d/1rme2Di-18nqt2fKA2-EpUWz-dRUjA-ur/view?usp=sharing" TargetMode="External"/><Relationship Id="rId84" Type="http://schemas.openxmlformats.org/officeDocument/2006/relationships/hyperlink" Target="https://drive.google.com/file/d/1o-3N2Tuk7j7UL90dukCkPH6Au_fOFIKR/view?usp=sharing" TargetMode="External"/><Relationship Id="rId83" Type="http://schemas.openxmlformats.org/officeDocument/2006/relationships/hyperlink" Target="https://drive.google.com/file/d/186YjWIMeQtip_sCx6ztGUEUoGgOU_7Bm/view?usp=sharing" TargetMode="External"/><Relationship Id="rId86" Type="http://schemas.openxmlformats.org/officeDocument/2006/relationships/hyperlink" Target="https://drive.google.com/file/d/1bOqNttMhxLr4iVt5N_zUyJFTNds0rt_6/view?usp=sharing" TargetMode="External"/><Relationship Id="rId85" Type="http://schemas.openxmlformats.org/officeDocument/2006/relationships/hyperlink" Target="https://drive.google.com/file/d/1GkhZR1JCIByTSnRXbjfrmSCV5YjJFCeK/view?usp=sharing" TargetMode="External"/><Relationship Id="rId88" Type="http://schemas.openxmlformats.org/officeDocument/2006/relationships/hyperlink" Target="https://drive.google.com/file/d/1DaeUzZMESpCI0Eri0TDVySFPenpc8BxQ/view?usp=sharing" TargetMode="External"/><Relationship Id="rId87" Type="http://schemas.openxmlformats.org/officeDocument/2006/relationships/hyperlink" Target="https://drive.google.com/file/d/1q4R_TaZdJOmCs4zZZtjN4QAA_XF2NPm4/view?usp=sharing" TargetMode="External"/><Relationship Id="rId89" Type="http://schemas.openxmlformats.org/officeDocument/2006/relationships/hyperlink" Target="https://drive.google.com/file/d/1nvHJaKfliCryTTnApv0Inltk1RzEVO9K/view?usp=sharing" TargetMode="External"/><Relationship Id="rId80" Type="http://schemas.openxmlformats.org/officeDocument/2006/relationships/hyperlink" Target="https://drive.google.com/file/d/1qo3bOsQ1BTPURjyn4Vp-Xkjh-kYIA7da/view?usp=sharing" TargetMode="External"/><Relationship Id="rId82" Type="http://schemas.openxmlformats.org/officeDocument/2006/relationships/hyperlink" Target="https://drive.google.com/file/d/11991eUNTPlhho_dxDqFxLOsZSGH6ZCY0/view?usp=sharing" TargetMode="External"/><Relationship Id="rId81" Type="http://schemas.openxmlformats.org/officeDocument/2006/relationships/hyperlink" Target="https://drive.google.com/file/d/1mjTzj6m-feSmBk_YpWdbI9znpTegCdjG/view?usp=sharing" TargetMode="External"/><Relationship Id="rId1" Type="http://schemas.openxmlformats.org/officeDocument/2006/relationships/hyperlink" Target="https://drive.google.com/file/d/12R4NNQrx44L90b_e6NWMjfKrDiGusJo1/view?usp=sharing" TargetMode="External"/><Relationship Id="rId2" Type="http://schemas.openxmlformats.org/officeDocument/2006/relationships/hyperlink" Target="https://drive.google.com/file/d/1McwpzLkom40k861xTQMvLBtwaJtQNPsX/view?usp=sharing" TargetMode="External"/><Relationship Id="rId3" Type="http://schemas.openxmlformats.org/officeDocument/2006/relationships/hyperlink" Target="https://drive.google.com/file/d/1Y2EQPReRwZSxv7TphkouIEodgP9cUxFJ/view?usp=sharing" TargetMode="External"/><Relationship Id="rId4" Type="http://schemas.openxmlformats.org/officeDocument/2006/relationships/hyperlink" Target="https://drive.google.com/file/d/1n7Mtha-bUrDTS6a6C26yr7wzCRBoPBcu/view?usp=sharing" TargetMode="External"/><Relationship Id="rId9" Type="http://schemas.openxmlformats.org/officeDocument/2006/relationships/hyperlink" Target="https://drive.google.com/file/d/1x8qMHhHYa_fmzuLFkJ2j4_V69yH7_4PA/view?usp=sharing" TargetMode="External"/><Relationship Id="rId5" Type="http://schemas.openxmlformats.org/officeDocument/2006/relationships/hyperlink" Target="https://drive.google.com/file/d/1SWvOlOsFThBnhg-lh7tGkKKTJCLCRwIM/view?usp=sharing" TargetMode="External"/><Relationship Id="rId6" Type="http://schemas.openxmlformats.org/officeDocument/2006/relationships/hyperlink" Target="https://drive.google.com/file/d/1MRaBokD0kZecq6QVFlIgCDtEaH63cmaz/view?usp=sharing" TargetMode="External"/><Relationship Id="rId7" Type="http://schemas.openxmlformats.org/officeDocument/2006/relationships/hyperlink" Target="https://drive.google.com/file/d/1N_zzbiJFLCKfRP7bG3VFtIEtluW_65TW/view?usp=sharing" TargetMode="External"/><Relationship Id="rId8" Type="http://schemas.openxmlformats.org/officeDocument/2006/relationships/hyperlink" Target="https://drive.google.com/file/d/1CCJIIXLhnp0GDq8utbjrxCU9cBj9Lnw-/view?usp=sharing" TargetMode="External"/><Relationship Id="rId73" Type="http://schemas.openxmlformats.org/officeDocument/2006/relationships/hyperlink" Target="https://drive.google.com/file/d/1EKLOYGPaL_rniM1kGQDwPxTjOQeRkFk7/view?usp=sharing" TargetMode="External"/><Relationship Id="rId72" Type="http://schemas.openxmlformats.org/officeDocument/2006/relationships/hyperlink" Target="https://drive.google.com/file/d/1N08yupdt1xNKKgA5DgnO3sHAsni5NcWC/view?usp=sharing" TargetMode="External"/><Relationship Id="rId75" Type="http://schemas.openxmlformats.org/officeDocument/2006/relationships/hyperlink" Target="https://drive.google.com/file/d/1IvSPXGB2PEMMbyXeWT9EXuJdfvz1bqb0/view?usp=sharing" TargetMode="External"/><Relationship Id="rId74" Type="http://schemas.openxmlformats.org/officeDocument/2006/relationships/hyperlink" Target="https://drive.google.com/file/d/1bBvGbZBNI2ZZHK8gs0w1O1Qzx-RK6-16/view?usp=sharing" TargetMode="External"/><Relationship Id="rId77" Type="http://schemas.openxmlformats.org/officeDocument/2006/relationships/hyperlink" Target="https://drive.google.com/file/d/1RzOxwpVoKEImNkYnG339uXUv0OD1Qpli/view?usp=sharing" TargetMode="External"/><Relationship Id="rId76" Type="http://schemas.openxmlformats.org/officeDocument/2006/relationships/hyperlink" Target="https://drive.google.com/file/d/1UWT8Z8wD15vOKcWM9WSHGRPL99x2FuY8/view?usp=sharing" TargetMode="External"/><Relationship Id="rId79" Type="http://schemas.openxmlformats.org/officeDocument/2006/relationships/hyperlink" Target="https://drive.google.com/file/d/1EL61nYRZKyr9DSbCJvoN8fjKTUHZGcYb/view?usp=sharing" TargetMode="External"/><Relationship Id="rId78" Type="http://schemas.openxmlformats.org/officeDocument/2006/relationships/hyperlink" Target="https://drive.google.com/file/d/1tv_5w63qiVDNRoFammmoBncbOZa8ROPB/view?usp=sharing" TargetMode="External"/><Relationship Id="rId71" Type="http://schemas.openxmlformats.org/officeDocument/2006/relationships/hyperlink" Target="https://drive.google.com/file/d/1jayHww0sKGOtP3Ep07d0_aFp8y6H8ACJ/view?usp=sharing" TargetMode="External"/><Relationship Id="rId70" Type="http://schemas.openxmlformats.org/officeDocument/2006/relationships/hyperlink" Target="https://drive.google.com/file/d/1gHr6xq107xZrUkzO1kF9QHeRKMS0_kdT/view?usp=sharing" TargetMode="External"/><Relationship Id="rId62" Type="http://schemas.openxmlformats.org/officeDocument/2006/relationships/hyperlink" Target="https://drive.google.com/file/d/1EQLtiiCrXyi52cSdbhb2-qBNoYvZWOxn/view?usp=sharing" TargetMode="External"/><Relationship Id="rId61" Type="http://schemas.openxmlformats.org/officeDocument/2006/relationships/hyperlink" Target="https://drive.google.com/file/d/1aDCAAEkatkP3pAVnG8lxIS55cCThQRAy/view?usp=sharing" TargetMode="External"/><Relationship Id="rId64" Type="http://schemas.openxmlformats.org/officeDocument/2006/relationships/hyperlink" Target="https://drive.google.com/file/d/16iHeiE1-c3Ofqj13h75_X8nqL_JUuGyh/view?usp=sharing" TargetMode="External"/><Relationship Id="rId63" Type="http://schemas.openxmlformats.org/officeDocument/2006/relationships/hyperlink" Target="https://drive.google.com/file/d/1VvaFxggCcYHGcY8GpwKiccxisjKKUjBe/view?usp=sharing" TargetMode="External"/><Relationship Id="rId66" Type="http://schemas.openxmlformats.org/officeDocument/2006/relationships/hyperlink" Target="https://drive.google.com/file/d/1OMkaViYs28Mp7V6xD8cgx4rN6nJWLu9b/view?usp=sharing" TargetMode="External"/><Relationship Id="rId65" Type="http://schemas.openxmlformats.org/officeDocument/2006/relationships/hyperlink" Target="https://drive.google.com/file/d/1VPV-2KR8DkFQqZHRoS9FGr52gRR_lf93/view?usp=sharing" TargetMode="External"/><Relationship Id="rId68" Type="http://schemas.openxmlformats.org/officeDocument/2006/relationships/hyperlink" Target="https://drive.google.com/file/d/1aw0WLltV57xwHbwvFMJm8aXKsJMAWPEF/view?usp=sharing" TargetMode="External"/><Relationship Id="rId67" Type="http://schemas.openxmlformats.org/officeDocument/2006/relationships/hyperlink" Target="https://drive.google.com/file/d/1FxfsPtS-7VznA1K5T4D12Dzu83TM3Xaj/view?usp=sharing" TargetMode="External"/><Relationship Id="rId60" Type="http://schemas.openxmlformats.org/officeDocument/2006/relationships/hyperlink" Target="https://drive.google.com/file/d/11ab9qG-GO00AD7uc9sdpSnOdAF4U0k_u/view?usp=sharing" TargetMode="External"/><Relationship Id="rId69" Type="http://schemas.openxmlformats.org/officeDocument/2006/relationships/hyperlink" Target="https://drive.google.com/file/d/1yhWhTLRPPjCIOKvcX4pr4CGantkSecqn/view?usp=sharing" TargetMode="External"/><Relationship Id="rId51" Type="http://schemas.openxmlformats.org/officeDocument/2006/relationships/hyperlink" Target="https://drive.google.com/file/d/1MmoCZsJp-MfX9hPviSn-p2pNT9EoCKM7/view?usp=sharing" TargetMode="External"/><Relationship Id="rId50" Type="http://schemas.openxmlformats.org/officeDocument/2006/relationships/hyperlink" Target="https://drive.google.com/file/d/1Jy-UueBCWZodxLFc93jX4oPALy7F87KL/view?usp=sharing" TargetMode="External"/><Relationship Id="rId53" Type="http://schemas.openxmlformats.org/officeDocument/2006/relationships/hyperlink" Target="https://drive.google.com/file/d/1MKb2GkxO3WLU9usdl21ATvYhfktuVolq/view?usp=sharing" TargetMode="External"/><Relationship Id="rId52" Type="http://schemas.openxmlformats.org/officeDocument/2006/relationships/hyperlink" Target="https://drive.google.com/file/d/1PwG7gbDSrz-V73_MMiQb-2bMX7KHxRRF/view?usp=sharing" TargetMode="External"/><Relationship Id="rId55" Type="http://schemas.openxmlformats.org/officeDocument/2006/relationships/hyperlink" Target="https://drive.google.com/file/d/1D2D3cBjXjvoNTGpY4yoy_QbPsqARaeLE/view?usp=sharing" TargetMode="External"/><Relationship Id="rId54" Type="http://schemas.openxmlformats.org/officeDocument/2006/relationships/hyperlink" Target="https://drive.google.com/file/d/1hbaSZlblWBQX_dKZefEQUaT8bNqjLAKI/view?usp=sharing" TargetMode="External"/><Relationship Id="rId57" Type="http://schemas.openxmlformats.org/officeDocument/2006/relationships/hyperlink" Target="https://drive.google.com/file/d/1senBqER1tlX4NsY6EmCvbfp5-QgtN8N4/view?usp=sharing" TargetMode="External"/><Relationship Id="rId56" Type="http://schemas.openxmlformats.org/officeDocument/2006/relationships/hyperlink" Target="https://drive.google.com/file/d/16VsFE1hHSy9s67vfhy4gxqXjCRfqxQiN/view?usp=sharing" TargetMode="External"/><Relationship Id="rId59" Type="http://schemas.openxmlformats.org/officeDocument/2006/relationships/hyperlink" Target="https://drive.google.com/file/d/107UailWt5uXdVxQcET37T1KnlW_2NFka/view?usp=sharing" TargetMode="External"/><Relationship Id="rId58" Type="http://schemas.openxmlformats.org/officeDocument/2006/relationships/hyperlink" Target="https://drive.google.com/file/d/1jLiaWbWJBLZSmlNR5TIeA0SQph6Guqfs/view?usp=sharing" TargetMode="External"/><Relationship Id="rId107" Type="http://schemas.openxmlformats.org/officeDocument/2006/relationships/hyperlink" Target="https://drive.google.com/file/d/1yIAZGl31AohKIB7JatM5vDBWwHIO2Ppg/view?usp=sharing" TargetMode="External"/><Relationship Id="rId106" Type="http://schemas.openxmlformats.org/officeDocument/2006/relationships/hyperlink" Target="https://drive.google.com/file/d/19NNJLPe3CbjhLevXMqgFNkzA0-FqTeXU/view?usp=sharing" TargetMode="External"/><Relationship Id="rId105" Type="http://schemas.openxmlformats.org/officeDocument/2006/relationships/hyperlink" Target="https://drive.google.com/file/d/1qXMggiU6hHCBnWGbl6oKFsK1v8TZsu7H/view?usp=sharing" TargetMode="External"/><Relationship Id="rId104" Type="http://schemas.openxmlformats.org/officeDocument/2006/relationships/hyperlink" Target="https://drive.google.com/file/d/1QJ6Zm_cXpiHeP6JDCP07XBGCvbiIsxMD/view?usp=sharing" TargetMode="External"/><Relationship Id="rId109" Type="http://schemas.openxmlformats.org/officeDocument/2006/relationships/hyperlink" Target="https://drive.google.com/file/d/1bX6T4iTfgdXluncImhuYkdsT9dmhJdm0/view?usp=sharing" TargetMode="External"/><Relationship Id="rId108" Type="http://schemas.openxmlformats.org/officeDocument/2006/relationships/hyperlink" Target="https://drive.google.com/file/d/1VlFGkS2cF6jDKW7GhCZkCrNotlpdXZh0/view?usp=sharing" TargetMode="External"/><Relationship Id="rId103" Type="http://schemas.openxmlformats.org/officeDocument/2006/relationships/hyperlink" Target="https://drive.google.com/file/d/1Zbfpfmq96FyLHrRs9yu79GQUWZ9DIxAV/view?usp=sharing" TargetMode="External"/><Relationship Id="rId102" Type="http://schemas.openxmlformats.org/officeDocument/2006/relationships/hyperlink" Target="https://drive.google.com/file/d/1gyO_gOLYYBN7gG0jYOhGRV1LZwDxkwgB/view?usp=sharing" TargetMode="External"/><Relationship Id="rId101" Type="http://schemas.openxmlformats.org/officeDocument/2006/relationships/hyperlink" Target="https://drive.google.com/file/d/1n30BiHFE-2NYiONh4Wo8m81zFhBd-BP1/view?usp=sharing" TargetMode="External"/><Relationship Id="rId100" Type="http://schemas.openxmlformats.org/officeDocument/2006/relationships/hyperlink" Target="https://drive.google.com/file/d/1UXgNGNzXgpf13cdu6LB9lImrhp7yNK9X/view?usp=sharing" TargetMode="External"/><Relationship Id="rId95" Type="http://schemas.openxmlformats.org/officeDocument/2006/relationships/hyperlink" Target="https://drive.google.com/file/d/1cnvRzZBVfPyJjiNtAJboiiIi1lRuy0kh/view?usp=sharing" TargetMode="External"/><Relationship Id="rId94" Type="http://schemas.openxmlformats.org/officeDocument/2006/relationships/hyperlink" Target="https://drive.google.com/file/d/1HfvXYknR8YMth7j7EAxwiq5lmAVXkRMj/view?usp=sharing" TargetMode="External"/><Relationship Id="rId97" Type="http://schemas.openxmlformats.org/officeDocument/2006/relationships/hyperlink" Target="https://drive.google.com/file/d/1cHhUh_Jb7QBdBY8WjvezIEXuZyS1xhvI/view?usp=sharing" TargetMode="External"/><Relationship Id="rId96" Type="http://schemas.openxmlformats.org/officeDocument/2006/relationships/hyperlink" Target="https://drive.google.com/file/d/1MF4osD9IXH6h_scS4VLeeCmmVIO4jL0v/view?usp=sharing" TargetMode="External"/><Relationship Id="rId99" Type="http://schemas.openxmlformats.org/officeDocument/2006/relationships/hyperlink" Target="https://drive.google.com/file/d/1E80jQz7E8_YmSwA71Wyy5din3at8vmqZ/view?usp=sharing" TargetMode="External"/><Relationship Id="rId98" Type="http://schemas.openxmlformats.org/officeDocument/2006/relationships/hyperlink" Target="https://drive.google.com/file/d/1-yXyxF2HDissi-yfBSv79RAISR4Vqy6W/view?usp=sharing" TargetMode="External"/><Relationship Id="rId91" Type="http://schemas.openxmlformats.org/officeDocument/2006/relationships/hyperlink" Target="https://drive.google.com/file/d/1KEweKKb70tiAsEbvMlT2dlHe-npHLKUB/view?usp=sharing" TargetMode="External"/><Relationship Id="rId90" Type="http://schemas.openxmlformats.org/officeDocument/2006/relationships/hyperlink" Target="https://drive.google.com/file/d/147XzMyV_egEMw1NRRJ2wHJRu0oKAllfZ/view?usp=sharing" TargetMode="External"/><Relationship Id="rId93" Type="http://schemas.openxmlformats.org/officeDocument/2006/relationships/hyperlink" Target="https://drive.google.com/file/d/1KowPmqA7zxrpBzPoP2VkqRfDA_6lKHO5/view?usp=sharing" TargetMode="External"/><Relationship Id="rId92" Type="http://schemas.openxmlformats.org/officeDocument/2006/relationships/hyperlink" Target="https://drive.google.com/file/d/1SivstrrdL561m4R1SlVeDfmTXHxriXRP/view?usp=sharing" TargetMode="External"/><Relationship Id="rId117" Type="http://schemas.openxmlformats.org/officeDocument/2006/relationships/drawing" Target="../drawings/drawing13.xml"/><Relationship Id="rId116" Type="http://schemas.openxmlformats.org/officeDocument/2006/relationships/hyperlink" Target="https://drive.google.com/file/d/1RIULWtyzHT_4Ig79sKcPKcJZAghvswNF/view?usp=sharing" TargetMode="External"/><Relationship Id="rId115" Type="http://schemas.openxmlformats.org/officeDocument/2006/relationships/hyperlink" Target="https://drive.google.com/file/d/1JALcMvL0JDIqW491oDkx69mNGhbDF7wz/view?usp=sharing" TargetMode="External"/><Relationship Id="rId110" Type="http://schemas.openxmlformats.org/officeDocument/2006/relationships/hyperlink" Target="https://drive.google.com/file/d/1qpPlyQSZ4irCxA6BdVJ-dPVko7uuD7hF/view?usp=sharing" TargetMode="External"/><Relationship Id="rId114" Type="http://schemas.openxmlformats.org/officeDocument/2006/relationships/hyperlink" Target="https://drive.google.com/file/d/1-fmw87iiJiIZiPWeg6xythcA7Z-VnWxJ/view?usp=sharing" TargetMode="External"/><Relationship Id="rId113" Type="http://schemas.openxmlformats.org/officeDocument/2006/relationships/hyperlink" Target="https://drive.google.com/file/d/1_79GEl6BgZnPPA1Q5jALStMtNCtcgbOb/view?usp=sharing" TargetMode="External"/><Relationship Id="rId112" Type="http://schemas.openxmlformats.org/officeDocument/2006/relationships/hyperlink" Target="https://drive.google.com/file/d/1ZoBLSLBMV9Qbd8_i6HHH4BpY_CoBdAIQ/view?usp=sharing" TargetMode="External"/><Relationship Id="rId111" Type="http://schemas.openxmlformats.org/officeDocument/2006/relationships/hyperlink" Target="https://drive.google.com/file/d/1uH7YDkeH8vnX1xYWWJ5RHMfukOkxTCnd/view?usp=sharing"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drive.google.com/file/d/1w-Kp_DwD6A0uw7ELSOJWPHik6-ZTVjVo/view?usp=sharing" TargetMode="External"/><Relationship Id="rId42" Type="http://schemas.openxmlformats.org/officeDocument/2006/relationships/hyperlink" Target="https://drive.google.com/file/d/1K-z8-uo7n1ngVJ4G1p0nnlI_mB-mD-sL/view?usp=sharing" TargetMode="External"/><Relationship Id="rId41" Type="http://schemas.openxmlformats.org/officeDocument/2006/relationships/hyperlink" Target="https://drive.google.com/file/d/1azlqZp8_q9d75J2tsuqugqYlPAxnLD4C/view?usp=sharing" TargetMode="External"/><Relationship Id="rId44" Type="http://schemas.openxmlformats.org/officeDocument/2006/relationships/hyperlink" Target="https://drive.google.com/file/d/14YQayJDBdgXEAbR5Brl4uDe9wpzo9YvV/view?usp=sharing" TargetMode="External"/><Relationship Id="rId43" Type="http://schemas.openxmlformats.org/officeDocument/2006/relationships/hyperlink" Target="https://drive.google.com/file/d/1dXpHwX2PfmgopdXZjdnZdgLQme7JwfZu/view?usp=sharing" TargetMode="External"/><Relationship Id="rId46" Type="http://schemas.openxmlformats.org/officeDocument/2006/relationships/hyperlink" Target="https://drive.google.com/file/d/1mdHJ98_ZhyMMvyDv3bEBVQFlz28ZBX2p/view?usp=sharing" TargetMode="External"/><Relationship Id="rId45" Type="http://schemas.openxmlformats.org/officeDocument/2006/relationships/hyperlink" Target="https://drive.google.com/file/d/1MBkZ3PoAXYTYeME8A0rfq0gFzfuaeIsz/view?usp=sharing" TargetMode="External"/><Relationship Id="rId48" Type="http://schemas.openxmlformats.org/officeDocument/2006/relationships/hyperlink" Target="https://drive.google.com/file/d/1ALrjZdosSCpRqrofzYzgeOi7PD0rGTPh/view?usp=sharing" TargetMode="External"/><Relationship Id="rId47" Type="http://schemas.openxmlformats.org/officeDocument/2006/relationships/hyperlink" Target="https://drive.google.com/file/d/1uauyFvUnK8U-12bno7QeLkZxiTBR3tDo/view?usp=sharing" TargetMode="External"/><Relationship Id="rId49" Type="http://schemas.openxmlformats.org/officeDocument/2006/relationships/hyperlink" Target="https://drive.google.com/file/d/1BOpzca16hMgpANHV1eMMlN6tpHN8i8n8/view?usp=sharing" TargetMode="External"/><Relationship Id="rId31" Type="http://schemas.openxmlformats.org/officeDocument/2006/relationships/hyperlink" Target="https://drive.google.com/file/d/1QpypvqtFEknqdPpQ-dwSnEP1ey8Zp-fG/view?usp=sharing" TargetMode="External"/><Relationship Id="rId30" Type="http://schemas.openxmlformats.org/officeDocument/2006/relationships/hyperlink" Target="https://drive.google.com/file/d/1uan9lMDZWK2XKkKBxAOsg9bhzf72Ow0k/view?usp=sharing" TargetMode="External"/><Relationship Id="rId33" Type="http://schemas.openxmlformats.org/officeDocument/2006/relationships/hyperlink" Target="https://drive.google.com/file/d/1G1KuHKtJmSL4aDki1V6rKDdr4izmK691/view?usp=sharing" TargetMode="External"/><Relationship Id="rId32" Type="http://schemas.openxmlformats.org/officeDocument/2006/relationships/hyperlink" Target="https://drive.google.com/file/d/1wmFSPh5DDrlGvi6INsPE_3l6w3RgD8p8/view?usp=sharing" TargetMode="External"/><Relationship Id="rId35" Type="http://schemas.openxmlformats.org/officeDocument/2006/relationships/hyperlink" Target="https://drive.google.com/file/d/1GP5fis5w7ngFyFfj6fJs4DRrCmaO6h92/view?usp=sharing" TargetMode="External"/><Relationship Id="rId34" Type="http://schemas.openxmlformats.org/officeDocument/2006/relationships/hyperlink" Target="https://drive.google.com/file/d/1eoapqLLOUhuVRAoXC1t_52j3jr7PpNQH/view?usp=sharing" TargetMode="External"/><Relationship Id="rId37" Type="http://schemas.openxmlformats.org/officeDocument/2006/relationships/hyperlink" Target="https://drive.google.com/file/d/12mIMnuH0nB19sse1-kJ4Hg-mBOwCHLAM/view?usp=sharing" TargetMode="External"/><Relationship Id="rId36" Type="http://schemas.openxmlformats.org/officeDocument/2006/relationships/hyperlink" Target="https://drive.google.com/file/d/1aburWh2h49HtzK-Yoh3iIKrYGmBp57lQ/view?usp=sharing" TargetMode="External"/><Relationship Id="rId39" Type="http://schemas.openxmlformats.org/officeDocument/2006/relationships/hyperlink" Target="https://drive.google.com/file/d/1S6i2ugYfWaACIY7oSjjs-lkuI1F9qYNf/view?usp=sharing" TargetMode="External"/><Relationship Id="rId38" Type="http://schemas.openxmlformats.org/officeDocument/2006/relationships/hyperlink" Target="https://drive.google.com/file/d/1imPd6LFPenwInZUUv-nvYbJe8QwFW4Y7/view?usp=sharing" TargetMode="External"/><Relationship Id="rId20" Type="http://schemas.openxmlformats.org/officeDocument/2006/relationships/hyperlink" Target="https://drive.google.com/file/d/1odbKrhtwtghg6x0EvuwOKkpicGXL6lVK/view?usp=sharing" TargetMode="External"/><Relationship Id="rId22" Type="http://schemas.openxmlformats.org/officeDocument/2006/relationships/hyperlink" Target="https://drive.google.com/file/d/1ibTH02b_yMXklC_DN_fwXPvWefX16NCa/view?usp=sharing" TargetMode="External"/><Relationship Id="rId21" Type="http://schemas.openxmlformats.org/officeDocument/2006/relationships/hyperlink" Target="https://drive.google.com/file/d/1iGsABtXR7JdHpwoWrYTDF_E7gkmQz-41/view?usp=sharing" TargetMode="External"/><Relationship Id="rId24" Type="http://schemas.openxmlformats.org/officeDocument/2006/relationships/hyperlink" Target="https://drive.google.com/file/d/1cmJZNQXbKYR5OO6SzvkPKd0jm79AH-Bh/view?usp=sharing" TargetMode="External"/><Relationship Id="rId23" Type="http://schemas.openxmlformats.org/officeDocument/2006/relationships/hyperlink" Target="https://drive.google.com/file/d/1AXbsDCyxvhdY_AnmixFVXyTC8zegVkVr/view?usp=sharing" TargetMode="External"/><Relationship Id="rId26" Type="http://schemas.openxmlformats.org/officeDocument/2006/relationships/hyperlink" Target="https://drive.google.com/file/d/1Njph29lEflbfyPgYyr7CT_SBHlJcNA1e/view?usp=sharing" TargetMode="External"/><Relationship Id="rId25" Type="http://schemas.openxmlformats.org/officeDocument/2006/relationships/hyperlink" Target="https://drive.google.com/file/d/1romddk5hFdMnlJ6qWaHgVVWRN6stOqcT/view?usp=sharing" TargetMode="External"/><Relationship Id="rId28" Type="http://schemas.openxmlformats.org/officeDocument/2006/relationships/hyperlink" Target="https://drive.google.com/file/d/1ZJ3oX6QbzKnOHLvRStMNT0eNZM31ShDe/view?usp=sharing" TargetMode="External"/><Relationship Id="rId27" Type="http://schemas.openxmlformats.org/officeDocument/2006/relationships/hyperlink" Target="https://drive.google.com/file/d/1CMVsWlhGL6a32RIqqmZ37RU-CAc3jRca/view?usp=sharing" TargetMode="External"/><Relationship Id="rId29" Type="http://schemas.openxmlformats.org/officeDocument/2006/relationships/hyperlink" Target="https://drive.google.com/file/d/1ql-FD_Es7r0oaqr133gpZmPqr7QLSW_G/view?usp=sharing" TargetMode="External"/><Relationship Id="rId11" Type="http://schemas.openxmlformats.org/officeDocument/2006/relationships/hyperlink" Target="https://drive.google.com/file/d/1BwR5O8bS7mfdN7xl-SBluxzROW6ZsAB7/view?usp=share_link" TargetMode="External"/><Relationship Id="rId10" Type="http://schemas.openxmlformats.org/officeDocument/2006/relationships/hyperlink" Target="https://drive.google.com/file/d/169MnLsJD-IxN8NxysYlnqUiRgSJvZ3qO/view?usp=share_link" TargetMode="External"/><Relationship Id="rId13" Type="http://schemas.openxmlformats.org/officeDocument/2006/relationships/hyperlink" Target="https://drive.google.com/file/d/1-xy9jZEnDLc_gDKeYtu_arYZmU-bQ3QK/view?usp=share_link" TargetMode="External"/><Relationship Id="rId12" Type="http://schemas.openxmlformats.org/officeDocument/2006/relationships/hyperlink" Target="https://drive.google.com/file/d/1tuypjLEsYcXp3MsaddYm2vHNbrLQC_Ho/view?usp=share_link" TargetMode="External"/><Relationship Id="rId15" Type="http://schemas.openxmlformats.org/officeDocument/2006/relationships/hyperlink" Target="https://drive.google.com/file/d/1n-fiuMcJn9LHTg9le56njColUgU1Auwo/view?usp=share_link" TargetMode="External"/><Relationship Id="rId14" Type="http://schemas.openxmlformats.org/officeDocument/2006/relationships/hyperlink" Target="https://drive.google.com/file/d/1ezQsm2toV7c7AlZTZMAeVH7qKus1Q7ar/view?usp=share_link" TargetMode="External"/><Relationship Id="rId17" Type="http://schemas.openxmlformats.org/officeDocument/2006/relationships/hyperlink" Target="https://drive.google.com/file/d/1OA1QckDaWm55bMcfNvpKK2gVFzyOUAEZ/view?usp=sharing" TargetMode="External"/><Relationship Id="rId16" Type="http://schemas.openxmlformats.org/officeDocument/2006/relationships/hyperlink" Target="https://drive.google.com/file/d/1MZZWo9VJuiPOl8bqN0m1K0_uv71XCUMG/view?usp=sharing" TargetMode="External"/><Relationship Id="rId19" Type="http://schemas.openxmlformats.org/officeDocument/2006/relationships/hyperlink" Target="https://drive.google.com/file/d/1mUZr_hfZ9eE8tfIj1OWBDUFjyTTzWafB/view?usp=share_link" TargetMode="External"/><Relationship Id="rId18" Type="http://schemas.openxmlformats.org/officeDocument/2006/relationships/hyperlink" Target="https://drive.google.com/file/d/1eygH0C1J8jGQlV7YC2IzivR75JJppoB1/view?usp=sharing" TargetMode="External"/><Relationship Id="rId84" Type="http://schemas.openxmlformats.org/officeDocument/2006/relationships/hyperlink" Target="https://drive.google.com/file/d/16N4tmiae-luLTLdTIKaV9l7t3usR92nJ/view?usp=sharing" TargetMode="External"/><Relationship Id="rId83" Type="http://schemas.openxmlformats.org/officeDocument/2006/relationships/hyperlink" Target="https://drive.google.com/file/d/1bl5g3tVjG5Ix6YOTkQaAe9beFTCVz5RB/view?usp=sharing" TargetMode="External"/><Relationship Id="rId86" Type="http://schemas.openxmlformats.org/officeDocument/2006/relationships/hyperlink" Target="https://drive.google.com/file/d/1W0Jmd9f9i-h6pVbxyWGsIJWmjZVv1pmi/view?usp=sharing" TargetMode="External"/><Relationship Id="rId85" Type="http://schemas.openxmlformats.org/officeDocument/2006/relationships/hyperlink" Target="https://drive.google.com/file/d/1qY2ZQ8U0_keWkTItmax5mE9UlvgkRKpp/view?usp=sharing" TargetMode="External"/><Relationship Id="rId88" Type="http://schemas.openxmlformats.org/officeDocument/2006/relationships/hyperlink" Target="https://drive.google.com/file/d/1Dvw3x5iX_E1gXYsTHIjawKzBtfvk9-w8/view?usp=sharing" TargetMode="External"/><Relationship Id="rId87" Type="http://schemas.openxmlformats.org/officeDocument/2006/relationships/hyperlink" Target="https://drive.google.com/file/d/1aJVwHgPnveem_h4OApizJhroiNVgMiBZ/view?usp=sharing" TargetMode="External"/><Relationship Id="rId89" Type="http://schemas.openxmlformats.org/officeDocument/2006/relationships/hyperlink" Target="https://drive.google.com/file/d/1GFkLHlb5W9qaQJZvjHlrNtNeQ1EbYeY2/view?usp=sharing" TargetMode="External"/><Relationship Id="rId80" Type="http://schemas.openxmlformats.org/officeDocument/2006/relationships/hyperlink" Target="https://drive.google.com/file/d/14R638cI3WAnH9guan1fzEHoT4b3njfVb/view?usp=sharing" TargetMode="External"/><Relationship Id="rId82" Type="http://schemas.openxmlformats.org/officeDocument/2006/relationships/hyperlink" Target="https://drive.google.com/file/d/1kass8wUpmTqMK5PKz0Ng4HdQcBZtUW0R/view?usp=sharing" TargetMode="External"/><Relationship Id="rId81" Type="http://schemas.openxmlformats.org/officeDocument/2006/relationships/hyperlink" Target="https://drive.google.com/file/d/1-993Pb8vJWlg74EOG6CNj97x8ZROoUw-/view?usp=sharing" TargetMode="External"/><Relationship Id="rId1" Type="http://schemas.openxmlformats.org/officeDocument/2006/relationships/hyperlink" Target="https://drive.google.com/file/d/1aYhekKw7Ipt5S5sxskMHu5wFj89ZvzGR/view?usp=share_link" TargetMode="External"/><Relationship Id="rId2" Type="http://schemas.openxmlformats.org/officeDocument/2006/relationships/hyperlink" Target="https://drive.google.com/file/d/1w9TsQOIyh3VHHnhmZroe8luFGboPJTML/view?usp=share_link" TargetMode="External"/><Relationship Id="rId3" Type="http://schemas.openxmlformats.org/officeDocument/2006/relationships/hyperlink" Target="https://drive.google.com/file/d/1o8dgD7r2Ta-ASkXBQH-OfSeRN8fh2C8d/view?usp=share_link" TargetMode="External"/><Relationship Id="rId4" Type="http://schemas.openxmlformats.org/officeDocument/2006/relationships/hyperlink" Target="https://drive.google.com/file/d/1agr4pjf8v3FaGTCt8dwdQ0ct-4HRN_L0/view?usp=share_link" TargetMode="External"/><Relationship Id="rId9" Type="http://schemas.openxmlformats.org/officeDocument/2006/relationships/hyperlink" Target="https://drive.google.com/file/d/1MPZgMbPCz7J3CbNkmfcoTofvlS_Umxm3/view?usp=share_link" TargetMode="External"/><Relationship Id="rId5" Type="http://schemas.openxmlformats.org/officeDocument/2006/relationships/hyperlink" Target="https://drive.google.com/file/d/1uswNbA9M8MTr69yAmMkdw2GT3XaH8oco/view?usp=share_link" TargetMode="External"/><Relationship Id="rId6" Type="http://schemas.openxmlformats.org/officeDocument/2006/relationships/hyperlink" Target="https://drive.google.com/file/d/19-KEcGSZm3uxpxsz66g3kpIwuyTH_41g/view?usp=share_link" TargetMode="External"/><Relationship Id="rId7" Type="http://schemas.openxmlformats.org/officeDocument/2006/relationships/hyperlink" Target="https://drive.google.com/file/d/1v9MpGp8F55zZrlg-F2SCByd0iAMvY-xF/view?usp=share_link" TargetMode="External"/><Relationship Id="rId8" Type="http://schemas.openxmlformats.org/officeDocument/2006/relationships/hyperlink" Target="https://drive.google.com/file/d/1cITY8xPLcrvpFtwrXhkD8Auri1s5w9HL/view?usp=share_link" TargetMode="External"/><Relationship Id="rId73" Type="http://schemas.openxmlformats.org/officeDocument/2006/relationships/hyperlink" Target="https://drive.google.com/file/d/1wZOHeg295XtWVdD1DKXsWVmMasl6CtUj/view?usp=sharing" TargetMode="External"/><Relationship Id="rId72" Type="http://schemas.openxmlformats.org/officeDocument/2006/relationships/hyperlink" Target="https://drive.google.com/file/d/15BY5brf0no6v73GuyUuRHorkUBDY1ouf/view?usp=sharing" TargetMode="External"/><Relationship Id="rId75" Type="http://schemas.openxmlformats.org/officeDocument/2006/relationships/hyperlink" Target="https://drive.google.com/file/d/1D2qt4HbcGgck--uouAQwbG-huiBH1yFG/view?usp=sharing" TargetMode="External"/><Relationship Id="rId74" Type="http://schemas.openxmlformats.org/officeDocument/2006/relationships/hyperlink" Target="https://drive.google.com/file/d/1gTvFCJ5n0SDvUwQxmY5V-62OTqg5QypX/view?usp=sharing" TargetMode="External"/><Relationship Id="rId77" Type="http://schemas.openxmlformats.org/officeDocument/2006/relationships/hyperlink" Target="https://drive.google.com/file/d/1c5VvEcIYBuQe9b5uYsQxr8UXDirneGtY/view?usp=sharing" TargetMode="External"/><Relationship Id="rId76" Type="http://schemas.openxmlformats.org/officeDocument/2006/relationships/hyperlink" Target="https://drive.google.com/file/d/1IQ9UlH3K2JE34I4TqrtilivFJQ52PELy/view?usp=sharing" TargetMode="External"/><Relationship Id="rId79" Type="http://schemas.openxmlformats.org/officeDocument/2006/relationships/hyperlink" Target="https://drive.google.com/file/d/1SOKPls7B3s_6YaFARaSTv6-nMRX3fRR2/view?usp=sharing" TargetMode="External"/><Relationship Id="rId78" Type="http://schemas.openxmlformats.org/officeDocument/2006/relationships/hyperlink" Target="https://drive.google.com/file/d/17fGOKfNaZay8KvWtv8P8qKuM-JsnAQvq/view?usp=sharing" TargetMode="External"/><Relationship Id="rId71" Type="http://schemas.openxmlformats.org/officeDocument/2006/relationships/hyperlink" Target="https://drive.google.com/file/d/1BTGZ9mE6HP5KuoLYLPtxURwpCKA4tLYD/view?usp=sharing" TargetMode="External"/><Relationship Id="rId70" Type="http://schemas.openxmlformats.org/officeDocument/2006/relationships/hyperlink" Target="https://drive.google.com/file/d/1YB6EjRv8SLbDSgHs58LE5Pnl48XHQfZz/view?usp=sharing" TargetMode="External"/><Relationship Id="rId130" Type="http://schemas.openxmlformats.org/officeDocument/2006/relationships/drawing" Target="../drawings/drawing14.xml"/><Relationship Id="rId62" Type="http://schemas.openxmlformats.org/officeDocument/2006/relationships/hyperlink" Target="https://drive.google.com/file/d/1CViDqVuzBAip_ysRK6FZcYd-KhWAiLoj/view?usp=sharing" TargetMode="External"/><Relationship Id="rId61" Type="http://schemas.openxmlformats.org/officeDocument/2006/relationships/hyperlink" Target="https://drive.google.com/file/d/1y7wPTwyLVRYAmbkfIQeYPUJmpueEmDJq/view?usp=sharing" TargetMode="External"/><Relationship Id="rId64" Type="http://schemas.openxmlformats.org/officeDocument/2006/relationships/hyperlink" Target="https://drive.google.com/file/d/1Y-CTCbGgyyPshvt8Yb3p5_gBrX_z_r_B/view?usp=sharing" TargetMode="External"/><Relationship Id="rId63" Type="http://schemas.openxmlformats.org/officeDocument/2006/relationships/hyperlink" Target="https://drive.google.com/file/d/1zxl7D4x_L97eFTIRo25EBb22dZk4rpRA/view?usp=sharing" TargetMode="External"/><Relationship Id="rId66" Type="http://schemas.openxmlformats.org/officeDocument/2006/relationships/hyperlink" Target="https://drive.google.com/file/d/16N7lL5KMMO51cpk0rIjmOTnwubsLxLua/view?usp=sharing" TargetMode="External"/><Relationship Id="rId65" Type="http://schemas.openxmlformats.org/officeDocument/2006/relationships/hyperlink" Target="https://drive.google.com/file/d/1VOx1Yq3HRI7R1kRKOHmDiCvxkscF1z2B/view?usp=sharing" TargetMode="External"/><Relationship Id="rId68" Type="http://schemas.openxmlformats.org/officeDocument/2006/relationships/hyperlink" Target="https://drive.google.com/file/d/19Y13MbUbU6FrZKcX1x8Vz608doSuFu5A/view?usp=sharing" TargetMode="External"/><Relationship Id="rId67" Type="http://schemas.openxmlformats.org/officeDocument/2006/relationships/hyperlink" Target="https://drive.google.com/file/d/1BcmyXmZD6WuzG3wX8BXXiwqeKdAHEl_p/view?usp=sharing" TargetMode="External"/><Relationship Id="rId60" Type="http://schemas.openxmlformats.org/officeDocument/2006/relationships/hyperlink" Target="https://drive.google.com/file/d/1YU3JDSW7HJ2baXGwH8AA8m60m8blEb62/view?usp=sharing" TargetMode="External"/><Relationship Id="rId69" Type="http://schemas.openxmlformats.org/officeDocument/2006/relationships/hyperlink" Target="https://drive.google.com/file/d/1BHw6eGr6aiwbau1Gw38U09BENY7-qBk_/view?usp=sharing" TargetMode="External"/><Relationship Id="rId51" Type="http://schemas.openxmlformats.org/officeDocument/2006/relationships/hyperlink" Target="https://drive.google.com/file/d/111l2Z4SMEFrd9H2veo3ib03SZW8o7z3n/view?usp=sharing" TargetMode="External"/><Relationship Id="rId50" Type="http://schemas.openxmlformats.org/officeDocument/2006/relationships/hyperlink" Target="https://drive.google.com/file/d/1K30ZWK4EvLwBRH_ZljyZ88NWRnRhnCs7/view?usp=sharing" TargetMode="External"/><Relationship Id="rId53" Type="http://schemas.openxmlformats.org/officeDocument/2006/relationships/hyperlink" Target="https://drive.google.com/file/d/1a1hGd2p0KzhPHHOO733dzZQLC_PQk4Cg/view?usp=sharing" TargetMode="External"/><Relationship Id="rId52" Type="http://schemas.openxmlformats.org/officeDocument/2006/relationships/hyperlink" Target="https://drive.google.com/file/d/1ClwOapbmz733GeRPMrHSW6iHb43Wtjjf/view?usp=sharing" TargetMode="External"/><Relationship Id="rId55" Type="http://schemas.openxmlformats.org/officeDocument/2006/relationships/hyperlink" Target="https://drive.google.com/file/d/1x-GX3KC85yfrd-4jhsUGpV-y8DKLJMEG/view?usp=sharing" TargetMode="External"/><Relationship Id="rId54" Type="http://schemas.openxmlformats.org/officeDocument/2006/relationships/hyperlink" Target="https://drive.google.com/file/d/1FjxCY5UF0rD_bqTxFo9obVjjoWqw0SCd/view?usp=sharing" TargetMode="External"/><Relationship Id="rId57" Type="http://schemas.openxmlformats.org/officeDocument/2006/relationships/hyperlink" Target="https://drive.google.com/file/d/134uMuKHCPbiB1Z2fYeXyRahfAtQ_wVqq/view?usp=sharing" TargetMode="External"/><Relationship Id="rId56" Type="http://schemas.openxmlformats.org/officeDocument/2006/relationships/hyperlink" Target="https://drive.google.com/file/d/1Qnyq6neACeatQ8befF3kkYxDRQ-lE8rC/view?usp=sharing" TargetMode="External"/><Relationship Id="rId59" Type="http://schemas.openxmlformats.org/officeDocument/2006/relationships/hyperlink" Target="https://drive.google.com/file/d/1zghVYEeR-LQE79wZgaE3G3FkA4JsL5tr/view?usp=sharing" TargetMode="External"/><Relationship Id="rId58" Type="http://schemas.openxmlformats.org/officeDocument/2006/relationships/hyperlink" Target="https://drive.google.com/file/d/1LqgknTk7wWUcOCeRGVREhFSyAaUe480-/view?usp=sharing" TargetMode="External"/><Relationship Id="rId107" Type="http://schemas.openxmlformats.org/officeDocument/2006/relationships/hyperlink" Target="https://drive.google.com/file/d/1CYel0MhrojPuF9y5hAvU2RgjX8JZvu2A/view?usp=sharing" TargetMode="External"/><Relationship Id="rId106" Type="http://schemas.openxmlformats.org/officeDocument/2006/relationships/hyperlink" Target="https://drive.google.com/file/d/14_eagUMfZbj6q6jXJqKiDdK9VGuBF1Z6/view?usp=sharing" TargetMode="External"/><Relationship Id="rId105" Type="http://schemas.openxmlformats.org/officeDocument/2006/relationships/hyperlink" Target="https://drive.google.com/file/d/1s8BPNbnFJ3gFLRQmHajWXgyvNpfmDFcF/view?usp=sharing" TargetMode="External"/><Relationship Id="rId104" Type="http://schemas.openxmlformats.org/officeDocument/2006/relationships/hyperlink" Target="https://drive.google.com/file/d/1c-s3QrhmY2lwl0ofjBmZPZDEIBVwhGBi/view?usp=sharing" TargetMode="External"/><Relationship Id="rId109" Type="http://schemas.openxmlformats.org/officeDocument/2006/relationships/hyperlink" Target="https://drive.google.com/file/d/1CqsyslNcV8F_OubvU-eR7hHWEpspLbgN/view?usp=sharing" TargetMode="External"/><Relationship Id="rId108" Type="http://schemas.openxmlformats.org/officeDocument/2006/relationships/hyperlink" Target="https://drive.google.com/file/d/15vvOatCpWjom9-wdUsj8pOpWQt43DqRO/view?usp=sharing" TargetMode="External"/><Relationship Id="rId103" Type="http://schemas.openxmlformats.org/officeDocument/2006/relationships/hyperlink" Target="https://drive.google.com/file/d/1X6-JFnDZdIZmzpR-D7yhip9GXz34MjpT/view?usp=sharing" TargetMode="External"/><Relationship Id="rId102" Type="http://schemas.openxmlformats.org/officeDocument/2006/relationships/hyperlink" Target="https://drive.google.com/file/d/1_qBawNCBn6vEiXftUrSqfqobw7JXQeU4/view?usp=sharing" TargetMode="External"/><Relationship Id="rId101" Type="http://schemas.openxmlformats.org/officeDocument/2006/relationships/hyperlink" Target="https://drive.google.com/file/d/1KphsrQ3Bq9rHHnQr105Ockd5Jct2IIkH/view?usp=sharing" TargetMode="External"/><Relationship Id="rId100" Type="http://schemas.openxmlformats.org/officeDocument/2006/relationships/hyperlink" Target="https://drive.google.com/file/d/1qzWQ_bGwSo47uXpHsNauSObgBubhoqXi/view?usp=sharing" TargetMode="External"/><Relationship Id="rId129" Type="http://schemas.openxmlformats.org/officeDocument/2006/relationships/hyperlink" Target="https://drive.google.com/file/d/1FJn_vWmq-eCPkRbO8rzE4rL_r-dRZeHz/view?usp=sharing" TargetMode="External"/><Relationship Id="rId128" Type="http://schemas.openxmlformats.org/officeDocument/2006/relationships/hyperlink" Target="https://drive.google.com/file/d/1Cpu0PNiPLfU3LNZSEdLjdKwocXIKOmPF/view?usp=sharing" TargetMode="External"/><Relationship Id="rId127" Type="http://schemas.openxmlformats.org/officeDocument/2006/relationships/hyperlink" Target="https://drive.google.com/file/d/1E09VUbS_-un09FpSe98sNPiFg_sSI4-s/view?usp=sharing" TargetMode="External"/><Relationship Id="rId126" Type="http://schemas.openxmlformats.org/officeDocument/2006/relationships/hyperlink" Target="https://drive.google.com/file/d/1_hB-yBjk5sub5BLMwpllI_8rhonTrN-i/view?usp=sharing" TargetMode="External"/><Relationship Id="rId121" Type="http://schemas.openxmlformats.org/officeDocument/2006/relationships/hyperlink" Target="https://drive.google.com/file/d/1y6rJJ_krJJcwjR_KpZfvAwGpwb4-gREa/view?usp=sharing" TargetMode="External"/><Relationship Id="rId120" Type="http://schemas.openxmlformats.org/officeDocument/2006/relationships/hyperlink" Target="https://drive.google.com/file/d/1nrwhrZm2OspVSLpXkLgao0qJVNabhf_t/view?usp=sharing" TargetMode="External"/><Relationship Id="rId125" Type="http://schemas.openxmlformats.org/officeDocument/2006/relationships/hyperlink" Target="https://drive.google.com/file/d/1iYrB-_VBCNgX8p9Ee5K6HNotJVtW6GIe/view?usp=sharing" TargetMode="External"/><Relationship Id="rId124" Type="http://schemas.openxmlformats.org/officeDocument/2006/relationships/hyperlink" Target="https://drive.google.com/file/d/1N4nxVmWell9deZcp2bGxGjUfOzIDBtB1/view?usp=sharing" TargetMode="External"/><Relationship Id="rId123" Type="http://schemas.openxmlformats.org/officeDocument/2006/relationships/hyperlink" Target="https://drive.google.com/file/d/1pWIXpAPHzVuJVqjEbKWsRd4REzkFpCbW/view?usp=sharing" TargetMode="External"/><Relationship Id="rId122" Type="http://schemas.openxmlformats.org/officeDocument/2006/relationships/hyperlink" Target="https://drive.google.com/file/d/1qYUa91hNVxc0KsvNexRQN0dzyvU5YHYi/view?usp=sharing" TargetMode="External"/><Relationship Id="rId95" Type="http://schemas.openxmlformats.org/officeDocument/2006/relationships/hyperlink" Target="https://drive.google.com/file/d/14o36ComfFctZ_8qwnVNCPGxxzd1bYjgk/view?usp=sharing" TargetMode="External"/><Relationship Id="rId94" Type="http://schemas.openxmlformats.org/officeDocument/2006/relationships/hyperlink" Target="https://drive.google.com/file/d/133Siz39I6qdF6-kGJsdgF5kFIJtQllYl/view?usp=sharing" TargetMode="External"/><Relationship Id="rId97" Type="http://schemas.openxmlformats.org/officeDocument/2006/relationships/hyperlink" Target="https://drive.google.com/file/d/19zsdxOj3-wD1mIOYNuf3t_9L5RnCljg4/view?usp=sharing" TargetMode="External"/><Relationship Id="rId96" Type="http://schemas.openxmlformats.org/officeDocument/2006/relationships/hyperlink" Target="https://drive.google.com/file/d/18RyT4fh0i3EHsRKnEUP9Zw-V82iCOXfj/view?usp=sharing" TargetMode="External"/><Relationship Id="rId99" Type="http://schemas.openxmlformats.org/officeDocument/2006/relationships/hyperlink" Target="https://drive.google.com/file/d/1RyNW5l1iOvy6FooLzCkn7FuBXV7M-ncH/view?usp=sharing" TargetMode="External"/><Relationship Id="rId98" Type="http://schemas.openxmlformats.org/officeDocument/2006/relationships/hyperlink" Target="https://drive.google.com/file/d/1k0d9EMD3-Jvf6sMtQ_eJYnz-u9d7X-0K/view?usp=sharing" TargetMode="External"/><Relationship Id="rId91" Type="http://schemas.openxmlformats.org/officeDocument/2006/relationships/hyperlink" Target="https://drive.google.com/file/d/1AuDRT0Vnp4fDkI3odEU5cqB5zrc9EZqz/view?usp=sharing" TargetMode="External"/><Relationship Id="rId90" Type="http://schemas.openxmlformats.org/officeDocument/2006/relationships/hyperlink" Target="https://drive.google.com/file/d/1vCj-irfxROvMLIWBeDAXNxDGANWrFZVe/view?usp=sharing" TargetMode="External"/><Relationship Id="rId93" Type="http://schemas.openxmlformats.org/officeDocument/2006/relationships/hyperlink" Target="https://drive.google.com/file/d/1cEOHqfcLjVQY-S8RbwBOHTv-Am8z7_Fy/view?usp=sharing" TargetMode="External"/><Relationship Id="rId92" Type="http://schemas.openxmlformats.org/officeDocument/2006/relationships/hyperlink" Target="https://drive.google.com/file/d/1iXU4TTM_FHwjnDFO6Q3ZY-ub-ikAKvDC/view?usp=sharing" TargetMode="External"/><Relationship Id="rId118" Type="http://schemas.openxmlformats.org/officeDocument/2006/relationships/hyperlink" Target="https://drive.google.com/file/d/14qGW13_rb_RsPjbKd8w774Do2opx92Vo/view?usp=sharing" TargetMode="External"/><Relationship Id="rId117" Type="http://schemas.openxmlformats.org/officeDocument/2006/relationships/hyperlink" Target="https://drive.google.com/file/d/10NG1kBN0uSvAGpY9LEHQEwiOm4a8vod1/view?usp=sharing" TargetMode="External"/><Relationship Id="rId116" Type="http://schemas.openxmlformats.org/officeDocument/2006/relationships/hyperlink" Target="https://drive.google.com/file/d/15AvcTqqcy_cOAnt_weWZXLNwqbeo1Oap/view?usp=sharing" TargetMode="External"/><Relationship Id="rId115" Type="http://schemas.openxmlformats.org/officeDocument/2006/relationships/hyperlink" Target="https://drive.google.com/file/d/1lkxc-OWOsJWxlg8E92rO_8UYE41AJyYr/view?usp=sharing" TargetMode="External"/><Relationship Id="rId119" Type="http://schemas.openxmlformats.org/officeDocument/2006/relationships/hyperlink" Target="https://drive.google.com/file/d/1Wcq1b86HIvtwIkEQ44_HYjN6B5gF7ttF/view?usp=sharing" TargetMode="External"/><Relationship Id="rId110" Type="http://schemas.openxmlformats.org/officeDocument/2006/relationships/hyperlink" Target="https://drive.google.com/file/d/1T2I352lU4Kt2B_KG_VIut3wkUg7mjTwV/view?usp=sharing" TargetMode="External"/><Relationship Id="rId114" Type="http://schemas.openxmlformats.org/officeDocument/2006/relationships/hyperlink" Target="https://drive.google.com/file/d/14zI1qgtnKNVSeTneQzGw2SkDgKIDRMSC/view?usp=sharing" TargetMode="External"/><Relationship Id="rId113" Type="http://schemas.openxmlformats.org/officeDocument/2006/relationships/hyperlink" Target="https://drive.google.com/file/d/14nZmf1C0IxzzdmESk7SDqlHAabfVAocT/view?usp=sharing" TargetMode="External"/><Relationship Id="rId112" Type="http://schemas.openxmlformats.org/officeDocument/2006/relationships/hyperlink" Target="https://drive.google.com/file/d/1FL8Uk76mcUcKz4xWJa8swmjiZNv8RNkg/view?usp=sharing" TargetMode="External"/><Relationship Id="rId111" Type="http://schemas.openxmlformats.org/officeDocument/2006/relationships/hyperlink" Target="https://drive.google.com/file/d/1PBWeZ2zIO6CPa_wuG2VPglsgSa3YOFfS/view?usp=sharing" TargetMode="External"/></Relationships>
</file>

<file path=xl/worksheets/_rels/sheet15.xml.rels><?xml version="1.0" encoding="UTF-8" standalone="yes"?><Relationships xmlns="http://schemas.openxmlformats.org/package/2006/relationships"><Relationship Id="rId190" Type="http://schemas.openxmlformats.org/officeDocument/2006/relationships/hyperlink" Target="https://drive.google.com/file/d/1c1pTdebi_CD6G9_-8zMV7TtYPO62CCJe/view?usp=sharing" TargetMode="External"/><Relationship Id="rId194" Type="http://schemas.openxmlformats.org/officeDocument/2006/relationships/hyperlink" Target="https://drive.google.com/file/d/1qAeMn9LiJnLYT1d28zxnScWueacri1FA/view?usp=sharing" TargetMode="External"/><Relationship Id="rId193" Type="http://schemas.openxmlformats.org/officeDocument/2006/relationships/hyperlink" Target="https://drive.google.com/file/d/1X27TvJXemjByf6ITvxWFzXT3ExIvTVzF/view?usp=sharing" TargetMode="External"/><Relationship Id="rId192" Type="http://schemas.openxmlformats.org/officeDocument/2006/relationships/hyperlink" Target="https://drive.google.com/file/d/1YydZzgqAm1hqvIppP6pg78p5vdqqaL3q/view?usp=sharing" TargetMode="External"/><Relationship Id="rId191" Type="http://schemas.openxmlformats.org/officeDocument/2006/relationships/hyperlink" Target="https://drive.google.com/file/d/1dKHAJsX6Bg1EHCSvoFI8WgUGOXA7_PDJ/view?usp=sharing" TargetMode="External"/><Relationship Id="rId187" Type="http://schemas.openxmlformats.org/officeDocument/2006/relationships/hyperlink" Target="https://drive.google.com/file/d/1bnrt-6zvgVqNNgXe7dT2js-UNPf59XJi/view?usp=sharing" TargetMode="External"/><Relationship Id="rId186" Type="http://schemas.openxmlformats.org/officeDocument/2006/relationships/hyperlink" Target="https://drive.google.com/file/d/15drLttIz2bLUAG9djK4A7vvFDMqYBPPt/view?usp=sharing" TargetMode="External"/><Relationship Id="rId185" Type="http://schemas.openxmlformats.org/officeDocument/2006/relationships/hyperlink" Target="https://drive.google.com/file/d/1TZo44s_iCNtQEAIb8O5VxKcu5BDrWVLo/view?usp=sharing" TargetMode="External"/><Relationship Id="rId184" Type="http://schemas.openxmlformats.org/officeDocument/2006/relationships/hyperlink" Target="https://drive.google.com/file/d/1bWCvTaq-tiG9I-KlikfKL064dC2IeDlf/view?usp=sharing" TargetMode="External"/><Relationship Id="rId189" Type="http://schemas.openxmlformats.org/officeDocument/2006/relationships/hyperlink" Target="https://drive.google.com/file/d/1KxdOJbGn_TSfnqgtXGDdQRJdYjqXXysY/view?usp=sharing" TargetMode="External"/><Relationship Id="rId188" Type="http://schemas.openxmlformats.org/officeDocument/2006/relationships/hyperlink" Target="https://drive.google.com/file/d/1s39NYnc_P2jTeBi1vom1BAf-ltRoqGOS/view?usp=sharing" TargetMode="External"/><Relationship Id="rId183" Type="http://schemas.openxmlformats.org/officeDocument/2006/relationships/hyperlink" Target="https://drive.google.com/file/d/13q7V2bP-tIxLdiUKzax_wZu7yTzEPrMf/view?usp=sharing" TargetMode="External"/><Relationship Id="rId182" Type="http://schemas.openxmlformats.org/officeDocument/2006/relationships/hyperlink" Target="https://drive.google.com/file/d/1hRaZFv0v7x31YYtIgFtE7oeZJuv7jBpE/view?usp=sharing" TargetMode="External"/><Relationship Id="rId181" Type="http://schemas.openxmlformats.org/officeDocument/2006/relationships/hyperlink" Target="https://drive.google.com/file/d/17o8BhMpSyxzly_rjHhJzWkJ1a94304pK/view?usp=sharing" TargetMode="External"/><Relationship Id="rId180" Type="http://schemas.openxmlformats.org/officeDocument/2006/relationships/hyperlink" Target="https://drive.google.com/file/d/1ST23137B97mxMtcqkHkV-Jkb9NEf_xmb/view?usp=sharing" TargetMode="External"/><Relationship Id="rId176" Type="http://schemas.openxmlformats.org/officeDocument/2006/relationships/hyperlink" Target="https://drive.google.com/file/d/1-4i4jCQDBy2wmGOIvUHmP-sf6MmPA2nT/view?usp=sharing" TargetMode="External"/><Relationship Id="rId297" Type="http://schemas.openxmlformats.org/officeDocument/2006/relationships/hyperlink" Target="https://drive.google.com/file/d/1CO2ELwcz0fNKUiKX8878am-5KjHQi6MA/view?usp=sharing" TargetMode="External"/><Relationship Id="rId175" Type="http://schemas.openxmlformats.org/officeDocument/2006/relationships/hyperlink" Target="https://drive.google.com/file/d/1tUYGOJeGSqmwPVtOpTR7VwhquFDgjrRj/view?usp=sharing" TargetMode="External"/><Relationship Id="rId296" Type="http://schemas.openxmlformats.org/officeDocument/2006/relationships/hyperlink" Target="https://drive.google.com/file/d/1aa36vtQLEsk5HelBp8u6u5DMgbxaTquJ/view?usp=sharing" TargetMode="External"/><Relationship Id="rId174" Type="http://schemas.openxmlformats.org/officeDocument/2006/relationships/hyperlink" Target="https://drive.google.com/file/d/1kO9qe5ZMCRW5G7CcXxJvyrlkjqVlLxyQ/view?usp=sharing" TargetMode="External"/><Relationship Id="rId295" Type="http://schemas.openxmlformats.org/officeDocument/2006/relationships/hyperlink" Target="https://drive.google.com/file/d/1ghh6jRONZdd5coKhc4_ykps2D_x60jpd/view?usp=sharing" TargetMode="External"/><Relationship Id="rId173" Type="http://schemas.openxmlformats.org/officeDocument/2006/relationships/hyperlink" Target="https://drive.google.com/file/d/155wnqjhA2KewXDOz41FZmVjwk9j2fyyA/view?usp=sharing" TargetMode="External"/><Relationship Id="rId294" Type="http://schemas.openxmlformats.org/officeDocument/2006/relationships/hyperlink" Target="https://drive.google.com/file/d/16XdJ9CUoqWJs6gfeI-CgIKVC-0iWBPVI/view?usp=sharing" TargetMode="External"/><Relationship Id="rId179" Type="http://schemas.openxmlformats.org/officeDocument/2006/relationships/hyperlink" Target="https://drive.google.com/file/d/1v69c5j9IkkeWuoRtYUuynWCFNIj6BOw3/view?usp=sharing" TargetMode="External"/><Relationship Id="rId178" Type="http://schemas.openxmlformats.org/officeDocument/2006/relationships/hyperlink" Target="https://drive.google.com/file/d/1JbJy4kRO4Gzas9in93HvvxaIJawB0VXy/view?usp=sharing" TargetMode="External"/><Relationship Id="rId299" Type="http://schemas.openxmlformats.org/officeDocument/2006/relationships/hyperlink" Target="https://drive.google.com/file/d/1KjOkPEq-R_2qiJi0iPt4SzQEroAwTtGd/view?usp=sharing" TargetMode="External"/><Relationship Id="rId177" Type="http://schemas.openxmlformats.org/officeDocument/2006/relationships/hyperlink" Target="https://drive.google.com/file/d/10D0tnMpEzRb8W205e-QKbd9m6YN0zjEj/view?usp=sharing" TargetMode="External"/><Relationship Id="rId298" Type="http://schemas.openxmlformats.org/officeDocument/2006/relationships/hyperlink" Target="https://drive.google.com/file/d/172hRq-EY1mXAl_Ys223_cMqs-Zr930Qi/view?usp=sharing" TargetMode="External"/><Relationship Id="rId198" Type="http://schemas.openxmlformats.org/officeDocument/2006/relationships/hyperlink" Target="https://drive.google.com/file/d/1MciBPcc87SwEJqLG-_Tbxg9Y5tz6brtr/view?usp=sharing" TargetMode="External"/><Relationship Id="rId197" Type="http://schemas.openxmlformats.org/officeDocument/2006/relationships/hyperlink" Target="https://drive.google.com/file/d/13LazKFA1mMDUHl79e_TC6t14xpuu2fB-/view?usp=sharing" TargetMode="External"/><Relationship Id="rId196" Type="http://schemas.openxmlformats.org/officeDocument/2006/relationships/hyperlink" Target="https://drive.google.com/file/d/1R7GyqbVerRzJJWTKrdZ_9IBWI1P6xh2X/view?usp=sharing" TargetMode="External"/><Relationship Id="rId195" Type="http://schemas.openxmlformats.org/officeDocument/2006/relationships/hyperlink" Target="https://drive.google.com/file/d/1X27TvJXemjByf6ITvxWFzXT3ExIvTVzF/view?usp=sharing" TargetMode="External"/><Relationship Id="rId199" Type="http://schemas.openxmlformats.org/officeDocument/2006/relationships/hyperlink" Target="https://drive.google.com/file/d/1iIMrsHcJmQtP7oPK7jDYn0vl_Le6H9Oq/view?usp=sharing" TargetMode="External"/><Relationship Id="rId150" Type="http://schemas.openxmlformats.org/officeDocument/2006/relationships/hyperlink" Target="https://drive.google.com/file/d/1Cw76DDrljYMIaKhwaBAZNV0SnHWQKC6C/view?usp=sharing" TargetMode="External"/><Relationship Id="rId271" Type="http://schemas.openxmlformats.org/officeDocument/2006/relationships/hyperlink" Target="https://drive.google.com/file/d/1b9GGw5Y97wUDcXS3Bz8_WH6SA00PE75K/view?usp=sharing" TargetMode="External"/><Relationship Id="rId392" Type="http://schemas.openxmlformats.org/officeDocument/2006/relationships/hyperlink" Target="https://drive.google.com/file/d/1DIf4UvjDr6vEL0ZNwgd2VC-_0SOmQ010/view?usp=sharing" TargetMode="External"/><Relationship Id="rId270" Type="http://schemas.openxmlformats.org/officeDocument/2006/relationships/hyperlink" Target="https://drive.google.com/file/d/1nJX8SMDLfqOq0zNue9yX0rFkjDCuCcUj/view?usp=sharing" TargetMode="External"/><Relationship Id="rId391" Type="http://schemas.openxmlformats.org/officeDocument/2006/relationships/hyperlink" Target="https://drive.google.com/file/d/1rAMiNIGIQH9GSLQYtyxo1RNGwwJ0xHvX/view?usp=sharing" TargetMode="External"/><Relationship Id="rId390" Type="http://schemas.openxmlformats.org/officeDocument/2006/relationships/hyperlink" Target="https://drive.google.com/file/d/1uzezlWYQxocBl2OB36qZPR4SwVmG9Ugg/view?usp=sharing" TargetMode="External"/><Relationship Id="rId1" Type="http://schemas.openxmlformats.org/officeDocument/2006/relationships/hyperlink" Target="https://drive.google.com/file/d/1z9lcyy1WVYl_vbNBN3eF2zzkfCEBjuHl/view?usp=share_link" TargetMode="External"/><Relationship Id="rId2" Type="http://schemas.openxmlformats.org/officeDocument/2006/relationships/hyperlink" Target="https://drive.google.com/file/d/1QxAz0Ypw0NwQ1Ve_gfBezVcg_b3cJF7u/view?usp=share_link" TargetMode="External"/><Relationship Id="rId3" Type="http://schemas.openxmlformats.org/officeDocument/2006/relationships/hyperlink" Target="https://drive.google.com/file/d/1qCp3UQccZFsEFQIL6RcmjYy_nc3u_QMz/view?usp=share_link" TargetMode="External"/><Relationship Id="rId149" Type="http://schemas.openxmlformats.org/officeDocument/2006/relationships/hyperlink" Target="https://drive.google.com/file/d/1g18fhuN0f5wmbiskaPKDZU9caVJmuP9E/view?usp=sharing" TargetMode="External"/><Relationship Id="rId4" Type="http://schemas.openxmlformats.org/officeDocument/2006/relationships/hyperlink" Target="https://drive.google.com/file/d/1qNejQG5qtw-CAfrkYW3FTdnRQDQh1Uf9/view?usp=share_link" TargetMode="External"/><Relationship Id="rId148" Type="http://schemas.openxmlformats.org/officeDocument/2006/relationships/hyperlink" Target="https://drive.google.com/file/d/1NkRLZtRNYtiL3zu3mXfmsALOkrkUqEgD/view?usp=sharing" TargetMode="External"/><Relationship Id="rId269" Type="http://schemas.openxmlformats.org/officeDocument/2006/relationships/hyperlink" Target="https://drive.google.com/file/d/18McOCJo8WMYJrz7jDuAvUJfU8rpZPJQp/view?usp=sharing" TargetMode="External"/><Relationship Id="rId9" Type="http://schemas.openxmlformats.org/officeDocument/2006/relationships/hyperlink" Target="https://drive.google.com/file/d/1D1rivB57rtxxTKgShV9gKxhPMvZ7lP71/view?usp=share_link" TargetMode="External"/><Relationship Id="rId143" Type="http://schemas.openxmlformats.org/officeDocument/2006/relationships/hyperlink" Target="https://drive.google.com/file/d/15nBjX8nacwLCVYdvPfptGE55eelcoytB/view?usp=sharing" TargetMode="External"/><Relationship Id="rId264" Type="http://schemas.openxmlformats.org/officeDocument/2006/relationships/hyperlink" Target="https://drive.google.com/file/d/1Tb4bYxhY185F7oWBaqcDxONnLQ8X7QvE/view?usp=sharing" TargetMode="External"/><Relationship Id="rId385" Type="http://schemas.openxmlformats.org/officeDocument/2006/relationships/hyperlink" Target="https://drive.google.com/file/d/1Y24s0csFrupiZWbcFPENznpHjt5x9Xvx/view?usp=sharing" TargetMode="External"/><Relationship Id="rId142" Type="http://schemas.openxmlformats.org/officeDocument/2006/relationships/hyperlink" Target="https://drive.google.com/file/d/1vqU7x_ts0Wl22ryeHuGu3I9w2u3bPEkR/view?usp=sharing" TargetMode="External"/><Relationship Id="rId263" Type="http://schemas.openxmlformats.org/officeDocument/2006/relationships/hyperlink" Target="https://drive.google.com/file/d/1qTOiGWG_4P98Ppi7JwJVqhBrGegp9K91/view?usp=sharing" TargetMode="External"/><Relationship Id="rId384" Type="http://schemas.openxmlformats.org/officeDocument/2006/relationships/hyperlink" Target="https://drive.google.com/file/d/1FmKrXBbLhr3yvCbb-q1D92ItX0AfVKrH/view?usp=sharing" TargetMode="External"/><Relationship Id="rId141" Type="http://schemas.openxmlformats.org/officeDocument/2006/relationships/hyperlink" Target="https://drive.google.com/file/d/1yOIu2Q6p5vZx0YwhrM7TLtj6cYoFtayc/view?usp=sharing" TargetMode="External"/><Relationship Id="rId262" Type="http://schemas.openxmlformats.org/officeDocument/2006/relationships/hyperlink" Target="https://drive.google.com/file/d/1l6yjWIKbPKbYFv_wmri6GitqPfB-xve5/view?usp=sharing" TargetMode="External"/><Relationship Id="rId383" Type="http://schemas.openxmlformats.org/officeDocument/2006/relationships/hyperlink" Target="https://drive.google.com/file/d/1_M4csnUpqYtzlj_Vgf92nCWoYCWnO1WM/view?usp=sharing" TargetMode="External"/><Relationship Id="rId140" Type="http://schemas.openxmlformats.org/officeDocument/2006/relationships/hyperlink" Target="https://drive.google.com/file/d/1Zp3QjA1dcGDfsIxAh-0GeBqODvxxz2M-/view?usp=sharing" TargetMode="External"/><Relationship Id="rId261" Type="http://schemas.openxmlformats.org/officeDocument/2006/relationships/hyperlink" Target="https://drive.google.com/file/d/1okKC10XVIJy-6GmFl0u2gqAhpATcqau3/view?usp=sharing" TargetMode="External"/><Relationship Id="rId382" Type="http://schemas.openxmlformats.org/officeDocument/2006/relationships/hyperlink" Target="https://drive.google.com/file/d/1iRtsy1vnIYtNiGryf_SFb7LgDaYefveT/view?usp=sharing" TargetMode="External"/><Relationship Id="rId5" Type="http://schemas.openxmlformats.org/officeDocument/2006/relationships/hyperlink" Target="https://drive.google.com/file/d/1ESTKi_4QyUUDHbe4O7NX4x5ksgpvmQG6/view?usp=share_link" TargetMode="External"/><Relationship Id="rId147" Type="http://schemas.openxmlformats.org/officeDocument/2006/relationships/hyperlink" Target="https://drive.google.com/file/d/1RnlLcyGN9rTzC6z8IDVyf9SzeHDB0Q-p/view?usp=sharing" TargetMode="External"/><Relationship Id="rId268" Type="http://schemas.openxmlformats.org/officeDocument/2006/relationships/hyperlink" Target="https://drive.google.com/file/d/1NSUi95mCwbNWAYma3A8sU9vaNHniraqK/view?usp=sharing" TargetMode="External"/><Relationship Id="rId389" Type="http://schemas.openxmlformats.org/officeDocument/2006/relationships/hyperlink" Target="https://drive.google.com/file/d/1WEWvvgu4nmKaYn-8vPQZhHN6IkaA5Df8/view?usp=sharing" TargetMode="External"/><Relationship Id="rId6" Type="http://schemas.openxmlformats.org/officeDocument/2006/relationships/hyperlink" Target="https://drive.google.com/file/d/1H2YrpoOAXB9UGOXVA6bt5aDx_YTn_fFS/view?usp=share_link" TargetMode="External"/><Relationship Id="rId146" Type="http://schemas.openxmlformats.org/officeDocument/2006/relationships/hyperlink" Target="https://drive.google.com/file/d/1JRkMZrqUDr2bo3--pA0kAU7wBfDPQxyr/view?usp=sharing" TargetMode="External"/><Relationship Id="rId267" Type="http://schemas.openxmlformats.org/officeDocument/2006/relationships/hyperlink" Target="https://drive.google.com/file/d/1lzVzXEH9Qbaiy_Nr-gLu1eCNtGh5ZqBv/view?usp=sharing" TargetMode="External"/><Relationship Id="rId388" Type="http://schemas.openxmlformats.org/officeDocument/2006/relationships/hyperlink" Target="https://drive.google.com/file/d/19rU4HxdwiPnjeBDyZzbsSPPJKkRmxHn7/view?usp=sharing" TargetMode="External"/><Relationship Id="rId7" Type="http://schemas.openxmlformats.org/officeDocument/2006/relationships/hyperlink" Target="https://drive.google.com/file/d/1O7B1wB9KLLk01sjAT_RBnlTdA0tqXQ4_/view?usp=share_link" TargetMode="External"/><Relationship Id="rId145" Type="http://schemas.openxmlformats.org/officeDocument/2006/relationships/hyperlink" Target="https://drive.google.com/file/d/1OquLed5qsdPg-khKvoFw6umhJBnRDjbM/view?usp=sharing" TargetMode="External"/><Relationship Id="rId266" Type="http://schemas.openxmlformats.org/officeDocument/2006/relationships/hyperlink" Target="https://drive.google.com/file/d/1j5hw0TofG7bSkEpqKnqtebK7hMjl4-15/view?usp=sharing" TargetMode="External"/><Relationship Id="rId387" Type="http://schemas.openxmlformats.org/officeDocument/2006/relationships/hyperlink" Target="https://drive.google.com/file/d/1Zs9WuSQfkw_i2Fh3NxvT-oxaL3e-n0Hn/view?usp=sharing" TargetMode="External"/><Relationship Id="rId8" Type="http://schemas.openxmlformats.org/officeDocument/2006/relationships/hyperlink" Target="https://drive.google.com/file/d/1IZ9fAROJs1JEGXrCKuvcvkS89PiGCT2E/view?usp=share_link" TargetMode="External"/><Relationship Id="rId144" Type="http://schemas.openxmlformats.org/officeDocument/2006/relationships/hyperlink" Target="https://drive.google.com/file/d/1INX_rFTr-K2ctrQVn7UO5kTVclDvWgqS/view?usp=sharing" TargetMode="External"/><Relationship Id="rId265" Type="http://schemas.openxmlformats.org/officeDocument/2006/relationships/hyperlink" Target="https://drive.google.com/file/d/1NvQSiy5B9wrHrJsJQUHXaIpQxpwoMprl/view?usp=sharing" TargetMode="External"/><Relationship Id="rId386" Type="http://schemas.openxmlformats.org/officeDocument/2006/relationships/hyperlink" Target="https://drive.google.com/file/d/1typ8tiphsXGs43uLlbdi3pOjatu9L4YY/view?usp=sharing" TargetMode="External"/><Relationship Id="rId260" Type="http://schemas.openxmlformats.org/officeDocument/2006/relationships/hyperlink" Target="https://drive.google.com/file/d/19ZEbZYGxa5qth09VXGEtRMzW4bZxjpWK/view?usp=sharing" TargetMode="External"/><Relationship Id="rId381" Type="http://schemas.openxmlformats.org/officeDocument/2006/relationships/hyperlink" Target="https://drive.google.com/file/d/12NzzfwGuOI20_a0zkEiFpOZw2EQUZl2t/view?usp=sharing" TargetMode="External"/><Relationship Id="rId380" Type="http://schemas.openxmlformats.org/officeDocument/2006/relationships/hyperlink" Target="https://drive.google.com/file/d/1S6hfpOc4Ug8xui4GiZlsoGZKZt9adIuZ/view?usp=sharing" TargetMode="External"/><Relationship Id="rId139" Type="http://schemas.openxmlformats.org/officeDocument/2006/relationships/hyperlink" Target="https://drive.google.com/file/d/1HOw-Vf-sApswtnddiI92RrJHPNXQV7XQ/view?usp=sharing" TargetMode="External"/><Relationship Id="rId138" Type="http://schemas.openxmlformats.org/officeDocument/2006/relationships/hyperlink" Target="https://drive.google.com/file/d/1TYx5KXWqug3oqzSERIgCqtO8M_iX7Uz5/view?usp=sharing" TargetMode="External"/><Relationship Id="rId259" Type="http://schemas.openxmlformats.org/officeDocument/2006/relationships/hyperlink" Target="https://drive.google.com/file/d/1giMpk7LV_b0tszSO8BIUtyFPvM3d-rtI/view?usp=sharing" TargetMode="External"/><Relationship Id="rId137" Type="http://schemas.openxmlformats.org/officeDocument/2006/relationships/hyperlink" Target="https://drive.google.com/file/d/1F6VixcnWCwGLojeS19AK9nliM-1WXWAJ/view?usp=sharing" TargetMode="External"/><Relationship Id="rId258" Type="http://schemas.openxmlformats.org/officeDocument/2006/relationships/hyperlink" Target="https://drive.google.com/file/d/1SG2B_10F-A5Ih575wsUWAsUmRYnM49qn/view?usp=sharing" TargetMode="External"/><Relationship Id="rId379" Type="http://schemas.openxmlformats.org/officeDocument/2006/relationships/hyperlink" Target="https://drive.google.com/file/d/1T93lYSSbLSwBUrEHYc5ncUU-AhP_t19F/view?usp=sharing" TargetMode="External"/><Relationship Id="rId132" Type="http://schemas.openxmlformats.org/officeDocument/2006/relationships/hyperlink" Target="https://drive.google.com/file/d/1fhXO6CCz2ABKJCpkIdCtIg6eJtr_1qgB/view?usp=sharing" TargetMode="External"/><Relationship Id="rId253" Type="http://schemas.openxmlformats.org/officeDocument/2006/relationships/hyperlink" Target="https://drive.google.com/file/d/1_K40MTRS3H8XQdu-JM2FjqPvOhyDMq3X/view?usp=sharing" TargetMode="External"/><Relationship Id="rId374" Type="http://schemas.openxmlformats.org/officeDocument/2006/relationships/hyperlink" Target="https://drive.google.com/file/d/1Ocq1yEYvkPNOvvQlriweheB8K0_eSdm8/view?usp=sharing" TargetMode="External"/><Relationship Id="rId131" Type="http://schemas.openxmlformats.org/officeDocument/2006/relationships/hyperlink" Target="https://drive.google.com/file/d/1lOOM0vOJYUi6iPigrRPqSfkqIHV5AaTo/view?usp=sharing" TargetMode="External"/><Relationship Id="rId252" Type="http://schemas.openxmlformats.org/officeDocument/2006/relationships/hyperlink" Target="https://drive.google.com/file/d/1ya5pmj2dzPBqKbrHnDLZMHfwbC3oXjdW/view?usp=sharing" TargetMode="External"/><Relationship Id="rId373" Type="http://schemas.openxmlformats.org/officeDocument/2006/relationships/hyperlink" Target="https://drive.google.com/file/d/1lq6rTEZPZc_aeMCyecNJaxZATnBFsSV1/view?usp=sharing" TargetMode="External"/><Relationship Id="rId130" Type="http://schemas.openxmlformats.org/officeDocument/2006/relationships/hyperlink" Target="https://drive.google.com/file/d/1haioFclOAq-sllmtWun_Gv_YtM08sqAK/view?usp=sharing" TargetMode="External"/><Relationship Id="rId251" Type="http://schemas.openxmlformats.org/officeDocument/2006/relationships/hyperlink" Target="https://drive.google.com/file/d/1kAv9U-oFKYeEZ90L6RDqJwDXtlxZ2zy1/view?usp=sharing" TargetMode="External"/><Relationship Id="rId372" Type="http://schemas.openxmlformats.org/officeDocument/2006/relationships/hyperlink" Target="https://drive.google.com/file/d/1ycpNF-5mEaN_YQzug8unycePJEuYb379/view?usp=sharing" TargetMode="External"/><Relationship Id="rId250" Type="http://schemas.openxmlformats.org/officeDocument/2006/relationships/hyperlink" Target="https://drive.google.com/file/d/1dFexHG6pP7R3Awcw9PHS5eJF3SECXSQz/view?usp=sharing" TargetMode="External"/><Relationship Id="rId371" Type="http://schemas.openxmlformats.org/officeDocument/2006/relationships/hyperlink" Target="https://drive.google.com/file/d/1iSm2X5mWNbjkhlzYeJtgjktrPKxj20No/view?usp=sharing" TargetMode="External"/><Relationship Id="rId136" Type="http://schemas.openxmlformats.org/officeDocument/2006/relationships/hyperlink" Target="https://drive.google.com/file/d/1Zv-wNYX0Ewe_fF8qFH71PNOED5jZNh8R/view?usp=sharing" TargetMode="External"/><Relationship Id="rId257" Type="http://schemas.openxmlformats.org/officeDocument/2006/relationships/hyperlink" Target="https://drive.google.com/file/d/1ns9c-Qd1q6NORimjgyGqeIuyu9zm0sw0/view?usp=sharing" TargetMode="External"/><Relationship Id="rId378" Type="http://schemas.openxmlformats.org/officeDocument/2006/relationships/hyperlink" Target="https://drive.google.com/file/d/1dbWWkyrdqKy1DUEeihWABV7000HE4s8r/view?usp=sharing" TargetMode="External"/><Relationship Id="rId135" Type="http://schemas.openxmlformats.org/officeDocument/2006/relationships/hyperlink" Target="https://drive.google.com/file/d/1dio_X7o7akav-c8FzCaC0MvOcud5Puki/view?usp=sharing" TargetMode="External"/><Relationship Id="rId256" Type="http://schemas.openxmlformats.org/officeDocument/2006/relationships/hyperlink" Target="https://drive.google.com/file/d/1K0fdKXYohWHZ2fHyCinujyXV0Kf5q31_/view?usp=sharing" TargetMode="External"/><Relationship Id="rId377" Type="http://schemas.openxmlformats.org/officeDocument/2006/relationships/hyperlink" Target="https://drive.google.com/file/d/12ZCPiG0BH6rTl_lmSSZpLYbPjnKAmGV4/view?usp=sharing" TargetMode="External"/><Relationship Id="rId134" Type="http://schemas.openxmlformats.org/officeDocument/2006/relationships/hyperlink" Target="https://drive.google.com/file/d/17PKK0QBd8d1-OLmXWy5RJfFv06DXPzeQ/view?usp=sharing" TargetMode="External"/><Relationship Id="rId255" Type="http://schemas.openxmlformats.org/officeDocument/2006/relationships/hyperlink" Target="https://drive.google.com/file/d/1sFzSAS3Nbj5zXNVqBwBgYMyrKD6mH6Yb/view?usp=sharing" TargetMode="External"/><Relationship Id="rId376" Type="http://schemas.openxmlformats.org/officeDocument/2006/relationships/hyperlink" Target="https://drive.google.com/file/d/1eaX7pSC2n1FlVQnPtl4SazsJtSPj3Jx8/view?usp=sharing" TargetMode="External"/><Relationship Id="rId133" Type="http://schemas.openxmlformats.org/officeDocument/2006/relationships/hyperlink" Target="https://drive.google.com/file/d/10vBN3NyUtM3wm8m7eNRg4ec1LCjh-Pkq/view?usp=sharing" TargetMode="External"/><Relationship Id="rId254" Type="http://schemas.openxmlformats.org/officeDocument/2006/relationships/hyperlink" Target="https://drive.google.com/file/d/1dVUfi2O8QPO4CRMd8claly5rwDId57_x/view?usp=sharing" TargetMode="External"/><Relationship Id="rId375" Type="http://schemas.openxmlformats.org/officeDocument/2006/relationships/hyperlink" Target="https://drive.google.com/file/d/17oNhBrQN9A5zFdYKtKzijNrpdih3-30r/view?usp=sharing" TargetMode="External"/><Relationship Id="rId172" Type="http://schemas.openxmlformats.org/officeDocument/2006/relationships/hyperlink" Target="https://drive.google.com/file/d/1eS9rZePzxZpYoGSMqWpRLgjCcwlQTh_6/view?usp=sharing" TargetMode="External"/><Relationship Id="rId293" Type="http://schemas.openxmlformats.org/officeDocument/2006/relationships/hyperlink" Target="https://drive.google.com/file/d/1qEQqCGuIC8m0Gbr1kHiGXjXOVdpj0QxJ/view?usp=sharing" TargetMode="External"/><Relationship Id="rId171" Type="http://schemas.openxmlformats.org/officeDocument/2006/relationships/hyperlink" Target="https://drive.google.com/file/d/1ToA__cUpT1Favi36VdeycwbL12eRsVwY/view?usp=sharing" TargetMode="External"/><Relationship Id="rId292" Type="http://schemas.openxmlformats.org/officeDocument/2006/relationships/hyperlink" Target="https://drive.google.com/file/d/1DWBR_rktR0zWTQcCNfkEF03oCOQSCqwa/view?usp=sharing" TargetMode="External"/><Relationship Id="rId170" Type="http://schemas.openxmlformats.org/officeDocument/2006/relationships/hyperlink" Target="https://drive.google.com/file/d/1ccxuCGN16k3D7o6gXzv4dTyOAtzs9Ma3/view?usp=sharing" TargetMode="External"/><Relationship Id="rId291" Type="http://schemas.openxmlformats.org/officeDocument/2006/relationships/hyperlink" Target="https://drive.google.com/file/d/11Esg1ov8AnpcvXrzG98EOEbceefZ5M02/view?usp=sharing" TargetMode="External"/><Relationship Id="rId290" Type="http://schemas.openxmlformats.org/officeDocument/2006/relationships/hyperlink" Target="https://drive.google.com/file/d/1OIm6OjKl1GY8iSyeYXR_8iJilpzNlyWl/view?usp=sharing" TargetMode="External"/><Relationship Id="rId165" Type="http://schemas.openxmlformats.org/officeDocument/2006/relationships/hyperlink" Target="https://drive.google.com/file/d/1JbJy4kRO4Gzas9in93HvvxaIJawB0VXy/view?usp=sharing" TargetMode="External"/><Relationship Id="rId286" Type="http://schemas.openxmlformats.org/officeDocument/2006/relationships/hyperlink" Target="https://drive.google.com/file/d/19hi8gQQeVeQZHiyymd-pyibefh36xNk0/view?usp=sharing" TargetMode="External"/><Relationship Id="rId164" Type="http://schemas.openxmlformats.org/officeDocument/2006/relationships/hyperlink" Target="https://drive.google.com/file/d/1Ftdh-Nh6fNiAIeCCwfDarn7RKg1otZl2/view?usp=sharing" TargetMode="External"/><Relationship Id="rId285" Type="http://schemas.openxmlformats.org/officeDocument/2006/relationships/hyperlink" Target="https://drive.google.com/file/d/1mfL-pdmUQXJUVSGspOBWdaaCMyaFLJkm/view?usp=sharing" TargetMode="External"/><Relationship Id="rId163" Type="http://schemas.openxmlformats.org/officeDocument/2006/relationships/hyperlink" Target="https://drive.google.com/file/d/1xdanXH4Kzv97w0ZMZje2hLo9HO9Ro_IE/view?usp=sharing" TargetMode="External"/><Relationship Id="rId284" Type="http://schemas.openxmlformats.org/officeDocument/2006/relationships/hyperlink" Target="https://drive.google.com/file/d/1VfPjrWpwlt5EOOamE-F4QS58wtjHJg9R/view?usp=sharing" TargetMode="External"/><Relationship Id="rId162" Type="http://schemas.openxmlformats.org/officeDocument/2006/relationships/hyperlink" Target="https://drive.google.com/file/d/1zxmS6xHVLnVyCh-23EoARQ3wSNQUI-ZU/view?usp=sharing" TargetMode="External"/><Relationship Id="rId283" Type="http://schemas.openxmlformats.org/officeDocument/2006/relationships/hyperlink" Target="https://drive.google.com/file/d/1zIiEFOESyMKHs-A2QQB2p_4n05KRFy8c/view?usp=sharing" TargetMode="External"/><Relationship Id="rId169" Type="http://schemas.openxmlformats.org/officeDocument/2006/relationships/hyperlink" Target="https://drive.google.com/file/d/1Y6eYjuBNG8HlGpKsTsOYtbU-hJ7EAjgT/view?usp=sharing" TargetMode="External"/><Relationship Id="rId168" Type="http://schemas.openxmlformats.org/officeDocument/2006/relationships/hyperlink" Target="https://drive.google.com/file/d/1sNL-fQBZdcWXTPx0YQA6uMcpOgbXikn9/view?usp=sharing" TargetMode="External"/><Relationship Id="rId289" Type="http://schemas.openxmlformats.org/officeDocument/2006/relationships/hyperlink" Target="https://drive.google.com/file/d/1JymsH3snxV779f8BXxks64qV4J4lyFSu/view?usp=sharing" TargetMode="External"/><Relationship Id="rId167" Type="http://schemas.openxmlformats.org/officeDocument/2006/relationships/hyperlink" Target="https://drive.google.com/file/d/1M3uK_nr9dDkwIwtp7EiaDDFmAMmhrfLt/view?usp=sharing" TargetMode="External"/><Relationship Id="rId288" Type="http://schemas.openxmlformats.org/officeDocument/2006/relationships/hyperlink" Target="https://drive.google.com/file/d/1GFX0zMGgbB62rKk_zd7F4lwNBccQ8zEl/view?usp=sharing" TargetMode="External"/><Relationship Id="rId166" Type="http://schemas.openxmlformats.org/officeDocument/2006/relationships/hyperlink" Target="https://drive.google.com/file/d/1eiQOURq_Oiyw11P5acNZOrQ4VvV4Iv1N/view?usp=sharing" TargetMode="External"/><Relationship Id="rId287" Type="http://schemas.openxmlformats.org/officeDocument/2006/relationships/hyperlink" Target="https://drive.google.com/file/d/1qYH90qw7TomzNXqo3JFEuc4qJX1HWCPy/view?usp=sharing" TargetMode="External"/><Relationship Id="rId161" Type="http://schemas.openxmlformats.org/officeDocument/2006/relationships/hyperlink" Target="https://drive.google.com/file/d/1yRW-jYOAaPJ910Q5dGhb00fRrOEmeLIR/view?usp=sharing" TargetMode="External"/><Relationship Id="rId282" Type="http://schemas.openxmlformats.org/officeDocument/2006/relationships/hyperlink" Target="https://drive.google.com/file/d/1kyrAeTqemL_BifEeXa2yhTxB-ZQR6HOa/view?usp=sharing" TargetMode="External"/><Relationship Id="rId160" Type="http://schemas.openxmlformats.org/officeDocument/2006/relationships/hyperlink" Target="https://drive.google.com/file/d/1yRirvtur1_vrIF74Z_9vArroKODMJT3O/view?usp=sharing" TargetMode="External"/><Relationship Id="rId281" Type="http://schemas.openxmlformats.org/officeDocument/2006/relationships/hyperlink" Target="https://drive.google.com/file/d/16Mc0Chxaar2FF2ikvOAREu9jx8n2xj51/view?usp=sharing" TargetMode="External"/><Relationship Id="rId280" Type="http://schemas.openxmlformats.org/officeDocument/2006/relationships/hyperlink" Target="https://drive.google.com/file/d/1k6m1gtzO7EpanHfff62Wtdflew0Djr0C/view?usp=sharing" TargetMode="External"/><Relationship Id="rId159" Type="http://schemas.openxmlformats.org/officeDocument/2006/relationships/hyperlink" Target="https://drive.google.com/file/d/1wHiI3ROJTYewRJWpYsqlram6RJVqizEa/view?usp=sharing" TargetMode="External"/><Relationship Id="rId154" Type="http://schemas.openxmlformats.org/officeDocument/2006/relationships/hyperlink" Target="https://drive.google.com/file/d/1hAUKNShkR8nEHfAMA_5DIpAviu8tRF_j/view?usp=sharing" TargetMode="External"/><Relationship Id="rId275" Type="http://schemas.openxmlformats.org/officeDocument/2006/relationships/hyperlink" Target="https://drive.google.com/file/d/1MkKIpdCjPosrA0q5QluosSJle6bSTXfV/view?usp=sharing" TargetMode="External"/><Relationship Id="rId396" Type="http://schemas.openxmlformats.org/officeDocument/2006/relationships/hyperlink" Target="https://drive.google.com/file/d/1LjKajR2WDfk2R6qFVE-K4npwm1CEfWib/view?usp=sharing" TargetMode="External"/><Relationship Id="rId153" Type="http://schemas.openxmlformats.org/officeDocument/2006/relationships/hyperlink" Target="https://drive.google.com/file/d/1zEtMLBrgx6lCsCVSgHGlEuNkmbBEb0ui/view?usp=sharing" TargetMode="External"/><Relationship Id="rId274" Type="http://schemas.openxmlformats.org/officeDocument/2006/relationships/hyperlink" Target="https://drive.google.com/file/d/1PsGJmZRSQpQdAgHdg9_1sJDaJKkOX11W/view?usp=sharing" TargetMode="External"/><Relationship Id="rId395" Type="http://schemas.openxmlformats.org/officeDocument/2006/relationships/hyperlink" Target="https://drive.google.com/file/d/1r6odJvmqXFWgf6wJh8COcn5ucT_N7AE6/view?usp=sharing" TargetMode="External"/><Relationship Id="rId152" Type="http://schemas.openxmlformats.org/officeDocument/2006/relationships/hyperlink" Target="https://drive.google.com/file/d/1wPbUd1D1p-N_lNYPsbwRxpNSG1ob2NmM/view?usp=sharing" TargetMode="External"/><Relationship Id="rId273" Type="http://schemas.openxmlformats.org/officeDocument/2006/relationships/hyperlink" Target="https://drive.google.com/file/d/19YzSLDGXm73ZnUJX8beF-3GTYCp6pp8p/view?usp=sharing" TargetMode="External"/><Relationship Id="rId394" Type="http://schemas.openxmlformats.org/officeDocument/2006/relationships/hyperlink" Target="https://drive.google.com/file/d/1n3NiKWsiWjjrMmMoPCGwxbmJMoRStFiB/view?usp=sharing" TargetMode="External"/><Relationship Id="rId151" Type="http://schemas.openxmlformats.org/officeDocument/2006/relationships/hyperlink" Target="https://drive.google.com/file/d/1TOcB86fVTUtqVWMHmzqt1uQbijSYRcEH/view?usp=sharing" TargetMode="External"/><Relationship Id="rId272" Type="http://schemas.openxmlformats.org/officeDocument/2006/relationships/hyperlink" Target="https://drive.google.com/file/d/14O8kC8ZtliMix9QVm0RYgiyCdHubL3j4/view?usp=sharing" TargetMode="External"/><Relationship Id="rId393" Type="http://schemas.openxmlformats.org/officeDocument/2006/relationships/hyperlink" Target="https://drive.google.com/file/d/1ZcUMxiXSMmg6O_gTL6ud527vjK2hjCmM/view?usp=sharing" TargetMode="External"/><Relationship Id="rId158" Type="http://schemas.openxmlformats.org/officeDocument/2006/relationships/hyperlink" Target="https://drive.google.com/file/d/1RN4Gl0AbrpKs60tC5-kfo4Cp3G96t4eX/view?usp=sharing" TargetMode="External"/><Relationship Id="rId279" Type="http://schemas.openxmlformats.org/officeDocument/2006/relationships/hyperlink" Target="https://drive.google.com/file/d/1txviJnF87u7QBil_GaSbjp1EbWL0T1ce/view?usp=sharing" TargetMode="External"/><Relationship Id="rId157" Type="http://schemas.openxmlformats.org/officeDocument/2006/relationships/hyperlink" Target="https://drive.google.com/file/d/1OxtLtSllbQ6Pp0Cng6mmQ0vO6rYYLkBN/view?usp=sharing" TargetMode="External"/><Relationship Id="rId278" Type="http://schemas.openxmlformats.org/officeDocument/2006/relationships/hyperlink" Target="https://drive.google.com/file/d/10t1emOvxojRXvjoyqggYxH7P-l3gYwZ_/view?usp=sharing" TargetMode="External"/><Relationship Id="rId399" Type="http://schemas.openxmlformats.org/officeDocument/2006/relationships/hyperlink" Target="https://drive.google.com/file/d/18lazx6cazAmVdoSkRwR2_ESYpPOCzkBn/view?usp=sharing" TargetMode="External"/><Relationship Id="rId156" Type="http://schemas.openxmlformats.org/officeDocument/2006/relationships/hyperlink" Target="https://drive.google.com/file/d/1cJmerT0h8O5HJTFsDSKPC3G2mHNMdiUA/view?usp=sharing" TargetMode="External"/><Relationship Id="rId277" Type="http://schemas.openxmlformats.org/officeDocument/2006/relationships/hyperlink" Target="https://drive.google.com/file/d/1jS-IuyMEJJdc3AgwqtzXKvk9hTGESCjq/view?usp=sharing" TargetMode="External"/><Relationship Id="rId398" Type="http://schemas.openxmlformats.org/officeDocument/2006/relationships/hyperlink" Target="https://drive.google.com/file/d/1ji1pWs1BJyjpu8E6g7MaLu8wja8Rzf5Y/view?usp=sharing" TargetMode="External"/><Relationship Id="rId155" Type="http://schemas.openxmlformats.org/officeDocument/2006/relationships/hyperlink" Target="https://drive.google.com/file/d/1Nf3M1ykDEFs58LMtsnWs-GOqnEsrgf2O/view?usp=sharing" TargetMode="External"/><Relationship Id="rId276" Type="http://schemas.openxmlformats.org/officeDocument/2006/relationships/hyperlink" Target="https://drive.google.com/file/d/1vLGwxCl2ZbfOx8nMMWm7NylilJnCJqwO/view?usp=sharing" TargetMode="External"/><Relationship Id="rId397" Type="http://schemas.openxmlformats.org/officeDocument/2006/relationships/hyperlink" Target="https://drive.google.com/file/d/1crqQq0cd5c-7us1zTLvd_iZA_VBxDSkn/view?usp=sharing" TargetMode="External"/><Relationship Id="rId40" Type="http://schemas.openxmlformats.org/officeDocument/2006/relationships/hyperlink" Target="https://drive.google.com/file/d/1NlQrsASwtRmcifOU7cURZ54C3eLtXWzl/view?usp=sharing" TargetMode="External"/><Relationship Id="rId42" Type="http://schemas.openxmlformats.org/officeDocument/2006/relationships/hyperlink" Target="https://drive.google.com/file/d/1sGqQo0WSOqgeR5OtPr3zitTVfn7qCIA1/view?usp=sharing" TargetMode="External"/><Relationship Id="rId41" Type="http://schemas.openxmlformats.org/officeDocument/2006/relationships/hyperlink" Target="https://drive.google.com/file/d/1azllOn-iN22QwioZRKk8LCPw0bTCY36H/view?usp=sharing" TargetMode="External"/><Relationship Id="rId44" Type="http://schemas.openxmlformats.org/officeDocument/2006/relationships/hyperlink" Target="https://drive.google.com/file/d/11FqITFJr2gOX7fBtninGCWsrJ4BhklCB/view?usp=sharing" TargetMode="External"/><Relationship Id="rId43" Type="http://schemas.openxmlformats.org/officeDocument/2006/relationships/hyperlink" Target="https://drive.google.com/file/d/1864avttTNII2JAtB-D7t1WSh5ZaqtO9e/view?usp=sharing" TargetMode="External"/><Relationship Id="rId46" Type="http://schemas.openxmlformats.org/officeDocument/2006/relationships/hyperlink" Target="https://drive.google.com/file/d/1dyRcP58kp6bP072eYAA6Z6cO-gqjBOfr/view?usp=sharing" TargetMode="External"/><Relationship Id="rId45" Type="http://schemas.openxmlformats.org/officeDocument/2006/relationships/hyperlink" Target="https://drive.google.com/file/d/1Uzl_6V5LusnkruLuxRsSF9PV5BTPUjBj/view?usp=sharing" TargetMode="External"/><Relationship Id="rId48" Type="http://schemas.openxmlformats.org/officeDocument/2006/relationships/hyperlink" Target="https://drive.google.com/file/d/1gc6yDO05dLUQhOjplp4PF-fTmv724Gsg/view?usp=sharing" TargetMode="External"/><Relationship Id="rId47" Type="http://schemas.openxmlformats.org/officeDocument/2006/relationships/hyperlink" Target="https://drive.google.com/file/d/1CSAS6k6NalbdhXDrLfcXOJTmlAR-dCo5/view?usp=sharing" TargetMode="External"/><Relationship Id="rId49" Type="http://schemas.openxmlformats.org/officeDocument/2006/relationships/hyperlink" Target="https://drive.google.com/file/d/1b-YRtTqSopegpk85mfOiMxZcBCYDI3AP/view?usp=sharing" TargetMode="External"/><Relationship Id="rId31" Type="http://schemas.openxmlformats.org/officeDocument/2006/relationships/hyperlink" Target="https://drive.google.com/file/d/1fCE8fFF6KsKLtG84-OvwNlHlIKKYxY1U/view?usp=share_link" TargetMode="External"/><Relationship Id="rId30" Type="http://schemas.openxmlformats.org/officeDocument/2006/relationships/hyperlink" Target="https://drive.google.com/file/d/1Fde_1zLmjnZVwyspiFn4QTBPc8U1rLrc/view?usp=share_link" TargetMode="External"/><Relationship Id="rId33" Type="http://schemas.openxmlformats.org/officeDocument/2006/relationships/hyperlink" Target="https://drive.google.com/file/d/19als3MBmcBnUHrH2y49JCRfkJRqjevpU/view?usp=share_link" TargetMode="External"/><Relationship Id="rId32" Type="http://schemas.openxmlformats.org/officeDocument/2006/relationships/hyperlink" Target="https://drive.google.com/file/d/1_drDERqNolMmF9X5a40eaOzlbIzwXnKo/view?usp=share_link" TargetMode="External"/><Relationship Id="rId35" Type="http://schemas.openxmlformats.org/officeDocument/2006/relationships/hyperlink" Target="https://drive.google.com/file/d/1uGFD6_0P3Tw2MJNAvWNCa0OC6vnwMbYY/view?usp=sharing" TargetMode="External"/><Relationship Id="rId34" Type="http://schemas.openxmlformats.org/officeDocument/2006/relationships/hyperlink" Target="https://drive.google.com/file/d/1Dqwml_m4e1nyQ8gr09TBQxOmKJtjep0r/view?usp=share_link" TargetMode="External"/><Relationship Id="rId37" Type="http://schemas.openxmlformats.org/officeDocument/2006/relationships/hyperlink" Target="https://drive.google.com/file/d/1wizzwcQOQDVBpmXNOxABOcof7_WnwQBH/view?usp=sharing" TargetMode="External"/><Relationship Id="rId36" Type="http://schemas.openxmlformats.org/officeDocument/2006/relationships/hyperlink" Target="https://drive.google.com/file/d/1-5okQhvZN5whwQNgVw3r0HUzgSPs-g7R/view?usp=sharing" TargetMode="External"/><Relationship Id="rId39" Type="http://schemas.openxmlformats.org/officeDocument/2006/relationships/hyperlink" Target="https://drive.google.com/file/d/1M7-zCbzMoX8XUpPuCsGgqSa0wKvzPRhH/view?usp=sharing" TargetMode="External"/><Relationship Id="rId38" Type="http://schemas.openxmlformats.org/officeDocument/2006/relationships/hyperlink" Target="https://drive.google.com/file/d/1rbMCQ8y_5bofynRmHyg0rRbqkQnUnRM_/view?usp=sharing" TargetMode="External"/><Relationship Id="rId20" Type="http://schemas.openxmlformats.org/officeDocument/2006/relationships/hyperlink" Target="https://drive.google.com/file/d/13pTcRQywnCM6KNfA2GtUYNAPj7QH7PnY/view?usp=share_link" TargetMode="External"/><Relationship Id="rId22" Type="http://schemas.openxmlformats.org/officeDocument/2006/relationships/hyperlink" Target="https://drive.google.com/file/d/1eQi0KJoe39t2wA6LszHlJE7nRu0rGAI0/view?usp=share_link" TargetMode="External"/><Relationship Id="rId21" Type="http://schemas.openxmlformats.org/officeDocument/2006/relationships/hyperlink" Target="https://drive.google.com/file/d/136lz82ITzEY9ut6UpJUc2yTxQbJc4q6p/view?usp=share_link" TargetMode="External"/><Relationship Id="rId24" Type="http://schemas.openxmlformats.org/officeDocument/2006/relationships/hyperlink" Target="https://drive.google.com/file/d/1WcTW4dyXefNnsD5l32F_pLkUCzUzcqSK/view?usp=share_link" TargetMode="External"/><Relationship Id="rId23" Type="http://schemas.openxmlformats.org/officeDocument/2006/relationships/hyperlink" Target="https://drive.google.com/file/d/1wMknqkypaTPq1NsdMnB2PYgISJjMGCG8/view?usp=share_link" TargetMode="External"/><Relationship Id="rId402" Type="http://schemas.openxmlformats.org/officeDocument/2006/relationships/drawing" Target="../drawings/drawing15.xml"/><Relationship Id="rId401" Type="http://schemas.openxmlformats.org/officeDocument/2006/relationships/hyperlink" Target="https://drive.google.com/file/d/1SflUE6XgCAfLbIws-r3980nhBGp4yKCT/view?usp=sharing" TargetMode="External"/><Relationship Id="rId26" Type="http://schemas.openxmlformats.org/officeDocument/2006/relationships/hyperlink" Target="https://drive.google.com/file/d/1FZpvaStEM7-qXwJamL8fkmKLDZ-t9U-_/view?usp=share_link" TargetMode="External"/><Relationship Id="rId25" Type="http://schemas.openxmlformats.org/officeDocument/2006/relationships/hyperlink" Target="https://drive.google.com/file/d/15JonpjjbooPLSU02FcQ6B6RGCV2YCCl8/view?usp=share_link" TargetMode="External"/><Relationship Id="rId28" Type="http://schemas.openxmlformats.org/officeDocument/2006/relationships/hyperlink" Target="https://drive.google.com/file/d/14KOWKB0vc6PwpDFnzeqjVy_tMmBcMGpv/view?usp=share_link" TargetMode="External"/><Relationship Id="rId27" Type="http://schemas.openxmlformats.org/officeDocument/2006/relationships/hyperlink" Target="https://drive.google.com/file/d/1NTWb7Pnra0lvyfBBCH-9YmkTPB2j7xY_/view?usp=share_link" TargetMode="External"/><Relationship Id="rId400" Type="http://schemas.openxmlformats.org/officeDocument/2006/relationships/hyperlink" Target="https://drive.google.com/file/d/16fL1wWE17m34pHsryCP_3F0xEhmPKQUS/view?usp=sharing" TargetMode="External"/><Relationship Id="rId29" Type="http://schemas.openxmlformats.org/officeDocument/2006/relationships/hyperlink" Target="https://drive.google.com/file/d/108ZochEXyPl_eF_42R2pLKGwDRGFxmit/view?usp=share_link" TargetMode="External"/><Relationship Id="rId11" Type="http://schemas.openxmlformats.org/officeDocument/2006/relationships/hyperlink" Target="https://drive.google.com/file/d/1CIvWBxMAIISYcpWZ58ulhbLSeCW7-46w/view?usp=share_link" TargetMode="External"/><Relationship Id="rId10" Type="http://schemas.openxmlformats.org/officeDocument/2006/relationships/hyperlink" Target="https://drive.google.com/file/d/1HI3QBYolEbZDZIQ2blBm1IBjnAxgb42c/view?usp=share_link" TargetMode="External"/><Relationship Id="rId13" Type="http://schemas.openxmlformats.org/officeDocument/2006/relationships/hyperlink" Target="https://drive.google.com/file/d/1W0kqdyf7YKXSz_AYl7kDJdLomZGS2ZGj/view?usp=share_link" TargetMode="External"/><Relationship Id="rId12" Type="http://schemas.openxmlformats.org/officeDocument/2006/relationships/hyperlink" Target="https://drive.google.com/file/d/1pWI77_6dlOzLSIP0QUubiZ7nh227E13w/view?usp=share_link" TargetMode="External"/><Relationship Id="rId15" Type="http://schemas.openxmlformats.org/officeDocument/2006/relationships/hyperlink" Target="https://drive.google.com/file/d/1HKG1v2HHam6cGkMsRtHDNXpVBNeTx5p7/view?usp=share_link" TargetMode="External"/><Relationship Id="rId14" Type="http://schemas.openxmlformats.org/officeDocument/2006/relationships/hyperlink" Target="https://drive.google.com/file/d/1CL5XnEIGc0ePs1l8Mvm9lwajT7hn3hDs/view?usp=share_link" TargetMode="External"/><Relationship Id="rId17" Type="http://schemas.openxmlformats.org/officeDocument/2006/relationships/hyperlink" Target="https://drive.google.com/file/d/1OmHdFoLNB5tIBuIT9MArI2ZuvUp4jcPx/view?usp=share_link" TargetMode="External"/><Relationship Id="rId16" Type="http://schemas.openxmlformats.org/officeDocument/2006/relationships/hyperlink" Target="https://drive.google.com/file/d/1cpdDIajz3rII53gRPmKBRbIYwk7BmuUk/view?usp=share_link" TargetMode="External"/><Relationship Id="rId19" Type="http://schemas.openxmlformats.org/officeDocument/2006/relationships/hyperlink" Target="https://drive.google.com/file/d/1E6HpYTsr8o9j7Pg0VkolaRwEwbeWySgl/view?usp=share_link" TargetMode="External"/><Relationship Id="rId18" Type="http://schemas.openxmlformats.org/officeDocument/2006/relationships/hyperlink" Target="https://drive.google.com/file/d/1c9Ae7fU2wXuuJsbrk8BSHtshWeGgru8k/view?usp=share_link" TargetMode="External"/><Relationship Id="rId84" Type="http://schemas.openxmlformats.org/officeDocument/2006/relationships/hyperlink" Target="https://drive.google.com/file/d/1wGQXZAkB8tzC2fyJ1UAtQxUnOivHv1oA/view?usp=sharing" TargetMode="External"/><Relationship Id="rId83" Type="http://schemas.openxmlformats.org/officeDocument/2006/relationships/hyperlink" Target="https://drive.google.com/file/d/1S-a5YFg-IcZfgEsfkstAFy-ndiHTHEIl/view?usp=sharing" TargetMode="External"/><Relationship Id="rId86" Type="http://schemas.openxmlformats.org/officeDocument/2006/relationships/hyperlink" Target="https://drive.google.com/file/d/1Pl0-CiDNeXjatl0tZSodM9ATPS0ygU-c/view?usp=sharing" TargetMode="External"/><Relationship Id="rId85" Type="http://schemas.openxmlformats.org/officeDocument/2006/relationships/hyperlink" Target="https://drive.google.com/file/d/1JhMRXG-acNYY52KMXob6josMpepk4kPG/view?usp=sharing" TargetMode="External"/><Relationship Id="rId88" Type="http://schemas.openxmlformats.org/officeDocument/2006/relationships/hyperlink" Target="https://drive.google.com/file/d/1np9qlgA6HM5O0k8LpNZ2c9mHblu-EUIT/view?usp=sharing" TargetMode="External"/><Relationship Id="rId87" Type="http://schemas.openxmlformats.org/officeDocument/2006/relationships/hyperlink" Target="https://drive.google.com/file/d/148hyty6xSoWJ7G8f3zT4t7vxpJRZb7ZM/view?usp=sharing" TargetMode="External"/><Relationship Id="rId89" Type="http://schemas.openxmlformats.org/officeDocument/2006/relationships/hyperlink" Target="https://drive.google.com/file/d/1wsTn3YGWLxr4ceVtfoAYgLHsjyKF2Ah6/view?usp=sharing" TargetMode="External"/><Relationship Id="rId80" Type="http://schemas.openxmlformats.org/officeDocument/2006/relationships/hyperlink" Target="https://drive.google.com/file/d/1bD9ybXr7LFlEkep0DJqiLIViWgrgzybh/view?usp=sharing" TargetMode="External"/><Relationship Id="rId82" Type="http://schemas.openxmlformats.org/officeDocument/2006/relationships/hyperlink" Target="https://drive.google.com/file/d/1ciwd1q74Y_rn9hl3PzhaVBUZt7WvEV5c/view?usp=sharing" TargetMode="External"/><Relationship Id="rId81" Type="http://schemas.openxmlformats.org/officeDocument/2006/relationships/hyperlink" Target="https://drive.google.com/file/d/1NSQDPbQuvKRUOVKsseluvBZVeb3_V9Mj/view?usp=sharing" TargetMode="External"/><Relationship Id="rId73" Type="http://schemas.openxmlformats.org/officeDocument/2006/relationships/hyperlink" Target="https://drive.google.com/file/d/1kcwflNAF0F-35OLsC4Cljyq6RF2kZ-fF/view?usp=sharing" TargetMode="External"/><Relationship Id="rId72" Type="http://schemas.openxmlformats.org/officeDocument/2006/relationships/hyperlink" Target="https://drive.google.com/file/d/1M9o1tuj4TqBQUIaBU1X8gLCLB3-Qw1vw/view?usp=sharing" TargetMode="External"/><Relationship Id="rId75" Type="http://schemas.openxmlformats.org/officeDocument/2006/relationships/hyperlink" Target="https://drive.google.com/file/d/1ZE02riboANjv2OLC08TlNadPpq4TMaCT/view?usp=sharing" TargetMode="External"/><Relationship Id="rId74" Type="http://schemas.openxmlformats.org/officeDocument/2006/relationships/hyperlink" Target="https://drive.google.com/file/d/1sd1-bYf-YEKwgsuErCxO22VZGzygBt2L/view?usp=sharing" TargetMode="External"/><Relationship Id="rId77" Type="http://schemas.openxmlformats.org/officeDocument/2006/relationships/hyperlink" Target="https://drive.google.com/file/d/1QRP2sWw3CS0OavD1Nk866xJXwxcTyHv_/view?usp=sharing" TargetMode="External"/><Relationship Id="rId76" Type="http://schemas.openxmlformats.org/officeDocument/2006/relationships/hyperlink" Target="https://drive.google.com/file/d/1wUW-TghAwtR3duhaQi6shnTRWJmT3qIb/view?usp=sharing" TargetMode="External"/><Relationship Id="rId79" Type="http://schemas.openxmlformats.org/officeDocument/2006/relationships/hyperlink" Target="https://drive.google.com/file/d/1M5QaCs1iToQ-A6ldSXG-9YDzubMuLJ_x/view?usp=sharing" TargetMode="External"/><Relationship Id="rId78" Type="http://schemas.openxmlformats.org/officeDocument/2006/relationships/hyperlink" Target="https://drive.google.com/file/d/1ZBGECYykqfs2uTPP4MYlmWi7PhTekI0d/view?usp=sharing" TargetMode="External"/><Relationship Id="rId71" Type="http://schemas.openxmlformats.org/officeDocument/2006/relationships/hyperlink" Target="https://drive.google.com/file/d/1RcBidrh3GxlgTMyHPG75IXfH2R_8tVel/view?usp=sharing" TargetMode="External"/><Relationship Id="rId70" Type="http://schemas.openxmlformats.org/officeDocument/2006/relationships/hyperlink" Target="https://drive.google.com/file/d/1IguLklFEeoUDV1KUrX3sNzI38mAkbEzT/view?usp=sharing" TargetMode="External"/><Relationship Id="rId62" Type="http://schemas.openxmlformats.org/officeDocument/2006/relationships/hyperlink" Target="https://drive.google.com/file/d/1c4f2KQ32Zp5dqBSWNyITAsVySuoWzl7U/view?usp=sharing" TargetMode="External"/><Relationship Id="rId61" Type="http://schemas.openxmlformats.org/officeDocument/2006/relationships/hyperlink" Target="https://drive.google.com/file/d/1H_Gxs_LfayVUSaFhLpNYDfyqJDYtZ97t/view?usp=sharing" TargetMode="External"/><Relationship Id="rId64" Type="http://schemas.openxmlformats.org/officeDocument/2006/relationships/hyperlink" Target="https://drive.google.com/file/d/1CxS4_PnjmVa5KKga2WGTlPVVq4wSBxc2/view?usp=sharing" TargetMode="External"/><Relationship Id="rId63" Type="http://schemas.openxmlformats.org/officeDocument/2006/relationships/hyperlink" Target="https://drive.google.com/file/d/1gQBD-EL_efseEaA2iIu5Yct395Byf_O_/view?usp=sharing" TargetMode="External"/><Relationship Id="rId66" Type="http://schemas.openxmlformats.org/officeDocument/2006/relationships/hyperlink" Target="https://drive.google.com/file/d/1gmXahQ4ZJOfFkPqOPrAjDXXVRKzTawIG/view?usp=sharing" TargetMode="External"/><Relationship Id="rId65" Type="http://schemas.openxmlformats.org/officeDocument/2006/relationships/hyperlink" Target="https://drive.google.com/file/d/1DuuhgQ-O4nBEYPMt5yLbz6Oc3sx038Th/view?usp=sharing" TargetMode="External"/><Relationship Id="rId68" Type="http://schemas.openxmlformats.org/officeDocument/2006/relationships/hyperlink" Target="https://drive.google.com/file/d/1dH31HSvRyEH4bhxHyIagVknCVnHYmhuw/view?usp=sharing" TargetMode="External"/><Relationship Id="rId67" Type="http://schemas.openxmlformats.org/officeDocument/2006/relationships/hyperlink" Target="https://drive.google.com/file/d/1dX41w-foQl3HrwyjY4D8ZxeqMOoiIeN0/view?usp=sharing" TargetMode="External"/><Relationship Id="rId60" Type="http://schemas.openxmlformats.org/officeDocument/2006/relationships/hyperlink" Target="https://drive.google.com/file/d/1epKTk9Nq3BWjUMIrpigkoanW_p4TPDrS/view?usp=sharing" TargetMode="External"/><Relationship Id="rId69" Type="http://schemas.openxmlformats.org/officeDocument/2006/relationships/hyperlink" Target="https://drive.google.com/file/d/1QvNFiPVy3acBL34Vfj1RP9RK-bWDI3mM/view?usp=sharing" TargetMode="External"/><Relationship Id="rId51" Type="http://schemas.openxmlformats.org/officeDocument/2006/relationships/hyperlink" Target="https://drive.google.com/file/d/1IT7ItoRuTqgDP2UMBTWUqYzFt0s122-t/view?usp=sharing" TargetMode="External"/><Relationship Id="rId50" Type="http://schemas.openxmlformats.org/officeDocument/2006/relationships/hyperlink" Target="https://drive.google.com/file/d/1AqXcalcSHv8Ym7ULJTFBUGY9JIShwRBG/view?usp=sharing" TargetMode="External"/><Relationship Id="rId53" Type="http://schemas.openxmlformats.org/officeDocument/2006/relationships/hyperlink" Target="https://drive.google.com/file/d/1x3Krn1YfzWON_zTjbzNBrI3euZ7D0--K/view?usp=sharing" TargetMode="External"/><Relationship Id="rId52" Type="http://schemas.openxmlformats.org/officeDocument/2006/relationships/hyperlink" Target="https://drive.google.com/file/d/1ez7lklrY-JwtJ-ac4WmlNLyXAhhHVSi3/view?usp=sharing" TargetMode="External"/><Relationship Id="rId55" Type="http://schemas.openxmlformats.org/officeDocument/2006/relationships/hyperlink" Target="https://drive.google.com/file/d/14jMND-YMamqCALF4eSBSvZABL6_ONAQQ/view?usp=sharing" TargetMode="External"/><Relationship Id="rId54" Type="http://schemas.openxmlformats.org/officeDocument/2006/relationships/hyperlink" Target="https://drive.google.com/file/d/1tpJ5e_Gk04MPuLaJhl3zJgxLiedCINPH/view?usp=sharing" TargetMode="External"/><Relationship Id="rId57" Type="http://schemas.openxmlformats.org/officeDocument/2006/relationships/hyperlink" Target="https://drive.google.com/file/d/1ARvJqUn-_Ksf8kaYI4m3llz9QnNE6Z9N/view?usp=sharing" TargetMode="External"/><Relationship Id="rId56" Type="http://schemas.openxmlformats.org/officeDocument/2006/relationships/hyperlink" Target="https://drive.google.com/file/d/1PWtLKQN2yLgtSIhGE8rwZKlTA7Ii4lvI/view?usp=sharing" TargetMode="External"/><Relationship Id="rId59" Type="http://schemas.openxmlformats.org/officeDocument/2006/relationships/hyperlink" Target="https://drive.google.com/file/d/17vnDRBCW07diGDXIlZkvioMhu4MmZeh-/view?usp=sharing" TargetMode="External"/><Relationship Id="rId58" Type="http://schemas.openxmlformats.org/officeDocument/2006/relationships/hyperlink" Target="https://drive.google.com/file/d/1xdmNpyl7ZLXxXFHkxLhWepnACuimv3dU/view?usp=sharing" TargetMode="External"/><Relationship Id="rId107" Type="http://schemas.openxmlformats.org/officeDocument/2006/relationships/hyperlink" Target="https://drive.google.com/file/d/1Dq4u4lWmlW9SQA1jMz4_X4d7IRgRfqpr/view?usp=sharing" TargetMode="External"/><Relationship Id="rId228" Type="http://schemas.openxmlformats.org/officeDocument/2006/relationships/hyperlink" Target="https://drive.google.com/file/d/1sAIA2aRgxNSJR5VKo-zDFZOcPCesSy-s/view?usp=sharing" TargetMode="External"/><Relationship Id="rId349" Type="http://schemas.openxmlformats.org/officeDocument/2006/relationships/hyperlink" Target="https://drive.google.com/file/d/1PbkFn4uv7KD6SzpqDQ9ujxnpvSXwwoNu/view?usp=sharing" TargetMode="External"/><Relationship Id="rId106" Type="http://schemas.openxmlformats.org/officeDocument/2006/relationships/hyperlink" Target="https://drive.google.com/file/d/1yXSZYD6PJoIrVP-9oPotbAcAVzFbfCx2/view?usp=sharing" TargetMode="External"/><Relationship Id="rId227" Type="http://schemas.openxmlformats.org/officeDocument/2006/relationships/hyperlink" Target="https://drive.google.com/file/d/1D25vtG_Mt51dSpjycxykPOZg8hTg3Tr4/view?usp=sharing" TargetMode="External"/><Relationship Id="rId348" Type="http://schemas.openxmlformats.org/officeDocument/2006/relationships/hyperlink" Target="https://drive.google.com/file/d/1QZY0n_E4R4qo2IVKcUUaD6wCqH2vaUkh/view?usp=sharing" TargetMode="External"/><Relationship Id="rId105" Type="http://schemas.openxmlformats.org/officeDocument/2006/relationships/hyperlink" Target="https://drive.google.com/file/d/1i7QEGNnr1Nhbz_2VCtm_2qzcNS-D4uKu/view?usp=sharing" TargetMode="External"/><Relationship Id="rId226" Type="http://schemas.openxmlformats.org/officeDocument/2006/relationships/hyperlink" Target="https://drive.google.com/file/d/15LUNCxd9BiQk8ehNKnhjM4tPrpMWpkH3/view?usp=sharing" TargetMode="External"/><Relationship Id="rId347" Type="http://schemas.openxmlformats.org/officeDocument/2006/relationships/hyperlink" Target="https://drive.google.com/file/d/11PPU6cwNAOq_gVSmirzGc0l23qrAKi-1/view?usp=sharing" TargetMode="External"/><Relationship Id="rId104" Type="http://schemas.openxmlformats.org/officeDocument/2006/relationships/hyperlink" Target="https://drive.google.com/file/d/1l61VnWeVqst5juEW1rzZcVyHLHqQeTWG/view?usp=sharing" TargetMode="External"/><Relationship Id="rId225" Type="http://schemas.openxmlformats.org/officeDocument/2006/relationships/hyperlink" Target="https://drive.google.com/file/d/19gPC6xnL9qDF4UvWgZkoAlX3Jb83s6wR/view?usp=sharing" TargetMode="External"/><Relationship Id="rId346" Type="http://schemas.openxmlformats.org/officeDocument/2006/relationships/hyperlink" Target="https://drive.google.com/file/d/1X6Ko_t-6M6LOHBAybAhbxICGoOs9GL_R/view?usp=sharing" TargetMode="External"/><Relationship Id="rId109" Type="http://schemas.openxmlformats.org/officeDocument/2006/relationships/hyperlink" Target="https://drive.google.com/file/d/1kdzVBhB06AkR1RM5wNR6VsqeSI4UGVLN/view?usp=sharing" TargetMode="External"/><Relationship Id="rId108" Type="http://schemas.openxmlformats.org/officeDocument/2006/relationships/hyperlink" Target="https://drive.google.com/file/d/13XU_qDqXPsiZg3LlOcyM1BaT5jo2SyeQ/view?usp=sharing" TargetMode="External"/><Relationship Id="rId229" Type="http://schemas.openxmlformats.org/officeDocument/2006/relationships/hyperlink" Target="https://drive.google.com/file/d/1j3nVzEirFUo1-fAyv0Wmh8XMP6uGWQzF/view?usp=sharing" TargetMode="External"/><Relationship Id="rId220" Type="http://schemas.openxmlformats.org/officeDocument/2006/relationships/hyperlink" Target="https://drive.google.com/file/d/19frhG6uPZWOeHmWVJ4mzCmJwWBqmTunT/view?usp=sharing" TargetMode="External"/><Relationship Id="rId341" Type="http://schemas.openxmlformats.org/officeDocument/2006/relationships/hyperlink" Target="https://drive.google.com/file/d/14Cts4xKlMmwI-AGYUIpApk8vIPoKXKLL/view?usp=sharing" TargetMode="External"/><Relationship Id="rId340" Type="http://schemas.openxmlformats.org/officeDocument/2006/relationships/hyperlink" Target="https://drive.google.com/file/d/18YYf-XSrrf_Fm1D4AP_DjHTW-v3GY_c7/view?usp=sharing" TargetMode="External"/><Relationship Id="rId103" Type="http://schemas.openxmlformats.org/officeDocument/2006/relationships/hyperlink" Target="https://drive.google.com/file/d/1y5b-25Y5ogfoALvLm-Zpt_PY5VBxzke2/view?usp=sharing" TargetMode="External"/><Relationship Id="rId224" Type="http://schemas.openxmlformats.org/officeDocument/2006/relationships/hyperlink" Target="https://drive.google.com/file/d/14W9yVXp-c5bZ0YNNX4zKhuVIzXgP1mY2/view?usp=sharing" TargetMode="External"/><Relationship Id="rId345" Type="http://schemas.openxmlformats.org/officeDocument/2006/relationships/hyperlink" Target="https://drive.google.com/file/d/1F2eUbKEcR1yE_H7oSUGkR5pvEXmPm3fF/view?usp=sharing" TargetMode="External"/><Relationship Id="rId102" Type="http://schemas.openxmlformats.org/officeDocument/2006/relationships/hyperlink" Target="https://drive.google.com/file/d/1Amhhh-NiYOZSgqYRItw4JGAqtCD60vhl/view?usp=sharing" TargetMode="External"/><Relationship Id="rId223" Type="http://schemas.openxmlformats.org/officeDocument/2006/relationships/hyperlink" Target="https://drive.google.com/file/d/18YP9pAUf5q2YIdER0gZeb2JsGmtrRw2D/view?usp=sharing" TargetMode="External"/><Relationship Id="rId344" Type="http://schemas.openxmlformats.org/officeDocument/2006/relationships/hyperlink" Target="https://drive.google.com/file/d/1mvni_M0JuFdPieHNWVF8RKez5iULEDDf/view?usp=sharing" TargetMode="External"/><Relationship Id="rId101" Type="http://schemas.openxmlformats.org/officeDocument/2006/relationships/hyperlink" Target="https://drive.google.com/file/d/1RdP1qMROdoBjeDUlPhqMBvGlwezXn5YP/view?usp=sharing" TargetMode="External"/><Relationship Id="rId222" Type="http://schemas.openxmlformats.org/officeDocument/2006/relationships/hyperlink" Target="https://drive.google.com/file/d/173N0i6VOrRoT7v1hFWETwClAjOz7s69C/view?usp=sharing" TargetMode="External"/><Relationship Id="rId343" Type="http://schemas.openxmlformats.org/officeDocument/2006/relationships/hyperlink" Target="https://drive.google.com/file/d/1fulEvZvNSlZ3Q7tq63O3UwQOJEQunRts/view?usp=sharing" TargetMode="External"/><Relationship Id="rId100" Type="http://schemas.openxmlformats.org/officeDocument/2006/relationships/hyperlink" Target="https://drive.google.com/file/d/1lk7408HFg6b8jrD38CLI6SiqJ-l_Xymm/view?usp=sharing" TargetMode="External"/><Relationship Id="rId221" Type="http://schemas.openxmlformats.org/officeDocument/2006/relationships/hyperlink" Target="https://drive.google.com/file/d/1Ig1WKTS1niRTTmp3kxiy7NonVqDFLvJg/view?usp=sharing" TargetMode="External"/><Relationship Id="rId342" Type="http://schemas.openxmlformats.org/officeDocument/2006/relationships/hyperlink" Target="https://drive.google.com/file/d/1wwsBIgo26OzgAg18Z1pHbtJgEgvGm5El/view?usp=sharing" TargetMode="External"/><Relationship Id="rId217" Type="http://schemas.openxmlformats.org/officeDocument/2006/relationships/hyperlink" Target="https://drive.google.com/file/d/1kQv9DkPHYvftfDcSeKBCGdJ-PjWsjmIC/view?usp=sharing" TargetMode="External"/><Relationship Id="rId338" Type="http://schemas.openxmlformats.org/officeDocument/2006/relationships/hyperlink" Target="https://drive.google.com/file/d/1dq2CNIgos_TkWCGBCwkXkGjKUAvRnIFW/view?usp=sharing" TargetMode="External"/><Relationship Id="rId216" Type="http://schemas.openxmlformats.org/officeDocument/2006/relationships/hyperlink" Target="https://drive.google.com/file/d/1qEt97O08rQXN3tYILI_c9YAuzow7i4-v/view?usp=sharing" TargetMode="External"/><Relationship Id="rId337" Type="http://schemas.openxmlformats.org/officeDocument/2006/relationships/hyperlink" Target="https://drive.google.com/file/d/1mVJDQb8Te9mDP4PYVI4tBmM4HbuWUBPd/view?usp=sharing" TargetMode="External"/><Relationship Id="rId215" Type="http://schemas.openxmlformats.org/officeDocument/2006/relationships/hyperlink" Target="https://drive.google.com/file/d/1fgSK1Sn-CTDj4sawdJFR1LpPkLIumrRa/view?usp=sharing" TargetMode="External"/><Relationship Id="rId336" Type="http://schemas.openxmlformats.org/officeDocument/2006/relationships/hyperlink" Target="https://drive.google.com/file/d/1H19nSLlJOKqt37k9bWPlswRVqXZrLX5E/view?usp=sharing" TargetMode="External"/><Relationship Id="rId214" Type="http://schemas.openxmlformats.org/officeDocument/2006/relationships/hyperlink" Target="https://drive.google.com/file/d/1JM8x0Iqt786bn-xZ0KWsb5J4S52oLUr9/view?usp=sharing" TargetMode="External"/><Relationship Id="rId335" Type="http://schemas.openxmlformats.org/officeDocument/2006/relationships/hyperlink" Target="https://drive.google.com/file/d/1-qxP9_UZc5ba_GBu2iKMH4FiO0klqG61/view?usp=sharing" TargetMode="External"/><Relationship Id="rId219" Type="http://schemas.openxmlformats.org/officeDocument/2006/relationships/hyperlink" Target="https://drive.google.com/file/d/198yqKpR44l5D2T2FG2BePF2g4zmamDQM/view?usp=sharing" TargetMode="External"/><Relationship Id="rId218" Type="http://schemas.openxmlformats.org/officeDocument/2006/relationships/hyperlink" Target="https://drive.google.com/file/d/13Yw_9KQ7R1Rm8XViAQJcCtjVTQx6twmx/view?usp=sharing" TargetMode="External"/><Relationship Id="rId339" Type="http://schemas.openxmlformats.org/officeDocument/2006/relationships/hyperlink" Target="https://drive.google.com/file/d/1AusuvUGTmNytv7JDxEuk6dxUpBekrRun/view?usp=sharing" TargetMode="External"/><Relationship Id="rId330" Type="http://schemas.openxmlformats.org/officeDocument/2006/relationships/hyperlink" Target="https://drive.google.com/file/d/11YpJmyyxkN5U3Iu1vTB1dt0rqySukjLm/view?usp=sharing" TargetMode="External"/><Relationship Id="rId213" Type="http://schemas.openxmlformats.org/officeDocument/2006/relationships/hyperlink" Target="https://drive.google.com/file/d/10YX8laMuhxABPHy6C43UaeG1POF7Bcks/view?usp=sharing" TargetMode="External"/><Relationship Id="rId334" Type="http://schemas.openxmlformats.org/officeDocument/2006/relationships/hyperlink" Target="https://drive.google.com/file/d/11eaMtzWcdlEo5elSSIbxTwNDLbJhZI-_/view?usp=sharing" TargetMode="External"/><Relationship Id="rId212" Type="http://schemas.openxmlformats.org/officeDocument/2006/relationships/hyperlink" Target="https://drive.google.com/file/d/1EUCdy_lZUTrUlcYsBf2AsM4BaR_ewBh3/view?usp=sharing" TargetMode="External"/><Relationship Id="rId333" Type="http://schemas.openxmlformats.org/officeDocument/2006/relationships/hyperlink" Target="https://drive.google.com/file/d/1W4N51v0dRpIDKKnfZopS_xv-GHj7JhsW/view?usp=sharing" TargetMode="External"/><Relationship Id="rId211" Type="http://schemas.openxmlformats.org/officeDocument/2006/relationships/hyperlink" Target="https://drive.google.com/file/d/1vtC97GXCr2G6ZDx6iBzcQY9wUU_yf6nr/view?usp=sharing" TargetMode="External"/><Relationship Id="rId332" Type="http://schemas.openxmlformats.org/officeDocument/2006/relationships/hyperlink" Target="https://drive.google.com/file/d/1Ruk-XJsDT0bujpHciG43zxa_sjaZWFKZ/view?usp=sharing" TargetMode="External"/><Relationship Id="rId210" Type="http://schemas.openxmlformats.org/officeDocument/2006/relationships/hyperlink" Target="https://drive.google.com/file/d/1q3NEoNKnD35or_MgQ3EWy7achOn7g6Je/view?usp=sharing" TargetMode="External"/><Relationship Id="rId331" Type="http://schemas.openxmlformats.org/officeDocument/2006/relationships/hyperlink" Target="https://drive.google.com/file/d/1bFQKwPwTDBHaEudQRbH49DeiVnJd6pQg/view?usp=sharing" TargetMode="External"/><Relationship Id="rId370" Type="http://schemas.openxmlformats.org/officeDocument/2006/relationships/hyperlink" Target="https://drive.google.com/file/d/1kF0V0c-kLrF5tP2Cn-fQQz36WqGYgHyV/view?usp=sharing" TargetMode="External"/><Relationship Id="rId129" Type="http://schemas.openxmlformats.org/officeDocument/2006/relationships/hyperlink" Target="https://drive.google.com/file/d/1XWBDgQ6qX-8FqIkvX-IKDKNMYDeO8BZD/view?usp=sharing" TargetMode="External"/><Relationship Id="rId128" Type="http://schemas.openxmlformats.org/officeDocument/2006/relationships/hyperlink" Target="https://drive.google.com/file/d/13sNrAoAsqga5YkSGlCSXmdb82TU5HmOG/view?usp=sharing" TargetMode="External"/><Relationship Id="rId249" Type="http://schemas.openxmlformats.org/officeDocument/2006/relationships/hyperlink" Target="https://drive.google.com/file/d/1FzRyOS5ODufC_ruLLFFBu7zLea6wWvkW/view?usp=sharing" TargetMode="External"/><Relationship Id="rId127" Type="http://schemas.openxmlformats.org/officeDocument/2006/relationships/hyperlink" Target="https://drive.google.com/file/d/1BAS_D2lYTDMJ_y48U5vRqF-uABR3_k0z/view?usp=sharing" TargetMode="External"/><Relationship Id="rId248" Type="http://schemas.openxmlformats.org/officeDocument/2006/relationships/hyperlink" Target="https://drive.google.com/file/d/1ORY5OwRUVmLHW4eyEIl0nLZ-Wzben4gv/view?usp=sharing" TargetMode="External"/><Relationship Id="rId369" Type="http://schemas.openxmlformats.org/officeDocument/2006/relationships/hyperlink" Target="https://drive.google.com/file/d/1IjQEjH9m0f_63efUy6ipEm6rUhwEbhwB/view?usp=sharing" TargetMode="External"/><Relationship Id="rId126" Type="http://schemas.openxmlformats.org/officeDocument/2006/relationships/hyperlink" Target="https://drive.google.com/file/d/1POHm8qkYNpdEHuvBPnaJc-SBJbfZYdbE/view?usp=sharing" TargetMode="External"/><Relationship Id="rId247" Type="http://schemas.openxmlformats.org/officeDocument/2006/relationships/hyperlink" Target="https://drive.google.com/file/d/1n9EElWQi6oeLtpJDJKe5aLd8SGj1M-8v/view?usp=sharing" TargetMode="External"/><Relationship Id="rId368" Type="http://schemas.openxmlformats.org/officeDocument/2006/relationships/hyperlink" Target="https://drive.google.com/file/d/14HoYcrmukfWsPGrsxBT9rIOdHOabNsST/view?usp=sharing" TargetMode="External"/><Relationship Id="rId121" Type="http://schemas.openxmlformats.org/officeDocument/2006/relationships/hyperlink" Target="https://drive.google.com/file/d/1ajqtjZ9PYnXbt-kQUE38ddjSwGMFC2UG/view?usp=sharing" TargetMode="External"/><Relationship Id="rId242" Type="http://schemas.openxmlformats.org/officeDocument/2006/relationships/hyperlink" Target="https://drive.google.com/file/d/14pkI-1Zhqb4HEDTrDFOX-zW9He9imK9z/view?usp=sharing" TargetMode="External"/><Relationship Id="rId363" Type="http://schemas.openxmlformats.org/officeDocument/2006/relationships/hyperlink" Target="https://drive.google.com/file/d/1fqsPyR11-dYO6NJIiiOFthndPnmMTT2a/view?usp=sharing" TargetMode="External"/><Relationship Id="rId120" Type="http://schemas.openxmlformats.org/officeDocument/2006/relationships/hyperlink" Target="https://drive.google.com/file/d/1gk71MI1wc1VoTewHtomaNPdKvTnAXN_J/view?usp=sharing" TargetMode="External"/><Relationship Id="rId241" Type="http://schemas.openxmlformats.org/officeDocument/2006/relationships/hyperlink" Target="https://drive.google.com/file/d/1Sc-ZWUQrfVssjvGvSsR5NvRvj3VoZjrN/view?usp=sharing" TargetMode="External"/><Relationship Id="rId362" Type="http://schemas.openxmlformats.org/officeDocument/2006/relationships/hyperlink" Target="https://drive.google.com/file/d/10piFN9KivtspnOQxwXv8_HzbPRnwDJfx/view?usp=sharing" TargetMode="External"/><Relationship Id="rId240" Type="http://schemas.openxmlformats.org/officeDocument/2006/relationships/hyperlink" Target="https://drive.google.com/file/d/1Q10i_M2gxOoDn5VMWwQjDbseXhkNaRHD/view?usp=sharing" TargetMode="External"/><Relationship Id="rId361" Type="http://schemas.openxmlformats.org/officeDocument/2006/relationships/hyperlink" Target="https://drive.google.com/file/d/1RP1hM9pcnM806vSfDtWIKVPOQTAht_sd/view?usp=sharing" TargetMode="External"/><Relationship Id="rId360" Type="http://schemas.openxmlformats.org/officeDocument/2006/relationships/hyperlink" Target="https://drive.google.com/file/d/1mEXVYisyCKxtbh0ETcwQfiQM8jJxSr8T/view?usp=sharing" TargetMode="External"/><Relationship Id="rId125" Type="http://schemas.openxmlformats.org/officeDocument/2006/relationships/hyperlink" Target="https://drive.google.com/file/d/1wgiPsilMChtH1HVdk1iqI9pw5BE1DQdk/view?usp=sharing" TargetMode="External"/><Relationship Id="rId246" Type="http://schemas.openxmlformats.org/officeDocument/2006/relationships/hyperlink" Target="https://drive.google.com/file/d/15AAnMHohOBF8oq6ttIOixstC0KWbMDca/view?usp=sharing" TargetMode="External"/><Relationship Id="rId367" Type="http://schemas.openxmlformats.org/officeDocument/2006/relationships/hyperlink" Target="https://drive.google.com/file/d/1min9-7NZBOEJFilMLdzR5vPFscMNORvh/view?usp=sharing" TargetMode="External"/><Relationship Id="rId124" Type="http://schemas.openxmlformats.org/officeDocument/2006/relationships/hyperlink" Target="https://drive.google.com/file/d/15wC3ZhUC7jrTC4pTFwupGDVFg1trYo-5/view?usp=sharing" TargetMode="External"/><Relationship Id="rId245" Type="http://schemas.openxmlformats.org/officeDocument/2006/relationships/hyperlink" Target="https://drive.google.com/file/d/1o-L4HlzET2ek5hlTujiGFMmIBfxyH4Xm/view?usp=sharing" TargetMode="External"/><Relationship Id="rId366" Type="http://schemas.openxmlformats.org/officeDocument/2006/relationships/hyperlink" Target="https://drive.google.com/file/d/1zEU4QKFIXvwI8xZPOnsOA4ZX0X3GHp9A/view?usp=sharing" TargetMode="External"/><Relationship Id="rId123" Type="http://schemas.openxmlformats.org/officeDocument/2006/relationships/hyperlink" Target="https://drive.google.com/file/d/1GRE0-YWibwTLuulTPs8mza6i9gu9DdJw/view?usp=sharing" TargetMode="External"/><Relationship Id="rId244" Type="http://schemas.openxmlformats.org/officeDocument/2006/relationships/hyperlink" Target="https://drive.google.com/file/d/1nwQanm-2aBVsnbXHGti5O1fSUFBUkYxh/view?usp=sharing" TargetMode="External"/><Relationship Id="rId365" Type="http://schemas.openxmlformats.org/officeDocument/2006/relationships/hyperlink" Target="https://drive.google.com/file/d/1qPynleuhh_GJA3jYioALn6uVU7-aDvwi/view?usp=sharing" TargetMode="External"/><Relationship Id="rId122" Type="http://schemas.openxmlformats.org/officeDocument/2006/relationships/hyperlink" Target="https://drive.google.com/file/d/1wEeF37SadHKxZwvWqkgKqDB8bgHZyWmq/view?usp=sharing" TargetMode="External"/><Relationship Id="rId243" Type="http://schemas.openxmlformats.org/officeDocument/2006/relationships/hyperlink" Target="https://drive.google.com/file/d/1Rsn8zn_X2w9ll8r5QQ7yoU2xgP2Z9tYG/view?usp=sharing" TargetMode="External"/><Relationship Id="rId364" Type="http://schemas.openxmlformats.org/officeDocument/2006/relationships/hyperlink" Target="https://drive.google.com/file/d/114g9hKHwWf6cct0aU2GOmDL5gwHkAsbK/view?usp=sharing" TargetMode="External"/><Relationship Id="rId95" Type="http://schemas.openxmlformats.org/officeDocument/2006/relationships/hyperlink" Target="https://drive.google.com/file/d/1Gmem0gGpujaemRJ8oO5kDZqxT-uet42o/view?usp=sharing" TargetMode="External"/><Relationship Id="rId94" Type="http://schemas.openxmlformats.org/officeDocument/2006/relationships/hyperlink" Target="https://drive.google.com/file/d/10GP9PEyWKymT5KAL-lbbxnEiIAYlyld7/view?usp=sharing" TargetMode="External"/><Relationship Id="rId97" Type="http://schemas.openxmlformats.org/officeDocument/2006/relationships/hyperlink" Target="https://drive.google.com/file/d/1ikfL0kIRv7d4lEzctv1HdezhnX5EoI91/view?usp=sharing" TargetMode="External"/><Relationship Id="rId96" Type="http://schemas.openxmlformats.org/officeDocument/2006/relationships/hyperlink" Target="https://drive.google.com/file/d/11fsZbaC8zkPIzon1xiofGLKLIrr6eeY9/view?usp=sharing" TargetMode="External"/><Relationship Id="rId99" Type="http://schemas.openxmlformats.org/officeDocument/2006/relationships/hyperlink" Target="https://drive.google.com/file/d/1wMmVSoFqwJpUoXdb6wSnx7I8KSkVyM3s/view?usp=sharing" TargetMode="External"/><Relationship Id="rId98" Type="http://schemas.openxmlformats.org/officeDocument/2006/relationships/hyperlink" Target="https://drive.google.com/file/d/181dAEV2RzsUdXQY0cPVi4er6etZ-N5HL/view?usp=sharing" TargetMode="External"/><Relationship Id="rId91" Type="http://schemas.openxmlformats.org/officeDocument/2006/relationships/hyperlink" Target="https://drive.google.com/file/d/1AsSqLAIvSWXdLghwgHBHXb7suG7vN--q/view?usp=sharing" TargetMode="External"/><Relationship Id="rId90" Type="http://schemas.openxmlformats.org/officeDocument/2006/relationships/hyperlink" Target="https://drive.google.com/file/d/1KGvKW-IWCMPCuLZhwvEIUjCB6xo-cVO_/view?usp=sharing" TargetMode="External"/><Relationship Id="rId93" Type="http://schemas.openxmlformats.org/officeDocument/2006/relationships/hyperlink" Target="https://drive.google.com/file/d/1Y7zi5xiMmK2ou9uI21d_kOu5NBPikgWn/view?usp=sharing" TargetMode="External"/><Relationship Id="rId92" Type="http://schemas.openxmlformats.org/officeDocument/2006/relationships/hyperlink" Target="https://drive.google.com/file/d/1WHl26SC5GiwBBT_6xbBHkfLew8T4Ijsy/view?usp=sharing" TargetMode="External"/><Relationship Id="rId118" Type="http://schemas.openxmlformats.org/officeDocument/2006/relationships/hyperlink" Target="https://drive.google.com/file/d/1UgkxUEKflkD7N0_YhpI-_SyphkI__iw9/view?usp=sharing" TargetMode="External"/><Relationship Id="rId239" Type="http://schemas.openxmlformats.org/officeDocument/2006/relationships/hyperlink" Target="https://drive.google.com/file/d/1rh9btPIFeu1NL6kJIlRuaZeF7zYI4Qju/view?usp=sharing" TargetMode="External"/><Relationship Id="rId117" Type="http://schemas.openxmlformats.org/officeDocument/2006/relationships/hyperlink" Target="https://drive.google.com/file/d/1f02-4UBIMMRC-PMOgWeEqL-a_3fzUdV_/view?usp=sharing" TargetMode="External"/><Relationship Id="rId238" Type="http://schemas.openxmlformats.org/officeDocument/2006/relationships/hyperlink" Target="https://drive.google.com/file/d/1GHyJPqbjjrEvqfjrqpDaIq2dtjoZTwoD/view?usp=sharing" TargetMode="External"/><Relationship Id="rId359" Type="http://schemas.openxmlformats.org/officeDocument/2006/relationships/hyperlink" Target="https://drive.google.com/file/d/1_RxyDegynDJWDVmcit-dFNR2ocqHETBr/view?usp=sharing" TargetMode="External"/><Relationship Id="rId116" Type="http://schemas.openxmlformats.org/officeDocument/2006/relationships/hyperlink" Target="https://drive.google.com/file/d/14t8wfME-bPWmTYGttp7h8fEr8glFi3m1/view?usp=sharing" TargetMode="External"/><Relationship Id="rId237" Type="http://schemas.openxmlformats.org/officeDocument/2006/relationships/hyperlink" Target="https://drive.google.com/file/d/1qb0fN1iqFtLEzaGyCIgt9V7IS7MooCy1/view?usp=sharing" TargetMode="External"/><Relationship Id="rId358" Type="http://schemas.openxmlformats.org/officeDocument/2006/relationships/hyperlink" Target="https://drive.google.com/file/d/1r06A7iBrUMzaTiT-ZZ1f_6rosjyJuPIs/view?usp=sharing" TargetMode="External"/><Relationship Id="rId115" Type="http://schemas.openxmlformats.org/officeDocument/2006/relationships/hyperlink" Target="https://drive.google.com/file/d/1_YY0jL3j1ozFzhlo_3ef8pvBDWOqkuJt/view?usp=sharing" TargetMode="External"/><Relationship Id="rId236" Type="http://schemas.openxmlformats.org/officeDocument/2006/relationships/hyperlink" Target="https://drive.google.com/file/d/12fZ0C7vYyAB-rY60SQlTl14hMZDV1Qha/view?usp=sharing" TargetMode="External"/><Relationship Id="rId357" Type="http://schemas.openxmlformats.org/officeDocument/2006/relationships/hyperlink" Target="https://drive.google.com/file/d/1oKjaLuEwqZlBNIEsVhyv2wGeNmAUMwxL/view?usp=sharing" TargetMode="External"/><Relationship Id="rId119" Type="http://schemas.openxmlformats.org/officeDocument/2006/relationships/hyperlink" Target="https://drive.google.com/file/d/1pgTkYCg_vikUr5JhpI-eOpXYMBb2sLYH/view?usp=sharing" TargetMode="External"/><Relationship Id="rId110" Type="http://schemas.openxmlformats.org/officeDocument/2006/relationships/hyperlink" Target="https://drive.google.com/file/d/1orBjacJb2HMWaWB5iv72l1kLIsWOFeUd/view?usp=sharing" TargetMode="External"/><Relationship Id="rId231" Type="http://schemas.openxmlformats.org/officeDocument/2006/relationships/hyperlink" Target="https://drive.google.com/file/d/1xRAky014MwQuyxZ5fjEtw9DlT1-yrWAg/view?usp=sharing" TargetMode="External"/><Relationship Id="rId352" Type="http://schemas.openxmlformats.org/officeDocument/2006/relationships/hyperlink" Target="https://drive.google.com/file/d/1GM3SbwNzOPQsX9sKaDJa6CbGg9POfYf2/view?usp=sharing" TargetMode="External"/><Relationship Id="rId230" Type="http://schemas.openxmlformats.org/officeDocument/2006/relationships/hyperlink" Target="https://drive.google.com/file/d/1NhfC3__Tu3vcPaj8_NWxkZSvAcRXiCmj/view?usp=sharing" TargetMode="External"/><Relationship Id="rId351" Type="http://schemas.openxmlformats.org/officeDocument/2006/relationships/hyperlink" Target="https://drive.google.com/file/d/18vB6z0QwRS7RnhBBHalHMB1A8CnAYQNi/view?usp=sharing" TargetMode="External"/><Relationship Id="rId350" Type="http://schemas.openxmlformats.org/officeDocument/2006/relationships/hyperlink" Target="https://drive.google.com/file/d/1N3_sH_7dkqmybr37CQxn0NZqYsqIhxwF/view?usp=sharing" TargetMode="External"/><Relationship Id="rId114" Type="http://schemas.openxmlformats.org/officeDocument/2006/relationships/hyperlink" Target="https://drive.google.com/file/d/1EzJhtzTg0X54sUtVEY6j11cIIZqTD6vr/view?usp=sharing" TargetMode="External"/><Relationship Id="rId235" Type="http://schemas.openxmlformats.org/officeDocument/2006/relationships/hyperlink" Target="https://drive.google.com/file/d/1TJmcF1WM3iZy-eGAa_Olis91RWWLUPqk/view?usp=sharing" TargetMode="External"/><Relationship Id="rId356" Type="http://schemas.openxmlformats.org/officeDocument/2006/relationships/hyperlink" Target="https://drive.google.com/file/d/1jG3S_4h_7WqxYzV7vo4jP8TYSFiAn8Fu/view?usp=sharing" TargetMode="External"/><Relationship Id="rId113" Type="http://schemas.openxmlformats.org/officeDocument/2006/relationships/hyperlink" Target="https://drive.google.com/file/d/1PfPEX51mvCnTY2Jy0EL1oJWNaHIejR4K/view?usp=sharing" TargetMode="External"/><Relationship Id="rId234" Type="http://schemas.openxmlformats.org/officeDocument/2006/relationships/hyperlink" Target="https://drive.google.com/file/d/1qW76DZ-x-0XvA9_OorJJVFYuzWQW_Yse/view?usp=sharing" TargetMode="External"/><Relationship Id="rId355" Type="http://schemas.openxmlformats.org/officeDocument/2006/relationships/hyperlink" Target="https://drive.google.com/file/d/1Hjov-28B5df-QRKLOC44CwaszWrY7XR9/view?usp=sharing" TargetMode="External"/><Relationship Id="rId112" Type="http://schemas.openxmlformats.org/officeDocument/2006/relationships/hyperlink" Target="https://drive.google.com/file/d/1eVajnOGhebiH9qimFBqIy3yUT3kh16yT/view?usp=sharing" TargetMode="External"/><Relationship Id="rId233" Type="http://schemas.openxmlformats.org/officeDocument/2006/relationships/hyperlink" Target="https://drive.google.com/file/d/1lgyZue6K23En5XN_xUTemzuu0LBpvw6F/view?usp=sharing" TargetMode="External"/><Relationship Id="rId354" Type="http://schemas.openxmlformats.org/officeDocument/2006/relationships/hyperlink" Target="https://drive.google.com/file/d/1J1C7SgSCFYJhxwSaDfxNe0GXNKoQQZwI/view?usp=sharing" TargetMode="External"/><Relationship Id="rId111" Type="http://schemas.openxmlformats.org/officeDocument/2006/relationships/hyperlink" Target="https://drive.google.com/file/d/1tNzcjEFH8BaA6kBlEzsuUOFynTKzfAIx/view?usp=sharing" TargetMode="External"/><Relationship Id="rId232" Type="http://schemas.openxmlformats.org/officeDocument/2006/relationships/hyperlink" Target="https://drive.google.com/file/d/1QKt_zYSlll1q6VWwmIURVXpDCFj8lIsU/view?usp=sharing" TargetMode="External"/><Relationship Id="rId353" Type="http://schemas.openxmlformats.org/officeDocument/2006/relationships/hyperlink" Target="https://drive.google.com/file/d/1hTYHWOEMElo7NR0SUkHWqR7J6uSZq2VN/view?usp=sharing" TargetMode="External"/><Relationship Id="rId305" Type="http://schemas.openxmlformats.org/officeDocument/2006/relationships/hyperlink" Target="https://drive.google.com/file/d/11IfM5kXzv9KO9zrS6cccsUKYazLM4UsM/view?usp=sharing" TargetMode="External"/><Relationship Id="rId304" Type="http://schemas.openxmlformats.org/officeDocument/2006/relationships/hyperlink" Target="https://drive.google.com/file/d/1Ew0N8wVSFJbtZSOAjfjg15_odxdrKdKB/view?usp=sharing" TargetMode="External"/><Relationship Id="rId303" Type="http://schemas.openxmlformats.org/officeDocument/2006/relationships/hyperlink" Target="https://drive.google.com/file/d/1xFTOSXBDPe0SbdRroH3ro6WW2ccA4eRd/view?usp=sharing" TargetMode="External"/><Relationship Id="rId302" Type="http://schemas.openxmlformats.org/officeDocument/2006/relationships/hyperlink" Target="https://drive.google.com/file/d/16wfrNLFOqJL3Qv7uLi8q4LJF8XQFWc9c/view?usp=sharing" TargetMode="External"/><Relationship Id="rId309" Type="http://schemas.openxmlformats.org/officeDocument/2006/relationships/hyperlink" Target="https://drive.google.com/file/d/1jUetF8ozA7MC1jxq02NMQSlCVKxCFhW8/view?usp=sharing" TargetMode="External"/><Relationship Id="rId308" Type="http://schemas.openxmlformats.org/officeDocument/2006/relationships/hyperlink" Target="https://drive.google.com/file/d/1RZQuIEZbAQMgyrE9NZxuv0qWA8gjb0XR/view?usp=sharing" TargetMode="External"/><Relationship Id="rId307" Type="http://schemas.openxmlformats.org/officeDocument/2006/relationships/hyperlink" Target="https://drive.google.com/file/d/18PpgRRhh9Pp_s0Kk_5AC3xM5WU1LQK-h/view?usp=sharing" TargetMode="External"/><Relationship Id="rId306" Type="http://schemas.openxmlformats.org/officeDocument/2006/relationships/hyperlink" Target="https://drive.google.com/file/d/1jmCNPZye_vcVu_ZA5Z_k2LOG4-lVbHTf/view?usp=sharing" TargetMode="External"/><Relationship Id="rId301" Type="http://schemas.openxmlformats.org/officeDocument/2006/relationships/hyperlink" Target="https://drive.google.com/file/d/1mNsX9bSKT3urK6-dzps7KndHtZ24Ze_S/view?usp=sharing" TargetMode="External"/><Relationship Id="rId300" Type="http://schemas.openxmlformats.org/officeDocument/2006/relationships/hyperlink" Target="https://drive.google.com/file/d/1FwIc88_o4sCRag_LfclcVsH5rrjr0VDA/view?usp=sharing" TargetMode="External"/><Relationship Id="rId206" Type="http://schemas.openxmlformats.org/officeDocument/2006/relationships/hyperlink" Target="https://drive.google.com/file/d/1BEh2OJQwtw51LzfZ-sZosx4E9enc9GQ0/view?usp=sharing" TargetMode="External"/><Relationship Id="rId327" Type="http://schemas.openxmlformats.org/officeDocument/2006/relationships/hyperlink" Target="https://drive.google.com/file/d/1aop6YgY8j068a8Q0uwTuXcmSL2OLX4qu/view?usp=sharing" TargetMode="External"/><Relationship Id="rId205" Type="http://schemas.openxmlformats.org/officeDocument/2006/relationships/hyperlink" Target="https://drive.google.com/file/d/1tBPE3ifCFDYWPVe_k3aqagHPYGaXYNbB/view?usp=sharing" TargetMode="External"/><Relationship Id="rId326" Type="http://schemas.openxmlformats.org/officeDocument/2006/relationships/hyperlink" Target="https://drive.google.com/file/d/1HF5RpL5JNsEHQ0negkiB0fqKDYKmdcOL/view?usp=sharing" TargetMode="External"/><Relationship Id="rId204" Type="http://schemas.openxmlformats.org/officeDocument/2006/relationships/hyperlink" Target="https://drive.google.com/file/d/1iqq8Wn7KNHqo_7pgsvCjE9hJI0ZB3rJc/view?usp=sharing" TargetMode="External"/><Relationship Id="rId325" Type="http://schemas.openxmlformats.org/officeDocument/2006/relationships/hyperlink" Target="https://drive.google.com/file/d/1xpsDEa7SmkwLjdHVFfaswPMEyitKHGKF/view?usp=sharing" TargetMode="External"/><Relationship Id="rId203" Type="http://schemas.openxmlformats.org/officeDocument/2006/relationships/hyperlink" Target="https://drive.google.com/file/d/1wL1OKGnH9Urf4GMci_O3I-ymUK3edR5l/view?usp=sharing" TargetMode="External"/><Relationship Id="rId324" Type="http://schemas.openxmlformats.org/officeDocument/2006/relationships/hyperlink" Target="https://drive.google.com/file/d/1ndZQCcSCrcDuQsj2rQtMBPLwLsY1yRse/view?usp=sharing" TargetMode="External"/><Relationship Id="rId209" Type="http://schemas.openxmlformats.org/officeDocument/2006/relationships/hyperlink" Target="https://drive.google.com/file/d/1LyoK9Zq_TWRJyorPGWJlV1xZBgnWkcx-/view?usp=sharing" TargetMode="External"/><Relationship Id="rId208" Type="http://schemas.openxmlformats.org/officeDocument/2006/relationships/hyperlink" Target="https://drive.google.com/file/d/1JnHPTwIud_VLjlkJV-pOkQS2gkJFpjy1/view?usp=sharing" TargetMode="External"/><Relationship Id="rId329" Type="http://schemas.openxmlformats.org/officeDocument/2006/relationships/hyperlink" Target="https://drive.google.com/file/d/1AU8tK8po7BoRHoeRSryHVay4Hyv0yndc/view?usp=sharing" TargetMode="External"/><Relationship Id="rId207" Type="http://schemas.openxmlformats.org/officeDocument/2006/relationships/hyperlink" Target="https://drive.google.com/file/d/1QLlzvkh_drN4lBCGY3Xto-FSm4u2cUOX/view?usp=sharing" TargetMode="External"/><Relationship Id="rId328" Type="http://schemas.openxmlformats.org/officeDocument/2006/relationships/hyperlink" Target="https://drive.google.com/file/d/1UDbqERanm87lot3Gk5UVapxrItaJ37WN/view?usp=sharing" TargetMode="External"/><Relationship Id="rId202" Type="http://schemas.openxmlformats.org/officeDocument/2006/relationships/hyperlink" Target="https://drive.google.com/file/d/1JFwygBUpBQQVWfA7VRL9_nuMH0tzn-Gk/view?usp=sharing" TargetMode="External"/><Relationship Id="rId323" Type="http://schemas.openxmlformats.org/officeDocument/2006/relationships/hyperlink" Target="https://drive.google.com/file/d/1u_nhD6btno4A16dkXXkNJZuxiroD10WF/view?usp=sharing" TargetMode="External"/><Relationship Id="rId201" Type="http://schemas.openxmlformats.org/officeDocument/2006/relationships/hyperlink" Target="https://drive.google.com/file/d/10fhL6smHd1MFyi-R3QHbWOLNX3ya4MYI/view?usp=sharing" TargetMode="External"/><Relationship Id="rId322" Type="http://schemas.openxmlformats.org/officeDocument/2006/relationships/hyperlink" Target="https://drive.google.com/file/d/11VVIHLJOq7ZjBF1UYgw_rUMKKXSAXBgj/view?usp=sharing" TargetMode="External"/><Relationship Id="rId200" Type="http://schemas.openxmlformats.org/officeDocument/2006/relationships/hyperlink" Target="https://drive.google.com/file/d/11Ru2-pCKlDtOArGPCLLsW6b4yD8Sm6eo/view?usp=sharing" TargetMode="External"/><Relationship Id="rId321" Type="http://schemas.openxmlformats.org/officeDocument/2006/relationships/hyperlink" Target="https://drive.google.com/file/d/1pdHYmKWmwDNUKovasTAIgRRKWvWT9GTx/view?usp=sharing" TargetMode="External"/><Relationship Id="rId320" Type="http://schemas.openxmlformats.org/officeDocument/2006/relationships/hyperlink" Target="https://drive.google.com/file/d/1l--JtOPGlvWPhvcVB8a--KcZCI4Bv9Nd/view?usp=sharing" TargetMode="External"/><Relationship Id="rId316" Type="http://schemas.openxmlformats.org/officeDocument/2006/relationships/hyperlink" Target="https://drive.google.com/file/d/1y3ad6BRNVhvmgsMIKrv0OPAOPMiIIVfe/view?usp=sharing" TargetMode="External"/><Relationship Id="rId315" Type="http://schemas.openxmlformats.org/officeDocument/2006/relationships/hyperlink" Target="https://drive.google.com/file/d/15s5S2NSJcboydBpGSfa64lgCx4iX7vsY/view?usp=sharing" TargetMode="External"/><Relationship Id="rId314" Type="http://schemas.openxmlformats.org/officeDocument/2006/relationships/hyperlink" Target="https://drive.google.com/file/d/1SNi4IgbliOuRbWEC10TyeFFuqJLIu69V/view?usp=sharing" TargetMode="External"/><Relationship Id="rId313" Type="http://schemas.openxmlformats.org/officeDocument/2006/relationships/hyperlink" Target="https://drive.google.com/file/d/1b5vEi9jRd4-kPVBV5qzxUKehjC7bQqOv/view?usp=sharing" TargetMode="External"/><Relationship Id="rId319" Type="http://schemas.openxmlformats.org/officeDocument/2006/relationships/hyperlink" Target="https://drive.google.com/file/d/1Pd5MQqc11WNW5-67GCQPZTDfSqqaP1ip/view?usp=sharing" TargetMode="External"/><Relationship Id="rId318" Type="http://schemas.openxmlformats.org/officeDocument/2006/relationships/hyperlink" Target="https://drive.google.com/file/d/1JHK-85TmOSF0djTK_bcSA1lkgHe2cBUn/view?usp=sharing" TargetMode="External"/><Relationship Id="rId317" Type="http://schemas.openxmlformats.org/officeDocument/2006/relationships/hyperlink" Target="https://drive.google.com/file/d/14Ru_yOPuIYh04zPyO9OqoAzi_EE_uYL9/view?usp=sharing" TargetMode="External"/><Relationship Id="rId312" Type="http://schemas.openxmlformats.org/officeDocument/2006/relationships/hyperlink" Target="https://drive.google.com/file/d/1SwgGuvfqTfQeKObMElkocg4r6Tt-1V3K/view?usp=sharing" TargetMode="External"/><Relationship Id="rId311" Type="http://schemas.openxmlformats.org/officeDocument/2006/relationships/hyperlink" Target="https://drive.google.com/file/d/1W3KA0n_3Z2B5pfvpcb6nHV-9eDYPNOn9/view?usp=sharing" TargetMode="External"/><Relationship Id="rId310" Type="http://schemas.openxmlformats.org/officeDocument/2006/relationships/hyperlink" Target="https://drive.google.com/file/d/1gDkPfvRvGGGKCuxaqEUV3f52Nr44R27O/view?usp=sharing" TargetMode="External"/></Relationships>
</file>

<file path=xl/worksheets/_rels/sheet16.xml.rels><?xml version="1.0" encoding="UTF-8" standalone="yes"?><Relationships xmlns="http://schemas.openxmlformats.org/package/2006/relationships"><Relationship Id="rId190" Type="http://schemas.openxmlformats.org/officeDocument/2006/relationships/hyperlink" Target="https://drive.google.com/file/d/1YvFJbOJhnc4whFYMreSpSMJxRMVXAHIu/view?usp=sharing" TargetMode="External"/><Relationship Id="rId194" Type="http://schemas.openxmlformats.org/officeDocument/2006/relationships/hyperlink" Target="https://drive.google.com/file/d/1dBMtHjxVrkxP_zFxTvX20rCGXxALFEtL/view?usp=sharing" TargetMode="External"/><Relationship Id="rId193" Type="http://schemas.openxmlformats.org/officeDocument/2006/relationships/hyperlink" Target="https://drive.google.com/file/d/1-SyGq6G6KX8ndXfYFrrrc3TEnYPH0EsA/view?usp=sharing" TargetMode="External"/><Relationship Id="rId192" Type="http://schemas.openxmlformats.org/officeDocument/2006/relationships/hyperlink" Target="https://drive.google.com/file/d/1bi5TrCahz9D6mn8pTYVNOfxxajAliTS3/view?usp=sharing" TargetMode="External"/><Relationship Id="rId191" Type="http://schemas.openxmlformats.org/officeDocument/2006/relationships/hyperlink" Target="https://drive.google.com/file/d/1x15DxQVfvYdcSVyLCIcoYPNALl-H_Q4V/view?usp=sharing" TargetMode="External"/><Relationship Id="rId187" Type="http://schemas.openxmlformats.org/officeDocument/2006/relationships/hyperlink" Target="https://drive.google.com/file/d/1s86h4z8NXuIlM80fQ7uH5bAyEHD5Dplr/view?usp=sharing" TargetMode="External"/><Relationship Id="rId186" Type="http://schemas.openxmlformats.org/officeDocument/2006/relationships/hyperlink" Target="https://drive.google.com/file/d/1-oBl7RzbGL_qjIaQToLZStpRmDg1Rw5o/view?usp=sharing" TargetMode="External"/><Relationship Id="rId185" Type="http://schemas.openxmlformats.org/officeDocument/2006/relationships/hyperlink" Target="https://drive.google.com/file/d/1IcQNGLN-ZThQVMan4rOCxXkt8RYcToIy/view?usp=sharing" TargetMode="External"/><Relationship Id="rId184" Type="http://schemas.openxmlformats.org/officeDocument/2006/relationships/hyperlink" Target="https://drive.google.com/file/d/1AhYbD1lG2j6q2GnBXnE56R4mg2uzBmoJ/view?usp=sharing" TargetMode="External"/><Relationship Id="rId189" Type="http://schemas.openxmlformats.org/officeDocument/2006/relationships/hyperlink" Target="https://drive.google.com/file/d/1QrCZp5H6cDzjPpOVxe0qdx6UVosyvn5Y/view?usp=sharing" TargetMode="External"/><Relationship Id="rId188" Type="http://schemas.openxmlformats.org/officeDocument/2006/relationships/hyperlink" Target="https://drive.google.com/file/d/1UlRw9RsWzqKcOiFsUDrde3iiBbCumkmb/view?usp=sharing" TargetMode="External"/><Relationship Id="rId183" Type="http://schemas.openxmlformats.org/officeDocument/2006/relationships/hyperlink" Target="https://drive.google.com/file/d/1c35cJbT7KOuy7tBk6sTtBAwMYQMexf6B/view?usp=sharing" TargetMode="External"/><Relationship Id="rId182" Type="http://schemas.openxmlformats.org/officeDocument/2006/relationships/hyperlink" Target="https://drive.google.com/file/d/1yMiTPhXtOq6oOjr9WztStzBeKzGF2v0C/view?usp=sharing" TargetMode="External"/><Relationship Id="rId181" Type="http://schemas.openxmlformats.org/officeDocument/2006/relationships/hyperlink" Target="https://drive.google.com/file/d/1WyDLQqvjmn1CS-3RT_hriKLQfg2Z1jho/view?usp=sharing" TargetMode="External"/><Relationship Id="rId180" Type="http://schemas.openxmlformats.org/officeDocument/2006/relationships/hyperlink" Target="https://drive.google.com/file/d/1ce72C-zlTZRgRoQu8kt4PCRAfjirYDmg/view?usp=sharing" TargetMode="External"/><Relationship Id="rId176" Type="http://schemas.openxmlformats.org/officeDocument/2006/relationships/hyperlink" Target="https://drive.google.com/file/d/1HG3WevI1DnuKBNor0zUfAtKSHzlJsrR6/view?usp=sharing" TargetMode="External"/><Relationship Id="rId297" Type="http://schemas.openxmlformats.org/officeDocument/2006/relationships/hyperlink" Target="https://drive.google.com/file/d/1l4P8086MzV5C2R3c5KIZs-_cu1wgIH99/view?usp=share_link" TargetMode="External"/><Relationship Id="rId175" Type="http://schemas.openxmlformats.org/officeDocument/2006/relationships/hyperlink" Target="https://drive.google.com/file/d/1JT5u_HiRiaQW10Ac2amg3O0CmLUF_iVR/view?usp=sharing" TargetMode="External"/><Relationship Id="rId296" Type="http://schemas.openxmlformats.org/officeDocument/2006/relationships/hyperlink" Target="https://drive.google.com/file/d/1UOFfnZZmE2y0p2VbNhU_uXuOteG2p_ry/view?usp=share_link" TargetMode="External"/><Relationship Id="rId174" Type="http://schemas.openxmlformats.org/officeDocument/2006/relationships/hyperlink" Target="https://drive.google.com/file/d/1F2BozrgFkEQ4KNgepkW_okmIUqo_lGRV/view?usp=sharing" TargetMode="External"/><Relationship Id="rId295" Type="http://schemas.openxmlformats.org/officeDocument/2006/relationships/hyperlink" Target="https://drive.google.com/file/d/14HJ6OJhDrXi7umF4uEBBikZYuOLWwm5V/view?usp=share_link" TargetMode="External"/><Relationship Id="rId173" Type="http://schemas.openxmlformats.org/officeDocument/2006/relationships/hyperlink" Target="https://drive.google.com/file/d/11CUaw5EnWG4b-2j0k4Ubo3FvsaJfclUZ/view?usp=sharing" TargetMode="External"/><Relationship Id="rId294" Type="http://schemas.openxmlformats.org/officeDocument/2006/relationships/hyperlink" Target="https://drive.google.com/file/d/1mrptEYsu0nJlmHgPyYQpuHzMr0rW9r6P/view?usp=share_link" TargetMode="External"/><Relationship Id="rId179" Type="http://schemas.openxmlformats.org/officeDocument/2006/relationships/hyperlink" Target="https://drive.google.com/file/d/1I7hAUA07S7VfHKFnL_6RUGCDV3LczYYC/view?usp=sharing" TargetMode="External"/><Relationship Id="rId178" Type="http://schemas.openxmlformats.org/officeDocument/2006/relationships/hyperlink" Target="https://drive.google.com/file/d/17b0kOkA3AMohPjA6mVLsjtCUZ07KbLwo/view?usp=sharing" TargetMode="External"/><Relationship Id="rId299" Type="http://schemas.openxmlformats.org/officeDocument/2006/relationships/hyperlink" Target="https://drive.google.com/file/d/115gK3HiM7QnQ_0rVVz1W9iSpKM_lkp5s/view?usp=share_link" TargetMode="External"/><Relationship Id="rId177" Type="http://schemas.openxmlformats.org/officeDocument/2006/relationships/hyperlink" Target="https://drive.google.com/file/d/1Hdog3bDE_YEY_s0XcowmGNS210fycq8E/view?usp=sharing" TargetMode="External"/><Relationship Id="rId298" Type="http://schemas.openxmlformats.org/officeDocument/2006/relationships/hyperlink" Target="https://drive.google.com/file/d/1Hjsu8969vRwPEPt5SRUnf9VjweGp516S/view?usp=share_link" TargetMode="External"/><Relationship Id="rId198" Type="http://schemas.openxmlformats.org/officeDocument/2006/relationships/hyperlink" Target="https://drive.google.com/file/d/10GswUiFb73gvEVyHIxfJcZVefn__sGrh/view?usp=sharing" TargetMode="External"/><Relationship Id="rId197" Type="http://schemas.openxmlformats.org/officeDocument/2006/relationships/hyperlink" Target="https://drive.google.com/file/d/1Vr40B6x-P7MvbuF3ykElKJSwO8qXNTnZ/view?usp=sharing" TargetMode="External"/><Relationship Id="rId196" Type="http://schemas.openxmlformats.org/officeDocument/2006/relationships/hyperlink" Target="https://drive.google.com/file/d/1Vw3K2m-xqXQt28kqNLJ_S2RZAQAvl-Ls/view?usp=sharing" TargetMode="External"/><Relationship Id="rId195" Type="http://schemas.openxmlformats.org/officeDocument/2006/relationships/hyperlink" Target="https://drive.google.com/file/d/1FonTuZ5f39MNYKBkxwmC_BgGmxOwg1yy/view?usp=sharing" TargetMode="External"/><Relationship Id="rId199" Type="http://schemas.openxmlformats.org/officeDocument/2006/relationships/hyperlink" Target="https://drive.google.com/file/d/1biRHyqFIJaBXHGc24ouLU4hXYC-FZpgp/view?usp=sharing" TargetMode="External"/><Relationship Id="rId150" Type="http://schemas.openxmlformats.org/officeDocument/2006/relationships/hyperlink" Target="https://drive.google.com/file/d/1VpHr3phxP-xduBrm_NPfZQeo9dQnnYLe/view?usp=sharing" TargetMode="External"/><Relationship Id="rId271" Type="http://schemas.openxmlformats.org/officeDocument/2006/relationships/hyperlink" Target="https://drive.google.com/file/d/12y9sI5mBWRfk7JhefsX5s6wXmjYMcl9O/view?usp=share_link" TargetMode="External"/><Relationship Id="rId270" Type="http://schemas.openxmlformats.org/officeDocument/2006/relationships/hyperlink" Target="https://drive.google.com/file/d/1p87a0jpvP1PjIKbLdCnjcFfuYc1IZmqK/view?usp=share_link" TargetMode="External"/><Relationship Id="rId1" Type="http://schemas.openxmlformats.org/officeDocument/2006/relationships/hyperlink" Target="https://drive.google.com/file/d/1_wjZObFQIDXgeRbdaihZrZbgJJrgEASh/view?usp=sharing" TargetMode="External"/><Relationship Id="rId2" Type="http://schemas.openxmlformats.org/officeDocument/2006/relationships/hyperlink" Target="https://drive.google.com/file/d/1xRC7bnP9Rk5a4YTh7xL_p6OL5I2sZ_5b/view?usp=sharing" TargetMode="External"/><Relationship Id="rId3" Type="http://schemas.openxmlformats.org/officeDocument/2006/relationships/hyperlink" Target="https://drive.google.com/file/d/1lCNTbEGck7uk9ZIRX6TcsvAo2jKnz-o7/view?usp=sharing" TargetMode="External"/><Relationship Id="rId149" Type="http://schemas.openxmlformats.org/officeDocument/2006/relationships/hyperlink" Target="https://drive.google.com/file/d/1RAFJG_jwqSQ6_D789O6ni0LYID7Tn-qj/view?usp=sharing" TargetMode="External"/><Relationship Id="rId4" Type="http://schemas.openxmlformats.org/officeDocument/2006/relationships/hyperlink" Target="https://drive.google.com/file/d/1yiYSe0FqJH2rmA7OZ8FlKw37E5C3WHLb/view?usp=sharing" TargetMode="External"/><Relationship Id="rId148" Type="http://schemas.openxmlformats.org/officeDocument/2006/relationships/hyperlink" Target="https://drive.google.com/file/d/1uOMx6fVV5QqlQ5m5poZgdpx7pEil-9vn/view?usp=sharing" TargetMode="External"/><Relationship Id="rId269" Type="http://schemas.openxmlformats.org/officeDocument/2006/relationships/hyperlink" Target="https://drive.google.com/file/d/1Q9RJSpHMF6HHCl90tZl-ffNBcZq2P01U/view?usp=share_link" TargetMode="External"/><Relationship Id="rId9" Type="http://schemas.openxmlformats.org/officeDocument/2006/relationships/hyperlink" Target="https://drive.google.com/file/d/1M1zyF8zlon72n_1Uh-m_uRvEZt9npjgR/view?usp=sharing" TargetMode="External"/><Relationship Id="rId143" Type="http://schemas.openxmlformats.org/officeDocument/2006/relationships/hyperlink" Target="https://drive.google.com/file/d/1tljXCIDFqSvzqbU1hxFTPTjpFez2SwH4/view?usp=sharing" TargetMode="External"/><Relationship Id="rId264" Type="http://schemas.openxmlformats.org/officeDocument/2006/relationships/hyperlink" Target="https://drive.google.com/file/d/1YhXB9ECT-_WA79JN65K7lYYST_Lbs7LW/view?usp=share_link" TargetMode="External"/><Relationship Id="rId142" Type="http://schemas.openxmlformats.org/officeDocument/2006/relationships/hyperlink" Target="https://drive.google.com/file/d/1qcZUKFl1ugCcQ4Ob7K0iXG0NSJZYUWEw/view?usp=sharing" TargetMode="External"/><Relationship Id="rId263" Type="http://schemas.openxmlformats.org/officeDocument/2006/relationships/hyperlink" Target="https://drive.google.com/file/d/12RCOudtwB6AiD2HAl1XsLkV_etUdRwly/view?usp=share_link" TargetMode="External"/><Relationship Id="rId141" Type="http://schemas.openxmlformats.org/officeDocument/2006/relationships/hyperlink" Target="https://drive.google.com/file/d/1R5ZfMoFblTD92uYOCsgLTGIImjghYKVC/view?usp=sharing" TargetMode="External"/><Relationship Id="rId262" Type="http://schemas.openxmlformats.org/officeDocument/2006/relationships/hyperlink" Target="https://drive.google.com/file/d/1I6OsqFpZzwx8AsBd9opgRaGUOKbG1eft/view?usp=share_link" TargetMode="External"/><Relationship Id="rId140" Type="http://schemas.openxmlformats.org/officeDocument/2006/relationships/hyperlink" Target="https://drive.google.com/file/d/1PUtiJ-Yz43XfU5SbP-yg3hU8G2iPlweX/view?usp=sharing" TargetMode="External"/><Relationship Id="rId261" Type="http://schemas.openxmlformats.org/officeDocument/2006/relationships/hyperlink" Target="https://drive.google.com/file/d/1BC1QTbILSRBMTBrJpAEN-wKMkvXBW2wS/view?usp=share_link" TargetMode="External"/><Relationship Id="rId5" Type="http://schemas.openxmlformats.org/officeDocument/2006/relationships/hyperlink" Target="https://drive.google.com/file/d/1UE87SQtyqpZ0P2kudez5FYDrLgqaQF5S/view?usp=sharing" TargetMode="External"/><Relationship Id="rId147" Type="http://schemas.openxmlformats.org/officeDocument/2006/relationships/hyperlink" Target="https://drive.google.com/file/d/17I3IlQXy0FxzKycbAcZYpabVtaiA1j_C/view?usp=sharing" TargetMode="External"/><Relationship Id="rId268" Type="http://schemas.openxmlformats.org/officeDocument/2006/relationships/hyperlink" Target="https://drive.google.com/file/d/1CyYqXm3OBDWA-2icE9lm2inVVHFrOatT/view?usp=share_link" TargetMode="External"/><Relationship Id="rId6" Type="http://schemas.openxmlformats.org/officeDocument/2006/relationships/hyperlink" Target="https://drive.google.com/file/d/10sLwAju5Ove24-YRUVuXi9VpUY_3mpUF/view?usp=sharing" TargetMode="External"/><Relationship Id="rId146" Type="http://schemas.openxmlformats.org/officeDocument/2006/relationships/hyperlink" Target="https://drive.google.com/file/d/1GoXvY8L2h5XY0bxT0TZFnIXOUHXH7t9b/view?usp=sharing" TargetMode="External"/><Relationship Id="rId267" Type="http://schemas.openxmlformats.org/officeDocument/2006/relationships/hyperlink" Target="https://drive.google.com/file/d/1gzxgnubAJ4ILopAKDQ2RI5TqInJN3Slq/view?usp=share_link" TargetMode="External"/><Relationship Id="rId7" Type="http://schemas.openxmlformats.org/officeDocument/2006/relationships/hyperlink" Target="https://drive.google.com/file/d/1A-I-8K54DZGfhb5S5nDlzs__nNMsZNQ0/view?usp=sharing" TargetMode="External"/><Relationship Id="rId145" Type="http://schemas.openxmlformats.org/officeDocument/2006/relationships/hyperlink" Target="https://drive.google.com/file/d/1oj7L8Xrtag048NMlD_lfsoBZt6FWPBNk/view?usp=sharing" TargetMode="External"/><Relationship Id="rId266" Type="http://schemas.openxmlformats.org/officeDocument/2006/relationships/hyperlink" Target="https://drive.google.com/file/d/1tvFfMib_wu_ebCq8PeiR-trxTssMMKbY/view?usp=share_link" TargetMode="External"/><Relationship Id="rId8" Type="http://schemas.openxmlformats.org/officeDocument/2006/relationships/hyperlink" Target="https://drive.google.com/file/d/1shKprhyxvljXsoKHNiiXJIyFoqDMJ3Fc/view?usp=sharing" TargetMode="External"/><Relationship Id="rId144" Type="http://schemas.openxmlformats.org/officeDocument/2006/relationships/hyperlink" Target="https://drive.google.com/file/d/1q3wBVqVrwurXJ5_P4mn6KvsT2W2U-MnR/view?usp=sharing" TargetMode="External"/><Relationship Id="rId265" Type="http://schemas.openxmlformats.org/officeDocument/2006/relationships/hyperlink" Target="https://drive.google.com/file/d/1VCdmbzMltsPSGT440yLR8riART1kDPi_/view?usp=share_link" TargetMode="External"/><Relationship Id="rId260" Type="http://schemas.openxmlformats.org/officeDocument/2006/relationships/hyperlink" Target="https://drive.google.com/file/d/1AEBhqgxSyfRdFMgY-slq_mN7OkdChuoU/view?usp=share_link" TargetMode="External"/><Relationship Id="rId139" Type="http://schemas.openxmlformats.org/officeDocument/2006/relationships/hyperlink" Target="https://drive.google.com/file/d/1AaNRTa0TEdIXrBdYBVUc7fjIE-7STOcd/view?usp=sharing" TargetMode="External"/><Relationship Id="rId138" Type="http://schemas.openxmlformats.org/officeDocument/2006/relationships/hyperlink" Target="https://drive.google.com/file/d/1H6XIoTdr3w7MQANs6IyK6CfphnG9QthC/view?usp=sharing" TargetMode="External"/><Relationship Id="rId259" Type="http://schemas.openxmlformats.org/officeDocument/2006/relationships/hyperlink" Target="https://drive.google.com/file/d/1-VGPO4zvKIZ_iQSquSljiE3Oc4QIEWS0/view?usp=share_link" TargetMode="External"/><Relationship Id="rId137" Type="http://schemas.openxmlformats.org/officeDocument/2006/relationships/hyperlink" Target="https://drive.google.com/file/d/1NQUMg32G809beQ9hFdFbenLxCvd8LD2E/view?usp=sharing" TargetMode="External"/><Relationship Id="rId258" Type="http://schemas.openxmlformats.org/officeDocument/2006/relationships/hyperlink" Target="https://drive.google.com/file/d/1pGaj0l9jwV-ULrU03V_4JG4aYwNAl8Fu/view?usp=share_link" TargetMode="External"/><Relationship Id="rId132" Type="http://schemas.openxmlformats.org/officeDocument/2006/relationships/hyperlink" Target="https://drive.google.com/file/d/1gLmetIcWDMZ-JdG354LnrX2GhWnW_pbd/view?usp=sharing" TargetMode="External"/><Relationship Id="rId253" Type="http://schemas.openxmlformats.org/officeDocument/2006/relationships/hyperlink" Target="https://drive.google.com/file/d/1EV25t9eomDWutBsyfQXhNSsV_G3rppM2/view?usp=share_link" TargetMode="External"/><Relationship Id="rId131" Type="http://schemas.openxmlformats.org/officeDocument/2006/relationships/hyperlink" Target="https://drive.google.com/file/d/1xoUl2HYZrrzJaDSA7bCfxS1tyKu06dwS/view?usp=sharing" TargetMode="External"/><Relationship Id="rId252" Type="http://schemas.openxmlformats.org/officeDocument/2006/relationships/hyperlink" Target="https://drive.google.com/file/d/12qdI-MTPJNNobvsS9alYhH8MnhjIoBIE/view?usp=share_link" TargetMode="External"/><Relationship Id="rId130" Type="http://schemas.openxmlformats.org/officeDocument/2006/relationships/hyperlink" Target="https://drive.google.com/file/d/1OjIFZIxl_I2ZRgPLYDohNw07__Fv3IN7/view?usp=sharing" TargetMode="External"/><Relationship Id="rId251" Type="http://schemas.openxmlformats.org/officeDocument/2006/relationships/hyperlink" Target="https://drive.google.com/file/d/13bTUgHBLjp-ZWX3MnLZQ5chT3gK0ybJ8/view?usp=share_link" TargetMode="External"/><Relationship Id="rId250" Type="http://schemas.openxmlformats.org/officeDocument/2006/relationships/hyperlink" Target="https://drive.google.com/file/d/1sIQF1EtutvN4GxvmcYLYViqENn7JnVYT/view?usp=share_link" TargetMode="External"/><Relationship Id="rId136" Type="http://schemas.openxmlformats.org/officeDocument/2006/relationships/hyperlink" Target="https://drive.google.com/file/d/11H7mCuzpqaG7JArR-RFr6cDqHwW4ovj9/view?usp=sharing" TargetMode="External"/><Relationship Id="rId257" Type="http://schemas.openxmlformats.org/officeDocument/2006/relationships/hyperlink" Target="https://drive.google.com/file/d/1NCNu7xj7EyQvox-EgiMhu3RADFUnepWR/view?usp=share_link" TargetMode="External"/><Relationship Id="rId135" Type="http://schemas.openxmlformats.org/officeDocument/2006/relationships/hyperlink" Target="https://drive.google.com/file/d/1VyVSOT6E2jQJOy7I2CKggxCqrYd8I7KX/view?usp=sharing" TargetMode="External"/><Relationship Id="rId256" Type="http://schemas.openxmlformats.org/officeDocument/2006/relationships/hyperlink" Target="https://drive.google.com/file/d/1EQ48U_BTssRMQIUV7pVYGiilccQbCOSo/view?usp=share_link" TargetMode="External"/><Relationship Id="rId134" Type="http://schemas.openxmlformats.org/officeDocument/2006/relationships/hyperlink" Target="https://drive.google.com/file/d/1eNS8yiMdx7ZYxjPntC0PICSozqu7GDjp/view?usp=sharing" TargetMode="External"/><Relationship Id="rId255" Type="http://schemas.openxmlformats.org/officeDocument/2006/relationships/hyperlink" Target="https://drive.google.com/file/d/1PkUUosNHUO8XBX559zoowtZPFnWIU6RD/view?usp=share_link" TargetMode="External"/><Relationship Id="rId133" Type="http://schemas.openxmlformats.org/officeDocument/2006/relationships/hyperlink" Target="https://drive.google.com/file/d/1JVQ_7vD7jmGUC45jcY-Sgu7hxxvCkWFR/view?usp=sharing" TargetMode="External"/><Relationship Id="rId254" Type="http://schemas.openxmlformats.org/officeDocument/2006/relationships/hyperlink" Target="https://drive.google.com/file/d/1_fH_ZQ4JdpPAfUnACqtF9E8wJWYTyW8e/view?usp=share_link" TargetMode="External"/><Relationship Id="rId172" Type="http://schemas.openxmlformats.org/officeDocument/2006/relationships/hyperlink" Target="https://drive.google.com/file/d/1YHYjotlSIQ7zH2iqGsBpKmc3ydepeJLR/view?usp=sharing" TargetMode="External"/><Relationship Id="rId293" Type="http://schemas.openxmlformats.org/officeDocument/2006/relationships/hyperlink" Target="https://drive.google.com/file/d/1nArcoPrh9MSktKlriSzS7bXlbUa16TfZ/view?usp=share_link" TargetMode="External"/><Relationship Id="rId171" Type="http://schemas.openxmlformats.org/officeDocument/2006/relationships/hyperlink" Target="https://drive.google.com/file/d/1wDSdsW9X4jNRD_FnfudhHWVtLNItPzNr/view?usp=sharing" TargetMode="External"/><Relationship Id="rId292" Type="http://schemas.openxmlformats.org/officeDocument/2006/relationships/hyperlink" Target="https://drive.google.com/file/d/1rWDTk5GfJflVuCop-jMJcCpfcnWPfWef/view?usp=share_link" TargetMode="External"/><Relationship Id="rId170" Type="http://schemas.openxmlformats.org/officeDocument/2006/relationships/hyperlink" Target="https://drive.google.com/file/d/1QSQaQ3Ynv1Dn-JbtEeW-7iO57lN_S5V3/view?usp=sharing" TargetMode="External"/><Relationship Id="rId291" Type="http://schemas.openxmlformats.org/officeDocument/2006/relationships/hyperlink" Target="https://drive.google.com/file/d/1auRcslz4S-ScF6FYrmd3LizUozam8tke/view?usp=share_link" TargetMode="External"/><Relationship Id="rId290" Type="http://schemas.openxmlformats.org/officeDocument/2006/relationships/hyperlink" Target="https://drive.google.com/file/d/1KLmZzGa58rMe5YiM5v54fvTB_Lpj54rw/view?usp=share_link" TargetMode="External"/><Relationship Id="rId165" Type="http://schemas.openxmlformats.org/officeDocument/2006/relationships/hyperlink" Target="https://drive.google.com/file/d/1jgYs_isYnM-QQBxm9wfxSkwfqOqFa2uJ/view?usp=sharing" TargetMode="External"/><Relationship Id="rId286" Type="http://schemas.openxmlformats.org/officeDocument/2006/relationships/hyperlink" Target="https://drive.google.com/file/d/1ufzMOjcxe5CRejVUvrOxwE-nJfPd38bU/view?usp=share_link" TargetMode="External"/><Relationship Id="rId164" Type="http://schemas.openxmlformats.org/officeDocument/2006/relationships/hyperlink" Target="https://drive.google.com/file/d/1miCxcl0zUgCUez6tDB6ei0puJStdOsUf/view?usp=sharing" TargetMode="External"/><Relationship Id="rId285" Type="http://schemas.openxmlformats.org/officeDocument/2006/relationships/hyperlink" Target="https://drive.google.com/file/d/1We7vV79ICoUOja2o_6xOd0boQPSU4vP9/view?usp=share_link" TargetMode="External"/><Relationship Id="rId163" Type="http://schemas.openxmlformats.org/officeDocument/2006/relationships/hyperlink" Target="https://drive.google.com/file/d/1M-JVzyHFsJ2sAVDiMZDUvTh9EZX79Ivn/view?usp=sharing" TargetMode="External"/><Relationship Id="rId284" Type="http://schemas.openxmlformats.org/officeDocument/2006/relationships/hyperlink" Target="https://drive.google.com/file/d/1iRTxS9im7Xu1DpJIHls4QJ3I5KThTIcT/view?usp=share_link" TargetMode="External"/><Relationship Id="rId162" Type="http://schemas.openxmlformats.org/officeDocument/2006/relationships/hyperlink" Target="https://drive.google.com/file/d/1XM4RelwcUZEHx5llIqAIP_dB1Xz6Bo_o/view?usp=sharing" TargetMode="External"/><Relationship Id="rId283" Type="http://schemas.openxmlformats.org/officeDocument/2006/relationships/hyperlink" Target="https://drive.google.com/file/d/1143EI9wKl9OF2-3-SsnToUB7Lzbqzq1B/view?usp=share_link" TargetMode="External"/><Relationship Id="rId169" Type="http://schemas.openxmlformats.org/officeDocument/2006/relationships/hyperlink" Target="https://drive.google.com/file/d/1EFBxMIGSPiavoVm3-1ub5Kt7fmYOMtkK/view?usp=sharing" TargetMode="External"/><Relationship Id="rId168" Type="http://schemas.openxmlformats.org/officeDocument/2006/relationships/hyperlink" Target="https://drive.google.com/file/d/11FcMae85g5vZ6aeo5P_GYUxuFgrbCEol/view?usp=sharing" TargetMode="External"/><Relationship Id="rId289" Type="http://schemas.openxmlformats.org/officeDocument/2006/relationships/hyperlink" Target="https://drive.google.com/file/d/1Zk-vTbRlW2MpV6qhzJ6fMJiK09K3sYH3/view?usp=share_link" TargetMode="External"/><Relationship Id="rId167" Type="http://schemas.openxmlformats.org/officeDocument/2006/relationships/hyperlink" Target="https://drive.google.com/file/d/16dQVJxm2402JyfhH7QS-LDUsoqivrfLM/view?usp=sharing" TargetMode="External"/><Relationship Id="rId288" Type="http://schemas.openxmlformats.org/officeDocument/2006/relationships/hyperlink" Target="https://drive.google.com/file/d/1Wd2_FwmYtlDHnZ1Ywm-cEeDYJm0u5oKu/view?usp=share_link" TargetMode="External"/><Relationship Id="rId166" Type="http://schemas.openxmlformats.org/officeDocument/2006/relationships/hyperlink" Target="https://drive.google.com/file/d/1r9XsrE11BR3aLrQTGsy0N5wzypTu6oFo/view?usp=sharing" TargetMode="External"/><Relationship Id="rId287" Type="http://schemas.openxmlformats.org/officeDocument/2006/relationships/hyperlink" Target="https://drive.google.com/file/d/1fzVFfMgF80zDfgxjKtQ_XBmuTQL1o_4_/view?usp=share_link" TargetMode="External"/><Relationship Id="rId161" Type="http://schemas.openxmlformats.org/officeDocument/2006/relationships/hyperlink" Target="https://drive.google.com/file/d/1kECB_ogT8mQX35zcwVvKBIqhd-ivuHHI/view?usp=sharing" TargetMode="External"/><Relationship Id="rId282" Type="http://schemas.openxmlformats.org/officeDocument/2006/relationships/hyperlink" Target="https://drive.google.com/file/d/1Kd1P8nRT3Fj1yUFwQNmgSWM6CYxj1ic3/view?usp=share_link" TargetMode="External"/><Relationship Id="rId160" Type="http://schemas.openxmlformats.org/officeDocument/2006/relationships/hyperlink" Target="https://drive.google.com/file/d/1NkocoMya_C3TjX9lRNQeVXp16Dq6kXzy/view?usp=sharing" TargetMode="External"/><Relationship Id="rId281" Type="http://schemas.openxmlformats.org/officeDocument/2006/relationships/hyperlink" Target="https://drive.google.com/file/d/19aBBQo90gdYGs5rIuJmOl-J3WzA5lyd5/view?usp=share_link" TargetMode="External"/><Relationship Id="rId280" Type="http://schemas.openxmlformats.org/officeDocument/2006/relationships/hyperlink" Target="https://drive.google.com/file/d/1rheOKqa-yxL_HntwRUCB1gkOqj7G_pTg/view?usp=share_link" TargetMode="External"/><Relationship Id="rId159" Type="http://schemas.openxmlformats.org/officeDocument/2006/relationships/hyperlink" Target="https://drive.google.com/file/d/1lf6jPKHZ2sFHN3FRgjpYZF-JkQBSYbek/view?usp=sharing" TargetMode="External"/><Relationship Id="rId154" Type="http://schemas.openxmlformats.org/officeDocument/2006/relationships/hyperlink" Target="https://drive.google.com/file/d/1aE8Tg4Y99tIcXmLpu4yOuboidGPirNSF/view?usp=sharing" TargetMode="External"/><Relationship Id="rId275" Type="http://schemas.openxmlformats.org/officeDocument/2006/relationships/hyperlink" Target="https://drive.google.com/file/d/1vFBE0Yzgsyv5drDoXfew3i1rruh8LI5_/view?usp=share_link" TargetMode="External"/><Relationship Id="rId153" Type="http://schemas.openxmlformats.org/officeDocument/2006/relationships/hyperlink" Target="https://drive.google.com/file/d/1NWAsEHgc0jaFw0bcCbQEW2BzqalQjaWU/view?usp=sharing" TargetMode="External"/><Relationship Id="rId274" Type="http://schemas.openxmlformats.org/officeDocument/2006/relationships/hyperlink" Target="https://drive.google.com/file/d/1NcrDafT7mfZPNRUzkq1w2aJuGwlflFc0/view?usp=share_link" TargetMode="External"/><Relationship Id="rId152" Type="http://schemas.openxmlformats.org/officeDocument/2006/relationships/hyperlink" Target="https://drive.google.com/file/d/16inBd9sKB6wh-RfozS896B-5pOk5jSg_/view?usp=sharing" TargetMode="External"/><Relationship Id="rId273" Type="http://schemas.openxmlformats.org/officeDocument/2006/relationships/hyperlink" Target="https://drive.google.com/file/d/1xo71QG9_UrNJlHP-ClYgJFICBCeL8aZi/view?usp=share_link" TargetMode="External"/><Relationship Id="rId151" Type="http://schemas.openxmlformats.org/officeDocument/2006/relationships/hyperlink" Target="https://drive.google.com/file/d/1yY9z-OkUs3xDDV2DSdjo4qODProHlhfP/view?usp=sharing" TargetMode="External"/><Relationship Id="rId272" Type="http://schemas.openxmlformats.org/officeDocument/2006/relationships/hyperlink" Target="https://drive.google.com/file/d/1OEWehI_5vaBGZxfE3Fgstd7XhouIyoN2/view?usp=share_link" TargetMode="External"/><Relationship Id="rId158" Type="http://schemas.openxmlformats.org/officeDocument/2006/relationships/hyperlink" Target="https://drive.google.com/file/d/11pwa2lcElLs2MI7pKHvf1QCTASCdkYyZ/view?usp=sharing" TargetMode="External"/><Relationship Id="rId279" Type="http://schemas.openxmlformats.org/officeDocument/2006/relationships/hyperlink" Target="https://drive.google.com/file/d/1z9PrgZKKr6wR3PbdLiGN_0PRVCLu2rSE/view?usp=share_link" TargetMode="External"/><Relationship Id="rId157" Type="http://schemas.openxmlformats.org/officeDocument/2006/relationships/hyperlink" Target="https://drive.google.com/file/d/1dTd3KnrYbK646xm4yTP7cZ61RGtOHjXP/view?usp=sharing" TargetMode="External"/><Relationship Id="rId278" Type="http://schemas.openxmlformats.org/officeDocument/2006/relationships/hyperlink" Target="https://drive.google.com/file/d/1xCUNR3oVcIuafguCZR9GXpYe6vBbHGVf/view?usp=share_link" TargetMode="External"/><Relationship Id="rId156" Type="http://schemas.openxmlformats.org/officeDocument/2006/relationships/hyperlink" Target="https://drive.google.com/file/d/1WGK0uaJGJrMW5-vNPMioY45ttel2u1eX/view?usp=sharing" TargetMode="External"/><Relationship Id="rId277" Type="http://schemas.openxmlformats.org/officeDocument/2006/relationships/hyperlink" Target="https://drive.google.com/file/d/1YW4O7shCyb-3q-NlM-KhRGgAetNV0urX/view?usp=share_link" TargetMode="External"/><Relationship Id="rId155" Type="http://schemas.openxmlformats.org/officeDocument/2006/relationships/hyperlink" Target="https://drive.google.com/file/d/1M3V0Z3lboYBiQXDqg2gsy_ABXHhUvMbp/view?usp=sharing" TargetMode="External"/><Relationship Id="rId276" Type="http://schemas.openxmlformats.org/officeDocument/2006/relationships/hyperlink" Target="https://drive.google.com/file/d/1Jx8yFiww2pxt2N8XiM-XBpggHdaa8DQt/view?usp=share_link" TargetMode="External"/><Relationship Id="rId40" Type="http://schemas.openxmlformats.org/officeDocument/2006/relationships/hyperlink" Target="https://drive.google.com/file/d/1BJzMSvY-q1hHxkGAu56S8XevnyoFWlou/view?usp=sharing" TargetMode="External"/><Relationship Id="rId42" Type="http://schemas.openxmlformats.org/officeDocument/2006/relationships/hyperlink" Target="https://drive.google.com/file/d/1zCCYTUXrsrXINOSIOkfr2HQTmYk4vrV1/view?usp=sharing" TargetMode="External"/><Relationship Id="rId41" Type="http://schemas.openxmlformats.org/officeDocument/2006/relationships/hyperlink" Target="https://drive.google.com/file/d/1BQvc4u5gKc68vdaTFYkItqQHehpps4Cp/view?usp=sharing" TargetMode="External"/><Relationship Id="rId44" Type="http://schemas.openxmlformats.org/officeDocument/2006/relationships/hyperlink" Target="https://drive.google.com/file/d/1tIYY6UzSm2swgTkpWKvDno8ICYPLweZz/view?usp=sharing" TargetMode="External"/><Relationship Id="rId43" Type="http://schemas.openxmlformats.org/officeDocument/2006/relationships/hyperlink" Target="https://drive.google.com/file/d/1KlDxvpxX7KUYgWMpEwAheK-ABod-2ZJs/view?usp=sharing" TargetMode="External"/><Relationship Id="rId46" Type="http://schemas.openxmlformats.org/officeDocument/2006/relationships/hyperlink" Target="https://drive.google.com/file/d/1FT6FGNY4_NSEs4YYLmnTRu5qkqYb5uZm/view?usp=sharing" TargetMode="External"/><Relationship Id="rId45" Type="http://schemas.openxmlformats.org/officeDocument/2006/relationships/hyperlink" Target="https://drive.google.com/file/d/1oG-SszXzLi5NZw-lOb80DS6zC38txzz7/view?usp=sharing" TargetMode="External"/><Relationship Id="rId48" Type="http://schemas.openxmlformats.org/officeDocument/2006/relationships/hyperlink" Target="https://drive.google.com/file/d/1PmytVUXE8V4sSvFTcGVbjZ2RmKHdAR7q/view?usp=sharing" TargetMode="External"/><Relationship Id="rId47" Type="http://schemas.openxmlformats.org/officeDocument/2006/relationships/hyperlink" Target="https://drive.google.com/file/d/1d10Qy8JQcvwYFpvozqzYfhSAuG56IjTm/view?usp=sharing" TargetMode="External"/><Relationship Id="rId49" Type="http://schemas.openxmlformats.org/officeDocument/2006/relationships/hyperlink" Target="https://drive.google.com/file/d/1Gs9JgiswtW_ZmIsiCea1fZWgATaF6DBU/view?usp=sharing" TargetMode="External"/><Relationship Id="rId31" Type="http://schemas.openxmlformats.org/officeDocument/2006/relationships/hyperlink" Target="https://drive.google.com/file/d/12IYuJP4PvljKZhwVEBCGMdtBkAp0D0V1/view?usp=sharing" TargetMode="External"/><Relationship Id="rId30" Type="http://schemas.openxmlformats.org/officeDocument/2006/relationships/hyperlink" Target="https://drive.google.com/file/d/14_vmah0lqkSaI7Og_PNyKc1oTISSPCa0/view?usp=sharing" TargetMode="External"/><Relationship Id="rId33" Type="http://schemas.openxmlformats.org/officeDocument/2006/relationships/hyperlink" Target="https://drive.google.com/file/d/166MkCND6ZVAaar6GSx9xPpQOdhCQDLhe/view?usp=sharing" TargetMode="External"/><Relationship Id="rId32" Type="http://schemas.openxmlformats.org/officeDocument/2006/relationships/hyperlink" Target="https://drive.google.com/file/d/1h9Ojv20tnGjEWnk3mq1K6ZtdvZdqHHgj/view?usp=sharing" TargetMode="External"/><Relationship Id="rId35" Type="http://schemas.openxmlformats.org/officeDocument/2006/relationships/hyperlink" Target="https://drive.google.com/file/d/1YspwkeWSwmP4MK9bBkN_kZb5YEtoIJcJ/view?usp=sharing" TargetMode="External"/><Relationship Id="rId34" Type="http://schemas.openxmlformats.org/officeDocument/2006/relationships/hyperlink" Target="https://drive.google.com/file/d/1VRWzVAMoULRxGwEgQ__wJXBXubXPwPMi/view?usp=sharing" TargetMode="External"/><Relationship Id="rId37" Type="http://schemas.openxmlformats.org/officeDocument/2006/relationships/hyperlink" Target="https://drive.google.com/file/d/10YsKzAKinxNiU8zv7w63-Jsa9q2-jAaT/view?usp=sharing" TargetMode="External"/><Relationship Id="rId36" Type="http://schemas.openxmlformats.org/officeDocument/2006/relationships/hyperlink" Target="https://drive.google.com/file/d/1OFv2JLf0Mrit9JkoxsidMk7G4uHTMeXK/view?usp=sharing" TargetMode="External"/><Relationship Id="rId39" Type="http://schemas.openxmlformats.org/officeDocument/2006/relationships/hyperlink" Target="https://drive.google.com/file/d/1rmXEUo4Dc2eBUTo2R_E7ipi18wdKc2cU/view?usp=sharing" TargetMode="External"/><Relationship Id="rId38" Type="http://schemas.openxmlformats.org/officeDocument/2006/relationships/hyperlink" Target="https://drive.google.com/file/d/1d6X3YxurrhAXL3pPBum-rR8V3SK9LeS9/view?usp=sharing" TargetMode="External"/><Relationship Id="rId20" Type="http://schemas.openxmlformats.org/officeDocument/2006/relationships/hyperlink" Target="https://drive.google.com/file/d/1DdVR-Qd7u_8IcWSSKSLnNJ85oRfubg76/view?usp=sharing" TargetMode="External"/><Relationship Id="rId22" Type="http://schemas.openxmlformats.org/officeDocument/2006/relationships/hyperlink" Target="https://drive.google.com/file/d/1hclKx2HgDe5-a8WRnk1_A3m5vU-iJJwm/view?usp=sharing" TargetMode="External"/><Relationship Id="rId21" Type="http://schemas.openxmlformats.org/officeDocument/2006/relationships/hyperlink" Target="https://drive.google.com/file/d/1IUyqNdsO7ZyE0laxQZ14QbFPpWBNITq5/view?usp=sharing" TargetMode="External"/><Relationship Id="rId24" Type="http://schemas.openxmlformats.org/officeDocument/2006/relationships/hyperlink" Target="https://drive.google.com/file/d/1hnMAHSWLaS3D2UYAN2y6KQwMdpijKxUl/view?usp=sharing" TargetMode="External"/><Relationship Id="rId23" Type="http://schemas.openxmlformats.org/officeDocument/2006/relationships/hyperlink" Target="https://drive.google.com/file/d/1oNRCm06BG64gF-5F8D4ZpWGgs7bja8UW/view?usp=sharing" TargetMode="External"/><Relationship Id="rId26" Type="http://schemas.openxmlformats.org/officeDocument/2006/relationships/hyperlink" Target="https://drive.google.com/file/d/1yNP-w26K0guqmBRK7d_8xjqWRHchmkZA/view?usp=sharing" TargetMode="External"/><Relationship Id="rId25" Type="http://schemas.openxmlformats.org/officeDocument/2006/relationships/hyperlink" Target="https://drive.google.com/file/d/1MrM0-QBJGmwhBvE6puUhiP3VWrvJmQ77/view?usp=sharing" TargetMode="External"/><Relationship Id="rId28" Type="http://schemas.openxmlformats.org/officeDocument/2006/relationships/hyperlink" Target="https://drive.google.com/file/d/1ouA0JmHGp7hxC77Ibt4DHBS3enwmYX6x/view?usp=sharing" TargetMode="External"/><Relationship Id="rId27" Type="http://schemas.openxmlformats.org/officeDocument/2006/relationships/hyperlink" Target="https://drive.google.com/file/d/1vCrHbyDMiRWu3hkmQnKAKd8TD0NIGVtS/view?usp=sharing" TargetMode="External"/><Relationship Id="rId29" Type="http://schemas.openxmlformats.org/officeDocument/2006/relationships/hyperlink" Target="https://drive.google.com/file/d/12erAowYlTP1lOi6DRbwUCZ9eADOjiKV8/view?usp=sharing" TargetMode="External"/><Relationship Id="rId11" Type="http://schemas.openxmlformats.org/officeDocument/2006/relationships/hyperlink" Target="https://drive.google.com/file/d/1kIlnAG7s75YQ5B5b75z92kDKS4jk9F7u/view?usp=sharing" TargetMode="External"/><Relationship Id="rId10" Type="http://schemas.openxmlformats.org/officeDocument/2006/relationships/hyperlink" Target="https://drive.google.com/file/d/1erJ_2kDqIzDqc7aH3xSZH3cQn5pLtHyn/view?usp=sharing" TargetMode="External"/><Relationship Id="rId13" Type="http://schemas.openxmlformats.org/officeDocument/2006/relationships/hyperlink" Target="https://drive.google.com/file/d/1WrCsepww7hG8l17U924jgiqf6Hi97g4H/view?usp=sharing" TargetMode="External"/><Relationship Id="rId12" Type="http://schemas.openxmlformats.org/officeDocument/2006/relationships/hyperlink" Target="https://drive.google.com/file/d/1bwPsSYTxsBoc3N06Z0VWKBu-dpoTVB8Q/view?usp=sharing" TargetMode="External"/><Relationship Id="rId15" Type="http://schemas.openxmlformats.org/officeDocument/2006/relationships/hyperlink" Target="https://drive.google.com/file/d/1ie92wtuW7y-EWuvj73hKPPx64zAMO_dg/view?usp=sharing" TargetMode="External"/><Relationship Id="rId14" Type="http://schemas.openxmlformats.org/officeDocument/2006/relationships/hyperlink" Target="https://drive.google.com/file/d/1RZicBludZaVkYYBdXw4dUDa1XOOoYD1f/view?usp=sharing" TargetMode="External"/><Relationship Id="rId17" Type="http://schemas.openxmlformats.org/officeDocument/2006/relationships/hyperlink" Target="https://drive.google.com/file/d/1uCtiQBM85LVFUiNoW_HzREytNraoySuw/view?usp=sharing" TargetMode="External"/><Relationship Id="rId16" Type="http://schemas.openxmlformats.org/officeDocument/2006/relationships/hyperlink" Target="https://drive.google.com/file/d/1s5m3bn2Za71PlebajMyNYzWrhE29m3q6/view?usp=sharing" TargetMode="External"/><Relationship Id="rId19" Type="http://schemas.openxmlformats.org/officeDocument/2006/relationships/hyperlink" Target="https://drive.google.com/file/d/1B20q2OnNjcX0ae1tULkaBfO_Z5dDf3F2/view?usp=sharing" TargetMode="External"/><Relationship Id="rId18" Type="http://schemas.openxmlformats.org/officeDocument/2006/relationships/hyperlink" Target="https://drive.google.com/file/d/1ITcguNFCKyycxwkV1qJBgyt2fn_hkg2L/view?usp=sharing" TargetMode="External"/><Relationship Id="rId84" Type="http://schemas.openxmlformats.org/officeDocument/2006/relationships/hyperlink" Target="https://drive.google.com/file/d/1cVfymvWtGhMtOtVa7DGt6CznHb4Rnxe1/view?usp=sharing" TargetMode="External"/><Relationship Id="rId83" Type="http://schemas.openxmlformats.org/officeDocument/2006/relationships/hyperlink" Target="https://drive.google.com/file/d/1AS3VDs4gOx931TZGHO1yugkheb_Cj-YI/view?usp=sharing" TargetMode="External"/><Relationship Id="rId86" Type="http://schemas.openxmlformats.org/officeDocument/2006/relationships/hyperlink" Target="https://drive.google.com/file/d/1SbgBdCVRJ52Uh8ZbvusLn8eeqOfBiMwL/view?usp=sharing" TargetMode="External"/><Relationship Id="rId85" Type="http://schemas.openxmlformats.org/officeDocument/2006/relationships/hyperlink" Target="https://drive.google.com/file/d/1TxMOqA6nlddFT92bUVT0_IMW4HKrSPbj/view?usp=sharing" TargetMode="External"/><Relationship Id="rId88" Type="http://schemas.openxmlformats.org/officeDocument/2006/relationships/hyperlink" Target="https://drive.google.com/file/d/1FcSwYmTy8lybTGNEJXov1Q2fRyI6m516/view?usp=sharing" TargetMode="External"/><Relationship Id="rId87" Type="http://schemas.openxmlformats.org/officeDocument/2006/relationships/hyperlink" Target="https://drive.google.com/file/d/1NWbnJ1MtKYJnpAL1fZOZwP_u4oEFeffV/view?usp=sharing" TargetMode="External"/><Relationship Id="rId89" Type="http://schemas.openxmlformats.org/officeDocument/2006/relationships/hyperlink" Target="https://drive.google.com/file/d/1q_AHC7aZi6QHxAmnztL75VE_RQCmWtOQ/view?usp=sharing" TargetMode="External"/><Relationship Id="rId80" Type="http://schemas.openxmlformats.org/officeDocument/2006/relationships/hyperlink" Target="https://drive.google.com/file/d/1cYJ_I4Wz2fkEZFCCL-XLN6zgtGBGdY5O/view?usp=sharing" TargetMode="External"/><Relationship Id="rId82" Type="http://schemas.openxmlformats.org/officeDocument/2006/relationships/hyperlink" Target="https://drive.google.com/file/d/1dMDfrhfdgQ7twYvHs8F2Qkg3r0mI6TiW/view?usp=sharing" TargetMode="External"/><Relationship Id="rId81" Type="http://schemas.openxmlformats.org/officeDocument/2006/relationships/hyperlink" Target="https://drive.google.com/file/d/1lhGIcffAfofcpSk8Tt_wIzpUrjEHPmpr/view?usp=sharing" TargetMode="External"/><Relationship Id="rId73" Type="http://schemas.openxmlformats.org/officeDocument/2006/relationships/hyperlink" Target="https://drive.google.com/file/d/1yvlhwOtvAlbM0tclDQG9jMkKa_5wIF-D/view?usp=sharing" TargetMode="External"/><Relationship Id="rId72" Type="http://schemas.openxmlformats.org/officeDocument/2006/relationships/hyperlink" Target="https://drive.google.com/file/d/1-PXKBX90Tnkwzjh96hhd7mv2paGswPb7/view?usp=sharing" TargetMode="External"/><Relationship Id="rId75" Type="http://schemas.openxmlformats.org/officeDocument/2006/relationships/hyperlink" Target="https://drive.google.com/file/d/1EIZUgRVTY1DRgAOSDlqHZPJXFMY1mkLb/view?usp=sharing" TargetMode="External"/><Relationship Id="rId74" Type="http://schemas.openxmlformats.org/officeDocument/2006/relationships/hyperlink" Target="https://drive.google.com/file/d/1T5-jZA04DEaOBqaMIWDRqDGnZ4TWtiqn/view?usp=sharing" TargetMode="External"/><Relationship Id="rId77" Type="http://schemas.openxmlformats.org/officeDocument/2006/relationships/hyperlink" Target="https://drive.google.com/file/d/1D9WVL2MSW4fAPaSadwnHKzrt77qa1mIZ/view?usp=sharing" TargetMode="External"/><Relationship Id="rId76" Type="http://schemas.openxmlformats.org/officeDocument/2006/relationships/hyperlink" Target="https://drive.google.com/file/d/1DxAqGUQ4DhoW50BxN3P_taz5dxYggA5e/view?usp=sharing" TargetMode="External"/><Relationship Id="rId79" Type="http://schemas.openxmlformats.org/officeDocument/2006/relationships/hyperlink" Target="https://drive.google.com/file/d/1-T8P0X_XW94rs_G6rW8WlrthzTh_vwXh/view?usp=sharing" TargetMode="External"/><Relationship Id="rId78" Type="http://schemas.openxmlformats.org/officeDocument/2006/relationships/hyperlink" Target="https://drive.google.com/file/d/1yn1TFUBdOlPLDrzYE5FMZYZcaBaAiA96/view?usp=sharing" TargetMode="External"/><Relationship Id="rId71" Type="http://schemas.openxmlformats.org/officeDocument/2006/relationships/hyperlink" Target="https://drive.google.com/file/d/13UCGvOCiMqmz1nnYngdsdK6ta6B_41zE/view?usp=sharing" TargetMode="External"/><Relationship Id="rId70" Type="http://schemas.openxmlformats.org/officeDocument/2006/relationships/hyperlink" Target="https://drive.google.com/file/d/1MUpnnSNuhM0sviH1uzPIJh9A7oSF45z3/view?usp=sharing" TargetMode="External"/><Relationship Id="rId62" Type="http://schemas.openxmlformats.org/officeDocument/2006/relationships/hyperlink" Target="https://drive.google.com/file/d/1Y9TGpb1w_9b9fzVmUnuUtDRSOFQa39v9/view?usp=sharing" TargetMode="External"/><Relationship Id="rId61" Type="http://schemas.openxmlformats.org/officeDocument/2006/relationships/hyperlink" Target="https://drive.google.com/file/d/1b-VHPm4cxgNqrB8EWgjwu2tlxgnx6g9f/view?usp=sharing" TargetMode="External"/><Relationship Id="rId64" Type="http://schemas.openxmlformats.org/officeDocument/2006/relationships/hyperlink" Target="https://drive.google.com/file/d/1-vAtb09YCAOASl44g1E3XtzkNWBVjKfk/view?usp=sharing" TargetMode="External"/><Relationship Id="rId63" Type="http://schemas.openxmlformats.org/officeDocument/2006/relationships/hyperlink" Target="https://drive.google.com/file/d/1uQ9ap-lygS60xQt56G6p505m6FeeUzHE/view?usp=sharing" TargetMode="External"/><Relationship Id="rId66" Type="http://schemas.openxmlformats.org/officeDocument/2006/relationships/hyperlink" Target="https://drive.google.com/file/d/18RgjkUAH-XnObexYscjJTLlG9GOPcAzH/view?usp=sharing" TargetMode="External"/><Relationship Id="rId65" Type="http://schemas.openxmlformats.org/officeDocument/2006/relationships/hyperlink" Target="https://drive.google.com/file/d/18lCvpcTvEJt7VhPzmwwB8TsgTBCOfp0O/view?usp=sharing" TargetMode="External"/><Relationship Id="rId68" Type="http://schemas.openxmlformats.org/officeDocument/2006/relationships/hyperlink" Target="https://drive.google.com/file/d/1S7n4eDhk8e2adDqWwxTF5sqe0GujY_rD/view?usp=sharing" TargetMode="External"/><Relationship Id="rId67" Type="http://schemas.openxmlformats.org/officeDocument/2006/relationships/hyperlink" Target="https://drive.google.com/file/d/13jjQCsVsQJsSKpzL_a4ppwLRkufYGdDj/view?usp=sharing" TargetMode="External"/><Relationship Id="rId60" Type="http://schemas.openxmlformats.org/officeDocument/2006/relationships/hyperlink" Target="https://drive.google.com/file/d/1oH4WZil4E16oMkNTr0aMluTb2OadxLhY/view?usp=sharing" TargetMode="External"/><Relationship Id="rId69" Type="http://schemas.openxmlformats.org/officeDocument/2006/relationships/hyperlink" Target="https://drive.google.com/file/d/1dKn6d3Fr_3mKlT9uF24QqacZHWpqdvYc/view?usp=sharing" TargetMode="External"/><Relationship Id="rId51" Type="http://schemas.openxmlformats.org/officeDocument/2006/relationships/hyperlink" Target="https://drive.google.com/file/d/1Gg6_JMiaIGsnDHNml-P4UHDaOiFSmGnf/view?usp=sharing" TargetMode="External"/><Relationship Id="rId50" Type="http://schemas.openxmlformats.org/officeDocument/2006/relationships/hyperlink" Target="https://drive.google.com/file/d/1Qjv5rfjJ7-jyPhEl02kOqg_hNbl68FM-/view?usp=sharing" TargetMode="External"/><Relationship Id="rId53" Type="http://schemas.openxmlformats.org/officeDocument/2006/relationships/hyperlink" Target="https://drive.google.com/file/d/1YD8YOU8emDAL9DP2jJeSIS9dPKOxvQxZ/view?usp=sharing" TargetMode="External"/><Relationship Id="rId52" Type="http://schemas.openxmlformats.org/officeDocument/2006/relationships/hyperlink" Target="https://drive.google.com/file/d/1AgwmBN1GnodMt5MCeZfceiRI3VyUanyd/view?usp=sharing" TargetMode="External"/><Relationship Id="rId55" Type="http://schemas.openxmlformats.org/officeDocument/2006/relationships/hyperlink" Target="https://drive.google.com/file/d/1OtFRPRwlmxWE0CT9vnF8Sm8wj2kBzjdL/view?usp=sharing" TargetMode="External"/><Relationship Id="rId54" Type="http://schemas.openxmlformats.org/officeDocument/2006/relationships/hyperlink" Target="https://drive.google.com/file/d/1PEG-46i6MM8E4OlGWQjo9Al2fzd5UTKh/view?usp=sharing" TargetMode="External"/><Relationship Id="rId57" Type="http://schemas.openxmlformats.org/officeDocument/2006/relationships/hyperlink" Target="https://drive.google.com/file/d/16ymTNCDZP3N6UCgo6rwsVePJvWMuZeXG/view?usp=sharing" TargetMode="External"/><Relationship Id="rId56" Type="http://schemas.openxmlformats.org/officeDocument/2006/relationships/hyperlink" Target="https://drive.google.com/file/d/1GFHaAnCcQ3qmpB6Mcjaz4KJ4oZftCBOV/view?usp=sharing" TargetMode="External"/><Relationship Id="rId59" Type="http://schemas.openxmlformats.org/officeDocument/2006/relationships/hyperlink" Target="https://drive.google.com/file/d/1ln6bQ0bXoANXVBmRZqPA_xW55xWyQ878/view?usp=sharing" TargetMode="External"/><Relationship Id="rId58" Type="http://schemas.openxmlformats.org/officeDocument/2006/relationships/hyperlink" Target="https://drive.google.com/file/d/1Gnzwt5hT3PCKqpScc3X3zUpnDuXRbGjF/view?usp=sharing" TargetMode="External"/><Relationship Id="rId107" Type="http://schemas.openxmlformats.org/officeDocument/2006/relationships/hyperlink" Target="https://drive.google.com/file/d/1xSv-5v-toZ8xt5fFDvajrUwkwT9r48tx/view?usp=sharing" TargetMode="External"/><Relationship Id="rId228" Type="http://schemas.openxmlformats.org/officeDocument/2006/relationships/hyperlink" Target="https://drive.google.com/file/d/1_oZMTMOrmIsllo8PcOFTR0dCUkVJwue0/view?usp=share_link" TargetMode="External"/><Relationship Id="rId106" Type="http://schemas.openxmlformats.org/officeDocument/2006/relationships/hyperlink" Target="https://drive.google.com/file/d/1_fq1M8E93Ba0MtllaImBtA9K0omX81h1/view?usp=sharing" TargetMode="External"/><Relationship Id="rId227" Type="http://schemas.openxmlformats.org/officeDocument/2006/relationships/hyperlink" Target="https://drive.google.com/file/d/1kgiA62mM3oTlI_aRl_LOvkfVg4mmmW2a/view?usp=share_link" TargetMode="External"/><Relationship Id="rId105" Type="http://schemas.openxmlformats.org/officeDocument/2006/relationships/hyperlink" Target="https://drive.google.com/file/d/1PU00HEZH_xy79qMhltj2dhn3f2lP9RV2/view?usp=sharing" TargetMode="External"/><Relationship Id="rId226" Type="http://schemas.openxmlformats.org/officeDocument/2006/relationships/hyperlink" Target="https://drive.google.com/file/d/1rycrdRC-CjxFp0ujV1I4kFjqJCEpJO8-/view?usp=share_link" TargetMode="External"/><Relationship Id="rId104" Type="http://schemas.openxmlformats.org/officeDocument/2006/relationships/hyperlink" Target="https://drive.google.com/file/d/1Clrn_eQrr_ONijat2hbWOKILIlMJSKSg/view?usp=sharing" TargetMode="External"/><Relationship Id="rId225" Type="http://schemas.openxmlformats.org/officeDocument/2006/relationships/hyperlink" Target="https://drive.google.com/file/d/1lASTS9-WI7V3X_Aqwcg3NOttUdmdBwFD/view?usp=share_link" TargetMode="External"/><Relationship Id="rId109" Type="http://schemas.openxmlformats.org/officeDocument/2006/relationships/hyperlink" Target="https://drive.google.com/file/d/1ki-KQpNDn45JAtRgnsKMDpG1S37EtocX/view?usp=sharing" TargetMode="External"/><Relationship Id="rId108" Type="http://schemas.openxmlformats.org/officeDocument/2006/relationships/hyperlink" Target="https://drive.google.com/file/d/1aPJif7LKAmwHtXJKWfb9X4x6u_O_i-zR/view?usp=sharing" TargetMode="External"/><Relationship Id="rId229" Type="http://schemas.openxmlformats.org/officeDocument/2006/relationships/hyperlink" Target="https://drive.google.com/file/d/1ju-_QHNU9PxEO0yB7SQyA5bHn-W2khWg/view?usp=share_link" TargetMode="External"/><Relationship Id="rId220" Type="http://schemas.openxmlformats.org/officeDocument/2006/relationships/hyperlink" Target="https://drive.google.com/file/d/1_NcpGt23Q72-_9a820D2SZXpawwNdz7W/view?usp=sharing" TargetMode="External"/><Relationship Id="rId103" Type="http://schemas.openxmlformats.org/officeDocument/2006/relationships/hyperlink" Target="https://drive.google.com/file/d/1X5qNks2i3-RHzgGUuKz0zMG7v5hyWc-r/view?usp=sharing" TargetMode="External"/><Relationship Id="rId224" Type="http://schemas.openxmlformats.org/officeDocument/2006/relationships/hyperlink" Target="https://drive.google.com/file/d/1ixjJP-92VPDADc9WpMFl-_RcJ3-8KBVP/view?usp=share_link" TargetMode="External"/><Relationship Id="rId102" Type="http://schemas.openxmlformats.org/officeDocument/2006/relationships/hyperlink" Target="https://drive.google.com/file/d/12XKUIdT-RTp2_9GihL4ONpbrqE0OVR_4/view?usp=sharing" TargetMode="External"/><Relationship Id="rId223" Type="http://schemas.openxmlformats.org/officeDocument/2006/relationships/hyperlink" Target="https://drive.google.com/file/d/1Vbtd6B1QRCfJiwoIBAyBDk4vaY-BA3JB/view?usp=share_link" TargetMode="External"/><Relationship Id="rId101" Type="http://schemas.openxmlformats.org/officeDocument/2006/relationships/hyperlink" Target="https://drive.google.com/file/d/1VORduxd39c7PbtpzEOsMpji67QkSt37i/view?usp=sharing" TargetMode="External"/><Relationship Id="rId222" Type="http://schemas.openxmlformats.org/officeDocument/2006/relationships/hyperlink" Target="https://drive.google.com/file/d/1L6Ucx2C6QjyGwuHyydUWwAX2cxseAyku/view?usp=share_link" TargetMode="External"/><Relationship Id="rId100" Type="http://schemas.openxmlformats.org/officeDocument/2006/relationships/hyperlink" Target="https://drive.google.com/file/d/1m3v_UveyGj-UbME0irue5L5ZpKju_vCz/view?usp=sharing" TargetMode="External"/><Relationship Id="rId221" Type="http://schemas.openxmlformats.org/officeDocument/2006/relationships/hyperlink" Target="https://drive.google.com/file/d/18JCjjyQNyJ4hIgp1AsdT1Wo5lC1AKZj2/view?usp=sharing" TargetMode="External"/><Relationship Id="rId217" Type="http://schemas.openxmlformats.org/officeDocument/2006/relationships/hyperlink" Target="https://drive.google.com/file/d/13ejpnmfpLthlF9Xohvo3nT5sMPIQ8O6S/view?usp=sharing" TargetMode="External"/><Relationship Id="rId216" Type="http://schemas.openxmlformats.org/officeDocument/2006/relationships/hyperlink" Target="https://drive.google.com/file/d/1NAL_-5JNB9wa9Sw8jgMFG3ufFVQjcVPE/view?usp=sharing" TargetMode="External"/><Relationship Id="rId215" Type="http://schemas.openxmlformats.org/officeDocument/2006/relationships/hyperlink" Target="https://drive.google.com/file/d/1KOO-tUxFKH1fj32mPVC1Jyw0L4v4pVws/view?usp=sharing" TargetMode="External"/><Relationship Id="rId214" Type="http://schemas.openxmlformats.org/officeDocument/2006/relationships/hyperlink" Target="https://drive.google.com/file/d/1M4N4qIv-MwV2wxOe9Y08S__QiSgDbTW7/view?usp=sharing" TargetMode="External"/><Relationship Id="rId219" Type="http://schemas.openxmlformats.org/officeDocument/2006/relationships/hyperlink" Target="https://drive.google.com/file/d/1QV4WJUViEgefMWzccng1U8EinAx60Ejc/view?usp=sharing" TargetMode="External"/><Relationship Id="rId218" Type="http://schemas.openxmlformats.org/officeDocument/2006/relationships/hyperlink" Target="https://drive.google.com/file/d/142txsRR-4KpLFpOLbwi83HCq49rK4MZU/view?usp=sharing" TargetMode="External"/><Relationship Id="rId213" Type="http://schemas.openxmlformats.org/officeDocument/2006/relationships/hyperlink" Target="https://drive.google.com/file/d/1zBFqfutBF_iPwv6meEx-7bKvF36Q3El6/view?usp=sharing" TargetMode="External"/><Relationship Id="rId212" Type="http://schemas.openxmlformats.org/officeDocument/2006/relationships/hyperlink" Target="https://drive.google.com/file/d/1rFAKnwWarcp7os7mhQGVeiqOa0IOFL1t/view?usp=sharing" TargetMode="External"/><Relationship Id="rId211" Type="http://schemas.openxmlformats.org/officeDocument/2006/relationships/hyperlink" Target="https://drive.google.com/file/d/19Pjx2pEzEqZc7cAcYi-2UvH5aqTJryl2/view?usp=sharing" TargetMode="External"/><Relationship Id="rId210" Type="http://schemas.openxmlformats.org/officeDocument/2006/relationships/hyperlink" Target="https://drive.google.com/file/d/1StiI1pA23IdOgWSUGacjrL2fftxj1Ytn/view?usp=sharing" TargetMode="External"/><Relationship Id="rId129" Type="http://schemas.openxmlformats.org/officeDocument/2006/relationships/hyperlink" Target="https://drive.google.com/file/d/1xfKT4__1nq3ify2Otj-Xg-Z4j7_r3QjL/view?usp=sharing" TargetMode="External"/><Relationship Id="rId128" Type="http://schemas.openxmlformats.org/officeDocument/2006/relationships/hyperlink" Target="https://drive.google.com/file/d/1z4CsmwQVcxwOHpvMYDfiDLv1sr8bXg0r/view?usp=sharing" TargetMode="External"/><Relationship Id="rId249" Type="http://schemas.openxmlformats.org/officeDocument/2006/relationships/hyperlink" Target="https://drive.google.com/file/d/1cCtC92rEQeWeqKlPKohBLCMuxu-DAd36/view?usp=share_link" TargetMode="External"/><Relationship Id="rId127" Type="http://schemas.openxmlformats.org/officeDocument/2006/relationships/hyperlink" Target="https://drive.google.com/file/d/1ad4vBlpKmffo58Sde6GmtWIYAxhQ-kG2/view?usp=sharing" TargetMode="External"/><Relationship Id="rId248" Type="http://schemas.openxmlformats.org/officeDocument/2006/relationships/hyperlink" Target="https://drive.google.com/file/d/1qXbl6SAfkbPupYt92T_Xv0n0eMGaNki9/view?usp=share_link" TargetMode="External"/><Relationship Id="rId126" Type="http://schemas.openxmlformats.org/officeDocument/2006/relationships/hyperlink" Target="https://drive.google.com/file/d/17GEHpCaCcSkaL_wFsm2PvqPhcDroGxr1/view?usp=sharing" TargetMode="External"/><Relationship Id="rId247" Type="http://schemas.openxmlformats.org/officeDocument/2006/relationships/hyperlink" Target="https://drive.google.com/file/d/1jD-TfeYxmskM3bIRSP-ga40UlLVcyesC/view?usp=share_link" TargetMode="External"/><Relationship Id="rId121" Type="http://schemas.openxmlformats.org/officeDocument/2006/relationships/hyperlink" Target="https://drive.google.com/file/d/1c987BJZaQGy62qMnDua3mv3IwDvdwPqh/view?usp=sharing" TargetMode="External"/><Relationship Id="rId242" Type="http://schemas.openxmlformats.org/officeDocument/2006/relationships/hyperlink" Target="https://drive.google.com/file/d/19ZU0nW6g9lCWnZM0LoZ2nfKmIChV52FQ/view?usp=share_link" TargetMode="External"/><Relationship Id="rId120" Type="http://schemas.openxmlformats.org/officeDocument/2006/relationships/hyperlink" Target="https://drive.google.com/file/d/1jdaI_1ox519E45-2g8wY9xyHBqoow1ou/view?usp=sharing" TargetMode="External"/><Relationship Id="rId241" Type="http://schemas.openxmlformats.org/officeDocument/2006/relationships/hyperlink" Target="https://drive.google.com/file/d/19-2CR7V20dbrTmQSCcMkx1xDEFZUCYee/view?usp=share_link" TargetMode="External"/><Relationship Id="rId240" Type="http://schemas.openxmlformats.org/officeDocument/2006/relationships/hyperlink" Target="https://drive.google.com/file/d/1s4kwIP9DxDfmgxJE2C_f2y-76nsTgyWf/view?usp=share_link" TargetMode="External"/><Relationship Id="rId125" Type="http://schemas.openxmlformats.org/officeDocument/2006/relationships/hyperlink" Target="https://drive.google.com/file/d/1edsWeiFCN6kgyZTN6gy6XuGvX7D08PtJ/view?usp=sharing" TargetMode="External"/><Relationship Id="rId246" Type="http://schemas.openxmlformats.org/officeDocument/2006/relationships/hyperlink" Target="https://drive.google.com/file/d/1bvkPhLYTXRpzs8jtmQWgP2krdUFTaw5a/view?usp=share_link" TargetMode="External"/><Relationship Id="rId124" Type="http://schemas.openxmlformats.org/officeDocument/2006/relationships/hyperlink" Target="https://drive.google.com/file/d/1N2IK-xwnu6hdC_LgLpH8gbWu_uB_5Rfh/view?usp=sharing" TargetMode="External"/><Relationship Id="rId245" Type="http://schemas.openxmlformats.org/officeDocument/2006/relationships/hyperlink" Target="https://drive.google.com/file/d/1mcDQRGZPPKoGFMM-xRi87ntLkgtM12E0/view?usp=share_link" TargetMode="External"/><Relationship Id="rId123" Type="http://schemas.openxmlformats.org/officeDocument/2006/relationships/hyperlink" Target="https://drive.google.com/file/d/1jO03D-Pkg5jKrVgyHbirvtHW_Fgn2CTK/view?usp=sharing" TargetMode="External"/><Relationship Id="rId244" Type="http://schemas.openxmlformats.org/officeDocument/2006/relationships/hyperlink" Target="https://drive.google.com/file/d/1DnBQPXewCFUMdDZhVLKRKZSvWqasPP2p/view?usp=share_link" TargetMode="External"/><Relationship Id="rId122" Type="http://schemas.openxmlformats.org/officeDocument/2006/relationships/hyperlink" Target="https://drive.google.com/file/d/1WQFPJPO-MlTlMOuRlTfs5RQHJlg3A-VT/view?usp=sharing" TargetMode="External"/><Relationship Id="rId243" Type="http://schemas.openxmlformats.org/officeDocument/2006/relationships/hyperlink" Target="https://drive.google.com/file/d/1Y1z1HTqiBv98FYFs4CvDY0rWG5DpTmCj/view?usp=share_link" TargetMode="External"/><Relationship Id="rId95" Type="http://schemas.openxmlformats.org/officeDocument/2006/relationships/hyperlink" Target="https://drive.google.com/file/d/1InImH09RbdWnDrxSUHr8hPvpm4i5tc98/view?usp=sharing" TargetMode="External"/><Relationship Id="rId94" Type="http://schemas.openxmlformats.org/officeDocument/2006/relationships/hyperlink" Target="https://drive.google.com/file/d/164NfXeLQ_Y721H8BfgMqxsVnIaVmMuPy/view?usp=sharing" TargetMode="External"/><Relationship Id="rId97" Type="http://schemas.openxmlformats.org/officeDocument/2006/relationships/hyperlink" Target="https://drive.google.com/file/d/1h_hMcGdTljKihaX4gLnoRq7Qhoylh-PX/view?usp=sharing" TargetMode="External"/><Relationship Id="rId96" Type="http://schemas.openxmlformats.org/officeDocument/2006/relationships/hyperlink" Target="https://drive.google.com/file/d/1uoMZu0THOI5LMv_Py_RwgV-ay8uU8Hqe/view?usp=sharing" TargetMode="External"/><Relationship Id="rId99" Type="http://schemas.openxmlformats.org/officeDocument/2006/relationships/hyperlink" Target="https://drive.google.com/file/d/1h95ndy7ZpLCFwp7brLYkViOMp7EnEyy-/view?usp=sharing" TargetMode="External"/><Relationship Id="rId98" Type="http://schemas.openxmlformats.org/officeDocument/2006/relationships/hyperlink" Target="https://drive.google.com/file/d/19Qe8g4Kdls__xmjeDOJmS1oEagVAKM8b/view?usp=sharing" TargetMode="External"/><Relationship Id="rId91" Type="http://schemas.openxmlformats.org/officeDocument/2006/relationships/hyperlink" Target="https://drive.google.com/file/d/1EfFuWgqBRsm5BdSFLYB-2dwm3lqj9X8h/view?usp=sharing" TargetMode="External"/><Relationship Id="rId90" Type="http://schemas.openxmlformats.org/officeDocument/2006/relationships/hyperlink" Target="https://drive.google.com/file/d/16V2dHsvBgCk0Oab7P7Yc9GfMJLf9Z57c/view?usp=sharing" TargetMode="External"/><Relationship Id="rId93" Type="http://schemas.openxmlformats.org/officeDocument/2006/relationships/hyperlink" Target="https://drive.google.com/file/d/1TgOs-Iuhy74chwhfkcwcabtq8StZa51Q/view?usp=sharing" TargetMode="External"/><Relationship Id="rId92" Type="http://schemas.openxmlformats.org/officeDocument/2006/relationships/hyperlink" Target="https://drive.google.com/file/d/1ZA5M9BAt2Ok98XwS5QQbXcSymnmiHw76/view?usp=sharing" TargetMode="External"/><Relationship Id="rId118" Type="http://schemas.openxmlformats.org/officeDocument/2006/relationships/hyperlink" Target="https://drive.google.com/file/d/1z7yQs9ROr6Ve2OuhLHkd__fvvDypyDlE/view?usp=sharing" TargetMode="External"/><Relationship Id="rId239" Type="http://schemas.openxmlformats.org/officeDocument/2006/relationships/hyperlink" Target="https://drive.google.com/file/d/1C99gRbmtQ-hXVnSrvmWqsSU8CYa7na67/view?usp=share_link" TargetMode="External"/><Relationship Id="rId117" Type="http://schemas.openxmlformats.org/officeDocument/2006/relationships/hyperlink" Target="https://drive.google.com/file/d/1X-p_Eqy9zRAT4Idlj2DhFWIqiytnM7Mi/view?usp=sharing" TargetMode="External"/><Relationship Id="rId238" Type="http://schemas.openxmlformats.org/officeDocument/2006/relationships/hyperlink" Target="https://drive.google.com/file/d/1X8OvM6xSr6XqmEcE8t0C2HtDpJg0Uc0z/view?usp=share_link" TargetMode="External"/><Relationship Id="rId116" Type="http://schemas.openxmlformats.org/officeDocument/2006/relationships/hyperlink" Target="https://drive.google.com/file/d/1yp4LLn7EhbDnwdnR3xlkV_OuT1QhPoPz/view?usp=sharing" TargetMode="External"/><Relationship Id="rId237" Type="http://schemas.openxmlformats.org/officeDocument/2006/relationships/hyperlink" Target="https://drive.google.com/file/d/1lFhclfqkj2bjkJcuH1ZuFzWZvhazeyXj/view?usp=share_link" TargetMode="External"/><Relationship Id="rId115" Type="http://schemas.openxmlformats.org/officeDocument/2006/relationships/hyperlink" Target="https://drive.google.com/file/d/12AbZnWUA1YVDlz48cVtIk0-ryQ-zdvF-/view?usp=sharing" TargetMode="External"/><Relationship Id="rId236" Type="http://schemas.openxmlformats.org/officeDocument/2006/relationships/hyperlink" Target="https://drive.google.com/file/d/1Zrz9pLPNVS4T8JBg-7fsyfP66S-rkEMT/view?usp=share_link" TargetMode="External"/><Relationship Id="rId119" Type="http://schemas.openxmlformats.org/officeDocument/2006/relationships/hyperlink" Target="https://drive.google.com/file/d/1wk9YaNAKgcuvWymC9nCE8I9lL01JKWI9/view?usp=sharing" TargetMode="External"/><Relationship Id="rId110" Type="http://schemas.openxmlformats.org/officeDocument/2006/relationships/hyperlink" Target="https://drive.google.com/file/d/1XVJ8KWoLTZXM_hPqaswb0xFGjO6_t6zb/view?usp=sharing" TargetMode="External"/><Relationship Id="rId231" Type="http://schemas.openxmlformats.org/officeDocument/2006/relationships/hyperlink" Target="https://drive.google.com/file/d/1TjxMWC2WsAsSDu3x-CNVL-jfIwY_77t_/view?usp=share_link" TargetMode="External"/><Relationship Id="rId230" Type="http://schemas.openxmlformats.org/officeDocument/2006/relationships/hyperlink" Target="https://drive.google.com/file/d/1-InFg70WARZrPU2A88e14pAv6LV01rTB/view?usp=share_link" TargetMode="External"/><Relationship Id="rId114" Type="http://schemas.openxmlformats.org/officeDocument/2006/relationships/hyperlink" Target="https://drive.google.com/file/d/1nTCSmiTfe4BwtH3iuXCdeQO8RcVGeCa7/view?usp=sharing" TargetMode="External"/><Relationship Id="rId235" Type="http://schemas.openxmlformats.org/officeDocument/2006/relationships/hyperlink" Target="https://drive.google.com/file/d/1Wb98dN7LudUA7U5mNK_DQOMTdtKvNZ-Z/view?usp=share_link" TargetMode="External"/><Relationship Id="rId113" Type="http://schemas.openxmlformats.org/officeDocument/2006/relationships/hyperlink" Target="https://drive.google.com/file/d/17fGLKn9gH6vX87RgntCAjN0kRJkJil47/view?usp=sharing" TargetMode="External"/><Relationship Id="rId234" Type="http://schemas.openxmlformats.org/officeDocument/2006/relationships/hyperlink" Target="https://drive.google.com/file/d/1zFnlPk-jdFfBF-JSBT-KWcHjRGrOi13Z/view?usp=share_link" TargetMode="External"/><Relationship Id="rId112" Type="http://schemas.openxmlformats.org/officeDocument/2006/relationships/hyperlink" Target="https://drive.google.com/file/d/1p2VK5fG1SaeTUDIvybLDfzzrxDUPh_OI/view?usp=sharing" TargetMode="External"/><Relationship Id="rId233" Type="http://schemas.openxmlformats.org/officeDocument/2006/relationships/hyperlink" Target="https://drive.google.com/file/d/1pJXIjEiYgTzhErfCp0wQueYdvMO29TJn/view?usp=share_link" TargetMode="External"/><Relationship Id="rId111" Type="http://schemas.openxmlformats.org/officeDocument/2006/relationships/hyperlink" Target="https://drive.google.com/file/d/1Qxo8JZq7O7V50HFugglfk-VDE1zL6suS/view?usp=sharing" TargetMode="External"/><Relationship Id="rId232" Type="http://schemas.openxmlformats.org/officeDocument/2006/relationships/hyperlink" Target="https://drive.google.com/file/d/16P6pzZyaAGr_zc0HxVrQz3OkWwkNav6l/view?usp=share_link" TargetMode="External"/><Relationship Id="rId302" Type="http://schemas.openxmlformats.org/officeDocument/2006/relationships/drawing" Target="../drawings/drawing16.xml"/><Relationship Id="rId301" Type="http://schemas.openxmlformats.org/officeDocument/2006/relationships/hyperlink" Target="https://drive.google.com/file/d/18KXnJr-utcjt3kQ9zC5gxgDuJ0v2u-Q4/view?usp=share_link" TargetMode="External"/><Relationship Id="rId300" Type="http://schemas.openxmlformats.org/officeDocument/2006/relationships/hyperlink" Target="https://drive.google.com/file/d/1sbofACKtmg-8ngQyfddAt-7lTdckbPDs/view?usp=share_link" TargetMode="External"/><Relationship Id="rId206" Type="http://schemas.openxmlformats.org/officeDocument/2006/relationships/hyperlink" Target="https://drive.google.com/file/d/1AteYSQj7higGLqsUtIXrHM0E-JJmxH6f/view?usp=sharing" TargetMode="External"/><Relationship Id="rId205" Type="http://schemas.openxmlformats.org/officeDocument/2006/relationships/hyperlink" Target="https://drive.google.com/file/d/1MiOukBwif_9SqhcPXSIN-MUDFaUBN-ah/view?usp=sharing" TargetMode="External"/><Relationship Id="rId204" Type="http://schemas.openxmlformats.org/officeDocument/2006/relationships/hyperlink" Target="https://drive.google.com/file/d/1LWwhIVlAGjH7BGWVhLnhQfaLaOZl8KZ3/view?usp=sharing" TargetMode="External"/><Relationship Id="rId203" Type="http://schemas.openxmlformats.org/officeDocument/2006/relationships/hyperlink" Target="https://drive.google.com/file/d/1DzHMm_0el6aO67Lfqe6upXyGYhvO7oft/view?usp=sharing" TargetMode="External"/><Relationship Id="rId209" Type="http://schemas.openxmlformats.org/officeDocument/2006/relationships/hyperlink" Target="https://drive.google.com/file/d/1RncG11Li0s9VEtyl06qfLQ-jpFBstgXa/view?usp=sharing" TargetMode="External"/><Relationship Id="rId208" Type="http://schemas.openxmlformats.org/officeDocument/2006/relationships/hyperlink" Target="https://drive.google.com/file/d/19YT8I38B55aQaJBqziBoEl_TfMDYb_Ih/view?usp=sharing" TargetMode="External"/><Relationship Id="rId207" Type="http://schemas.openxmlformats.org/officeDocument/2006/relationships/hyperlink" Target="https://drive.google.com/file/d/1LNJoyXcEsSEieJIbxD_vwYUQpO3k97qa/view?usp=sharing" TargetMode="External"/><Relationship Id="rId202" Type="http://schemas.openxmlformats.org/officeDocument/2006/relationships/hyperlink" Target="https://drive.google.com/file/d/1m4yOG6R4p9TNnslN9EGrUDi87udTgNkQ/view?usp=sharing" TargetMode="External"/><Relationship Id="rId201" Type="http://schemas.openxmlformats.org/officeDocument/2006/relationships/hyperlink" Target="https://drive.google.com/file/d/1wpyOFGBku6LsQf7kh7W8rcDVxizcADya/view?usp=sharing" TargetMode="External"/><Relationship Id="rId200" Type="http://schemas.openxmlformats.org/officeDocument/2006/relationships/hyperlink" Target="https://drive.google.com/file/d/1PrvHSADu2uOKP-s3l7m5W9xZ1GknVOWR/view?usp=sharing"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W3nJRuPXZqJ2RF-LmMt3BzaWbnx8z-qI/view?usp=sharing" TargetMode="External"/><Relationship Id="rId2" Type="http://schemas.openxmlformats.org/officeDocument/2006/relationships/hyperlink" Target="https://drive.google.com/file/d/1mShFvdNzK0oh8ipWOmWb0H7kQAMHGt9O/view?usp=sharing" TargetMode="External"/><Relationship Id="rId3" Type="http://schemas.openxmlformats.org/officeDocument/2006/relationships/hyperlink" Target="https://drive.google.com/file/d/1JPLl1K6cOPBUvf1lNar-Lx702Xb9lonb/view?usp=sharing" TargetMode="External"/><Relationship Id="rId4" Type="http://schemas.openxmlformats.org/officeDocument/2006/relationships/hyperlink" Target="https://drive.google.com/file/d/1rEn1kV-paTxmJUVBJwwp3W97yGf4aI6e/view?usp=sharing" TargetMode="External"/><Relationship Id="rId9" Type="http://schemas.openxmlformats.org/officeDocument/2006/relationships/hyperlink" Target="https://drive.google.com/file/d/1RduqG9Wp2u_llaFsXUQ6-djzM0VXsAlP/view?usp=sharing" TargetMode="External"/><Relationship Id="rId5" Type="http://schemas.openxmlformats.org/officeDocument/2006/relationships/hyperlink" Target="https://drive.google.com/file/d/15CHj3rzAHsvVSyOwZMMj4VpePPzIEgti/view?usp=sharing" TargetMode="External"/><Relationship Id="rId6" Type="http://schemas.openxmlformats.org/officeDocument/2006/relationships/hyperlink" Target="https://drive.google.com/file/d/1srhDxBeOBcR9jCTfF4XYOmw2ZUc67pvE/view?usp=sharing" TargetMode="External"/><Relationship Id="rId7" Type="http://schemas.openxmlformats.org/officeDocument/2006/relationships/hyperlink" Target="https://drive.google.com/file/d/11-mVQ-mhKaX0WlUV998uJfoTdEo9igFc/view?usp=sharing" TargetMode="External"/><Relationship Id="rId8" Type="http://schemas.openxmlformats.org/officeDocument/2006/relationships/hyperlink" Target="https://drive.google.com/file/d/1_uqa3UKE0uDgkln_V60t88uQOCjz00vb/view?usp=sharing" TargetMode="External"/><Relationship Id="rId40" Type="http://schemas.openxmlformats.org/officeDocument/2006/relationships/hyperlink" Target="https://drive.google.com/file/d/1xZwcPDUS-yBKFB9SBTjsL1nCdxGxi16x/view?usp=sharing" TargetMode="External"/><Relationship Id="rId42" Type="http://schemas.openxmlformats.org/officeDocument/2006/relationships/hyperlink" Target="https://drive.google.com/file/d/1zxIL8H1ZY-CIlkYyDTyBtdR3qRp4v20v/view?usp=sharing" TargetMode="External"/><Relationship Id="rId41" Type="http://schemas.openxmlformats.org/officeDocument/2006/relationships/hyperlink" Target="https://drive.google.com/file/d/1wfOfbL17NVCdzBoW0YjVf6EREh0HjcHB/view?usp=sharing" TargetMode="External"/><Relationship Id="rId44" Type="http://schemas.openxmlformats.org/officeDocument/2006/relationships/hyperlink" Target="https://drive.google.com/file/d/16pFAb7VVZRu61AdUUpS4Y0IYn-lPXw9v/view?usp=sharing" TargetMode="External"/><Relationship Id="rId43" Type="http://schemas.openxmlformats.org/officeDocument/2006/relationships/hyperlink" Target="https://drive.google.com/file/d/119i1QTi1OP_lShUJ_12d73cSqGJEiYXz/view?usp=sharing" TargetMode="External"/><Relationship Id="rId46" Type="http://schemas.openxmlformats.org/officeDocument/2006/relationships/hyperlink" Target="https://drive.google.com/file/d/1etH32vVtA7NgoJOwlMloIuM_3GG4uVll/view?usp=sharing" TargetMode="External"/><Relationship Id="rId45" Type="http://schemas.openxmlformats.org/officeDocument/2006/relationships/hyperlink" Target="https://drive.google.com/file/d/1b2imRGodadQmoMAyl-RNa6PYyoxm_j51/view?usp=sharing" TargetMode="External"/><Relationship Id="rId48" Type="http://schemas.openxmlformats.org/officeDocument/2006/relationships/hyperlink" Target="https://drive.google.com/file/d/1wiL4uUyO_jf6nIa5Ozo7MOKEiS1ecKSt/view?usp=sharing" TargetMode="External"/><Relationship Id="rId47" Type="http://schemas.openxmlformats.org/officeDocument/2006/relationships/hyperlink" Target="https://drive.google.com/file/d/1I8CakC_AGoxoqU_IkP7f3nhB-i1Iwq_r/view?usp=sharing" TargetMode="External"/><Relationship Id="rId49" Type="http://schemas.openxmlformats.org/officeDocument/2006/relationships/hyperlink" Target="https://drive.google.com/file/d/19tIJwHIa0Y5ou2Z0Xxk_F6rhnd9FciTV/view?usp=sharing" TargetMode="External"/><Relationship Id="rId31" Type="http://schemas.openxmlformats.org/officeDocument/2006/relationships/hyperlink" Target="https://drive.google.com/file/d/11hr_fZT5OqQgETtDZEKTU4yCW4RXjhlo/view?usp=sharing" TargetMode="External"/><Relationship Id="rId30" Type="http://schemas.openxmlformats.org/officeDocument/2006/relationships/hyperlink" Target="https://drive.google.com/file/d/1uzfPo3CDV9-3ft_qMwfL4snAHPDnq568/view?usp=sharing" TargetMode="External"/><Relationship Id="rId33" Type="http://schemas.openxmlformats.org/officeDocument/2006/relationships/hyperlink" Target="https://drive.google.com/file/d/1krofLyHGt8xDxY0s-xACZmJFTg-adsCR/view?usp=sharing" TargetMode="External"/><Relationship Id="rId32" Type="http://schemas.openxmlformats.org/officeDocument/2006/relationships/hyperlink" Target="https://drive.google.com/file/d/1Eqfm-5RHHo8meJ0UhQHOC3QNhT1ONPku/view?usp=sharing" TargetMode="External"/><Relationship Id="rId35" Type="http://schemas.openxmlformats.org/officeDocument/2006/relationships/hyperlink" Target="https://drive.google.com/file/d/10tX9tHxelC8EirTIJBSfqr1-e-tvRMIn/view?usp=sharing" TargetMode="External"/><Relationship Id="rId34" Type="http://schemas.openxmlformats.org/officeDocument/2006/relationships/hyperlink" Target="https://drive.google.com/file/d/1OE0pL0qU7m26lUvilh0wlUx9nUOiOM6n/view?usp=sharing" TargetMode="External"/><Relationship Id="rId37" Type="http://schemas.openxmlformats.org/officeDocument/2006/relationships/hyperlink" Target="https://drive.google.com/file/d/1nD1JrR2oSuWr8HiFt9BzZf6owoOE4aIx/view?usp=sharing" TargetMode="External"/><Relationship Id="rId36" Type="http://schemas.openxmlformats.org/officeDocument/2006/relationships/hyperlink" Target="https://drive.google.com/file/d/1qmmDk0Nnrt642LCg-9HZONiwl8ihTpxS/view?usp=sharing" TargetMode="External"/><Relationship Id="rId39" Type="http://schemas.openxmlformats.org/officeDocument/2006/relationships/hyperlink" Target="https://drive.google.com/file/d/16lfuClrrS6A4tcMTs2QrAhgxPxDPIDHD/view?usp=sharing" TargetMode="External"/><Relationship Id="rId38" Type="http://schemas.openxmlformats.org/officeDocument/2006/relationships/hyperlink" Target="https://drive.google.com/file/d/1DtBKh2grHMLQ_lkUrS7mb8cav8PQ0Bn4/view?usp=sharing" TargetMode="External"/><Relationship Id="rId20" Type="http://schemas.openxmlformats.org/officeDocument/2006/relationships/hyperlink" Target="https://drive.google.com/file/d/1DQKlUZoMpVwgDmlOfr-LFep-U7XyUYrY/view?usp=sharing" TargetMode="External"/><Relationship Id="rId22" Type="http://schemas.openxmlformats.org/officeDocument/2006/relationships/hyperlink" Target="https://drive.google.com/file/d/1giiAuw35DYmsJGp1g6l7VIYW4cWBSiui/view?usp=sharing" TargetMode="External"/><Relationship Id="rId21" Type="http://schemas.openxmlformats.org/officeDocument/2006/relationships/hyperlink" Target="https://drive.google.com/file/d/1beItMB2nRstYuzMwojikf80uCtAlFDAE/view?usp=sharing" TargetMode="External"/><Relationship Id="rId24" Type="http://schemas.openxmlformats.org/officeDocument/2006/relationships/hyperlink" Target="https://drive.google.com/file/d/1KcWRzNIYG67bBPb9UjyMyRHL9luQJYvm/view?usp=sharing" TargetMode="External"/><Relationship Id="rId23" Type="http://schemas.openxmlformats.org/officeDocument/2006/relationships/hyperlink" Target="https://drive.google.com/file/d/14ZZIq8Ive2gLyJPvpBnQQTMivbO-q4Hg/view?usp=sharing" TargetMode="External"/><Relationship Id="rId26" Type="http://schemas.openxmlformats.org/officeDocument/2006/relationships/hyperlink" Target="https://drive.google.com/file/d/1o08o6M-bNCIA5mS0plnM_BBtUF4uMTDZ/view?usp=sharing" TargetMode="External"/><Relationship Id="rId25" Type="http://schemas.openxmlformats.org/officeDocument/2006/relationships/hyperlink" Target="https://drive.google.com/file/d/10wFanCWzUKFA81PhWkKQpyblnt7jY1VS/view?usp=sharing" TargetMode="External"/><Relationship Id="rId28" Type="http://schemas.openxmlformats.org/officeDocument/2006/relationships/hyperlink" Target="https://drive.google.com/file/d/19rIml-JL47UAa6_MNth5Ew8mHbWogiLP/view?usp=sharing" TargetMode="External"/><Relationship Id="rId27" Type="http://schemas.openxmlformats.org/officeDocument/2006/relationships/hyperlink" Target="https://drive.google.com/file/d/1sXNStIwtf_-P_6-huCXvDiJpL09CDCay/view?usp=sharing" TargetMode="External"/><Relationship Id="rId29" Type="http://schemas.openxmlformats.org/officeDocument/2006/relationships/hyperlink" Target="https://drive.google.com/file/d/140_onMy4fwNTYQ6dgW3IDDBfBMSl7diT/view?usp=sharing" TargetMode="External"/><Relationship Id="rId11" Type="http://schemas.openxmlformats.org/officeDocument/2006/relationships/hyperlink" Target="https://drive.google.com/file/d/1ApjxIu4-d5NIAv_H9N9Q3OqVLgwzPbh8/view?usp=sharing" TargetMode="External"/><Relationship Id="rId10" Type="http://schemas.openxmlformats.org/officeDocument/2006/relationships/hyperlink" Target="https://drive.google.com/file/d/1shHNjOuL_yRTgdzTb2B7-iQkA7Y8hMSa/view?usp=sharing" TargetMode="External"/><Relationship Id="rId13" Type="http://schemas.openxmlformats.org/officeDocument/2006/relationships/hyperlink" Target="https://drive.google.com/file/d/1Wv-Rn5tcoRImNvpaZ2qwx08w2Z50GtOF/view?usp=sharing" TargetMode="External"/><Relationship Id="rId12" Type="http://schemas.openxmlformats.org/officeDocument/2006/relationships/hyperlink" Target="https://drive.google.com/file/d/1FHIvoNyEZ0QN48Om9ZUPnYLIXhYWw6Lr/view?usp=sharing" TargetMode="External"/><Relationship Id="rId15" Type="http://schemas.openxmlformats.org/officeDocument/2006/relationships/hyperlink" Target="https://drive.google.com/file/d/1-5kagxAsaeW2GX4IDZIbW2QhS0bVIAkj/view?usp=sharing" TargetMode="External"/><Relationship Id="rId14" Type="http://schemas.openxmlformats.org/officeDocument/2006/relationships/hyperlink" Target="https://drive.google.com/file/d/1rscmNbhuEqMNvKDRv3E2B1NVSENePMhi/view?usp=sharing" TargetMode="External"/><Relationship Id="rId17" Type="http://schemas.openxmlformats.org/officeDocument/2006/relationships/hyperlink" Target="https://drive.google.com/file/d/1KuLUq_XfOmfGfjC3ed4wqdQrYz_Y5zBF/view?usp=sharing" TargetMode="External"/><Relationship Id="rId16" Type="http://schemas.openxmlformats.org/officeDocument/2006/relationships/hyperlink" Target="https://drive.google.com/file/d/1FiPIIrsRSRQijTYs0Z4aI5r8CdMwsXql/view?usp=sharing" TargetMode="External"/><Relationship Id="rId19" Type="http://schemas.openxmlformats.org/officeDocument/2006/relationships/hyperlink" Target="https://drive.google.com/file/d/1UetfsoSYF-VCx5we6Dp4U1dzRU9CWFD9/view?usp=sharing" TargetMode="External"/><Relationship Id="rId18" Type="http://schemas.openxmlformats.org/officeDocument/2006/relationships/hyperlink" Target="https://drive.google.com/file/d/1_mtAVqyL8PzEvYPbvBBjvK9b44Fqlv4I/view?usp=sharing" TargetMode="External"/><Relationship Id="rId84" Type="http://schemas.openxmlformats.org/officeDocument/2006/relationships/drawing" Target="../drawings/drawing17.xml"/><Relationship Id="rId83" Type="http://schemas.openxmlformats.org/officeDocument/2006/relationships/hyperlink" Target="https://drive.google.com/file/d/1GpNjTS7kci8y9T25K7h9Ron-T6hqxk4S/view?usp=share_link" TargetMode="External"/><Relationship Id="rId80" Type="http://schemas.openxmlformats.org/officeDocument/2006/relationships/hyperlink" Target="https://drive.google.com/file/d/1ZPPJwE3BEJeJOR9XXVlpy4BIHB-bYO_e/view?usp=share_link" TargetMode="External"/><Relationship Id="rId82" Type="http://schemas.openxmlformats.org/officeDocument/2006/relationships/hyperlink" Target="https://drive.google.com/file/d/1UlCFll4RHJP5qGQhds6fX2tv6M-MJFoU/view?usp=share_link" TargetMode="External"/><Relationship Id="rId81" Type="http://schemas.openxmlformats.org/officeDocument/2006/relationships/hyperlink" Target="https://drive.google.com/file/d/1rR055g2eG1JtA_XRxXzmopTr--i2fNIE/view?usp=share_link" TargetMode="External"/><Relationship Id="rId73" Type="http://schemas.openxmlformats.org/officeDocument/2006/relationships/hyperlink" Target="https://drive.google.com/file/d/1cbzG44HgUknqKOPMS6b2C5w3U1WYsHDc/view?usp=share_link" TargetMode="External"/><Relationship Id="rId72" Type="http://schemas.openxmlformats.org/officeDocument/2006/relationships/hyperlink" Target="https://drive.google.com/file/d/11vE1PgXvnJM7HNFdVycffxdTShe578yl/view?usp=share_link" TargetMode="External"/><Relationship Id="rId75" Type="http://schemas.openxmlformats.org/officeDocument/2006/relationships/hyperlink" Target="https://drive.google.com/file/d/10EG4ET_VgRlu10itQn6lWCEKXrL245hK/view?usp=share_link" TargetMode="External"/><Relationship Id="rId74" Type="http://schemas.openxmlformats.org/officeDocument/2006/relationships/hyperlink" Target="https://drive.google.com/file/d/1-O9-j-pQltHUSAo-NbvhyGN1tB0RIF6X/view?usp=share_link" TargetMode="External"/><Relationship Id="rId77" Type="http://schemas.openxmlformats.org/officeDocument/2006/relationships/hyperlink" Target="https://drive.google.com/file/d/16CzjjLnq2VxFj3M1XoJh-nc1LjmbxCn0/view?usp=share_link" TargetMode="External"/><Relationship Id="rId76" Type="http://schemas.openxmlformats.org/officeDocument/2006/relationships/hyperlink" Target="https://drive.google.com/file/d/19QwfXIidtJ_e_iVReaYaXXSgh5U_1SvM/view?usp=share_link" TargetMode="External"/><Relationship Id="rId79" Type="http://schemas.openxmlformats.org/officeDocument/2006/relationships/hyperlink" Target="https://drive.google.com/file/d/1cQHzWIM2H-sD3NS3fTHR5ZFKQnkbMm6v/view?usp=share_link" TargetMode="External"/><Relationship Id="rId78" Type="http://schemas.openxmlformats.org/officeDocument/2006/relationships/hyperlink" Target="https://drive.google.com/file/d/1ygtNS0Di9j2ceWRqJwWUvHKZGonoH5iM/view?usp=share_link" TargetMode="External"/><Relationship Id="rId71" Type="http://schemas.openxmlformats.org/officeDocument/2006/relationships/hyperlink" Target="https://drive.google.com/file/d/1eV_kdHVsCbo75QgB_fxVLsxPAlgqRfGS/view?usp=share_link" TargetMode="External"/><Relationship Id="rId70" Type="http://schemas.openxmlformats.org/officeDocument/2006/relationships/hyperlink" Target="https://drive.google.com/file/d/1Xd-JiU37Qn5faNnp08x_8rHbw_aKVZTn/view?usp=share_link" TargetMode="External"/><Relationship Id="rId62" Type="http://schemas.openxmlformats.org/officeDocument/2006/relationships/hyperlink" Target="https://drive.google.com/file/d/1fxJdFifhgwe8CwKxmSnn35oqWUaiHAXC/view?usp=share_link" TargetMode="External"/><Relationship Id="rId61" Type="http://schemas.openxmlformats.org/officeDocument/2006/relationships/hyperlink" Target="https://drive.google.com/file/d/1sYz0SkZbshw5rXdbUUG3ZeSyfCFHnkNI/view?usp=share_link" TargetMode="External"/><Relationship Id="rId64" Type="http://schemas.openxmlformats.org/officeDocument/2006/relationships/hyperlink" Target="https://drive.google.com/file/d/1GppYu1Hth5UF_fJ8PWH6rh7Ha1-1iDeV/view?usp=share_link" TargetMode="External"/><Relationship Id="rId63" Type="http://schemas.openxmlformats.org/officeDocument/2006/relationships/hyperlink" Target="https://drive.google.com/file/d/19085_sU0oB3EqkVyL84QZyfPWhhkMIv2/view?usp=share_link" TargetMode="External"/><Relationship Id="rId66" Type="http://schemas.openxmlformats.org/officeDocument/2006/relationships/hyperlink" Target="https://drive.google.com/file/d/1qO7ipOseVejFNe-fdhfa4wNiToTqNpLP/view?usp=share_link" TargetMode="External"/><Relationship Id="rId65" Type="http://schemas.openxmlformats.org/officeDocument/2006/relationships/hyperlink" Target="https://drive.google.com/file/d/1rHPbrOMGCeN4cD1KORRZ3Tki19DlzZ5X/view?usp=share_link" TargetMode="External"/><Relationship Id="rId68" Type="http://schemas.openxmlformats.org/officeDocument/2006/relationships/hyperlink" Target="https://drive.google.com/file/d/1BenGAYEX5QQ-aGVeKgRBTBKaPD5ImU85/view?usp=share_link" TargetMode="External"/><Relationship Id="rId67" Type="http://schemas.openxmlformats.org/officeDocument/2006/relationships/hyperlink" Target="https://drive.google.com/file/d/1eBqiGOnulAbeNOOXudBi7h24y7awoJGE/view?usp=share_link" TargetMode="External"/><Relationship Id="rId60" Type="http://schemas.openxmlformats.org/officeDocument/2006/relationships/hyperlink" Target="https://drive.google.com/file/d/1ud2qMRNJUpoo8-kvdvvDr7D5Ds7zo0yE/view?usp=share_link" TargetMode="External"/><Relationship Id="rId69" Type="http://schemas.openxmlformats.org/officeDocument/2006/relationships/hyperlink" Target="https://drive.google.com/file/d/1zBa--0K1UrTtBrhKT9_vpS84tGy650__/view?usp=share_link" TargetMode="External"/><Relationship Id="rId51" Type="http://schemas.openxmlformats.org/officeDocument/2006/relationships/hyperlink" Target="https://drive.google.com/file/d/1Urfy8PeFcfTtOaiy3Ud4lL58B48WyAk5/view?usp=drive_link" TargetMode="External"/><Relationship Id="rId50" Type="http://schemas.openxmlformats.org/officeDocument/2006/relationships/hyperlink" Target="https://drive.google.com/file/d/1jPMECRBhX-g0Z0kZ-15X1etgBe_d50xt/view?usp=sharing" TargetMode="External"/><Relationship Id="rId53" Type="http://schemas.openxmlformats.org/officeDocument/2006/relationships/hyperlink" Target="https://drive.google.com/file/d/1pbhup0qJydf7oJjvFpopZtAP1j9dmuTm/view?usp=sharing" TargetMode="External"/><Relationship Id="rId52" Type="http://schemas.openxmlformats.org/officeDocument/2006/relationships/hyperlink" Target="https://drive.google.com/file/d/1qUiDF8ru5Hs-dv5Hzmvt_6uawk6NmDQC/view?usp=sharing" TargetMode="External"/><Relationship Id="rId55" Type="http://schemas.openxmlformats.org/officeDocument/2006/relationships/hyperlink" Target="https://drive.google.com/file/d/19nXrvAQcEdqBW6N_64UGHSvzAunZO03W/view?usp=share_link" TargetMode="External"/><Relationship Id="rId54" Type="http://schemas.openxmlformats.org/officeDocument/2006/relationships/hyperlink" Target="https://cwportal.stgusa.com/warehousingSTG/warehousing?event=TRACKING_RUN" TargetMode="External"/><Relationship Id="rId57" Type="http://schemas.openxmlformats.org/officeDocument/2006/relationships/hyperlink" Target="https://drive.google.com/file/d/18U_EjEN4tikeMY15w_ioxURy_vHKnbqy/view?usp=share_link" TargetMode="External"/><Relationship Id="rId56" Type="http://schemas.openxmlformats.org/officeDocument/2006/relationships/hyperlink" Target="https://drive.google.com/file/d/1bwkosuqFU9mWvW6AnzOGXPeIyKtk3unz/view?usp=share_link" TargetMode="External"/><Relationship Id="rId59" Type="http://schemas.openxmlformats.org/officeDocument/2006/relationships/hyperlink" Target="https://drive.google.com/file/d/1s5MAGpqQKbGE2lD5gVKEk9uon_gge2Bs/view?usp=share_link" TargetMode="External"/><Relationship Id="rId58" Type="http://schemas.openxmlformats.org/officeDocument/2006/relationships/hyperlink" Target="https://drive.google.com/file/d/1ajlf2_l2njtAyzXn0sW_cAYnjJp6ZizC/view?usp=share_link"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90" Type="http://schemas.openxmlformats.org/officeDocument/2006/relationships/hyperlink" Target="https://drive.google.com/file/d/1BG-anlNJGFN_Wl0U5K1BqBmyoK_TeQfu/view?usp=sharing" TargetMode="External"/><Relationship Id="rId194" Type="http://schemas.openxmlformats.org/officeDocument/2006/relationships/hyperlink" Target="https://drive.google.com/file/d/1YOf1UQZHkGW7O0v4vEEWG1-A-C6D5Kne/view?usp=sharing" TargetMode="External"/><Relationship Id="rId193" Type="http://schemas.openxmlformats.org/officeDocument/2006/relationships/hyperlink" Target="https://drive.google.com/file/d/1MiMNQv9wTh9XNDHYjmtVfUHGWPA6aiYz/view?usp=sharing" TargetMode="External"/><Relationship Id="rId192" Type="http://schemas.openxmlformats.org/officeDocument/2006/relationships/hyperlink" Target="https://drive.google.com/file/d/1JlwWHDWeVNcsTYLE-S364fDmVoJ5G3mo/view?usp=sharing" TargetMode="External"/><Relationship Id="rId191" Type="http://schemas.openxmlformats.org/officeDocument/2006/relationships/hyperlink" Target="https://drive.google.com/file/d/1NJc6M_IflECFSKRojZvtl3gZm0R2-DsK/view?usp=sharing" TargetMode="External"/><Relationship Id="rId187" Type="http://schemas.openxmlformats.org/officeDocument/2006/relationships/hyperlink" Target="https://drive.google.com/file/d/10pzHJ8tJolmXhon1qvelaxPHX0K6Vo_4/view?usp=sharing" TargetMode="External"/><Relationship Id="rId186" Type="http://schemas.openxmlformats.org/officeDocument/2006/relationships/hyperlink" Target="https://drive.google.com/file/d/1o2FUHuuLNktBVs0pw47DJZpSYu-KTp6_/view?usp=sharing" TargetMode="External"/><Relationship Id="rId185" Type="http://schemas.openxmlformats.org/officeDocument/2006/relationships/hyperlink" Target="https://drive.google.com/file/d/1vZkMe2qCVmGfF3pRud4tF7O4W-ybfAab/view?usp=sharing" TargetMode="External"/><Relationship Id="rId184" Type="http://schemas.openxmlformats.org/officeDocument/2006/relationships/hyperlink" Target="https://drive.google.com/file/d/1ktmDaupRlbxu9NRJmk9nYZSBlc8ldL_P/view?usp=sharing" TargetMode="External"/><Relationship Id="rId189" Type="http://schemas.openxmlformats.org/officeDocument/2006/relationships/hyperlink" Target="https://drive.google.com/file/d/1XHFULQfB6ZPXGKHFDhrwfVO20xtVAXFA/view?usp=sharing" TargetMode="External"/><Relationship Id="rId188" Type="http://schemas.openxmlformats.org/officeDocument/2006/relationships/hyperlink" Target="https://drive.google.com/file/d/1GJE2a1XEskzEfGhy3oeK9LYsIqZF2Nan/view?usp=sharing" TargetMode="External"/><Relationship Id="rId183" Type="http://schemas.openxmlformats.org/officeDocument/2006/relationships/hyperlink" Target="https://drive.google.com/file/d/1p3nqO_N1SasXeKpqH0-tWFQ3RVS9MXH-/view?usp=sharing" TargetMode="External"/><Relationship Id="rId182" Type="http://schemas.openxmlformats.org/officeDocument/2006/relationships/hyperlink" Target="https://drive.google.com/file/d/1Y-lRp2aVf-mkTBxMeO1P6A7UcCCVXkLM/view?usp=sharing" TargetMode="External"/><Relationship Id="rId181" Type="http://schemas.openxmlformats.org/officeDocument/2006/relationships/hyperlink" Target="https://drive.google.com/file/d/1RmuAMHJ3YQ7lkDbEIMh15V1WW8J9CJM6/view?usp=sharing" TargetMode="External"/><Relationship Id="rId180" Type="http://schemas.openxmlformats.org/officeDocument/2006/relationships/hyperlink" Target="https://drive.google.com/file/d/1lsADjKCMrBE9iETGm7971QWVkNs0DlOw/view?usp=sharing" TargetMode="External"/><Relationship Id="rId176" Type="http://schemas.openxmlformats.org/officeDocument/2006/relationships/hyperlink" Target="https://drive.google.com/file/d/10xcOXeZVTEcci5QAYG-u3wUaRHD1J_UD/view?usp=sharing" TargetMode="External"/><Relationship Id="rId297" Type="http://schemas.openxmlformats.org/officeDocument/2006/relationships/hyperlink" Target="https://drive.google.com/file/d/1JxzGvJyjDlFoXqwXPsaXzL-uMuNQSo1p/view?usp=sharing" TargetMode="External"/><Relationship Id="rId175" Type="http://schemas.openxmlformats.org/officeDocument/2006/relationships/hyperlink" Target="https://drive.google.com/file/d/1GTcs0sAIrlKAK8sTSZQ5QxLUrRRRDu1X/view?usp=sharing" TargetMode="External"/><Relationship Id="rId296" Type="http://schemas.openxmlformats.org/officeDocument/2006/relationships/hyperlink" Target="https://drive.google.com/file/d/1pvDnwXqeswmLlJSL3vgVGbrrfjwDvCKz/view?usp=sharing" TargetMode="External"/><Relationship Id="rId174" Type="http://schemas.openxmlformats.org/officeDocument/2006/relationships/hyperlink" Target="https://drive.google.com/file/d/1nDVeVqTn248IoTMZi-9iFX-nJVABJ1W9/view?usp=sharing" TargetMode="External"/><Relationship Id="rId295" Type="http://schemas.openxmlformats.org/officeDocument/2006/relationships/hyperlink" Target="https://drive.google.com/file/d/1_qBOqBxBmFwkmtaTODTjI5XywFbv5WmK/view?usp=sharing" TargetMode="External"/><Relationship Id="rId173" Type="http://schemas.openxmlformats.org/officeDocument/2006/relationships/hyperlink" Target="https://drive.google.com/file/d/1cuEVtxZOvJ6x3BKqyIveW2t1ENTSt3a0/view?usp=sharing" TargetMode="External"/><Relationship Id="rId294" Type="http://schemas.openxmlformats.org/officeDocument/2006/relationships/hyperlink" Target="https://drive.google.com/file/d/13FKt3Okup4Ai79wjLaXgcg2E3vDP9Par/view?usp=sharing" TargetMode="External"/><Relationship Id="rId179" Type="http://schemas.openxmlformats.org/officeDocument/2006/relationships/hyperlink" Target="https://drive.google.com/file/d/1-mf8Yax5Xsqr4-wjn7rJatWfC__gYl3g/view?usp=sharing" TargetMode="External"/><Relationship Id="rId178" Type="http://schemas.openxmlformats.org/officeDocument/2006/relationships/hyperlink" Target="https://drive.google.com/file/d/1vqfnRlf8vuA7a3ojUUxsWt5VwXUQDHAk/view?usp=sharing" TargetMode="External"/><Relationship Id="rId299" Type="http://schemas.openxmlformats.org/officeDocument/2006/relationships/hyperlink" Target="https://drive.google.com/file/d/1Ea50gKOzTcC5W4XsVUW9NQTXW6t_6hfY/view?usp=sharing" TargetMode="External"/><Relationship Id="rId177" Type="http://schemas.openxmlformats.org/officeDocument/2006/relationships/hyperlink" Target="https://drive.google.com/file/d/12d9aHoWv5ZS-W0ctbfBRr57FJTYZQC_b/view?usp=sharing" TargetMode="External"/><Relationship Id="rId298" Type="http://schemas.openxmlformats.org/officeDocument/2006/relationships/hyperlink" Target="https://drive.google.com/file/d/1hEZISNqFzM6J59tfttTAzDr2lNEetGmq/view?usp=sharing" TargetMode="External"/><Relationship Id="rId198" Type="http://schemas.openxmlformats.org/officeDocument/2006/relationships/hyperlink" Target="https://drive.google.com/file/d/1qtLTs9Vmi3IKNEuplJU9G1Jzyu92x9J9/view?usp=sharing" TargetMode="External"/><Relationship Id="rId197" Type="http://schemas.openxmlformats.org/officeDocument/2006/relationships/hyperlink" Target="https://drive.google.com/file/d/1tQfdgvT4G6NOkiNI-eLpp3Z3Rnu0xHbP/view?usp=sharing" TargetMode="External"/><Relationship Id="rId196" Type="http://schemas.openxmlformats.org/officeDocument/2006/relationships/hyperlink" Target="https://drive.google.com/file/d/1fa-rziRHLkb5Bofhzt1aMdYdYidm7PIr/view?usp=sharing" TargetMode="External"/><Relationship Id="rId195" Type="http://schemas.openxmlformats.org/officeDocument/2006/relationships/hyperlink" Target="https://drive.google.com/file/d/1pvilMM9YCbBIVqTeAxc5LvM3tkRobVeb/view?usp=sharing" TargetMode="External"/><Relationship Id="rId199" Type="http://schemas.openxmlformats.org/officeDocument/2006/relationships/hyperlink" Target="https://drive.google.com/file/d/1t3ExCoP_hPQXvv3ceveNAMTrsUygwNG7/view?usp=sharing" TargetMode="External"/><Relationship Id="rId150" Type="http://schemas.openxmlformats.org/officeDocument/2006/relationships/hyperlink" Target="https://drive.google.com/file/d/1q2cuVrvRDPof3WDHShEOI694x2zEx4tk/view?usp=sharing" TargetMode="External"/><Relationship Id="rId271" Type="http://schemas.openxmlformats.org/officeDocument/2006/relationships/hyperlink" Target="https://drive.google.com/file/d/1RJxphGgAhiiAzIvL-makh6-Ca4I_B1Ih/view?usp=sharing" TargetMode="External"/><Relationship Id="rId392" Type="http://schemas.openxmlformats.org/officeDocument/2006/relationships/hyperlink" Target="https://drive.google.com/file/d/1T1IbPrBHW8MyK7KwpFWURchSqmQKe6j8/view?usp=sharing" TargetMode="External"/><Relationship Id="rId270" Type="http://schemas.openxmlformats.org/officeDocument/2006/relationships/hyperlink" Target="https://drive.google.com/file/d/1LPmHwvq0d7J0xwYYKDOqgtrhSYyCybB9/view?usp=sharing" TargetMode="External"/><Relationship Id="rId391" Type="http://schemas.openxmlformats.org/officeDocument/2006/relationships/hyperlink" Target="https://drive.google.com/file/d/1falH4cl6hqh_qcN1kmketa0PBBEeUggD/view?usp=sharing" TargetMode="External"/><Relationship Id="rId390" Type="http://schemas.openxmlformats.org/officeDocument/2006/relationships/hyperlink" Target="https://drive.google.com/file/d/1bFS04aQc_BlPNEww4tZha5gvCILsjMUg/view?usp=sharing" TargetMode="External"/><Relationship Id="rId1" Type="http://schemas.openxmlformats.org/officeDocument/2006/relationships/hyperlink" Target="https://drive.google.com/file/d/1cBKHZiW1rjCzTz4JeTayH83EirZsyrPo/view?usp=sharing" TargetMode="External"/><Relationship Id="rId2" Type="http://schemas.openxmlformats.org/officeDocument/2006/relationships/hyperlink" Target="https://drive.google.com/file/d/16geCkWxDggmts511JY9R-qvJPMvT7Jnj/view?usp=sharing" TargetMode="External"/><Relationship Id="rId3" Type="http://schemas.openxmlformats.org/officeDocument/2006/relationships/hyperlink" Target="https://drive.google.com/file/d/1VgDvFaasmVVHIXgZIZ1Otl_UfkuKs0Hr/view?usp=sharing" TargetMode="External"/><Relationship Id="rId149" Type="http://schemas.openxmlformats.org/officeDocument/2006/relationships/hyperlink" Target="https://drive.google.com/file/d/1tALQmrmj75VfZGeGMXjUcf8U5D7OX1VF/view?usp=sharing" TargetMode="External"/><Relationship Id="rId4" Type="http://schemas.openxmlformats.org/officeDocument/2006/relationships/hyperlink" Target="https://drive.google.com/file/d/1PD7vMhGql1NYHVsKNJvgscqoc4hK9J36/view?usp=sharing" TargetMode="External"/><Relationship Id="rId148" Type="http://schemas.openxmlformats.org/officeDocument/2006/relationships/hyperlink" Target="https://drive.google.com/file/d/1mEheE6uCuXrVDq9OiUiqEN8FgCNi1TRN/view?usp=sharing" TargetMode="External"/><Relationship Id="rId269" Type="http://schemas.openxmlformats.org/officeDocument/2006/relationships/hyperlink" Target="https://drive.google.com/file/d/1yXZ1-uTZxqFCM1b7jHnRHUKtDSrtxqIx/view?usp=sharing" TargetMode="External"/><Relationship Id="rId9" Type="http://schemas.openxmlformats.org/officeDocument/2006/relationships/hyperlink" Target="https://drive.google.com/file/d/1VcQGUyzeNhJlbtTOgw2kLiea1WwbKHEG/view?usp=sharing" TargetMode="External"/><Relationship Id="rId143" Type="http://schemas.openxmlformats.org/officeDocument/2006/relationships/hyperlink" Target="https://drive.google.com/file/d/1r8DioaQM5DU1XonI5Vaw1sm1nYpT5L1B/view?usp=sharing" TargetMode="External"/><Relationship Id="rId264" Type="http://schemas.openxmlformats.org/officeDocument/2006/relationships/hyperlink" Target="https://drive.google.com/file/d/1gPKO4oxHLUTfmCh_CrIJcC7GHVdAyMKk/view?usp=sharing" TargetMode="External"/><Relationship Id="rId385" Type="http://schemas.openxmlformats.org/officeDocument/2006/relationships/hyperlink" Target="https://drive.google.com/file/d/1xpxWCGRVIT6QMakuZWgd3wCw8-hy9io-/view?usp=sharing" TargetMode="External"/><Relationship Id="rId142" Type="http://schemas.openxmlformats.org/officeDocument/2006/relationships/hyperlink" Target="https://drive.google.com/file/d/1iK-286YW-GqRrP7aJMUTcuTBh8K56QDP/view?usp=sharing" TargetMode="External"/><Relationship Id="rId263" Type="http://schemas.openxmlformats.org/officeDocument/2006/relationships/hyperlink" Target="https://drive.google.com/file/d/13qWwg7FCrkCp12XWZBSz4Qkat-U04Lx5/view?usp=sharing" TargetMode="External"/><Relationship Id="rId384" Type="http://schemas.openxmlformats.org/officeDocument/2006/relationships/hyperlink" Target="https://drive.google.com/file/d/1S0hLJEqix5hV7vmc39F74aV-skDm61p4/view?usp=sharing" TargetMode="External"/><Relationship Id="rId141" Type="http://schemas.openxmlformats.org/officeDocument/2006/relationships/hyperlink" Target="https://drive.google.com/file/d/1l0EcY4fXe6j_FlNQFxNtr09xZnBZ6Y6k/view?usp=sharing" TargetMode="External"/><Relationship Id="rId262" Type="http://schemas.openxmlformats.org/officeDocument/2006/relationships/hyperlink" Target="https://drive.google.com/file/d/1BovjpWyDgK2ID8T9yCEcAclRIWog9GRr/view?usp=sharing" TargetMode="External"/><Relationship Id="rId383" Type="http://schemas.openxmlformats.org/officeDocument/2006/relationships/hyperlink" Target="https://drive.google.com/file/d/1FWY2LqHVZyZxZROvbVv7AlMpPbdTzs3y/view?usp=sharing" TargetMode="External"/><Relationship Id="rId140" Type="http://schemas.openxmlformats.org/officeDocument/2006/relationships/hyperlink" Target="https://drive.google.com/file/d/1VsZiTyXcCKUVskyWk9bCqmBQHzr1Rt3e/view?usp=sharing" TargetMode="External"/><Relationship Id="rId261" Type="http://schemas.openxmlformats.org/officeDocument/2006/relationships/hyperlink" Target="https://drive.google.com/file/d/1qt-GRPkGThxiHgB3lxiRtl275RMDjRm_/view?usp=sharing" TargetMode="External"/><Relationship Id="rId382" Type="http://schemas.openxmlformats.org/officeDocument/2006/relationships/hyperlink" Target="https://drive.google.com/file/d/1FC5lD41wRObmMt0sY4bsBbolZd8xH5jj/view?usp=sharing" TargetMode="External"/><Relationship Id="rId5" Type="http://schemas.openxmlformats.org/officeDocument/2006/relationships/hyperlink" Target="https://drive.google.com/file/d/1wCEHs2oqVOUt9JRuqeF8EiIbOYuvlA9-/view?usp=sharing" TargetMode="External"/><Relationship Id="rId147" Type="http://schemas.openxmlformats.org/officeDocument/2006/relationships/hyperlink" Target="https://drive.google.com/file/d/1bd5e5Qbec-qqy42ubT9MGvhoLDRaWHFz/view?usp=sharing" TargetMode="External"/><Relationship Id="rId268" Type="http://schemas.openxmlformats.org/officeDocument/2006/relationships/hyperlink" Target="https://drive.google.com/file/d/1mo_mbGc7QNZdrgUfosCiGqywtT14zKp5/view?usp=sharing" TargetMode="External"/><Relationship Id="rId389" Type="http://schemas.openxmlformats.org/officeDocument/2006/relationships/hyperlink" Target="https://drive.google.com/file/d/1pR4P-3YRR8qcvTq76Y_AI1RlZC37OOLc/view?usp=sharing" TargetMode="External"/><Relationship Id="rId6" Type="http://schemas.openxmlformats.org/officeDocument/2006/relationships/hyperlink" Target="https://drive.google.com/file/d/19xFGvvaJaCnfyNY-RvAyaBFWLJn9YFIe/view?usp=sharing" TargetMode="External"/><Relationship Id="rId146" Type="http://schemas.openxmlformats.org/officeDocument/2006/relationships/hyperlink" Target="https://drive.google.com/file/d/1wDnxlrcxWyjWXnBbCP2xKG63MwYcdh04/view?usp=sharing" TargetMode="External"/><Relationship Id="rId267" Type="http://schemas.openxmlformats.org/officeDocument/2006/relationships/hyperlink" Target="https://drive.google.com/file/d/1MD7c8LXI7uOzFWHzVoqiW9xZLvTewVIF/view?usp=sharing" TargetMode="External"/><Relationship Id="rId388" Type="http://schemas.openxmlformats.org/officeDocument/2006/relationships/hyperlink" Target="https://drive.google.com/file/d/1XMT-QfaeergxaiS2NIG_BfN5hz2nU7tS/view?usp=sharing" TargetMode="External"/><Relationship Id="rId7" Type="http://schemas.openxmlformats.org/officeDocument/2006/relationships/hyperlink" Target="https://drive.google.com/file/d/1sJApfOCVFQ9SRf_WFVINH5qYMqxUze3L/view?usp=sharing" TargetMode="External"/><Relationship Id="rId145" Type="http://schemas.openxmlformats.org/officeDocument/2006/relationships/hyperlink" Target="https://drive.google.com/file/d/1Ksmygxg0-GmasZDxAkvAGyFwSf9fvcfq/view?usp=sharing" TargetMode="External"/><Relationship Id="rId266" Type="http://schemas.openxmlformats.org/officeDocument/2006/relationships/hyperlink" Target="https://drive.google.com/file/d/1sx1Ck0Ie-DZQrZPrk5ilp7Z4YU0jgidS/view?usp=sharing" TargetMode="External"/><Relationship Id="rId387" Type="http://schemas.openxmlformats.org/officeDocument/2006/relationships/hyperlink" Target="https://drive.google.com/file/d/15r1H1Z_6Uu3zgydIwVDaPg2Gd8qanSSj/view?usp=sharing" TargetMode="External"/><Relationship Id="rId8" Type="http://schemas.openxmlformats.org/officeDocument/2006/relationships/hyperlink" Target="https://drive.google.com/file/d/1w73jjfpxWBikd3x65KSmXCDDDLBYDJyF/view?usp=sharing" TargetMode="External"/><Relationship Id="rId144" Type="http://schemas.openxmlformats.org/officeDocument/2006/relationships/hyperlink" Target="https://drive.google.com/file/d/1UqWCbA0OOMIgYQ2KnuuU2vb8xTQ92Vu8/view?usp=sharing" TargetMode="External"/><Relationship Id="rId265" Type="http://schemas.openxmlformats.org/officeDocument/2006/relationships/hyperlink" Target="https://drive.google.com/file/d/1qUXOEWRNgwurkY1vXkdDuPtQphg5vgte/view?usp=sharing" TargetMode="External"/><Relationship Id="rId386" Type="http://schemas.openxmlformats.org/officeDocument/2006/relationships/hyperlink" Target="https://drive.google.com/file/d/1LjhsWMtmvLx6vb6jGDhDTGKIK-jz-INI/view?usp=sharing" TargetMode="External"/><Relationship Id="rId260" Type="http://schemas.openxmlformats.org/officeDocument/2006/relationships/hyperlink" Target="https://drive.google.com/file/d/1xcH-U1ULUlbcUTEaMdSFUjPhavUxsyab/view?usp=sharing" TargetMode="External"/><Relationship Id="rId381" Type="http://schemas.openxmlformats.org/officeDocument/2006/relationships/hyperlink" Target="https://drive.google.com/file/d/1xOPH85xDPNvxyQIGbE9cGF4aSLx3iY8y/view?usp=sharing" TargetMode="External"/><Relationship Id="rId380" Type="http://schemas.openxmlformats.org/officeDocument/2006/relationships/hyperlink" Target="https://drive.google.com/file/d/1G1bOj4gVRBf-a7JMpa6MZqYGmTA2_J4o/view?usp=sharing" TargetMode="External"/><Relationship Id="rId139" Type="http://schemas.openxmlformats.org/officeDocument/2006/relationships/hyperlink" Target="https://drive.google.com/file/d/1y58iAtdxTAu9vh9BH-ev7QkVgO1wnhIH/view?usp=sharing" TargetMode="External"/><Relationship Id="rId138" Type="http://schemas.openxmlformats.org/officeDocument/2006/relationships/hyperlink" Target="https://drive.google.com/file/d/1KzjktxS9sUoXmDfICVdyAxE8seSprkj_/view?usp=sharing" TargetMode="External"/><Relationship Id="rId259" Type="http://schemas.openxmlformats.org/officeDocument/2006/relationships/hyperlink" Target="https://drive.google.com/file/d/1oDhLAHmQUEqISqN6IzKS7O492v-hKGH0/view?usp=sharing" TargetMode="External"/><Relationship Id="rId137" Type="http://schemas.openxmlformats.org/officeDocument/2006/relationships/hyperlink" Target="https://drive.google.com/file/d/1-o7oCLjWfHXeNYtdWhpqXS8Hh2mIol8a/view?usp=sharing" TargetMode="External"/><Relationship Id="rId258" Type="http://schemas.openxmlformats.org/officeDocument/2006/relationships/hyperlink" Target="https://drive.google.com/file/d/1iytJC3MvrfZ5eszXnklxSSLN5_UnvBap/view?usp=sharing" TargetMode="External"/><Relationship Id="rId379" Type="http://schemas.openxmlformats.org/officeDocument/2006/relationships/hyperlink" Target="https://drive.google.com/file/d/1Szl4isQAaX-fwNdwuB_fNGhS9NzASit1/view?usp=sharing" TargetMode="External"/><Relationship Id="rId132" Type="http://schemas.openxmlformats.org/officeDocument/2006/relationships/hyperlink" Target="https://drive.google.com/file/d/1nK_o8B5dKOzWmCLnPC80Rw_twK2-oAFl/view?usp=sharing" TargetMode="External"/><Relationship Id="rId253" Type="http://schemas.openxmlformats.org/officeDocument/2006/relationships/hyperlink" Target="https://drive.google.com/file/d/1ogmET1zf7R6XfAdgCI3FTdDnh--w7QjX/view?usp=sharing" TargetMode="External"/><Relationship Id="rId374" Type="http://schemas.openxmlformats.org/officeDocument/2006/relationships/hyperlink" Target="https://drive.google.com/file/d/1bVOz1c2HoY-ZmK235Vo-Fh0KK4hA-QJa/view?usp=sharing" TargetMode="External"/><Relationship Id="rId131" Type="http://schemas.openxmlformats.org/officeDocument/2006/relationships/hyperlink" Target="https://drive.google.com/file/d/1M74bh5TIecz5NF_xpwWlh6UvoHDptiRP/view?usp=sharing" TargetMode="External"/><Relationship Id="rId252" Type="http://schemas.openxmlformats.org/officeDocument/2006/relationships/hyperlink" Target="https://drive.google.com/file/d/1t-Ot6v8TdEzym3CTqHju913QEQpZv29o/view?usp=sharing" TargetMode="External"/><Relationship Id="rId373" Type="http://schemas.openxmlformats.org/officeDocument/2006/relationships/hyperlink" Target="https://drive.google.com/file/d/1odPB0i3Q1XS4F9A6LYO1vgbigMKYTyZ6/view?usp=sharing" TargetMode="External"/><Relationship Id="rId130" Type="http://schemas.openxmlformats.org/officeDocument/2006/relationships/hyperlink" Target="https://drive.google.com/file/d/1lOQ6lstzBZqyMZUDk_K_ltKONZWIi3WU/view?usp=sharing" TargetMode="External"/><Relationship Id="rId251" Type="http://schemas.openxmlformats.org/officeDocument/2006/relationships/hyperlink" Target="https://drive.google.com/file/d/1FjehfydoZZnXgm0ZlBVw-rqnZk7PrvHp/view?usp=sharing" TargetMode="External"/><Relationship Id="rId372" Type="http://schemas.openxmlformats.org/officeDocument/2006/relationships/hyperlink" Target="https://drive.google.com/file/d/1r8ZA6x_uGxxYhJZQ3RMJKxu2qrFEwtx_/view?usp=sharing" TargetMode="External"/><Relationship Id="rId250" Type="http://schemas.openxmlformats.org/officeDocument/2006/relationships/hyperlink" Target="https://drive.google.com/file/d/1VnBtI0NWmsOkD7e0cQVNvq8xWNTAq0nR/view?usp=sharing" TargetMode="External"/><Relationship Id="rId371" Type="http://schemas.openxmlformats.org/officeDocument/2006/relationships/hyperlink" Target="https://drive.google.com/file/d/1Doi0aXvmxC4359jtWLpxhvZGVS9DLjhZ/view?usp=sharing" TargetMode="External"/><Relationship Id="rId136" Type="http://schemas.openxmlformats.org/officeDocument/2006/relationships/hyperlink" Target="https://drive.google.com/file/d/1d3n7IwWeSVVfbrNrEtZtBZUgex-9d-2V/view?usp=sharing" TargetMode="External"/><Relationship Id="rId257" Type="http://schemas.openxmlformats.org/officeDocument/2006/relationships/hyperlink" Target="https://drive.google.com/file/d/1razNMrxy8WUyIgw70NXOZcuUhYFVRhhk/view?usp=sharing" TargetMode="External"/><Relationship Id="rId378" Type="http://schemas.openxmlformats.org/officeDocument/2006/relationships/hyperlink" Target="https://drive.google.com/file/d/1eATQbt8-l4dt0zmnMcyqPWbVcYR-mLM3/view?usp=sharing" TargetMode="External"/><Relationship Id="rId135" Type="http://schemas.openxmlformats.org/officeDocument/2006/relationships/hyperlink" Target="https://drive.google.com/file/d/12KcdSttZYti5mQ7OsxJ9u2DZmvq9JDr4/view?usp=sharing" TargetMode="External"/><Relationship Id="rId256" Type="http://schemas.openxmlformats.org/officeDocument/2006/relationships/hyperlink" Target="https://drive.google.com/file/d/1-z3dLmug29TH1Zd3rvTUc4jcgpFm6y9c/view?usp=sharing" TargetMode="External"/><Relationship Id="rId377" Type="http://schemas.openxmlformats.org/officeDocument/2006/relationships/hyperlink" Target="https://drive.google.com/file/d/1hAnTwKwUWIBlSpaao6rD2LpVT2Kx5YG4/view?usp=sharing" TargetMode="External"/><Relationship Id="rId134" Type="http://schemas.openxmlformats.org/officeDocument/2006/relationships/hyperlink" Target="https://drive.google.com/file/d/1qZXpNfZVkDgKSoV8jXaYChW9RQpPEDVM/view?usp=sharing" TargetMode="External"/><Relationship Id="rId255" Type="http://schemas.openxmlformats.org/officeDocument/2006/relationships/hyperlink" Target="https://drive.google.com/file/d/1lKpGNJ0HVWkpH4FvVp4JdJeDPulHVM5l/view?usp=sharing" TargetMode="External"/><Relationship Id="rId376" Type="http://schemas.openxmlformats.org/officeDocument/2006/relationships/hyperlink" Target="https://drive.google.com/file/d/1NINuXU7MzVYv3wRecouYqeTZycuVQjGs/view?usp=sharing" TargetMode="External"/><Relationship Id="rId133" Type="http://schemas.openxmlformats.org/officeDocument/2006/relationships/hyperlink" Target="https://drive.google.com/file/d/1nWcW9gJLdEWkNJYr8G86a95F9Txye9qG/view?usp=sharing" TargetMode="External"/><Relationship Id="rId254" Type="http://schemas.openxmlformats.org/officeDocument/2006/relationships/hyperlink" Target="https://drive.google.com/file/d/1eGL2UUA4kpab-Oj2JG_lcN2UqlL-qBzM/view?usp=sharing" TargetMode="External"/><Relationship Id="rId375" Type="http://schemas.openxmlformats.org/officeDocument/2006/relationships/hyperlink" Target="https://drive.google.com/file/d/1M362vwm-dO_GW58q9fQrEUc2XuA2AuGe/view?usp=sharing" TargetMode="External"/><Relationship Id="rId172" Type="http://schemas.openxmlformats.org/officeDocument/2006/relationships/hyperlink" Target="https://drive.google.com/file/d/13kjItXEXsBtPI6eJr1fudmTtdOoClZ_6/view?usp=sharing" TargetMode="External"/><Relationship Id="rId293" Type="http://schemas.openxmlformats.org/officeDocument/2006/relationships/hyperlink" Target="https://drive.google.com/file/d/1IWOmEC-L9RA-1kML96xjn8xr_ZzTEQ0l/view?usp=sharing" TargetMode="External"/><Relationship Id="rId171" Type="http://schemas.openxmlformats.org/officeDocument/2006/relationships/hyperlink" Target="https://drive.google.com/file/d/13tNYGYj9fdnD411nII4VBiItR7Z7M936/view?usp=sharing" TargetMode="External"/><Relationship Id="rId292" Type="http://schemas.openxmlformats.org/officeDocument/2006/relationships/hyperlink" Target="https://drive.google.com/file/d/1G96TDGvyvkdbJCfdj0hXzJ4O3SZVhOUX/view?usp=sharing" TargetMode="External"/><Relationship Id="rId170" Type="http://schemas.openxmlformats.org/officeDocument/2006/relationships/hyperlink" Target="https://drive.google.com/file/d/1dy1CO4JuK0KcTU5ESAtmpKLG5-yfCTyh/view?usp=sharing" TargetMode="External"/><Relationship Id="rId291" Type="http://schemas.openxmlformats.org/officeDocument/2006/relationships/hyperlink" Target="https://drive.google.com/file/d/1TkX33p7DhbX7ZvI2tvAHZOl3bjINnMRW/view?usp=sharing" TargetMode="External"/><Relationship Id="rId290" Type="http://schemas.openxmlformats.org/officeDocument/2006/relationships/hyperlink" Target="https://drive.google.com/file/d/1KtUeidwtgwQ_w_aKLZgarw8O_zKPO4da/view?usp=sharing" TargetMode="External"/><Relationship Id="rId165" Type="http://schemas.openxmlformats.org/officeDocument/2006/relationships/hyperlink" Target="https://drive.google.com/file/d/1oVJ94Nk0IDsLe9XzVNQ2NYWpjme9ne8Z/view?usp=sharing" TargetMode="External"/><Relationship Id="rId286" Type="http://schemas.openxmlformats.org/officeDocument/2006/relationships/hyperlink" Target="https://drive.google.com/file/d/16hdYF-XGe55Jgnnq2e2xwWhUOXui0uzp/view?usp=sharing" TargetMode="External"/><Relationship Id="rId164" Type="http://schemas.openxmlformats.org/officeDocument/2006/relationships/hyperlink" Target="https://drive.google.com/file/d/1TipL9bVIc6dK6EjtR586xPE3Z2FPSltY/view?usp=sharing" TargetMode="External"/><Relationship Id="rId285" Type="http://schemas.openxmlformats.org/officeDocument/2006/relationships/hyperlink" Target="https://drive.google.com/file/d/1v0jlzSLmjq1TrivBgceTWTG8-8Oaty70/view?usp=sharing" TargetMode="External"/><Relationship Id="rId163" Type="http://schemas.openxmlformats.org/officeDocument/2006/relationships/hyperlink" Target="https://drive.google.com/file/d/1Kz1lmSLLjOK22-KdR7dL9SYy8aRFZezA/view?usp=sharing" TargetMode="External"/><Relationship Id="rId284" Type="http://schemas.openxmlformats.org/officeDocument/2006/relationships/hyperlink" Target="https://drive.google.com/file/d/1F5vtKEp6bPs9x_wyQkhsFQXSti2qF6us/view?usp=sharing" TargetMode="External"/><Relationship Id="rId162" Type="http://schemas.openxmlformats.org/officeDocument/2006/relationships/hyperlink" Target="https://drive.google.com/file/d/1UJi9FQgzOHAZqyVDWe_pDi5ltfoU4VaU/view?usp=sharing" TargetMode="External"/><Relationship Id="rId283" Type="http://schemas.openxmlformats.org/officeDocument/2006/relationships/hyperlink" Target="https://drive.google.com/file/d/13-q4S-QiXyEia9OIhu2GZXI3rKw3VkQv/view?usp=sharing" TargetMode="External"/><Relationship Id="rId169" Type="http://schemas.openxmlformats.org/officeDocument/2006/relationships/hyperlink" Target="https://drive.google.com/file/d/11mjktHp5wWfQrZWEgHFa6TWqEDCxiZD2/view?usp=sharing" TargetMode="External"/><Relationship Id="rId168" Type="http://schemas.openxmlformats.org/officeDocument/2006/relationships/hyperlink" Target="https://drive.google.com/file/d/1Tfw3GFDK0UrH1rC5hNvicxFwpO73cUFg/view?usp=sharing" TargetMode="External"/><Relationship Id="rId289" Type="http://schemas.openxmlformats.org/officeDocument/2006/relationships/hyperlink" Target="https://drive.google.com/file/d/1VOYqRn7m9YetE_C15fUTAoxPKXLOzPOH/view?usp=sharing" TargetMode="External"/><Relationship Id="rId167" Type="http://schemas.openxmlformats.org/officeDocument/2006/relationships/hyperlink" Target="https://drive.google.com/file/d/189Pic2MGjlO1WF6BYTniGCtdiFPXVms8/view?usp=sharing" TargetMode="External"/><Relationship Id="rId288" Type="http://schemas.openxmlformats.org/officeDocument/2006/relationships/hyperlink" Target="https://drive.google.com/file/d/1AePy5Boa2j3leMTlPDAmE5JY4U3HXAi7/view?usp=sharing" TargetMode="External"/><Relationship Id="rId166" Type="http://schemas.openxmlformats.org/officeDocument/2006/relationships/hyperlink" Target="https://drive.google.com/file/d/1hQMoWbNTdiJMCy9WN1GQoHuT94r789bn/view?usp=sharing" TargetMode="External"/><Relationship Id="rId287" Type="http://schemas.openxmlformats.org/officeDocument/2006/relationships/hyperlink" Target="https://drive.google.com/file/d/1O4oyMeg7CopKhFs_xxYC6EQJKdxAR1zw/view?usp=sharing" TargetMode="External"/><Relationship Id="rId161" Type="http://schemas.openxmlformats.org/officeDocument/2006/relationships/hyperlink" Target="https://drive.google.com/file/d/1k4oq0n8Qgd9vCB_1hYuiGSmtf8kbpLY4/view?usp=sharing" TargetMode="External"/><Relationship Id="rId282" Type="http://schemas.openxmlformats.org/officeDocument/2006/relationships/hyperlink" Target="https://drive.google.com/file/d/1ki3ChNgDcVF6ekEmspVPQf1K2c9FEN2X/view?usp=sharing" TargetMode="External"/><Relationship Id="rId160" Type="http://schemas.openxmlformats.org/officeDocument/2006/relationships/hyperlink" Target="https://drive.google.com/file/d/1ZTDZ7KlTts0PeDspm4qaJiekkF324XwX/view?usp=sharing" TargetMode="External"/><Relationship Id="rId281" Type="http://schemas.openxmlformats.org/officeDocument/2006/relationships/hyperlink" Target="https://drive.google.com/file/d/11iYIqJiBiEnqzY98Li4Yc1uHyDlia94V/view?usp=sharing" TargetMode="External"/><Relationship Id="rId280" Type="http://schemas.openxmlformats.org/officeDocument/2006/relationships/hyperlink" Target="https://drive.google.com/file/d/1R4fSu5X6Sj8_nvdAR8XAUd3-aLTzH49R/view?usp=sharing" TargetMode="External"/><Relationship Id="rId159" Type="http://schemas.openxmlformats.org/officeDocument/2006/relationships/hyperlink" Target="https://drive.google.com/file/d/1ARcxku4MALgm4497b9-feRZA0vTFCYeJ/view?usp=sharing" TargetMode="External"/><Relationship Id="rId154" Type="http://schemas.openxmlformats.org/officeDocument/2006/relationships/hyperlink" Target="https://drive.google.com/file/d/1vjD-cSlaRgH6bqgEB4mMvU4IoKnA7lca/view?usp=sharing" TargetMode="External"/><Relationship Id="rId275" Type="http://schemas.openxmlformats.org/officeDocument/2006/relationships/hyperlink" Target="https://drive.google.com/file/d/1icVas8rtWsxSAxaAm9LUDc51qxqEn7-a/view?usp=sharing" TargetMode="External"/><Relationship Id="rId153" Type="http://schemas.openxmlformats.org/officeDocument/2006/relationships/hyperlink" Target="https://drive.google.com/file/d/1Nrp5DYc8mCIojFb2vzhbE12a1Q1flkJq/view?usp=sharing" TargetMode="External"/><Relationship Id="rId274" Type="http://schemas.openxmlformats.org/officeDocument/2006/relationships/hyperlink" Target="https://drive.google.com/file/d/14NMGSlIyef_DwPBfiN0udIFHsoVoK9u8/view?usp=sharing" TargetMode="External"/><Relationship Id="rId395" Type="http://schemas.openxmlformats.org/officeDocument/2006/relationships/drawing" Target="../drawings/drawing21.xml"/><Relationship Id="rId152" Type="http://schemas.openxmlformats.org/officeDocument/2006/relationships/hyperlink" Target="https://drive.google.com/file/d/1vdKPCUsCA8ZCZ_HvuxjBsYE_S1u446Tr/view?usp=sharing" TargetMode="External"/><Relationship Id="rId273" Type="http://schemas.openxmlformats.org/officeDocument/2006/relationships/hyperlink" Target="https://drive.google.com/file/d/1Gid1vZWqXQbJfydQAlc7zigjPKSr_ZEb/view?usp=sharing" TargetMode="External"/><Relationship Id="rId394" Type="http://schemas.openxmlformats.org/officeDocument/2006/relationships/hyperlink" Target="https://drive.google.com/file/d/1ByaPJHh6ZGe59euARGYFnsXvRgpnECXR/view?usp=sharing" TargetMode="External"/><Relationship Id="rId151" Type="http://schemas.openxmlformats.org/officeDocument/2006/relationships/hyperlink" Target="https://drive.google.com/file/d/1sciPy_bM8oiC2QJw_cMcHggGIheQSab_/view?usp=sharing" TargetMode="External"/><Relationship Id="rId272" Type="http://schemas.openxmlformats.org/officeDocument/2006/relationships/hyperlink" Target="https://drive.google.com/file/d/1hqwHgwW9iyDGJm1iEksoM7R3_Mrg5kiw/view?usp=sharing" TargetMode="External"/><Relationship Id="rId393" Type="http://schemas.openxmlformats.org/officeDocument/2006/relationships/hyperlink" Target="https://drive.google.com/file/d/1d51qa3pgtIJudAccwEMs_CZo71_UxUg3/view?usp=sharing" TargetMode="External"/><Relationship Id="rId158" Type="http://schemas.openxmlformats.org/officeDocument/2006/relationships/hyperlink" Target="https://drive.google.com/file/d/1OLJ3PwYBpkoEi966y0g1yti9pQAnTNps/view?usp=sharing" TargetMode="External"/><Relationship Id="rId279" Type="http://schemas.openxmlformats.org/officeDocument/2006/relationships/hyperlink" Target="https://drive.google.com/file/d/1E9AoJWnkAa_ViHaIv6Jl-v4gLMnYAo91/view?usp=sharing" TargetMode="External"/><Relationship Id="rId157" Type="http://schemas.openxmlformats.org/officeDocument/2006/relationships/hyperlink" Target="https://drive.google.com/file/d/1clDEwiAePh-piPnO96mcYhJS3iRX9lsu/view?usp=sharing" TargetMode="External"/><Relationship Id="rId278" Type="http://schemas.openxmlformats.org/officeDocument/2006/relationships/hyperlink" Target="https://drive.google.com/file/d/17erWzy8zmRpxuAPlktx82IUEaVYlWK7p/view?usp=sharing" TargetMode="External"/><Relationship Id="rId156" Type="http://schemas.openxmlformats.org/officeDocument/2006/relationships/hyperlink" Target="https://drive.google.com/file/d/1_CCDl5kInD1UPbxDhq3ZXFrYcN4TDpde/view?usp=sharing" TargetMode="External"/><Relationship Id="rId277" Type="http://schemas.openxmlformats.org/officeDocument/2006/relationships/hyperlink" Target="https://drive.google.com/file/d/1u82h9MoKINoSYhMhh5s8OhFDUeIm3yA8/view?usp=sharing" TargetMode="External"/><Relationship Id="rId155" Type="http://schemas.openxmlformats.org/officeDocument/2006/relationships/hyperlink" Target="https://drive.google.com/file/d/1_WJugh53TtVKDLXWXaQVkSTVq2OvNQgY/view?usp=sharing" TargetMode="External"/><Relationship Id="rId276" Type="http://schemas.openxmlformats.org/officeDocument/2006/relationships/hyperlink" Target="https://drive.google.com/file/d/1gqFzcVtAlYLqGn8LAj1Xf-x3XvKPclZG/view?usp=sharing" TargetMode="External"/><Relationship Id="rId40" Type="http://schemas.openxmlformats.org/officeDocument/2006/relationships/hyperlink" Target="https://drive.google.com/file/d/1romCx4iKObL4Njz-tlrLJmaAEFZsCXcS/view?usp=sharing" TargetMode="External"/><Relationship Id="rId42" Type="http://schemas.openxmlformats.org/officeDocument/2006/relationships/hyperlink" Target="https://drive.google.com/file/d/1LE_E--23nKnG7dBRbFE_A8V2qoRCKj1d/view?usp=sharing" TargetMode="External"/><Relationship Id="rId41" Type="http://schemas.openxmlformats.org/officeDocument/2006/relationships/hyperlink" Target="https://drive.google.com/file/d/11alJRJmGC2UNCDvnOnxhnrq1d1MZcJva/view?usp=sharing" TargetMode="External"/><Relationship Id="rId44" Type="http://schemas.openxmlformats.org/officeDocument/2006/relationships/hyperlink" Target="https://drive.google.com/file/d/1LptPiFhzhbtNe-Oyv9xbkUMpkqOEIOpv/view?usp=sharing" TargetMode="External"/><Relationship Id="rId43" Type="http://schemas.openxmlformats.org/officeDocument/2006/relationships/hyperlink" Target="https://drive.google.com/file/d/1Bio9CqbtMYekLJM1DtkIHQ3wA9plTKUf/view?usp=sharing" TargetMode="External"/><Relationship Id="rId46" Type="http://schemas.openxmlformats.org/officeDocument/2006/relationships/hyperlink" Target="https://drive.google.com/file/d/1AcPST-f0b-QuHdfuIGDBLQPxU3joz4Bf/view?usp=sharing" TargetMode="External"/><Relationship Id="rId45" Type="http://schemas.openxmlformats.org/officeDocument/2006/relationships/hyperlink" Target="https://drive.google.com/file/d/1HLONtN08Eca9auqCyUxuwgtHQ5xLtjJJ/view?usp=sharing" TargetMode="External"/><Relationship Id="rId48" Type="http://schemas.openxmlformats.org/officeDocument/2006/relationships/hyperlink" Target="https://drive.google.com/file/d/1OHt8gb-vNExmAv5Auhwuph3OnDl2eeLj/view?usp=sharing" TargetMode="External"/><Relationship Id="rId47" Type="http://schemas.openxmlformats.org/officeDocument/2006/relationships/hyperlink" Target="https://drive.google.com/file/d/1aOvNjuTmfGGrO-RsBIA90u6WunsqMqzy/view?usp=sharing" TargetMode="External"/><Relationship Id="rId49" Type="http://schemas.openxmlformats.org/officeDocument/2006/relationships/hyperlink" Target="https://drive.google.com/file/d/1yokOWbTuqhJApVGPXM6rg4aKuHcP-_Lc/view?usp=sharing" TargetMode="External"/><Relationship Id="rId31" Type="http://schemas.openxmlformats.org/officeDocument/2006/relationships/hyperlink" Target="https://drive.google.com/file/d/1bzeuxh9yjYKAj03yCzZmJCnTYlSKw_Xk/view?usp=sharing" TargetMode="External"/><Relationship Id="rId30" Type="http://schemas.openxmlformats.org/officeDocument/2006/relationships/hyperlink" Target="https://drive.google.com/file/d/1ivmg8u2LG1JQI5RMs7Zs32EubpqQcrjG/view?usp=sharing" TargetMode="External"/><Relationship Id="rId33" Type="http://schemas.openxmlformats.org/officeDocument/2006/relationships/hyperlink" Target="https://drive.google.com/file/d/1jYtrVoC58pwENJoAafVU8xQmE-0-eheF/view?usp=sharing" TargetMode="External"/><Relationship Id="rId32" Type="http://schemas.openxmlformats.org/officeDocument/2006/relationships/hyperlink" Target="https://drive.google.com/file/d/1dEfOz65d1qGDnZHHVxN_umhzCeCtenN-/view?usp=sharing" TargetMode="External"/><Relationship Id="rId35" Type="http://schemas.openxmlformats.org/officeDocument/2006/relationships/hyperlink" Target="https://drive.google.com/file/d/1FvDUttR7j754YR4TqCL9VJV3jKcqp91K/view?usp=sharing" TargetMode="External"/><Relationship Id="rId34" Type="http://schemas.openxmlformats.org/officeDocument/2006/relationships/hyperlink" Target="https://drive.google.com/file/d/1YsxPuHC9OgT219vr4najkCbrNX5URbRI/view?usp=sharing" TargetMode="External"/><Relationship Id="rId37" Type="http://schemas.openxmlformats.org/officeDocument/2006/relationships/hyperlink" Target="https://drive.google.com/file/d/1DNRCw-TUaGMDKE3b2uxZR0XJkAmkLVv2/view?usp=sharing" TargetMode="External"/><Relationship Id="rId36" Type="http://schemas.openxmlformats.org/officeDocument/2006/relationships/hyperlink" Target="https://drive.google.com/file/d/1ojTMOnzR8vHQwozQYuCGIT4dZV8SqFBO/view?usp=sharing" TargetMode="External"/><Relationship Id="rId39" Type="http://schemas.openxmlformats.org/officeDocument/2006/relationships/hyperlink" Target="https://drive.google.com/file/d/1RKjQB8ygxTwSyjGReg_Yiv2ZLNSHYexx/view?usp=sharing" TargetMode="External"/><Relationship Id="rId38" Type="http://schemas.openxmlformats.org/officeDocument/2006/relationships/hyperlink" Target="https://drive.google.com/file/d/1iO07XeiEqRU_oBqDjr2vsGEG4ia4phlC/view?usp=sharing" TargetMode="External"/><Relationship Id="rId20" Type="http://schemas.openxmlformats.org/officeDocument/2006/relationships/hyperlink" Target="https://drive.google.com/file/d/1C5br2NmM8psy_FdbOJOETtMTTj3JGsic/view?usp=sharing" TargetMode="External"/><Relationship Id="rId22" Type="http://schemas.openxmlformats.org/officeDocument/2006/relationships/hyperlink" Target="https://drive.google.com/file/d/1D1BKHBsL1Obamq5lXNp6FgjYyckEWw2K/view?usp=sharing" TargetMode="External"/><Relationship Id="rId21" Type="http://schemas.openxmlformats.org/officeDocument/2006/relationships/hyperlink" Target="https://drive.google.com/file/d/1KkqMaOGyH2JOSmbx7AQUft_sE1pQ0SDN/view?usp=sharing" TargetMode="External"/><Relationship Id="rId24" Type="http://schemas.openxmlformats.org/officeDocument/2006/relationships/hyperlink" Target="https://drive.google.com/file/d/1Q8aunt4tkbsP2n4CSR-nlBoHJ3aOFOkQ/view?usp=sharing" TargetMode="External"/><Relationship Id="rId23" Type="http://schemas.openxmlformats.org/officeDocument/2006/relationships/hyperlink" Target="https://drive.google.com/file/d/1hn5xRHVlnHn90MwE1yupFcAQGuk0cas1/view?usp=sharing" TargetMode="External"/><Relationship Id="rId26" Type="http://schemas.openxmlformats.org/officeDocument/2006/relationships/hyperlink" Target="https://drive.google.com/file/d/1MW7_Q8apnAeNNeH4wp_A5yK8MgkoV8YS/view?usp=sharing" TargetMode="External"/><Relationship Id="rId25" Type="http://schemas.openxmlformats.org/officeDocument/2006/relationships/hyperlink" Target="https://drive.google.com/file/d/1Ayypl-8EBElZ54ulJoZtGbTs_MhGUGZS/view?usp=sharing" TargetMode="External"/><Relationship Id="rId28" Type="http://schemas.openxmlformats.org/officeDocument/2006/relationships/hyperlink" Target="https://drive.google.com/file/d/1GK2H7tpCMrsLczis3ezXPB_6SfEsSrMc/view?usp=sharing" TargetMode="External"/><Relationship Id="rId27" Type="http://schemas.openxmlformats.org/officeDocument/2006/relationships/hyperlink" Target="https://drive.google.com/file/d/1dg3zz-ifUxvr26q36XPq9kc1ZzTTQ2Ky/view?usp=sharing" TargetMode="External"/><Relationship Id="rId29" Type="http://schemas.openxmlformats.org/officeDocument/2006/relationships/hyperlink" Target="https://drive.google.com/file/d/11ufP8xDl00MDnOCWjThhGcWMOBqZt3MM/view?usp=sharing" TargetMode="External"/><Relationship Id="rId11" Type="http://schemas.openxmlformats.org/officeDocument/2006/relationships/hyperlink" Target="https://drive.google.com/file/d/1RNNjJ2cHsE_KvaHa76SoCLHDGrvj4dx4/view?usp=sharing" TargetMode="External"/><Relationship Id="rId10" Type="http://schemas.openxmlformats.org/officeDocument/2006/relationships/hyperlink" Target="https://drive.google.com/file/d/110HpYJoNHPv7VXB1QGhp5yYZLBa03G01/view?usp=sharing" TargetMode="External"/><Relationship Id="rId13" Type="http://schemas.openxmlformats.org/officeDocument/2006/relationships/hyperlink" Target="https://drive.google.com/file/d/1PyhIwQRN02Bsc4jhJUTBQS6UZDhDiuLP/view?usp=sharing" TargetMode="External"/><Relationship Id="rId12" Type="http://schemas.openxmlformats.org/officeDocument/2006/relationships/hyperlink" Target="https://drive.google.com/file/d/18hsvy9cGFNCQgrJO2q-YRjxKiW5xGfqL/view?usp=sharing" TargetMode="External"/><Relationship Id="rId15" Type="http://schemas.openxmlformats.org/officeDocument/2006/relationships/hyperlink" Target="https://drive.google.com/file/d/12rerhYeP-hRBp0qVS4NnseJELO_AOuN8/view?usp=sharing" TargetMode="External"/><Relationship Id="rId14" Type="http://schemas.openxmlformats.org/officeDocument/2006/relationships/hyperlink" Target="https://drive.google.com/file/d/1tjFiMBNJs7vywZhtc5ZETCgfFeWWHyJQ/view?usp=sharing" TargetMode="External"/><Relationship Id="rId17" Type="http://schemas.openxmlformats.org/officeDocument/2006/relationships/hyperlink" Target="https://drive.google.com/file/d/19wrwOYkWPWxzMoIdKhHciSWqqK4cjqtN/view?usp=sharing" TargetMode="External"/><Relationship Id="rId16" Type="http://schemas.openxmlformats.org/officeDocument/2006/relationships/hyperlink" Target="https://drive.google.com/file/d/18tD9SJAl8too88lojRts1dK8iFmsDB9O/view?usp=sharing" TargetMode="External"/><Relationship Id="rId19" Type="http://schemas.openxmlformats.org/officeDocument/2006/relationships/hyperlink" Target="https://drive.google.com/file/d/17ZWPsyEBVNMeZUNlSUC1brjx-r6zx7cD/view?usp=sharing" TargetMode="External"/><Relationship Id="rId18" Type="http://schemas.openxmlformats.org/officeDocument/2006/relationships/hyperlink" Target="https://drive.google.com/file/d/1Dwjf3A5NftPy_fxcpH1ngKSTGaPntlpn/view?usp=sharing" TargetMode="External"/><Relationship Id="rId84" Type="http://schemas.openxmlformats.org/officeDocument/2006/relationships/hyperlink" Target="https://drive.google.com/file/d/1RUEtB5ysmZ7NsoQvF74kRqtnwHMmA84R/view?usp=sharing" TargetMode="External"/><Relationship Id="rId83" Type="http://schemas.openxmlformats.org/officeDocument/2006/relationships/hyperlink" Target="https://drive.google.com/file/d/1HLseohUl7cLQyIr23wbf_mKoTQRP3aZa/view?usp=sharing" TargetMode="External"/><Relationship Id="rId86" Type="http://schemas.openxmlformats.org/officeDocument/2006/relationships/hyperlink" Target="https://drive.google.com/file/d/1JWbWlCqOX7w2OlU5R43l5NBz1VovAPM0/view?usp=sharing" TargetMode="External"/><Relationship Id="rId85" Type="http://schemas.openxmlformats.org/officeDocument/2006/relationships/hyperlink" Target="https://drive.google.com/file/d/1ieFZvDFIJkbEZOEV4f_OoPLV7DTWuXHO/view?usp=sharing" TargetMode="External"/><Relationship Id="rId88" Type="http://schemas.openxmlformats.org/officeDocument/2006/relationships/hyperlink" Target="https://drive.google.com/file/d/1GS9Z1uj249OVzkYoKOWDEmhNaxv_Rb1U/view?usp=sharing" TargetMode="External"/><Relationship Id="rId87" Type="http://schemas.openxmlformats.org/officeDocument/2006/relationships/hyperlink" Target="https://drive.google.com/file/d/1h4Ukg1OC-DSeSzCazL0jRkK-OyDM8PdH/view?usp=sharing" TargetMode="External"/><Relationship Id="rId89" Type="http://schemas.openxmlformats.org/officeDocument/2006/relationships/hyperlink" Target="https://drive.google.com/file/d/1czFyf4JXijhb1S5EWX2xh0lX38QSt73_/view?usp=sharing" TargetMode="External"/><Relationship Id="rId80" Type="http://schemas.openxmlformats.org/officeDocument/2006/relationships/hyperlink" Target="https://drive.google.com/file/d/1muN95AKzCEUk63wGVnWR8egMlHaaOVgI/view?usp=sharing" TargetMode="External"/><Relationship Id="rId82" Type="http://schemas.openxmlformats.org/officeDocument/2006/relationships/hyperlink" Target="https://drive.google.com/file/d/1ZvrL9cymz0upzjjO3zgvwFHHWlaL3xcU/view?usp=sharing" TargetMode="External"/><Relationship Id="rId81" Type="http://schemas.openxmlformats.org/officeDocument/2006/relationships/hyperlink" Target="https://drive.google.com/file/d/1hi89mrFSgb3axLVxpsZdBw4PUdU55hDo/view?usp=sharing" TargetMode="External"/><Relationship Id="rId73" Type="http://schemas.openxmlformats.org/officeDocument/2006/relationships/hyperlink" Target="https://drive.google.com/file/d/1gPTZ4L4y5KgzzvkKvkNPFkoC_cF9I678/view?usp=sharing" TargetMode="External"/><Relationship Id="rId72" Type="http://schemas.openxmlformats.org/officeDocument/2006/relationships/hyperlink" Target="https://drive.google.com/file/d/144Ypfv65j-XLkHy7j6fkAf2hh2TIgMKQ/view?usp=sharing" TargetMode="External"/><Relationship Id="rId75" Type="http://schemas.openxmlformats.org/officeDocument/2006/relationships/hyperlink" Target="https://drive.google.com/file/d/1NyNJfeoxn4VLIJus2ivISqkgGiJ-NwPz/view?usp=sharing" TargetMode="External"/><Relationship Id="rId74" Type="http://schemas.openxmlformats.org/officeDocument/2006/relationships/hyperlink" Target="https://drive.google.com/file/d/1TQKYbdjHGlRjCcPFRYmefxbkBR1LTNnx/view?usp=sharing" TargetMode="External"/><Relationship Id="rId77" Type="http://schemas.openxmlformats.org/officeDocument/2006/relationships/hyperlink" Target="https://drive.google.com/file/d/12I52L0BJcjSVPXsbv5JSnsruxVHOIGru/view?usp=sharing" TargetMode="External"/><Relationship Id="rId76" Type="http://schemas.openxmlformats.org/officeDocument/2006/relationships/hyperlink" Target="https://drive.google.com/file/d/1w4UfB3MCy319gaZwupDhQJVbPITyLdUL/view?usp=sharing" TargetMode="External"/><Relationship Id="rId79" Type="http://schemas.openxmlformats.org/officeDocument/2006/relationships/hyperlink" Target="https://drive.google.com/file/d/1rpd_W9WZ1lIH8BOg2omSl_60oPCSoxfx/view?usp=sharing" TargetMode="External"/><Relationship Id="rId78" Type="http://schemas.openxmlformats.org/officeDocument/2006/relationships/hyperlink" Target="https://drive.google.com/file/d/1tCJG3bLlugkwEQYtsYsG1aW8vz6UkPCa/view?usp=sharing" TargetMode="External"/><Relationship Id="rId71" Type="http://schemas.openxmlformats.org/officeDocument/2006/relationships/hyperlink" Target="https://drive.google.com/file/d/1hgSDQChQJ-lA8uwPm6SaYU6ryU8uTZfV/view?usp=sharing" TargetMode="External"/><Relationship Id="rId70" Type="http://schemas.openxmlformats.org/officeDocument/2006/relationships/hyperlink" Target="https://drive.google.com/file/d/1S6ZFj4G-SFhIpAjpaSoSKTiP9Aa-_0Z4/view?usp=sharing" TargetMode="External"/><Relationship Id="rId62" Type="http://schemas.openxmlformats.org/officeDocument/2006/relationships/hyperlink" Target="https://drive.google.com/file/d/1eNp_wIfDnD1VIOn3Xc1jBnUr5RwHAirH/view?usp=sharing" TargetMode="External"/><Relationship Id="rId61" Type="http://schemas.openxmlformats.org/officeDocument/2006/relationships/hyperlink" Target="https://drive.google.com/file/d/18BvMbI4T-I-zZxtlyVxmfd66pUkdwEsS/view?usp=sharing" TargetMode="External"/><Relationship Id="rId64" Type="http://schemas.openxmlformats.org/officeDocument/2006/relationships/hyperlink" Target="https://drive.google.com/file/d/10w_yKAA6374UAge4Xg2-pbmVaIDOFl7Z/view?usp=sharing" TargetMode="External"/><Relationship Id="rId63" Type="http://schemas.openxmlformats.org/officeDocument/2006/relationships/hyperlink" Target="https://drive.google.com/file/d/1TM-p-za3n1UU60GYGSoUFTS4-VwaL3dY/view?usp=sharing" TargetMode="External"/><Relationship Id="rId66" Type="http://schemas.openxmlformats.org/officeDocument/2006/relationships/hyperlink" Target="https://drive.google.com/file/d/1mAH-z43PzdmqB-iFUyxJUnhRjdwKlUnf/view?usp=sharing" TargetMode="External"/><Relationship Id="rId65" Type="http://schemas.openxmlformats.org/officeDocument/2006/relationships/hyperlink" Target="https://drive.google.com/file/d/1qCVJjn_SssZoIKSA1t8Br4DVnM2WuxM6/view?usp=sharing" TargetMode="External"/><Relationship Id="rId68" Type="http://schemas.openxmlformats.org/officeDocument/2006/relationships/hyperlink" Target="https://drive.google.com/file/d/1ExvR5CodCCd9EA6bihHMIgKfKUID3Hnh/view?usp=sharing" TargetMode="External"/><Relationship Id="rId67" Type="http://schemas.openxmlformats.org/officeDocument/2006/relationships/hyperlink" Target="https://drive.google.com/file/d/1aTWHJLjxUSHzxgkO9G8BH-06CTsz_G3x/view?usp=sharing" TargetMode="External"/><Relationship Id="rId60" Type="http://schemas.openxmlformats.org/officeDocument/2006/relationships/hyperlink" Target="https://drive.google.com/file/d/1s__kMybmpNwvw56jICB91fx3D7a-uNMi/view?usp=sharing" TargetMode="External"/><Relationship Id="rId69" Type="http://schemas.openxmlformats.org/officeDocument/2006/relationships/hyperlink" Target="https://drive.google.com/file/d/1Nyfv6smxWLzp8SmOAqtWRVAnpIVyp2SJ/view?usp=sharing" TargetMode="External"/><Relationship Id="rId51" Type="http://schemas.openxmlformats.org/officeDocument/2006/relationships/hyperlink" Target="https://drive.google.com/file/d/1Rety8nZLYQs2Kx3TEks88TwUvrkg7Om2/view?usp=sharing" TargetMode="External"/><Relationship Id="rId50" Type="http://schemas.openxmlformats.org/officeDocument/2006/relationships/hyperlink" Target="https://drive.google.com/file/d/1d32gWGUxeqzh5iGvc1uw4wBgrO13h-oN/view?usp=sharing" TargetMode="External"/><Relationship Id="rId53" Type="http://schemas.openxmlformats.org/officeDocument/2006/relationships/hyperlink" Target="https://drive.google.com/file/d/1RbKpvvA3XpO5Zx8vHCpYoUBb2JAPinDk/view?usp=sharing" TargetMode="External"/><Relationship Id="rId52" Type="http://schemas.openxmlformats.org/officeDocument/2006/relationships/hyperlink" Target="https://drive.google.com/file/d/1ctG60KoHq51YNBAWZfrLhFoAt4Q-HcaW/view?usp=sharing" TargetMode="External"/><Relationship Id="rId55" Type="http://schemas.openxmlformats.org/officeDocument/2006/relationships/hyperlink" Target="https://drive.google.com/file/d/1vE_rakqyN-FfEXmAgH8glH6TyS2do9yc/view?usp=sharing" TargetMode="External"/><Relationship Id="rId54" Type="http://schemas.openxmlformats.org/officeDocument/2006/relationships/hyperlink" Target="https://drive.google.com/file/d/1wLee_ylo82JHkFEt0Z8eC9HWk9y5uXnk/view?usp=sharing" TargetMode="External"/><Relationship Id="rId57" Type="http://schemas.openxmlformats.org/officeDocument/2006/relationships/hyperlink" Target="https://drive.google.com/file/d/1cWdGJkydhxwLJOpPQwCEmVbG9xhbcPgy/view?usp=sharing" TargetMode="External"/><Relationship Id="rId56" Type="http://schemas.openxmlformats.org/officeDocument/2006/relationships/hyperlink" Target="https://drive.google.com/file/d/1nZkDMV8oRLwG8jPcVJ9H7hhsYbfO1-jB/view?usp=sharing" TargetMode="External"/><Relationship Id="rId59" Type="http://schemas.openxmlformats.org/officeDocument/2006/relationships/hyperlink" Target="https://drive.google.com/file/d/1-t5uj6oW0YfNUAsjUSRBz6YYqfFZLYDp/view?usp=sharing" TargetMode="External"/><Relationship Id="rId58" Type="http://schemas.openxmlformats.org/officeDocument/2006/relationships/hyperlink" Target="https://drive.google.com/file/d/1Cv_os0WcIDrgct0FOfZ0FIwgOv3_uxXl/view?usp=sharing" TargetMode="External"/><Relationship Id="rId107" Type="http://schemas.openxmlformats.org/officeDocument/2006/relationships/hyperlink" Target="https://drive.google.com/file/d/1aouYsO4T_WHb3ZDLX_tCY6AKoLT1dHpE/view?usp=sharing" TargetMode="External"/><Relationship Id="rId228" Type="http://schemas.openxmlformats.org/officeDocument/2006/relationships/hyperlink" Target="https://drive.google.com/file/d/1y_NnaeKwjkPDCC0D_YfPe8PVTRmkHHhi/view?usp=sharing" TargetMode="External"/><Relationship Id="rId349" Type="http://schemas.openxmlformats.org/officeDocument/2006/relationships/hyperlink" Target="https://drive.google.com/file/d/1pXZn-OC_pMUDWuTwyXMj7U_Bv6fwZH9L/view?usp=sharing" TargetMode="External"/><Relationship Id="rId106" Type="http://schemas.openxmlformats.org/officeDocument/2006/relationships/hyperlink" Target="https://drive.google.com/file/d/1YSfoRCmnLpe-B-DiqiwlLSbexmn8G4JX/view?usp=sharing" TargetMode="External"/><Relationship Id="rId227" Type="http://schemas.openxmlformats.org/officeDocument/2006/relationships/hyperlink" Target="https://drive.google.com/file/d/1gcO214E6_JAoRy6PzXo0L7iR6TMw6N8W/view?usp=sharing" TargetMode="External"/><Relationship Id="rId348" Type="http://schemas.openxmlformats.org/officeDocument/2006/relationships/hyperlink" Target="https://drive.google.com/file/d/1aDG1xl78ZQwC9icRl_7oOa3RxBxg7t-q/view?usp=sharing" TargetMode="External"/><Relationship Id="rId105" Type="http://schemas.openxmlformats.org/officeDocument/2006/relationships/hyperlink" Target="https://drive.google.com/file/d/1BV-gEJoojQMZGOKKzFtFRdmYQksTX9sj/view?usp=sharing" TargetMode="External"/><Relationship Id="rId226" Type="http://schemas.openxmlformats.org/officeDocument/2006/relationships/hyperlink" Target="https://drive.google.com/file/d/1GjQ3DC4ZO6G6VcC6Dk5IWbXk3q9-tjzQ/view?usp=sharing" TargetMode="External"/><Relationship Id="rId347" Type="http://schemas.openxmlformats.org/officeDocument/2006/relationships/hyperlink" Target="https://drive.google.com/file/d/1wFscL1omlNmRoDcZRhNGRWDOioMpWqA7/view?usp=sharing" TargetMode="External"/><Relationship Id="rId104" Type="http://schemas.openxmlformats.org/officeDocument/2006/relationships/hyperlink" Target="https://drive.google.com/file/d/1hximsy4-IwqxGfNvsydSs8ks569thBdq/view?usp=sharing" TargetMode="External"/><Relationship Id="rId225" Type="http://schemas.openxmlformats.org/officeDocument/2006/relationships/hyperlink" Target="https://drive.google.com/file/d/1vQZqt0HeCoblnzRNrYryYHMKiWQrPYUg/view?usp=sharing" TargetMode="External"/><Relationship Id="rId346" Type="http://schemas.openxmlformats.org/officeDocument/2006/relationships/hyperlink" Target="https://drive.google.com/file/d/122Xw9s9p5Dg-Euckp1V1OSEJW9ARRrQg/view?usp=sharing" TargetMode="External"/><Relationship Id="rId109" Type="http://schemas.openxmlformats.org/officeDocument/2006/relationships/hyperlink" Target="https://drive.google.com/file/d/1SNYO_p8Rw4UXBjeDJibDfkSasqMqPret/view?usp=sharing" TargetMode="External"/><Relationship Id="rId108" Type="http://schemas.openxmlformats.org/officeDocument/2006/relationships/hyperlink" Target="https://drive.google.com/file/d/199yoOpW6XIBH8xbUSa1U7VkLe7uF97LT/view?usp=sharing" TargetMode="External"/><Relationship Id="rId229" Type="http://schemas.openxmlformats.org/officeDocument/2006/relationships/hyperlink" Target="https://drive.google.com/file/d/1_AlHmMVOsx93xznsBWDD3wTx4JAwbo5r/view?usp=sharing" TargetMode="External"/><Relationship Id="rId220" Type="http://schemas.openxmlformats.org/officeDocument/2006/relationships/hyperlink" Target="https://drive.google.com/file/d/1lzKVCraOsA-XJ-xvkyy6a8OHxKC6WuGr/view?usp=sharing" TargetMode="External"/><Relationship Id="rId341" Type="http://schemas.openxmlformats.org/officeDocument/2006/relationships/hyperlink" Target="https://drive.google.com/file/d/1SXCrq95RMsuG4sDKvAxvL3bS65s6mTiT/view?usp=sharing" TargetMode="External"/><Relationship Id="rId340" Type="http://schemas.openxmlformats.org/officeDocument/2006/relationships/hyperlink" Target="https://drive.google.com/file/d/1nU0lwFuxqaGlSIigEBnFNjildLSz5X0-/view?usp=sharing" TargetMode="External"/><Relationship Id="rId103" Type="http://schemas.openxmlformats.org/officeDocument/2006/relationships/hyperlink" Target="https://drive.google.com/file/d/1wnR94ZD1cWZydaz0Shw3bz9bF_8G0l0w/view?usp=sharing" TargetMode="External"/><Relationship Id="rId224" Type="http://schemas.openxmlformats.org/officeDocument/2006/relationships/hyperlink" Target="https://drive.google.com/file/d/1Oy3YpNap12sspXBP-yTKjAwJNbV4iOy1/view?usp=sharing" TargetMode="External"/><Relationship Id="rId345" Type="http://schemas.openxmlformats.org/officeDocument/2006/relationships/hyperlink" Target="https://drive.google.com/file/d/1DJQyKMWFS18E1ZqUo6kul0mAkcchv6SK/view?usp=sharing" TargetMode="External"/><Relationship Id="rId102" Type="http://schemas.openxmlformats.org/officeDocument/2006/relationships/hyperlink" Target="https://drive.google.com/file/d/1m0uNCuvuD1I6FVQYGtXcyMrmrijj6bSq/view?usp=sharing" TargetMode="External"/><Relationship Id="rId223" Type="http://schemas.openxmlformats.org/officeDocument/2006/relationships/hyperlink" Target="https://drive.google.com/file/d/1upRRnItyY55y03-iykh04WOJD7rEFChl/view?usp=sharing" TargetMode="External"/><Relationship Id="rId344" Type="http://schemas.openxmlformats.org/officeDocument/2006/relationships/hyperlink" Target="https://drive.google.com/file/d/1Ffd6Xetkk41BTX4xLOqHw78XJxZwhqGA/view?usp=sharing" TargetMode="External"/><Relationship Id="rId101" Type="http://schemas.openxmlformats.org/officeDocument/2006/relationships/hyperlink" Target="https://drive.google.com/file/d/1cBbcNl7gymyDvVTnCPJHGu6KHhJRvOjU/view?usp=sharing" TargetMode="External"/><Relationship Id="rId222" Type="http://schemas.openxmlformats.org/officeDocument/2006/relationships/hyperlink" Target="https://drive.google.com/file/d/12vyx6yUKYcohQaiSSOMg6_mINehEEc6f/view?usp=sharing" TargetMode="External"/><Relationship Id="rId343" Type="http://schemas.openxmlformats.org/officeDocument/2006/relationships/hyperlink" Target="https://drive.google.com/file/d/1MFZz6SKJvG0qToSY9Xd2pR8F28a5mYZX/view?usp=sharing" TargetMode="External"/><Relationship Id="rId100" Type="http://schemas.openxmlformats.org/officeDocument/2006/relationships/hyperlink" Target="https://drive.google.com/file/d/1bFknEnLmy_F5BOkS6O1Iul5SNe-8NXNC/view?usp=sharing" TargetMode="External"/><Relationship Id="rId221" Type="http://schemas.openxmlformats.org/officeDocument/2006/relationships/hyperlink" Target="https://drive.google.com/file/d/1v6Ljww_osjNLQc9hM5bNpom5L2JurvOe/view?usp=sharing" TargetMode="External"/><Relationship Id="rId342" Type="http://schemas.openxmlformats.org/officeDocument/2006/relationships/hyperlink" Target="https://drive.google.com/file/d/1Bl6iKyXbt2NqQ8hj_XStos-CGkxfm12K/view?usp=sharing" TargetMode="External"/><Relationship Id="rId217" Type="http://schemas.openxmlformats.org/officeDocument/2006/relationships/hyperlink" Target="https://drive.google.com/file/d/1wQtBExCqFuVNu_4oX8y2ERqK-cRweRnH/view?usp=sharing" TargetMode="External"/><Relationship Id="rId338" Type="http://schemas.openxmlformats.org/officeDocument/2006/relationships/hyperlink" Target="https://drive.google.com/file/d/18W8L59JiLx0Safr92fzc1_7-TYzp4Mmh/view?usp=sharing" TargetMode="External"/><Relationship Id="rId216" Type="http://schemas.openxmlformats.org/officeDocument/2006/relationships/hyperlink" Target="https://drive.google.com/file/d/1qIIfi1c8C1n8IjhB9rDyLsT7ZIzPSmYX/view?usp=sharing" TargetMode="External"/><Relationship Id="rId337" Type="http://schemas.openxmlformats.org/officeDocument/2006/relationships/hyperlink" Target="https://drive.google.com/file/d/1OsehAH0TJKo37z3Z7IERz-cx8KB7Jufh/view?usp=sharing" TargetMode="External"/><Relationship Id="rId215" Type="http://schemas.openxmlformats.org/officeDocument/2006/relationships/hyperlink" Target="https://drive.google.com/file/d/1VYldpcD-PNfaOqMFqLF9HAfE89R4K9HS/view?usp=sharing" TargetMode="External"/><Relationship Id="rId336" Type="http://schemas.openxmlformats.org/officeDocument/2006/relationships/hyperlink" Target="https://drive.google.com/file/d/1eJ7X3sBamdTqjfnzft9Ga3RLN8IjOGNK/view?usp=sharing" TargetMode="External"/><Relationship Id="rId214" Type="http://schemas.openxmlformats.org/officeDocument/2006/relationships/hyperlink" Target="https://drive.google.com/file/d/1xjeNWJGyAcOueb-QgxuoLgAbHxQq4iaF/view?usp=sharing" TargetMode="External"/><Relationship Id="rId335" Type="http://schemas.openxmlformats.org/officeDocument/2006/relationships/hyperlink" Target="https://drive.google.com/file/d/1y0-FHKAV7Fqrx-TA-ZPvcFVIl6WZILPW/view?usp=sharing" TargetMode="External"/><Relationship Id="rId219" Type="http://schemas.openxmlformats.org/officeDocument/2006/relationships/hyperlink" Target="https://drive.google.com/file/d/1amIdEOxc7Nwlauh-GUeBl-hLAyvxTxRS/view?usp=sharing" TargetMode="External"/><Relationship Id="rId218" Type="http://schemas.openxmlformats.org/officeDocument/2006/relationships/hyperlink" Target="https://drive.google.com/file/d/1bsgDRYtVRFyf0gSfqxls0Z4OhZcDfmgj/view?usp=sharing" TargetMode="External"/><Relationship Id="rId339" Type="http://schemas.openxmlformats.org/officeDocument/2006/relationships/hyperlink" Target="https://drive.google.com/file/d/1rRygxJDGXCwcOkslD6VZPxIv-EQgeoDn/view?usp=sharing" TargetMode="External"/><Relationship Id="rId330" Type="http://schemas.openxmlformats.org/officeDocument/2006/relationships/hyperlink" Target="https://drive.google.com/file/d/14XlLoPQI1UDZHHdxfMmx6I6gyHw932dp/view?usp=sharing" TargetMode="External"/><Relationship Id="rId213" Type="http://schemas.openxmlformats.org/officeDocument/2006/relationships/hyperlink" Target="https://drive.google.com/file/d/1v5xJNiPiWBg32UVhMqwti39soxzDFd7X/view?usp=sharing" TargetMode="External"/><Relationship Id="rId334" Type="http://schemas.openxmlformats.org/officeDocument/2006/relationships/hyperlink" Target="https://drive.google.com/file/d/1zlaPfsgjiexWlz_RGvRZkKMwQ34b4W6r/view?usp=sharing" TargetMode="External"/><Relationship Id="rId212" Type="http://schemas.openxmlformats.org/officeDocument/2006/relationships/hyperlink" Target="https://drive.google.com/file/d/1DRgm9Kltq-_EgcK52VDOJ1hsp9OuXc_d/view?usp=sharing" TargetMode="External"/><Relationship Id="rId333" Type="http://schemas.openxmlformats.org/officeDocument/2006/relationships/hyperlink" Target="https://drive.google.com/file/d/1mkGbs3ghZez3gOWxZ2YjEl4-7R51fXVB/view?usp=sharing" TargetMode="External"/><Relationship Id="rId211" Type="http://schemas.openxmlformats.org/officeDocument/2006/relationships/hyperlink" Target="https://drive.google.com/file/d/1NRqRUytscHxdKGRN87VAD9crOXeZV3bA/view?usp=sharing" TargetMode="External"/><Relationship Id="rId332" Type="http://schemas.openxmlformats.org/officeDocument/2006/relationships/hyperlink" Target="https://drive.google.com/file/d/1pLfFCQX5WsYcn1vT3Lzts7lRO6H60pMf/view?usp=sharing" TargetMode="External"/><Relationship Id="rId210" Type="http://schemas.openxmlformats.org/officeDocument/2006/relationships/hyperlink" Target="https://drive.google.com/file/d/1FDCeDdi9EPdV9DTJNAWueFkXiRb2vxt1/view?usp=sharing" TargetMode="External"/><Relationship Id="rId331" Type="http://schemas.openxmlformats.org/officeDocument/2006/relationships/hyperlink" Target="https://drive.google.com/file/d/1Y8TF5XQxLcCrgHZrUu6DpzSLxb1leSJT/view?usp=sharing" TargetMode="External"/><Relationship Id="rId370" Type="http://schemas.openxmlformats.org/officeDocument/2006/relationships/hyperlink" Target="https://drive.google.com/file/d/1YsSsiqNJxSRrvj5P9PC42sbvEOH8BEX7/view?usp=sharing" TargetMode="External"/><Relationship Id="rId129" Type="http://schemas.openxmlformats.org/officeDocument/2006/relationships/hyperlink" Target="https://drive.google.com/file/d/1RAB5C7Yoy64-q-i1XsHrYs5v3Zod6daQ/view?usp=sharing" TargetMode="External"/><Relationship Id="rId128" Type="http://schemas.openxmlformats.org/officeDocument/2006/relationships/hyperlink" Target="https://drive.google.com/file/d/1WaMkiDicOgvsw2oozjflVl9kYnfaAhBh/view?usp=sharing" TargetMode="External"/><Relationship Id="rId249" Type="http://schemas.openxmlformats.org/officeDocument/2006/relationships/hyperlink" Target="https://drive.google.com/file/d/1fqNlSqf0h75G53zDAQZgQq5X3vFGROyd/view?usp=sharing" TargetMode="External"/><Relationship Id="rId127" Type="http://schemas.openxmlformats.org/officeDocument/2006/relationships/hyperlink" Target="https://drive.google.com/file/d/1N8CKlIvC7kZtmX78ID07DEl4G9c64ymz/view?usp=sharing" TargetMode="External"/><Relationship Id="rId248" Type="http://schemas.openxmlformats.org/officeDocument/2006/relationships/hyperlink" Target="https://drive.google.com/file/d/1ngy8Ay7uZm3yJ7fDyf4MvXlHZM5tqo7E/view?usp=sharing" TargetMode="External"/><Relationship Id="rId369" Type="http://schemas.openxmlformats.org/officeDocument/2006/relationships/hyperlink" Target="https://drive.google.com/file/d/1EDxk7uxLb-GeJoYXGnJ3qj8LoGpV3iZP/view?usp=sharing" TargetMode="External"/><Relationship Id="rId126" Type="http://schemas.openxmlformats.org/officeDocument/2006/relationships/hyperlink" Target="https://drive.google.com/file/d/10y7QrffOyrcFQ9s2qGDiTMLb6QeB3Vp0/view?usp=sharing" TargetMode="External"/><Relationship Id="rId247" Type="http://schemas.openxmlformats.org/officeDocument/2006/relationships/hyperlink" Target="https://drive.google.com/file/d/1NEmKDAj8lOmF98PXmWqMA2tRYITXpOZy/view?usp=sharing" TargetMode="External"/><Relationship Id="rId368" Type="http://schemas.openxmlformats.org/officeDocument/2006/relationships/hyperlink" Target="https://drive.google.com/file/d/1YlM3zQOr7p3nH7jlgxJ3PK9D4_7h4-ZH/view?usp=sharing" TargetMode="External"/><Relationship Id="rId121" Type="http://schemas.openxmlformats.org/officeDocument/2006/relationships/hyperlink" Target="https://drive.google.com/file/d/16MuyzoD3p8zel6ojEvyQWT--MqCktxqI/view?usp=sharing" TargetMode="External"/><Relationship Id="rId242" Type="http://schemas.openxmlformats.org/officeDocument/2006/relationships/hyperlink" Target="https://drive.google.com/file/d/1RviguOfuHPxAgb8hIUnw-ZCBP1HGSQsf/view?usp=sharing" TargetMode="External"/><Relationship Id="rId363" Type="http://schemas.openxmlformats.org/officeDocument/2006/relationships/hyperlink" Target="https://drive.google.com/file/d/1AdRiWXoyuRS8_eRbIIARBLFUqQeCWF3I/view?usp=sharing" TargetMode="External"/><Relationship Id="rId120" Type="http://schemas.openxmlformats.org/officeDocument/2006/relationships/hyperlink" Target="https://drive.google.com/file/d/1fWbhI0treGI7STaDEBw4k1CMWmyrheif/view?usp=sharing" TargetMode="External"/><Relationship Id="rId241" Type="http://schemas.openxmlformats.org/officeDocument/2006/relationships/hyperlink" Target="https://drive.google.com/file/d/1HV5fWVlFKQikv7mD1g4UKziKcKn6ut6U/view?usp=sharing" TargetMode="External"/><Relationship Id="rId362" Type="http://schemas.openxmlformats.org/officeDocument/2006/relationships/hyperlink" Target="https://drive.google.com/file/d/1NTpy6ELnrG6QBHNR8Bgfjck6y8fFRjd6/view?usp=sharing" TargetMode="External"/><Relationship Id="rId240" Type="http://schemas.openxmlformats.org/officeDocument/2006/relationships/hyperlink" Target="https://drive.google.com/file/d/1SDYMd6EO4abg7FpI96gxZ0CAlP0HKvvR/view?usp=sharing" TargetMode="External"/><Relationship Id="rId361" Type="http://schemas.openxmlformats.org/officeDocument/2006/relationships/hyperlink" Target="https://drive.google.com/file/d/1aTufsvTBa_UAr-EsaxomGG4ArIpPM2wn/view?usp=sharing" TargetMode="External"/><Relationship Id="rId360" Type="http://schemas.openxmlformats.org/officeDocument/2006/relationships/hyperlink" Target="https://drive.google.com/file/d/1w6xq3mDCLtm9PuvORtdAeQksdmIj0yHF/view?usp=sharing" TargetMode="External"/><Relationship Id="rId125" Type="http://schemas.openxmlformats.org/officeDocument/2006/relationships/hyperlink" Target="https://drive.google.com/file/d/1avSjpy-8klMW5nSOVkjnMfwdUw4X2b_5/view?usp=sharing" TargetMode="External"/><Relationship Id="rId246" Type="http://schemas.openxmlformats.org/officeDocument/2006/relationships/hyperlink" Target="https://drive.google.com/file/d/1-edwUFASm4dTFqnmQqRxgRJNbWEyUbD3/view?usp=sharing" TargetMode="External"/><Relationship Id="rId367" Type="http://schemas.openxmlformats.org/officeDocument/2006/relationships/hyperlink" Target="https://drive.google.com/file/d/1fC7kh1xelTbnym8CaSyXmNNO6h4mlKGr/view?usp=sharing" TargetMode="External"/><Relationship Id="rId124" Type="http://schemas.openxmlformats.org/officeDocument/2006/relationships/hyperlink" Target="https://drive.google.com/file/d/1LQTqGE9op_TGuSAx52RyJ3g4X-QzDCmx/view?usp=sharing" TargetMode="External"/><Relationship Id="rId245" Type="http://schemas.openxmlformats.org/officeDocument/2006/relationships/hyperlink" Target="https://drive.google.com/file/d/17OCh88ypwcc6kFZNwwZ3mZEANLrwgerT/view?usp=sharing" TargetMode="External"/><Relationship Id="rId366" Type="http://schemas.openxmlformats.org/officeDocument/2006/relationships/hyperlink" Target="https://drive.google.com/file/d/1FC5lD41wRObmMt0sY4bsBbolZd8xH5jj/view?usp=sharing" TargetMode="External"/><Relationship Id="rId123" Type="http://schemas.openxmlformats.org/officeDocument/2006/relationships/hyperlink" Target="https://drive.google.com/file/d/1ffOpS-ccRO3MhAsDMRsVePPccGt0mTEy/view?usp=sharing" TargetMode="External"/><Relationship Id="rId244" Type="http://schemas.openxmlformats.org/officeDocument/2006/relationships/hyperlink" Target="https://drive.google.com/file/d/1-jHTG4le8gP7qPUS8XupTC4b6jod7q5Q/view?usp=sharing" TargetMode="External"/><Relationship Id="rId365" Type="http://schemas.openxmlformats.org/officeDocument/2006/relationships/hyperlink" Target="https://drive.google.com/file/d/1gzqW2svwv6ga3v-NFY2cFOQYT1Pkf0yi/view?usp=sharing" TargetMode="External"/><Relationship Id="rId122" Type="http://schemas.openxmlformats.org/officeDocument/2006/relationships/hyperlink" Target="https://drive.google.com/file/d/1XiTy7GurBImg6WtxWFgV8bvQgUinTm51/view?usp=sharing" TargetMode="External"/><Relationship Id="rId243" Type="http://schemas.openxmlformats.org/officeDocument/2006/relationships/hyperlink" Target="https://drive.google.com/file/d/1De21SlAcZnrlAdRi_KbuKrZtlSpcQLGu/view?usp=sharing" TargetMode="External"/><Relationship Id="rId364" Type="http://schemas.openxmlformats.org/officeDocument/2006/relationships/hyperlink" Target="https://drive.google.com/file/d/1C6FGZoI2FhKtJrAS6sgNBjVvx93W_FXZ/view?usp=sharing" TargetMode="External"/><Relationship Id="rId95" Type="http://schemas.openxmlformats.org/officeDocument/2006/relationships/hyperlink" Target="https://drive.google.com/file/d/14lY-d3ioZUSHxoHVPKh5dRfnlASibjNK/view?usp=sharing" TargetMode="External"/><Relationship Id="rId94" Type="http://schemas.openxmlformats.org/officeDocument/2006/relationships/hyperlink" Target="https://drive.google.com/file/d/1pkqSxDibALxA_qdtNBjZ-bTqCQc-3Pe0/view?usp=sharing" TargetMode="External"/><Relationship Id="rId97" Type="http://schemas.openxmlformats.org/officeDocument/2006/relationships/hyperlink" Target="https://drive.google.com/file/d/1O0MqjDbZruaydF_DPpOJme6mRMyBYyn0/view?usp=sharing" TargetMode="External"/><Relationship Id="rId96" Type="http://schemas.openxmlformats.org/officeDocument/2006/relationships/hyperlink" Target="https://drive.google.com/file/d/1cLB3M3LTlCXCbb4s9dJawqOd2Yo5S5T5/view?usp=sharing" TargetMode="External"/><Relationship Id="rId99" Type="http://schemas.openxmlformats.org/officeDocument/2006/relationships/hyperlink" Target="https://drive.google.com/file/d/1iv-Nrhq8YlFCTv-pkVI6o5-R4YyjSrlZ/view?usp=sharing" TargetMode="External"/><Relationship Id="rId98" Type="http://schemas.openxmlformats.org/officeDocument/2006/relationships/hyperlink" Target="https://drive.google.com/file/d/1G8TmK6wBFOpLVa9PxgBixww3HdPdjTwk/view?usp=sharing" TargetMode="External"/><Relationship Id="rId91" Type="http://schemas.openxmlformats.org/officeDocument/2006/relationships/hyperlink" Target="https://drive.google.com/file/d/1DmbpCiP21x1WdschjcGR1JAholfafCxb/view?usp=sharing" TargetMode="External"/><Relationship Id="rId90" Type="http://schemas.openxmlformats.org/officeDocument/2006/relationships/hyperlink" Target="https://drive.google.com/file/d/1CdOyCExRMrSDAUBkKL5cVzSzpPKdGQT_/view?usp=sharing" TargetMode="External"/><Relationship Id="rId93" Type="http://schemas.openxmlformats.org/officeDocument/2006/relationships/hyperlink" Target="https://drive.google.com/file/d/1gaSggzHKDGYR3xoczjhiyBAY-949hlWv/view?usp=sharing" TargetMode="External"/><Relationship Id="rId92" Type="http://schemas.openxmlformats.org/officeDocument/2006/relationships/hyperlink" Target="https://drive.google.com/file/d/1i-XqRmhEEo-7P--2AwROM9XmC0Tr5KAP/view?usp=sharing" TargetMode="External"/><Relationship Id="rId118" Type="http://schemas.openxmlformats.org/officeDocument/2006/relationships/hyperlink" Target="https://drive.google.com/file/d/1B5VxerlJB53iSRS37yBDXqrmfG0RtjLb/view?usp=sharing" TargetMode="External"/><Relationship Id="rId239" Type="http://schemas.openxmlformats.org/officeDocument/2006/relationships/hyperlink" Target="https://drive.google.com/file/d/13pH-hBdxZUTEinhtIJjzBvJSZwO96WQc/view?usp=sharing" TargetMode="External"/><Relationship Id="rId117" Type="http://schemas.openxmlformats.org/officeDocument/2006/relationships/hyperlink" Target="https://drive.google.com/file/d/1zeYpbpG9FC-FU91AGVRRiJZZDO_-HQaF/view?usp=sharing" TargetMode="External"/><Relationship Id="rId238" Type="http://schemas.openxmlformats.org/officeDocument/2006/relationships/hyperlink" Target="https://drive.google.com/file/d/1zwF7SfO3hVWLDD1L_GbNZo73pDKttbMk/view?usp=sharing" TargetMode="External"/><Relationship Id="rId359" Type="http://schemas.openxmlformats.org/officeDocument/2006/relationships/hyperlink" Target="https://drive.google.com/file/d/1UnopeTLP5wX5qhEwmR3awg7MrPwfahDm/view?usp=sharing" TargetMode="External"/><Relationship Id="rId116" Type="http://schemas.openxmlformats.org/officeDocument/2006/relationships/hyperlink" Target="https://drive.google.com/file/d/1MHH8JNW9zCp1l-n0ulQOa4UPONF6mf2h/view?usp=sharing" TargetMode="External"/><Relationship Id="rId237" Type="http://schemas.openxmlformats.org/officeDocument/2006/relationships/hyperlink" Target="https://drive.google.com/file/d/1W33sQDY2GCahZK_q2y3wrAMID0dJ835b/view?usp=sharing" TargetMode="External"/><Relationship Id="rId358" Type="http://schemas.openxmlformats.org/officeDocument/2006/relationships/hyperlink" Target="https://drive.google.com/file/d/1u-An0URwx9N69cHWj6oIBGa4JyJngHc0/view?usp=sharing" TargetMode="External"/><Relationship Id="rId115" Type="http://schemas.openxmlformats.org/officeDocument/2006/relationships/hyperlink" Target="https://drive.google.com/file/d/1qrqATyANys9k4igV3GiwPyPOaxfkX_W4/view?usp=sharing" TargetMode="External"/><Relationship Id="rId236" Type="http://schemas.openxmlformats.org/officeDocument/2006/relationships/hyperlink" Target="https://drive.google.com/file/d/1lrRXss7UAeXm0BKXGduQTcirMNbht7pZ/view?usp=sharing" TargetMode="External"/><Relationship Id="rId357" Type="http://schemas.openxmlformats.org/officeDocument/2006/relationships/hyperlink" Target="https://drive.google.com/file/d/1mmsotOHTgNK1LrB-NsEQs3DoQKexzXPY/view?usp=sharing" TargetMode="External"/><Relationship Id="rId119" Type="http://schemas.openxmlformats.org/officeDocument/2006/relationships/hyperlink" Target="https://drive.google.com/file/d/1AQwqF7fFrqgYrDonLyYOjpPt_raVr1ul/view?usp=sharing" TargetMode="External"/><Relationship Id="rId110" Type="http://schemas.openxmlformats.org/officeDocument/2006/relationships/hyperlink" Target="https://drive.google.com/file/d/1LAegy-2PqlKeRWfPXCcjR0oHDIROrLS7/view?usp=sharing" TargetMode="External"/><Relationship Id="rId231" Type="http://schemas.openxmlformats.org/officeDocument/2006/relationships/hyperlink" Target="https://drive.google.com/file/d/17j2t3fTAH3Vkni6mSMZCGwAmzXVWjm29/view?usp=sharing" TargetMode="External"/><Relationship Id="rId352" Type="http://schemas.openxmlformats.org/officeDocument/2006/relationships/hyperlink" Target="https://drive.google.com/file/d/1rkf64Y_lUpoHXUxT1CCMoBpKez4fCwzr/view?usp=sharing" TargetMode="External"/><Relationship Id="rId230" Type="http://schemas.openxmlformats.org/officeDocument/2006/relationships/hyperlink" Target="https://drive.google.com/file/d/1mA0AZlUgGqZchuKyz0k0tOeKCQAt_k-L/view?usp=sharing" TargetMode="External"/><Relationship Id="rId351" Type="http://schemas.openxmlformats.org/officeDocument/2006/relationships/hyperlink" Target="https://drive.google.com/file/d/1a4Y5j-htlJKRYxRD3MwqLUSHWriXZx1H/view?usp=sharing" TargetMode="External"/><Relationship Id="rId350" Type="http://schemas.openxmlformats.org/officeDocument/2006/relationships/hyperlink" Target="https://drive.google.com/file/d/1w1BriM6suS2GzPAhQpHvPExMzz8786q9/view?usp=sharing" TargetMode="External"/><Relationship Id="rId114" Type="http://schemas.openxmlformats.org/officeDocument/2006/relationships/hyperlink" Target="https://drive.google.com/file/d/1sa3kMoeNrV7fASbeXfUfJ3tJpIpWmUbx/view?usp=sharing" TargetMode="External"/><Relationship Id="rId235" Type="http://schemas.openxmlformats.org/officeDocument/2006/relationships/hyperlink" Target="https://drive.google.com/file/d/1E14dFi4j5E6AiImet-ye218oEJ2wFsN7/view?usp=sharing" TargetMode="External"/><Relationship Id="rId356" Type="http://schemas.openxmlformats.org/officeDocument/2006/relationships/hyperlink" Target="https://drive.google.com/file/d/1c3nhJi4zhfagNbk7LSccw0mJoabpDmdt/view?usp=sharing" TargetMode="External"/><Relationship Id="rId113" Type="http://schemas.openxmlformats.org/officeDocument/2006/relationships/hyperlink" Target="https://drive.google.com/file/d/1tCjnrvPTAO7wwlTc1_lT29x8LDtaGJfj/view?usp=sharing" TargetMode="External"/><Relationship Id="rId234" Type="http://schemas.openxmlformats.org/officeDocument/2006/relationships/hyperlink" Target="https://drive.google.com/file/d/1Q7SqaRG-V9pnc0IVowwOR6hay22BArZD/view?usp=sharing" TargetMode="External"/><Relationship Id="rId355" Type="http://schemas.openxmlformats.org/officeDocument/2006/relationships/hyperlink" Target="https://drive.google.com/file/d/1bwxBjqd6kBzqY_XbV5rUnsg5QTAomPK9/view?usp=sharing" TargetMode="External"/><Relationship Id="rId112" Type="http://schemas.openxmlformats.org/officeDocument/2006/relationships/hyperlink" Target="https://drive.google.com/file/d/1brqdlE-J3Akxn2m7iJaWH7wEFi4ypARV/view?usp=sharing" TargetMode="External"/><Relationship Id="rId233" Type="http://schemas.openxmlformats.org/officeDocument/2006/relationships/hyperlink" Target="https://drive.google.com/file/d/1FnPKRSsuqWzgicf0S83QfLRAcuzCVmkJ/view?usp=sharing" TargetMode="External"/><Relationship Id="rId354" Type="http://schemas.openxmlformats.org/officeDocument/2006/relationships/hyperlink" Target="https://drive.google.com/file/d/1Klp5EtupPfLOgHZZIJj_GGU0yINfvlea/view?usp=sharing" TargetMode="External"/><Relationship Id="rId111" Type="http://schemas.openxmlformats.org/officeDocument/2006/relationships/hyperlink" Target="https://drive.google.com/file/d/1Fn31vwn5T5x7C3-sYvUkkXVMc5B4eKHh/view?usp=sharing" TargetMode="External"/><Relationship Id="rId232" Type="http://schemas.openxmlformats.org/officeDocument/2006/relationships/hyperlink" Target="https://drive.google.com/file/d/1jZCjNuTCZu6IP9Xls8QV61CWcPKU6Un3/view?usp=sharing" TargetMode="External"/><Relationship Id="rId353" Type="http://schemas.openxmlformats.org/officeDocument/2006/relationships/hyperlink" Target="https://drive.google.com/file/d/1qjVd-u6U65u17S4OSrr6Z1Tmk-fPTQ_5/view?usp=sharing" TargetMode="External"/><Relationship Id="rId305" Type="http://schemas.openxmlformats.org/officeDocument/2006/relationships/hyperlink" Target="https://drive.google.com/file/d/1ulV2etxBtsP6OaCaJxbNthCbRTVqq0YW/view?usp=sharing" TargetMode="External"/><Relationship Id="rId304" Type="http://schemas.openxmlformats.org/officeDocument/2006/relationships/hyperlink" Target="https://drive.google.com/file/d/1jAClA1v5VhgNt0JYAT3NWqfOp1V14qsB/view?usp=sharing" TargetMode="External"/><Relationship Id="rId303" Type="http://schemas.openxmlformats.org/officeDocument/2006/relationships/hyperlink" Target="https://drive.google.com/file/d/1PH0YMWniXhGj_agn1I_UFFpqZEMm3BZ9/view?usp=sharing" TargetMode="External"/><Relationship Id="rId302" Type="http://schemas.openxmlformats.org/officeDocument/2006/relationships/hyperlink" Target="https://drive.google.com/file/d/1U0CK9cM9d-j5cM67bRK3rEc7Qk4_bwfD/view?usp=sharing" TargetMode="External"/><Relationship Id="rId309" Type="http://schemas.openxmlformats.org/officeDocument/2006/relationships/hyperlink" Target="https://drive.google.com/file/d/1SqgmvgAzmGwCLOK8acHF1LeKq_HRQa19/view?usp=sharing" TargetMode="External"/><Relationship Id="rId308" Type="http://schemas.openxmlformats.org/officeDocument/2006/relationships/hyperlink" Target="https://drive.google.com/file/d/19X8wyKfH83kCc3-X7qQtZzOtzs07JYdN/view?usp=sharing" TargetMode="External"/><Relationship Id="rId307" Type="http://schemas.openxmlformats.org/officeDocument/2006/relationships/hyperlink" Target="https://drive.google.com/file/d/1RzBh4R7sHrSkQXXqys39GcDHfJX8xisE/view?usp=sharing" TargetMode="External"/><Relationship Id="rId306" Type="http://schemas.openxmlformats.org/officeDocument/2006/relationships/hyperlink" Target="https://drive.google.com/file/d/1DQB-7RrmCtoDC9aeJm-D1hx9Y9eQa7hj/view?usp=sharing" TargetMode="External"/><Relationship Id="rId301" Type="http://schemas.openxmlformats.org/officeDocument/2006/relationships/hyperlink" Target="https://drive.google.com/file/d/1IQ4Rm5j37ktZS2BmS-KNiZtuVK0vrZim/view?usp=sharing" TargetMode="External"/><Relationship Id="rId300" Type="http://schemas.openxmlformats.org/officeDocument/2006/relationships/hyperlink" Target="https://drive.google.com/file/d/1FfhXlfcCcDhQtS4SEwViHN99E1acbAzs/view?usp=sharing" TargetMode="External"/><Relationship Id="rId206" Type="http://schemas.openxmlformats.org/officeDocument/2006/relationships/hyperlink" Target="https://drive.google.com/file/d/1PTFD67b0i2MU3LXZU3rEG3Y_z8Z6yJSs/view?usp=sharing" TargetMode="External"/><Relationship Id="rId327" Type="http://schemas.openxmlformats.org/officeDocument/2006/relationships/hyperlink" Target="https://drive.google.com/file/d/1rmjZI5_yPd7P-ynBOGxi9R8_XJfY0DzO/view?usp=sharing" TargetMode="External"/><Relationship Id="rId205" Type="http://schemas.openxmlformats.org/officeDocument/2006/relationships/hyperlink" Target="https://drive.google.com/file/d/1ctdqZQ08dbp5Hhqom1Qb2fqGcf8QvpdX/view?usp=sharing" TargetMode="External"/><Relationship Id="rId326" Type="http://schemas.openxmlformats.org/officeDocument/2006/relationships/hyperlink" Target="https://drive.google.com/file/d/1AoXaDShyx-hdxrtPevzx4qeoNcvWpF-L/view?usp=sharing" TargetMode="External"/><Relationship Id="rId204" Type="http://schemas.openxmlformats.org/officeDocument/2006/relationships/hyperlink" Target="https://drive.google.com/file/d/1SDc9mSqyVNcq0HvW2HSVpYUQZJGK8S6g/view?usp=sharing" TargetMode="External"/><Relationship Id="rId325" Type="http://schemas.openxmlformats.org/officeDocument/2006/relationships/hyperlink" Target="https://drive.google.com/file/d/1-gQauCyfcKcSf49Q8j5JgTh1ZvXL8h8C/view?usp=sharing" TargetMode="External"/><Relationship Id="rId203" Type="http://schemas.openxmlformats.org/officeDocument/2006/relationships/hyperlink" Target="https://drive.google.com/file/d/1faxMowlHOq3WD49PgIUjzL8BYFKO0N5s/view?usp=sharing" TargetMode="External"/><Relationship Id="rId324" Type="http://schemas.openxmlformats.org/officeDocument/2006/relationships/hyperlink" Target="https://drive.google.com/file/d/1IpCFmd3tKXEzkSbghJniW_Z8GZmzbNRG/view?usp=sharing" TargetMode="External"/><Relationship Id="rId209" Type="http://schemas.openxmlformats.org/officeDocument/2006/relationships/hyperlink" Target="https://drive.google.com/file/d/1ZngfTVddbaj5kbWBb-9QjKEPXc_3JMPP/view?usp=sharing" TargetMode="External"/><Relationship Id="rId208" Type="http://schemas.openxmlformats.org/officeDocument/2006/relationships/hyperlink" Target="https://drive.google.com/file/d/1l51gJfvTYT-dhdvThVUxAiVjHGe_JacG/view?usp=sharing" TargetMode="External"/><Relationship Id="rId329" Type="http://schemas.openxmlformats.org/officeDocument/2006/relationships/hyperlink" Target="https://drive.google.com/file/d/1FTQACGQtztbfNjpkgGk80tW8ApoBnfpl/view?usp=sharing" TargetMode="External"/><Relationship Id="rId207" Type="http://schemas.openxmlformats.org/officeDocument/2006/relationships/hyperlink" Target="https://drive.google.com/file/d/1FI3ovL8i93GJg5h3iLp-kKkO8QSA22hi/view?usp=sharing" TargetMode="External"/><Relationship Id="rId328" Type="http://schemas.openxmlformats.org/officeDocument/2006/relationships/hyperlink" Target="https://drive.google.com/file/d/1JFicvQbREJLdXWUi33UYpF0LQXhPmyTC/view?usp=sharing" TargetMode="External"/><Relationship Id="rId202" Type="http://schemas.openxmlformats.org/officeDocument/2006/relationships/hyperlink" Target="https://drive.google.com/file/d/1RHAbJ1tEQdp4Yzc-TbMWVPZ1DJDCjCEN/view?usp=sharing" TargetMode="External"/><Relationship Id="rId323" Type="http://schemas.openxmlformats.org/officeDocument/2006/relationships/hyperlink" Target="https://drive.google.com/file/d/1w_SUopiBXPvn7YQV_dyo_8EZ92ObBhkm/view?usp=sharing" TargetMode="External"/><Relationship Id="rId201" Type="http://schemas.openxmlformats.org/officeDocument/2006/relationships/hyperlink" Target="https://drive.google.com/file/d/1QgrQor-5C40xIAso3K36ZmB8yyobZKGo/view?usp=sharing" TargetMode="External"/><Relationship Id="rId322" Type="http://schemas.openxmlformats.org/officeDocument/2006/relationships/hyperlink" Target="https://drive.google.com/file/d/10w8RbGmMGpIW9-E8aV8wO7a30oJg6aqG/view?usp=sharing" TargetMode="External"/><Relationship Id="rId200" Type="http://schemas.openxmlformats.org/officeDocument/2006/relationships/hyperlink" Target="https://drive.google.com/file/d/1CTJeeKk1fH_4x-VcfVNBUN4KpjVq8Io9/view?usp=sharing" TargetMode="External"/><Relationship Id="rId321" Type="http://schemas.openxmlformats.org/officeDocument/2006/relationships/hyperlink" Target="https://drive.google.com/file/d/1VaAvlSgfcEmOaiI3vdlbuAdaaPF3sG7k/view?usp=sharing" TargetMode="External"/><Relationship Id="rId320" Type="http://schemas.openxmlformats.org/officeDocument/2006/relationships/hyperlink" Target="https://drive.google.com/file/d/1uozaFg15cbkHC39SltFAjvE26o15WORL/view?usp=sharing" TargetMode="External"/><Relationship Id="rId316" Type="http://schemas.openxmlformats.org/officeDocument/2006/relationships/hyperlink" Target="https://drive.google.com/file/d/1a760WdCBtq4gRWfHd-UNJq3Hr3Rnm0wP/view?usp=sharing" TargetMode="External"/><Relationship Id="rId315" Type="http://schemas.openxmlformats.org/officeDocument/2006/relationships/hyperlink" Target="https://drive.google.com/file/d/1r3LwD3fkzyls_GsDoeeqq5c5U8Srm5s7/view?usp=sharing" TargetMode="External"/><Relationship Id="rId314" Type="http://schemas.openxmlformats.org/officeDocument/2006/relationships/hyperlink" Target="https://drive.google.com/file/d/1VEtYjUQMeAUHn9Jb2DxePkbpo6da8zFN/view?usp=sharing" TargetMode="External"/><Relationship Id="rId313" Type="http://schemas.openxmlformats.org/officeDocument/2006/relationships/hyperlink" Target="https://drive.google.com/file/d/1QLDWGoZJtTNLr-nfabAYB1baxXzf1vz6/view?usp=sharing" TargetMode="External"/><Relationship Id="rId319" Type="http://schemas.openxmlformats.org/officeDocument/2006/relationships/hyperlink" Target="https://drive.google.com/file/d/1Q4-QDIuLqBmxTPLGPs6oIxKwdmRc_bpl/view?usp=sharing" TargetMode="External"/><Relationship Id="rId318" Type="http://schemas.openxmlformats.org/officeDocument/2006/relationships/hyperlink" Target="https://drive.google.com/file/d/1bGNOW63v-g4mj9CEI6QG6ly2UQt2lxoT/view?usp=sharing" TargetMode="External"/><Relationship Id="rId317" Type="http://schemas.openxmlformats.org/officeDocument/2006/relationships/hyperlink" Target="https://drive.google.com/file/d/1ryK3BxQ1GaIZfJsNAfiqgx_plRpkdKIk/view?usp=sharing" TargetMode="External"/><Relationship Id="rId312" Type="http://schemas.openxmlformats.org/officeDocument/2006/relationships/hyperlink" Target="https://drive.google.com/file/d/1GrCaiYDGYgjp7sTZGzDdpUypf0ogJ7Ef/view?usp=sharing" TargetMode="External"/><Relationship Id="rId311" Type="http://schemas.openxmlformats.org/officeDocument/2006/relationships/hyperlink" Target="https://drive.google.com/file/d/1qgE3OrlFYh3kzPPJHxaSwf_yM6zJyNX7/view?usp=sharing" TargetMode="External"/><Relationship Id="rId310" Type="http://schemas.openxmlformats.org/officeDocument/2006/relationships/hyperlink" Target="https://drive.google.com/file/d/1803fm6admi_EbNwItTtabaJUjuk_xXLI/view?usp=sharing"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rive.google.com/file/d/1BrbAsnuvL7ny_9Pe2zsULeeK26Jvw37g/view?usp=sharing" TargetMode="External"/><Relationship Id="rId2" Type="http://schemas.openxmlformats.org/officeDocument/2006/relationships/hyperlink" Target="https://drive.google.com/file/d/1ukop17AeM0sRJPD04Pp_25QHoLPAuMVY/view?usp=sharing" TargetMode="External"/><Relationship Id="rId3" Type="http://schemas.openxmlformats.org/officeDocument/2006/relationships/hyperlink" Target="https://drive.google.com/file/d/14O3w2BGJ7hO9GcUCffMsy00tJPqyFYZp/view?usp=sharing" TargetMode="External"/><Relationship Id="rId4" Type="http://schemas.openxmlformats.org/officeDocument/2006/relationships/hyperlink" Target="https://drive.google.com/file/d/1ZN5klmcuJhHXOlKi5bpEYDp4Aj6924g6/view?usp=sharing" TargetMode="External"/><Relationship Id="rId9" Type="http://schemas.openxmlformats.org/officeDocument/2006/relationships/hyperlink" Target="https://drive.google.com/file/d/18GWSDMRpgcp_UPkyisHMd7aT4kaTF5JN/view?usp=sharing" TargetMode="External"/><Relationship Id="rId5" Type="http://schemas.openxmlformats.org/officeDocument/2006/relationships/hyperlink" Target="https://drive.google.com/file/d/1cLQCMluVXAS_0X8xtw_MYwZ0bt71Y2cV/view?usp=sharing" TargetMode="External"/><Relationship Id="rId6" Type="http://schemas.openxmlformats.org/officeDocument/2006/relationships/hyperlink" Target="https://drive.google.com/file/d/1vDyVG1HJf6uz9ows-TZqVbGzIory9jCy/view?usp=sharing" TargetMode="External"/><Relationship Id="rId7" Type="http://schemas.openxmlformats.org/officeDocument/2006/relationships/hyperlink" Target="https://drive.google.com/file/d/1HFwc7SFOhLl5elb97o8TKPoSZaekpLT-/view?usp=sharing" TargetMode="External"/><Relationship Id="rId8" Type="http://schemas.openxmlformats.org/officeDocument/2006/relationships/hyperlink" Target="https://drive.google.com/file/d/1Udfzjo-v-UirhqqQlfzfG2cCf4eXQbGD/view?usp=sharing" TargetMode="External"/><Relationship Id="rId132" Type="http://schemas.openxmlformats.org/officeDocument/2006/relationships/hyperlink" Target="https://drive.google.com/file/d/1J6mdLUhSkZdRAuoCkIOhwzkWbIrprJzz/view?usp=sharing" TargetMode="External"/><Relationship Id="rId131" Type="http://schemas.openxmlformats.org/officeDocument/2006/relationships/hyperlink" Target="https://drive.google.com/file/d/1wBZ3Pg02dl2MayfY6K53Cg0j9dAIE5a8/view?usp=sharing" TargetMode="External"/><Relationship Id="rId130" Type="http://schemas.openxmlformats.org/officeDocument/2006/relationships/hyperlink" Target="https://drive.google.com/file/d/1S552bdRba_0MT-wVjCmne-6nQvHmILaD/view?usp=sharing" TargetMode="External"/><Relationship Id="rId134" Type="http://schemas.openxmlformats.org/officeDocument/2006/relationships/drawing" Target="../drawings/drawing22.xml"/><Relationship Id="rId133" Type="http://schemas.openxmlformats.org/officeDocument/2006/relationships/hyperlink" Target="https://drive.google.com/file/d/1jAfHdCMjaZ87Ud_5lJeqMODQk5EBiYd4/view?usp=sharing" TargetMode="External"/><Relationship Id="rId40" Type="http://schemas.openxmlformats.org/officeDocument/2006/relationships/hyperlink" Target="https://drive.google.com/file/d/1NaGXbzwAIYCFQW3g-xabcyQRpwKQy3yY/view?usp=sharing" TargetMode="External"/><Relationship Id="rId42" Type="http://schemas.openxmlformats.org/officeDocument/2006/relationships/hyperlink" Target="https://drive.google.com/file/d/1ZOsYV26PxWGi9_iljWhlJMXqkN3LsVan/view?usp=sharing" TargetMode="External"/><Relationship Id="rId41" Type="http://schemas.openxmlformats.org/officeDocument/2006/relationships/hyperlink" Target="https://drive.google.com/file/d/181zk4DfmVKDF0i3k57-qIYC-CzVPSHeg/view?usp=sharing" TargetMode="External"/><Relationship Id="rId44" Type="http://schemas.openxmlformats.org/officeDocument/2006/relationships/hyperlink" Target="https://drive.google.com/file/d/1qY2dGN5gE4hxpuXeTk7V8l7YicqtzEv3/view?usp=sharing" TargetMode="External"/><Relationship Id="rId43" Type="http://schemas.openxmlformats.org/officeDocument/2006/relationships/hyperlink" Target="https://drive.google.com/file/d/1WN-_3mzSD1XHEKk9bk9Flcl70urrd2Jx/view?usp=sharing" TargetMode="External"/><Relationship Id="rId46" Type="http://schemas.openxmlformats.org/officeDocument/2006/relationships/hyperlink" Target="https://drive.google.com/file/d/18L4KaHqvkhQy3dMjHQQxyfPn4SreOdgp/view?usp=sharing" TargetMode="External"/><Relationship Id="rId45" Type="http://schemas.openxmlformats.org/officeDocument/2006/relationships/hyperlink" Target="https://drive.google.com/file/d/1psjv0fAIQ4Gk1bTTM6WBYa-aRe4Liaqz/view?usp=sharing" TargetMode="External"/><Relationship Id="rId48" Type="http://schemas.openxmlformats.org/officeDocument/2006/relationships/hyperlink" Target="https://drive.google.com/file/d/1kEWzPONPthG-dH3cnqOUVvFbl4VdfUHm/view?usp=sharing" TargetMode="External"/><Relationship Id="rId47" Type="http://schemas.openxmlformats.org/officeDocument/2006/relationships/hyperlink" Target="https://drive.google.com/file/d/1Tn-j8B14oexRaTneTZ3FbiuVdPmBjKyc/view?usp=sharing" TargetMode="External"/><Relationship Id="rId49" Type="http://schemas.openxmlformats.org/officeDocument/2006/relationships/hyperlink" Target="https://drive.google.com/file/d/1nj_CKI1Hc5VjxideSJjQqLcnk0CSkUNk/view?usp=sharing" TargetMode="External"/><Relationship Id="rId31" Type="http://schemas.openxmlformats.org/officeDocument/2006/relationships/hyperlink" Target="https://drive.google.com/file/d/1s_nTVw6smFRovGfzBXbzhv7zxr_SB7bx/view?usp=sharing" TargetMode="External"/><Relationship Id="rId30" Type="http://schemas.openxmlformats.org/officeDocument/2006/relationships/hyperlink" Target="https://drive.google.com/file/d/1Ig-MMk1Eg-N5HehFOChaYu89Rr4B0X2n/view?usp=sharing" TargetMode="External"/><Relationship Id="rId33" Type="http://schemas.openxmlformats.org/officeDocument/2006/relationships/hyperlink" Target="https://drive.google.com/file/d/1kZaryQfcFjQa2k0ZQ604zYU8oxGA734g/view?usp=sharing" TargetMode="External"/><Relationship Id="rId32" Type="http://schemas.openxmlformats.org/officeDocument/2006/relationships/hyperlink" Target="https://drive.google.com/file/d/1xxWqxOQzmuVcVvrx7dlUi5ZJcol6x84r/view?usp=sharing" TargetMode="External"/><Relationship Id="rId35" Type="http://schemas.openxmlformats.org/officeDocument/2006/relationships/hyperlink" Target="https://drive.google.com/file/d/1rUyPHmRvVt3kQAV44CZfTEJV8ZTZjzN9/view?usp=sharing" TargetMode="External"/><Relationship Id="rId34" Type="http://schemas.openxmlformats.org/officeDocument/2006/relationships/hyperlink" Target="https://drive.google.com/file/d/1DebPPFR1vKLRgrFiFt1BroRNb55yYYW7/view?usp=sharing" TargetMode="External"/><Relationship Id="rId37" Type="http://schemas.openxmlformats.org/officeDocument/2006/relationships/hyperlink" Target="https://drive.google.com/file/d/1H3iyjQJozVkjFd7GVZxrjscc-CXVDkO_/view?usp=sharing" TargetMode="External"/><Relationship Id="rId36" Type="http://schemas.openxmlformats.org/officeDocument/2006/relationships/hyperlink" Target="https://drive.google.com/file/d/1Vu5qXB9nmgWK6WCS-JPH_L4AZqkAngOQ/view?usp=sharing" TargetMode="External"/><Relationship Id="rId39" Type="http://schemas.openxmlformats.org/officeDocument/2006/relationships/hyperlink" Target="https://drive.google.com/file/d/1m2cLLLwiSn0D9N5wEXe5ukb08NQu199v/view?usp=sharing" TargetMode="External"/><Relationship Id="rId38" Type="http://schemas.openxmlformats.org/officeDocument/2006/relationships/hyperlink" Target="https://drive.google.com/file/d/1tSZj0RyBBNh8eBPHlaGyRDozY3DQo_m6/view?usp=sharing" TargetMode="External"/><Relationship Id="rId20" Type="http://schemas.openxmlformats.org/officeDocument/2006/relationships/hyperlink" Target="https://drive.google.com/file/d/1KLOht4mRNH0PpqLqHHyJSeD_8sNNyYl_/view?usp=sharing" TargetMode="External"/><Relationship Id="rId22" Type="http://schemas.openxmlformats.org/officeDocument/2006/relationships/hyperlink" Target="https://drive.google.com/file/d/12FjsKGsnszs8mOJkGCs22k1f8ITqEsed/view?usp=sharing" TargetMode="External"/><Relationship Id="rId21" Type="http://schemas.openxmlformats.org/officeDocument/2006/relationships/hyperlink" Target="https://drive.google.com/file/d/1aZevKrguvk0QnUCP22oCxzed0FI0l16q/view?usp=sharing" TargetMode="External"/><Relationship Id="rId24" Type="http://schemas.openxmlformats.org/officeDocument/2006/relationships/hyperlink" Target="https://drive.google.com/file/d/1EUcMsFY-FPeAyxgIs2qcUsbsWGuMp2fA/view?usp=sharing" TargetMode="External"/><Relationship Id="rId23" Type="http://schemas.openxmlformats.org/officeDocument/2006/relationships/hyperlink" Target="https://drive.google.com/file/d/1pJyS0BUYvfGia9vdtP86gQicA6q2y5pW/view?usp=sharing" TargetMode="External"/><Relationship Id="rId26" Type="http://schemas.openxmlformats.org/officeDocument/2006/relationships/hyperlink" Target="https://drive.google.com/file/d/1OiTxh0NaaQFZkTfh-3AeukbVWU-sAzWs/view?usp=sharing" TargetMode="External"/><Relationship Id="rId25" Type="http://schemas.openxmlformats.org/officeDocument/2006/relationships/hyperlink" Target="https://drive.google.com/file/d/1hMS6_7N1AuC8JEscL7XJXKqbkOIHjGyB/view?usp=sharing" TargetMode="External"/><Relationship Id="rId28" Type="http://schemas.openxmlformats.org/officeDocument/2006/relationships/hyperlink" Target="https://drive.google.com/file/d/1WJoAdZLJayKRs7_mhnG-G__n7w0OpDXo/view?usp=sharing" TargetMode="External"/><Relationship Id="rId27" Type="http://schemas.openxmlformats.org/officeDocument/2006/relationships/hyperlink" Target="https://drive.google.com/file/d/1nWlTrdF6oAIbh5paJBNmf8A8sTwiUj5j/view?usp=sharing" TargetMode="External"/><Relationship Id="rId29" Type="http://schemas.openxmlformats.org/officeDocument/2006/relationships/hyperlink" Target="https://drive.google.com/file/d/12sHDosDuF_KSXkaMDcHqzYKu4t1eYX_V/view?usp=sharing" TargetMode="External"/><Relationship Id="rId11" Type="http://schemas.openxmlformats.org/officeDocument/2006/relationships/hyperlink" Target="https://drive.google.com/file/d/1iLzHRU4F-IsU2oRoUiRbNIsjU-wXwIlI/view?usp=sharing" TargetMode="External"/><Relationship Id="rId10" Type="http://schemas.openxmlformats.org/officeDocument/2006/relationships/hyperlink" Target="https://drive.google.com/file/d/10RbetVIYM0vpHOy8rYGwSIjA6BD5bgiq/view?usp=sharing" TargetMode="External"/><Relationship Id="rId13" Type="http://schemas.openxmlformats.org/officeDocument/2006/relationships/hyperlink" Target="https://drive.google.com/file/d/1xjDUTIKPJezJeECWoZ6dNtxnNysNYoCW/view?usp=sharing" TargetMode="External"/><Relationship Id="rId12" Type="http://schemas.openxmlformats.org/officeDocument/2006/relationships/hyperlink" Target="https://drive.google.com/file/d/1qo7C723ekbKg-pEjEtpEJq4YIIlL6uIj/view?usp=sharing" TargetMode="External"/><Relationship Id="rId15" Type="http://schemas.openxmlformats.org/officeDocument/2006/relationships/hyperlink" Target="https://drive.google.com/file/d/1PrlKnxwzhdmFehPxnYMV2otLyaVl7elG/view?usp=sharing" TargetMode="External"/><Relationship Id="rId14" Type="http://schemas.openxmlformats.org/officeDocument/2006/relationships/hyperlink" Target="https://drive.google.com/file/d/1FuTiNxNZeHUlP_UNnv6E5eU8iYEG69ns/view?usp=sharing" TargetMode="External"/><Relationship Id="rId17" Type="http://schemas.openxmlformats.org/officeDocument/2006/relationships/hyperlink" Target="https://drive.google.com/file/d/1LH5WF3rEEjOpVHjkRTlRwFatDyy8CWDb/view?usp=sharing" TargetMode="External"/><Relationship Id="rId16" Type="http://schemas.openxmlformats.org/officeDocument/2006/relationships/hyperlink" Target="https://drive.google.com/file/d/1qy_oVQ-Lujo4f_hI0OwlXvfMT5S5RDPL/view?usp=sharing" TargetMode="External"/><Relationship Id="rId19" Type="http://schemas.openxmlformats.org/officeDocument/2006/relationships/hyperlink" Target="https://drive.google.com/file/d/1c4mpqyhacPO-bm9cD0H9DhzVsWSnyNMr/view?usp=sharing" TargetMode="External"/><Relationship Id="rId18" Type="http://schemas.openxmlformats.org/officeDocument/2006/relationships/hyperlink" Target="https://drive.google.com/file/d/1NjnC4f2aBXZE_3ZwjT87XGcARYG8nNCo/view?usp=sharing" TargetMode="External"/><Relationship Id="rId84" Type="http://schemas.openxmlformats.org/officeDocument/2006/relationships/hyperlink" Target="https://drive.google.com/file/d/171q5aTAmHMpYkVbj_6SiI7UTAFySeVEB/view?usp=sharing" TargetMode="External"/><Relationship Id="rId83" Type="http://schemas.openxmlformats.org/officeDocument/2006/relationships/hyperlink" Target="https://drive.google.com/file/d/1TONN69Xym1ZxhQguOR177uhzvCYy7YQT/view?usp=sharing" TargetMode="External"/><Relationship Id="rId86" Type="http://schemas.openxmlformats.org/officeDocument/2006/relationships/hyperlink" Target="https://drive.google.com/file/d/1SDmTGlKKukb0XEqUpSouYtH-TOenGsJi/view?usp=sharing" TargetMode="External"/><Relationship Id="rId85" Type="http://schemas.openxmlformats.org/officeDocument/2006/relationships/hyperlink" Target="https://drive.google.com/file/d/19sLNHWUpvbkX1_iS3lC4RDE71w8dLr2b/view?usp=sharing" TargetMode="External"/><Relationship Id="rId88" Type="http://schemas.openxmlformats.org/officeDocument/2006/relationships/hyperlink" Target="https://drive.google.com/file/d/1D2ae682J_5nGO4cOXSHSrcFXYfKnuFdq/view?usp=sharing" TargetMode="External"/><Relationship Id="rId87" Type="http://schemas.openxmlformats.org/officeDocument/2006/relationships/hyperlink" Target="https://drive.google.com/file/d/1GfFzSVLu89ogE64gj-W8TRzkhpSbht3d/view?usp=sharing" TargetMode="External"/><Relationship Id="rId89" Type="http://schemas.openxmlformats.org/officeDocument/2006/relationships/hyperlink" Target="https://drive.google.com/file/d/1Zx8_Cjigtb6dNXsSmgk4rDBfjNRxqgWz/view?usp=sharing" TargetMode="External"/><Relationship Id="rId80" Type="http://schemas.openxmlformats.org/officeDocument/2006/relationships/hyperlink" Target="https://drive.google.com/file/d/1Go6sJtQ6bYkN29F-At_mGVYXdKcGLAGF/view?usp=sharing" TargetMode="External"/><Relationship Id="rId82" Type="http://schemas.openxmlformats.org/officeDocument/2006/relationships/hyperlink" Target="https://drive.google.com/file/d/1cA6tihg0FRVyypcNWo5NWl25o4Afk3So/view?usp=sharing" TargetMode="External"/><Relationship Id="rId81" Type="http://schemas.openxmlformats.org/officeDocument/2006/relationships/hyperlink" Target="https://drive.google.com/file/d/13OjrWHV-zsqGeG-IT8GS5SB5x0SxJMsw/view?usp=sharing" TargetMode="External"/><Relationship Id="rId73" Type="http://schemas.openxmlformats.org/officeDocument/2006/relationships/hyperlink" Target="https://drive.google.com/file/d/1Ry5iTNKcEHv347ifbZJo_e0QHwH618Ak/view?usp=sharing" TargetMode="External"/><Relationship Id="rId72" Type="http://schemas.openxmlformats.org/officeDocument/2006/relationships/hyperlink" Target="https://drive.google.com/file/d/1a7vr1IuqugtTZQtZoAVPJNtmJTxvdHWx/view?usp=sharing" TargetMode="External"/><Relationship Id="rId75" Type="http://schemas.openxmlformats.org/officeDocument/2006/relationships/hyperlink" Target="https://drive.google.com/file/d/1ngvtoQ3P99DDg0JT8u1xjAj8qoLB8xHs/view?usp=sharing" TargetMode="External"/><Relationship Id="rId74" Type="http://schemas.openxmlformats.org/officeDocument/2006/relationships/hyperlink" Target="https://drive.google.com/file/d/1Ad44xv4nBIRR2gP6WwBXPrHQsN2-GDuH/view?usp=sharing" TargetMode="External"/><Relationship Id="rId77" Type="http://schemas.openxmlformats.org/officeDocument/2006/relationships/hyperlink" Target="https://drive.google.com/file/d/1wIGBCf4FwDP0fBpq0iHekce3cI0le_zY/view?usp=sharing" TargetMode="External"/><Relationship Id="rId76" Type="http://schemas.openxmlformats.org/officeDocument/2006/relationships/hyperlink" Target="https://drive.google.com/file/d/1kKwhVyZgGMYCxMLRnU9_EWOpnw_aMCa6/view?usp=sharing" TargetMode="External"/><Relationship Id="rId79" Type="http://schemas.openxmlformats.org/officeDocument/2006/relationships/hyperlink" Target="https://drive.google.com/file/d/1HtUXQal-hJjjVDm5BI5lUpyFFGwUBr6P/view?usp=sharing" TargetMode="External"/><Relationship Id="rId78" Type="http://schemas.openxmlformats.org/officeDocument/2006/relationships/hyperlink" Target="https://drive.google.com/file/d/1CL7_6qFsng1-cNreOqRNh_t95OzrUV4_/view?usp=sharing" TargetMode="External"/><Relationship Id="rId71" Type="http://schemas.openxmlformats.org/officeDocument/2006/relationships/hyperlink" Target="https://drive.google.com/file/d/1RDUdDm2YE7f-9aj5slXLAJSCOB8It205/view?usp=sharing" TargetMode="External"/><Relationship Id="rId70" Type="http://schemas.openxmlformats.org/officeDocument/2006/relationships/hyperlink" Target="https://drive.google.com/file/d/1vzHxkxQxFZkmUVatJdZHrIJz3uQW-4zk/view?usp=sharing" TargetMode="External"/><Relationship Id="rId62" Type="http://schemas.openxmlformats.org/officeDocument/2006/relationships/hyperlink" Target="https://drive.google.com/file/d/1qgpANGG3gPIKsrEq97GGWGhwO1FTR1xa/view?usp=sharing" TargetMode="External"/><Relationship Id="rId61" Type="http://schemas.openxmlformats.org/officeDocument/2006/relationships/hyperlink" Target="https://drive.google.com/file/d/1WWawVfLjOoCuoL7McVrG3I1Z9xKatEDo/view?usp=sharing" TargetMode="External"/><Relationship Id="rId64" Type="http://schemas.openxmlformats.org/officeDocument/2006/relationships/hyperlink" Target="https://drive.google.com/file/d/1NnTOy2PXQfAl_SlCgAQohMVM346fEKnd/view?usp=sharing" TargetMode="External"/><Relationship Id="rId63" Type="http://schemas.openxmlformats.org/officeDocument/2006/relationships/hyperlink" Target="https://drive.google.com/file/d/17jkLZrG4T4Dzl-Njqgu4HpQPMv6v1WLQ/view?usp=sharing" TargetMode="External"/><Relationship Id="rId66" Type="http://schemas.openxmlformats.org/officeDocument/2006/relationships/hyperlink" Target="https://drive.google.com/file/d/1WttEm0lUUkGicWKKJrYl3CPN1-KQNrcn/view?usp=sharing" TargetMode="External"/><Relationship Id="rId65" Type="http://schemas.openxmlformats.org/officeDocument/2006/relationships/hyperlink" Target="https://drive.google.com/file/d/1D7rDYCyAgPCsF-kEZcYG9r6zZ8dGO_EL/view?usp=sharing" TargetMode="External"/><Relationship Id="rId68" Type="http://schemas.openxmlformats.org/officeDocument/2006/relationships/hyperlink" Target="https://drive.google.com/file/d/1UCPrTzOEMWIY5jLasU4q-hX9XpJ3LpyS/view?usp=sharing" TargetMode="External"/><Relationship Id="rId67" Type="http://schemas.openxmlformats.org/officeDocument/2006/relationships/hyperlink" Target="https://drive.google.com/file/d/1dOcn4_93J6BN_6Ffozto-vbcMOud6PVw/view?usp=sharing" TargetMode="External"/><Relationship Id="rId60" Type="http://schemas.openxmlformats.org/officeDocument/2006/relationships/hyperlink" Target="https://drive.google.com/file/d/1Eymgw1zpI9GVDivp1LCfISRbe7fxlUaG/view?usp=sharing" TargetMode="External"/><Relationship Id="rId69" Type="http://schemas.openxmlformats.org/officeDocument/2006/relationships/hyperlink" Target="https://drive.google.com/file/d/1EthNGfQUakmdFH3v7Z4UOz8HY00Rpe4K/view?usp=sharing" TargetMode="External"/><Relationship Id="rId51" Type="http://schemas.openxmlformats.org/officeDocument/2006/relationships/hyperlink" Target="https://drive.google.com/file/d/1yWqcSkVeflnsnUZ45r09-PHe0Fon78-k/view?usp=sharing" TargetMode="External"/><Relationship Id="rId50" Type="http://schemas.openxmlformats.org/officeDocument/2006/relationships/hyperlink" Target="https://drive.google.com/file/d/1x8qsgBmXDhsDhJQvBl3-C9zEL_jMIuor/view?usp=sharing" TargetMode="External"/><Relationship Id="rId53" Type="http://schemas.openxmlformats.org/officeDocument/2006/relationships/hyperlink" Target="https://drive.google.com/file/d/1bP3VE_8bmvDva2NfAGq29IuOORL21hCQ/view?usp=sharing" TargetMode="External"/><Relationship Id="rId52" Type="http://schemas.openxmlformats.org/officeDocument/2006/relationships/hyperlink" Target="https://drive.google.com/file/d/11JWa_DJ6YsAQs3iWdMlATPUDY1X-TUvH/view?usp=sharing" TargetMode="External"/><Relationship Id="rId55" Type="http://schemas.openxmlformats.org/officeDocument/2006/relationships/hyperlink" Target="https://drive.google.com/file/d/14ePxU2sLC6XyLkzFZTJn-49GEAWzcYDl/view?usp=sharing" TargetMode="External"/><Relationship Id="rId54" Type="http://schemas.openxmlformats.org/officeDocument/2006/relationships/hyperlink" Target="https://drive.google.com/file/d/1xFguoTwAN1xhcQnvs6KechurZlNv-a8C/view?usp=sharing" TargetMode="External"/><Relationship Id="rId57" Type="http://schemas.openxmlformats.org/officeDocument/2006/relationships/hyperlink" Target="https://drive.google.com/file/d/1sIqTDGxFSaZ7LuMvj3vB9pNSE46Dk4WD/view?usp=sharing" TargetMode="External"/><Relationship Id="rId56" Type="http://schemas.openxmlformats.org/officeDocument/2006/relationships/hyperlink" Target="https://drive.google.com/file/d/12nl8_KndtrXWxPuDrzo9sXfhIXP1jcSf/view?usp=sharing" TargetMode="External"/><Relationship Id="rId59" Type="http://schemas.openxmlformats.org/officeDocument/2006/relationships/hyperlink" Target="https://drive.google.com/file/d/1X4BTvVIxAyCGkkASDp6Zmg2DJwUkrU2M/view?usp=sharing" TargetMode="External"/><Relationship Id="rId58" Type="http://schemas.openxmlformats.org/officeDocument/2006/relationships/hyperlink" Target="https://drive.google.com/file/d/1PBlJFJeA6cwuSSabxrwluqbpNDG6LFC8/view?usp=sharing" TargetMode="External"/><Relationship Id="rId107" Type="http://schemas.openxmlformats.org/officeDocument/2006/relationships/hyperlink" Target="https://drive.google.com/file/d/1tBIigYMCqJ5wD_s4G3YgVnvai4giFxrs/view?usp=sharing" TargetMode="External"/><Relationship Id="rId106" Type="http://schemas.openxmlformats.org/officeDocument/2006/relationships/hyperlink" Target="https://drive.google.com/file/d/1tWO0Hj-dMpu4_jMj8hdNTkxP0OC_8-px/view?usp=sharing" TargetMode="External"/><Relationship Id="rId105" Type="http://schemas.openxmlformats.org/officeDocument/2006/relationships/hyperlink" Target="https://drive.google.com/file/d/1duVnShU44XSwxeU-r09mDLFw2JLpcTzf/view?usp=sharing" TargetMode="External"/><Relationship Id="rId104" Type="http://schemas.openxmlformats.org/officeDocument/2006/relationships/hyperlink" Target="https://drive.google.com/file/d/1otntxoimkqSd90V-tVNu63bunoSO_lws/view?usp=sharing" TargetMode="External"/><Relationship Id="rId109" Type="http://schemas.openxmlformats.org/officeDocument/2006/relationships/hyperlink" Target="https://drive.google.com/file/d/1dUvTe2t-9_8lvDBY7aVf_xLaX4zvCHDz/view?usp=sharing" TargetMode="External"/><Relationship Id="rId108" Type="http://schemas.openxmlformats.org/officeDocument/2006/relationships/hyperlink" Target="https://drive.google.com/file/d/1EX6pZ5cASXxe3alH35sXfgKEiVYLtE4C/view?usp=sharing" TargetMode="External"/><Relationship Id="rId103" Type="http://schemas.openxmlformats.org/officeDocument/2006/relationships/hyperlink" Target="https://drive.google.com/file/d/1_6dCIzUQZEYcSimD-cMcrvduwwjDccBi/view?usp=sharing" TargetMode="External"/><Relationship Id="rId102" Type="http://schemas.openxmlformats.org/officeDocument/2006/relationships/hyperlink" Target="https://drive.google.com/file/d/1hnmYPCmnpKHwX4Q3Mnr98TuqQiYsYz0B/view?usp=sharing" TargetMode="External"/><Relationship Id="rId101" Type="http://schemas.openxmlformats.org/officeDocument/2006/relationships/hyperlink" Target="https://drive.google.com/file/d/17GrDEvU--7zsiIvh0S3QWLCNVAyii2Pt/view?usp=sharing" TargetMode="External"/><Relationship Id="rId100" Type="http://schemas.openxmlformats.org/officeDocument/2006/relationships/hyperlink" Target="https://drive.google.com/file/d/1j5HH0-4JO0-X3IHzlrhZHDaLz-aLQwfM/view?usp=sharing" TargetMode="External"/><Relationship Id="rId129" Type="http://schemas.openxmlformats.org/officeDocument/2006/relationships/hyperlink" Target="https://drive.google.com/file/d/1G1wUEwVEdAw1riXH6kpluw7Qjyj6NoUj/view?usp=sharing" TargetMode="External"/><Relationship Id="rId128" Type="http://schemas.openxmlformats.org/officeDocument/2006/relationships/hyperlink" Target="https://drive.google.com/file/d/1HucT61Iq8SMa9SqltLoZm_Yty1PchENs/view?usp=sharing" TargetMode="External"/><Relationship Id="rId127" Type="http://schemas.openxmlformats.org/officeDocument/2006/relationships/hyperlink" Target="https://drive.google.com/file/d/1i4vvwNhe6hdEAKGEG4YTMymhRBZrws1N/view?usp=sharing" TargetMode="External"/><Relationship Id="rId126" Type="http://schemas.openxmlformats.org/officeDocument/2006/relationships/hyperlink" Target="https://drive.google.com/file/d/1Y1YMeXpyPdq4TTSx94EqFOVYc7Jggt9B/view?usp=sharing" TargetMode="External"/><Relationship Id="rId121" Type="http://schemas.openxmlformats.org/officeDocument/2006/relationships/hyperlink" Target="https://drive.google.com/file/d/1soSSRoBZs7AeA93Z3IH_2_BeDRzvvWoh/view?usp=sharing" TargetMode="External"/><Relationship Id="rId120" Type="http://schemas.openxmlformats.org/officeDocument/2006/relationships/hyperlink" Target="https://drive.google.com/file/d/1tcFwAoOyBEyb6Q_SIGSlIA32_-d4Bfr9/view?usp=sharing" TargetMode="External"/><Relationship Id="rId125" Type="http://schemas.openxmlformats.org/officeDocument/2006/relationships/hyperlink" Target="https://drive.google.com/file/d/11AbSA66JfZJMXTzr9IBikx3QcvOlAxOy/view?usp=sharing" TargetMode="External"/><Relationship Id="rId124" Type="http://schemas.openxmlformats.org/officeDocument/2006/relationships/hyperlink" Target="https://drive.google.com/file/d/1Llzn1F2VF0VOAfNnONIJiu3m_SmgMgpj/view?usp=sharing" TargetMode="External"/><Relationship Id="rId123" Type="http://schemas.openxmlformats.org/officeDocument/2006/relationships/hyperlink" Target="https://drive.google.com/file/d/13GJF-7L2rRB_f6JiPKoELeSroQlUPP_z/view?usp=sharing" TargetMode="External"/><Relationship Id="rId122" Type="http://schemas.openxmlformats.org/officeDocument/2006/relationships/hyperlink" Target="https://drive.google.com/file/d/1OMFLCokKqnXxGZLCGz2S9dsI_yn7pR6E/view?usp=sharing" TargetMode="External"/><Relationship Id="rId95" Type="http://schemas.openxmlformats.org/officeDocument/2006/relationships/hyperlink" Target="https://drive.google.com/file/d/1DVY7r1xdgWqm9q7kEqmg2wH1ac8oXhC6/view?usp=sharing" TargetMode="External"/><Relationship Id="rId94" Type="http://schemas.openxmlformats.org/officeDocument/2006/relationships/hyperlink" Target="https://drive.google.com/file/d/1OLDkqSh7insISa8hKOeD4ZYnoVUIeVwK/view?usp=sharing" TargetMode="External"/><Relationship Id="rId97" Type="http://schemas.openxmlformats.org/officeDocument/2006/relationships/hyperlink" Target="https://drive.google.com/file/d/18e-DpGLB-qYF9HMPNLix2Dl_oeci0q0K/view?usp=sharing" TargetMode="External"/><Relationship Id="rId96" Type="http://schemas.openxmlformats.org/officeDocument/2006/relationships/hyperlink" Target="https://drive.google.com/file/d/19eAMQtke1s0LiOBx7v-PKPtJTeQfsnYO/view?usp=sharing" TargetMode="External"/><Relationship Id="rId99" Type="http://schemas.openxmlformats.org/officeDocument/2006/relationships/hyperlink" Target="https://drive.google.com/file/d/1oPQH8usKR5CkqETU_fTepAp9ehl8fmNd/view?usp=sharing" TargetMode="External"/><Relationship Id="rId98" Type="http://schemas.openxmlformats.org/officeDocument/2006/relationships/hyperlink" Target="https://drive.google.com/file/d/1PA9_87Sj3jnldV23H7mSnUMuItWJj6OC/view?usp=sharing" TargetMode="External"/><Relationship Id="rId91" Type="http://schemas.openxmlformats.org/officeDocument/2006/relationships/hyperlink" Target="https://drive.google.com/file/d/1HtUXQal-hJjjVDm5BI5lUpyFFGwUBr6P/view?usp=sharing" TargetMode="External"/><Relationship Id="rId90" Type="http://schemas.openxmlformats.org/officeDocument/2006/relationships/hyperlink" Target="https://drive.google.com/file/d/1V8DBTF6YyAQrOYw3nsEFKNzKsQa_ozfP/view?usp=sharing" TargetMode="External"/><Relationship Id="rId93" Type="http://schemas.openxmlformats.org/officeDocument/2006/relationships/hyperlink" Target="https://drive.google.com/file/d/1zJOgYM5j0lCAu1sCDRd97Zcm4GVjNWON/view?usp=sharing" TargetMode="External"/><Relationship Id="rId92" Type="http://schemas.openxmlformats.org/officeDocument/2006/relationships/hyperlink" Target="https://drive.google.com/file/d/1fHjG7g_yJLKR-UP6yoQPL3JKShOjpL6E/view?usp=sharing" TargetMode="External"/><Relationship Id="rId118" Type="http://schemas.openxmlformats.org/officeDocument/2006/relationships/hyperlink" Target="https://drive.google.com/file/d/1XAygSCpL084E-GBKiO_Mq7iS5LXyUY3Y/view?usp=sharing" TargetMode="External"/><Relationship Id="rId117" Type="http://schemas.openxmlformats.org/officeDocument/2006/relationships/hyperlink" Target="https://drive.google.com/file/d/14elEx4PNH8Tb6fgMu8KTeaNZVvD43bii/view?usp=sharing" TargetMode="External"/><Relationship Id="rId116" Type="http://schemas.openxmlformats.org/officeDocument/2006/relationships/hyperlink" Target="https://drive.google.com/file/d/1nTdFJrU7i5mPW0AeaPr9Vnxicv3gmaKM/view?usp=sharing" TargetMode="External"/><Relationship Id="rId115" Type="http://schemas.openxmlformats.org/officeDocument/2006/relationships/hyperlink" Target="https://drive.google.com/file/d/1HThLpqxmvivXJjO9CyNcI9219QiJFFYZ/view?usp=sharing" TargetMode="External"/><Relationship Id="rId119" Type="http://schemas.openxmlformats.org/officeDocument/2006/relationships/hyperlink" Target="https://drive.google.com/file/d/18vi1AgoIZ14QxZE-qJ_ihVaQlqw7YZLz/view?usp=sharing" TargetMode="External"/><Relationship Id="rId110" Type="http://schemas.openxmlformats.org/officeDocument/2006/relationships/hyperlink" Target="https://drive.google.com/file/d/1ELO8KIl6tji1ADgUHUHQg15wHHpe85_b/view?usp=sharing" TargetMode="External"/><Relationship Id="rId114" Type="http://schemas.openxmlformats.org/officeDocument/2006/relationships/hyperlink" Target="https://drive.google.com/file/d/1337UwT5NgFkKfIi_s94EVVl8TsDfbsvc/view?usp=sharing" TargetMode="External"/><Relationship Id="rId113" Type="http://schemas.openxmlformats.org/officeDocument/2006/relationships/hyperlink" Target="https://drive.google.com/file/d/12LOUWnXGysRM2i6OZ359MygQJdsQn2CO/view?usp=sharing" TargetMode="External"/><Relationship Id="rId112" Type="http://schemas.openxmlformats.org/officeDocument/2006/relationships/hyperlink" Target="https://drive.google.com/file/d/10A1mN8vG_AzpBEpCYMESfKjVqqWjrMhL/view?usp=sharing" TargetMode="External"/><Relationship Id="rId111" Type="http://schemas.openxmlformats.org/officeDocument/2006/relationships/hyperlink" Target="https://drive.google.com/file/d/1vt2p5sNegFH53qWKLyq7qT-Gv4G2HT-j/view?usp=sharing" TargetMode="External"/></Relationships>
</file>

<file path=xl/worksheets/_rels/sheet23.xml.rels><?xml version="1.0" encoding="UTF-8" standalone="yes"?><Relationships xmlns="http://schemas.openxmlformats.org/package/2006/relationships"><Relationship Id="rId190" Type="http://schemas.openxmlformats.org/officeDocument/2006/relationships/hyperlink" Target="https://drive.google.com/file/d/1NQfuQCEKOkezrg73gLOOVgl32wcInkRV/view?usp=sharing" TargetMode="External"/><Relationship Id="rId194" Type="http://schemas.openxmlformats.org/officeDocument/2006/relationships/hyperlink" Target="https://drive.google.com/file/d/1QtKHdMXofBjP6JIz85cncjqCgErRNOmt/view?usp=drive_link" TargetMode="External"/><Relationship Id="rId193" Type="http://schemas.openxmlformats.org/officeDocument/2006/relationships/hyperlink" Target="https://drive.google.com/file/d/1V0BItA1eItHPgu7at_AiXuThKaw2Uv-Q/view?usp=drive_link" TargetMode="External"/><Relationship Id="rId192" Type="http://schemas.openxmlformats.org/officeDocument/2006/relationships/hyperlink" Target="https://drive.google.com/file/d/1t-PXZq76eMhcpXXuCk73HN6vuDWNZ2Mh/view?usp=drive_link" TargetMode="External"/><Relationship Id="rId191" Type="http://schemas.openxmlformats.org/officeDocument/2006/relationships/hyperlink" Target="https://drive.google.com/file/d/1VV9ULX1UAPjJRds92jvu-jojuoTFBgjD/view?usp=sharing" TargetMode="External"/><Relationship Id="rId187" Type="http://schemas.openxmlformats.org/officeDocument/2006/relationships/hyperlink" Target="https://drive.google.com/file/d/1jNHFxHTLahgf-KHn2keTmBJlJRICPLU1/view?usp=drive_link" TargetMode="External"/><Relationship Id="rId186" Type="http://schemas.openxmlformats.org/officeDocument/2006/relationships/hyperlink" Target="https://drive.google.com/file/d/1F7yiYQ7VH1Nmd5b06z2JgrMlAQ621SQm/view?usp=sharing" TargetMode="External"/><Relationship Id="rId185" Type="http://schemas.openxmlformats.org/officeDocument/2006/relationships/hyperlink" Target="https://drive.google.com/file/d/1IS9xV4nkKtKbcZ9P3-lnZdoCT6J29JgQ/view?usp=sharing" TargetMode="External"/><Relationship Id="rId184" Type="http://schemas.openxmlformats.org/officeDocument/2006/relationships/hyperlink" Target="https://drive.google.com/file/d/1sHo0H1RTZRtJ9mP82VxUHuKT8fd72VOw/view?usp=sharing" TargetMode="External"/><Relationship Id="rId189" Type="http://schemas.openxmlformats.org/officeDocument/2006/relationships/hyperlink" Target="https://drive.google.com/file/d/1kQwuyTxn-UK9mQaKsPcvuE54GyMonZsv/view?usp=drive_link" TargetMode="External"/><Relationship Id="rId188" Type="http://schemas.openxmlformats.org/officeDocument/2006/relationships/hyperlink" Target="https://drive.google.com/file/d/1oiBeaigkZCBPiw2CMd_xF6gmyOOM9qD_/view?usp=sharing" TargetMode="External"/><Relationship Id="rId183" Type="http://schemas.openxmlformats.org/officeDocument/2006/relationships/hyperlink" Target="https://drive.google.com/file/d/1gjvH5k7VBWRP6Xw3OjSLZb0mmvjXlLOL/view?usp=sharing" TargetMode="External"/><Relationship Id="rId182" Type="http://schemas.openxmlformats.org/officeDocument/2006/relationships/hyperlink" Target="https://drive.google.com/file/d/1tEGU5rgAVXaaL8s9UbEppKNDf3TZVM0O/view?usp=sharing" TargetMode="External"/><Relationship Id="rId181" Type="http://schemas.openxmlformats.org/officeDocument/2006/relationships/hyperlink" Target="https://drive.google.com/file/d/1qKR5pKQIRRXtf-EOhtF8ZT6Y5B-GGang/view?usp=sharing" TargetMode="External"/><Relationship Id="rId180" Type="http://schemas.openxmlformats.org/officeDocument/2006/relationships/hyperlink" Target="https://drive.google.com/file/d/1_PLNolOyTa4CFClmP0Hko1JaWwZCvwua/view?usp=sharing" TargetMode="External"/><Relationship Id="rId176" Type="http://schemas.openxmlformats.org/officeDocument/2006/relationships/hyperlink" Target="https://drive.google.com/file/d/1ioGOqVeSAjaOb5dSb0L2pgtlYnMNEIta/view?usp=sharing" TargetMode="External"/><Relationship Id="rId297" Type="http://schemas.openxmlformats.org/officeDocument/2006/relationships/hyperlink" Target="https://drive.google.com/file/d/1060AFhNHXQInfE4-P4a_Fboegw2pFiKr/view?usp=sharing" TargetMode="External"/><Relationship Id="rId175" Type="http://schemas.openxmlformats.org/officeDocument/2006/relationships/hyperlink" Target="https://drive.google.com/file/d/1MgZOCMRKrMnzCPkTS1a5ZMEnXDgU8Maf/view?usp=sharing" TargetMode="External"/><Relationship Id="rId296" Type="http://schemas.openxmlformats.org/officeDocument/2006/relationships/hyperlink" Target="https://drive.google.com/file/d/1_AlSnM_2NCpRUHS6QvNFLU7i9uxwOyst/view?usp=sharing" TargetMode="External"/><Relationship Id="rId174" Type="http://schemas.openxmlformats.org/officeDocument/2006/relationships/hyperlink" Target="https://drive.google.com/file/d/1PeFEXasCuH7FCBqXocnu1ZPM7SsXTdtD/view?usp=sharing" TargetMode="External"/><Relationship Id="rId295" Type="http://schemas.openxmlformats.org/officeDocument/2006/relationships/hyperlink" Target="https://drive.google.com/file/d/1LaGkr8B2yFPlwMZJL4bhL3H4ZP4QwAoB/view?usp=sharing" TargetMode="External"/><Relationship Id="rId173" Type="http://schemas.openxmlformats.org/officeDocument/2006/relationships/hyperlink" Target="https://drive.google.com/file/d/1qCx4cgiId0a3aSSY-Q2UDBpAuJUDZxo0/view?usp=sharing" TargetMode="External"/><Relationship Id="rId294" Type="http://schemas.openxmlformats.org/officeDocument/2006/relationships/hyperlink" Target="https://drive.google.com/file/d/1QV9vMcstgjxdy1CvtJuO4c4Eez7Q7Ito/view?usp=sharing" TargetMode="External"/><Relationship Id="rId179" Type="http://schemas.openxmlformats.org/officeDocument/2006/relationships/hyperlink" Target="https://drive.google.com/file/d/1gz4x-AAeVKQ5656_Yxs4PyQQFF1-H2n1/view?usp=sharing" TargetMode="External"/><Relationship Id="rId178" Type="http://schemas.openxmlformats.org/officeDocument/2006/relationships/hyperlink" Target="https://drive.google.com/file/d/1dQ5QLON0pg0BVJs5k50UMwwnhHskfMwT/view?usp=sharing" TargetMode="External"/><Relationship Id="rId299" Type="http://schemas.openxmlformats.org/officeDocument/2006/relationships/hyperlink" Target="https://drive.google.com/file/d/1IOf6xIj_gDrZHM0UbucOinp1WHaW-ljt/view?usp=sharing" TargetMode="External"/><Relationship Id="rId177" Type="http://schemas.openxmlformats.org/officeDocument/2006/relationships/hyperlink" Target="https://drive.google.com/file/d/1KjzaMpuXyDJPVEjYR32twVwhKRnEKj83/view?usp=sharing" TargetMode="External"/><Relationship Id="rId298" Type="http://schemas.openxmlformats.org/officeDocument/2006/relationships/hyperlink" Target="https://drive.google.com/file/d/16Nqz7v7rYAr9lEMe44m6vOZEuuCn2e27/view?usp=sharing" TargetMode="External"/><Relationship Id="rId198" Type="http://schemas.openxmlformats.org/officeDocument/2006/relationships/hyperlink" Target="https://drive.google.com/file/d/1NlgFAV7h90152lNmP7x-dkSlWLjVaIFD/view?usp=sharing" TargetMode="External"/><Relationship Id="rId197" Type="http://schemas.openxmlformats.org/officeDocument/2006/relationships/hyperlink" Target="https://drive.google.com/file/d/1mQINCP9hmWlYj4Zu-gEvM9fNBDWYcYau/view?usp=sharing" TargetMode="External"/><Relationship Id="rId196" Type="http://schemas.openxmlformats.org/officeDocument/2006/relationships/hyperlink" Target="https://drive.google.com/file/d/16UiaJupW3JFxQydlRY_LAhDxADya7PwQ/view?usp=sharing" TargetMode="External"/><Relationship Id="rId195" Type="http://schemas.openxmlformats.org/officeDocument/2006/relationships/hyperlink" Target="https://drive.google.com/file/d/1adiYDxXmO_Qp_nK6Ifpf4Uakwu9wobld/view?usp=drive_link" TargetMode="External"/><Relationship Id="rId199" Type="http://schemas.openxmlformats.org/officeDocument/2006/relationships/hyperlink" Target="https://drive.google.com/file/d/14SYCifB0iMhoeaf1yO2S5UjBkYnW-lXZ/view?usp=sharing" TargetMode="External"/><Relationship Id="rId150" Type="http://schemas.openxmlformats.org/officeDocument/2006/relationships/hyperlink" Target="https://drive.google.com/file/d/1lAxtKPzr5rZCCRDwYRd34iIPiuxADXfB/view?usp=sharing" TargetMode="External"/><Relationship Id="rId271" Type="http://schemas.openxmlformats.org/officeDocument/2006/relationships/hyperlink" Target="https://drive.google.com/file/d/1-SmahY8ErHPQX3d6THWzBnZdI0YBtsCb/view?usp=sharing" TargetMode="External"/><Relationship Id="rId392" Type="http://schemas.openxmlformats.org/officeDocument/2006/relationships/hyperlink" Target="https://drive.google.com/file/d/1PJ0RzEDu1Gdp3LjYwjug6AgEqQ4ZChPt/view?usp=sharing" TargetMode="External"/><Relationship Id="rId270" Type="http://schemas.openxmlformats.org/officeDocument/2006/relationships/hyperlink" Target="https://drive.google.com/file/d/1O5EX3Sk7QmI9u0De-Kh31iQNTMK3nHAy/view?usp=sharing" TargetMode="External"/><Relationship Id="rId391" Type="http://schemas.openxmlformats.org/officeDocument/2006/relationships/hyperlink" Target="https://drive.google.com/file/d/1BYEiecViC1OIwtzx-Fh_qjP6BnMm_gk_/view?usp=sharing" TargetMode="External"/><Relationship Id="rId390" Type="http://schemas.openxmlformats.org/officeDocument/2006/relationships/hyperlink" Target="https://drive.google.com/file/d/1nWVRVhOFOp4V8NBjoFe0bDzUSHzTRc4x/view?usp=sharing" TargetMode="External"/><Relationship Id="rId1" Type="http://schemas.openxmlformats.org/officeDocument/2006/relationships/hyperlink" Target="https://drive.google.com/file/d/1r7y8-ZZB2C4oazVqvrcqXTsr90ljzk_a/view?usp=sharing" TargetMode="External"/><Relationship Id="rId2" Type="http://schemas.openxmlformats.org/officeDocument/2006/relationships/hyperlink" Target="https://drive.google.com/file/d/12IHIZmhM9a28ej5MT0vzbhJFUPMQ2qJN/view?usp=sharing" TargetMode="External"/><Relationship Id="rId3" Type="http://schemas.openxmlformats.org/officeDocument/2006/relationships/hyperlink" Target="https://drive.google.com/file/d/1sJaT8xWO4W9da6w7MB9LENsb36SH97YY/view?usp=sharing" TargetMode="External"/><Relationship Id="rId149" Type="http://schemas.openxmlformats.org/officeDocument/2006/relationships/hyperlink" Target="https://drive.google.com/file/d/1DQ59k-CPHgFXhuQyn995lEVi5H0TTpSz/view?usp=sharing" TargetMode="External"/><Relationship Id="rId4" Type="http://schemas.openxmlformats.org/officeDocument/2006/relationships/hyperlink" Target="https://drive.google.com/file/d/1lu3dpFonvGr99-rFeiyonGEsgnNmahw1/view?usp=sharing" TargetMode="External"/><Relationship Id="rId148" Type="http://schemas.openxmlformats.org/officeDocument/2006/relationships/hyperlink" Target="https://drive.google.com/file/d/17TBBdBCXIhDB9agkrZ9mHLRS9NH5LNH3/view?usp=sharing" TargetMode="External"/><Relationship Id="rId269" Type="http://schemas.openxmlformats.org/officeDocument/2006/relationships/hyperlink" Target="https://drive.google.com/file/d/1N-JoK4htSTXobfFngeg5v4WtamOFOEg8/view?usp=sharing" TargetMode="External"/><Relationship Id="rId9" Type="http://schemas.openxmlformats.org/officeDocument/2006/relationships/hyperlink" Target="https://drive.google.com/file/d/1Z37-elBcmNOatdxecyCPyf_BAGIvsM-i/view?usp=sharing" TargetMode="External"/><Relationship Id="rId143" Type="http://schemas.openxmlformats.org/officeDocument/2006/relationships/hyperlink" Target="https://drive.google.com/file/d/165K-OhjLJZXfEt_h2yl5ZMA8enDcCWer/view?usp=sharing" TargetMode="External"/><Relationship Id="rId264" Type="http://schemas.openxmlformats.org/officeDocument/2006/relationships/hyperlink" Target="https://drive.google.com/file/d/1lKRet1fHl_ZYz3fgjjPBm0DGfiyne4xH/view?usp=sharing" TargetMode="External"/><Relationship Id="rId385" Type="http://schemas.openxmlformats.org/officeDocument/2006/relationships/hyperlink" Target="https://drive.google.com/file/d/1TqndOkNa4WJjsbKq1jYwlKhSRMjJNi9g/view?usp=sharing" TargetMode="External"/><Relationship Id="rId142" Type="http://schemas.openxmlformats.org/officeDocument/2006/relationships/hyperlink" Target="https://drive.google.com/file/d/1pbMlNuxmIhNLO0H2tfecrQ4YnKG8DU_E/view?usp=sharing" TargetMode="External"/><Relationship Id="rId263" Type="http://schemas.openxmlformats.org/officeDocument/2006/relationships/hyperlink" Target="https://drive.google.com/file/d/1FcmnZfZG6ih4NiLeTzns5AYBPhGcAuMn/view?usp=sharing" TargetMode="External"/><Relationship Id="rId384" Type="http://schemas.openxmlformats.org/officeDocument/2006/relationships/hyperlink" Target="https://drive.google.com/file/d/1Oz1crCHWkTWZIlHFm4HG6XlxnUIv77wy/view?usp=sharing" TargetMode="External"/><Relationship Id="rId141" Type="http://schemas.openxmlformats.org/officeDocument/2006/relationships/hyperlink" Target="https://drive.google.com/file/d/1rdf-MMchqv81ON1r1p6-tbrFGlBScHo5/view?usp=sharing" TargetMode="External"/><Relationship Id="rId262" Type="http://schemas.openxmlformats.org/officeDocument/2006/relationships/hyperlink" Target="https://drive.google.com/file/d/1Md75yJzCRkNpK5xYT-3a7yeI7d5kwGG8/view?usp=sharing" TargetMode="External"/><Relationship Id="rId383" Type="http://schemas.openxmlformats.org/officeDocument/2006/relationships/hyperlink" Target="https://drive.google.com/file/d/1cECp1zr7Kfh32bexHrqp0woVX_Ir7ew0/view?usp=sharing" TargetMode="External"/><Relationship Id="rId140" Type="http://schemas.openxmlformats.org/officeDocument/2006/relationships/hyperlink" Target="https://drive.google.com/file/d/1tGYF3szDK9SeD46qSsohhoJLR7LBd8pT/view?usp=sharing" TargetMode="External"/><Relationship Id="rId261" Type="http://schemas.openxmlformats.org/officeDocument/2006/relationships/hyperlink" Target="https://drive.google.com/file/d/1qbKOk7b27NAeJ1Y4VBnW-IPkbUjr9I3w/view?usp=sharing" TargetMode="External"/><Relationship Id="rId382" Type="http://schemas.openxmlformats.org/officeDocument/2006/relationships/hyperlink" Target="https://drive.google.com/file/d/13OPmaMVafjFBdM7HfSZF289HFlDZEzxZ/view?usp=sharing" TargetMode="External"/><Relationship Id="rId5" Type="http://schemas.openxmlformats.org/officeDocument/2006/relationships/hyperlink" Target="https://drive.google.com/file/d/1C79wrzQ3llMMVEhtYbG6MBbIc8OlGfd8/view?usp=sharing" TargetMode="External"/><Relationship Id="rId147" Type="http://schemas.openxmlformats.org/officeDocument/2006/relationships/hyperlink" Target="https://drive.google.com/file/d/1OE-KyGOU0jCWpbzWblxG8_Y9CXwqKiiz/view?usp=sharing" TargetMode="External"/><Relationship Id="rId268" Type="http://schemas.openxmlformats.org/officeDocument/2006/relationships/hyperlink" Target="https://drive.google.com/file/d/15gYeYrcSfaJ1R8QBTepNg3qxMZliy56v/view?usp=sharing" TargetMode="External"/><Relationship Id="rId389" Type="http://schemas.openxmlformats.org/officeDocument/2006/relationships/hyperlink" Target="https://drive.google.com/file/d/1wgGU5bwY0RzaFcOCwtQFCJyudc6IJGii/view?usp=sharing" TargetMode="External"/><Relationship Id="rId6" Type="http://schemas.openxmlformats.org/officeDocument/2006/relationships/hyperlink" Target="https://drive.google.com/file/d/1V4-X0-MrfKEtkmBYwNBhpD3vlQgwFBd6/view?usp=sharing" TargetMode="External"/><Relationship Id="rId146" Type="http://schemas.openxmlformats.org/officeDocument/2006/relationships/hyperlink" Target="https://drive.google.com/file/d/1DcsPwP7TOQfijEKVi_hO4NDnLVYKM_Th/view?usp=sharing" TargetMode="External"/><Relationship Id="rId267" Type="http://schemas.openxmlformats.org/officeDocument/2006/relationships/hyperlink" Target="https://drive.google.com/file/d/1WuVaml21wi_3gAP09EGnLCGKhIgoSokl/view?usp=sharing" TargetMode="External"/><Relationship Id="rId388" Type="http://schemas.openxmlformats.org/officeDocument/2006/relationships/hyperlink" Target="https://drive.google.com/file/d/14qz52gFS-4IUiNkZ06Xgp7dzl1omoYaa/view?usp=sharing" TargetMode="External"/><Relationship Id="rId7" Type="http://schemas.openxmlformats.org/officeDocument/2006/relationships/hyperlink" Target="https://drive.google.com/file/d/1pTGfzToG6WyGSZbdRJ4nv-aTb49kVdvw/view?usp=sharing" TargetMode="External"/><Relationship Id="rId145" Type="http://schemas.openxmlformats.org/officeDocument/2006/relationships/hyperlink" Target="https://drive.google.com/file/d/1TIjVaILi4Y-8wyIFCm-RrDHbgs1ESPO_/view?usp=sharing" TargetMode="External"/><Relationship Id="rId266" Type="http://schemas.openxmlformats.org/officeDocument/2006/relationships/hyperlink" Target="https://drive.google.com/file/d/1FnTVrFqdZJ9yoyVcnOM8TlGvTZBGXILs/view?usp=sharing" TargetMode="External"/><Relationship Id="rId387" Type="http://schemas.openxmlformats.org/officeDocument/2006/relationships/hyperlink" Target="https://drive.google.com/file/d/1T7mkU66ShUCBvqXfDMJTbomLpbTui-dQ/view?usp=sharing" TargetMode="External"/><Relationship Id="rId8" Type="http://schemas.openxmlformats.org/officeDocument/2006/relationships/hyperlink" Target="https://drive.google.com/file/d/1bKNeioHTNO4O8BDzvmgK4XRpIRnB_8H1/view?usp=sharing" TargetMode="External"/><Relationship Id="rId144" Type="http://schemas.openxmlformats.org/officeDocument/2006/relationships/hyperlink" Target="https://drive.google.com/file/d/1H5r6Fx1_5CIcx0i3QxVHB-IUqlXaQJO1/view?usp=sharing" TargetMode="External"/><Relationship Id="rId265" Type="http://schemas.openxmlformats.org/officeDocument/2006/relationships/hyperlink" Target="https://drive.google.com/file/d/18nIe2d_pfVF95LfxkiQwktZ0VDYQ_zY1/view?usp=sharing" TargetMode="External"/><Relationship Id="rId386" Type="http://schemas.openxmlformats.org/officeDocument/2006/relationships/hyperlink" Target="https://drive.google.com/file/d/1nA39Th9x5axzFv0SepHPabq9fwd0y1sc/view?usp=sharing" TargetMode="External"/><Relationship Id="rId260" Type="http://schemas.openxmlformats.org/officeDocument/2006/relationships/hyperlink" Target="https://drive.google.com/file/d/1SI991D1D84XTtjZOHxtpxbVWRG-__PD3/view?usp=sharing" TargetMode="External"/><Relationship Id="rId381" Type="http://schemas.openxmlformats.org/officeDocument/2006/relationships/hyperlink" Target="https://drive.google.com/file/d/1noq_uMqnjAKyGm_Gfx9Iwakc9le_S1-_/view?usp=sharing" TargetMode="External"/><Relationship Id="rId380" Type="http://schemas.openxmlformats.org/officeDocument/2006/relationships/hyperlink" Target="https://drive.google.com/file/d/18Yc0NcYg2w2hyPwwV8aMyG3l8Ez6zxWn/view?usp=sharing" TargetMode="External"/><Relationship Id="rId139" Type="http://schemas.openxmlformats.org/officeDocument/2006/relationships/hyperlink" Target="https://drive.google.com/file/d/1QG38v7cXtzuDgVUR7FAGvjRWe48JocGG/view?usp=sharing" TargetMode="External"/><Relationship Id="rId138" Type="http://schemas.openxmlformats.org/officeDocument/2006/relationships/hyperlink" Target="https://drive.google.com/file/d/1atBOm6U4lIcSr6qIkIYCR2xVKmxBA080/view?usp=sharing" TargetMode="External"/><Relationship Id="rId259" Type="http://schemas.openxmlformats.org/officeDocument/2006/relationships/hyperlink" Target="https://drive.google.com/file/d/1pPsaF-DWOGPT8rGJfvRQCw00dqdTFS75/view?usp=sharing" TargetMode="External"/><Relationship Id="rId137" Type="http://schemas.openxmlformats.org/officeDocument/2006/relationships/hyperlink" Target="https://drive.google.com/file/d/1lW2NxdmoNfHpIqm9GCMPs21YqqDj-2gv/view?usp=sharing" TargetMode="External"/><Relationship Id="rId258" Type="http://schemas.openxmlformats.org/officeDocument/2006/relationships/hyperlink" Target="https://drive.google.com/file/d/1NCEWW7DCcZX8To3VvUQ_NxF0BemT9c73/view?usp=sharing" TargetMode="External"/><Relationship Id="rId379" Type="http://schemas.openxmlformats.org/officeDocument/2006/relationships/hyperlink" Target="https://drive.google.com/file/d/1m3E6axSVFIEreRL8Y_p7wR-YxY3byvuV/view?usp=sharing" TargetMode="External"/><Relationship Id="rId132" Type="http://schemas.openxmlformats.org/officeDocument/2006/relationships/hyperlink" Target="https://drive.google.com/file/d/1sfp-oiAnjqwRjfzFzDqh8rWbKFowKNet/view?usp=sharing" TargetMode="External"/><Relationship Id="rId253" Type="http://schemas.openxmlformats.org/officeDocument/2006/relationships/hyperlink" Target="https://drive.google.com/file/d/1Qm2CVvBNocxPwA9sayIGusNBEAjlqkV3/view?usp=sharing" TargetMode="External"/><Relationship Id="rId374" Type="http://schemas.openxmlformats.org/officeDocument/2006/relationships/hyperlink" Target="https://drive.google.com/file/d/18LMF-ydBJhKiHFVLIViQHxq2bfMeNNnr/view?usp=sharing" TargetMode="External"/><Relationship Id="rId131" Type="http://schemas.openxmlformats.org/officeDocument/2006/relationships/hyperlink" Target="https://drive.google.com/file/d/1zUdRWyh8l8T37G0Gq3SEOueKa1dk-NLz/view?usp=sharing" TargetMode="External"/><Relationship Id="rId252" Type="http://schemas.openxmlformats.org/officeDocument/2006/relationships/hyperlink" Target="https://drive.google.com/file/d/1e6muN7XX-h0sPJqofY1adohD9_hexHyV/view?usp=sharing" TargetMode="External"/><Relationship Id="rId373" Type="http://schemas.openxmlformats.org/officeDocument/2006/relationships/hyperlink" Target="https://drive.google.com/file/d/1I5YZ-fK_k7jShSF0WEKEN3xxnHWcQ_dU/view?usp=sharing" TargetMode="External"/><Relationship Id="rId130" Type="http://schemas.openxmlformats.org/officeDocument/2006/relationships/hyperlink" Target="https://drive.google.com/file/d/1z_twHfXAnUksw91Su8gxLuitLD7OKbs5/view?usp=sharing" TargetMode="External"/><Relationship Id="rId251" Type="http://schemas.openxmlformats.org/officeDocument/2006/relationships/hyperlink" Target="https://drive.google.com/file/d/1hWXjfZ3l8RG0OzRysjuwQC6FydJLqxes/view?usp=sharing" TargetMode="External"/><Relationship Id="rId372" Type="http://schemas.openxmlformats.org/officeDocument/2006/relationships/hyperlink" Target="https://drive.google.com/file/d/1kiPVRYvey-QzjA1Nm5Cm2AydWZT_Gami/view?usp=sharing" TargetMode="External"/><Relationship Id="rId250" Type="http://schemas.openxmlformats.org/officeDocument/2006/relationships/hyperlink" Target="https://drive.google.com/file/d/1ilPjeqmJ3Xs70ALpsKbmHew3kuAiLRVr/view?usp=sharing" TargetMode="External"/><Relationship Id="rId371" Type="http://schemas.openxmlformats.org/officeDocument/2006/relationships/hyperlink" Target="https://drive.google.com/file/d/1VA4WWoVYEXL4_k4wffv2KNz4sJrOEL-p/view?usp=sharing" TargetMode="External"/><Relationship Id="rId136" Type="http://schemas.openxmlformats.org/officeDocument/2006/relationships/hyperlink" Target="https://drive.google.com/file/d/1jvwWxZ9s8t8TFKigCMktm0fVffB9GmnL/view?usp=sharing" TargetMode="External"/><Relationship Id="rId257" Type="http://schemas.openxmlformats.org/officeDocument/2006/relationships/hyperlink" Target="https://drive.google.com/file/d/1QWgdJPnP5ZT_qk5cbx4GG2_29BMZk3IP/view?usp=sharing" TargetMode="External"/><Relationship Id="rId378" Type="http://schemas.openxmlformats.org/officeDocument/2006/relationships/hyperlink" Target="https://drive.google.com/file/d/1MsRSFL0nRZonrR7ZHgZMsJLu20FnbT2p/view?usp=sharing" TargetMode="External"/><Relationship Id="rId135" Type="http://schemas.openxmlformats.org/officeDocument/2006/relationships/hyperlink" Target="https://drive.google.com/file/d/1sxgdFf_F8aswtJiU2-dQzInkdkAII3zm/view?usp=sharing" TargetMode="External"/><Relationship Id="rId256" Type="http://schemas.openxmlformats.org/officeDocument/2006/relationships/hyperlink" Target="https://drive.google.com/file/d/1VGroQ1sm_ONGAPC7nfikzxAkwgfSI06x/view?usp=sharing" TargetMode="External"/><Relationship Id="rId377" Type="http://schemas.openxmlformats.org/officeDocument/2006/relationships/hyperlink" Target="https://drive.google.com/file/d/1W-MK50iwI3m0XJeWVgI9U_pjLqj94_77/view?usp=sharing" TargetMode="External"/><Relationship Id="rId134" Type="http://schemas.openxmlformats.org/officeDocument/2006/relationships/hyperlink" Target="https://drive.google.com/file/d/1lvfXjfL3lfgTDuWkjTmCxetMD-7IE4tP/view?usp=sharing" TargetMode="External"/><Relationship Id="rId255" Type="http://schemas.openxmlformats.org/officeDocument/2006/relationships/hyperlink" Target="https://drive.google.com/file/d/1jgsJCkmHakzls2T479FKbVFkJNhZUCHm/view?usp=sharing" TargetMode="External"/><Relationship Id="rId376" Type="http://schemas.openxmlformats.org/officeDocument/2006/relationships/hyperlink" Target="https://drive.google.com/file/d/1_D5cF-kue9AMFlAOY6twu6VSX-sU3ryF/view?usp=sharing" TargetMode="External"/><Relationship Id="rId133" Type="http://schemas.openxmlformats.org/officeDocument/2006/relationships/hyperlink" Target="https://drive.google.com/file/d/1gJncQ3FXZHd6HAb6CZKz5_mhFgsH_Nw4/view?usp=sharing" TargetMode="External"/><Relationship Id="rId254" Type="http://schemas.openxmlformats.org/officeDocument/2006/relationships/hyperlink" Target="https://drive.google.com/file/d/1ZLm4WlocEpg984UPURz2tuSz7Oyeo3xz/view?usp=sharing" TargetMode="External"/><Relationship Id="rId375" Type="http://schemas.openxmlformats.org/officeDocument/2006/relationships/hyperlink" Target="https://drive.google.com/file/d/1zJWHEUijrCv7dlGlcKHmX9KDmu5wcoFu/view?usp=sharing" TargetMode="External"/><Relationship Id="rId172" Type="http://schemas.openxmlformats.org/officeDocument/2006/relationships/hyperlink" Target="https://drive.google.com/file/d/1866l4gR8wB0q6dl4C9rHY-dwEVCgh4wj/view?usp=sharing" TargetMode="External"/><Relationship Id="rId293" Type="http://schemas.openxmlformats.org/officeDocument/2006/relationships/hyperlink" Target="https://drive.google.com/file/d/1ogDw43TNB2My5oBrCS_40FVVZJiDMu2w/view?usp=sharing" TargetMode="External"/><Relationship Id="rId171" Type="http://schemas.openxmlformats.org/officeDocument/2006/relationships/hyperlink" Target="https://drive.google.com/file/d/1Gd8Zfv759NOwedUjEEHG9DKWFx0i9ypq/view?usp=sharing" TargetMode="External"/><Relationship Id="rId292" Type="http://schemas.openxmlformats.org/officeDocument/2006/relationships/hyperlink" Target="https://drive.google.com/file/d/1Qm2En9Z0yuKDlxuqJh8EN7hXfTSVFEZy/view?usp=sharing" TargetMode="External"/><Relationship Id="rId170" Type="http://schemas.openxmlformats.org/officeDocument/2006/relationships/hyperlink" Target="https://drive.google.com/file/d/1oL2hD-GuZPzmfgfnAkLTpKx-_cYLU9AC/view?usp=sharing" TargetMode="External"/><Relationship Id="rId291" Type="http://schemas.openxmlformats.org/officeDocument/2006/relationships/hyperlink" Target="https://drive.google.com/file/d/1CihmSyPagkyIRq-XpQs7lnbciwIFDT1-/view?usp=sharing" TargetMode="External"/><Relationship Id="rId290" Type="http://schemas.openxmlformats.org/officeDocument/2006/relationships/hyperlink" Target="https://drive.google.com/file/d/1UgV-xBzzmh3_nRuqiiGai2WN17Sm29gG/view?usp=sharing" TargetMode="External"/><Relationship Id="rId165" Type="http://schemas.openxmlformats.org/officeDocument/2006/relationships/hyperlink" Target="https://drive.google.com/file/d/1laFgdV9w5LlwpegmNllVD7qS0SChOUB-/view?usp=sharing" TargetMode="External"/><Relationship Id="rId286" Type="http://schemas.openxmlformats.org/officeDocument/2006/relationships/hyperlink" Target="https://drive.google.com/file/d/1TGG3Kg0IkBx2WKy2t8yJBbRIYRe6ysgE/view?usp=sharing" TargetMode="External"/><Relationship Id="rId164" Type="http://schemas.openxmlformats.org/officeDocument/2006/relationships/hyperlink" Target="https://drive.google.com/file/d/1cKqukhcCkfz6EKotzpitmA7euBd61SLI/view?usp=sharing" TargetMode="External"/><Relationship Id="rId285" Type="http://schemas.openxmlformats.org/officeDocument/2006/relationships/hyperlink" Target="https://drive.google.com/file/d/1Ns8JPR5aUCWaEAOmbNg6IIj7T8iS4a3d/view?usp=sharing" TargetMode="External"/><Relationship Id="rId163" Type="http://schemas.openxmlformats.org/officeDocument/2006/relationships/hyperlink" Target="https://drive.google.com/file/d/1pTIYbVbi8MFPiHFRp3zPRjVO86tedyhW/view?usp=sharing" TargetMode="External"/><Relationship Id="rId284" Type="http://schemas.openxmlformats.org/officeDocument/2006/relationships/hyperlink" Target="https://drive.google.com/file/d/10qNbO4dptGPZhJ1lLaTb0o64dAUS3GHU/view?usp=sharing" TargetMode="External"/><Relationship Id="rId162" Type="http://schemas.openxmlformats.org/officeDocument/2006/relationships/hyperlink" Target="https://drive.google.com/file/d/1m2dyzfK_wA8vnA8F106bpctQMlCXFc5M/view?usp=sharing" TargetMode="External"/><Relationship Id="rId283" Type="http://schemas.openxmlformats.org/officeDocument/2006/relationships/hyperlink" Target="https://drive.google.com/file/d/1Zua24unrMVcJiyGq7V0C7tc6TRCt5aS6/view?usp=sharing" TargetMode="External"/><Relationship Id="rId169" Type="http://schemas.openxmlformats.org/officeDocument/2006/relationships/hyperlink" Target="https://drive.google.com/file/d/1rbbhlkWkvUJtUXv2DJsEMMYYe43-ZR1P/view?usp=sharing" TargetMode="External"/><Relationship Id="rId168" Type="http://schemas.openxmlformats.org/officeDocument/2006/relationships/hyperlink" Target="https://drive.google.com/file/d/1qa0NK_1Q9WRdJSqGI5JhEqx_c0jAB-nY/view?usp=sharing" TargetMode="External"/><Relationship Id="rId289" Type="http://schemas.openxmlformats.org/officeDocument/2006/relationships/hyperlink" Target="https://drive.google.com/file/d/1BC__OkpQKXdwHuPqubBsM0ZWZAz2VetD/view?usp=sharing" TargetMode="External"/><Relationship Id="rId167" Type="http://schemas.openxmlformats.org/officeDocument/2006/relationships/hyperlink" Target="https://drive.google.com/file/d/1ROLV_mMOwnVVOGF436SRP5CZ9Gq9umxE/view?usp=sharing" TargetMode="External"/><Relationship Id="rId288" Type="http://schemas.openxmlformats.org/officeDocument/2006/relationships/hyperlink" Target="https://drive.google.com/file/d/1NolfYU5ZqEL2i5YU07riXvLcM9lbmmVj/view?usp=sharing" TargetMode="External"/><Relationship Id="rId166" Type="http://schemas.openxmlformats.org/officeDocument/2006/relationships/hyperlink" Target="https://drive.google.com/file/d/1SU-SaZGLy2m8eXEXVFiNeVH2ongdT96T/view?usp=sharing" TargetMode="External"/><Relationship Id="rId287" Type="http://schemas.openxmlformats.org/officeDocument/2006/relationships/hyperlink" Target="https://drive.google.com/file/d/1CL2mP4ZpcGa9F-yl5dUc_MbLWDcJ3-Sr/view?usp=sharing" TargetMode="External"/><Relationship Id="rId161" Type="http://schemas.openxmlformats.org/officeDocument/2006/relationships/hyperlink" Target="https://drive.google.com/file/d/16cyhoe8yD0gQKE9ckwZcqqYM-iyc-7X0/view?usp=sharing" TargetMode="External"/><Relationship Id="rId282" Type="http://schemas.openxmlformats.org/officeDocument/2006/relationships/hyperlink" Target="https://drive.google.com/file/d/1P82gPx4MRZGFYfYOiNxf14PKL37ywY6d/view?usp=sharing" TargetMode="External"/><Relationship Id="rId160" Type="http://schemas.openxmlformats.org/officeDocument/2006/relationships/hyperlink" Target="https://drive.google.com/file/d/1Ann0pXwKGONcgj9t8ttu-4qV-E8_nX2k/view?usp=sharing" TargetMode="External"/><Relationship Id="rId281" Type="http://schemas.openxmlformats.org/officeDocument/2006/relationships/hyperlink" Target="https://drive.google.com/file/d/1LoKpAa1dXLzP2LbL0Crcdrq9qunt0m8m/view?usp=sharing" TargetMode="External"/><Relationship Id="rId280" Type="http://schemas.openxmlformats.org/officeDocument/2006/relationships/hyperlink" Target="https://drive.google.com/file/d/1zmTMzfRiRzGzyUFz24N3meax-m6TyvPM/view?usp=sharing" TargetMode="External"/><Relationship Id="rId159" Type="http://schemas.openxmlformats.org/officeDocument/2006/relationships/hyperlink" Target="https://drive.google.com/file/d/1mGpzqp2odNGL1X4sFGOilvdp-p85maRy/view?usp=sharing" TargetMode="External"/><Relationship Id="rId154" Type="http://schemas.openxmlformats.org/officeDocument/2006/relationships/hyperlink" Target="https://drive.google.com/file/d/1a5RJdRdfaKRKkhFcZR37wqODPWeXx4Zh/view?usp=sharing" TargetMode="External"/><Relationship Id="rId275" Type="http://schemas.openxmlformats.org/officeDocument/2006/relationships/hyperlink" Target="https://drive.google.com/file/d/1CMI-1-RANu2WOg1-0MJnlViG9E1c9chI/view?usp=sharing" TargetMode="External"/><Relationship Id="rId153" Type="http://schemas.openxmlformats.org/officeDocument/2006/relationships/hyperlink" Target="https://drive.google.com/file/d/1D2F1lE3qXchpybda9iptnMbrTYAZ091B/view?usp=sharing" TargetMode="External"/><Relationship Id="rId274" Type="http://schemas.openxmlformats.org/officeDocument/2006/relationships/hyperlink" Target="https://drive.google.com/file/d/1ndQcJU2a2EuMolRSfgyGRt0aHJU7MD6Q/view?usp=sharing" TargetMode="External"/><Relationship Id="rId152" Type="http://schemas.openxmlformats.org/officeDocument/2006/relationships/hyperlink" Target="https://drive.google.com/file/d/1u81lj3n16V6pt5fdzeAKIaD3Gtv7rsVN/view?usp=sharing" TargetMode="External"/><Relationship Id="rId273" Type="http://schemas.openxmlformats.org/officeDocument/2006/relationships/hyperlink" Target="https://drive.google.com/file/d/1SIlZfCR47PsM9Xz6I8vJZNwejS7q0qhn/view?usp=sharing" TargetMode="External"/><Relationship Id="rId394" Type="http://schemas.openxmlformats.org/officeDocument/2006/relationships/drawing" Target="../drawings/drawing23.xml"/><Relationship Id="rId151" Type="http://schemas.openxmlformats.org/officeDocument/2006/relationships/hyperlink" Target="https://drive.google.com/file/d/14tGfQ5XKYcj_JOK64JJgFzI7woIeb38W/view?usp=sharing" TargetMode="External"/><Relationship Id="rId272" Type="http://schemas.openxmlformats.org/officeDocument/2006/relationships/hyperlink" Target="https://drive.google.com/file/d/11ek_37HpTcy2ftpOusfLMxkQghR2fFs0/view?usp=sharing" TargetMode="External"/><Relationship Id="rId393" Type="http://schemas.openxmlformats.org/officeDocument/2006/relationships/hyperlink" Target="https://drive.google.com/file/d/1pSWIVFy72nQkb1tCbNDFr-jsnRkqLGGi/view?usp=sharing" TargetMode="External"/><Relationship Id="rId158" Type="http://schemas.openxmlformats.org/officeDocument/2006/relationships/hyperlink" Target="https://drive.google.com/file/d/1A-sArI2ejO9MHc6bKfgdzNlRS1xKWMx3/view?usp=sharing" TargetMode="External"/><Relationship Id="rId279" Type="http://schemas.openxmlformats.org/officeDocument/2006/relationships/hyperlink" Target="https://drive.google.com/file/d/1aFzbjaFaqx5Ch6kQMGHmVso3fFuflcMs/view?usp=sharing" TargetMode="External"/><Relationship Id="rId157" Type="http://schemas.openxmlformats.org/officeDocument/2006/relationships/hyperlink" Target="https://drive.google.com/file/d/1UxDSKT7qSRNwShcvi4_bEshzna4yopS2/view?usp=sharing" TargetMode="External"/><Relationship Id="rId278" Type="http://schemas.openxmlformats.org/officeDocument/2006/relationships/hyperlink" Target="https://drive.google.com/file/d/1XFjPRVZfWjFExqpYK65mCSfak7toZgIC/view?usp=sharing" TargetMode="External"/><Relationship Id="rId156" Type="http://schemas.openxmlformats.org/officeDocument/2006/relationships/hyperlink" Target="https://drive.google.com/file/d/16YOeCukU_vtzAmh2tJVGqBPAXLiuWOtz/view?usp=sharing" TargetMode="External"/><Relationship Id="rId277" Type="http://schemas.openxmlformats.org/officeDocument/2006/relationships/hyperlink" Target="https://drive.google.com/file/d/10vfkJGy12-IU_LuBassupdJRxXd3N9JG/view?usp=sharing" TargetMode="External"/><Relationship Id="rId155" Type="http://schemas.openxmlformats.org/officeDocument/2006/relationships/hyperlink" Target="https://drive.google.com/file/d/1CUup8PxI9RjN3LNnYT_EF7s_kx-2xkVE/view?usp=sharing" TargetMode="External"/><Relationship Id="rId276" Type="http://schemas.openxmlformats.org/officeDocument/2006/relationships/hyperlink" Target="https://drive.google.com/file/d/1PTlk34UiD3ozgYxF0VwEMpPgP7ccIAI1/view?usp=sharing" TargetMode="External"/><Relationship Id="rId40" Type="http://schemas.openxmlformats.org/officeDocument/2006/relationships/hyperlink" Target="https://drive.google.com/file/d/1vX70AYDf--qkCzMb1Nz4SIhWLWZ9s-is/view?usp=sharing" TargetMode="External"/><Relationship Id="rId42" Type="http://schemas.openxmlformats.org/officeDocument/2006/relationships/hyperlink" Target="https://drive.google.com/file/d/1uSTKDw_GXEe9CooX_U-7Nr6vbxoymya7/view?usp=sharing" TargetMode="External"/><Relationship Id="rId41" Type="http://schemas.openxmlformats.org/officeDocument/2006/relationships/hyperlink" Target="https://drive.google.com/file/d/14yTnCjZgAlRAqyvqHo01TYmFU005zTqm/view?usp=sharing" TargetMode="External"/><Relationship Id="rId44" Type="http://schemas.openxmlformats.org/officeDocument/2006/relationships/hyperlink" Target="https://drive.google.com/file/d/13RLY1e1ziHGwySPJCguuSJOk6ofUR8IO/view?usp=sharing" TargetMode="External"/><Relationship Id="rId43" Type="http://schemas.openxmlformats.org/officeDocument/2006/relationships/hyperlink" Target="https://drive.google.com/file/d/1cPEg02Dwb1enfIujBx3B4QZbpx3YVAr8/view?usp=sharing" TargetMode="External"/><Relationship Id="rId46" Type="http://schemas.openxmlformats.org/officeDocument/2006/relationships/hyperlink" Target="https://drive.google.com/file/d/1Uaz-RKehel1Cs3BPFbr1CsvfqnnMn-za/view?usp=sharing" TargetMode="External"/><Relationship Id="rId45" Type="http://schemas.openxmlformats.org/officeDocument/2006/relationships/hyperlink" Target="https://drive.google.com/file/d/17jzWE3cLZEJ0O5lZQPmZRazZceaXKYPk/view?usp=sharing" TargetMode="External"/><Relationship Id="rId48" Type="http://schemas.openxmlformats.org/officeDocument/2006/relationships/hyperlink" Target="https://drive.google.com/file/d/15R81vevPFOh-whRgpXIF3IW2Pcdyt_1u/view?usp=sharing" TargetMode="External"/><Relationship Id="rId47" Type="http://schemas.openxmlformats.org/officeDocument/2006/relationships/hyperlink" Target="https://drive.google.com/file/d/1vR-SyGViokThxNvMR-CYDAgnxIsLpP_C/view?usp=sharing" TargetMode="External"/><Relationship Id="rId49" Type="http://schemas.openxmlformats.org/officeDocument/2006/relationships/hyperlink" Target="https://drive.google.com/file/d/1UBvUhe8CBbQAZJjmhE10Ltm1WErA8kTr/view?usp=sharing" TargetMode="External"/><Relationship Id="rId31" Type="http://schemas.openxmlformats.org/officeDocument/2006/relationships/hyperlink" Target="https://drive.google.com/file/d/1MOmTQdo7CHNXrpLIh51YZLphcLvAe5Tr/view?usp=sharing" TargetMode="External"/><Relationship Id="rId30" Type="http://schemas.openxmlformats.org/officeDocument/2006/relationships/hyperlink" Target="https://drive.google.com/file/d/1Fxbsku-PpkMl8FIYQQdJfNaf3wbOarAZ/view?usp=sharing" TargetMode="External"/><Relationship Id="rId33" Type="http://schemas.openxmlformats.org/officeDocument/2006/relationships/hyperlink" Target="https://drive.google.com/file/d/10Rhi277CucJw1k9rAHT6_vLiubzlUoCb/view?usp=sharing" TargetMode="External"/><Relationship Id="rId32" Type="http://schemas.openxmlformats.org/officeDocument/2006/relationships/hyperlink" Target="https://drive.google.com/file/d/1bBR_CwYhlCligJMDEIeOGYr1YNcacRNX/view?usp=sharing" TargetMode="External"/><Relationship Id="rId35" Type="http://schemas.openxmlformats.org/officeDocument/2006/relationships/hyperlink" Target="https://drive.google.com/file/d/1geslM4CKTlbh0wEG90NmyEd5xM6g02e2/view?usp=sharing" TargetMode="External"/><Relationship Id="rId34" Type="http://schemas.openxmlformats.org/officeDocument/2006/relationships/hyperlink" Target="https://drive.google.com/file/d/1YEfBm0r3-n2KpLH4xLa9yiE5reLAnKxg/view?usp=sharing" TargetMode="External"/><Relationship Id="rId37" Type="http://schemas.openxmlformats.org/officeDocument/2006/relationships/hyperlink" Target="https://drive.google.com/file/d/1J9OV75zmmkj_HNcijz0w6Uxl7io_tV5q/view?usp=sharing" TargetMode="External"/><Relationship Id="rId36" Type="http://schemas.openxmlformats.org/officeDocument/2006/relationships/hyperlink" Target="https://drive.google.com/file/d/1xj7GY8r5IjwNhGl3WmwjjnQdNgnbDtSc/view?usp=sharing" TargetMode="External"/><Relationship Id="rId39" Type="http://schemas.openxmlformats.org/officeDocument/2006/relationships/hyperlink" Target="https://drive.google.com/file/d/17Kv4xIq3MFiG5fv-UcAl3i4hVXaYbc3s/view?usp=sharing" TargetMode="External"/><Relationship Id="rId38" Type="http://schemas.openxmlformats.org/officeDocument/2006/relationships/hyperlink" Target="https://drive.google.com/file/d/1QN45PxCBPya5nX089TiddJ565oKcYWv4/view?usp=sharing" TargetMode="External"/><Relationship Id="rId20" Type="http://schemas.openxmlformats.org/officeDocument/2006/relationships/hyperlink" Target="https://drive.google.com/file/d/12Yc5ibk3sH-wCu1eX0FAzASKDJu0XqMy/view?usp=sharing" TargetMode="External"/><Relationship Id="rId22" Type="http://schemas.openxmlformats.org/officeDocument/2006/relationships/hyperlink" Target="https://drive.google.com/file/d/1sgqKLqDedZrJ2EEkCLsHj8RZX2xKslz6/view?usp=sharing" TargetMode="External"/><Relationship Id="rId21" Type="http://schemas.openxmlformats.org/officeDocument/2006/relationships/hyperlink" Target="https://drive.google.com/file/d/1KrNhM1SOY1UuQvEHXq8t-bpukM_Fwv2E/view?usp=sharing" TargetMode="External"/><Relationship Id="rId24" Type="http://schemas.openxmlformats.org/officeDocument/2006/relationships/hyperlink" Target="https://drive.google.com/file/d/1eCMFxIlSx9g28FMzDeMIMbMznUdf0Qkk/view?usp=sharing" TargetMode="External"/><Relationship Id="rId23" Type="http://schemas.openxmlformats.org/officeDocument/2006/relationships/hyperlink" Target="https://drive.google.com/file/d/1yQpeFQvaxgVusY6sXgJocfsIq-xdQ1tC/view?usp=sharing" TargetMode="External"/><Relationship Id="rId26" Type="http://schemas.openxmlformats.org/officeDocument/2006/relationships/hyperlink" Target="https://drive.google.com/file/d/1mrIhDIxavhWTy9wVC4vOf5Il5MaeC5WV/view?usp=sharing" TargetMode="External"/><Relationship Id="rId25" Type="http://schemas.openxmlformats.org/officeDocument/2006/relationships/hyperlink" Target="https://drive.google.com/file/d/1uRhDWExVuahdWmW94y5WTSxwMksoDkUN/view?usp=sharing" TargetMode="External"/><Relationship Id="rId28" Type="http://schemas.openxmlformats.org/officeDocument/2006/relationships/hyperlink" Target="https://drive.google.com/file/d/1ukWgRGp0vkIxakPglTJjq1t8ykBt8AL4/view?usp=sharing" TargetMode="External"/><Relationship Id="rId27" Type="http://schemas.openxmlformats.org/officeDocument/2006/relationships/hyperlink" Target="https://drive.google.com/file/d/1jusV_n2SyVxO8zDaSqkVoii68alWW75M/view?usp=sharing" TargetMode="External"/><Relationship Id="rId29" Type="http://schemas.openxmlformats.org/officeDocument/2006/relationships/hyperlink" Target="https://drive.google.com/file/d/1k3TpFCgJes03SVGDMzIYYON5qwG0w9cH/view?usp=sharing" TargetMode="External"/><Relationship Id="rId11" Type="http://schemas.openxmlformats.org/officeDocument/2006/relationships/hyperlink" Target="https://drive.google.com/file/d/1xd7tAwbMwT3egn-8RhIFvZUcsUnz0Dh-/view?usp=sharing" TargetMode="External"/><Relationship Id="rId10" Type="http://schemas.openxmlformats.org/officeDocument/2006/relationships/hyperlink" Target="https://drive.google.com/file/d/1DiIw7yKp1S7Zq9t7MLjwIsBHPvLSgp9y/view?usp=sharing" TargetMode="External"/><Relationship Id="rId13" Type="http://schemas.openxmlformats.org/officeDocument/2006/relationships/hyperlink" Target="https://drive.google.com/file/d/1OO6CLH3T8ayDRJ0KG0FYGa7nuWIq0XX_/view?usp=sharing" TargetMode="External"/><Relationship Id="rId12" Type="http://schemas.openxmlformats.org/officeDocument/2006/relationships/hyperlink" Target="https://drive.google.com/file/d/1xz-a-PhK_binv65xlRtaJkpFMf7wPwJq/view?usp=sharing" TargetMode="External"/><Relationship Id="rId15" Type="http://schemas.openxmlformats.org/officeDocument/2006/relationships/hyperlink" Target="https://drive.google.com/file/d/1ZbDqVQEHmDnxLmki-n1C1MdXhT2TP2aa/view?usp=sharing" TargetMode="External"/><Relationship Id="rId14" Type="http://schemas.openxmlformats.org/officeDocument/2006/relationships/hyperlink" Target="https://drive.google.com/file/d/12v7Q2e0k4NbJ6he5v8c5OZ2Gh-yLTuP-/view?usp=sharing" TargetMode="External"/><Relationship Id="rId17" Type="http://schemas.openxmlformats.org/officeDocument/2006/relationships/hyperlink" Target="https://drive.google.com/file/d/1JwKPbKZjFEsypaaGk3EYPWmS1d0Ah4Uo/view?usp=sharing" TargetMode="External"/><Relationship Id="rId16" Type="http://schemas.openxmlformats.org/officeDocument/2006/relationships/hyperlink" Target="https://drive.google.com/file/d/1ajXwQENJYfSJvv5cGbasW9ul1eh4XwC7/view?usp=sharing" TargetMode="External"/><Relationship Id="rId19" Type="http://schemas.openxmlformats.org/officeDocument/2006/relationships/hyperlink" Target="https://drive.google.com/file/d/1R8YLAD5ZiJNG9e1jJQs0FqCrZHRIDyVO/view?usp=sharing" TargetMode="External"/><Relationship Id="rId18" Type="http://schemas.openxmlformats.org/officeDocument/2006/relationships/hyperlink" Target="https://drive.google.com/file/d/1gLzwK8HloVqLUPddwa4OJqj7csR7zs09/view?usp=sharing" TargetMode="External"/><Relationship Id="rId84" Type="http://schemas.openxmlformats.org/officeDocument/2006/relationships/hyperlink" Target="https://drive.google.com/file/d/172qZNp3PLNntJMNcI_4avxX9X7CkojYM/view?usp=sharing" TargetMode="External"/><Relationship Id="rId83" Type="http://schemas.openxmlformats.org/officeDocument/2006/relationships/hyperlink" Target="https://drive.google.com/file/d/1fv3dpudvU8bBd7Lfk3BsPf1gCWPCnCZn/view?usp=sharing" TargetMode="External"/><Relationship Id="rId86" Type="http://schemas.openxmlformats.org/officeDocument/2006/relationships/hyperlink" Target="https://drive.google.com/file/d/1kn0W0tv2qR9jbh9_jUAUpOyNG5yhBa9O/view?usp=sharing" TargetMode="External"/><Relationship Id="rId85" Type="http://schemas.openxmlformats.org/officeDocument/2006/relationships/hyperlink" Target="https://drive.google.com/file/d/1uQre8uAFiYYnd8TcQqAqLezGqJJ408G4/view?usp=sharing" TargetMode="External"/><Relationship Id="rId88" Type="http://schemas.openxmlformats.org/officeDocument/2006/relationships/hyperlink" Target="https://drive.google.com/file/d/1O4S-0WPtQdWfiglQvBl4rL1lebyiv0AU/view?usp=sharing" TargetMode="External"/><Relationship Id="rId87" Type="http://schemas.openxmlformats.org/officeDocument/2006/relationships/hyperlink" Target="https://drive.google.com/file/d/1kkxLyE-xGLcJiH8Cly570EBTP9ARBCsD/view?usp=sharing" TargetMode="External"/><Relationship Id="rId89" Type="http://schemas.openxmlformats.org/officeDocument/2006/relationships/hyperlink" Target="https://drive.google.com/file/d/1hvkwAitud0zbLrYdpiA3o4Mnak4Yh4ZY/view?usp=sharing" TargetMode="External"/><Relationship Id="rId80" Type="http://schemas.openxmlformats.org/officeDocument/2006/relationships/hyperlink" Target="https://drive.google.com/file/d/182qkMAJfHkPUkKsrORGoplo9ppev_34J/view?usp=sharing" TargetMode="External"/><Relationship Id="rId82" Type="http://schemas.openxmlformats.org/officeDocument/2006/relationships/hyperlink" Target="https://drive.google.com/file/d/1GF__kJXY4ZCIHd9ZaEjTB4hZR6SP-ONJ/view?usp=sharing" TargetMode="External"/><Relationship Id="rId81" Type="http://schemas.openxmlformats.org/officeDocument/2006/relationships/hyperlink" Target="https://drive.google.com/file/d/1JHy0_RjiSpqeKLcFR7S3jVvRngxKbTfs/view?usp=sharing" TargetMode="External"/><Relationship Id="rId73" Type="http://schemas.openxmlformats.org/officeDocument/2006/relationships/hyperlink" Target="https://drive.google.com/file/d/1ZZcLvZ70KtDsCkena16ij9sVtyZfQjy2/view?usp=sharing" TargetMode="External"/><Relationship Id="rId72" Type="http://schemas.openxmlformats.org/officeDocument/2006/relationships/hyperlink" Target="https://drive.google.com/file/d/1v4iq6oB_5UeBqNXM98kCKfUVBOJUDR0T/view?usp=sharing" TargetMode="External"/><Relationship Id="rId75" Type="http://schemas.openxmlformats.org/officeDocument/2006/relationships/hyperlink" Target="https://drive.google.com/file/d/1hjZdKXkCxFcNY2QVB7kldqokVfO9Oa9U/view?usp=sharing" TargetMode="External"/><Relationship Id="rId74" Type="http://schemas.openxmlformats.org/officeDocument/2006/relationships/hyperlink" Target="https://drive.google.com/file/d/1LZMvaUsnWt-k7Ifftx462rcnmzIptyD9/view?usp=sharing" TargetMode="External"/><Relationship Id="rId77" Type="http://schemas.openxmlformats.org/officeDocument/2006/relationships/hyperlink" Target="https://drive.google.com/file/d/1H1HXNmZDgh9rSVs1T6FArkKdDsgYRFcg/view?usp=sharing" TargetMode="External"/><Relationship Id="rId76" Type="http://schemas.openxmlformats.org/officeDocument/2006/relationships/hyperlink" Target="https://drive.google.com/file/d/1wDBzO5dpD-mS7_mmaOm2vJ6ufjl7J1a4/view?usp=sharing" TargetMode="External"/><Relationship Id="rId79" Type="http://schemas.openxmlformats.org/officeDocument/2006/relationships/hyperlink" Target="https://drive.google.com/file/d/1rQo1z4uInXbxhSl5k0yFGjQ-AkmPj29Q/view?usp=sharing" TargetMode="External"/><Relationship Id="rId78" Type="http://schemas.openxmlformats.org/officeDocument/2006/relationships/hyperlink" Target="https://drive.google.com/file/d/1kj6HyFiahMdnhlWcTaoWY0QG_ALucewX/view?usp=sharing" TargetMode="External"/><Relationship Id="rId71" Type="http://schemas.openxmlformats.org/officeDocument/2006/relationships/hyperlink" Target="https://drive.google.com/file/d/1FilET84nHc1csXM6p4i-JAMHKtst1P0H/view?usp=sharing" TargetMode="External"/><Relationship Id="rId70" Type="http://schemas.openxmlformats.org/officeDocument/2006/relationships/hyperlink" Target="https://drive.google.com/file/d/1Bb_n2OJ4uSCLiVTxzRskBqgRgN-0C3Oy/view?usp=sharing" TargetMode="External"/><Relationship Id="rId62" Type="http://schemas.openxmlformats.org/officeDocument/2006/relationships/hyperlink" Target="https://drive.google.com/file/d/1cXhz_W0gby7p3HuP0xSXKciy7L6ZCXf3/view?usp=sharing" TargetMode="External"/><Relationship Id="rId61" Type="http://schemas.openxmlformats.org/officeDocument/2006/relationships/hyperlink" Target="https://drive.google.com/file/d/17kT7sgbNDQPByPTuQwqpIYuSWEWiqR_F/view?usp=sharing" TargetMode="External"/><Relationship Id="rId64" Type="http://schemas.openxmlformats.org/officeDocument/2006/relationships/hyperlink" Target="https://drive.google.com/file/d/12C4_1IATePR2_3rlQlRdA3R_RhLGcF9m/view?usp=sharing" TargetMode="External"/><Relationship Id="rId63" Type="http://schemas.openxmlformats.org/officeDocument/2006/relationships/hyperlink" Target="https://drive.google.com/file/d/1Vu7gYrrn06rRex9-7DH_FZzTSDf8GWnV/view?usp=sharing" TargetMode="External"/><Relationship Id="rId66" Type="http://schemas.openxmlformats.org/officeDocument/2006/relationships/hyperlink" Target="https://drive.google.com/file/d/1jDjxSBAJ69VDa5kUup1smivtLT2_yMqU/view?usp=sharing" TargetMode="External"/><Relationship Id="rId65" Type="http://schemas.openxmlformats.org/officeDocument/2006/relationships/hyperlink" Target="https://drive.google.com/file/d/1ug7o1FRAbu1K0txQWBWOxuDt1Ie4XADh/view?usp=sharing" TargetMode="External"/><Relationship Id="rId68" Type="http://schemas.openxmlformats.org/officeDocument/2006/relationships/hyperlink" Target="https://drive.google.com/file/d/1_JiSlvqOQQMmOGIZ5tHse2EyOZcAQ8We/view?usp=sharing" TargetMode="External"/><Relationship Id="rId67" Type="http://schemas.openxmlformats.org/officeDocument/2006/relationships/hyperlink" Target="https://drive.google.com/file/d/1_gjPJtWDOwHUIsmwcj1v5U1GRix7x-IA/view?usp=sharing" TargetMode="External"/><Relationship Id="rId60" Type="http://schemas.openxmlformats.org/officeDocument/2006/relationships/hyperlink" Target="https://drive.google.com/file/d/1c3kUmRH343cqiWkR3ciTNb_ucugSgf8M/view?usp=sharing" TargetMode="External"/><Relationship Id="rId69" Type="http://schemas.openxmlformats.org/officeDocument/2006/relationships/hyperlink" Target="https://drive.google.com/file/d/1i3bfGlKTffgw09_WTixzd5cAezhI_X3i/view?usp=sharing" TargetMode="External"/><Relationship Id="rId51" Type="http://schemas.openxmlformats.org/officeDocument/2006/relationships/hyperlink" Target="https://drive.google.com/file/d/1ltCwadQ-BB2kIUHaYI13GHVNW6Sn6Hf5/view?usp=sharing" TargetMode="External"/><Relationship Id="rId50" Type="http://schemas.openxmlformats.org/officeDocument/2006/relationships/hyperlink" Target="https://drive.google.com/file/d/1aguPh-EQSokg8C06HvbT9T2mp43Frz7Y/view?usp=sharing" TargetMode="External"/><Relationship Id="rId53" Type="http://schemas.openxmlformats.org/officeDocument/2006/relationships/hyperlink" Target="https://drive.google.com/file/d/1udNexDxxetUptRneJJV3HJcgBdQSkI4M/view?usp=sharing" TargetMode="External"/><Relationship Id="rId52" Type="http://schemas.openxmlformats.org/officeDocument/2006/relationships/hyperlink" Target="https://drive.google.com/file/d/12c5t0_zBYEix-jnw0Dlxq-dFEu1og7gj/view?usp=sharing" TargetMode="External"/><Relationship Id="rId55" Type="http://schemas.openxmlformats.org/officeDocument/2006/relationships/hyperlink" Target="https://drive.google.com/file/d/1WJVKGv_NsIs51cM6yU7r7Fmo_frW7NuO/view?usp=sharing" TargetMode="External"/><Relationship Id="rId54" Type="http://schemas.openxmlformats.org/officeDocument/2006/relationships/hyperlink" Target="https://drive.google.com/file/d/1duk_pRIejKRl9oicnDD1y1jWCgb4Qd2S/view?usp=sharing" TargetMode="External"/><Relationship Id="rId57" Type="http://schemas.openxmlformats.org/officeDocument/2006/relationships/hyperlink" Target="https://drive.google.com/file/d/1EnXym_QAojV6Fypo9quwKP4G-6fy3xFz/view?usp=sharing" TargetMode="External"/><Relationship Id="rId56" Type="http://schemas.openxmlformats.org/officeDocument/2006/relationships/hyperlink" Target="https://drive.google.com/file/d/1Zf008Mx6pEWq8JvwgHpiSlramTPfI7kB/view?usp=sharing" TargetMode="External"/><Relationship Id="rId59" Type="http://schemas.openxmlformats.org/officeDocument/2006/relationships/hyperlink" Target="https://drive.google.com/file/d/1LjZiRlK9BkuAFXERzqr_wE5_Wa6R4Qgk/view?usp=sharing" TargetMode="External"/><Relationship Id="rId58" Type="http://schemas.openxmlformats.org/officeDocument/2006/relationships/hyperlink" Target="https://drive.google.com/file/d/1GAXm2HT1XSzffhENX1jCGKOHSafJQGG9/view?usp=sharing" TargetMode="External"/><Relationship Id="rId107" Type="http://schemas.openxmlformats.org/officeDocument/2006/relationships/hyperlink" Target="https://drive.google.com/file/d/1qby-jJapJvSSKBDhYVaFraSn1DH4sGss/view?usp=sharing" TargetMode="External"/><Relationship Id="rId228" Type="http://schemas.openxmlformats.org/officeDocument/2006/relationships/hyperlink" Target="https://drive.google.com/file/d/1QBes3oHfntJyj7z0uqh7JQsMutaINm_l/view?usp=sharing" TargetMode="External"/><Relationship Id="rId349" Type="http://schemas.openxmlformats.org/officeDocument/2006/relationships/hyperlink" Target="https://drive.google.com/file/d/14IPMnKGgWp5de5-qS2b9hE8j77QG2fYS/view?usp=sharing" TargetMode="External"/><Relationship Id="rId106" Type="http://schemas.openxmlformats.org/officeDocument/2006/relationships/hyperlink" Target="https://drive.google.com/file/d/1E8M1hUKdSPbQNUqvv7aFhH0e4gIIQhTk/view?usp=sharing" TargetMode="External"/><Relationship Id="rId227" Type="http://schemas.openxmlformats.org/officeDocument/2006/relationships/hyperlink" Target="https://drive.google.com/file/d/1sBK2MEFrJnsthmwwgHV722lpvj6I2UqU/view?usp=sharing" TargetMode="External"/><Relationship Id="rId348" Type="http://schemas.openxmlformats.org/officeDocument/2006/relationships/hyperlink" Target="https://drive.google.com/file/d/1I4vEV2g3sMMtYt84mKJwZtI1pwcZpoY8/view?usp=sharing" TargetMode="External"/><Relationship Id="rId105" Type="http://schemas.openxmlformats.org/officeDocument/2006/relationships/hyperlink" Target="https://drive.google.com/file/d/11p3Bhk3JocYsrBxGhHI_bSY0w3gXBJ5t/view?usp=sharing" TargetMode="External"/><Relationship Id="rId226" Type="http://schemas.openxmlformats.org/officeDocument/2006/relationships/hyperlink" Target="https://drive.google.com/file/d/1-hkJHiCzduVKyTZ5XyWemREJiKKeFtMy/view?usp=sharing" TargetMode="External"/><Relationship Id="rId347" Type="http://schemas.openxmlformats.org/officeDocument/2006/relationships/hyperlink" Target="https://drive.google.com/file/d/1TX-mz-E2u8iFrluFeuY0_pxPoc2qQVmc/view?usp=sharing" TargetMode="External"/><Relationship Id="rId104" Type="http://schemas.openxmlformats.org/officeDocument/2006/relationships/hyperlink" Target="https://drive.google.com/file/d/1PjIJt1_II777DrTobkwMZpY8gkyCsg0o/view?usp=sharing" TargetMode="External"/><Relationship Id="rId225" Type="http://schemas.openxmlformats.org/officeDocument/2006/relationships/hyperlink" Target="https://drive.google.com/file/d/1OeZbFqp0Vm9QhvA0sLtTDxpE92jQsLfw/view?usp=sharing" TargetMode="External"/><Relationship Id="rId346" Type="http://schemas.openxmlformats.org/officeDocument/2006/relationships/hyperlink" Target="https://drive.google.com/file/d/1_Uf1zPs6crC4lzUkyihVHsCIzarKqMsM/view?usp=sharing" TargetMode="External"/><Relationship Id="rId109" Type="http://schemas.openxmlformats.org/officeDocument/2006/relationships/hyperlink" Target="https://drive.google.com/file/d/1JZr88zSmIDzJipjF10ypmUkqxeROomeM/view?usp=sharing" TargetMode="External"/><Relationship Id="rId108" Type="http://schemas.openxmlformats.org/officeDocument/2006/relationships/hyperlink" Target="https://drive.google.com/file/d/1C1CVmRiSzzKn8W3JLGRF70TNWKWUH0tu/view?usp=sharing" TargetMode="External"/><Relationship Id="rId229" Type="http://schemas.openxmlformats.org/officeDocument/2006/relationships/hyperlink" Target="https://drive.google.com/file/d/1kBs7BbIEVmobQEHeCRynr9MAvMjllPVI/view?usp=sharing" TargetMode="External"/><Relationship Id="rId220" Type="http://schemas.openxmlformats.org/officeDocument/2006/relationships/hyperlink" Target="https://drive.google.com/file/d/1s_cdqRXyGFhURUw-VxaPskAp_29FOWT2/view?usp=sharing" TargetMode="External"/><Relationship Id="rId341" Type="http://schemas.openxmlformats.org/officeDocument/2006/relationships/hyperlink" Target="https://drive.google.com/file/d/1Hm9ObvixvSTpMZiFF3fcq9QnuHi_--mR/view?usp=sharing" TargetMode="External"/><Relationship Id="rId340" Type="http://schemas.openxmlformats.org/officeDocument/2006/relationships/hyperlink" Target="https://drive.google.com/file/d/1-9A4WZJkr5UnPBLDJR4XCfDcOVVWjL7v/view?usp=sharing" TargetMode="External"/><Relationship Id="rId103" Type="http://schemas.openxmlformats.org/officeDocument/2006/relationships/hyperlink" Target="https://drive.google.com/file/d/1MjrZp0g0q3s7pY_mNOr_1fnlrSHgPhxv/view?usp=sharing" TargetMode="External"/><Relationship Id="rId224" Type="http://schemas.openxmlformats.org/officeDocument/2006/relationships/hyperlink" Target="https://drive.google.com/file/d/1YRsxG-LkU85VyhY_MePH0BG4XLLDF3Cl/view?usp=sharing" TargetMode="External"/><Relationship Id="rId345" Type="http://schemas.openxmlformats.org/officeDocument/2006/relationships/hyperlink" Target="https://drive.google.com/file/d/1nSCg4QcljHPbVixPNPlRbROZp4btsIG8/view?usp=sharing" TargetMode="External"/><Relationship Id="rId102" Type="http://schemas.openxmlformats.org/officeDocument/2006/relationships/hyperlink" Target="https://drive.google.com/file/d/1zw270hxqfx9H6r-dO_5GYUPa7AUl16us/view?usp=sharing" TargetMode="External"/><Relationship Id="rId223" Type="http://schemas.openxmlformats.org/officeDocument/2006/relationships/hyperlink" Target="https://drive.google.com/file/d/1ks66bYle0gM_L_63cbcW1CzvCaJZgz6h/view?usp=sharing" TargetMode="External"/><Relationship Id="rId344" Type="http://schemas.openxmlformats.org/officeDocument/2006/relationships/hyperlink" Target="https://drive.google.com/file/d/1ZqnYTPyKnAlTgWRBaY1VREbNzrJZ2Fo_/view?usp=sharing" TargetMode="External"/><Relationship Id="rId101" Type="http://schemas.openxmlformats.org/officeDocument/2006/relationships/hyperlink" Target="https://drive.google.com/file/d/1PJsRyu8ciR_UmQj7Va_QZ916pRiNo0zw/view?usp=sharing" TargetMode="External"/><Relationship Id="rId222" Type="http://schemas.openxmlformats.org/officeDocument/2006/relationships/hyperlink" Target="https://drive.google.com/file/d/1zM0RKKOKnHnrS0OS86MxMsWm8EusSq1Q/view?usp=sharing" TargetMode="External"/><Relationship Id="rId343" Type="http://schemas.openxmlformats.org/officeDocument/2006/relationships/hyperlink" Target="https://drive.google.com/file/d/1lcbu0l8c09XlwXNVnT2Y-BnhTiDHXHXT/view?usp=sharing" TargetMode="External"/><Relationship Id="rId100" Type="http://schemas.openxmlformats.org/officeDocument/2006/relationships/hyperlink" Target="https://drive.google.com/file/d/1VawePu8XlXKJ3QEDYvlF80TXj1KNG7Bd/view?usp=sharing" TargetMode="External"/><Relationship Id="rId221" Type="http://schemas.openxmlformats.org/officeDocument/2006/relationships/hyperlink" Target="https://drive.google.com/file/d/1uiMGKZCPJDNoxrBXjlQhV-gFGYw_enJr/view?usp=sharing" TargetMode="External"/><Relationship Id="rId342" Type="http://schemas.openxmlformats.org/officeDocument/2006/relationships/hyperlink" Target="https://drive.google.com/file/d/1cRFjWz8-xgfhDPSp1Zu7cAGLLRwM1oxm/view?usp=sharing" TargetMode="External"/><Relationship Id="rId217" Type="http://schemas.openxmlformats.org/officeDocument/2006/relationships/hyperlink" Target="https://drive.google.com/file/d/1A4T_KdCwDR5x9wkcBmM49Vaqwa58j1oH/view?usp=sharing" TargetMode="External"/><Relationship Id="rId338" Type="http://schemas.openxmlformats.org/officeDocument/2006/relationships/hyperlink" Target="https://drive.google.com/file/d/1N3eyV_P1jZTUB05Yh6QM80N0EKYiy35J/view?usp=sharing" TargetMode="External"/><Relationship Id="rId216" Type="http://schemas.openxmlformats.org/officeDocument/2006/relationships/hyperlink" Target="https://drive.google.com/file/d/1CyXvGCHlcPHQOhCPoee1DyUygSzWRrk0/view?usp=sharing" TargetMode="External"/><Relationship Id="rId337" Type="http://schemas.openxmlformats.org/officeDocument/2006/relationships/hyperlink" Target="https://drive.google.com/file/d/1QizxF2hkrcc3NmQUedwXyxP0K_Uy2tG0/view?usp=sharing" TargetMode="External"/><Relationship Id="rId215" Type="http://schemas.openxmlformats.org/officeDocument/2006/relationships/hyperlink" Target="https://drive.google.com/file/d/1LkfJTSRB-rlrtE-Z_KZk7W7PnXVfA6P5/view?usp=sharing" TargetMode="External"/><Relationship Id="rId336" Type="http://schemas.openxmlformats.org/officeDocument/2006/relationships/hyperlink" Target="https://drive.google.com/file/d/1yiqFakekNvH_NpqX4LIOmsV4OgzR7Zop/view?usp=sharing" TargetMode="External"/><Relationship Id="rId214" Type="http://schemas.openxmlformats.org/officeDocument/2006/relationships/hyperlink" Target="https://drive.google.com/file/d/1tz6i6r5p6Z0iIvRdE4SH_ejW933JTx2U/view?usp=sharing" TargetMode="External"/><Relationship Id="rId335" Type="http://schemas.openxmlformats.org/officeDocument/2006/relationships/hyperlink" Target="https://drive.google.com/file/d/18lecUYOP4u-NVrXr701DNM1omDqRanR_/view?usp=sharing" TargetMode="External"/><Relationship Id="rId219" Type="http://schemas.openxmlformats.org/officeDocument/2006/relationships/hyperlink" Target="https://drive.google.com/file/d/1i3_SKJIfjJSq_bd00JMBlaM8Uflqnip_/view?usp=sharing" TargetMode="External"/><Relationship Id="rId218" Type="http://schemas.openxmlformats.org/officeDocument/2006/relationships/hyperlink" Target="https://drive.google.com/file/d/1bzv4kcs9Bnp46w2JBt8TJS53AA6HcfDj/view?usp=sharing" TargetMode="External"/><Relationship Id="rId339" Type="http://schemas.openxmlformats.org/officeDocument/2006/relationships/hyperlink" Target="https://drive.google.com/file/d/1zrQEfuqpZHB-Gag2dbJSk5pBy0e40AOX/view?usp=sharing" TargetMode="External"/><Relationship Id="rId330" Type="http://schemas.openxmlformats.org/officeDocument/2006/relationships/hyperlink" Target="https://drive.google.com/file/d/1xgAvtQ0pYO3as1gaUACqK07PrHuCnkO9/view?usp=sharing" TargetMode="External"/><Relationship Id="rId213" Type="http://schemas.openxmlformats.org/officeDocument/2006/relationships/hyperlink" Target="https://drive.google.com/file/d/1wxNDmHN6Y3_uysNz75C-bxQaslOX4rGY/view?usp=sharing" TargetMode="External"/><Relationship Id="rId334" Type="http://schemas.openxmlformats.org/officeDocument/2006/relationships/hyperlink" Target="https://drive.google.com/file/d/1oVW9__DhalnwHpMKMPqb3lRT__OXclhM/view?usp=sharing" TargetMode="External"/><Relationship Id="rId212" Type="http://schemas.openxmlformats.org/officeDocument/2006/relationships/hyperlink" Target="https://drive.google.com/file/d/1S-6aDHxmu7FWWEGwN3TKBm5ziOBnhRSe/view?usp=sharing" TargetMode="External"/><Relationship Id="rId333" Type="http://schemas.openxmlformats.org/officeDocument/2006/relationships/hyperlink" Target="https://drive.google.com/file/d/1YbDS-7wG_I4C7zx-Wok5xMssNJl9EDqE/view?usp=sharing" TargetMode="External"/><Relationship Id="rId211" Type="http://schemas.openxmlformats.org/officeDocument/2006/relationships/hyperlink" Target="https://drive.google.com/file/d/1r2kUogPZknBj_4icy5ciyoFk5C76iXS9/view?usp=sharing" TargetMode="External"/><Relationship Id="rId332" Type="http://schemas.openxmlformats.org/officeDocument/2006/relationships/hyperlink" Target="https://drive.google.com/file/d/1KduY4efWuNmi8DqTYXM_5qJgsvypcgDk/view?usp=sharing" TargetMode="External"/><Relationship Id="rId210" Type="http://schemas.openxmlformats.org/officeDocument/2006/relationships/hyperlink" Target="https://drive.google.com/file/d/1hvJYOj7ZZ1kSnB1ovN-9CH9Fz5V4Jcrx/view?usp=sharing" TargetMode="External"/><Relationship Id="rId331" Type="http://schemas.openxmlformats.org/officeDocument/2006/relationships/hyperlink" Target="https://drive.google.com/file/d/1LB5c3SizbEwK-jxAqPZpDql6VfSP5ntD/view?usp=sharing" TargetMode="External"/><Relationship Id="rId370" Type="http://schemas.openxmlformats.org/officeDocument/2006/relationships/hyperlink" Target="https://drive.google.com/file/d/1sPTrEDTsdxMRJCu6RDaKUWZEqevee-Uz/view?usp=sharing" TargetMode="External"/><Relationship Id="rId129" Type="http://schemas.openxmlformats.org/officeDocument/2006/relationships/hyperlink" Target="https://drive.google.com/file/d/1vc1zQJwkqOKjoy2N-DaqOVOHL-cub1iz/view?usp=sharing" TargetMode="External"/><Relationship Id="rId128" Type="http://schemas.openxmlformats.org/officeDocument/2006/relationships/hyperlink" Target="https://drive.google.com/file/d/1zFFBaIxWReOb858rVSJhfLGdsnPSTMDl/view?usp=sharing" TargetMode="External"/><Relationship Id="rId249" Type="http://schemas.openxmlformats.org/officeDocument/2006/relationships/hyperlink" Target="https://drive.google.com/file/d/1WzO7IJQtu-YJJhFJC02aGD2VoK5pqVao/view?usp=sharing" TargetMode="External"/><Relationship Id="rId127" Type="http://schemas.openxmlformats.org/officeDocument/2006/relationships/hyperlink" Target="https://drive.google.com/file/d/1EUIZ2RWouBWFADUPFMjO6HL5Kcsheto5/view?usp=sharing" TargetMode="External"/><Relationship Id="rId248" Type="http://schemas.openxmlformats.org/officeDocument/2006/relationships/hyperlink" Target="https://drive.google.com/file/d/1L4MK7kSdarBmvKAKnTcJfGZ_ImnAK8Hj/view?usp=sharing" TargetMode="External"/><Relationship Id="rId369" Type="http://schemas.openxmlformats.org/officeDocument/2006/relationships/hyperlink" Target="https://drive.google.com/file/d/12HN85rhAOiuGHBwd22iQOmbwxjwWeGo3/view?usp=sharing" TargetMode="External"/><Relationship Id="rId126" Type="http://schemas.openxmlformats.org/officeDocument/2006/relationships/hyperlink" Target="https://drive.google.com/file/d/1twfSpQKU5kuCefAVbHOzcV-ikRDEeTad/view?usp=sharing" TargetMode="External"/><Relationship Id="rId247" Type="http://schemas.openxmlformats.org/officeDocument/2006/relationships/hyperlink" Target="https://drive.google.com/file/d/1u7k2lL283i6TOQDarurqvG2YbnK2ChlQ/view?usp=sharing" TargetMode="External"/><Relationship Id="rId368" Type="http://schemas.openxmlformats.org/officeDocument/2006/relationships/hyperlink" Target="https://drive.google.com/file/d/1Q5GjGWMO2PgfnKfLSALI0wmNfIk_mvVr/view?usp=sharing" TargetMode="External"/><Relationship Id="rId121" Type="http://schemas.openxmlformats.org/officeDocument/2006/relationships/hyperlink" Target="https://drive.google.com/file/d/1alWWCEJnv8WmTbT7Sy7LrhVj5XEwLDu1/view?usp=sharing" TargetMode="External"/><Relationship Id="rId242" Type="http://schemas.openxmlformats.org/officeDocument/2006/relationships/hyperlink" Target="https://drive.google.com/file/d/1RnB12VDbjWINwck5i1YKmmLxv0cY2zRi/view?usp=sharing" TargetMode="External"/><Relationship Id="rId363" Type="http://schemas.openxmlformats.org/officeDocument/2006/relationships/hyperlink" Target="https://drive.google.com/file/d/1K5eV4vXfwU0w48TobNibEGk2fZj0Rq9Z/view?usp=sharing" TargetMode="External"/><Relationship Id="rId120" Type="http://schemas.openxmlformats.org/officeDocument/2006/relationships/hyperlink" Target="https://drive.google.com/file/d/1nDCwCeZQuhxQv7U6w89uS33JeM6eAi0i/view?usp=sharing" TargetMode="External"/><Relationship Id="rId241" Type="http://schemas.openxmlformats.org/officeDocument/2006/relationships/hyperlink" Target="https://drive.google.com/file/d/1xx5xFoMXMZI21roOoAUtELdW8MywMQ36/view?usp=sharing" TargetMode="External"/><Relationship Id="rId362" Type="http://schemas.openxmlformats.org/officeDocument/2006/relationships/hyperlink" Target="https://drive.google.com/file/d/1nFjH98bAi5BU42BD3IACOi16po0rZ7Kp/view?usp=sharing" TargetMode="External"/><Relationship Id="rId240" Type="http://schemas.openxmlformats.org/officeDocument/2006/relationships/hyperlink" Target="https://drive.google.com/file/d/1jMfu1MHgf__ndvcSzedzMXB-7Oi-yNFs/view?usp=sharing" TargetMode="External"/><Relationship Id="rId361" Type="http://schemas.openxmlformats.org/officeDocument/2006/relationships/hyperlink" Target="https://drive.google.com/file/d/1_eeVEwR9_6fjjC_NM3Abo3qTzYLURUxG/view?usp=sharing" TargetMode="External"/><Relationship Id="rId360" Type="http://schemas.openxmlformats.org/officeDocument/2006/relationships/hyperlink" Target="https://drive.google.com/file/d/1ZN_J0l5lP5rILoSJlZCGLXFzTuVOKYfj/view?usp=sharing" TargetMode="External"/><Relationship Id="rId125" Type="http://schemas.openxmlformats.org/officeDocument/2006/relationships/hyperlink" Target="https://drive.google.com/file/d/1VSilU-Z_SIFhkIZBFpiSSIM_EevEWtnk/view?usp=sharing" TargetMode="External"/><Relationship Id="rId246" Type="http://schemas.openxmlformats.org/officeDocument/2006/relationships/hyperlink" Target="https://drive.google.com/file/d/1ZwNJKIHf64CjpkS1xXn5VX3o_bQSbOiJ/view?usp=sharing" TargetMode="External"/><Relationship Id="rId367" Type="http://schemas.openxmlformats.org/officeDocument/2006/relationships/hyperlink" Target="https://drive.google.com/file/d/1UF-_tUo6S_fCDBNdWCiZUQX6FoqTe9aE/view?usp=sharing" TargetMode="External"/><Relationship Id="rId124" Type="http://schemas.openxmlformats.org/officeDocument/2006/relationships/hyperlink" Target="https://drive.google.com/file/d/1FuoyovRC__4oxck67FrbwjJTcQvVlEiX/view?usp=sharing" TargetMode="External"/><Relationship Id="rId245" Type="http://schemas.openxmlformats.org/officeDocument/2006/relationships/hyperlink" Target="https://drive.google.com/file/d/1G9LSwOANwFlHxpJcxdcvINfFUYqFasQL/view?usp=sharing" TargetMode="External"/><Relationship Id="rId366" Type="http://schemas.openxmlformats.org/officeDocument/2006/relationships/hyperlink" Target="https://drive.google.com/file/d/1p4va3VpUdqX4O6QMhoR-md5Y5C6Y0JAi/view?usp=sharing" TargetMode="External"/><Relationship Id="rId123" Type="http://schemas.openxmlformats.org/officeDocument/2006/relationships/hyperlink" Target="https://drive.google.com/file/d/1H-EgRAey5NybH_9x001NHGouBzInbjFN/view?usp=sharing" TargetMode="External"/><Relationship Id="rId244" Type="http://schemas.openxmlformats.org/officeDocument/2006/relationships/hyperlink" Target="https://drive.google.com/file/d/1_0dDhLbReJLPBjBCZi9meHxq-sOZ1YJL/view?usp=sharing" TargetMode="External"/><Relationship Id="rId365" Type="http://schemas.openxmlformats.org/officeDocument/2006/relationships/hyperlink" Target="https://drive.google.com/file/d/13N-0jGIJzLJtr5tJv9-0Nf3KWCQ8SqtK/view?usp=sharing" TargetMode="External"/><Relationship Id="rId122" Type="http://schemas.openxmlformats.org/officeDocument/2006/relationships/hyperlink" Target="https://drive.google.com/file/d/1qKj0LnP5i0FKDaZCAnPToLP-WcADls2p/view?usp=sharing" TargetMode="External"/><Relationship Id="rId243" Type="http://schemas.openxmlformats.org/officeDocument/2006/relationships/hyperlink" Target="https://drive.google.com/file/d/1FQon1rD3TOlsvEjV2IqptvXMFyIEqD3M/view?usp=sharing" TargetMode="External"/><Relationship Id="rId364" Type="http://schemas.openxmlformats.org/officeDocument/2006/relationships/hyperlink" Target="https://drive.google.com/file/d/1FOzFwR-mso8OSdyQnU0MggHL3of7SlzZ/view?usp=sharing" TargetMode="External"/><Relationship Id="rId95" Type="http://schemas.openxmlformats.org/officeDocument/2006/relationships/hyperlink" Target="https://drive.google.com/file/d/1XjOcg72MLHaL-pLvwHCiiTgdCQirf4-0/view?usp=sharing" TargetMode="External"/><Relationship Id="rId94" Type="http://schemas.openxmlformats.org/officeDocument/2006/relationships/hyperlink" Target="https://drive.google.com/file/d/1E6mG5OZbZb_v4vLWaVd_LoMjnTRZ6ICU/view?usp=sharing" TargetMode="External"/><Relationship Id="rId97" Type="http://schemas.openxmlformats.org/officeDocument/2006/relationships/hyperlink" Target="https://drive.google.com/file/d/1Hthrxwcuv8jG-dTeU_OUqwO61GsFzKaF/view?usp=sharing" TargetMode="External"/><Relationship Id="rId96" Type="http://schemas.openxmlformats.org/officeDocument/2006/relationships/hyperlink" Target="https://drive.google.com/file/d/1ld1S2O7-FOg6Hod8HB4gK-tLA0poe5eC/view?usp=sharing" TargetMode="External"/><Relationship Id="rId99" Type="http://schemas.openxmlformats.org/officeDocument/2006/relationships/hyperlink" Target="https://drive.google.com/file/d/1Z0SxTXwOZQV52I_hmJYPJ1BtbPLN46Vy/view?usp=sharing" TargetMode="External"/><Relationship Id="rId98" Type="http://schemas.openxmlformats.org/officeDocument/2006/relationships/hyperlink" Target="https://drive.google.com/file/d/1AMPlKPOgc6PD8izEqDb1YC2sLd--zCsM/view?usp=sharing" TargetMode="External"/><Relationship Id="rId91" Type="http://schemas.openxmlformats.org/officeDocument/2006/relationships/hyperlink" Target="https://drive.google.com/file/d/16nSXh2EuZAcOXbwisB0MdZcptRw4Wjit/view?usp=sharing" TargetMode="External"/><Relationship Id="rId90" Type="http://schemas.openxmlformats.org/officeDocument/2006/relationships/hyperlink" Target="https://drive.google.com/file/d/1Vh9uIlbL2hB8jsvTk__P0Ze4Ad1mEI1z/view?usp=sharing" TargetMode="External"/><Relationship Id="rId93" Type="http://schemas.openxmlformats.org/officeDocument/2006/relationships/hyperlink" Target="https://drive.google.com/file/d/19ljQOyBKr16Vp0iARIHS5MSpGFLP-X-i/view?usp=sharing" TargetMode="External"/><Relationship Id="rId92" Type="http://schemas.openxmlformats.org/officeDocument/2006/relationships/hyperlink" Target="https://drive.google.com/file/d/1boSI7XNm6ic0idFUyrUPVH9fvIPC05y1/view?usp=sharing" TargetMode="External"/><Relationship Id="rId118" Type="http://schemas.openxmlformats.org/officeDocument/2006/relationships/hyperlink" Target="https://drive.google.com/file/d/1rihuddDlj4hp70awZqTNFfDQlU_ZRe0p/view?usp=sharing" TargetMode="External"/><Relationship Id="rId239" Type="http://schemas.openxmlformats.org/officeDocument/2006/relationships/hyperlink" Target="https://drive.google.com/file/d/1gmXdWeB0VL4XW-QAMPEXeC3ywaO7_X0R/view?usp=sharing" TargetMode="External"/><Relationship Id="rId117" Type="http://schemas.openxmlformats.org/officeDocument/2006/relationships/hyperlink" Target="https://drive.google.com/file/d/1HFbGbaNeNMcDR5i7JthRY-A7nlXRlvkN/view?usp=sharing" TargetMode="External"/><Relationship Id="rId238" Type="http://schemas.openxmlformats.org/officeDocument/2006/relationships/hyperlink" Target="https://drive.google.com/file/d/1xdK9H9A_4jLIWyueZOks42c1pKNwcFNE/view?usp=sharing" TargetMode="External"/><Relationship Id="rId359" Type="http://schemas.openxmlformats.org/officeDocument/2006/relationships/hyperlink" Target="https://drive.google.com/file/d/1DlPgilJvP6d9RK1kQPWAskuM-IYr-ZZy/view?usp=sharing" TargetMode="External"/><Relationship Id="rId116" Type="http://schemas.openxmlformats.org/officeDocument/2006/relationships/hyperlink" Target="https://drive.google.com/file/d/1U3uw31qJPZ0z1PVwzTz4EvFN2utu6pbu/view?usp=sharing" TargetMode="External"/><Relationship Id="rId237" Type="http://schemas.openxmlformats.org/officeDocument/2006/relationships/hyperlink" Target="https://drive.google.com/file/d/13c-OcmWww5_CgQFCxooPhmQj-nEkMuqr/view?usp=sharing" TargetMode="External"/><Relationship Id="rId358" Type="http://schemas.openxmlformats.org/officeDocument/2006/relationships/hyperlink" Target="https://drive.google.com/file/d/1S_kBXDDaP02Nj7KgLigpMiXboLbJFaf-/view?usp=sharing" TargetMode="External"/><Relationship Id="rId115" Type="http://schemas.openxmlformats.org/officeDocument/2006/relationships/hyperlink" Target="https://drive.google.com/file/d/1NYcFzXaiPEzjTptjMAf59IMSWVYcqOqh/view?usp=sharing" TargetMode="External"/><Relationship Id="rId236" Type="http://schemas.openxmlformats.org/officeDocument/2006/relationships/hyperlink" Target="https://drive.google.com/file/d/1ub94Grk_T7rRmz3X6M-ecNQXiIh2hWW1/view?usp=sharing" TargetMode="External"/><Relationship Id="rId357" Type="http://schemas.openxmlformats.org/officeDocument/2006/relationships/hyperlink" Target="https://drive.google.com/file/d/18UQCaHoE7u6rG2P_lfqfV_qn7TTxpOCD/view?usp=sharing" TargetMode="External"/><Relationship Id="rId119" Type="http://schemas.openxmlformats.org/officeDocument/2006/relationships/hyperlink" Target="https://drive.google.com/file/d/14jBnJND5cCw_8OFUy3HZ28i3K8KEMrNE/view?usp=sharing" TargetMode="External"/><Relationship Id="rId110" Type="http://schemas.openxmlformats.org/officeDocument/2006/relationships/hyperlink" Target="https://drive.google.com/file/d/1PZ2Q_59epb8YvwWwN4zhZ1nDyTW8Nmjp/view?usp=sharing" TargetMode="External"/><Relationship Id="rId231" Type="http://schemas.openxmlformats.org/officeDocument/2006/relationships/hyperlink" Target="https://drive.google.com/file/d/1gixGyTD85Irj1cMo7f2WjQKqUcpxTlEG/view?usp=sharing" TargetMode="External"/><Relationship Id="rId352" Type="http://schemas.openxmlformats.org/officeDocument/2006/relationships/hyperlink" Target="https://drive.google.com/file/d/1jppqqotsTjaydmGvppaKRRpth4NbfkFA/view?usp=sharing" TargetMode="External"/><Relationship Id="rId230" Type="http://schemas.openxmlformats.org/officeDocument/2006/relationships/hyperlink" Target="https://drive.google.com/file/d/1XbdXrcr73gO6NJ7th8ez5lfXImFQttRs/view?usp=sharing" TargetMode="External"/><Relationship Id="rId351" Type="http://schemas.openxmlformats.org/officeDocument/2006/relationships/hyperlink" Target="https://drive.google.com/file/d/1KK5J57E9UMv5X-_lH_BOUS55r1Wwvomh/view?usp=sharing" TargetMode="External"/><Relationship Id="rId350" Type="http://schemas.openxmlformats.org/officeDocument/2006/relationships/hyperlink" Target="https://drive.google.com/file/d/1-JWIYEBgoUnEeABqR5nN1kI9NM8R5n71/view?usp=sharing" TargetMode="External"/><Relationship Id="rId114" Type="http://schemas.openxmlformats.org/officeDocument/2006/relationships/hyperlink" Target="https://drive.google.com/file/d/1GtRuzp-DRnfDV8cdEUtpha5o8y2R8Cvf/view?usp=sharing" TargetMode="External"/><Relationship Id="rId235" Type="http://schemas.openxmlformats.org/officeDocument/2006/relationships/hyperlink" Target="https://drive.google.com/file/d/1Jeffc_83_1vMsVyRxgQ-7JlMvnQesjY-/view?usp=sharing" TargetMode="External"/><Relationship Id="rId356" Type="http://schemas.openxmlformats.org/officeDocument/2006/relationships/hyperlink" Target="https://drive.google.com/file/d/165ZXzZ1NOMzQCoZkQhGgafC0jw4ktiYT/view?usp=sharing" TargetMode="External"/><Relationship Id="rId113" Type="http://schemas.openxmlformats.org/officeDocument/2006/relationships/hyperlink" Target="https://drive.google.com/file/d/1KZB3kqsHlqdviD-FGGEgC-YPChkw1SFy/view?usp=sharing" TargetMode="External"/><Relationship Id="rId234" Type="http://schemas.openxmlformats.org/officeDocument/2006/relationships/hyperlink" Target="https://drive.google.com/file/d/1NlQcLdP9lHrP1Ybav_UtXIP3ojg5-vGT/view?usp=sharing" TargetMode="External"/><Relationship Id="rId355" Type="http://schemas.openxmlformats.org/officeDocument/2006/relationships/hyperlink" Target="https://drive.google.com/file/d/1Rsl1eqV4sQgpHbFc2KyTrlyMSKsB3Mx8/view?usp=sharing" TargetMode="External"/><Relationship Id="rId112" Type="http://schemas.openxmlformats.org/officeDocument/2006/relationships/hyperlink" Target="https://drive.google.com/file/d/1cqXVqmqEJFZtFppXx8SWhVSH-g2tWac5/view?usp=sharing" TargetMode="External"/><Relationship Id="rId233" Type="http://schemas.openxmlformats.org/officeDocument/2006/relationships/hyperlink" Target="https://drive.google.com/file/d/1-_sABjITGM4y-nq3HzQIn4NqT7fUHE-l/view?usp=sharing" TargetMode="External"/><Relationship Id="rId354" Type="http://schemas.openxmlformats.org/officeDocument/2006/relationships/hyperlink" Target="https://drive.google.com/file/d/14BY_mzR7jwE54gtIU2yk0Ni8t7gZenQz/view?usp=sharing" TargetMode="External"/><Relationship Id="rId111" Type="http://schemas.openxmlformats.org/officeDocument/2006/relationships/hyperlink" Target="https://drive.google.com/file/d/1ViXx9Ckh6MjKET1EWeymTZL67D7_0hNA/view?usp=sharing" TargetMode="External"/><Relationship Id="rId232" Type="http://schemas.openxmlformats.org/officeDocument/2006/relationships/hyperlink" Target="https://drive.google.com/file/d/1tNVLiL-0m30OaOpU6513PwFfLbnveGAA/view?usp=sharing" TargetMode="External"/><Relationship Id="rId353" Type="http://schemas.openxmlformats.org/officeDocument/2006/relationships/hyperlink" Target="https://drive.google.com/file/d/1jEJHBvwOnEBLOnePSGkZ15bphY5Jz7pC/view?usp=sharing" TargetMode="External"/><Relationship Id="rId305" Type="http://schemas.openxmlformats.org/officeDocument/2006/relationships/hyperlink" Target="https://drive.google.com/file/d/1otP-LxtQbToKWeGI0ivo-1788vmA3P4E/view?usp=sharing" TargetMode="External"/><Relationship Id="rId304" Type="http://schemas.openxmlformats.org/officeDocument/2006/relationships/hyperlink" Target="https://drive.google.com/file/d/1bZprkovRAm2fKCb3prdOqTBiKYW2vJmY/view?usp=sharing" TargetMode="External"/><Relationship Id="rId303" Type="http://schemas.openxmlformats.org/officeDocument/2006/relationships/hyperlink" Target="https://drive.google.com/file/d/18kdC-mYJ-aBi8K2N4Os9LbsBbns391jg/view?usp=sharing" TargetMode="External"/><Relationship Id="rId302" Type="http://schemas.openxmlformats.org/officeDocument/2006/relationships/hyperlink" Target="https://drive.google.com/file/d/1FuRKHfYNBnapjeXJO981QXowubpGPJBR/view?usp=sharing" TargetMode="External"/><Relationship Id="rId309" Type="http://schemas.openxmlformats.org/officeDocument/2006/relationships/hyperlink" Target="https://drive.google.com/file/d/1Ez5X3RgMyTZwGZO0-lo9QcmkXMMC4kbZ/view?usp=sharing" TargetMode="External"/><Relationship Id="rId308" Type="http://schemas.openxmlformats.org/officeDocument/2006/relationships/hyperlink" Target="https://drive.google.com/file/d/1F1Kjd1wK94QF3phTBXn_jPABRWPSoePp/view?usp=sharing" TargetMode="External"/><Relationship Id="rId307" Type="http://schemas.openxmlformats.org/officeDocument/2006/relationships/hyperlink" Target="https://drive.google.com/file/d/1Fq0-Zw1pD5D41vh1tFbyYOLynePJ4dM0/view?usp=sharing" TargetMode="External"/><Relationship Id="rId306" Type="http://schemas.openxmlformats.org/officeDocument/2006/relationships/hyperlink" Target="https://drive.google.com/file/d/1HxYPQ7lH5jPEOgrlRzKksjP8D58scDQg/view?usp=sharing" TargetMode="External"/><Relationship Id="rId301" Type="http://schemas.openxmlformats.org/officeDocument/2006/relationships/hyperlink" Target="https://drive.google.com/file/d/1Xwu10X1TDCSfz4AE15TeOmJWwy9TQwmX/view?usp=sharing" TargetMode="External"/><Relationship Id="rId300" Type="http://schemas.openxmlformats.org/officeDocument/2006/relationships/hyperlink" Target="https://drive.google.com/file/d/1cb-_MCkU_0Cz-Z3jmRQwP0XTbbkF84WT/view?usp=sharing" TargetMode="External"/><Relationship Id="rId206" Type="http://schemas.openxmlformats.org/officeDocument/2006/relationships/hyperlink" Target="https://drive.google.com/file/d/1qsJH0EAKc7ECeSHWZnDb3bzkHQO6ZbVL/view?usp=drive_link" TargetMode="External"/><Relationship Id="rId327" Type="http://schemas.openxmlformats.org/officeDocument/2006/relationships/hyperlink" Target="https://drive.google.com/file/d/1CN9yxOPJ1ntZMKximtDZM17KGQO_FoqK/view?usp=sharing" TargetMode="External"/><Relationship Id="rId205" Type="http://schemas.openxmlformats.org/officeDocument/2006/relationships/hyperlink" Target="https://drive.google.com/file/d/1Vq9FvOmgnXM8le2Ai1WTpX0W6MCscZoi/view?usp=sharing" TargetMode="External"/><Relationship Id="rId326" Type="http://schemas.openxmlformats.org/officeDocument/2006/relationships/hyperlink" Target="https://drive.google.com/file/d/1Q9sKHMiZKWB4nS0BG3LqeJUVYnCTfspK/view?usp=sharing" TargetMode="External"/><Relationship Id="rId204" Type="http://schemas.openxmlformats.org/officeDocument/2006/relationships/hyperlink" Target="https://drive.google.com/file/d/1OwkNCPXY1i1poPEq6wL9VR2sDWy0gGhv/view?usp=drive_link" TargetMode="External"/><Relationship Id="rId325" Type="http://schemas.openxmlformats.org/officeDocument/2006/relationships/hyperlink" Target="https://drive.google.com/file/d/1o8BjN3b42k7pZM6CbKWKxcukotwUP7UX/view?usp=sharing" TargetMode="External"/><Relationship Id="rId203" Type="http://schemas.openxmlformats.org/officeDocument/2006/relationships/hyperlink" Target="https://drive.google.com/file/d/1PIqke79-J3-jDI60E02x7IEV46OXksEV/view?usp=drive_link" TargetMode="External"/><Relationship Id="rId324" Type="http://schemas.openxmlformats.org/officeDocument/2006/relationships/hyperlink" Target="https://drive.google.com/file/d/1GrI1SXrXCFd-zBmoU_VxYDhij_Jn7XoX/view?usp=sharing" TargetMode="External"/><Relationship Id="rId209" Type="http://schemas.openxmlformats.org/officeDocument/2006/relationships/hyperlink" Target="https://drive.google.com/file/d/1E18CGZglqJ-LjKTkmznm8KAeaqs0U7ma/view?usp=sharing" TargetMode="External"/><Relationship Id="rId208" Type="http://schemas.openxmlformats.org/officeDocument/2006/relationships/hyperlink" Target="https://drive.google.com/file/d/1Lntk3-FADAPLhCd5p9S_4DKoXfDT9DN9/view?usp=sharing" TargetMode="External"/><Relationship Id="rId329" Type="http://schemas.openxmlformats.org/officeDocument/2006/relationships/hyperlink" Target="https://drive.google.com/file/d/1NQFEWDQz41HQu8SbLsvjMQOnwJjh3cmT/view?usp=sharing" TargetMode="External"/><Relationship Id="rId207" Type="http://schemas.openxmlformats.org/officeDocument/2006/relationships/hyperlink" Target="https://drive.google.com/file/d/1KjxTnIq3cfhDtnuza_nf09NWmWWmAz6z/view?usp=sharing" TargetMode="External"/><Relationship Id="rId328" Type="http://schemas.openxmlformats.org/officeDocument/2006/relationships/hyperlink" Target="https://drive.google.com/file/d/1oDdvQNI-IT2y7uFn39u87IknDRy6nVcw/view?usp=sharing" TargetMode="External"/><Relationship Id="rId202" Type="http://schemas.openxmlformats.org/officeDocument/2006/relationships/hyperlink" Target="https://drive.google.com/file/d/1dmvT2683VdFFugz58-bxF3ieYMMHD4g1/view?usp=drive_link" TargetMode="External"/><Relationship Id="rId323" Type="http://schemas.openxmlformats.org/officeDocument/2006/relationships/hyperlink" Target="https://drive.google.com/file/d/1MG5xo17nQ_Q_vSmH9teAn-CrOBL6okJs/view?usp=sharing" TargetMode="External"/><Relationship Id="rId201" Type="http://schemas.openxmlformats.org/officeDocument/2006/relationships/hyperlink" Target="https://drive.google.com/file/d/1BvPZC2vTyJai3PWgsmaXrVAqSuDaLZ8x/view?usp=drive_link" TargetMode="External"/><Relationship Id="rId322" Type="http://schemas.openxmlformats.org/officeDocument/2006/relationships/hyperlink" Target="https://drive.google.com/file/d/1r-rfDog1jhCSug18JKzNewiVzmkLmZ2X/view?usp=sharing" TargetMode="External"/><Relationship Id="rId200" Type="http://schemas.openxmlformats.org/officeDocument/2006/relationships/hyperlink" Target="https://drive.google.com/file/d/171uEHiLSZREGbeEiJHXelhMa-p7qd0Ak/view?usp=drive_link" TargetMode="External"/><Relationship Id="rId321" Type="http://schemas.openxmlformats.org/officeDocument/2006/relationships/hyperlink" Target="https://drive.google.com/file/d/146SM0AB4KkkkohHpETkhCR3txh-jUVzS/view?usp=sharing" TargetMode="External"/><Relationship Id="rId320" Type="http://schemas.openxmlformats.org/officeDocument/2006/relationships/hyperlink" Target="https://drive.google.com/file/d/1GhOHOEVPNANIt-ao6TishfcKRnOwejma/view?usp=sharing" TargetMode="External"/><Relationship Id="rId316" Type="http://schemas.openxmlformats.org/officeDocument/2006/relationships/hyperlink" Target="https://drive.google.com/file/d/1d_hscIGIvQM9N-k4Y8dtyx3XNeT1CF0-/view?usp=sharing" TargetMode="External"/><Relationship Id="rId315" Type="http://schemas.openxmlformats.org/officeDocument/2006/relationships/hyperlink" Target="https://drive.google.com/file/d/1uEO8ZI3nXcP-13sF10PP2bs9GTPEUDNS/view?usp=sharing" TargetMode="External"/><Relationship Id="rId314" Type="http://schemas.openxmlformats.org/officeDocument/2006/relationships/hyperlink" Target="https://drive.google.com/file/d/1dxKqA5tSa77OwmHq7wDGRERES2pjxEpN/view?usp=sharing" TargetMode="External"/><Relationship Id="rId313" Type="http://schemas.openxmlformats.org/officeDocument/2006/relationships/hyperlink" Target="https://drive.google.com/file/d/1jLhLUDJHJWWJ2T0mICVBrDHkpsVI6TUg/view?usp=sharing" TargetMode="External"/><Relationship Id="rId319" Type="http://schemas.openxmlformats.org/officeDocument/2006/relationships/hyperlink" Target="https://drive.google.com/file/d/1co_4qrKhoprf8i1UoSTBBWx72FYrN0_-/view?usp=sharing" TargetMode="External"/><Relationship Id="rId318" Type="http://schemas.openxmlformats.org/officeDocument/2006/relationships/hyperlink" Target="https://drive.google.com/file/d/181ZLKi1usGLkiQhm9q2d_nC8zNpeMSzx/view?usp=sharing" TargetMode="External"/><Relationship Id="rId317" Type="http://schemas.openxmlformats.org/officeDocument/2006/relationships/hyperlink" Target="https://drive.google.com/file/d/1UM7eP-5B1MBzH2PPQoUH6bDmoeT_O7-P/view?usp=sharing" TargetMode="External"/><Relationship Id="rId312" Type="http://schemas.openxmlformats.org/officeDocument/2006/relationships/hyperlink" Target="https://drive.google.com/file/d/123XuzNOvVLeF915b1R_dcuoWFmhiIQjl/view?usp=sharing" TargetMode="External"/><Relationship Id="rId311" Type="http://schemas.openxmlformats.org/officeDocument/2006/relationships/hyperlink" Target="https://drive.google.com/file/d/1Y4clDzpsAs7zkt0POSAswiONlpff1YWn/view?usp=sharing" TargetMode="External"/><Relationship Id="rId310" Type="http://schemas.openxmlformats.org/officeDocument/2006/relationships/hyperlink" Target="https://drive.google.com/file/d/1lrpnA2qOPEix5RXf3BAOabDclWWFwaUC/view?usp=sharing"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drive.google.com/file/d/10bCxLEogEadYwKxAkqroR5DEw1L1IKoA/view?usp=sharing" TargetMode="External"/><Relationship Id="rId2" Type="http://schemas.openxmlformats.org/officeDocument/2006/relationships/hyperlink" Target="https://drive.google.com/file/d/1khQtqtVbj3Blvw41dU1to43tzHdza9eO/view?usp=sharing" TargetMode="External"/><Relationship Id="rId3" Type="http://schemas.openxmlformats.org/officeDocument/2006/relationships/hyperlink" Target="https://drive.google.com/file/d/1wNiP2Bz-Nxfgm3uiAIsGqU_qNDbdQLFv/view?usp=sharing" TargetMode="External"/><Relationship Id="rId4" Type="http://schemas.openxmlformats.org/officeDocument/2006/relationships/hyperlink" Target="https://drive.google.com/file/d/1mpU0vWrHyhgm4DCfDMiYobVSfF6J1Ruh/view?usp=sharing" TargetMode="External"/><Relationship Id="rId148" Type="http://schemas.openxmlformats.org/officeDocument/2006/relationships/drawing" Target="../drawings/drawing24.xml"/><Relationship Id="rId9" Type="http://schemas.openxmlformats.org/officeDocument/2006/relationships/hyperlink" Target="https://drive.google.com/file/d/1N3ggGqYANqQUY1JYpvE59dynpyaW1mxv/view?usp=sharing" TargetMode="External"/><Relationship Id="rId143" Type="http://schemas.openxmlformats.org/officeDocument/2006/relationships/hyperlink" Target="https://drive.google.com/file/d/1dz1_u5NIIDPcP0ONQfNwVdYWjpFmCGCy/view?usp=sharing" TargetMode="External"/><Relationship Id="rId142" Type="http://schemas.openxmlformats.org/officeDocument/2006/relationships/hyperlink" Target="https://drive.google.com/file/d/1TrduZE-ZD7GFwIggdCSCh0OTC7AyLCYN/view?usp=sharing" TargetMode="External"/><Relationship Id="rId141" Type="http://schemas.openxmlformats.org/officeDocument/2006/relationships/hyperlink" Target="https://drive.google.com/file/d/1_Bb-t2u2a0jBfTsTVhmH6baq5A8FWJtm/view?usp=sharing" TargetMode="External"/><Relationship Id="rId140" Type="http://schemas.openxmlformats.org/officeDocument/2006/relationships/hyperlink" Target="https://drive.google.com/file/d/1LSUG2H2196G1IN41FCHQry3hSVoX2_JI/view?usp=sharing" TargetMode="External"/><Relationship Id="rId5" Type="http://schemas.openxmlformats.org/officeDocument/2006/relationships/hyperlink" Target="https://drive.google.com/file/d/1y8AUJ9Bg9Coz1YC7II2adH8hVCPuxzEt/view?usp=sharing" TargetMode="External"/><Relationship Id="rId147" Type="http://schemas.openxmlformats.org/officeDocument/2006/relationships/hyperlink" Target="https://drive.google.com/file/d/1GkANKbX2rkAgXwT7rDvzHM5ZfjM8Ggp4/view?usp=sharing" TargetMode="External"/><Relationship Id="rId6" Type="http://schemas.openxmlformats.org/officeDocument/2006/relationships/hyperlink" Target="https://drive.google.com/file/d/1KbPHpDyLSoDJ_agS307CabI0mfXMy_xS/view?usp=sharing" TargetMode="External"/><Relationship Id="rId146" Type="http://schemas.openxmlformats.org/officeDocument/2006/relationships/hyperlink" Target="https://drive.google.com/file/d/1bPoF5ZVo0GXik14251mqRj3KwxZrSYuw/view?usp=sharing" TargetMode="External"/><Relationship Id="rId7" Type="http://schemas.openxmlformats.org/officeDocument/2006/relationships/hyperlink" Target="https://drive.google.com/file/d/1v-9BJkCwwsEnhz9QewqN-OpkhAjarANE/view?usp=sharing" TargetMode="External"/><Relationship Id="rId145" Type="http://schemas.openxmlformats.org/officeDocument/2006/relationships/hyperlink" Target="https://drive.google.com/file/d/1nFU3f6hd_ledVJU9EUOX2jxdkT0LUXEH/view?usp=sharing" TargetMode="External"/><Relationship Id="rId8" Type="http://schemas.openxmlformats.org/officeDocument/2006/relationships/hyperlink" Target="https://drive.google.com/file/d/1A51IO3HUjUWa1zqeNhGvPC7epas2-079/view?usp=sharing" TargetMode="External"/><Relationship Id="rId144" Type="http://schemas.openxmlformats.org/officeDocument/2006/relationships/hyperlink" Target="https://drive.google.com/file/d/1dHYLiB4u5JEIXYJ4d_x4Gk6Coz-2EZe8/view?usp=sharing" TargetMode="External"/><Relationship Id="rId139" Type="http://schemas.openxmlformats.org/officeDocument/2006/relationships/hyperlink" Target="https://drive.google.com/file/d/1o6tjP1Ngm5b7O0boHgj8a3_3PFFoqrxm/view?usp=sharing" TargetMode="External"/><Relationship Id="rId138" Type="http://schemas.openxmlformats.org/officeDocument/2006/relationships/hyperlink" Target="https://drive.google.com/file/d/1Kgud0x8x6NjPVkPAJW3532vD2CBq0L_g/view?usp=sharing" TargetMode="External"/><Relationship Id="rId137" Type="http://schemas.openxmlformats.org/officeDocument/2006/relationships/hyperlink" Target="https://drive.google.com/file/d/1pGHeEclUtmC81kq8GRemEhRPW-aue7Y3/view?usp=sharing" TargetMode="External"/><Relationship Id="rId132" Type="http://schemas.openxmlformats.org/officeDocument/2006/relationships/hyperlink" Target="https://drive.google.com/file/d/1UdLbgV5MXFNGo1-hL2Y_pTTWg7mS4uxe/view?usp=sharing" TargetMode="External"/><Relationship Id="rId131" Type="http://schemas.openxmlformats.org/officeDocument/2006/relationships/hyperlink" Target="https://drive.google.com/file/d/1dVNgYafD8dUGEXMD6AvP4KLzUL0z6pPi/view?usp=sharing" TargetMode="External"/><Relationship Id="rId130" Type="http://schemas.openxmlformats.org/officeDocument/2006/relationships/hyperlink" Target="https://drive.google.com/file/d/10zAEIBAccXP6PixnyvAPBWrU-bLQL6YV/view?usp=sharing" TargetMode="External"/><Relationship Id="rId136" Type="http://schemas.openxmlformats.org/officeDocument/2006/relationships/hyperlink" Target="https://drive.google.com/file/d/1TOlNfsPCPX-NLjtFIe9KvkdwLswbxEoq/view?usp=sharing" TargetMode="External"/><Relationship Id="rId135" Type="http://schemas.openxmlformats.org/officeDocument/2006/relationships/hyperlink" Target="https://drive.google.com/file/d/1q1jBnrqh9ETsuNKcTmggoUu7KYRdQyVi/view?usp=sharing" TargetMode="External"/><Relationship Id="rId134" Type="http://schemas.openxmlformats.org/officeDocument/2006/relationships/hyperlink" Target="https://drive.google.com/file/d/1b6xiQYnwC7J8QYUpwCNyegkTZb05EYs5/view?usp=sharing" TargetMode="External"/><Relationship Id="rId133" Type="http://schemas.openxmlformats.org/officeDocument/2006/relationships/hyperlink" Target="https://drive.google.com/file/d/1UY25uds8bGcF1uAmxTJryc3TOM-Von_e/view?usp=sharing" TargetMode="External"/><Relationship Id="rId40" Type="http://schemas.openxmlformats.org/officeDocument/2006/relationships/hyperlink" Target="https://drive.google.com/file/d/1LyJHqcHW4H6J4x5f9b_iWzId08IUj9su/view?usp=sharing" TargetMode="External"/><Relationship Id="rId42" Type="http://schemas.openxmlformats.org/officeDocument/2006/relationships/hyperlink" Target="https://drive.google.com/file/d/1DzweS0WHxzu-XMsdC6ktfQ-hyIylsX0r/view?usp=sharing" TargetMode="External"/><Relationship Id="rId41" Type="http://schemas.openxmlformats.org/officeDocument/2006/relationships/hyperlink" Target="https://drive.google.com/file/d/18uZJSyM5s852RjrciRpW1fjmn0CyCaMJ/view?usp=sharing" TargetMode="External"/><Relationship Id="rId44" Type="http://schemas.openxmlformats.org/officeDocument/2006/relationships/hyperlink" Target="https://drive.google.com/file/d/1yAyPgTaVTjfn5x2Y5dYPXz7_GwNZmJTE/view?usp=sharing" TargetMode="External"/><Relationship Id="rId43" Type="http://schemas.openxmlformats.org/officeDocument/2006/relationships/hyperlink" Target="https://drive.google.com/file/d/1D0z1lbNGPpFQ6PPfdMgrQ8MuXj5JWxDp/view?usp=sharing" TargetMode="External"/><Relationship Id="rId46" Type="http://schemas.openxmlformats.org/officeDocument/2006/relationships/hyperlink" Target="https://drive.google.com/file/d/18dbD3yz4x2FqNXstag1ZGXPsZvLrtTVt/view?usp=sharing" TargetMode="External"/><Relationship Id="rId45" Type="http://schemas.openxmlformats.org/officeDocument/2006/relationships/hyperlink" Target="https://drive.google.com/file/d/1ljleFIHzWQBx28C6xGUHLRZk3FQ4nXeu/view?usp=sharing" TargetMode="External"/><Relationship Id="rId48" Type="http://schemas.openxmlformats.org/officeDocument/2006/relationships/hyperlink" Target="https://drive.google.com/file/d/1jEjtZs61gScR9uLbzAhB0VtORRJsfef2/view?usp=sharing" TargetMode="External"/><Relationship Id="rId47" Type="http://schemas.openxmlformats.org/officeDocument/2006/relationships/hyperlink" Target="https://drive.google.com/file/d/15RtHeFUueJsvAU6FbjEz3y-JKBJtVE2T/view?usp=sharing" TargetMode="External"/><Relationship Id="rId49" Type="http://schemas.openxmlformats.org/officeDocument/2006/relationships/hyperlink" Target="https://drive.google.com/file/d/1J9VReJeC8zLRFBUa69MMew0CbsHY5tE6/view?usp=sharing" TargetMode="External"/><Relationship Id="rId31" Type="http://schemas.openxmlformats.org/officeDocument/2006/relationships/hyperlink" Target="https://drive.google.com/file/d/1CW-LP2vm6St0qeU5dGvqtD8KojL608hS/view?usp=sharing" TargetMode="External"/><Relationship Id="rId30" Type="http://schemas.openxmlformats.org/officeDocument/2006/relationships/hyperlink" Target="https://drive.google.com/file/d/1aXVNLXWSLQ0sJxN1U4w06f8SXXpVj9A5/view?usp=sharing" TargetMode="External"/><Relationship Id="rId33" Type="http://schemas.openxmlformats.org/officeDocument/2006/relationships/hyperlink" Target="https://drive.google.com/file/d/11duC9-7zlVU7zeiy8pKxx2uJcrMWbSNF/view?usp=sharing" TargetMode="External"/><Relationship Id="rId32" Type="http://schemas.openxmlformats.org/officeDocument/2006/relationships/hyperlink" Target="https://drive.google.com/file/d/14R78IiNjb7iKmh2Am6YU12yn2UbuhRde/view?usp=sharing" TargetMode="External"/><Relationship Id="rId35" Type="http://schemas.openxmlformats.org/officeDocument/2006/relationships/hyperlink" Target="https://drive.google.com/file/d/1Qn7N8T94TIzv6OqN-nYq1sg9LroMJ4DV/view?usp=sharing" TargetMode="External"/><Relationship Id="rId34" Type="http://schemas.openxmlformats.org/officeDocument/2006/relationships/hyperlink" Target="https://drive.google.com/file/d/1WsBbt0UfnX6PJQEVf1z9FHNjHNR5WNlh/view?usp=sharing" TargetMode="External"/><Relationship Id="rId37" Type="http://schemas.openxmlformats.org/officeDocument/2006/relationships/hyperlink" Target="https://drive.google.com/file/d/1HlZHtBCZ3esSd7PGPxAqu4rF0wce_Fsk/view?usp=sharing" TargetMode="External"/><Relationship Id="rId36" Type="http://schemas.openxmlformats.org/officeDocument/2006/relationships/hyperlink" Target="https://drive.google.com/file/d/1GdDecR_GhL9Uctwahosl1_IyMuWY4wiq/view?usp=sharing" TargetMode="External"/><Relationship Id="rId39" Type="http://schemas.openxmlformats.org/officeDocument/2006/relationships/hyperlink" Target="https://drive.google.com/file/d/1QQR6pYFnI3eH1iEq9IKFTEXAiIqiub0E/view?usp=sharing" TargetMode="External"/><Relationship Id="rId38" Type="http://schemas.openxmlformats.org/officeDocument/2006/relationships/hyperlink" Target="https://drive.google.com/file/d/1l4a4UtuPaJ2dnRAC2o0DApf-w-2Gxe4b/view?usp=sharing" TargetMode="External"/><Relationship Id="rId20" Type="http://schemas.openxmlformats.org/officeDocument/2006/relationships/hyperlink" Target="https://drive.google.com/file/d/1tJ16K8d7nuhim96Pb34VvuZjUlIf7W6v/view?usp=sharing" TargetMode="External"/><Relationship Id="rId22" Type="http://schemas.openxmlformats.org/officeDocument/2006/relationships/hyperlink" Target="https://drive.google.com/file/d/1dmyJjZ4nkcRJSX1I_fVzIyDSYQvLB82u/view?usp=sharing" TargetMode="External"/><Relationship Id="rId21" Type="http://schemas.openxmlformats.org/officeDocument/2006/relationships/hyperlink" Target="https://drive.google.com/file/d/1YYDiLLaj1XZaeHoEy60A44E_I4ksMF3z/view?usp=sharing" TargetMode="External"/><Relationship Id="rId24" Type="http://schemas.openxmlformats.org/officeDocument/2006/relationships/hyperlink" Target="https://drive.google.com/file/d/1qPvkGWThVdEoqs2itCJYz5kLMP1JoJhF/view?usp=sharing" TargetMode="External"/><Relationship Id="rId23" Type="http://schemas.openxmlformats.org/officeDocument/2006/relationships/hyperlink" Target="https://drive.google.com/file/d/15MdUcX2JIiZoWX7S6n12uQ85DUkPm-y3/view?usp=sharing" TargetMode="External"/><Relationship Id="rId26" Type="http://schemas.openxmlformats.org/officeDocument/2006/relationships/hyperlink" Target="https://drive.google.com/file/d/1mjhnwm4fZUGYiNQQYagIxumGiDrARUZ5/view?usp=sharing" TargetMode="External"/><Relationship Id="rId25" Type="http://schemas.openxmlformats.org/officeDocument/2006/relationships/hyperlink" Target="https://drive.google.com/file/d/14G9aw8RHPfRqHUJXHmww65qS462mzovh/view?usp=sharing" TargetMode="External"/><Relationship Id="rId28" Type="http://schemas.openxmlformats.org/officeDocument/2006/relationships/hyperlink" Target="https://drive.google.com/file/d/14L5STI4ymIo_gYiIdIidLXSWgI2ad0XT/view?usp=sharing" TargetMode="External"/><Relationship Id="rId27" Type="http://schemas.openxmlformats.org/officeDocument/2006/relationships/hyperlink" Target="https://drive.google.com/file/d/19cpMlAlb39ngyoymAxwzXTXqRNGqtVYJ/view?usp=sharing" TargetMode="External"/><Relationship Id="rId29" Type="http://schemas.openxmlformats.org/officeDocument/2006/relationships/hyperlink" Target="https://drive.google.com/file/d/1IWTo9FpNPYRIggu30EEc0EBT5chSMGOO/view?usp=sharing" TargetMode="External"/><Relationship Id="rId11" Type="http://schemas.openxmlformats.org/officeDocument/2006/relationships/hyperlink" Target="https://drive.google.com/file/d/12S9mQW_zAoOnF103ijXfREHLV727_QUh/view?usp=sharing" TargetMode="External"/><Relationship Id="rId10" Type="http://schemas.openxmlformats.org/officeDocument/2006/relationships/hyperlink" Target="https://drive.google.com/file/d/1UBgGL1sr4dTNGSbITGuR0KIlyY1eB0Bj/view?usp=sharing" TargetMode="External"/><Relationship Id="rId13" Type="http://schemas.openxmlformats.org/officeDocument/2006/relationships/hyperlink" Target="https://drive.google.com/file/d/181MNLAVqWRZ9oAm6CBCYecN4SOTGfv8B/view?usp=sharing" TargetMode="External"/><Relationship Id="rId12" Type="http://schemas.openxmlformats.org/officeDocument/2006/relationships/hyperlink" Target="https://drive.google.com/file/d/1THsYy4d8aR_VxduxlQCNRBV5J5zX193W/view?usp=sharing" TargetMode="External"/><Relationship Id="rId15" Type="http://schemas.openxmlformats.org/officeDocument/2006/relationships/hyperlink" Target="https://drive.google.com/file/d/1BY0YEB3Sk8kWhhCahruhMr2AJ5LfSfov/view?usp=sharing" TargetMode="External"/><Relationship Id="rId14" Type="http://schemas.openxmlformats.org/officeDocument/2006/relationships/hyperlink" Target="https://drive.google.com/file/d/18_0fiQC2xmI9Hq4Gi_WUv1dZFIzSENUn/view?usp=sharing" TargetMode="External"/><Relationship Id="rId17" Type="http://schemas.openxmlformats.org/officeDocument/2006/relationships/hyperlink" Target="https://drive.google.com/file/d/1F2sAvmjIKJvM46fHeJjDco13lQYuorM_/view?usp=sharing" TargetMode="External"/><Relationship Id="rId16" Type="http://schemas.openxmlformats.org/officeDocument/2006/relationships/hyperlink" Target="https://drive.google.com/file/d/12eaRIqnxLgpp2LHmyNwmnSMIJrlXlzjn/view?usp=sharing" TargetMode="External"/><Relationship Id="rId19" Type="http://schemas.openxmlformats.org/officeDocument/2006/relationships/hyperlink" Target="https://drive.google.com/file/d/1hoUO-2ZI6Oll2UVn0VuNP3V3K2LRHps9/view?usp=sharing" TargetMode="External"/><Relationship Id="rId18" Type="http://schemas.openxmlformats.org/officeDocument/2006/relationships/hyperlink" Target="https://drive.google.com/file/d/1GJIqMXw-KD7eg71fE4bKbw3MfLD5Yldd/view?usp=sharing" TargetMode="External"/><Relationship Id="rId84" Type="http://schemas.openxmlformats.org/officeDocument/2006/relationships/hyperlink" Target="https://drive.google.com/file/d/1ETQr6eZm9TyhAlnCG6wwTT7JLLo38noo/view?usp=sharing" TargetMode="External"/><Relationship Id="rId83" Type="http://schemas.openxmlformats.org/officeDocument/2006/relationships/hyperlink" Target="https://drive.google.com/file/d/1LvtePmeis4I0S4uEkBzQcANgIL_RFe9C/view?usp=sharing" TargetMode="External"/><Relationship Id="rId86" Type="http://schemas.openxmlformats.org/officeDocument/2006/relationships/hyperlink" Target="https://drive.google.com/file/d/14T_iSyD8oj8h0yz2dghIZR85Lty2sSP0/view?usp=sharing" TargetMode="External"/><Relationship Id="rId85" Type="http://schemas.openxmlformats.org/officeDocument/2006/relationships/hyperlink" Target="https://drive.google.com/file/d/1MlK3yxVXwFjGdIdedj3pDxwh96SdaSVt/view?usp=sharing" TargetMode="External"/><Relationship Id="rId88" Type="http://schemas.openxmlformats.org/officeDocument/2006/relationships/hyperlink" Target="https://drive.google.com/file/d/16VO2hN2WmO-91YnsDLVH7ycHv5Iol60S/view?usp=sharing" TargetMode="External"/><Relationship Id="rId87" Type="http://schemas.openxmlformats.org/officeDocument/2006/relationships/hyperlink" Target="https://drive.google.com/file/d/1FWY_g9Fy1ITnCBDRGRfVmW02Mw1gMH4I/view?usp=sharing" TargetMode="External"/><Relationship Id="rId89" Type="http://schemas.openxmlformats.org/officeDocument/2006/relationships/hyperlink" Target="https://drive.google.com/file/d/1K-HkjLBEe1v4vqAmlk4ExcrIG__tOhn6/view?usp=sharing" TargetMode="External"/><Relationship Id="rId80" Type="http://schemas.openxmlformats.org/officeDocument/2006/relationships/hyperlink" Target="https://drive.google.com/file/d/1Ce3N_EFWfTK1j5g98avaPEjFoPkKJSbp/view?usp=sharing" TargetMode="External"/><Relationship Id="rId82" Type="http://schemas.openxmlformats.org/officeDocument/2006/relationships/hyperlink" Target="https://drive.google.com/file/d/1rfM9xR2i_dzq1dZ_DhH10OOsQQOX98yv/view?usp=sharing" TargetMode="External"/><Relationship Id="rId81" Type="http://schemas.openxmlformats.org/officeDocument/2006/relationships/hyperlink" Target="https://drive.google.com/file/d/1cQD7ivBEdjZ1E8FG0pXSaVr7dRWSr1c7/view?usp=sharing" TargetMode="External"/><Relationship Id="rId73" Type="http://schemas.openxmlformats.org/officeDocument/2006/relationships/hyperlink" Target="https://drive.google.com/file/d/1f_WBcr1g9LHYAzV5PXGzMl-zECT4HLt_/view?usp=sharing" TargetMode="External"/><Relationship Id="rId72" Type="http://schemas.openxmlformats.org/officeDocument/2006/relationships/hyperlink" Target="https://drive.google.com/file/d/1L2r3ltVvpkqZmuB9jYUKrcopVS9VjWhh/view?usp=sharing" TargetMode="External"/><Relationship Id="rId75" Type="http://schemas.openxmlformats.org/officeDocument/2006/relationships/hyperlink" Target="https://drive.google.com/file/d/1p1TNA6mttDFu7mX1lbo-kYHGlC0mn49z/view?usp=sharing" TargetMode="External"/><Relationship Id="rId74" Type="http://schemas.openxmlformats.org/officeDocument/2006/relationships/hyperlink" Target="https://drive.google.com/file/d/1rRTJdQHZN5pkcPchV2dsaJQpksl2QvVQ/view?usp=sharing" TargetMode="External"/><Relationship Id="rId77" Type="http://schemas.openxmlformats.org/officeDocument/2006/relationships/hyperlink" Target="https://drive.google.com/file/d/1BnlXF-OLNx27HAfmpp-vgoH0B4s2l6Ky/view?usp=sharing" TargetMode="External"/><Relationship Id="rId76" Type="http://schemas.openxmlformats.org/officeDocument/2006/relationships/hyperlink" Target="https://drive.google.com/file/d/14wu-eraK3kcRQxKUQaHbINUKASvo0yT-/view?usp=sharing" TargetMode="External"/><Relationship Id="rId79" Type="http://schemas.openxmlformats.org/officeDocument/2006/relationships/hyperlink" Target="https://drive.google.com/file/d/1iyUsGOseQAwv4XxGQL6v2snBsdNjJ3Zi/view?usp=sharing" TargetMode="External"/><Relationship Id="rId78" Type="http://schemas.openxmlformats.org/officeDocument/2006/relationships/hyperlink" Target="https://drive.google.com/file/d/1UB2esmK541-od6kOEPmDp_sgLPziqx_H/view?usp=sharing" TargetMode="External"/><Relationship Id="rId71" Type="http://schemas.openxmlformats.org/officeDocument/2006/relationships/hyperlink" Target="https://drive.google.com/file/d/1ADn8nEvU9DFC98XInsFw2UUDdlogHPhd/view?usp=sharing" TargetMode="External"/><Relationship Id="rId70" Type="http://schemas.openxmlformats.org/officeDocument/2006/relationships/hyperlink" Target="https://drive.google.com/file/d/1AhiczOiV-h_ulXhgU0dIDKb0nYR6FD5-/view?usp=sharing" TargetMode="External"/><Relationship Id="rId62" Type="http://schemas.openxmlformats.org/officeDocument/2006/relationships/hyperlink" Target="https://drive.google.com/file/d/1FhbBlDWb6xIjDzXPtVMV-4OhWZr2MZak/view?usp=drive_link" TargetMode="External"/><Relationship Id="rId61" Type="http://schemas.openxmlformats.org/officeDocument/2006/relationships/hyperlink" Target="https://drive.google.com/file/d/1KyK7YYTVymJeGq457E8lHDWfC8k6PCfg/view?usp=drive_link" TargetMode="External"/><Relationship Id="rId64" Type="http://schemas.openxmlformats.org/officeDocument/2006/relationships/hyperlink" Target="https://drive.google.com/file/d/1IeuYNQP3tt3XaeHzoyAD0B-c1d7HZhmK/view?usp=sharing" TargetMode="External"/><Relationship Id="rId63" Type="http://schemas.openxmlformats.org/officeDocument/2006/relationships/hyperlink" Target="https://drive.google.com/file/d/14c1iZFMHVql6uia0cJJNqtAOUowUxm8x/view?usp=sharing" TargetMode="External"/><Relationship Id="rId66" Type="http://schemas.openxmlformats.org/officeDocument/2006/relationships/hyperlink" Target="https://drive.google.com/file/d/1EW04_rmT7QGWBimxqhBdELHM7FRqAv0-/view?usp=sharing" TargetMode="External"/><Relationship Id="rId65" Type="http://schemas.openxmlformats.org/officeDocument/2006/relationships/hyperlink" Target="https://drive.google.com/file/d/1Rzx-50Pk6YCErdqusBVCCdZBT6d7VqzH/view?usp=sharing" TargetMode="External"/><Relationship Id="rId68" Type="http://schemas.openxmlformats.org/officeDocument/2006/relationships/hyperlink" Target="https://drive.google.com/file/d/1-6z85v5XB-bYyYDAqpxBMl3jNSzr01hK/view?usp=sharing" TargetMode="External"/><Relationship Id="rId67" Type="http://schemas.openxmlformats.org/officeDocument/2006/relationships/hyperlink" Target="https://drive.google.com/file/d/1M_GKQ2TbD5DWq2yNn4CURgmfsmhwp52a/view?usp=sharing" TargetMode="External"/><Relationship Id="rId60" Type="http://schemas.openxmlformats.org/officeDocument/2006/relationships/hyperlink" Target="https://drive.google.com/file/d/1mU3UNlYzLUlpjSBBSw54xh4Gi4ZRyBcW/view?usp=drive_link" TargetMode="External"/><Relationship Id="rId69" Type="http://schemas.openxmlformats.org/officeDocument/2006/relationships/hyperlink" Target="https://drive.google.com/file/d/1MBwTKfRR4pnI1gaPMqarfJOv9ob22jrs/view?usp=sharing" TargetMode="External"/><Relationship Id="rId51" Type="http://schemas.openxmlformats.org/officeDocument/2006/relationships/hyperlink" Target="https://drive.google.com/file/d/1GFSWfdVL9_1OyflxJD7BXS3W8NhHUlFK/view?usp=drive_link" TargetMode="External"/><Relationship Id="rId50" Type="http://schemas.openxmlformats.org/officeDocument/2006/relationships/hyperlink" Target="https://drive.google.com/file/d/1Nwg2skM4o8cQOUn8FME0yfimpys_OX4S/view?usp=sharing" TargetMode="External"/><Relationship Id="rId53" Type="http://schemas.openxmlformats.org/officeDocument/2006/relationships/hyperlink" Target="https://drive.google.com/file/d/1EJIWMUqBtQepxVBovj78umzNnI_2iZNE/view?usp=drive_link" TargetMode="External"/><Relationship Id="rId52" Type="http://schemas.openxmlformats.org/officeDocument/2006/relationships/hyperlink" Target="https://drive.google.com/file/d/1qPm0avL3ljvAeSNcUFMD1c99ImBGTR2t/view?usp=sharing" TargetMode="External"/><Relationship Id="rId55" Type="http://schemas.openxmlformats.org/officeDocument/2006/relationships/hyperlink" Target="https://drive.google.com/file/d/1yGJYMl5XZZImJ43YQz30VQXqzS2IrKQI/view?usp=sharing" TargetMode="External"/><Relationship Id="rId54" Type="http://schemas.openxmlformats.org/officeDocument/2006/relationships/hyperlink" Target="https://drive.google.com/file/d/1JUHZxhC5bHVBMBNJC9JovkTY3v3-xFWj/view?usp=sharing" TargetMode="External"/><Relationship Id="rId57" Type="http://schemas.openxmlformats.org/officeDocument/2006/relationships/hyperlink" Target="https://drive.google.com/file/d/1D1QI7iCtyzNsW6ud9-DdyWHa--Z15Qrt/view?usp=drive_link" TargetMode="External"/><Relationship Id="rId56" Type="http://schemas.openxmlformats.org/officeDocument/2006/relationships/hyperlink" Target="https://drive.google.com/file/d/1yWy-EVFMVU4Yq4rvxwkHCQzmX83sjN-h/view?usp=sharing" TargetMode="External"/><Relationship Id="rId59" Type="http://schemas.openxmlformats.org/officeDocument/2006/relationships/hyperlink" Target="https://drive.google.com/file/d/1HG3H-FaKPkze69wmiTsRJE10GMnPbJZh/view?usp=drive_link" TargetMode="External"/><Relationship Id="rId58" Type="http://schemas.openxmlformats.org/officeDocument/2006/relationships/hyperlink" Target="https://drive.google.com/file/d/1RWQCEXbBx-YRn5Djbgn5PnUteaiBRPm4/view?usp=drive_link" TargetMode="External"/><Relationship Id="rId107" Type="http://schemas.openxmlformats.org/officeDocument/2006/relationships/hyperlink" Target="https://drive.google.com/file/d/1IK3gNwy9ynKexreNpNcEc2HUU5KvfBBt/view?usp=sharing" TargetMode="External"/><Relationship Id="rId106" Type="http://schemas.openxmlformats.org/officeDocument/2006/relationships/hyperlink" Target="https://drive.google.com/file/d/1RmG0SclaYaglLgohkzyDWyCp_DMjR6I9/view?usp=sharing" TargetMode="External"/><Relationship Id="rId105" Type="http://schemas.openxmlformats.org/officeDocument/2006/relationships/hyperlink" Target="https://drive.google.com/file/d/1KxqZILdjXJD6DF4-SnF5lXvIMOR1EK3h/view?usp=sharing" TargetMode="External"/><Relationship Id="rId104" Type="http://schemas.openxmlformats.org/officeDocument/2006/relationships/hyperlink" Target="https://drive.google.com/file/d/1b5IMS9jYdQqfaSZJXoe2TQviP1UKLdOq/view?usp=sharing" TargetMode="External"/><Relationship Id="rId109" Type="http://schemas.openxmlformats.org/officeDocument/2006/relationships/hyperlink" Target="https://drive.google.com/file/d/10A36H2Su2PoMbdiobC55uYytYRraNYkS/view?usp=sharing" TargetMode="External"/><Relationship Id="rId108" Type="http://schemas.openxmlformats.org/officeDocument/2006/relationships/hyperlink" Target="https://drive.google.com/file/d/16sCzNhzWKBomQH_uwV4qEkgsWl2RuGpz/view?usp=sharing" TargetMode="External"/><Relationship Id="rId103" Type="http://schemas.openxmlformats.org/officeDocument/2006/relationships/hyperlink" Target="https://drive.google.com/file/d/17If45Z650hv--MYqKGukRcn8cnT3w0jx/view?usp=sharing" TargetMode="External"/><Relationship Id="rId102" Type="http://schemas.openxmlformats.org/officeDocument/2006/relationships/hyperlink" Target="https://drive.google.com/file/d/1J5ln_DtBi7UqTFGKW6pDPZciaTgdSdF5/view?usp=sharing" TargetMode="External"/><Relationship Id="rId101" Type="http://schemas.openxmlformats.org/officeDocument/2006/relationships/hyperlink" Target="https://drive.google.com/file/d/1P3ZGLae9MkjvGmxsfmaK7h0ty0rDbU0K/view?usp=sharing" TargetMode="External"/><Relationship Id="rId100" Type="http://schemas.openxmlformats.org/officeDocument/2006/relationships/hyperlink" Target="https://drive.google.com/file/d/1hsuosNG3_veoiY6feWDSYPhKh9x5JIhV/view?usp=sharing" TargetMode="External"/><Relationship Id="rId129" Type="http://schemas.openxmlformats.org/officeDocument/2006/relationships/hyperlink" Target="https://drive.google.com/file/d/1Re8bnQjEb2aw5whlvKsJ2haA7uMiuZs5/view?usp=sharing" TargetMode="External"/><Relationship Id="rId128" Type="http://schemas.openxmlformats.org/officeDocument/2006/relationships/hyperlink" Target="https://drive.google.com/file/d/1FadfQkwVbwXEb-JqhebtPR4WKBvCD8El/view?usp=sharing" TargetMode="External"/><Relationship Id="rId127" Type="http://schemas.openxmlformats.org/officeDocument/2006/relationships/hyperlink" Target="https://drive.google.com/file/d/1Z3xPnmWLt58SRoENf2JQ1-8RJxQfG_o8/view?usp=sharing" TargetMode="External"/><Relationship Id="rId126" Type="http://schemas.openxmlformats.org/officeDocument/2006/relationships/hyperlink" Target="https://drive.google.com/file/d/1QM0Z-JR6_GGQck-n69d2ZjxT5O2Fo4Te/view?usp=sharing" TargetMode="External"/><Relationship Id="rId121" Type="http://schemas.openxmlformats.org/officeDocument/2006/relationships/hyperlink" Target="https://drive.google.com/file/d/1VyHA1FAzzA8b3i0rQ4UUuXdmuuzAVJIf/view?usp=sharing" TargetMode="External"/><Relationship Id="rId120" Type="http://schemas.openxmlformats.org/officeDocument/2006/relationships/hyperlink" Target="https://drive.google.com/file/d/1FgRHdiKk3Gq2lPvTGRbJRewaOLz-L_g4/view?usp=sharing" TargetMode="External"/><Relationship Id="rId125" Type="http://schemas.openxmlformats.org/officeDocument/2006/relationships/hyperlink" Target="https://drive.google.com/file/d/1pLFhXPl6OukAHIGnrUAzwA5Kd7PaKcBV/view?usp=sharing" TargetMode="External"/><Relationship Id="rId124" Type="http://schemas.openxmlformats.org/officeDocument/2006/relationships/hyperlink" Target="https://drive.google.com/file/d/1LclvQOGsJHEe-RPvmExj7Xo5EcHCuQQd/view?usp=sharing" TargetMode="External"/><Relationship Id="rId123" Type="http://schemas.openxmlformats.org/officeDocument/2006/relationships/hyperlink" Target="https://drive.google.com/file/d/1sGkJGIa7WoyyXUfXIBnuVXX_d7Cy5hm9/view?usp=sharing" TargetMode="External"/><Relationship Id="rId122" Type="http://schemas.openxmlformats.org/officeDocument/2006/relationships/hyperlink" Target="https://drive.google.com/file/d/18_Jf9kA9eW_Yw4CoUs5c5TjrQlp9KIjh/view?usp=sharing" TargetMode="External"/><Relationship Id="rId95" Type="http://schemas.openxmlformats.org/officeDocument/2006/relationships/hyperlink" Target="https://drive.google.com/file/d/1RtAXpzeWSTwNdCSAK_QOYxTrLXvZME20/view?usp=sharing" TargetMode="External"/><Relationship Id="rId94" Type="http://schemas.openxmlformats.org/officeDocument/2006/relationships/hyperlink" Target="https://drive.google.com/file/d/1upZrB_Gaqk2x7quZj6XnPw_dONX8aiBY/view?usp=sharing" TargetMode="External"/><Relationship Id="rId97" Type="http://schemas.openxmlformats.org/officeDocument/2006/relationships/hyperlink" Target="https://drive.google.com/file/d/1x1IE6XtFWKuROqyImtXt70uPU7iGqrIn/view?usp=sharing" TargetMode="External"/><Relationship Id="rId96" Type="http://schemas.openxmlformats.org/officeDocument/2006/relationships/hyperlink" Target="https://drive.google.com/file/d/1-sfwThCF2HmHF4tkQGXBYkaFbObkTtCl/view?usp=sharing" TargetMode="External"/><Relationship Id="rId99" Type="http://schemas.openxmlformats.org/officeDocument/2006/relationships/hyperlink" Target="https://drive.google.com/file/d/1xjqMPHApx7Ypmn9bP1Kbjo9AX5UKm3FH/view?usp=sharing" TargetMode="External"/><Relationship Id="rId98" Type="http://schemas.openxmlformats.org/officeDocument/2006/relationships/hyperlink" Target="https://drive.google.com/file/d/1gaqAHXDB8evBa9IxOsUYmkR0PsBQJq_W/view?usp=sharing" TargetMode="External"/><Relationship Id="rId91" Type="http://schemas.openxmlformats.org/officeDocument/2006/relationships/hyperlink" Target="https://drive.google.com/file/d/1NwUV_GZI-3l_62njTlVhumZqKWTzvoGZ/view?usp=sharing" TargetMode="External"/><Relationship Id="rId90" Type="http://schemas.openxmlformats.org/officeDocument/2006/relationships/hyperlink" Target="https://drive.google.com/file/d/1-htyhXDsz5ygJ1xMiveBecdlxfi5vgwf/view?usp=sharing" TargetMode="External"/><Relationship Id="rId93" Type="http://schemas.openxmlformats.org/officeDocument/2006/relationships/hyperlink" Target="https://drive.google.com/file/d/1s4-QdSdlUHEd6aZTM_cv0X49Sxn3Max9/view?usp=sharing" TargetMode="External"/><Relationship Id="rId92" Type="http://schemas.openxmlformats.org/officeDocument/2006/relationships/hyperlink" Target="https://drive.google.com/file/d/16zWalUYRCIRiudU7EZ9QI9jSfbwBtsj3/view?usp=sharing" TargetMode="External"/><Relationship Id="rId118" Type="http://schemas.openxmlformats.org/officeDocument/2006/relationships/hyperlink" Target="https://drive.google.com/file/d/1wSUsLEitD7F_A-NRcTKe53aoM6q4QuIt/view?usp=sharing" TargetMode="External"/><Relationship Id="rId117" Type="http://schemas.openxmlformats.org/officeDocument/2006/relationships/hyperlink" Target="https://drive.google.com/file/d/1pGCsTGEwXtmdDF8mypJOCx8RI8ocm-QK/view?usp=sharing" TargetMode="External"/><Relationship Id="rId116" Type="http://schemas.openxmlformats.org/officeDocument/2006/relationships/hyperlink" Target="https://drive.google.com/file/d/12yKFcWOWbapClJ_-o0jNuc1udlRcRGx_/view?usp=sharing" TargetMode="External"/><Relationship Id="rId115" Type="http://schemas.openxmlformats.org/officeDocument/2006/relationships/hyperlink" Target="https://drive.google.com/file/d/1iQ_VeoxMcD2AER5k-wHVmOsF2VROxIxS/view?usp=sharing" TargetMode="External"/><Relationship Id="rId119" Type="http://schemas.openxmlformats.org/officeDocument/2006/relationships/hyperlink" Target="https://drive.google.com/file/d/13Ieeb131P5-nZYT2d0ptwLqXFhN-ORe6/view?usp=sharing" TargetMode="External"/><Relationship Id="rId110" Type="http://schemas.openxmlformats.org/officeDocument/2006/relationships/hyperlink" Target="https://drive.google.com/file/d/1lNt4yWzioELVrWl7X8IBjr4tEsVB6HKS/view?usp=sharing" TargetMode="External"/><Relationship Id="rId114" Type="http://schemas.openxmlformats.org/officeDocument/2006/relationships/hyperlink" Target="https://drive.google.com/file/d/1yrtdxFBtydirROdNhTH2mfnvGWKp6cmL/view?usp=sharing" TargetMode="External"/><Relationship Id="rId113" Type="http://schemas.openxmlformats.org/officeDocument/2006/relationships/hyperlink" Target="https://drive.google.com/file/d/1FjE8Lm53fzTmNsZm2T1hVyiNNu1AIZ1o/view?usp=sharing" TargetMode="External"/><Relationship Id="rId112" Type="http://schemas.openxmlformats.org/officeDocument/2006/relationships/hyperlink" Target="https://drive.google.com/file/d/1d2guTvwjAaYt4P38Ra-26Y36ayaBAtDF/view?usp=sharing" TargetMode="External"/><Relationship Id="rId111" Type="http://schemas.openxmlformats.org/officeDocument/2006/relationships/hyperlink" Target="https://drive.google.com/file/d/1pN-M4zkYwiBZLT73jzHCtKZDQU4CLU5Q/view?usp=sharing"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drive.google.com/file/d/13mgcd8W7M96znjF9DHix-HD2tEfLuB9N/view?usp=sharing" TargetMode="External"/><Relationship Id="rId2" Type="http://schemas.openxmlformats.org/officeDocument/2006/relationships/hyperlink" Target="https://drive.google.com/file/d/1_jgO5C7jxZ1F7HCfZcvVABs-1POehEmn/view?usp=sharing" TargetMode="External"/><Relationship Id="rId3" Type="http://schemas.openxmlformats.org/officeDocument/2006/relationships/hyperlink" Target="https://drive.google.com/file/d/1rYPH7Fn4ZmhCWvJEyyi48nVPu7ofLzBa/view?usp=sharing" TargetMode="External"/><Relationship Id="rId4" Type="http://schemas.openxmlformats.org/officeDocument/2006/relationships/hyperlink" Target="https://drive.google.com/file/d/1pdJ3k25oL9p_mVYaFi81ZyeJss-_3LVu/view?usp=sharing" TargetMode="External"/><Relationship Id="rId9" Type="http://schemas.openxmlformats.org/officeDocument/2006/relationships/hyperlink" Target="https://drive.google.com/file/d/1pKjcm3f8JBXxTKns4Bvhy6-Hfv2TAuv3/view?usp=sharing" TargetMode="External"/><Relationship Id="rId5" Type="http://schemas.openxmlformats.org/officeDocument/2006/relationships/hyperlink" Target="https://drive.google.com/file/d/1eAwP1wUQtsbju10nXrqa5aUDb4G0LbE9/view?usp=sharing" TargetMode="External"/><Relationship Id="rId6" Type="http://schemas.openxmlformats.org/officeDocument/2006/relationships/hyperlink" Target="https://drive.google.com/file/d/14eWz8btAmliym8qxF5j4aLu_059XS9bm/view?usp=sharing" TargetMode="External"/><Relationship Id="rId7" Type="http://schemas.openxmlformats.org/officeDocument/2006/relationships/hyperlink" Target="https://drive.google.com/file/d/1Y_ivk4GCMB-HI0GudZXXFQru9D3Cd9Fd/view?usp=sharing" TargetMode="External"/><Relationship Id="rId8" Type="http://schemas.openxmlformats.org/officeDocument/2006/relationships/hyperlink" Target="https://drive.google.com/file/d/1_s0RRbGFYniM2QhvrDXHQS30QwyJEgz9/view?usp=sharing" TargetMode="External"/><Relationship Id="rId40" Type="http://schemas.openxmlformats.org/officeDocument/2006/relationships/hyperlink" Target="https://drive.google.com/file/d/1cFqJP0JLqHcaX0mQTeudB2EpMZv2wrsM/view?usp=sharing" TargetMode="External"/><Relationship Id="rId42" Type="http://schemas.openxmlformats.org/officeDocument/2006/relationships/hyperlink" Target="https://drive.google.com/file/d/1cG7CUJycgm9pmQF9aAWFEFTsVi1RoVCS/view?usp=sharing" TargetMode="External"/><Relationship Id="rId41" Type="http://schemas.openxmlformats.org/officeDocument/2006/relationships/hyperlink" Target="https://drive.google.com/file/d/1sNg3WecaeGjOlHfY4vxpNp8HJWhF81jn/view?usp=sharing" TargetMode="External"/><Relationship Id="rId44" Type="http://schemas.openxmlformats.org/officeDocument/2006/relationships/hyperlink" Target="https://drive.google.com/file/d/1YC0wDP3-g6wN2PfBS4Zd7LZSArItLDYF/view?usp=sharing" TargetMode="External"/><Relationship Id="rId43" Type="http://schemas.openxmlformats.org/officeDocument/2006/relationships/hyperlink" Target="https://drive.google.com/file/d/1ouNjS0rhMnvPn3BmrWnzzh_03TY7a-i1/view?usp=sharing" TargetMode="External"/><Relationship Id="rId46" Type="http://schemas.openxmlformats.org/officeDocument/2006/relationships/hyperlink" Target="https://drive.google.com/file/d/1gUx0-2KDyOM3x_UtHc4m9bldZwlt-oGz/view?usp=sharing" TargetMode="External"/><Relationship Id="rId45" Type="http://schemas.openxmlformats.org/officeDocument/2006/relationships/hyperlink" Target="https://drive.google.com/file/d/1I1Jtj5mgpUa58UjzdGyGTI-uHqcZR_0g/view?usp=sharing" TargetMode="External"/><Relationship Id="rId48" Type="http://schemas.openxmlformats.org/officeDocument/2006/relationships/hyperlink" Target="https://drive.google.com/file/d/1LKS_twiyc6ckF6Rm7ah-Xpq58GI3RcJy/view?usp=sharing" TargetMode="External"/><Relationship Id="rId47" Type="http://schemas.openxmlformats.org/officeDocument/2006/relationships/hyperlink" Target="https://drive.google.com/file/d/1OPgvsC_ySe3HNEsOwHyS0UvAp6Z0UoMn/view?usp=sharing" TargetMode="External"/><Relationship Id="rId49" Type="http://schemas.openxmlformats.org/officeDocument/2006/relationships/hyperlink" Target="https://drive.google.com/file/d/1QcJaifSA5E4c5FFcUCuiphkp2cuFcbrQ/view?usp=sharing" TargetMode="External"/><Relationship Id="rId31" Type="http://schemas.openxmlformats.org/officeDocument/2006/relationships/hyperlink" Target="https://drive.google.com/file/d/1mWGJhO-dmamzSErsUAMUUa7xVY3Z_z_5/view?usp=sharing" TargetMode="External"/><Relationship Id="rId30" Type="http://schemas.openxmlformats.org/officeDocument/2006/relationships/hyperlink" Target="https://drive.google.com/file/d/1plY1RK_okexgz4x8I3lsNgY63NwDDBjv/view?usp=sharing" TargetMode="External"/><Relationship Id="rId33" Type="http://schemas.openxmlformats.org/officeDocument/2006/relationships/hyperlink" Target="https://drive.google.com/file/d/1B9dl7ZGwkJZEHm4vD2U3lN6_yzOrpv6i/view?usp=sharing" TargetMode="External"/><Relationship Id="rId32" Type="http://schemas.openxmlformats.org/officeDocument/2006/relationships/hyperlink" Target="https://drive.google.com/file/d/1vve4LozBYiLI-L1jRX_Vt_Sq2mQXuM-i/view?usp=sharing" TargetMode="External"/><Relationship Id="rId35" Type="http://schemas.openxmlformats.org/officeDocument/2006/relationships/hyperlink" Target="https://drive.google.com/file/d/1gxHGu6jAiRiLefOHH_iHKRkXlnUIFI6k/view?usp=sharing" TargetMode="External"/><Relationship Id="rId34" Type="http://schemas.openxmlformats.org/officeDocument/2006/relationships/hyperlink" Target="https://drive.google.com/file/d/1cBYylEQDfio6Jxr7jm-cjdzB15ovxbe1/view?usp=sharing" TargetMode="External"/><Relationship Id="rId37" Type="http://schemas.openxmlformats.org/officeDocument/2006/relationships/hyperlink" Target="https://drive.google.com/file/d/1JkRlE4zBHTx2epypR4ekVQAZVZJlqJEB/view?usp=sharing" TargetMode="External"/><Relationship Id="rId36" Type="http://schemas.openxmlformats.org/officeDocument/2006/relationships/hyperlink" Target="https://drive.google.com/file/d/1tKQrmLB1kKraWNNKgF4nHnbpxJYITQS8/view?usp=sharing" TargetMode="External"/><Relationship Id="rId39" Type="http://schemas.openxmlformats.org/officeDocument/2006/relationships/hyperlink" Target="https://drive.google.com/file/d/1Uw-JowDTJAa7U3Uy2ab6MAVmaaIeBmMi/view?usp=sharing" TargetMode="External"/><Relationship Id="rId38" Type="http://schemas.openxmlformats.org/officeDocument/2006/relationships/hyperlink" Target="https://drive.google.com/file/d/1g-uVlBgCcYCEgv7iWh9htFR6vL97Xjqj/view?usp=sharing" TargetMode="External"/><Relationship Id="rId20" Type="http://schemas.openxmlformats.org/officeDocument/2006/relationships/hyperlink" Target="https://drive.google.com/file/d/1tlhLe_48fLdChyoWL-W_jd7lojMgm9he/view?usp=sharing" TargetMode="External"/><Relationship Id="rId22" Type="http://schemas.openxmlformats.org/officeDocument/2006/relationships/hyperlink" Target="https://drive.google.com/file/d/1C5GioDUrOIof68ewDbzdLVW3RafaiBig/view?usp=sharing" TargetMode="External"/><Relationship Id="rId21" Type="http://schemas.openxmlformats.org/officeDocument/2006/relationships/hyperlink" Target="https://drive.google.com/file/d/1yWY815JgviEQbt7AZTUQfZH2Dt7-ka94/view?usp=sharing" TargetMode="External"/><Relationship Id="rId24" Type="http://schemas.openxmlformats.org/officeDocument/2006/relationships/hyperlink" Target="https://drive.google.com/file/d/1wi7n8ounyGngjvy_59Ywe4JqHs_BEUYl/view?usp=sharing" TargetMode="External"/><Relationship Id="rId23" Type="http://schemas.openxmlformats.org/officeDocument/2006/relationships/hyperlink" Target="https://drive.google.com/file/d/1Fc5Katp5jujOYNDpiRVKKuocYJEcy7LL/view?usp=sharing" TargetMode="External"/><Relationship Id="rId26" Type="http://schemas.openxmlformats.org/officeDocument/2006/relationships/hyperlink" Target="https://drive.google.com/file/d/1SuZLVK_7lsLU1xaNTQbEkf56GIKVNMo2/view?usp=sharing" TargetMode="External"/><Relationship Id="rId25" Type="http://schemas.openxmlformats.org/officeDocument/2006/relationships/hyperlink" Target="https://drive.google.com/file/d/1RCMW5q7OcBpM1XhaSPaVprmyzjEfpQbe/view?usp=sharing" TargetMode="External"/><Relationship Id="rId28" Type="http://schemas.openxmlformats.org/officeDocument/2006/relationships/hyperlink" Target="https://drive.google.com/file/d/1LgzdF6lS5DdqWFNhWBtQE0uDyY6Dac3w/view?usp=sharing" TargetMode="External"/><Relationship Id="rId27" Type="http://schemas.openxmlformats.org/officeDocument/2006/relationships/hyperlink" Target="https://drive.google.com/file/d/1DiO7a07ZrDKynrnYsugzU951pmP6oIJR/view?usp=sharing" TargetMode="External"/><Relationship Id="rId29" Type="http://schemas.openxmlformats.org/officeDocument/2006/relationships/hyperlink" Target="https://drive.google.com/file/d/1YrXLpkHVrmraG-06HIVSIsh4vJKPgxEo/view?usp=sharing" TargetMode="External"/><Relationship Id="rId11" Type="http://schemas.openxmlformats.org/officeDocument/2006/relationships/hyperlink" Target="https://drive.google.com/file/d/1p4JUNFFNlmc7YpBLC1ClizfHWX4Icmsw/view?usp=sharing" TargetMode="External"/><Relationship Id="rId10" Type="http://schemas.openxmlformats.org/officeDocument/2006/relationships/hyperlink" Target="https://drive.google.com/file/d/1Yk2MZ39DJbhMg91aHCQOrx1tpi6NDVRu/view?usp=sharing" TargetMode="External"/><Relationship Id="rId13" Type="http://schemas.openxmlformats.org/officeDocument/2006/relationships/hyperlink" Target="https://drive.google.com/file/d/18LIZI8reaB0RfV85EMl4n_a814bpdS5l/view?usp=sharing" TargetMode="External"/><Relationship Id="rId12" Type="http://schemas.openxmlformats.org/officeDocument/2006/relationships/hyperlink" Target="https://drive.google.com/file/d/1IYvAD27dbTJc2ebYLZfAyHLUrVaXoMO8/view?usp=sharing" TargetMode="External"/><Relationship Id="rId15" Type="http://schemas.openxmlformats.org/officeDocument/2006/relationships/hyperlink" Target="https://drive.google.com/file/d/1UF5gAhT25M09c4X4bgPOQ9W-81vnftQG/view?usp=sharing" TargetMode="External"/><Relationship Id="rId14" Type="http://schemas.openxmlformats.org/officeDocument/2006/relationships/hyperlink" Target="https://drive.google.com/file/d/1B7vkwKBhgMr7kVnZkDgLaJdjOVXOeznK/view?usp=sharing" TargetMode="External"/><Relationship Id="rId17" Type="http://schemas.openxmlformats.org/officeDocument/2006/relationships/hyperlink" Target="https://drive.google.com/file/d/1D82IAqr1qzDhZY-5up4PPv_5qmbC8U3C/view?usp=sharing" TargetMode="External"/><Relationship Id="rId16" Type="http://schemas.openxmlformats.org/officeDocument/2006/relationships/hyperlink" Target="https://drive.google.com/file/d/1Ego7xqFSqanbflybw5F_tKVFUlffLoiV/view?usp=sharing" TargetMode="External"/><Relationship Id="rId19" Type="http://schemas.openxmlformats.org/officeDocument/2006/relationships/hyperlink" Target="https://drive.google.com/file/d/13_49-6aase8JK7pcPXVweg6oP4EES_6A/view?usp=sharing" TargetMode="External"/><Relationship Id="rId18" Type="http://schemas.openxmlformats.org/officeDocument/2006/relationships/hyperlink" Target="https://drive.google.com/file/d/1RtKh2Is8a7-XHBBhw-1XjHEwNfnhd7BF/view?usp=sharing" TargetMode="External"/><Relationship Id="rId84" Type="http://schemas.openxmlformats.org/officeDocument/2006/relationships/hyperlink" Target="https://drive.google.com/file/d/1Rl_oRQtbN0wmVkjnn6uP0UT2VXlZLjyn/view?usp=sharing" TargetMode="External"/><Relationship Id="rId83" Type="http://schemas.openxmlformats.org/officeDocument/2006/relationships/hyperlink" Target="https://drive.google.com/file/d/1MDeKaPCLPCKD9N3aWRfYKq6YBZiZD_YG/view?usp=sharing" TargetMode="External"/><Relationship Id="rId86" Type="http://schemas.openxmlformats.org/officeDocument/2006/relationships/hyperlink" Target="https://drive.google.com/file/d/1njDVF18KWklUcvkcNbM3inq5ZSFKZVWf/view?usp=sharing" TargetMode="External"/><Relationship Id="rId85" Type="http://schemas.openxmlformats.org/officeDocument/2006/relationships/hyperlink" Target="https://drive.google.com/file/d/1R6hkAyT_U4u0npRSjTQVSmq9lviCMaDO/view?usp=sharing" TargetMode="External"/><Relationship Id="rId88" Type="http://schemas.openxmlformats.org/officeDocument/2006/relationships/hyperlink" Target="https://drive.google.com/file/d/1jTFDjGX5Sd5MzU-A4NmDVev7YrjpPxkH/view?usp=sharing" TargetMode="External"/><Relationship Id="rId87" Type="http://schemas.openxmlformats.org/officeDocument/2006/relationships/hyperlink" Target="https://drive.google.com/file/d/1-WS1LskxvbmJZtuy1C7XDLv8hlIYsyh3/view?usp=sharing" TargetMode="External"/><Relationship Id="rId89" Type="http://schemas.openxmlformats.org/officeDocument/2006/relationships/hyperlink" Target="https://drive.google.com/file/d/1PGGE6RYgV7ckiIYoTaQiDVIa4FpW3Fnp/view?usp=sharing" TargetMode="External"/><Relationship Id="rId80" Type="http://schemas.openxmlformats.org/officeDocument/2006/relationships/hyperlink" Target="https://drive.google.com/file/d/1sEMZ-mFNSsn93ua7U8iYOWOwOqiG8M7J/view?usp=sharing" TargetMode="External"/><Relationship Id="rId82" Type="http://schemas.openxmlformats.org/officeDocument/2006/relationships/hyperlink" Target="https://drive.google.com/file/d/1Q7jiKGJuJOVW2NHW7gycNG47L9-steyE/view?usp=sharing" TargetMode="External"/><Relationship Id="rId81" Type="http://schemas.openxmlformats.org/officeDocument/2006/relationships/hyperlink" Target="https://drive.google.com/file/d/1L8OxEcRatYP4SFKmbr6euWbGX0_uEdho/view?usp=sharing" TargetMode="External"/><Relationship Id="rId73" Type="http://schemas.openxmlformats.org/officeDocument/2006/relationships/hyperlink" Target="https://drive.google.com/file/d/16tJgO05VaLFVyb_HuPoGo8NYTXkfnt7l/view?usp=sharing" TargetMode="External"/><Relationship Id="rId72" Type="http://schemas.openxmlformats.org/officeDocument/2006/relationships/hyperlink" Target="https://drive.google.com/file/d/1oVbKKMjsiTjix6CC6Np_3ZxyaV9JLbaF/view?usp=sharing" TargetMode="External"/><Relationship Id="rId75" Type="http://schemas.openxmlformats.org/officeDocument/2006/relationships/hyperlink" Target="https://drive.google.com/file/d/1H5SGLzc7C5XaokzS85FLQZgfCrm0CYqR/view?usp=sharing" TargetMode="External"/><Relationship Id="rId74" Type="http://schemas.openxmlformats.org/officeDocument/2006/relationships/hyperlink" Target="https://drive.google.com/file/d/1WH3YkXdW4Z71GPKf8DGwvS8eOiQm8XZv/view?usp=sharing" TargetMode="External"/><Relationship Id="rId77" Type="http://schemas.openxmlformats.org/officeDocument/2006/relationships/hyperlink" Target="https://drive.google.com/file/d/1OHYAPmHZARZ-fUSwl6cQiXuDXLR10_-F/view?usp=sharing" TargetMode="External"/><Relationship Id="rId76" Type="http://schemas.openxmlformats.org/officeDocument/2006/relationships/hyperlink" Target="https://drive.google.com/file/d/1ANwkCs_B-MUxo52jcQd4daZmlpXkFqyj/view?usp=sharing" TargetMode="External"/><Relationship Id="rId79" Type="http://schemas.openxmlformats.org/officeDocument/2006/relationships/hyperlink" Target="https://drive.google.com/file/d/1VqAtKOAGR8i9P9DRibd5TUNp7_lZ1K7R/view?usp=sharing" TargetMode="External"/><Relationship Id="rId78" Type="http://schemas.openxmlformats.org/officeDocument/2006/relationships/hyperlink" Target="https://drive.google.com/file/d/1TCc0xQKrgL6sq9sPN_1NzE0YAfQghBoZ/view?usp=sharing" TargetMode="External"/><Relationship Id="rId71" Type="http://schemas.openxmlformats.org/officeDocument/2006/relationships/hyperlink" Target="https://drive.google.com/file/d/1_0803Jjga95qwWfBfldNgNleGWADjpUM/view?usp=sharing" TargetMode="External"/><Relationship Id="rId70" Type="http://schemas.openxmlformats.org/officeDocument/2006/relationships/hyperlink" Target="https://drive.google.com/file/d/1SjsZupIhrW77nOPDnk288HPSCoBLeiew/view?usp=sharing" TargetMode="External"/><Relationship Id="rId62" Type="http://schemas.openxmlformats.org/officeDocument/2006/relationships/hyperlink" Target="https://drive.google.com/file/d/1AFvypBLqIuTLo0PNTc0-C8KvT6NeGWXJ/view?usp=sharing" TargetMode="External"/><Relationship Id="rId61" Type="http://schemas.openxmlformats.org/officeDocument/2006/relationships/hyperlink" Target="https://drive.google.com/file/d/1rEuYTTSxDIMvw3Ywp0-ysZqkcF_aura-/view?usp=sharing" TargetMode="External"/><Relationship Id="rId64" Type="http://schemas.openxmlformats.org/officeDocument/2006/relationships/hyperlink" Target="https://drive.google.com/file/d/1cE-DZWZ98M5dlv1Lr_tZDjpZUylcNcuK/view?usp=sharing" TargetMode="External"/><Relationship Id="rId63" Type="http://schemas.openxmlformats.org/officeDocument/2006/relationships/hyperlink" Target="https://drive.google.com/file/d/1zT0MRncWofg0q2Dkmbx4lSCth_vGfduc/view?usp=sharing" TargetMode="External"/><Relationship Id="rId66" Type="http://schemas.openxmlformats.org/officeDocument/2006/relationships/hyperlink" Target="https://drive.google.com/file/d/1bJT9HOc2eWnbzgMizovBOvmsjamNfTn7/view?usp=sharing" TargetMode="External"/><Relationship Id="rId65" Type="http://schemas.openxmlformats.org/officeDocument/2006/relationships/hyperlink" Target="https://drive.google.com/file/d/1FBh8cQalVire4ILEdsWufWt5V63M8yS-/view?usp=sharing" TargetMode="External"/><Relationship Id="rId68" Type="http://schemas.openxmlformats.org/officeDocument/2006/relationships/hyperlink" Target="https://drive.google.com/file/d/1uIh5bGgH4MLUjmmwLCpWLRED-EppiKuM/view?usp=sharing" TargetMode="External"/><Relationship Id="rId67" Type="http://schemas.openxmlformats.org/officeDocument/2006/relationships/hyperlink" Target="https://drive.google.com/file/d/1nfenDoKKaUsYcZJE1MRIFKbaZOa1imKI/view?usp=sharing" TargetMode="External"/><Relationship Id="rId60" Type="http://schemas.openxmlformats.org/officeDocument/2006/relationships/hyperlink" Target="https://drive.google.com/file/d/1wUwxqt_fUjz91oFqjDouOFrD4oDSSYLa/view?usp=sharing" TargetMode="External"/><Relationship Id="rId69" Type="http://schemas.openxmlformats.org/officeDocument/2006/relationships/hyperlink" Target="https://drive.google.com/file/d/1j71BOYvQyr-yd_NMbPMFE0EF4bXtLp7L/view?usp=sharing" TargetMode="External"/><Relationship Id="rId51" Type="http://schemas.openxmlformats.org/officeDocument/2006/relationships/hyperlink" Target="https://drive.google.com/file/d/1YqOFle11vEIZQiKX1A8BVKKB-zBZb4F9/view?usp=sharing" TargetMode="External"/><Relationship Id="rId50" Type="http://schemas.openxmlformats.org/officeDocument/2006/relationships/hyperlink" Target="https://drive.google.com/file/d/1SUqs-PaEN_AB7nwP1x9qHq8RjIROz8wr/view?usp=sharing" TargetMode="External"/><Relationship Id="rId53" Type="http://schemas.openxmlformats.org/officeDocument/2006/relationships/hyperlink" Target="https://drive.google.com/file/d/1J9bT2hglbRhVEDDO6QXl6VFqA8n9ADlj/view?usp=sharing" TargetMode="External"/><Relationship Id="rId52" Type="http://schemas.openxmlformats.org/officeDocument/2006/relationships/hyperlink" Target="https://drive.google.com/file/d/18T5699sXv4v4ZtLPIG3lDD1XUzkccE47/view?usp=sharing" TargetMode="External"/><Relationship Id="rId55" Type="http://schemas.openxmlformats.org/officeDocument/2006/relationships/hyperlink" Target="https://drive.google.com/file/d/1eAOn8t2TW-j0J1VzGoZJBbHKoUhsDlZi/view?usp=sharing" TargetMode="External"/><Relationship Id="rId54" Type="http://schemas.openxmlformats.org/officeDocument/2006/relationships/hyperlink" Target="https://drive.google.com/file/d/10fgYqDLiHGFpbj45OEAW1zHWcZX-1ana/view?usp=sharing" TargetMode="External"/><Relationship Id="rId57" Type="http://schemas.openxmlformats.org/officeDocument/2006/relationships/hyperlink" Target="https://drive.google.com/file/d/1rjZ0bqxzQliz4y0MGYF3sSHR0ZiH5FyV/view?usp=sharing" TargetMode="External"/><Relationship Id="rId56" Type="http://schemas.openxmlformats.org/officeDocument/2006/relationships/hyperlink" Target="https://drive.google.com/file/d/1QReAXxJmSuU6VYwO1RQcTjFSPWeYuRNA/view?usp=sharing" TargetMode="External"/><Relationship Id="rId59" Type="http://schemas.openxmlformats.org/officeDocument/2006/relationships/hyperlink" Target="https://drive.google.com/file/d/160yGrC67P0X85x0eq1GXdFk7vI-P0V7Q/view?usp=sharing" TargetMode="External"/><Relationship Id="rId58" Type="http://schemas.openxmlformats.org/officeDocument/2006/relationships/hyperlink" Target="https://drive.google.com/file/d/1uwFeWFVhyBYaFO2SqN8VNOWRlUvJVNyC/view?usp=sharing" TargetMode="External"/><Relationship Id="rId100" Type="http://schemas.openxmlformats.org/officeDocument/2006/relationships/drawing" Target="../drawings/drawing25.xml"/><Relationship Id="rId95" Type="http://schemas.openxmlformats.org/officeDocument/2006/relationships/hyperlink" Target="https://drive.google.com/file/d/11e5KaKoUbX2IEwYCqDgxHoj4Eh_1yPoz/view?usp=sharing" TargetMode="External"/><Relationship Id="rId94" Type="http://schemas.openxmlformats.org/officeDocument/2006/relationships/hyperlink" Target="https://drive.google.com/file/d/1837fKiDwozXEKCWIBFLZmCcoA5fdcbZC/view?usp=sharing" TargetMode="External"/><Relationship Id="rId97" Type="http://schemas.openxmlformats.org/officeDocument/2006/relationships/hyperlink" Target="https://drive.google.com/file/d/166frPS2xb2KKAwZZLKvbQZDvIzf3oSwy/view?usp=sharing" TargetMode="External"/><Relationship Id="rId96" Type="http://schemas.openxmlformats.org/officeDocument/2006/relationships/hyperlink" Target="https://drive.google.com/file/d/1GEv2eeRXdTRXuFS_0Y2gQeAD6-HLXQgO/view?usp=sharing" TargetMode="External"/><Relationship Id="rId99" Type="http://schemas.openxmlformats.org/officeDocument/2006/relationships/hyperlink" Target="https://drive.google.com/file/d/177Y32arA40NZ_GKmtvvcn2azc15TJHGT/view?usp=sharing" TargetMode="External"/><Relationship Id="rId98" Type="http://schemas.openxmlformats.org/officeDocument/2006/relationships/hyperlink" Target="https://drive.google.com/file/d/1FR7ucit5fELNkHwcfgAXAj-Wa9drHlzT/view?usp=sharing" TargetMode="External"/><Relationship Id="rId91" Type="http://schemas.openxmlformats.org/officeDocument/2006/relationships/hyperlink" Target="https://drive.google.com/file/d/1qjwbBrrgUaWXArrQq1PL8hoTOe538EA4/view?usp=sharing" TargetMode="External"/><Relationship Id="rId90" Type="http://schemas.openxmlformats.org/officeDocument/2006/relationships/hyperlink" Target="https://drive.google.com/file/d/1PNxrG_y15P43KQnw--7VWFpEvXhTMUoc/view?usp=sharing" TargetMode="External"/><Relationship Id="rId93" Type="http://schemas.openxmlformats.org/officeDocument/2006/relationships/hyperlink" Target="https://drive.google.com/file/d/1oUzFdocZ9rZiAR3OHSz5Ejgxz0VPAayw/view?usp=sharing" TargetMode="External"/><Relationship Id="rId92" Type="http://schemas.openxmlformats.org/officeDocument/2006/relationships/hyperlink" Target="https://drive.google.com/file/d/1XZP-ysz6FuJYOeNc5m_XN44Z2nuOQS9P/view?usp=sharing"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drive.google.com/file/d/1HQdlwn4FmkeWDypIsApVfoqrhGcvFrgt/view?usp=sharing" TargetMode="External"/><Relationship Id="rId2" Type="http://schemas.openxmlformats.org/officeDocument/2006/relationships/hyperlink" Target="https://drive.google.com/file/d/1TV9tA86zGHEkNbVDu5m8Tq1Iiargfjmv/view?usp=sharing" TargetMode="External"/><Relationship Id="rId3" Type="http://schemas.openxmlformats.org/officeDocument/2006/relationships/hyperlink" Target="https://drive.google.com/file/d/1lu8MDe6yVNCXr0Rg9gfNYVrGDTRjiRIc/view?usp=sharing" TargetMode="External"/><Relationship Id="rId4" Type="http://schemas.openxmlformats.org/officeDocument/2006/relationships/hyperlink" Target="https://drive.google.com/file/d/1-GDhLTW05arDzh6cy2wl3_NpIK1EXCZS/view?usp=sharing" TargetMode="External"/><Relationship Id="rId9" Type="http://schemas.openxmlformats.org/officeDocument/2006/relationships/hyperlink" Target="https://drive.google.com/file/d/1tQPG7mtgMleznlxc9MlH7lA1hoKrj2YB/view?usp=sharing" TargetMode="External"/><Relationship Id="rId5" Type="http://schemas.openxmlformats.org/officeDocument/2006/relationships/hyperlink" Target="https://drive.google.com/file/d/1chnLZ2Y34dlCUApYCRa4Qt0Kn0AkaQwO/view?usp=sharing" TargetMode="External"/><Relationship Id="rId6" Type="http://schemas.openxmlformats.org/officeDocument/2006/relationships/hyperlink" Target="https://drive.google.com/file/d/15iNwXngPXlIs-tNuKy5Ch_IDOGav3UoP/view?usp=sharing" TargetMode="External"/><Relationship Id="rId7" Type="http://schemas.openxmlformats.org/officeDocument/2006/relationships/hyperlink" Target="https://drive.google.com/file/d/1bBoUM1VNG5lPKZzv0K-xjv-YdcEEWwnb/view?usp=sharing" TargetMode="External"/><Relationship Id="rId8" Type="http://schemas.openxmlformats.org/officeDocument/2006/relationships/hyperlink" Target="https://drive.google.com/file/d/11kaer6VUGSJzAnrNYZE3IzD-_5OI8iiP/view?usp=sharing" TargetMode="External"/><Relationship Id="rId20" Type="http://schemas.openxmlformats.org/officeDocument/2006/relationships/hyperlink" Target="https://drive.google.com/file/d/14lW-K9JCwedtZ_iQeQxL06HczrUY4wFg/view?usp=sharing" TargetMode="External"/><Relationship Id="rId22" Type="http://schemas.openxmlformats.org/officeDocument/2006/relationships/hyperlink" Target="https://drive.google.com/file/d/1fks8A-phe6vmZwNzsE3sSIsboyF5r_5H/view?usp=sharing" TargetMode="External"/><Relationship Id="rId21" Type="http://schemas.openxmlformats.org/officeDocument/2006/relationships/hyperlink" Target="https://drive.google.com/file/d/1oq9uIKvL7RUZDRWIvdZz6kMjWC_OP8CP/view?usp=sharing" TargetMode="External"/><Relationship Id="rId24" Type="http://schemas.openxmlformats.org/officeDocument/2006/relationships/hyperlink" Target="https://drive.google.com/file/d/1BT7YTlDHIwOhxaIAcqfpopi_FP0WuAE0/view?usp=sharing" TargetMode="External"/><Relationship Id="rId23" Type="http://schemas.openxmlformats.org/officeDocument/2006/relationships/hyperlink" Target="https://drive.google.com/file/d/1O6LQfRCwhGUE0mI4ZH8PGN1ugFArqAll/view?usp=sharing" TargetMode="External"/><Relationship Id="rId26" Type="http://schemas.openxmlformats.org/officeDocument/2006/relationships/hyperlink" Target="https://drive.google.com/file/d/1VOwBCxNKnpVGhAkwxo7GlFfPMTDy2hxH/view?usp=sharing" TargetMode="External"/><Relationship Id="rId25" Type="http://schemas.openxmlformats.org/officeDocument/2006/relationships/hyperlink" Target="https://drive.google.com/file/d/1yegVzgOBLDWo35r9bpJ5NAC0Sd9TfNzs/view?usp=sharing" TargetMode="External"/><Relationship Id="rId27" Type="http://schemas.openxmlformats.org/officeDocument/2006/relationships/drawing" Target="../drawings/drawing26.xml"/><Relationship Id="rId11" Type="http://schemas.openxmlformats.org/officeDocument/2006/relationships/hyperlink" Target="https://drive.google.com/file/d/1_ZNJ3MjZgoLjTkDmfwRcJr0G6WHOnLk1/view?usp=sharing" TargetMode="External"/><Relationship Id="rId10" Type="http://schemas.openxmlformats.org/officeDocument/2006/relationships/hyperlink" Target="https://drive.google.com/file/d/11fSoNH8jta7kzoZabUMKF02KmZqCPoOd/view?usp=sharing" TargetMode="External"/><Relationship Id="rId13" Type="http://schemas.openxmlformats.org/officeDocument/2006/relationships/hyperlink" Target="https://drive.google.com/file/d/1wIylfQJU9lEMyNu9ReokdOgjcteMgdRj/view?usp=sharing" TargetMode="External"/><Relationship Id="rId12" Type="http://schemas.openxmlformats.org/officeDocument/2006/relationships/hyperlink" Target="https://drive.google.com/file/d/1cxIgQamlvEHpDTPPgubJp5N_J9KD0dDt/view?usp=sharing" TargetMode="External"/><Relationship Id="rId15" Type="http://schemas.openxmlformats.org/officeDocument/2006/relationships/hyperlink" Target="https://drive.google.com/file/d/1Y2EZlnRCd7AeexjrAIfD8lD37p4JbhIk/view?usp=sharing" TargetMode="External"/><Relationship Id="rId14" Type="http://schemas.openxmlformats.org/officeDocument/2006/relationships/hyperlink" Target="https://drive.google.com/file/d/1nLvzxMudhkTbaRLK4QaGdBLmeMPLhfHq/view?usp=sharing" TargetMode="External"/><Relationship Id="rId17" Type="http://schemas.openxmlformats.org/officeDocument/2006/relationships/hyperlink" Target="https://drive.google.com/file/d/1Aka_Ojw0iH4A3RtAQ-ywDDiVAH_e_L-U/view?usp=sharing" TargetMode="External"/><Relationship Id="rId16" Type="http://schemas.openxmlformats.org/officeDocument/2006/relationships/hyperlink" Target="https://drive.google.com/file/d/1iA-6G3xrT-YVssVGxsIM8ssQCEO7NZlE/view?usp=sharing" TargetMode="External"/><Relationship Id="rId19" Type="http://schemas.openxmlformats.org/officeDocument/2006/relationships/hyperlink" Target="https://drive.google.com/file/d/1HXR6C3gpuF6KN0Nz4KHRi1YDyhzZxDBR/view?usp=sharing" TargetMode="External"/><Relationship Id="rId18" Type="http://schemas.openxmlformats.org/officeDocument/2006/relationships/hyperlink" Target="https://drive.google.com/file/d/1fxog9966IadkTS2OKVCLqOPeGNj_oEV2/view?usp=sharing"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86"/>
    <col customWidth="1" min="2" max="2" width="12.14"/>
    <col customWidth="1" min="3" max="3" width="8.71"/>
    <col customWidth="1" min="4" max="4" width="17.0"/>
    <col customWidth="1" min="5" max="5" width="43.71"/>
    <col customWidth="1" min="6" max="6" width="9.57"/>
    <col customWidth="1" min="7" max="7" width="12.86"/>
    <col customWidth="1" min="8" max="8" width="17.14"/>
    <col customWidth="1" min="9" max="9" width="50.71"/>
  </cols>
  <sheetData>
    <row r="1" ht="15.75" customHeight="1">
      <c r="A1" s="1"/>
      <c r="B1" s="1"/>
      <c r="C1" s="2"/>
      <c r="D1" s="2"/>
      <c r="E1" s="3" t="s">
        <v>0</v>
      </c>
      <c r="F1" s="4"/>
      <c r="G1" s="4"/>
      <c r="H1" s="4"/>
      <c r="I1" s="5" t="s">
        <v>1</v>
      </c>
    </row>
    <row r="2" ht="48.75" customHeight="1">
      <c r="A2" s="1"/>
      <c r="B2" s="6" t="s">
        <v>2</v>
      </c>
      <c r="C2" s="1"/>
      <c r="D2" s="1"/>
      <c r="E2" s="7" t="s">
        <v>3</v>
      </c>
      <c r="F2" s="8" t="s">
        <v>4</v>
      </c>
      <c r="G2" s="8" t="s">
        <v>5</v>
      </c>
      <c r="H2" s="8" t="s">
        <v>6</v>
      </c>
      <c r="I2" s="9"/>
    </row>
    <row r="3" ht="1.5" customHeight="1">
      <c r="A3" s="10" t="s">
        <v>7</v>
      </c>
      <c r="B3" s="10" t="s">
        <v>8</v>
      </c>
      <c r="C3" s="10" t="s">
        <v>9</v>
      </c>
      <c r="D3" s="10" t="s">
        <v>10</v>
      </c>
      <c r="E3" s="10" t="s">
        <v>11</v>
      </c>
      <c r="F3" s="11" t="s">
        <v>12</v>
      </c>
      <c r="G3" s="11" t="s">
        <v>12</v>
      </c>
      <c r="H3" s="11" t="s">
        <v>12</v>
      </c>
      <c r="I3" s="10" t="s">
        <v>13</v>
      </c>
    </row>
    <row r="4" ht="27.0" hidden="1" customHeight="1">
      <c r="A4" s="6">
        <v>27380.0</v>
      </c>
      <c r="B4" s="12" t="s">
        <v>14</v>
      </c>
      <c r="C4" s="12">
        <v>2227.0</v>
      </c>
      <c r="D4" s="6" t="s">
        <v>15</v>
      </c>
      <c r="E4" s="13" t="s">
        <v>16</v>
      </c>
      <c r="F4" s="14">
        <v>41634.0</v>
      </c>
      <c r="G4" s="14">
        <v>41631.0</v>
      </c>
      <c r="H4" s="14">
        <v>41638.0</v>
      </c>
      <c r="I4" s="9" t="s">
        <v>17</v>
      </c>
    </row>
    <row r="5" ht="26.25" hidden="1" customHeight="1">
      <c r="A5" s="6">
        <v>27582.0</v>
      </c>
      <c r="B5" s="12" t="s">
        <v>14</v>
      </c>
      <c r="C5" s="12">
        <v>1604.0</v>
      </c>
      <c r="D5" s="6" t="s">
        <v>18</v>
      </c>
      <c r="E5" s="13" t="s">
        <v>19</v>
      </c>
      <c r="F5" s="14">
        <v>41631.0</v>
      </c>
      <c r="G5" s="14">
        <v>41631.0</v>
      </c>
      <c r="H5" s="15">
        <v>41638.0</v>
      </c>
      <c r="I5" s="9" t="s">
        <v>20</v>
      </c>
    </row>
    <row r="6" ht="27.0" hidden="1" customHeight="1">
      <c r="A6" s="6">
        <v>27529.0</v>
      </c>
      <c r="B6" s="12" t="s">
        <v>21</v>
      </c>
      <c r="C6" s="12">
        <v>704.0</v>
      </c>
      <c r="D6" s="6" t="s">
        <v>22</v>
      </c>
      <c r="E6" s="13" t="s">
        <v>23</v>
      </c>
      <c r="F6" s="14">
        <v>41626.0</v>
      </c>
      <c r="G6" s="14">
        <v>41624.0</v>
      </c>
      <c r="H6" s="14">
        <v>41634.0</v>
      </c>
      <c r="I6" s="9" t="s">
        <v>24</v>
      </c>
    </row>
    <row r="7" ht="27.0" hidden="1" customHeight="1">
      <c r="A7" s="6">
        <v>27572.0</v>
      </c>
      <c r="B7" s="12" t="s">
        <v>25</v>
      </c>
      <c r="C7" s="12">
        <v>150.0</v>
      </c>
      <c r="D7" s="6" t="s">
        <v>26</v>
      </c>
      <c r="E7" s="13" t="s">
        <v>27</v>
      </c>
      <c r="F7" s="14">
        <v>41626.0</v>
      </c>
      <c r="G7" s="4" t="s">
        <v>28</v>
      </c>
      <c r="H7" s="14">
        <v>41628.0</v>
      </c>
      <c r="I7" s="9" t="s">
        <v>29</v>
      </c>
    </row>
    <row r="8" ht="27.0" hidden="1" customHeight="1">
      <c r="A8" s="6">
        <v>27608.0</v>
      </c>
      <c r="B8" s="12" t="s">
        <v>14</v>
      </c>
      <c r="C8" s="12">
        <v>1250.0</v>
      </c>
      <c r="D8" s="6" t="s">
        <v>30</v>
      </c>
      <c r="E8" s="13" t="s">
        <v>31</v>
      </c>
      <c r="F8" s="14">
        <v>41623.0</v>
      </c>
      <c r="G8" s="14">
        <v>41625.0</v>
      </c>
      <c r="H8" s="16">
        <v>41627.0</v>
      </c>
      <c r="I8" s="9" t="s">
        <v>32</v>
      </c>
    </row>
    <row r="9" ht="27.0" hidden="1" customHeight="1">
      <c r="A9" s="6" t="s">
        <v>33</v>
      </c>
      <c r="B9" s="12" t="s">
        <v>21</v>
      </c>
      <c r="C9" s="12">
        <v>413.0</v>
      </c>
      <c r="D9" s="6" t="s">
        <v>34</v>
      </c>
      <c r="E9" s="13" t="s">
        <v>35</v>
      </c>
      <c r="F9" s="14">
        <v>41622.0</v>
      </c>
      <c r="G9" s="16">
        <v>41646.0</v>
      </c>
      <c r="H9" s="16">
        <v>42004.0</v>
      </c>
      <c r="I9" s="17" t="s">
        <v>36</v>
      </c>
    </row>
    <row r="10" ht="27.0" hidden="1" customHeight="1">
      <c r="A10" s="6">
        <v>27673.0</v>
      </c>
      <c r="B10" s="12" t="s">
        <v>25</v>
      </c>
      <c r="C10" s="12">
        <v>1280.0</v>
      </c>
      <c r="D10" s="6" t="s">
        <v>37</v>
      </c>
      <c r="E10" s="13" t="s">
        <v>38</v>
      </c>
      <c r="F10" s="14">
        <v>41619.0</v>
      </c>
      <c r="G10" s="14">
        <v>41618.0</v>
      </c>
      <c r="H10" s="16">
        <v>41627.0</v>
      </c>
      <c r="I10" s="9" t="s">
        <v>39</v>
      </c>
    </row>
    <row r="11" ht="27.0" hidden="1" customHeight="1">
      <c r="A11" s="6">
        <v>27166.0</v>
      </c>
      <c r="B11" s="12" t="s">
        <v>14</v>
      </c>
      <c r="C11" s="12">
        <v>1634.0</v>
      </c>
      <c r="D11" s="6" t="s">
        <v>40</v>
      </c>
      <c r="E11" s="13" t="s">
        <v>41</v>
      </c>
      <c r="F11" s="14">
        <v>41619.0</v>
      </c>
      <c r="G11" s="14">
        <v>41618.0</v>
      </c>
      <c r="H11" s="14">
        <v>41625.0</v>
      </c>
      <c r="I11" s="9" t="s">
        <v>42</v>
      </c>
    </row>
    <row r="12" ht="27.0" hidden="1" customHeight="1">
      <c r="A12" s="6">
        <v>27378.0</v>
      </c>
      <c r="B12" s="12" t="s">
        <v>21</v>
      </c>
      <c r="C12" s="12">
        <v>765.0</v>
      </c>
      <c r="D12" s="6" t="s">
        <v>43</v>
      </c>
      <c r="E12" s="13" t="s">
        <v>44</v>
      </c>
      <c r="F12" s="14">
        <v>41618.0</v>
      </c>
      <c r="G12" s="14">
        <v>41617.0</v>
      </c>
      <c r="H12" s="16">
        <v>41621.0</v>
      </c>
      <c r="I12" s="9" t="s">
        <v>45</v>
      </c>
    </row>
    <row r="13" ht="27.0" hidden="1" customHeight="1">
      <c r="A13" s="6">
        <v>27685.0</v>
      </c>
      <c r="B13" s="12" t="s">
        <v>21</v>
      </c>
      <c r="C13" s="12">
        <v>1280.0</v>
      </c>
      <c r="D13" s="6" t="s">
        <v>46</v>
      </c>
      <c r="E13" s="13" t="s">
        <v>38</v>
      </c>
      <c r="F13" s="14">
        <v>41618.0</v>
      </c>
      <c r="G13" s="14">
        <v>41620.0</v>
      </c>
      <c r="H13" s="14">
        <v>41626.0</v>
      </c>
      <c r="I13" s="17" t="s">
        <v>47</v>
      </c>
    </row>
    <row r="14" ht="27.0" hidden="1" customHeight="1">
      <c r="A14" s="6">
        <v>27609.0</v>
      </c>
      <c r="B14" s="12" t="s">
        <v>21</v>
      </c>
      <c r="C14" s="12">
        <v>926.0</v>
      </c>
      <c r="D14" s="6" t="s">
        <v>48</v>
      </c>
      <c r="E14" s="13" t="s">
        <v>49</v>
      </c>
      <c r="F14" s="14">
        <v>41617.0</v>
      </c>
      <c r="G14" s="14">
        <v>41614.0</v>
      </c>
      <c r="H14" s="14">
        <v>41625.0</v>
      </c>
      <c r="I14" s="17" t="s">
        <v>50</v>
      </c>
    </row>
    <row r="15" ht="27.0" hidden="1" customHeight="1">
      <c r="A15" s="6">
        <v>27163.0</v>
      </c>
      <c r="B15" s="12" t="s">
        <v>25</v>
      </c>
      <c r="C15" s="12">
        <v>1634.0</v>
      </c>
      <c r="D15" s="6" t="s">
        <v>51</v>
      </c>
      <c r="E15" s="13" t="s">
        <v>52</v>
      </c>
      <c r="F15" s="14">
        <v>41617.0</v>
      </c>
      <c r="G15" s="14">
        <v>41617.0</v>
      </c>
      <c r="H15" s="14">
        <v>41619.0</v>
      </c>
      <c r="I15" s="9" t="s">
        <v>53</v>
      </c>
    </row>
    <row r="16" ht="27.0" hidden="1" customHeight="1">
      <c r="A16" s="6">
        <v>27379.0</v>
      </c>
      <c r="B16" s="12" t="s">
        <v>21</v>
      </c>
      <c r="C16" s="12">
        <v>2227.0</v>
      </c>
      <c r="D16" s="6" t="s">
        <v>54</v>
      </c>
      <c r="E16" s="13" t="s">
        <v>16</v>
      </c>
      <c r="F16" s="14">
        <v>41616.0</v>
      </c>
      <c r="G16" s="14">
        <v>41614.0</v>
      </c>
      <c r="H16" s="14">
        <v>41621.0</v>
      </c>
      <c r="I16" s="9" t="s">
        <v>55</v>
      </c>
    </row>
    <row r="17" ht="13.5" hidden="1" customHeight="1">
      <c r="A17" s="6">
        <v>27633.0</v>
      </c>
      <c r="B17" s="12" t="s">
        <v>14</v>
      </c>
      <c r="C17" s="12">
        <v>1280.0</v>
      </c>
      <c r="D17" s="6" t="s">
        <v>56</v>
      </c>
      <c r="E17" s="13" t="s">
        <v>38</v>
      </c>
      <c r="F17" s="14">
        <v>41613.0</v>
      </c>
      <c r="G17" s="14">
        <v>41613.0</v>
      </c>
      <c r="H17" s="16">
        <v>41621.0</v>
      </c>
      <c r="I17" s="9" t="s">
        <v>57</v>
      </c>
    </row>
    <row r="18" ht="13.5" hidden="1" customHeight="1">
      <c r="A18" s="6">
        <v>27446.0</v>
      </c>
      <c r="B18" s="12" t="s">
        <v>21</v>
      </c>
      <c r="C18" s="12">
        <v>304.0</v>
      </c>
      <c r="D18" s="6" t="s">
        <v>58</v>
      </c>
      <c r="E18" s="13" t="s">
        <v>59</v>
      </c>
      <c r="F18" s="14">
        <v>41611.0</v>
      </c>
      <c r="G18" s="14">
        <v>41613.0</v>
      </c>
      <c r="H18" s="14">
        <v>41614.0</v>
      </c>
      <c r="I18" s="9" t="s">
        <v>60</v>
      </c>
    </row>
    <row r="19" ht="13.5" hidden="1" customHeight="1">
      <c r="A19" s="6">
        <v>26993.0</v>
      </c>
      <c r="B19" s="12" t="s">
        <v>21</v>
      </c>
      <c r="C19" s="12">
        <v>1134.0</v>
      </c>
      <c r="D19" s="6" t="s">
        <v>61</v>
      </c>
      <c r="E19" s="13" t="s">
        <v>62</v>
      </c>
      <c r="F19" s="14">
        <v>41609.0</v>
      </c>
      <c r="G19" s="14">
        <v>41605.0</v>
      </c>
      <c r="H19" s="14">
        <v>41617.0</v>
      </c>
      <c r="I19" s="9" t="s">
        <v>63</v>
      </c>
    </row>
    <row r="20" ht="13.5" hidden="1" customHeight="1">
      <c r="A20" s="6">
        <v>27165.0</v>
      </c>
      <c r="B20" s="12" t="s">
        <v>14</v>
      </c>
      <c r="C20" s="12">
        <v>1662.0</v>
      </c>
      <c r="D20" s="6" t="s">
        <v>64</v>
      </c>
      <c r="E20" s="13" t="s">
        <v>65</v>
      </c>
      <c r="F20" s="14">
        <v>41608.0</v>
      </c>
      <c r="G20" s="14">
        <v>41600.0</v>
      </c>
      <c r="H20" s="14">
        <v>41604.0</v>
      </c>
      <c r="I20" s="13" t="s">
        <v>66</v>
      </c>
    </row>
    <row r="21" ht="27.0" hidden="1" customHeight="1">
      <c r="A21" s="6">
        <v>27566.0</v>
      </c>
      <c r="B21" s="12" t="s">
        <v>21</v>
      </c>
      <c r="C21" s="12">
        <v>445.0</v>
      </c>
      <c r="D21" s="6" t="s">
        <v>67</v>
      </c>
      <c r="E21" s="13" t="s">
        <v>68</v>
      </c>
      <c r="F21" s="14">
        <v>41607.0</v>
      </c>
      <c r="G21" s="14">
        <v>41611.0</v>
      </c>
      <c r="H21" s="14">
        <v>41618.0</v>
      </c>
      <c r="I21" s="9" t="s">
        <v>69</v>
      </c>
    </row>
    <row r="22" ht="13.5" hidden="1" customHeight="1">
      <c r="A22" s="6">
        <v>27580.0</v>
      </c>
      <c r="B22" s="12" t="s">
        <v>14</v>
      </c>
      <c r="C22" s="12">
        <v>850.0</v>
      </c>
      <c r="D22" s="6" t="s">
        <v>70</v>
      </c>
      <c r="E22" s="13" t="s">
        <v>71</v>
      </c>
      <c r="F22" s="14">
        <v>41607.0</v>
      </c>
      <c r="G22" s="14">
        <v>41605.0</v>
      </c>
      <c r="H22" s="14">
        <v>41614.0</v>
      </c>
      <c r="I22" s="13" t="s">
        <v>72</v>
      </c>
    </row>
    <row r="23" ht="13.5" hidden="1" customHeight="1">
      <c r="A23" s="6">
        <v>27162.0</v>
      </c>
      <c r="B23" s="12" t="s">
        <v>25</v>
      </c>
      <c r="C23" s="12">
        <v>1484.0</v>
      </c>
      <c r="D23" s="6" t="s">
        <v>73</v>
      </c>
      <c r="E23" s="13" t="s">
        <v>74</v>
      </c>
      <c r="F23" s="14">
        <v>41606.0</v>
      </c>
      <c r="G23" s="14">
        <v>41604.0</v>
      </c>
      <c r="H23" s="16">
        <v>41614.0</v>
      </c>
      <c r="I23" s="18" t="s">
        <v>75</v>
      </c>
    </row>
    <row r="24" ht="13.5" hidden="1" customHeight="1">
      <c r="A24" s="6">
        <v>27581.0</v>
      </c>
      <c r="B24" s="12" t="s">
        <v>21</v>
      </c>
      <c r="C24" s="12">
        <v>482.0</v>
      </c>
      <c r="D24" s="6" t="s">
        <v>76</v>
      </c>
      <c r="E24" s="13" t="s">
        <v>77</v>
      </c>
      <c r="F24" s="14">
        <v>41602.0</v>
      </c>
      <c r="G24" s="14">
        <v>41600.0</v>
      </c>
      <c r="H24" s="14">
        <v>41611.0</v>
      </c>
      <c r="I24" s="18" t="s">
        <v>78</v>
      </c>
    </row>
    <row r="25" ht="13.5" hidden="1" customHeight="1">
      <c r="A25" s="6">
        <v>27158.0</v>
      </c>
      <c r="B25" s="12" t="s">
        <v>21</v>
      </c>
      <c r="C25" s="12">
        <v>1781.0</v>
      </c>
      <c r="D25" s="6" t="s">
        <v>79</v>
      </c>
      <c r="E25" s="13" t="s">
        <v>74</v>
      </c>
      <c r="F25" s="14">
        <v>41601.0</v>
      </c>
      <c r="G25" s="14">
        <v>41605.0</v>
      </c>
      <c r="H25" s="16">
        <v>41617.0</v>
      </c>
      <c r="I25" s="13" t="s">
        <v>80</v>
      </c>
    </row>
    <row r="26" ht="13.5" hidden="1" customHeight="1">
      <c r="A26" s="6">
        <v>27577.0</v>
      </c>
      <c r="B26" s="12" t="s">
        <v>14</v>
      </c>
      <c r="C26" s="12">
        <v>592.0</v>
      </c>
      <c r="D26" s="6" t="s">
        <v>81</v>
      </c>
      <c r="E26" s="13" t="s">
        <v>82</v>
      </c>
      <c r="F26" s="14">
        <v>41598.0</v>
      </c>
      <c r="G26" s="14">
        <v>41604.0</v>
      </c>
      <c r="H26" s="14">
        <v>41617.0</v>
      </c>
      <c r="I26" s="13" t="s">
        <v>83</v>
      </c>
    </row>
    <row r="27" ht="13.5" hidden="1" customHeight="1">
      <c r="A27" s="6">
        <v>27369.0</v>
      </c>
      <c r="B27" s="12" t="s">
        <v>25</v>
      </c>
      <c r="C27" s="12">
        <v>515.0</v>
      </c>
      <c r="D27" s="6" t="s">
        <v>84</v>
      </c>
      <c r="E27" s="13" t="s">
        <v>85</v>
      </c>
      <c r="F27" s="14">
        <v>41598.0</v>
      </c>
      <c r="G27" s="14">
        <v>41597.0</v>
      </c>
      <c r="H27" s="14">
        <v>41605.0</v>
      </c>
      <c r="I27" s="9" t="s">
        <v>86</v>
      </c>
    </row>
    <row r="28" ht="13.5" hidden="1" customHeight="1">
      <c r="A28" s="6" t="s">
        <v>87</v>
      </c>
      <c r="B28" s="12" t="s">
        <v>21</v>
      </c>
      <c r="C28" s="12">
        <v>1.0</v>
      </c>
      <c r="D28" s="6" t="s">
        <v>88</v>
      </c>
      <c r="E28" s="13" t="s">
        <v>89</v>
      </c>
      <c r="F28" s="14">
        <v>41596.0</v>
      </c>
      <c r="G28" s="4" t="s">
        <v>28</v>
      </c>
      <c r="H28" s="14">
        <v>41600.0</v>
      </c>
      <c r="I28" s="9" t="s">
        <v>90</v>
      </c>
    </row>
    <row r="29" ht="13.5" hidden="1" customHeight="1">
      <c r="A29" s="6">
        <v>27579.0</v>
      </c>
      <c r="B29" s="12" t="s">
        <v>25</v>
      </c>
      <c r="C29" s="12">
        <v>1250.0</v>
      </c>
      <c r="D29" s="6" t="s">
        <v>91</v>
      </c>
      <c r="E29" s="13" t="s">
        <v>92</v>
      </c>
      <c r="F29" s="14">
        <v>41594.0</v>
      </c>
      <c r="G29" s="14">
        <v>41592.0</v>
      </c>
      <c r="H29" s="14">
        <v>41598.0</v>
      </c>
      <c r="I29" s="13" t="s">
        <v>93</v>
      </c>
    </row>
    <row r="30" ht="13.5" hidden="1" customHeight="1">
      <c r="A30" s="6">
        <v>27188.0</v>
      </c>
      <c r="B30" s="12" t="s">
        <v>14</v>
      </c>
      <c r="C30" s="12">
        <v>1991.0</v>
      </c>
      <c r="D30" s="6" t="s">
        <v>94</v>
      </c>
      <c r="E30" s="19" t="s">
        <v>95</v>
      </c>
      <c r="F30" s="14">
        <v>41594.0</v>
      </c>
      <c r="G30" s="14">
        <v>41592.0</v>
      </c>
      <c r="H30" s="14">
        <v>41597.0</v>
      </c>
      <c r="I30" s="9" t="s">
        <v>96</v>
      </c>
    </row>
    <row r="31" ht="13.5" customHeight="1">
      <c r="A31" s="6">
        <v>27060.0</v>
      </c>
      <c r="B31" s="12" t="s">
        <v>14</v>
      </c>
      <c r="C31" s="12">
        <v>60.0</v>
      </c>
      <c r="D31" s="6" t="s">
        <v>97</v>
      </c>
      <c r="E31" s="13" t="s">
        <v>98</v>
      </c>
      <c r="F31" s="14">
        <v>41593.0</v>
      </c>
      <c r="G31" s="14">
        <v>41603.0</v>
      </c>
      <c r="H31" s="14">
        <v>41598.0</v>
      </c>
      <c r="I31" s="19" t="s">
        <v>99</v>
      </c>
    </row>
    <row r="32" ht="13.5" hidden="1" customHeight="1">
      <c r="A32" s="6" t="s">
        <v>100</v>
      </c>
      <c r="B32" s="12" t="s">
        <v>14</v>
      </c>
      <c r="C32" s="12">
        <v>2460.0</v>
      </c>
      <c r="D32" s="6" t="s">
        <v>101</v>
      </c>
      <c r="E32" s="13" t="s">
        <v>102</v>
      </c>
      <c r="F32" s="14">
        <v>41592.0</v>
      </c>
      <c r="G32" s="14">
        <v>41591.0</v>
      </c>
      <c r="H32" s="14">
        <v>41598.0</v>
      </c>
      <c r="I32" s="13" t="s">
        <v>103</v>
      </c>
    </row>
    <row r="33" ht="13.5" hidden="1" customHeight="1">
      <c r="A33" s="6" t="s">
        <v>33</v>
      </c>
      <c r="B33" s="12" t="s">
        <v>21</v>
      </c>
      <c r="C33" s="12">
        <v>46.0</v>
      </c>
      <c r="D33" s="6" t="s">
        <v>104</v>
      </c>
      <c r="E33" s="13" t="s">
        <v>105</v>
      </c>
      <c r="F33" s="14">
        <v>41589.0</v>
      </c>
      <c r="G33" s="14">
        <v>41592.0</v>
      </c>
      <c r="H33" s="14">
        <v>41597.0</v>
      </c>
      <c r="I33" s="9" t="s">
        <v>106</v>
      </c>
    </row>
    <row r="34" ht="13.5" hidden="1" customHeight="1">
      <c r="A34" s="6">
        <v>27574.0</v>
      </c>
      <c r="B34" s="12" t="s">
        <v>21</v>
      </c>
      <c r="C34" s="12">
        <v>500.0</v>
      </c>
      <c r="D34" s="6" t="s">
        <v>107</v>
      </c>
      <c r="E34" s="13" t="s">
        <v>108</v>
      </c>
      <c r="F34" s="14">
        <v>41586.0</v>
      </c>
      <c r="G34" s="16">
        <v>41631.0</v>
      </c>
      <c r="H34" s="14">
        <v>41596.0</v>
      </c>
      <c r="I34" s="17" t="s">
        <v>109</v>
      </c>
    </row>
    <row r="35" ht="13.5" hidden="1" customHeight="1">
      <c r="A35" s="6">
        <v>27438.0</v>
      </c>
      <c r="B35" s="12" t="s">
        <v>21</v>
      </c>
      <c r="C35" s="12">
        <v>26.0</v>
      </c>
      <c r="D35" s="6" t="s">
        <v>110</v>
      </c>
      <c r="E35" s="13" t="s">
        <v>111</v>
      </c>
      <c r="F35" s="14">
        <v>41583.0</v>
      </c>
      <c r="G35" s="14">
        <v>41583.0</v>
      </c>
      <c r="H35" s="14">
        <v>41591.0</v>
      </c>
      <c r="I35" s="13" t="s">
        <v>112</v>
      </c>
    </row>
    <row r="36" ht="13.5" hidden="1" customHeight="1">
      <c r="A36" s="6">
        <v>27544.0</v>
      </c>
      <c r="B36" s="12" t="s">
        <v>14</v>
      </c>
      <c r="C36" s="12">
        <v>1250.0</v>
      </c>
      <c r="D36" s="6" t="s">
        <v>113</v>
      </c>
      <c r="E36" s="13" t="s">
        <v>114</v>
      </c>
      <c r="F36" s="14">
        <v>41582.0</v>
      </c>
      <c r="G36" s="14">
        <v>41582.0</v>
      </c>
      <c r="H36" s="14">
        <v>41589.0</v>
      </c>
      <c r="I36" s="13" t="s">
        <v>115</v>
      </c>
    </row>
    <row r="37" ht="13.5" hidden="1" customHeight="1">
      <c r="A37" s="6">
        <v>27285.0</v>
      </c>
      <c r="B37" s="12" t="s">
        <v>14</v>
      </c>
      <c r="C37" s="12">
        <v>1453.0</v>
      </c>
      <c r="D37" s="6" t="s">
        <v>116</v>
      </c>
      <c r="E37" s="13" t="s">
        <v>117</v>
      </c>
      <c r="F37" s="14">
        <v>41581.0</v>
      </c>
      <c r="G37" s="14">
        <v>41586.0</v>
      </c>
      <c r="H37" s="14">
        <v>41590.0</v>
      </c>
      <c r="I37" s="13" t="s">
        <v>118</v>
      </c>
    </row>
    <row r="38" ht="13.5" hidden="1" customHeight="1">
      <c r="A38" s="6">
        <v>27471.0</v>
      </c>
      <c r="B38" s="12" t="s">
        <v>21</v>
      </c>
      <c r="C38" s="12">
        <v>1044.0</v>
      </c>
      <c r="D38" s="6" t="s">
        <v>119</v>
      </c>
      <c r="E38" s="13" t="s">
        <v>102</v>
      </c>
      <c r="F38" s="14">
        <v>41578.0</v>
      </c>
      <c r="G38" s="14">
        <v>41576.0</v>
      </c>
      <c r="H38" s="14">
        <v>41584.0</v>
      </c>
      <c r="I38" s="13" t="s">
        <v>120</v>
      </c>
    </row>
    <row r="39" ht="13.5" hidden="1" customHeight="1">
      <c r="A39" s="6">
        <v>27353.0</v>
      </c>
      <c r="B39" s="12" t="s">
        <v>21</v>
      </c>
      <c r="C39" s="12">
        <v>740.0</v>
      </c>
      <c r="D39" s="6" t="s">
        <v>121</v>
      </c>
      <c r="E39" s="13" t="s">
        <v>122</v>
      </c>
      <c r="F39" s="14">
        <v>41577.0</v>
      </c>
      <c r="G39" s="14">
        <v>41576.0</v>
      </c>
      <c r="H39" s="14">
        <v>41582.0</v>
      </c>
      <c r="I39" s="13" t="s">
        <v>123</v>
      </c>
    </row>
    <row r="40" ht="13.5" hidden="1" customHeight="1">
      <c r="A40" s="6" t="s">
        <v>124</v>
      </c>
      <c r="B40" s="12" t="s">
        <v>21</v>
      </c>
      <c r="C40" s="12">
        <v>33.0</v>
      </c>
      <c r="D40" s="6" t="s">
        <v>125</v>
      </c>
      <c r="E40" s="13" t="s">
        <v>126</v>
      </c>
      <c r="F40" s="14">
        <v>41575.0</v>
      </c>
      <c r="G40" s="4" t="s">
        <v>28</v>
      </c>
      <c r="H40" s="14">
        <v>41592.0</v>
      </c>
      <c r="I40" s="17" t="s">
        <v>127</v>
      </c>
    </row>
    <row r="41" ht="13.5" hidden="1" customHeight="1">
      <c r="A41" s="6">
        <v>27292.0</v>
      </c>
      <c r="B41" s="12" t="s">
        <v>14</v>
      </c>
      <c r="C41" s="12">
        <v>1000.0</v>
      </c>
      <c r="D41" s="6" t="s">
        <v>128</v>
      </c>
      <c r="E41" s="13" t="s">
        <v>129</v>
      </c>
      <c r="F41" s="14">
        <v>41575.0</v>
      </c>
      <c r="G41" s="14">
        <v>41585.0</v>
      </c>
      <c r="H41" s="14">
        <v>41586.0</v>
      </c>
      <c r="I41" s="13" t="s">
        <v>130</v>
      </c>
    </row>
    <row r="42" ht="13.5" hidden="1" customHeight="1">
      <c r="A42" s="6">
        <v>26992.0</v>
      </c>
      <c r="B42" s="12" t="s">
        <v>14</v>
      </c>
      <c r="C42" s="12">
        <v>1134.0</v>
      </c>
      <c r="D42" s="6" t="s">
        <v>131</v>
      </c>
      <c r="E42" s="13" t="s">
        <v>62</v>
      </c>
      <c r="F42" s="14">
        <v>41575.0</v>
      </c>
      <c r="G42" s="14">
        <v>41571.0</v>
      </c>
      <c r="H42" s="14">
        <v>41582.0</v>
      </c>
      <c r="I42" s="9" t="s">
        <v>132</v>
      </c>
    </row>
    <row r="43" ht="12.75" hidden="1" customHeight="1">
      <c r="A43" s="6">
        <v>27296.0</v>
      </c>
      <c r="B43" s="12" t="s">
        <v>21</v>
      </c>
      <c r="C43" s="12">
        <v>515.0</v>
      </c>
      <c r="D43" s="6" t="s">
        <v>133</v>
      </c>
      <c r="E43" s="13" t="s">
        <v>85</v>
      </c>
      <c r="F43" s="14">
        <v>41571.0</v>
      </c>
      <c r="G43" s="14">
        <v>41568.0</v>
      </c>
      <c r="H43" s="14">
        <v>41578.0</v>
      </c>
      <c r="I43" s="13" t="s">
        <v>134</v>
      </c>
    </row>
    <row r="44" ht="12.75" hidden="1" customHeight="1">
      <c r="A44" s="6" t="s">
        <v>33</v>
      </c>
      <c r="B44" s="12" t="s">
        <v>21</v>
      </c>
      <c r="C44" s="12">
        <v>39.0</v>
      </c>
      <c r="D44" s="6" t="s">
        <v>135</v>
      </c>
      <c r="E44" s="13" t="s">
        <v>136</v>
      </c>
      <c r="F44" s="14">
        <v>41568.0</v>
      </c>
      <c r="G44" s="4" t="s">
        <v>28</v>
      </c>
      <c r="H44" s="14">
        <v>41577.0</v>
      </c>
      <c r="I44" s="13" t="s">
        <v>137</v>
      </c>
    </row>
    <row r="45" ht="12.75" hidden="1" customHeight="1">
      <c r="A45" s="6">
        <v>27059.0</v>
      </c>
      <c r="B45" s="12" t="s">
        <v>21</v>
      </c>
      <c r="C45" s="12">
        <v>113.0</v>
      </c>
      <c r="D45" s="6" t="s">
        <v>138</v>
      </c>
      <c r="E45" s="13" t="s">
        <v>139</v>
      </c>
      <c r="F45" s="14">
        <v>41561.0</v>
      </c>
      <c r="G45" s="14">
        <v>41564.0</v>
      </c>
      <c r="H45" s="14">
        <v>41569.0</v>
      </c>
      <c r="I45" s="13" t="s">
        <v>140</v>
      </c>
    </row>
    <row r="46" ht="12.75" hidden="1" customHeight="1">
      <c r="A46" s="6">
        <v>27059.0</v>
      </c>
      <c r="B46" s="12" t="s">
        <v>21</v>
      </c>
      <c r="C46" s="12">
        <v>113.0</v>
      </c>
      <c r="D46" s="6" t="s">
        <v>138</v>
      </c>
      <c r="E46" s="13" t="s">
        <v>139</v>
      </c>
      <c r="F46" s="14">
        <v>41561.0</v>
      </c>
      <c r="G46" s="14">
        <v>40468.0</v>
      </c>
      <c r="H46" s="14">
        <v>41569.0</v>
      </c>
      <c r="I46" s="13" t="s">
        <v>141</v>
      </c>
    </row>
    <row r="47" ht="12.75" hidden="1" customHeight="1">
      <c r="A47" s="6">
        <v>27157.0</v>
      </c>
      <c r="B47" s="12" t="s">
        <v>21</v>
      </c>
      <c r="C47" s="12">
        <v>1712.0</v>
      </c>
      <c r="D47" s="6" t="s">
        <v>142</v>
      </c>
      <c r="E47" s="13" t="s">
        <v>143</v>
      </c>
      <c r="F47" s="14">
        <v>41560.0</v>
      </c>
      <c r="G47" s="14">
        <v>41557.0</v>
      </c>
      <c r="H47" s="14">
        <v>41564.0</v>
      </c>
      <c r="I47" s="13" t="s">
        <v>144</v>
      </c>
    </row>
    <row r="48" ht="12.75" hidden="1" customHeight="1">
      <c r="A48" s="6">
        <v>27161.0</v>
      </c>
      <c r="B48" s="12" t="s">
        <v>25</v>
      </c>
      <c r="C48" s="12">
        <v>1546.0</v>
      </c>
      <c r="D48" s="6" t="s">
        <v>145</v>
      </c>
      <c r="E48" s="13" t="s">
        <v>146</v>
      </c>
      <c r="F48" s="14">
        <v>41560.0</v>
      </c>
      <c r="G48" s="14">
        <v>41558.0</v>
      </c>
      <c r="H48" s="14">
        <v>41562.0</v>
      </c>
      <c r="I48" s="13" t="s">
        <v>147</v>
      </c>
    </row>
    <row r="49" ht="12.75" hidden="1" customHeight="1">
      <c r="A49" s="6">
        <v>27164.0</v>
      </c>
      <c r="B49" s="12" t="s">
        <v>14</v>
      </c>
      <c r="C49" s="12">
        <v>1614.0</v>
      </c>
      <c r="D49" s="6" t="s">
        <v>148</v>
      </c>
      <c r="E49" s="13" t="s">
        <v>149</v>
      </c>
      <c r="F49" s="14">
        <v>41559.0</v>
      </c>
      <c r="G49" s="14">
        <v>41558.0</v>
      </c>
      <c r="H49" s="14">
        <v>41563.0</v>
      </c>
      <c r="I49" s="13" t="s">
        <v>150</v>
      </c>
    </row>
    <row r="50" ht="12.75" hidden="1" customHeight="1">
      <c r="A50" s="6">
        <v>27432.0</v>
      </c>
      <c r="B50" s="12" t="s">
        <v>21</v>
      </c>
      <c r="C50" s="12">
        <v>555.0</v>
      </c>
      <c r="D50" s="6" t="s">
        <v>151</v>
      </c>
      <c r="E50" s="13" t="s">
        <v>152</v>
      </c>
      <c r="F50" s="14">
        <v>41558.0</v>
      </c>
      <c r="G50" s="14">
        <v>41556.0</v>
      </c>
      <c r="H50" s="14">
        <v>41565.0</v>
      </c>
      <c r="I50" s="13" t="s">
        <v>153</v>
      </c>
    </row>
    <row r="51" ht="12.75" hidden="1" customHeight="1">
      <c r="A51" s="6">
        <v>27219.0</v>
      </c>
      <c r="B51" s="12" t="s">
        <v>25</v>
      </c>
      <c r="C51" s="12">
        <v>2227.0</v>
      </c>
      <c r="D51" s="6" t="s">
        <v>154</v>
      </c>
      <c r="E51" s="13" t="s">
        <v>16</v>
      </c>
      <c r="F51" s="14">
        <v>41555.0</v>
      </c>
      <c r="G51" s="14">
        <v>41558.0</v>
      </c>
      <c r="H51" s="14">
        <v>41562.0</v>
      </c>
      <c r="I51" s="13" t="s">
        <v>155</v>
      </c>
    </row>
    <row r="52" ht="12.75" hidden="1" customHeight="1">
      <c r="A52" s="6">
        <v>27469.0</v>
      </c>
      <c r="B52" s="12" t="s">
        <v>25</v>
      </c>
      <c r="C52" s="12">
        <v>1280.0</v>
      </c>
      <c r="D52" s="6" t="s">
        <v>156</v>
      </c>
      <c r="E52" s="13" t="s">
        <v>157</v>
      </c>
      <c r="F52" s="14">
        <v>41555.0</v>
      </c>
      <c r="G52" s="14">
        <v>41558.0</v>
      </c>
      <c r="H52" s="14">
        <v>41561.0</v>
      </c>
      <c r="I52" s="13" t="s">
        <v>158</v>
      </c>
    </row>
    <row r="53" ht="12.75" hidden="1" customHeight="1">
      <c r="A53" s="6">
        <v>27331.0</v>
      </c>
      <c r="B53" s="12" t="s">
        <v>21</v>
      </c>
      <c r="C53" s="12">
        <v>9.0</v>
      </c>
      <c r="D53" s="6" t="s">
        <v>159</v>
      </c>
      <c r="E53" s="13" t="s">
        <v>160</v>
      </c>
      <c r="F53" s="14">
        <v>41545.0</v>
      </c>
      <c r="G53" s="14">
        <v>41547.0</v>
      </c>
      <c r="H53" s="14">
        <v>41555.0</v>
      </c>
      <c r="I53" s="13" t="s">
        <v>161</v>
      </c>
    </row>
    <row r="54" ht="12.75" hidden="1" customHeight="1">
      <c r="A54" s="6">
        <v>27382.0</v>
      </c>
      <c r="B54" s="12" t="s">
        <v>21</v>
      </c>
      <c r="C54" s="12">
        <v>450.0</v>
      </c>
      <c r="D54" s="6" t="s">
        <v>162</v>
      </c>
      <c r="E54" s="13" t="s">
        <v>163</v>
      </c>
      <c r="F54" s="16">
        <v>41545.0</v>
      </c>
      <c r="G54" s="14">
        <v>41550.0</v>
      </c>
      <c r="H54" s="14">
        <v>41550.0</v>
      </c>
      <c r="I54" s="13" t="s">
        <v>164</v>
      </c>
    </row>
    <row r="55" ht="12.75" hidden="1" customHeight="1">
      <c r="A55" s="6">
        <v>27397.0</v>
      </c>
      <c r="B55" s="12" t="s">
        <v>21</v>
      </c>
      <c r="C55" s="12">
        <v>450.0</v>
      </c>
      <c r="D55" s="6" t="s">
        <v>165</v>
      </c>
      <c r="E55" s="13" t="s">
        <v>56</v>
      </c>
      <c r="F55" s="14">
        <v>41544.0</v>
      </c>
      <c r="G55" s="14">
        <v>41541.0</v>
      </c>
      <c r="H55" s="14">
        <v>41550.0</v>
      </c>
      <c r="I55" s="13" t="s">
        <v>166</v>
      </c>
    </row>
    <row r="56" ht="12.75" hidden="1" customHeight="1">
      <c r="A56" s="6">
        <v>27343.0</v>
      </c>
      <c r="B56" s="12" t="s">
        <v>14</v>
      </c>
      <c r="C56" s="12">
        <v>1130.0</v>
      </c>
      <c r="D56" s="20" t="s">
        <v>167</v>
      </c>
      <c r="E56" s="13" t="s">
        <v>168</v>
      </c>
      <c r="F56" s="14">
        <v>41541.0</v>
      </c>
      <c r="G56" s="14">
        <v>41540.0</v>
      </c>
      <c r="H56" s="14">
        <v>41547.0</v>
      </c>
      <c r="I56" s="13" t="s">
        <v>169</v>
      </c>
    </row>
    <row r="57" ht="12.75" hidden="1" customHeight="1">
      <c r="A57" s="6">
        <v>27187.0</v>
      </c>
      <c r="B57" s="12" t="s">
        <v>14</v>
      </c>
      <c r="C57" s="12">
        <v>1991.0</v>
      </c>
      <c r="D57" s="6" t="s">
        <v>170</v>
      </c>
      <c r="E57" s="13" t="s">
        <v>171</v>
      </c>
      <c r="F57" s="14">
        <v>41538.0</v>
      </c>
      <c r="G57" s="21">
        <v>41541.0</v>
      </c>
      <c r="H57" s="14">
        <v>41542.0</v>
      </c>
      <c r="I57" s="13" t="s">
        <v>172</v>
      </c>
    </row>
    <row r="58" ht="12.75" hidden="1" customHeight="1">
      <c r="A58" s="6">
        <v>27242.0</v>
      </c>
      <c r="B58" s="12" t="s">
        <v>21</v>
      </c>
      <c r="C58" s="12">
        <v>349.0</v>
      </c>
      <c r="D58" s="6" t="s">
        <v>173</v>
      </c>
      <c r="E58" s="13" t="s">
        <v>59</v>
      </c>
      <c r="F58" s="14">
        <v>41534.0</v>
      </c>
      <c r="G58" s="22">
        <v>41549.0</v>
      </c>
      <c r="H58" s="14">
        <v>41537.0</v>
      </c>
      <c r="I58" s="13" t="s">
        <v>174</v>
      </c>
    </row>
    <row r="59" ht="12.75" hidden="1" customHeight="1">
      <c r="A59" s="6">
        <v>27366.0</v>
      </c>
      <c r="B59" s="12" t="s">
        <v>14</v>
      </c>
      <c r="C59" s="12">
        <v>1214.0</v>
      </c>
      <c r="D59" s="6" t="s">
        <v>175</v>
      </c>
      <c r="E59" s="13" t="s">
        <v>176</v>
      </c>
      <c r="F59" s="14">
        <v>41533.0</v>
      </c>
      <c r="G59" s="14">
        <v>41534.0</v>
      </c>
      <c r="H59" s="14">
        <v>41540.0</v>
      </c>
      <c r="I59" s="13" t="s">
        <v>177</v>
      </c>
    </row>
    <row r="60" ht="12.75" hidden="1" customHeight="1">
      <c r="A60" s="6">
        <v>27352.0</v>
      </c>
      <c r="B60" s="12" t="s">
        <v>21</v>
      </c>
      <c r="C60" s="12">
        <v>42.0</v>
      </c>
      <c r="D60" s="6" t="s">
        <v>178</v>
      </c>
      <c r="E60" s="13" t="s">
        <v>179</v>
      </c>
      <c r="F60" s="14">
        <v>41533.0</v>
      </c>
      <c r="G60" s="4" t="s">
        <v>28</v>
      </c>
      <c r="H60" s="14">
        <v>41540.0</v>
      </c>
      <c r="I60" s="13" t="s">
        <v>180</v>
      </c>
    </row>
    <row r="61" ht="12.75" hidden="1" customHeight="1">
      <c r="A61" s="6">
        <v>27193.0</v>
      </c>
      <c r="B61" s="12" t="s">
        <v>21</v>
      </c>
      <c r="C61" s="12">
        <v>493.0</v>
      </c>
      <c r="D61" s="6" t="s">
        <v>181</v>
      </c>
      <c r="E61" s="13" t="s">
        <v>182</v>
      </c>
      <c r="F61" s="14">
        <v>41533.0</v>
      </c>
      <c r="G61" s="14">
        <v>41536.0</v>
      </c>
      <c r="H61" s="14">
        <v>41537.0</v>
      </c>
      <c r="I61" s="13" t="s">
        <v>183</v>
      </c>
    </row>
    <row r="62" ht="12.75" hidden="1" customHeight="1">
      <c r="A62" s="6">
        <v>27156.0</v>
      </c>
      <c r="B62" s="12" t="s">
        <v>21</v>
      </c>
      <c r="C62" s="12">
        <v>1528.0</v>
      </c>
      <c r="D62" s="6" t="s">
        <v>184</v>
      </c>
      <c r="E62" s="13" t="s">
        <v>149</v>
      </c>
      <c r="F62" s="14">
        <v>41532.0</v>
      </c>
      <c r="G62" s="14">
        <v>41535.0</v>
      </c>
      <c r="H62" s="14">
        <v>41541.0</v>
      </c>
      <c r="I62" s="13" t="s">
        <v>185</v>
      </c>
    </row>
    <row r="63" ht="12.75" hidden="1" customHeight="1">
      <c r="A63" s="6">
        <v>27160.0</v>
      </c>
      <c r="B63" s="12" t="s">
        <v>25</v>
      </c>
      <c r="C63" s="12">
        <v>1466.0</v>
      </c>
      <c r="D63" s="6" t="s">
        <v>186</v>
      </c>
      <c r="E63" s="13" t="s">
        <v>187</v>
      </c>
      <c r="F63" s="14">
        <v>41532.0</v>
      </c>
      <c r="G63" s="14">
        <v>41534.0</v>
      </c>
      <c r="H63" s="14">
        <v>41536.0</v>
      </c>
      <c r="I63" s="13" t="s">
        <v>188</v>
      </c>
    </row>
    <row r="64" ht="12.75" hidden="1" customHeight="1">
      <c r="A64" s="6">
        <v>27367.0</v>
      </c>
      <c r="B64" s="12" t="s">
        <v>21</v>
      </c>
      <c r="C64" s="12">
        <v>1138.0</v>
      </c>
      <c r="D64" s="6" t="s">
        <v>189</v>
      </c>
      <c r="E64" s="13" t="s">
        <v>190</v>
      </c>
      <c r="F64" s="14">
        <v>41527.0</v>
      </c>
      <c r="G64" s="14">
        <v>41523.0</v>
      </c>
      <c r="H64" s="14">
        <v>41533.0</v>
      </c>
      <c r="I64" s="13" t="s">
        <v>191</v>
      </c>
    </row>
    <row r="65" ht="12.75" hidden="1" customHeight="1">
      <c r="A65" s="6" t="s">
        <v>192</v>
      </c>
      <c r="B65" s="12" t="s">
        <v>21</v>
      </c>
      <c r="C65" s="12">
        <v>191.0</v>
      </c>
      <c r="D65" s="6" t="s">
        <v>193</v>
      </c>
      <c r="E65" s="13" t="s">
        <v>194</v>
      </c>
      <c r="F65" s="14">
        <v>41526.0</v>
      </c>
      <c r="G65" s="4" t="s">
        <v>28</v>
      </c>
      <c r="H65" s="23">
        <v>41533.0</v>
      </c>
      <c r="I65" s="13" t="s">
        <v>195</v>
      </c>
    </row>
    <row r="66" ht="12.75" hidden="1" customHeight="1">
      <c r="A66" s="6">
        <v>27372.0</v>
      </c>
      <c r="B66" s="12" t="s">
        <v>21</v>
      </c>
      <c r="C66" s="12">
        <v>1139.0</v>
      </c>
      <c r="D66" s="6" t="s">
        <v>196</v>
      </c>
      <c r="E66" s="13" t="s">
        <v>197</v>
      </c>
      <c r="F66" s="14">
        <v>41518.0</v>
      </c>
      <c r="G66" s="14">
        <v>41515.0</v>
      </c>
      <c r="H66" s="14">
        <v>41526.0</v>
      </c>
      <c r="I66" s="13" t="s">
        <v>198</v>
      </c>
    </row>
    <row r="67" ht="13.5" hidden="1" customHeight="1">
      <c r="A67" s="6">
        <v>27108.0</v>
      </c>
      <c r="B67" s="12" t="s">
        <v>21</v>
      </c>
      <c r="C67" s="12">
        <v>1778.0</v>
      </c>
      <c r="D67" s="6" t="s">
        <v>199</v>
      </c>
      <c r="E67" s="13" t="s">
        <v>200</v>
      </c>
      <c r="F67" s="14">
        <v>41518.0</v>
      </c>
      <c r="G67" s="14">
        <v>41516.0</v>
      </c>
      <c r="H67" s="14">
        <v>41522.0</v>
      </c>
      <c r="I67" s="13" t="s">
        <v>201</v>
      </c>
    </row>
    <row r="68" ht="4.5" hidden="1" customHeight="1">
      <c r="A68" s="6">
        <v>27110.0</v>
      </c>
      <c r="B68" s="12" t="s">
        <v>14</v>
      </c>
      <c r="C68" s="12">
        <v>1552.0</v>
      </c>
      <c r="D68" s="6" t="s">
        <v>202</v>
      </c>
      <c r="E68" s="13" t="s">
        <v>203</v>
      </c>
      <c r="F68" s="14">
        <v>41509.0</v>
      </c>
      <c r="G68" s="14">
        <v>41507.0</v>
      </c>
      <c r="H68" s="14">
        <v>41512.0</v>
      </c>
      <c r="I68" s="13" t="s">
        <v>204</v>
      </c>
    </row>
    <row r="69" ht="12.75" hidden="1" customHeight="1">
      <c r="A69" s="6">
        <v>27341.0</v>
      </c>
      <c r="B69" s="12" t="s">
        <v>21</v>
      </c>
      <c r="C69" s="12">
        <v>100.0</v>
      </c>
      <c r="D69" s="6" t="s">
        <v>205</v>
      </c>
      <c r="E69" s="13" t="s">
        <v>206</v>
      </c>
      <c r="F69" s="14">
        <v>41507.0</v>
      </c>
      <c r="G69" s="16">
        <v>41513.0</v>
      </c>
      <c r="H69" s="23">
        <v>41512.0</v>
      </c>
      <c r="I69" s="13" t="s">
        <v>207</v>
      </c>
    </row>
    <row r="70" ht="12.75" hidden="1" customHeight="1">
      <c r="A70" s="6" t="s">
        <v>192</v>
      </c>
      <c r="B70" s="12" t="s">
        <v>21</v>
      </c>
      <c r="C70" s="12">
        <v>73.0</v>
      </c>
      <c r="D70" s="6" t="s">
        <v>208</v>
      </c>
      <c r="E70" s="13" t="s">
        <v>209</v>
      </c>
      <c r="F70" s="14">
        <v>41505.0</v>
      </c>
      <c r="G70" s="4" t="s">
        <v>210</v>
      </c>
      <c r="H70" s="23">
        <v>41509.0</v>
      </c>
      <c r="I70" s="13" t="s">
        <v>211</v>
      </c>
    </row>
    <row r="71" ht="12.75" hidden="1" customHeight="1">
      <c r="A71" s="6">
        <v>27277.0</v>
      </c>
      <c r="B71" s="12" t="s">
        <v>21</v>
      </c>
      <c r="C71" s="12">
        <v>450.0</v>
      </c>
      <c r="D71" s="6" t="s">
        <v>212</v>
      </c>
      <c r="E71" s="24" t="s">
        <v>213</v>
      </c>
      <c r="F71" s="14">
        <v>41503.0</v>
      </c>
      <c r="G71" s="14">
        <v>41500.0</v>
      </c>
      <c r="H71" s="16">
        <v>41512.0</v>
      </c>
      <c r="I71" s="13" t="s">
        <v>214</v>
      </c>
    </row>
    <row r="72" ht="12.75" hidden="1" customHeight="1">
      <c r="A72" s="6">
        <v>27087.0</v>
      </c>
      <c r="B72" s="12" t="s">
        <v>21</v>
      </c>
      <c r="C72" s="12">
        <v>716.0</v>
      </c>
      <c r="D72" s="6" t="s">
        <v>215</v>
      </c>
      <c r="E72" s="13" t="s">
        <v>122</v>
      </c>
      <c r="F72" s="14">
        <v>41503.0</v>
      </c>
      <c r="G72" s="14">
        <v>41507.0</v>
      </c>
      <c r="H72" s="16">
        <v>41508.0</v>
      </c>
      <c r="I72" s="13" t="s">
        <v>216</v>
      </c>
    </row>
    <row r="73" ht="12.75" hidden="1" customHeight="1">
      <c r="A73" s="20">
        <v>27109.0</v>
      </c>
      <c r="B73" s="12" t="s">
        <v>25</v>
      </c>
      <c r="C73" s="12">
        <v>1672.0</v>
      </c>
      <c r="D73" s="6" t="s">
        <v>217</v>
      </c>
      <c r="E73" s="13" t="s">
        <v>218</v>
      </c>
      <c r="F73" s="14">
        <v>41501.0</v>
      </c>
      <c r="G73" s="14">
        <v>41505.0</v>
      </c>
      <c r="H73" s="14">
        <v>41505.0</v>
      </c>
      <c r="I73" s="13" t="s">
        <v>219</v>
      </c>
    </row>
    <row r="74" ht="12.75" hidden="1" customHeight="1">
      <c r="A74" s="6">
        <v>27088.0</v>
      </c>
      <c r="B74" s="12" t="s">
        <v>14</v>
      </c>
      <c r="C74" s="12">
        <v>2227.0</v>
      </c>
      <c r="D74" s="6" t="s">
        <v>220</v>
      </c>
      <c r="E74" s="13" t="s">
        <v>16</v>
      </c>
      <c r="F74" s="14">
        <v>41500.0</v>
      </c>
      <c r="G74" s="14">
        <v>41501.0</v>
      </c>
      <c r="H74" s="14">
        <v>41505.0</v>
      </c>
      <c r="I74" s="13" t="s">
        <v>221</v>
      </c>
    </row>
    <row r="75" ht="12.75" hidden="1" customHeight="1">
      <c r="A75" s="6">
        <v>27111.0</v>
      </c>
      <c r="B75" s="12" t="s">
        <v>21</v>
      </c>
      <c r="C75" s="12">
        <v>771.0</v>
      </c>
      <c r="D75" s="6" t="s">
        <v>222</v>
      </c>
      <c r="E75" s="13" t="s">
        <v>223</v>
      </c>
      <c r="F75" s="14">
        <v>41499.0</v>
      </c>
      <c r="G75" s="14">
        <v>41498.0</v>
      </c>
      <c r="H75" s="14">
        <v>41502.0</v>
      </c>
      <c r="I75" s="25" t="s">
        <v>224</v>
      </c>
    </row>
    <row r="76" ht="12.75" hidden="1" customHeight="1">
      <c r="A76" s="6" t="s">
        <v>225</v>
      </c>
      <c r="B76" s="12" t="s">
        <v>21</v>
      </c>
      <c r="C76" s="12">
        <v>324.0</v>
      </c>
      <c r="D76" s="6" t="s">
        <v>226</v>
      </c>
      <c r="E76" s="13" t="s">
        <v>227</v>
      </c>
      <c r="F76" s="14">
        <v>41492.0</v>
      </c>
      <c r="G76" s="14">
        <v>41491.0</v>
      </c>
      <c r="H76" s="14">
        <v>41499.0</v>
      </c>
      <c r="I76" s="26" t="s">
        <v>228</v>
      </c>
    </row>
    <row r="77" ht="12.75" hidden="1" customHeight="1">
      <c r="A77" s="6">
        <v>27250.0</v>
      </c>
      <c r="B77" s="12" t="s">
        <v>14</v>
      </c>
      <c r="C77" s="12">
        <v>1180.0</v>
      </c>
      <c r="D77" s="6" t="s">
        <v>229</v>
      </c>
      <c r="E77" s="13" t="s">
        <v>168</v>
      </c>
      <c r="F77" s="14">
        <v>41491.0</v>
      </c>
      <c r="G77" s="14">
        <v>41495.0</v>
      </c>
      <c r="H77" s="14">
        <v>41499.0</v>
      </c>
      <c r="I77" s="26" t="s">
        <v>230</v>
      </c>
    </row>
    <row r="78" ht="12.75" hidden="1" customHeight="1">
      <c r="A78" s="6">
        <v>27139.0</v>
      </c>
      <c r="B78" s="12" t="s">
        <v>21</v>
      </c>
      <c r="C78" s="12">
        <v>147.0</v>
      </c>
      <c r="D78" s="6" t="s">
        <v>231</v>
      </c>
      <c r="E78" s="13" t="s">
        <v>232</v>
      </c>
      <c r="F78" s="14">
        <v>41487.0</v>
      </c>
      <c r="G78" s="14">
        <v>41491.0</v>
      </c>
      <c r="H78" s="14">
        <v>41493.0</v>
      </c>
      <c r="I78" s="13" t="s">
        <v>233</v>
      </c>
    </row>
    <row r="79" ht="12.75" hidden="1" customHeight="1">
      <c r="A79" s="6" t="s">
        <v>192</v>
      </c>
      <c r="B79" s="12" t="s">
        <v>21</v>
      </c>
      <c r="C79" s="12">
        <v>59.0</v>
      </c>
      <c r="D79" s="6" t="s">
        <v>234</v>
      </c>
      <c r="E79" s="13" t="s">
        <v>235</v>
      </c>
      <c r="F79" s="14">
        <v>41485.0</v>
      </c>
      <c r="G79" s="4" t="s">
        <v>28</v>
      </c>
      <c r="H79" s="16">
        <v>41491.0</v>
      </c>
      <c r="I79" s="26" t="s">
        <v>236</v>
      </c>
    </row>
    <row r="80" ht="12.75" hidden="1" customHeight="1">
      <c r="A80" s="6">
        <v>27229.0</v>
      </c>
      <c r="B80" s="12" t="s">
        <v>21</v>
      </c>
      <c r="C80" s="12">
        <v>8.0</v>
      </c>
      <c r="D80" s="6" t="s">
        <v>237</v>
      </c>
      <c r="E80" s="13" t="s">
        <v>238</v>
      </c>
      <c r="F80" s="14">
        <v>41484.0</v>
      </c>
      <c r="G80" s="14">
        <v>41484.0</v>
      </c>
      <c r="H80" s="16">
        <v>41491.0</v>
      </c>
      <c r="I80" s="13" t="s">
        <v>239</v>
      </c>
    </row>
    <row r="81" ht="12.75" hidden="1" customHeight="1">
      <c r="A81" s="6" t="s">
        <v>192</v>
      </c>
      <c r="B81" s="12" t="s">
        <v>21</v>
      </c>
      <c r="C81" s="12">
        <v>550.0</v>
      </c>
      <c r="D81" s="6" t="s">
        <v>240</v>
      </c>
      <c r="E81" s="13" t="s">
        <v>241</v>
      </c>
      <c r="F81" s="14">
        <v>41477.0</v>
      </c>
      <c r="G81" s="22">
        <v>41527.0</v>
      </c>
      <c r="H81" s="16">
        <v>41485.0</v>
      </c>
      <c r="I81" s="19" t="s">
        <v>242</v>
      </c>
    </row>
    <row r="82" ht="12.75" hidden="1" customHeight="1">
      <c r="A82" s="6">
        <v>27249.0</v>
      </c>
      <c r="B82" s="12" t="s">
        <v>14</v>
      </c>
      <c r="C82" s="12">
        <v>1150.0</v>
      </c>
      <c r="D82" s="6" t="s">
        <v>243</v>
      </c>
      <c r="E82" s="13" t="s">
        <v>244</v>
      </c>
      <c r="F82" s="14">
        <v>41477.0</v>
      </c>
      <c r="G82" s="14">
        <v>41478.0</v>
      </c>
      <c r="H82" s="14">
        <v>41484.0</v>
      </c>
      <c r="I82" s="13" t="s">
        <v>245</v>
      </c>
    </row>
    <row r="83" ht="12.75" hidden="1" customHeight="1">
      <c r="A83" s="6">
        <v>27251.0</v>
      </c>
      <c r="B83" s="12" t="s">
        <v>21</v>
      </c>
      <c r="C83" s="12">
        <v>985.0</v>
      </c>
      <c r="D83" s="6" t="s">
        <v>246</v>
      </c>
      <c r="E83" s="13" t="s">
        <v>247</v>
      </c>
      <c r="F83" s="14">
        <v>41476.0</v>
      </c>
      <c r="G83" s="14">
        <v>41473.0</v>
      </c>
      <c r="H83" s="22">
        <v>41481.0</v>
      </c>
      <c r="I83" s="19" t="s">
        <v>248</v>
      </c>
    </row>
    <row r="84" ht="12.75" hidden="1" customHeight="1">
      <c r="A84" s="6">
        <v>26991.0</v>
      </c>
      <c r="B84" s="12" t="s">
        <v>21</v>
      </c>
      <c r="C84" s="12">
        <v>1980.0</v>
      </c>
      <c r="D84" s="6" t="s">
        <v>249</v>
      </c>
      <c r="E84" s="13" t="s">
        <v>250</v>
      </c>
      <c r="F84" s="14">
        <v>41476.0</v>
      </c>
      <c r="G84" s="14">
        <v>41473.0</v>
      </c>
      <c r="H84" s="16">
        <v>41479.0</v>
      </c>
      <c r="I84" s="19" t="s">
        <v>251</v>
      </c>
    </row>
    <row r="85" ht="12.75" hidden="1" customHeight="1">
      <c r="A85" s="6">
        <v>27066.0</v>
      </c>
      <c r="B85" s="12" t="s">
        <v>21</v>
      </c>
      <c r="C85" s="12">
        <v>510.0</v>
      </c>
      <c r="D85" s="6" t="s">
        <v>252</v>
      </c>
      <c r="E85" s="13" t="s">
        <v>253</v>
      </c>
      <c r="F85" s="14">
        <v>41475.0</v>
      </c>
      <c r="G85" s="14">
        <v>41474.0</v>
      </c>
      <c r="H85" s="22">
        <v>41481.0</v>
      </c>
      <c r="I85" s="19" t="s">
        <v>254</v>
      </c>
    </row>
    <row r="86" ht="12.75" hidden="1" customHeight="1">
      <c r="A86" s="6">
        <v>27086.0</v>
      </c>
      <c r="B86" s="12" t="s">
        <v>14</v>
      </c>
      <c r="C86" s="12">
        <v>418.0</v>
      </c>
      <c r="D86" s="6" t="s">
        <v>255</v>
      </c>
      <c r="E86" s="13" t="s">
        <v>256</v>
      </c>
      <c r="F86" s="14">
        <v>41473.0</v>
      </c>
      <c r="G86" s="14">
        <v>41487.0</v>
      </c>
      <c r="H86" s="14">
        <v>41479.0</v>
      </c>
      <c r="I86" s="19" t="s">
        <v>257</v>
      </c>
    </row>
    <row r="87" ht="12.75" hidden="1" customHeight="1">
      <c r="A87" s="6">
        <v>27118.0</v>
      </c>
      <c r="B87" s="12" t="s">
        <v>21</v>
      </c>
      <c r="C87" s="12">
        <v>674.0</v>
      </c>
      <c r="D87" s="6" t="s">
        <v>258</v>
      </c>
      <c r="E87" s="13" t="s">
        <v>259</v>
      </c>
      <c r="F87" s="14">
        <v>41472.0</v>
      </c>
      <c r="G87" s="14">
        <v>41470.0</v>
      </c>
      <c r="H87" s="22">
        <v>41488.0</v>
      </c>
      <c r="I87" s="19" t="s">
        <v>260</v>
      </c>
    </row>
    <row r="88" ht="12.75" hidden="1" customHeight="1">
      <c r="A88" s="6">
        <v>27089.0</v>
      </c>
      <c r="B88" s="12" t="s">
        <v>21</v>
      </c>
      <c r="C88" s="12">
        <v>190.0</v>
      </c>
      <c r="D88" s="6" t="s">
        <v>261</v>
      </c>
      <c r="E88" s="13" t="s">
        <v>262</v>
      </c>
      <c r="F88" s="14">
        <v>41469.0</v>
      </c>
      <c r="G88" s="14">
        <v>41466.0</v>
      </c>
      <c r="H88" s="14">
        <v>41473.0</v>
      </c>
      <c r="I88" s="13" t="s">
        <v>263</v>
      </c>
    </row>
    <row r="89" ht="12.75" hidden="1" customHeight="1">
      <c r="A89" s="6">
        <v>27149.0</v>
      </c>
      <c r="B89" s="12" t="s">
        <v>25</v>
      </c>
      <c r="C89" s="12">
        <v>153.0</v>
      </c>
      <c r="D89" s="6" t="s">
        <v>264</v>
      </c>
      <c r="E89" s="13" t="s">
        <v>265</v>
      </c>
      <c r="F89" s="14">
        <v>41464.0</v>
      </c>
      <c r="G89" s="4" t="s">
        <v>210</v>
      </c>
      <c r="H89" s="14">
        <v>41471.0</v>
      </c>
      <c r="I89" s="13" t="s">
        <v>266</v>
      </c>
    </row>
    <row r="90" ht="12.75" hidden="1" customHeight="1">
      <c r="A90" s="6">
        <v>27085.0</v>
      </c>
      <c r="B90" s="12" t="s">
        <v>21</v>
      </c>
      <c r="C90" s="12">
        <v>842.0</v>
      </c>
      <c r="D90" s="6" t="s">
        <v>267</v>
      </c>
      <c r="E90" s="13" t="s">
        <v>256</v>
      </c>
      <c r="F90" s="14">
        <v>41464.0</v>
      </c>
      <c r="G90" s="14">
        <v>41463.0</v>
      </c>
      <c r="H90" s="14">
        <v>41467.0</v>
      </c>
      <c r="I90" s="13" t="s">
        <v>268</v>
      </c>
    </row>
    <row r="91" ht="12.75" hidden="1" customHeight="1">
      <c r="A91" s="6">
        <v>27180.0</v>
      </c>
      <c r="B91" s="12" t="s">
        <v>21</v>
      </c>
      <c r="C91" s="12">
        <v>945.0</v>
      </c>
      <c r="D91" s="6" t="s">
        <v>269</v>
      </c>
      <c r="E91" s="13" t="s">
        <v>270</v>
      </c>
      <c r="F91" s="14">
        <v>41463.0</v>
      </c>
      <c r="G91" s="14">
        <v>41460.0</v>
      </c>
      <c r="H91" s="14">
        <v>41471.0</v>
      </c>
      <c r="I91" s="13" t="s">
        <v>271</v>
      </c>
    </row>
    <row r="92" ht="12.75" hidden="1" customHeight="1">
      <c r="A92" s="6">
        <v>27077.0</v>
      </c>
      <c r="B92" s="12" t="s">
        <v>21</v>
      </c>
      <c r="C92" s="12">
        <v>253.0</v>
      </c>
      <c r="D92" s="6" t="s">
        <v>272</v>
      </c>
      <c r="E92" s="13" t="s">
        <v>273</v>
      </c>
      <c r="F92" s="14">
        <v>41457.0</v>
      </c>
      <c r="G92" s="4" t="s">
        <v>210</v>
      </c>
      <c r="H92" s="14">
        <v>41460.0</v>
      </c>
      <c r="I92" s="13" t="s">
        <v>274</v>
      </c>
    </row>
    <row r="93" ht="12.75" hidden="1" customHeight="1">
      <c r="A93" s="6">
        <v>27178.0</v>
      </c>
      <c r="B93" s="12" t="s">
        <v>21</v>
      </c>
      <c r="C93" s="12">
        <v>785.0</v>
      </c>
      <c r="D93" s="6" t="s">
        <v>275</v>
      </c>
      <c r="E93" s="13" t="s">
        <v>276</v>
      </c>
      <c r="F93" s="14">
        <v>41454.0</v>
      </c>
      <c r="G93" s="14">
        <v>41453.0</v>
      </c>
      <c r="H93" s="14">
        <v>41465.0</v>
      </c>
      <c r="I93" s="19" t="s">
        <v>277</v>
      </c>
    </row>
    <row r="94" ht="12.75" hidden="1" customHeight="1">
      <c r="A94" s="6">
        <v>27001.0</v>
      </c>
      <c r="B94" s="12" t="s">
        <v>21</v>
      </c>
      <c r="C94" s="12">
        <v>755.0</v>
      </c>
      <c r="D94" s="6" t="s">
        <v>278</v>
      </c>
      <c r="E94" s="13" t="s">
        <v>279</v>
      </c>
      <c r="F94" s="14">
        <v>41454.0</v>
      </c>
      <c r="G94" s="14">
        <v>41453.0</v>
      </c>
      <c r="H94" s="14">
        <v>41463.0</v>
      </c>
      <c r="I94" s="18" t="s">
        <v>280</v>
      </c>
    </row>
    <row r="95" ht="12.75" hidden="1" customHeight="1">
      <c r="A95" s="27">
        <v>27179.0</v>
      </c>
      <c r="B95" s="28" t="s">
        <v>21</v>
      </c>
      <c r="C95" s="28">
        <v>1350.0</v>
      </c>
      <c r="D95" s="27" t="s">
        <v>281</v>
      </c>
      <c r="E95" s="24" t="s">
        <v>282</v>
      </c>
      <c r="F95" s="29">
        <v>41453.0</v>
      </c>
      <c r="G95" s="30">
        <v>41458.0</v>
      </c>
      <c r="H95" s="29">
        <v>41458.0</v>
      </c>
      <c r="I95" s="31" t="s">
        <v>283</v>
      </c>
    </row>
    <row r="96" ht="12.75" hidden="1" customHeight="1">
      <c r="A96" s="6">
        <v>27073.0</v>
      </c>
      <c r="B96" s="12" t="s">
        <v>21</v>
      </c>
      <c r="C96" s="12">
        <v>392.0</v>
      </c>
      <c r="D96" s="6" t="s">
        <v>284</v>
      </c>
      <c r="E96" s="13" t="s">
        <v>59</v>
      </c>
      <c r="F96" s="14">
        <v>41450.0</v>
      </c>
      <c r="G96" s="14">
        <v>41456.0</v>
      </c>
      <c r="H96" s="14">
        <v>41464.0</v>
      </c>
      <c r="I96" s="17" t="s">
        <v>285</v>
      </c>
    </row>
    <row r="97" ht="12.75" hidden="1" customHeight="1">
      <c r="A97" s="27" t="s">
        <v>286</v>
      </c>
      <c r="B97" s="28" t="s">
        <v>21</v>
      </c>
      <c r="C97" s="28">
        <v>2.0</v>
      </c>
      <c r="D97" s="27" t="s">
        <v>287</v>
      </c>
      <c r="E97" s="24" t="s">
        <v>288</v>
      </c>
      <c r="F97" s="29">
        <v>41443.0</v>
      </c>
      <c r="G97" s="32" t="s">
        <v>28</v>
      </c>
      <c r="H97" s="14">
        <v>41453.0</v>
      </c>
      <c r="I97" s="17" t="s">
        <v>289</v>
      </c>
    </row>
    <row r="98" ht="12.75" hidden="1" customHeight="1">
      <c r="A98" s="27" t="s">
        <v>192</v>
      </c>
      <c r="B98" s="28" t="s">
        <v>21</v>
      </c>
      <c r="C98" s="28">
        <v>1011.0</v>
      </c>
      <c r="D98" s="27" t="s">
        <v>290</v>
      </c>
      <c r="E98" s="24" t="s">
        <v>291</v>
      </c>
      <c r="F98" s="29">
        <v>41442.0</v>
      </c>
      <c r="G98" s="32" t="s">
        <v>210</v>
      </c>
      <c r="H98" s="14">
        <v>41445.0</v>
      </c>
      <c r="I98" s="9" t="s">
        <v>292</v>
      </c>
    </row>
    <row r="99" ht="12.75" hidden="1" customHeight="1">
      <c r="A99" s="6">
        <v>26968.0</v>
      </c>
      <c r="B99" s="12" t="s">
        <v>21</v>
      </c>
      <c r="C99" s="12">
        <v>2227.0</v>
      </c>
      <c r="D99" s="6" t="s">
        <v>293</v>
      </c>
      <c r="E99" s="13" t="s">
        <v>294</v>
      </c>
      <c r="F99" s="14">
        <v>41436.0</v>
      </c>
      <c r="G99" s="14">
        <v>41436.0</v>
      </c>
      <c r="H99" s="14">
        <v>41442.0</v>
      </c>
      <c r="I99" s="9" t="s">
        <v>295</v>
      </c>
    </row>
    <row r="100" ht="12.75" hidden="1" customHeight="1">
      <c r="A100" s="6">
        <v>27100.0</v>
      </c>
      <c r="B100" s="12" t="s">
        <v>14</v>
      </c>
      <c r="C100" s="12">
        <v>1249.0</v>
      </c>
      <c r="D100" s="6" t="s">
        <v>296</v>
      </c>
      <c r="E100" s="13" t="s">
        <v>297</v>
      </c>
      <c r="F100" s="14">
        <v>41420.0</v>
      </c>
      <c r="G100" s="14">
        <v>41425.0</v>
      </c>
      <c r="H100" s="14">
        <v>41428.0</v>
      </c>
      <c r="I100" s="18" t="s">
        <v>298</v>
      </c>
    </row>
    <row r="101" ht="12.75" customHeight="1">
      <c r="A101" s="6">
        <v>26841.0</v>
      </c>
      <c r="B101" s="12" t="s">
        <v>14</v>
      </c>
      <c r="C101" s="12">
        <v>577.0</v>
      </c>
      <c r="D101" s="6" t="s">
        <v>299</v>
      </c>
      <c r="E101" s="13" t="s">
        <v>300</v>
      </c>
      <c r="F101" s="14">
        <v>41416.0</v>
      </c>
      <c r="G101" s="14">
        <v>41423.0</v>
      </c>
      <c r="H101" s="14">
        <v>41429.0</v>
      </c>
      <c r="I101" s="13" t="s">
        <v>301</v>
      </c>
    </row>
    <row r="102" ht="12.75" hidden="1" customHeight="1">
      <c r="A102" s="27" t="s">
        <v>192</v>
      </c>
      <c r="B102" s="28" t="s">
        <v>21</v>
      </c>
      <c r="C102" s="28">
        <v>588.0</v>
      </c>
      <c r="D102" s="27" t="s">
        <v>302</v>
      </c>
      <c r="E102" s="24" t="s">
        <v>303</v>
      </c>
      <c r="F102" s="29">
        <v>41407.0</v>
      </c>
      <c r="G102" s="29">
        <v>41411.0</v>
      </c>
      <c r="H102" s="29">
        <v>41416.0</v>
      </c>
      <c r="I102" s="24" t="s">
        <v>304</v>
      </c>
    </row>
    <row r="103" ht="12.75" hidden="1" customHeight="1">
      <c r="A103" s="6">
        <v>27005.0</v>
      </c>
      <c r="B103" s="12" t="s">
        <v>21</v>
      </c>
      <c r="C103" s="12">
        <v>9.0</v>
      </c>
      <c r="D103" s="6" t="s">
        <v>305</v>
      </c>
      <c r="E103" s="13" t="s">
        <v>160</v>
      </c>
      <c r="F103" s="14">
        <v>41404.0</v>
      </c>
      <c r="G103" s="14">
        <v>41411.0</v>
      </c>
      <c r="H103" s="14">
        <v>41409.0</v>
      </c>
      <c r="I103" s="26" t="s">
        <v>306</v>
      </c>
    </row>
    <row r="104" ht="12.75" hidden="1" customHeight="1">
      <c r="A104" s="6">
        <v>26937.0</v>
      </c>
      <c r="B104" s="12" t="s">
        <v>21</v>
      </c>
      <c r="C104" s="12">
        <v>1502.0</v>
      </c>
      <c r="D104" s="6" t="s">
        <v>307</v>
      </c>
      <c r="E104" s="13" t="s">
        <v>308</v>
      </c>
      <c r="F104" s="14">
        <v>41395.0</v>
      </c>
      <c r="G104" s="14">
        <v>41395.0</v>
      </c>
      <c r="H104" s="14">
        <v>41401.0</v>
      </c>
      <c r="I104" s="26" t="s">
        <v>309</v>
      </c>
    </row>
    <row r="105" ht="12.75" hidden="1" customHeight="1">
      <c r="A105" s="6">
        <v>26727.0</v>
      </c>
      <c r="B105" s="12" t="s">
        <v>21</v>
      </c>
      <c r="C105" s="12">
        <v>530.0</v>
      </c>
      <c r="D105" s="6" t="s">
        <v>310</v>
      </c>
      <c r="E105" s="13" t="s">
        <v>311</v>
      </c>
      <c r="F105" s="14">
        <v>41387.0</v>
      </c>
      <c r="G105" s="14">
        <v>41387.0</v>
      </c>
      <c r="H105" s="14">
        <v>41396.0</v>
      </c>
      <c r="I105" s="26" t="s">
        <v>312</v>
      </c>
    </row>
    <row r="106" ht="12.75" hidden="1" customHeight="1">
      <c r="A106" s="6">
        <v>27030.0</v>
      </c>
      <c r="B106" s="12" t="s">
        <v>21</v>
      </c>
      <c r="C106" s="12">
        <v>800.0</v>
      </c>
      <c r="D106" s="6" t="s">
        <v>313</v>
      </c>
      <c r="E106" s="13" t="s">
        <v>314</v>
      </c>
      <c r="F106" s="14">
        <v>41386.0</v>
      </c>
      <c r="G106" s="14">
        <v>41422.0</v>
      </c>
      <c r="H106" s="14">
        <v>41389.0</v>
      </c>
      <c r="I106" s="13" t="s">
        <v>315</v>
      </c>
    </row>
    <row r="107" ht="12.75" hidden="1" customHeight="1">
      <c r="A107" s="6">
        <v>27027.0</v>
      </c>
      <c r="B107" s="28" t="s">
        <v>21</v>
      </c>
      <c r="C107" s="28">
        <v>450.0</v>
      </c>
      <c r="D107" s="27" t="s">
        <v>316</v>
      </c>
      <c r="E107" s="24" t="s">
        <v>213</v>
      </c>
      <c r="F107" s="14">
        <v>41383.0</v>
      </c>
      <c r="G107" s="14">
        <v>41380.0</v>
      </c>
      <c r="H107" s="14">
        <v>41388.0</v>
      </c>
      <c r="I107" s="26" t="s">
        <v>317</v>
      </c>
    </row>
    <row r="108" ht="12.75" hidden="1" customHeight="1">
      <c r="A108" s="6">
        <v>26344.0</v>
      </c>
      <c r="B108" s="1" t="s">
        <v>21</v>
      </c>
      <c r="C108" s="1">
        <v>1134.0</v>
      </c>
      <c r="D108" s="1" t="s">
        <v>318</v>
      </c>
      <c r="E108" s="13" t="s">
        <v>319</v>
      </c>
      <c r="F108" s="14">
        <v>41379.0</v>
      </c>
      <c r="G108" s="14">
        <v>41383.0</v>
      </c>
      <c r="H108" s="14">
        <v>41386.0</v>
      </c>
      <c r="I108" s="26" t="s">
        <v>320</v>
      </c>
    </row>
    <row r="109" ht="12.75" hidden="1" customHeight="1">
      <c r="A109" s="27">
        <v>27028.0</v>
      </c>
      <c r="B109" s="33" t="s">
        <v>25</v>
      </c>
      <c r="C109" s="33">
        <v>1280.0</v>
      </c>
      <c r="D109" s="33" t="s">
        <v>321</v>
      </c>
      <c r="E109" s="24" t="s">
        <v>322</v>
      </c>
      <c r="F109" s="29">
        <v>41379.0</v>
      </c>
      <c r="G109" s="34" t="s">
        <v>323</v>
      </c>
      <c r="H109" s="29">
        <v>41383.0</v>
      </c>
      <c r="I109" s="24" t="s">
        <v>324</v>
      </c>
    </row>
    <row r="110" ht="12.75" hidden="1" customHeight="1">
      <c r="A110" s="27">
        <v>26990.0</v>
      </c>
      <c r="B110" s="33" t="s">
        <v>14</v>
      </c>
      <c r="C110" s="33">
        <v>950.0</v>
      </c>
      <c r="D110" s="33" t="s">
        <v>325</v>
      </c>
      <c r="E110" s="24" t="s">
        <v>326</v>
      </c>
      <c r="F110" s="29">
        <v>41372.0</v>
      </c>
      <c r="G110" s="29">
        <v>41372.0</v>
      </c>
      <c r="H110" s="29">
        <v>41381.0</v>
      </c>
      <c r="I110" s="35" t="s">
        <v>327</v>
      </c>
    </row>
    <row r="111" ht="12.75" hidden="1" customHeight="1">
      <c r="A111" s="6">
        <v>26916.0</v>
      </c>
      <c r="B111" s="1" t="s">
        <v>14</v>
      </c>
      <c r="C111" s="1">
        <v>2227.0</v>
      </c>
      <c r="D111" s="1" t="s">
        <v>328</v>
      </c>
      <c r="E111" s="13" t="s">
        <v>294</v>
      </c>
      <c r="F111" s="14">
        <v>41372.0</v>
      </c>
      <c r="G111" s="14">
        <v>41372.0</v>
      </c>
      <c r="H111" s="14">
        <v>41380.0</v>
      </c>
      <c r="I111" s="26" t="s">
        <v>329</v>
      </c>
    </row>
    <row r="112" ht="12.75" hidden="1" customHeight="1">
      <c r="A112" s="6">
        <v>26981.0</v>
      </c>
      <c r="B112" s="1" t="s">
        <v>14</v>
      </c>
      <c r="C112" s="1">
        <v>1280.0</v>
      </c>
      <c r="D112" s="1" t="s">
        <v>330</v>
      </c>
      <c r="E112" s="13" t="s">
        <v>331</v>
      </c>
      <c r="F112" s="14">
        <v>41369.0</v>
      </c>
      <c r="G112" s="14">
        <v>41369.0</v>
      </c>
      <c r="H112" s="14">
        <v>41379.0</v>
      </c>
      <c r="I112" s="26" t="s">
        <v>332</v>
      </c>
    </row>
    <row r="113" ht="12.75" hidden="1" customHeight="1">
      <c r="A113" s="6">
        <v>26726.0</v>
      </c>
      <c r="B113" s="1" t="s">
        <v>14</v>
      </c>
      <c r="C113" s="1">
        <v>530.0</v>
      </c>
      <c r="D113" s="1" t="s">
        <v>333</v>
      </c>
      <c r="E113" s="13" t="s">
        <v>311</v>
      </c>
      <c r="F113" s="14">
        <v>41368.0</v>
      </c>
      <c r="G113" s="14">
        <v>41369.0</v>
      </c>
      <c r="H113" s="14">
        <v>41375.0</v>
      </c>
      <c r="I113" s="26" t="s">
        <v>334</v>
      </c>
    </row>
    <row r="114" ht="12.75" hidden="1" customHeight="1">
      <c r="A114" s="27" t="s">
        <v>192</v>
      </c>
      <c r="B114" s="33" t="s">
        <v>21</v>
      </c>
      <c r="C114" s="33">
        <v>188.0</v>
      </c>
      <c r="D114" s="33" t="s">
        <v>335</v>
      </c>
      <c r="E114" s="24" t="s">
        <v>336</v>
      </c>
      <c r="F114" s="29">
        <v>41365.0</v>
      </c>
      <c r="G114" s="32" t="s">
        <v>210</v>
      </c>
      <c r="H114" s="29">
        <v>41368.0</v>
      </c>
      <c r="I114" s="24" t="s">
        <v>337</v>
      </c>
    </row>
    <row r="115" ht="12.75" hidden="1" customHeight="1">
      <c r="A115" s="6">
        <v>26345.0</v>
      </c>
      <c r="B115" s="1" t="s">
        <v>14</v>
      </c>
      <c r="C115" s="1">
        <v>1134.0</v>
      </c>
      <c r="D115" s="1" t="s">
        <v>338</v>
      </c>
      <c r="E115" s="13" t="s">
        <v>319</v>
      </c>
      <c r="F115" s="14">
        <v>41362.0</v>
      </c>
      <c r="G115" s="14">
        <v>41360.0</v>
      </c>
      <c r="H115" s="14">
        <v>41372.0</v>
      </c>
      <c r="I115" s="26" t="s">
        <v>339</v>
      </c>
    </row>
    <row r="116" ht="12.75" hidden="1" customHeight="1">
      <c r="A116" s="27">
        <v>26982.0</v>
      </c>
      <c r="B116" s="33" t="s">
        <v>21</v>
      </c>
      <c r="C116" s="33">
        <v>230.0</v>
      </c>
      <c r="D116" s="33" t="s">
        <v>340</v>
      </c>
      <c r="E116" s="24" t="s">
        <v>341</v>
      </c>
      <c r="F116" s="29">
        <v>41359.0</v>
      </c>
      <c r="G116" s="29">
        <v>41358.0</v>
      </c>
      <c r="H116" s="29">
        <v>41369.0</v>
      </c>
      <c r="I116" s="35" t="s">
        <v>342</v>
      </c>
    </row>
    <row r="117" ht="12.75" hidden="1" customHeight="1">
      <c r="A117" s="6">
        <v>26939.0</v>
      </c>
      <c r="B117" s="1" t="s">
        <v>14</v>
      </c>
      <c r="C117" s="1">
        <v>1280.0</v>
      </c>
      <c r="D117" s="1" t="s">
        <v>343</v>
      </c>
      <c r="E117" s="13" t="s">
        <v>344</v>
      </c>
      <c r="F117" s="14">
        <v>41358.0</v>
      </c>
      <c r="G117" s="14">
        <v>41359.0</v>
      </c>
      <c r="H117" s="14">
        <v>41365.0</v>
      </c>
      <c r="I117" s="26" t="s">
        <v>345</v>
      </c>
    </row>
    <row r="118" ht="12.75" hidden="1" customHeight="1">
      <c r="A118" s="6">
        <v>26783.0</v>
      </c>
      <c r="B118" s="1" t="s">
        <v>21</v>
      </c>
      <c r="C118" s="1">
        <v>494.0</v>
      </c>
      <c r="D118" s="1" t="s">
        <v>346</v>
      </c>
      <c r="E118" s="13" t="s">
        <v>347</v>
      </c>
      <c r="F118" s="14">
        <v>41357.0</v>
      </c>
      <c r="G118" s="14">
        <v>41358.0</v>
      </c>
      <c r="H118" s="14">
        <v>41366.0</v>
      </c>
      <c r="I118" s="26" t="s">
        <v>348</v>
      </c>
    </row>
    <row r="119" ht="12.75" hidden="1" customHeight="1">
      <c r="A119" s="6">
        <v>26980.0</v>
      </c>
      <c r="B119" s="1" t="s">
        <v>21</v>
      </c>
      <c r="C119" s="1">
        <v>1280.0</v>
      </c>
      <c r="D119" s="1" t="s">
        <v>349</v>
      </c>
      <c r="E119" s="13" t="s">
        <v>331</v>
      </c>
      <c r="F119" s="14">
        <v>41354.0</v>
      </c>
      <c r="G119" s="14">
        <v>40987.0</v>
      </c>
      <c r="H119" s="14">
        <v>41361.0</v>
      </c>
      <c r="I119" s="13" t="s">
        <v>350</v>
      </c>
    </row>
    <row r="120" ht="12.75" hidden="1" customHeight="1">
      <c r="A120" s="27">
        <v>26919.0</v>
      </c>
      <c r="B120" s="33" t="s">
        <v>14</v>
      </c>
      <c r="C120" s="33">
        <v>879.0</v>
      </c>
      <c r="D120" s="33" t="s">
        <v>351</v>
      </c>
      <c r="E120" s="24" t="s">
        <v>352</v>
      </c>
      <c r="F120" s="29">
        <v>41344.0</v>
      </c>
      <c r="G120" s="29">
        <v>41341.0</v>
      </c>
      <c r="H120" s="29">
        <v>41348.0</v>
      </c>
      <c r="I120" s="24" t="s">
        <v>353</v>
      </c>
    </row>
    <row r="121" ht="12.75" hidden="1" customHeight="1">
      <c r="A121" s="27">
        <v>26921.0</v>
      </c>
      <c r="B121" s="33" t="s">
        <v>21</v>
      </c>
      <c r="C121" s="33">
        <v>550.0</v>
      </c>
      <c r="D121" s="33" t="s">
        <v>354</v>
      </c>
      <c r="E121" s="24" t="s">
        <v>355</v>
      </c>
      <c r="F121" s="29">
        <v>41335.0</v>
      </c>
      <c r="G121" s="29">
        <v>41338.0</v>
      </c>
      <c r="H121" s="29">
        <v>41340.0</v>
      </c>
      <c r="I121" s="24" t="s">
        <v>356</v>
      </c>
    </row>
    <row r="122" ht="12.75" hidden="1" customHeight="1">
      <c r="A122" s="27">
        <v>26938.0</v>
      </c>
      <c r="B122" s="33" t="s">
        <v>21</v>
      </c>
      <c r="C122" s="33">
        <v>1280.0</v>
      </c>
      <c r="D122" s="33" t="s">
        <v>357</v>
      </c>
      <c r="E122" s="24" t="s">
        <v>331</v>
      </c>
      <c r="F122" s="29">
        <v>41334.0</v>
      </c>
      <c r="G122" s="29">
        <v>41332.0</v>
      </c>
      <c r="H122" s="29">
        <v>41341.0</v>
      </c>
      <c r="I122" s="24" t="s">
        <v>358</v>
      </c>
    </row>
    <row r="123" ht="12.75" hidden="1" customHeight="1">
      <c r="A123" s="27">
        <v>26906.0</v>
      </c>
      <c r="B123" s="33" t="s">
        <v>21</v>
      </c>
      <c r="C123" s="33">
        <v>1100.0</v>
      </c>
      <c r="D123" s="33" t="s">
        <v>359</v>
      </c>
      <c r="E123" s="36" t="s">
        <v>360</v>
      </c>
      <c r="F123" s="29">
        <v>41333.0</v>
      </c>
      <c r="G123" s="30">
        <v>41394.0</v>
      </c>
      <c r="H123" s="29">
        <v>41341.0</v>
      </c>
      <c r="I123" s="36" t="s">
        <v>361</v>
      </c>
    </row>
    <row r="124" ht="12.75" hidden="1" customHeight="1">
      <c r="A124" s="6">
        <v>26725.0</v>
      </c>
      <c r="B124" s="1" t="s">
        <v>21</v>
      </c>
      <c r="C124" s="1">
        <v>1000.0</v>
      </c>
      <c r="D124" s="1" t="s">
        <v>362</v>
      </c>
      <c r="E124" s="13" t="s">
        <v>363</v>
      </c>
      <c r="F124" s="14">
        <v>41333.0</v>
      </c>
      <c r="G124" s="14">
        <v>41332.0</v>
      </c>
      <c r="H124" s="14">
        <v>41340.0</v>
      </c>
      <c r="I124" s="26" t="s">
        <v>364</v>
      </c>
    </row>
    <row r="125" ht="12.75" hidden="1" customHeight="1">
      <c r="A125" s="27">
        <v>26905.0</v>
      </c>
      <c r="B125" s="33" t="s">
        <v>14</v>
      </c>
      <c r="C125" s="33">
        <v>1917.0</v>
      </c>
      <c r="D125" s="33" t="s">
        <v>365</v>
      </c>
      <c r="E125" s="24" t="s">
        <v>366</v>
      </c>
      <c r="F125" s="29">
        <v>41332.0</v>
      </c>
      <c r="G125" s="29">
        <v>41333.0</v>
      </c>
      <c r="H125" s="29">
        <v>41341.0</v>
      </c>
      <c r="I125" s="35" t="s">
        <v>367</v>
      </c>
    </row>
    <row r="126" ht="12.75" hidden="1" customHeight="1">
      <c r="A126" s="27">
        <v>26771.0</v>
      </c>
      <c r="B126" s="33" t="s">
        <v>25</v>
      </c>
      <c r="C126" s="33">
        <v>2227.0</v>
      </c>
      <c r="D126" s="33" t="s">
        <v>368</v>
      </c>
      <c r="E126" s="36" t="s">
        <v>294</v>
      </c>
      <c r="F126" s="29">
        <v>41332.0</v>
      </c>
      <c r="G126" s="29">
        <v>41332.0</v>
      </c>
      <c r="H126" s="29">
        <v>41337.0</v>
      </c>
      <c r="I126" s="36" t="s">
        <v>369</v>
      </c>
    </row>
    <row r="127" ht="12.75" hidden="1" customHeight="1">
      <c r="A127" s="6">
        <v>26897.0</v>
      </c>
      <c r="B127" s="1" t="s">
        <v>25</v>
      </c>
      <c r="C127" s="1">
        <v>151.0</v>
      </c>
      <c r="D127" s="1" t="s">
        <v>370</v>
      </c>
      <c r="E127" s="13" t="s">
        <v>371</v>
      </c>
      <c r="F127" s="14">
        <v>41332.0</v>
      </c>
      <c r="G127" s="4"/>
      <c r="H127" s="14">
        <v>41334.0</v>
      </c>
      <c r="I127" s="13" t="s">
        <v>372</v>
      </c>
    </row>
    <row r="128" ht="12.75" hidden="1" customHeight="1">
      <c r="A128" s="27">
        <v>26770.0</v>
      </c>
      <c r="B128" s="33" t="s">
        <v>21</v>
      </c>
      <c r="C128" s="33">
        <v>2227.0</v>
      </c>
      <c r="D128" s="33" t="s">
        <v>373</v>
      </c>
      <c r="E128" s="24" t="s">
        <v>294</v>
      </c>
      <c r="F128" s="29">
        <v>41331.0</v>
      </c>
      <c r="G128" s="29">
        <v>41331.0</v>
      </c>
      <c r="H128" s="29">
        <v>41339.0</v>
      </c>
      <c r="I128" s="35" t="s">
        <v>374</v>
      </c>
    </row>
    <row r="129" ht="12.75" hidden="1" customHeight="1">
      <c r="A129" s="6">
        <v>26619.0</v>
      </c>
      <c r="B129" s="1" t="s">
        <v>21</v>
      </c>
      <c r="C129" s="1">
        <v>776.0</v>
      </c>
      <c r="D129" s="1" t="s">
        <v>375</v>
      </c>
      <c r="E129" s="13" t="s">
        <v>376</v>
      </c>
      <c r="F129" s="14">
        <v>41330.0</v>
      </c>
      <c r="G129" s="14">
        <v>41331.0</v>
      </c>
      <c r="H129" s="14">
        <v>41338.0</v>
      </c>
      <c r="I129" s="26" t="s">
        <v>377</v>
      </c>
    </row>
    <row r="130" ht="60.0" hidden="1" customHeight="1">
      <c r="A130" s="27">
        <v>26918.0</v>
      </c>
      <c r="B130" s="33" t="s">
        <v>21</v>
      </c>
      <c r="C130" s="33">
        <v>950.0</v>
      </c>
      <c r="D130" s="33" t="s">
        <v>378</v>
      </c>
      <c r="E130" s="24" t="s">
        <v>379</v>
      </c>
      <c r="F130" s="29">
        <v>41329.0</v>
      </c>
      <c r="G130" s="29">
        <v>41327.0</v>
      </c>
      <c r="H130" s="29">
        <v>41338.0</v>
      </c>
      <c r="I130" s="24" t="s">
        <v>380</v>
      </c>
    </row>
    <row r="131" ht="60.0" hidden="1" customHeight="1">
      <c r="A131" s="27">
        <v>26331.0</v>
      </c>
      <c r="B131" s="33" t="s">
        <v>21</v>
      </c>
      <c r="C131" s="33">
        <v>755.0</v>
      </c>
      <c r="D131" s="33" t="s">
        <v>381</v>
      </c>
      <c r="E131" s="24" t="s">
        <v>279</v>
      </c>
      <c r="F131" s="29">
        <v>41328.0</v>
      </c>
      <c r="G131" s="29">
        <v>41326.0</v>
      </c>
      <c r="H131" s="29">
        <v>41333.0</v>
      </c>
      <c r="I131" s="24" t="s">
        <v>382</v>
      </c>
    </row>
    <row r="132" ht="20.25" hidden="1" customHeight="1">
      <c r="A132" s="27">
        <v>26784.0</v>
      </c>
      <c r="B132" s="33" t="s">
        <v>21</v>
      </c>
      <c r="C132" s="33">
        <v>525.0</v>
      </c>
      <c r="D132" s="33" t="s">
        <v>383</v>
      </c>
      <c r="E132" s="24" t="s">
        <v>384</v>
      </c>
      <c r="F132" s="29">
        <v>41328.0</v>
      </c>
      <c r="G132" s="29">
        <v>41331.0</v>
      </c>
      <c r="H132" s="29">
        <v>41333.0</v>
      </c>
      <c r="I132" s="35" t="s">
        <v>385</v>
      </c>
    </row>
    <row r="133" ht="20.25" hidden="1" customHeight="1">
      <c r="A133" s="27">
        <v>26860.0</v>
      </c>
      <c r="B133" s="33" t="s">
        <v>14</v>
      </c>
      <c r="C133" s="33">
        <v>1250.0</v>
      </c>
      <c r="D133" s="33" t="s">
        <v>386</v>
      </c>
      <c r="E133" s="24" t="s">
        <v>387</v>
      </c>
      <c r="F133" s="29">
        <v>41328.0</v>
      </c>
      <c r="G133" s="29">
        <v>41333.0</v>
      </c>
      <c r="H133" s="29">
        <v>41330.0</v>
      </c>
      <c r="I133" s="24" t="s">
        <v>388</v>
      </c>
    </row>
    <row r="134" ht="20.25" hidden="1" customHeight="1">
      <c r="A134" s="27">
        <v>26915.0</v>
      </c>
      <c r="B134" s="33" t="s">
        <v>21</v>
      </c>
      <c r="C134" s="33">
        <v>630.0</v>
      </c>
      <c r="D134" s="33" t="s">
        <v>389</v>
      </c>
      <c r="E134" s="24" t="s">
        <v>390</v>
      </c>
      <c r="F134" s="29">
        <v>41327.0</v>
      </c>
      <c r="G134" s="37" t="s">
        <v>391</v>
      </c>
      <c r="H134" s="29">
        <v>41332.0</v>
      </c>
      <c r="I134" s="38" t="s">
        <v>392</v>
      </c>
    </row>
    <row r="135" ht="20.25" hidden="1" customHeight="1">
      <c r="A135" s="27">
        <v>26584.0</v>
      </c>
      <c r="B135" s="33" t="s">
        <v>21</v>
      </c>
      <c r="C135" s="33">
        <v>181.0</v>
      </c>
      <c r="D135" s="33" t="s">
        <v>393</v>
      </c>
      <c r="E135" s="24" t="s">
        <v>139</v>
      </c>
      <c r="F135" s="29">
        <v>41325.0</v>
      </c>
      <c r="G135" s="29">
        <v>41339.0</v>
      </c>
      <c r="H135" s="29">
        <v>41326.0</v>
      </c>
      <c r="I135" s="24" t="s">
        <v>394</v>
      </c>
    </row>
    <row r="136" ht="20.25" hidden="1" customHeight="1">
      <c r="A136" s="27">
        <v>26902.0</v>
      </c>
      <c r="B136" s="33" t="s">
        <v>21</v>
      </c>
      <c r="C136" s="33">
        <v>1020.0</v>
      </c>
      <c r="D136" s="33" t="s">
        <v>395</v>
      </c>
      <c r="E136" s="24" t="s">
        <v>396</v>
      </c>
      <c r="F136" s="29">
        <v>41324.0</v>
      </c>
      <c r="G136" s="29">
        <v>41324.0</v>
      </c>
      <c r="H136" s="29">
        <v>41331.0</v>
      </c>
      <c r="I136" s="35" t="s">
        <v>397</v>
      </c>
    </row>
    <row r="137" ht="20.25" hidden="1" customHeight="1">
      <c r="A137" s="27" t="s">
        <v>192</v>
      </c>
      <c r="B137" s="33" t="s">
        <v>21</v>
      </c>
      <c r="C137" s="33">
        <v>485.0</v>
      </c>
      <c r="D137" s="33" t="s">
        <v>398</v>
      </c>
      <c r="E137" s="24" t="s">
        <v>399</v>
      </c>
      <c r="F137" s="29">
        <v>41323.0</v>
      </c>
      <c r="G137" s="32" t="s">
        <v>210</v>
      </c>
      <c r="H137" s="29">
        <v>41326.0</v>
      </c>
      <c r="I137" s="24" t="s">
        <v>400</v>
      </c>
    </row>
    <row r="138" ht="20.25" hidden="1" customHeight="1">
      <c r="A138" s="27">
        <v>26864.0</v>
      </c>
      <c r="B138" s="33" t="s">
        <v>14</v>
      </c>
      <c r="C138" s="33">
        <v>1280.0</v>
      </c>
      <c r="D138" s="33" t="s">
        <v>401</v>
      </c>
      <c r="E138" s="24" t="s">
        <v>331</v>
      </c>
      <c r="F138" s="29">
        <v>41317.0</v>
      </c>
      <c r="G138" s="29">
        <v>41324.0</v>
      </c>
      <c r="H138" s="29">
        <v>41324.0</v>
      </c>
      <c r="I138" s="35" t="s">
        <v>402</v>
      </c>
    </row>
    <row r="139" ht="20.25" hidden="1" customHeight="1">
      <c r="A139" s="27">
        <v>26870.0</v>
      </c>
      <c r="B139" s="33" t="s">
        <v>14</v>
      </c>
      <c r="C139" s="33">
        <v>2500.0</v>
      </c>
      <c r="D139" s="33" t="s">
        <v>403</v>
      </c>
      <c r="E139" s="24" t="s">
        <v>404</v>
      </c>
      <c r="F139" s="29">
        <v>41311.0</v>
      </c>
      <c r="G139" s="29">
        <v>41310.0</v>
      </c>
      <c r="H139" s="29">
        <v>41317.0</v>
      </c>
      <c r="I139" s="35" t="s">
        <v>405</v>
      </c>
    </row>
    <row r="140" ht="20.25" hidden="1" customHeight="1">
      <c r="A140" s="27">
        <v>26865.0</v>
      </c>
      <c r="B140" s="33" t="s">
        <v>14</v>
      </c>
      <c r="C140" s="33">
        <v>935.0</v>
      </c>
      <c r="D140" s="33" t="s">
        <v>406</v>
      </c>
      <c r="E140" s="24" t="s">
        <v>407</v>
      </c>
      <c r="F140" s="29">
        <v>41309.0</v>
      </c>
      <c r="G140" s="29">
        <v>41306.0</v>
      </c>
      <c r="H140" s="29">
        <v>41316.0</v>
      </c>
      <c r="I140" s="35" t="s">
        <v>408</v>
      </c>
    </row>
    <row r="141" ht="20.25" hidden="1" customHeight="1">
      <c r="A141" s="27">
        <v>26861.0</v>
      </c>
      <c r="B141" s="33" t="s">
        <v>14</v>
      </c>
      <c r="C141" s="33">
        <v>600.0</v>
      </c>
      <c r="D141" s="33" t="s">
        <v>409</v>
      </c>
      <c r="E141" s="24" t="s">
        <v>410</v>
      </c>
      <c r="F141" s="29">
        <v>41309.0</v>
      </c>
      <c r="G141" s="29">
        <v>41326.0</v>
      </c>
      <c r="H141" s="29">
        <v>41316.0</v>
      </c>
      <c r="I141" s="24" t="s">
        <v>411</v>
      </c>
    </row>
    <row r="142" ht="20.25" hidden="1" customHeight="1">
      <c r="A142" s="27">
        <v>26887.0</v>
      </c>
      <c r="B142" s="33" t="s">
        <v>21</v>
      </c>
      <c r="C142" s="33">
        <v>1095.0</v>
      </c>
      <c r="D142" s="33" t="s">
        <v>412</v>
      </c>
      <c r="E142" s="24" t="s">
        <v>413</v>
      </c>
      <c r="F142" s="29">
        <v>41308.0</v>
      </c>
      <c r="G142" s="29">
        <v>41305.0</v>
      </c>
      <c r="H142" s="29">
        <v>41316.0</v>
      </c>
      <c r="I142" s="35" t="s">
        <v>414</v>
      </c>
    </row>
    <row r="143" ht="20.25" hidden="1" customHeight="1">
      <c r="A143" s="27">
        <v>26886.0</v>
      </c>
      <c r="B143" s="33" t="s">
        <v>21</v>
      </c>
      <c r="C143" s="33">
        <v>1074.0</v>
      </c>
      <c r="D143" s="33" t="s">
        <v>415</v>
      </c>
      <c r="E143" s="24" t="s">
        <v>416</v>
      </c>
      <c r="F143" s="29">
        <v>41307.0</v>
      </c>
      <c r="G143" s="29">
        <v>41305.0</v>
      </c>
      <c r="H143" s="29">
        <v>41313.0</v>
      </c>
      <c r="I143" s="35" t="s">
        <v>417</v>
      </c>
    </row>
    <row r="144" ht="20.25" hidden="1" customHeight="1">
      <c r="A144" s="27">
        <v>26765.0</v>
      </c>
      <c r="B144" s="33" t="s">
        <v>21</v>
      </c>
      <c r="C144" s="33">
        <v>680.0</v>
      </c>
      <c r="D144" s="33" t="s">
        <v>418</v>
      </c>
      <c r="E144" s="24" t="s">
        <v>419</v>
      </c>
      <c r="F144" s="29">
        <v>41306.0</v>
      </c>
      <c r="G144" s="29">
        <v>41311.0</v>
      </c>
      <c r="H144" s="29">
        <v>41311.0</v>
      </c>
      <c r="I144" s="35" t="s">
        <v>420</v>
      </c>
    </row>
    <row r="145" ht="20.25" hidden="1" customHeight="1">
      <c r="A145" s="27" t="s">
        <v>421</v>
      </c>
      <c r="B145" s="33" t="s">
        <v>21</v>
      </c>
      <c r="C145" s="33">
        <v>234.0</v>
      </c>
      <c r="D145" s="33" t="s">
        <v>422</v>
      </c>
      <c r="E145" s="24" t="s">
        <v>423</v>
      </c>
      <c r="F145" s="29">
        <v>41305.0</v>
      </c>
      <c r="G145" s="30">
        <v>41312.0</v>
      </c>
      <c r="H145" s="29">
        <v>41311.0</v>
      </c>
      <c r="I145" s="24" t="s">
        <v>424</v>
      </c>
    </row>
    <row r="146" ht="20.25" hidden="1" customHeight="1">
      <c r="A146" s="27">
        <v>26862.0</v>
      </c>
      <c r="B146" s="33" t="s">
        <v>21</v>
      </c>
      <c r="C146" s="33">
        <v>734.0</v>
      </c>
      <c r="D146" s="33" t="s">
        <v>425</v>
      </c>
      <c r="E146" s="24" t="s">
        <v>426</v>
      </c>
      <c r="F146" s="29">
        <v>41293.0</v>
      </c>
      <c r="G146" s="29">
        <v>41290.0</v>
      </c>
      <c r="H146" s="29">
        <v>41302.0</v>
      </c>
      <c r="I146" s="24" t="s">
        <v>427</v>
      </c>
    </row>
    <row r="147" ht="20.25" hidden="1" customHeight="1">
      <c r="A147" s="6">
        <v>26846.0</v>
      </c>
      <c r="B147" s="1" t="s">
        <v>21</v>
      </c>
      <c r="C147" s="1">
        <v>475.0</v>
      </c>
      <c r="D147" s="1" t="s">
        <v>428</v>
      </c>
      <c r="E147" s="13" t="s">
        <v>429</v>
      </c>
      <c r="F147" s="14">
        <v>41293.0</v>
      </c>
      <c r="G147" s="14">
        <v>41290.0</v>
      </c>
      <c r="H147" s="14">
        <v>41299.0</v>
      </c>
      <c r="I147" s="13" t="s">
        <v>430</v>
      </c>
    </row>
    <row r="148" ht="20.25" hidden="1" customHeight="1">
      <c r="A148" s="6">
        <v>26847.0</v>
      </c>
      <c r="B148" s="1" t="s">
        <v>21</v>
      </c>
      <c r="C148" s="1">
        <v>1280.0</v>
      </c>
      <c r="D148" s="1" t="s">
        <v>431</v>
      </c>
      <c r="E148" s="13" t="s">
        <v>331</v>
      </c>
      <c r="F148" s="14">
        <v>41291.0</v>
      </c>
      <c r="G148" s="14">
        <v>41290.0</v>
      </c>
      <c r="H148" s="14">
        <v>41299.0</v>
      </c>
      <c r="I148" s="13" t="s">
        <v>432</v>
      </c>
    </row>
    <row r="149" ht="20.25" hidden="1" customHeight="1">
      <c r="A149" s="6">
        <v>26702.0</v>
      </c>
      <c r="B149" s="1" t="s">
        <v>21</v>
      </c>
      <c r="C149" s="1">
        <v>515.0</v>
      </c>
      <c r="D149" s="1" t="s">
        <v>433</v>
      </c>
      <c r="E149" s="13" t="s">
        <v>434</v>
      </c>
      <c r="F149" s="14">
        <v>41290.0</v>
      </c>
      <c r="G149" s="14">
        <v>41290.0</v>
      </c>
      <c r="H149" s="14">
        <v>41302.0</v>
      </c>
      <c r="I149" s="13" t="s">
        <v>435</v>
      </c>
    </row>
    <row r="150" ht="20.25" hidden="1" customHeight="1">
      <c r="A150" s="27">
        <v>26845.0</v>
      </c>
      <c r="B150" s="33" t="s">
        <v>21</v>
      </c>
      <c r="C150" s="33">
        <v>950.0</v>
      </c>
      <c r="D150" s="33" t="s">
        <v>436</v>
      </c>
      <c r="E150" s="24" t="s">
        <v>437</v>
      </c>
      <c r="F150" s="29">
        <v>41289.0</v>
      </c>
      <c r="G150" s="29">
        <v>41290.0</v>
      </c>
      <c r="H150" s="29">
        <v>41298.0</v>
      </c>
      <c r="I150" s="39" t="s">
        <v>438</v>
      </c>
    </row>
    <row r="151" ht="20.25" hidden="1" customHeight="1">
      <c r="A151" s="6">
        <v>26263.0</v>
      </c>
      <c r="B151" s="1" t="s">
        <v>14</v>
      </c>
      <c r="C151" s="1">
        <v>2226.0</v>
      </c>
      <c r="D151" s="1" t="s">
        <v>439</v>
      </c>
      <c r="E151" s="13" t="s">
        <v>294</v>
      </c>
      <c r="F151" s="14">
        <v>41288.0</v>
      </c>
      <c r="G151" s="14">
        <v>41288.0</v>
      </c>
      <c r="H151" s="14">
        <v>41291.0</v>
      </c>
      <c r="I151" s="13" t="s">
        <v>440</v>
      </c>
    </row>
    <row r="152" ht="20.25" hidden="1" customHeight="1">
      <c r="A152" s="33">
        <v>26768.0</v>
      </c>
      <c r="B152" s="33" t="s">
        <v>14</v>
      </c>
      <c r="C152" s="33">
        <v>615.0</v>
      </c>
      <c r="D152" s="33" t="s">
        <v>441</v>
      </c>
      <c r="E152" s="24" t="s">
        <v>442</v>
      </c>
      <c r="F152" s="29">
        <v>41288.0</v>
      </c>
      <c r="G152" s="29">
        <v>41297.0</v>
      </c>
      <c r="H152" s="29">
        <v>41291.0</v>
      </c>
      <c r="I152" s="24" t="s">
        <v>443</v>
      </c>
    </row>
    <row r="153" ht="20.25" hidden="1" customHeight="1">
      <c r="A153" s="27">
        <v>26815.0</v>
      </c>
      <c r="B153" s="33" t="s">
        <v>21</v>
      </c>
      <c r="C153" s="33">
        <v>280.0</v>
      </c>
      <c r="D153" s="33" t="s">
        <v>444</v>
      </c>
      <c r="E153" s="24" t="s">
        <v>445</v>
      </c>
      <c r="F153" s="29">
        <v>41282.0</v>
      </c>
      <c r="G153" s="29">
        <v>41288.0</v>
      </c>
      <c r="H153" s="29">
        <v>41284.0</v>
      </c>
      <c r="I153" s="24" t="s">
        <v>446</v>
      </c>
    </row>
    <row r="154" ht="20.25" hidden="1" customHeight="1">
      <c r="A154" s="27">
        <v>26814.0</v>
      </c>
      <c r="B154" s="33" t="s">
        <v>14</v>
      </c>
      <c r="C154" s="33">
        <v>1000.0</v>
      </c>
      <c r="D154" s="33" t="s">
        <v>447</v>
      </c>
      <c r="E154" s="24" t="s">
        <v>448</v>
      </c>
      <c r="F154" s="29">
        <v>41281.0</v>
      </c>
      <c r="G154" s="29">
        <v>41281.0</v>
      </c>
      <c r="H154" s="29">
        <v>41285.0</v>
      </c>
      <c r="I154" s="24" t="s">
        <v>449</v>
      </c>
    </row>
    <row r="155" ht="20.25" hidden="1" customHeight="1">
      <c r="A155" s="27" t="s">
        <v>192</v>
      </c>
      <c r="B155" s="33" t="s">
        <v>21</v>
      </c>
      <c r="C155" s="33">
        <v>106.0</v>
      </c>
      <c r="D155" s="33" t="s">
        <v>450</v>
      </c>
      <c r="E155" s="24" t="s">
        <v>451</v>
      </c>
      <c r="F155" s="29">
        <v>41281.0</v>
      </c>
      <c r="G155" s="32" t="s">
        <v>210</v>
      </c>
      <c r="H155" s="29">
        <v>41284.0</v>
      </c>
      <c r="I155" s="24" t="s">
        <v>452</v>
      </c>
    </row>
    <row r="156" ht="20.25" hidden="1" customHeight="1">
      <c r="A156" s="27">
        <v>26830.0</v>
      </c>
      <c r="B156" s="33" t="s">
        <v>21</v>
      </c>
      <c r="C156" s="33">
        <v>1250.0</v>
      </c>
      <c r="D156" s="33" t="s">
        <v>453</v>
      </c>
      <c r="E156" s="24" t="s">
        <v>454</v>
      </c>
      <c r="F156" s="29">
        <v>41277.0</v>
      </c>
      <c r="G156" s="29">
        <v>41278.0</v>
      </c>
      <c r="H156" s="29">
        <v>41285.0</v>
      </c>
      <c r="I156" s="24" t="s">
        <v>455</v>
      </c>
    </row>
    <row r="157" ht="20.25" hidden="1" customHeight="1">
      <c r="A157" s="40">
        <v>26723.0</v>
      </c>
      <c r="B157" s="33" t="s">
        <v>14</v>
      </c>
      <c r="C157" s="33">
        <v>1250.0</v>
      </c>
      <c r="D157" s="33" t="s">
        <v>456</v>
      </c>
      <c r="E157" s="24" t="s">
        <v>457</v>
      </c>
      <c r="F157" s="29">
        <v>41276.0</v>
      </c>
      <c r="G157" s="29">
        <v>41281.0</v>
      </c>
      <c r="H157" s="29">
        <v>41288.0</v>
      </c>
      <c r="I157" s="24" t="s">
        <v>458</v>
      </c>
    </row>
    <row r="158" ht="20.25" hidden="1" customHeight="1">
      <c r="A158" s="27">
        <v>26838.0</v>
      </c>
      <c r="B158" s="33" t="s">
        <v>25</v>
      </c>
      <c r="C158" s="33">
        <v>1754.0</v>
      </c>
      <c r="D158" s="33" t="s">
        <v>459</v>
      </c>
      <c r="E158" s="24" t="s">
        <v>460</v>
      </c>
      <c r="F158" s="29">
        <v>41276.0</v>
      </c>
      <c r="G158" s="29">
        <v>41278.0</v>
      </c>
      <c r="H158" s="29">
        <v>41285.0</v>
      </c>
      <c r="I158" s="24" t="s">
        <v>461</v>
      </c>
    </row>
    <row r="159" ht="20.25" hidden="1" customHeight="1">
      <c r="A159" s="27">
        <v>26809.0</v>
      </c>
      <c r="B159" s="33" t="s">
        <v>14</v>
      </c>
      <c r="C159" s="33">
        <v>948.0</v>
      </c>
      <c r="D159" s="33" t="s">
        <v>462</v>
      </c>
      <c r="E159" s="24" t="s">
        <v>463</v>
      </c>
      <c r="F159" s="29">
        <v>41276.0</v>
      </c>
      <c r="G159" s="29">
        <v>41277.0</v>
      </c>
      <c r="H159" s="29">
        <v>41282.0</v>
      </c>
      <c r="I159" s="24" t="s">
        <v>464</v>
      </c>
    </row>
    <row r="160" ht="20.25" hidden="1" customHeight="1">
      <c r="A160" s="27" t="s">
        <v>465</v>
      </c>
      <c r="B160" s="33" t="s">
        <v>21</v>
      </c>
      <c r="C160" s="33">
        <v>200.0</v>
      </c>
      <c r="D160" s="33" t="s">
        <v>466</v>
      </c>
      <c r="E160" s="24" t="s">
        <v>467</v>
      </c>
      <c r="F160" s="29">
        <v>41276.0</v>
      </c>
      <c r="G160" s="29">
        <v>41283.0</v>
      </c>
      <c r="H160" s="29">
        <v>41281.0</v>
      </c>
      <c r="I160" s="24" t="s">
        <v>468</v>
      </c>
    </row>
    <row r="161" ht="20.25" hidden="1" customHeight="1">
      <c r="A161" s="27">
        <v>26487.0</v>
      </c>
      <c r="B161" s="33" t="s">
        <v>14</v>
      </c>
      <c r="C161" s="33">
        <v>1000.0</v>
      </c>
      <c r="D161" s="33" t="s">
        <v>469</v>
      </c>
      <c r="E161" s="24" t="s">
        <v>363</v>
      </c>
      <c r="F161" s="29">
        <v>41275.0</v>
      </c>
      <c r="G161" s="29">
        <v>41281.0</v>
      </c>
      <c r="H161" s="29">
        <v>41288.0</v>
      </c>
      <c r="I161" s="13" t="s">
        <v>470</v>
      </c>
    </row>
    <row r="162" ht="20.25" hidden="1" customHeight="1">
      <c r="A162" s="27">
        <v>26806.0</v>
      </c>
      <c r="B162" s="33" t="s">
        <v>14</v>
      </c>
      <c r="C162" s="33">
        <v>2500.0</v>
      </c>
      <c r="D162" s="33" t="s">
        <v>471</v>
      </c>
      <c r="E162" s="24" t="s">
        <v>472</v>
      </c>
      <c r="F162" s="29">
        <v>41274.0</v>
      </c>
      <c r="G162" s="29">
        <v>41278.0</v>
      </c>
      <c r="H162" s="29">
        <v>41284.0</v>
      </c>
      <c r="I162" s="24" t="s">
        <v>473</v>
      </c>
    </row>
    <row r="163" ht="20.25" hidden="1" customHeight="1">
      <c r="A163" s="6">
        <v>26807.0</v>
      </c>
      <c r="B163" s="1" t="s">
        <v>14</v>
      </c>
      <c r="C163" s="1">
        <v>1280.0</v>
      </c>
      <c r="D163" s="1" t="s">
        <v>474</v>
      </c>
      <c r="E163" s="13" t="s">
        <v>331</v>
      </c>
      <c r="F163" s="14">
        <v>41273.0</v>
      </c>
      <c r="G163" s="14">
        <v>41276.0</v>
      </c>
      <c r="H163" s="14">
        <v>41282.0</v>
      </c>
      <c r="I163" s="13" t="s">
        <v>475</v>
      </c>
    </row>
    <row r="164" ht="20.25" hidden="1" customHeight="1">
      <c r="A164" s="27">
        <v>26343.0</v>
      </c>
      <c r="B164" s="33" t="s">
        <v>21</v>
      </c>
      <c r="C164" s="33">
        <v>1782.0</v>
      </c>
      <c r="D164" s="33" t="s">
        <v>476</v>
      </c>
      <c r="E164" s="24" t="s">
        <v>319</v>
      </c>
      <c r="F164" s="29">
        <v>41272.0</v>
      </c>
      <c r="G164" s="29">
        <v>41639.0</v>
      </c>
      <c r="H164" s="29">
        <v>41282.0</v>
      </c>
      <c r="I164" s="24" t="s">
        <v>477</v>
      </c>
    </row>
    <row r="165" ht="20.25" hidden="1" customHeight="1">
      <c r="A165" s="6">
        <v>26795.0</v>
      </c>
      <c r="B165" s="1" t="s">
        <v>14</v>
      </c>
      <c r="C165" s="1">
        <v>80.0</v>
      </c>
      <c r="D165" s="1" t="s">
        <v>478</v>
      </c>
      <c r="E165" s="13" t="s">
        <v>479</v>
      </c>
      <c r="F165" s="14">
        <v>41272.0</v>
      </c>
      <c r="G165" s="14">
        <v>41276.0</v>
      </c>
      <c r="H165" s="14">
        <v>41276.0</v>
      </c>
      <c r="I165" s="13"/>
    </row>
    <row r="166" ht="20.25" hidden="1" customHeight="1">
      <c r="A166" s="33">
        <v>26767.0</v>
      </c>
      <c r="B166" s="33" t="s">
        <v>14</v>
      </c>
      <c r="C166" s="33">
        <v>1247.0</v>
      </c>
      <c r="D166" s="33" t="s">
        <v>480</v>
      </c>
      <c r="E166" s="24" t="s">
        <v>481</v>
      </c>
      <c r="F166" s="29">
        <v>41269.0</v>
      </c>
      <c r="G166" s="29">
        <v>41271.0</v>
      </c>
      <c r="H166" s="29">
        <v>41277.0</v>
      </c>
      <c r="I166" s="35" t="s">
        <v>482</v>
      </c>
    </row>
    <row r="167" ht="23.25" hidden="1" customHeight="1">
      <c r="A167" s="33">
        <v>26831.0</v>
      </c>
      <c r="B167" s="33" t="s">
        <v>21</v>
      </c>
      <c r="C167" s="33">
        <v>944.0</v>
      </c>
      <c r="D167" s="33" t="s">
        <v>483</v>
      </c>
      <c r="E167" s="24" t="s">
        <v>484</v>
      </c>
      <c r="F167" s="29">
        <v>41269.0</v>
      </c>
      <c r="G167" s="29">
        <v>41264.0</v>
      </c>
      <c r="H167" s="29">
        <v>41276.0</v>
      </c>
      <c r="I167" s="35" t="s">
        <v>485</v>
      </c>
    </row>
    <row r="168" ht="27.0" hidden="1" customHeight="1">
      <c r="A168" s="27">
        <v>26805.0</v>
      </c>
      <c r="B168" s="33" t="s">
        <v>25</v>
      </c>
      <c r="C168" s="33">
        <v>589.0</v>
      </c>
      <c r="D168" s="33" t="s">
        <v>486</v>
      </c>
      <c r="E168" s="24" t="s">
        <v>487</v>
      </c>
      <c r="F168" s="29">
        <v>41268.0</v>
      </c>
      <c r="G168" s="29">
        <v>41291.0</v>
      </c>
      <c r="H168" s="29">
        <v>41282.0</v>
      </c>
      <c r="I168" s="24" t="s">
        <v>488</v>
      </c>
    </row>
    <row r="169" ht="20.25" hidden="1" customHeight="1">
      <c r="A169" s="1">
        <v>26764.0</v>
      </c>
      <c r="B169" s="1" t="s">
        <v>21</v>
      </c>
      <c r="C169" s="1">
        <v>1280.0</v>
      </c>
      <c r="D169" s="1" t="s">
        <v>489</v>
      </c>
      <c r="E169" s="13" t="s">
        <v>331</v>
      </c>
      <c r="F169" s="14">
        <v>41266.0</v>
      </c>
      <c r="G169" s="14">
        <v>41262.0</v>
      </c>
      <c r="H169" s="14">
        <v>41277.0</v>
      </c>
      <c r="I169" s="26" t="s">
        <v>490</v>
      </c>
    </row>
    <row r="170" ht="20.25" hidden="1" customHeight="1">
      <c r="A170" s="6"/>
      <c r="B170" s="12"/>
      <c r="C170" s="12"/>
      <c r="D170" s="6"/>
      <c r="E170" s="13"/>
      <c r="F170" s="4"/>
      <c r="G170" s="4"/>
      <c r="H170" s="4"/>
      <c r="I170" s="9"/>
    </row>
    <row r="171" ht="20.25" customHeight="1">
      <c r="A171" s="6"/>
      <c r="B171" s="12"/>
      <c r="C171" s="12"/>
      <c r="D171" s="6"/>
      <c r="E171" s="13"/>
      <c r="F171" s="4"/>
      <c r="G171" s="4"/>
      <c r="H171" s="4"/>
      <c r="I171" s="26"/>
    </row>
    <row r="172" ht="20.25" customHeight="1">
      <c r="A172" s="6"/>
      <c r="B172" s="12"/>
      <c r="C172" s="12"/>
      <c r="D172" s="6"/>
      <c r="E172" s="13"/>
      <c r="F172" s="4"/>
      <c r="G172" s="4"/>
      <c r="H172" s="4"/>
      <c r="I172" s="26"/>
    </row>
    <row r="173" ht="12.75" customHeight="1">
      <c r="A173" s="6"/>
      <c r="B173" s="1"/>
      <c r="C173" s="1"/>
      <c r="D173" s="1"/>
      <c r="E173" s="13"/>
      <c r="F173" s="4"/>
      <c r="G173" s="4"/>
      <c r="H173" s="4"/>
      <c r="I173" s="13"/>
    </row>
    <row r="174" ht="12.75" customHeight="1">
      <c r="A174" s="33"/>
      <c r="B174" s="33"/>
      <c r="C174" s="33"/>
      <c r="D174" s="33"/>
      <c r="E174" s="24"/>
      <c r="F174" s="32"/>
      <c r="G174" s="32"/>
      <c r="H174" s="32"/>
      <c r="I174" s="41"/>
    </row>
    <row r="175" ht="12.75" customHeight="1">
      <c r="A175" s="33"/>
      <c r="B175" s="33"/>
      <c r="C175" s="33"/>
      <c r="D175" s="33"/>
      <c r="E175" s="24"/>
      <c r="F175" s="32"/>
      <c r="G175" s="32"/>
      <c r="H175" s="32"/>
      <c r="I175" s="41"/>
    </row>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I$170">
    <filterColumn colId="4">
      <filters>
        <filter val="Red Ginseng RJ / UltS Red Panax Ginseng Ext 30's"/>
        <filter val="Seirogan Toi A"/>
        <filter val="Paper box, poster"/>
        <filter val="AMG Instant Tea, Instant WAMG Tea"/>
        <filter val="Red Panax Ginseng Ext 10's/30's, Ginkgo Biloba &amp; Red Panax Ext 30's, Ult Ginkgo plus w/Eleuthero &amp; Tibetan Rhodiola 30's"/>
        <filter val="Panax Ginseng Extractum Oral Liquid 10ccx10/30, Red Ginseng Royal Jelly 10ccX10/30"/>
        <filter val="POP Organic Green/Jasmine 100's, Organic Oolong/White 20's/100's, Pu-Erh 100's"/>
        <filter val="AM GSG RT Alum Foil, Tag"/>
        <filter val="Honey Loquat Pastilles"/>
        <filter val="Paper box, sticker, calendars"/>
        <filter val="Paper box, label, flyer, box-inner tray, Plastic tray, leaflet, desiccant, paper bag"/>
        <filter val="Green tea 100's, Organic Green tea 100's, Jasmine tea 100's, white tea 100's"/>
        <filter val="(LCL) Paper Box, Banner, Labels, Printed Matter"/>
        <filter val="Delacre: Ensemble 6x300g, Ensemble RED 6x300g POP V13, Grand Gala 6x500g, Royal Belgian Collection 4x700g, Tea Time 6x1kg, Roules d or 6x1kg, Prince Collection 6x700g"/>
        <filter val="Korean Ginseng Tea (K-80024, K-80027)"/>
        <filter val="ORG Grn Tea 100's/ORG JAS Tea 100's/ Dragon Well 250g/Pearl Jasmin 150g/Ti Guan Yin 250g/Pu-erh 200g"/>
        <filter val="American Ginseng Instant Tea 20's/100's, Instant WAG Tea 100's"/>
        <filter val="Delacre: Ensemble RED 6x300g, Royal Belgian Collection 4x700g, Prince Collection 6x700g, Tea Time 6x1kg, Roles d or 6x1kg"/>
        <filter val="Green Tea 20/100's, JPN Grn Tea/Jasmine Tea/Oolong Tea/White TeaX100's, Organic Oolong Tea 20/100's"/>
        <filter val="Wu-Long Tea 60's"/>
        <filter val="Cheezheng Pain Relieving Plaster (By Air)"/>
        <filter val="Paper Box, Plastic Box, Labels, Dehumidifier Machine, Inkjet Printer, Powder Machine, Envelope, Oxygen Absorber"/>
        <filter val="Dong Quai &amp; Red Date Tea, Dark Brown Sugar Ginger Honey Crystal, Goji Berry Chrysanthemum Honey Crystal."/>
        <filter val="YNBY Plaster &amp; Capsule (Air Shipment)"/>
        <filter val="Red Panax GSG Ext 10's/30's, Ginkgo Biloba &amp; Red PNX Ext 10's, Ult Ginkgo + w/Eleuthero&amp;Tibetan Rhodiola 30's, AM GSG w/Royal Jelly&amp;Bee Pollen 10', Ult Joint Health Liquid Ext 30's"/>
        <filter val="Ginger Candy 150g"/>
        <filter val="Paper box, plastic lid/bottle"/>
        <filter val="Paper Box, Plastic Tray, Label, Oxygen Absorber, Banner, Carpet, Books (SOBEM), Packaging Material (Plastic Bag/Flyer)"/>
        <filter val="Paper Box, Flag &amp; Flagpole"/>
        <filter val="American Ginseng Instant Tea 20's/100's, Instant WAG Tea 20's/100's"/>
        <filter val="Gavottes Biscuits"/>
        <filter val="Paper Box, Glass Bottle, Injket Machine, Printed Matter, Banner, Plastic Bag, Bak Foong Pills, Garlic POwder"/>
        <filter val="Coldaid, Fluaid"/>
        <filter val="POP Milk Tea"/>
        <filter val="Japanese Green Tea/Jasmine Tea 100's, White Tea 20's"/>
        <filter val="Green Tea 20's/100's, Oolong Tea 100's"/>
        <filter val="POP Coffee"/>
        <filter val="D-13112 &amp; D-15112 Green Tea 100's, Oolong Tea 100's, Ti Kuan Yin Tea 100's)"/>
        <filter val="Cheezheng Pain Relieving Plaster"/>
        <filter val="Korean Red Ginseng Powder (5kgx36bags)"/>
        <filter val="Prince's Choice Cookie tin, paper box, plastic tray, label, plastic bag, Catalog (Goumet/Supplement)"/>
        <filter val="Han's Honey Loquat, AM GSG Ins Tea(100/20/20x3), Ins Wild AM GSG(100)"/>
        <filter val="Panax Ginseng Ext 10's/30's, Reg Ginseng RJ 10's/30's"/>
        <filter val="Org Green/Org Jasmine/Org White/Org Blackx100, Org Greenx20, Jasmine Green/Pu-Erh Black 200g box"/>
        <filter val="Paper box, printed matter, stickers"/>
        <filter val="Organic Tea (Green, Oolong, White)"/>
        <filter val="Korean Ginseng Tea (K-80027)"/>
        <filter val="POP 3 in 1 Tea Latte"/>
        <filter val="Organic Green Tea/Jasmine Tea/Organic Oolong Tea/Oolong Tea/Ti Kuan Yin X 100's, Green tea/Organic Oolong Tea x 20's"/>
        <filter val="Seirogan 36/100/400"/>
        <filter val="AM GSG Hard Candy 8/4.78 oz"/>
        <filter val="NZ Honey"/>
        <filter val="Corrugated Carton, Plastic Bag, Printed matter, Paper Cup/Box, Plastic Lid"/>
        <filter val="AMG RT Tag/Alum Foil  (Sun Ten)"/>
        <filter val="Ginkgo Biloba &amp; Red Panax Ginseng Ext, BJ RJ w/Bee Pollen, Ult Ginkgo Plus w/Eleuthero &amp; Tibetan Rhodiola, Ult Joint Health Liquid Ext"/>
        <filter val="POP 3 in 1 Express Coffee"/>
        <filter val="Delacre: Prince collection 6x, tea time 6x1kg, ensemble red 6x300g, roule de or 6x1kg"/>
        <filter val="Delacre: Ensemble 6x300g, Ensemble Red 6x300g POPV13, Royal Belgian Collection 4x700g, Prince Collection 6x700g, Tea Time 6x1kg, Roules d or 6x1kg, Marquisettes 12x175g"/>
        <filter val="Ginger Honey Crystal 10's/30's, Dark Brown Sugar Ginger Honey Crystals"/>
        <filter val="POP Organic Jasmine/Oolong/White 100's, Organic White 20's"/>
        <filter val="GVCU5312776"/>
        <filter val="American GSG Inst Tea, Ins WD AM GSG Tea 100'/60'/20'"/>
        <filter val="Cheezheng Plaster"/>
        <filter val="Facial Mask 10's, Display, Flyer"/>
        <filter val="Macadamia Nougat: Original, Cranberry, Green Tea"/>
        <filter val="Soup Bags, Cup, Paper Box, Blades"/>
        <filter val="Ginger Honey Crystals 10's/30's,  Jujube Longan Honey Crystal 10's"/>
        <filter val="Tu Chung Tea, Young Ji Tea"/>
        <filter val="Digestive 400g"/>
        <filter val="AM GSG RT: Alum Foil, Tag to Sun Ten"/>
        <filter val="Delacre: Ensemble 300g, Belgian Collect'n 700g, Tea Time 1k, Roules d'Or 1k, Delichoc Milk/Dark 150g, Milk/Dark Chocolate Biscuits 150g"/>
        <filter val="Paper Box, Banner, Plastic Lid, Blades, Plastic Bag,Bak Foong Pill"/>
        <filter val="Seirogan 100/400"/>
        <filter val="POP Loquat Pastilles 130g"/>
        <filter val="Paper Box for Prince Choice Cookies, Poster"/>
        <filter val="Delacre"/>
        <filter val="Macadamia Nut (Original/Cranberry/Green Tea)"/>
        <filter val="American Ginseng Hard Candy (8oz, 4.78oz)"/>
        <filter val="Rich Tea, Digestive biscuits"/>
        <filter val="Red Panax Ginseng Ext 30's"/>
        <filter val="Shrink Wrap Machine"/>
        <filter val="POP Organic Green Tea 20's/100's, Organic Oolong Tea 20's, Pu-Erh Tea 100's"/>
        <filter val="YNBY (Plaster, Capsules)"/>
        <filter val="POP Honey Loquat Pastilles 130g"/>
        <filter val="Panax GSG Extm, Green Tea Ext, Goji on the go"/>
        <filter val="Delacre: Ensemble 300g, Belgian Collect'n 700g, Tea Time 1k, Roules d'Or 1k"/>
        <filter val="Organic Jasmin/White Tea x 100's, Organic White Tea x 20's, Pi Lo Chun Green Tea 300g"/>
        <filter val="Envelope, Calendars"/>
        <filter val="AMG Instant Tea/Instant WAG Tea 20's/100's, Bulk Scholartree Fruit Tree."/>
        <filter val="Loc Maria: Plain Crispy Crepes 1.25kg, ET Gal Cara Vanille 120g, ET Gal Choc Orange 120g"/>
      </filters>
    </filterColumn>
    <filterColumn colId="1">
      <filters blank="1">
        <filter val="NJ"/>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86"/>
    <col customWidth="1" min="2" max="2" width="12.14"/>
    <col customWidth="1" min="3" max="3" width="8.71"/>
    <col customWidth="1" min="4" max="4" width="17.0"/>
    <col customWidth="1" min="5" max="5" width="43.71"/>
    <col customWidth="1" min="6" max="6" width="9.57"/>
    <col customWidth="1" min="7" max="7" width="46.57"/>
    <col customWidth="1" min="8" max="8" width="22.71"/>
    <col customWidth="1" min="9" max="9" width="50.71"/>
    <col customWidth="1" min="10" max="10" width="17.29"/>
  </cols>
  <sheetData>
    <row r="1" ht="15.75" customHeight="1">
      <c r="A1" s="1"/>
      <c r="B1" s="1"/>
      <c r="C1" s="2"/>
      <c r="D1" s="2"/>
      <c r="E1" s="3" t="s">
        <v>491</v>
      </c>
      <c r="F1" s="4" t="s">
        <v>492</v>
      </c>
      <c r="G1" s="4"/>
      <c r="H1" s="4"/>
      <c r="I1" s="5" t="s">
        <v>1</v>
      </c>
      <c r="J1" s="26"/>
    </row>
    <row r="2" ht="48.75" customHeight="1">
      <c r="A2" s="1"/>
      <c r="B2" s="6" t="s">
        <v>2</v>
      </c>
      <c r="C2" s="1"/>
      <c r="D2" s="1"/>
      <c r="E2" s="7" t="s">
        <v>3</v>
      </c>
      <c r="F2" s="8" t="s">
        <v>4</v>
      </c>
      <c r="G2" s="8" t="s">
        <v>5</v>
      </c>
      <c r="H2" s="8" t="s">
        <v>6</v>
      </c>
      <c r="I2" s="9"/>
      <c r="J2" s="9"/>
    </row>
    <row r="3" ht="1.5" customHeight="1">
      <c r="A3" s="10" t="s">
        <v>7</v>
      </c>
      <c r="B3" s="10" t="s">
        <v>8</v>
      </c>
      <c r="C3" s="10" t="s">
        <v>9</v>
      </c>
      <c r="D3" s="10" t="s">
        <v>10</v>
      </c>
      <c r="E3" s="10" t="s">
        <v>11</v>
      </c>
      <c r="F3" s="11" t="s">
        <v>12</v>
      </c>
      <c r="G3" s="11" t="s">
        <v>12</v>
      </c>
      <c r="H3" s="11" t="s">
        <v>12</v>
      </c>
      <c r="I3" s="10" t="s">
        <v>13</v>
      </c>
      <c r="J3" s="10" t="s">
        <v>493</v>
      </c>
    </row>
    <row r="4" ht="22.5" customHeight="1">
      <c r="A4" s="42">
        <v>28680.0</v>
      </c>
      <c r="B4" s="12" t="s">
        <v>14</v>
      </c>
      <c r="C4" s="12">
        <v>810.0</v>
      </c>
      <c r="D4" s="42" t="s">
        <v>494</v>
      </c>
      <c r="E4" s="13" t="s">
        <v>495</v>
      </c>
      <c r="F4" s="14">
        <v>41994.0</v>
      </c>
      <c r="G4" s="14">
        <v>41992.0</v>
      </c>
      <c r="H4" s="21">
        <v>42003.0</v>
      </c>
      <c r="I4" s="9" t="s">
        <v>496</v>
      </c>
      <c r="J4" s="9" t="s">
        <v>497</v>
      </c>
    </row>
    <row r="5" ht="22.5" customHeight="1">
      <c r="A5" s="42">
        <v>28635.0</v>
      </c>
      <c r="B5" s="12" t="s">
        <v>21</v>
      </c>
      <c r="C5" s="12">
        <v>1040.0</v>
      </c>
      <c r="D5" s="42" t="s">
        <v>498</v>
      </c>
      <c r="E5" s="13" t="s">
        <v>499</v>
      </c>
      <c r="F5" s="14">
        <v>41985.0</v>
      </c>
      <c r="G5" s="14">
        <v>41967.0</v>
      </c>
      <c r="H5" s="16">
        <v>41995.0</v>
      </c>
      <c r="I5" s="9" t="s">
        <v>500</v>
      </c>
      <c r="J5" s="9"/>
    </row>
    <row r="6" ht="22.5" customHeight="1">
      <c r="A6" s="42">
        <v>28656.0</v>
      </c>
      <c r="B6" s="12" t="s">
        <v>21</v>
      </c>
      <c r="C6" s="12">
        <v>800.0</v>
      </c>
      <c r="D6" s="42" t="s">
        <v>501</v>
      </c>
      <c r="E6" s="13" t="s">
        <v>502</v>
      </c>
      <c r="F6" s="14">
        <v>41981.0</v>
      </c>
      <c r="G6" s="14">
        <v>41982.0</v>
      </c>
      <c r="H6" s="16">
        <v>41991.0</v>
      </c>
      <c r="I6" s="9" t="s">
        <v>503</v>
      </c>
      <c r="J6" s="9"/>
    </row>
    <row r="7" ht="22.5" customHeight="1">
      <c r="A7" s="42">
        <v>28254.0</v>
      </c>
      <c r="B7" s="12" t="s">
        <v>14</v>
      </c>
      <c r="C7" s="12">
        <v>878.0</v>
      </c>
      <c r="D7" s="42" t="s">
        <v>504</v>
      </c>
      <c r="E7" s="13" t="s">
        <v>505</v>
      </c>
      <c r="F7" s="14">
        <v>41981.0</v>
      </c>
      <c r="G7" s="14">
        <v>41983.0</v>
      </c>
      <c r="H7" s="21">
        <v>41989.0</v>
      </c>
      <c r="I7" s="9" t="s">
        <v>506</v>
      </c>
      <c r="J7" s="9"/>
    </row>
    <row r="8" ht="22.5" customHeight="1">
      <c r="A8" s="42">
        <v>28256.0</v>
      </c>
      <c r="B8" s="12" t="s">
        <v>14</v>
      </c>
      <c r="C8" s="12">
        <v>866.0</v>
      </c>
      <c r="D8" s="42" t="s">
        <v>507</v>
      </c>
      <c r="E8" s="13"/>
      <c r="F8" s="14">
        <v>41977.0</v>
      </c>
      <c r="G8" s="14">
        <v>41977.0</v>
      </c>
      <c r="H8" s="21">
        <v>41981.0</v>
      </c>
      <c r="I8" s="9" t="s">
        <v>508</v>
      </c>
      <c r="J8" s="9"/>
    </row>
    <row r="9" ht="22.5" customHeight="1">
      <c r="A9" s="42">
        <v>28253.0</v>
      </c>
      <c r="B9" s="12" t="s">
        <v>25</v>
      </c>
      <c r="C9" s="12">
        <v>1708.0</v>
      </c>
      <c r="D9" s="42" t="s">
        <v>509</v>
      </c>
      <c r="E9" s="13" t="s">
        <v>505</v>
      </c>
      <c r="F9" s="14">
        <v>41973.0</v>
      </c>
      <c r="G9" s="14">
        <v>41977.0</v>
      </c>
      <c r="H9" s="21">
        <v>41992.0</v>
      </c>
      <c r="I9" s="43" t="s">
        <v>510</v>
      </c>
      <c r="J9" s="9"/>
    </row>
    <row r="10" ht="22.5" customHeight="1">
      <c r="A10" s="42">
        <v>28355.0</v>
      </c>
      <c r="B10" s="12" t="s">
        <v>21</v>
      </c>
      <c r="C10" s="12">
        <v>508.0</v>
      </c>
      <c r="D10" s="42" t="s">
        <v>511</v>
      </c>
      <c r="E10" s="13" t="s">
        <v>512</v>
      </c>
      <c r="F10" s="14">
        <v>41972.0</v>
      </c>
      <c r="G10" s="14">
        <v>41976.0</v>
      </c>
      <c r="H10" s="16">
        <v>41990.0</v>
      </c>
      <c r="I10" s="43" t="s">
        <v>513</v>
      </c>
      <c r="J10" s="9" t="s">
        <v>497</v>
      </c>
    </row>
    <row r="11" ht="22.5" customHeight="1">
      <c r="A11" s="42">
        <v>28293.0</v>
      </c>
      <c r="B11" s="12" t="s">
        <v>14</v>
      </c>
      <c r="C11" s="12">
        <v>667.0</v>
      </c>
      <c r="D11" s="42" t="s">
        <v>514</v>
      </c>
      <c r="E11" s="13" t="s">
        <v>515</v>
      </c>
      <c r="F11" s="14">
        <v>41968.0</v>
      </c>
      <c r="G11" s="14">
        <v>41969.0</v>
      </c>
      <c r="H11" s="21">
        <v>41975.0</v>
      </c>
      <c r="I11" s="9" t="s">
        <v>516</v>
      </c>
      <c r="J11" s="9" t="s">
        <v>497</v>
      </c>
    </row>
    <row r="12" ht="22.5" customHeight="1">
      <c r="A12" s="42">
        <v>28572.0</v>
      </c>
      <c r="B12" s="12" t="s">
        <v>14</v>
      </c>
      <c r="C12" s="12">
        <v>862.0</v>
      </c>
      <c r="D12" s="42" t="s">
        <v>517</v>
      </c>
      <c r="E12" s="13" t="s">
        <v>518</v>
      </c>
      <c r="F12" s="14">
        <v>41967.0</v>
      </c>
      <c r="G12" s="14">
        <v>41969.0</v>
      </c>
      <c r="H12" s="21">
        <v>41974.0</v>
      </c>
      <c r="I12" s="9" t="s">
        <v>519</v>
      </c>
      <c r="J12" s="9"/>
    </row>
    <row r="13" ht="22.5" customHeight="1">
      <c r="A13" s="42">
        <v>28615.0</v>
      </c>
      <c r="B13" s="12" t="s">
        <v>21</v>
      </c>
      <c r="C13" s="12">
        <v>450.0</v>
      </c>
      <c r="D13" s="42" t="s">
        <v>520</v>
      </c>
      <c r="E13" s="13" t="s">
        <v>521</v>
      </c>
      <c r="F13" s="14">
        <v>41965.0</v>
      </c>
      <c r="G13" s="14">
        <v>41962.0</v>
      </c>
      <c r="H13" s="21">
        <v>41978.0</v>
      </c>
      <c r="I13" s="43" t="s">
        <v>522</v>
      </c>
      <c r="J13" s="9"/>
    </row>
    <row r="14" ht="22.5" customHeight="1">
      <c r="A14" s="42">
        <v>28632.0</v>
      </c>
      <c r="B14" s="12" t="s">
        <v>21</v>
      </c>
      <c r="C14" s="12">
        <v>700.0</v>
      </c>
      <c r="D14" s="42" t="s">
        <v>523</v>
      </c>
      <c r="E14" s="13" t="s">
        <v>524</v>
      </c>
      <c r="F14" s="14">
        <v>41964.0</v>
      </c>
      <c r="G14" s="14">
        <v>41962.0</v>
      </c>
      <c r="H14" s="16">
        <v>41976.0</v>
      </c>
      <c r="I14" s="9" t="s">
        <v>525</v>
      </c>
      <c r="J14" s="9"/>
    </row>
    <row r="15" ht="22.5" customHeight="1">
      <c r="A15" s="42">
        <v>28631.0</v>
      </c>
      <c r="B15" s="12" t="s">
        <v>21</v>
      </c>
      <c r="C15" s="12">
        <v>1074.0</v>
      </c>
      <c r="D15" s="42" t="s">
        <v>526</v>
      </c>
      <c r="E15" s="13" t="s">
        <v>527</v>
      </c>
      <c r="F15" s="14">
        <v>41964.0</v>
      </c>
      <c r="G15" s="14">
        <v>41964.0</v>
      </c>
      <c r="H15" s="21">
        <v>41983.0</v>
      </c>
      <c r="I15" s="43" t="s">
        <v>528</v>
      </c>
      <c r="J15" s="9"/>
    </row>
    <row r="16" ht="22.5" customHeight="1">
      <c r="A16" s="42">
        <v>28392.0</v>
      </c>
      <c r="B16" s="12" t="s">
        <v>21</v>
      </c>
      <c r="C16" s="12">
        <v>496.0</v>
      </c>
      <c r="D16" s="42" t="s">
        <v>529</v>
      </c>
      <c r="E16" s="13" t="s">
        <v>530</v>
      </c>
      <c r="F16" s="14">
        <v>41961.0</v>
      </c>
      <c r="G16" s="4" t="s">
        <v>28</v>
      </c>
      <c r="H16" s="16">
        <v>41969.0</v>
      </c>
      <c r="I16" s="9" t="s">
        <v>531</v>
      </c>
      <c r="J16" s="9" t="s">
        <v>497</v>
      </c>
    </row>
    <row r="17" ht="22.5" customHeight="1">
      <c r="A17" s="42">
        <v>28342.0</v>
      </c>
      <c r="B17" s="12" t="s">
        <v>21</v>
      </c>
      <c r="C17" s="12">
        <v>320.0</v>
      </c>
      <c r="D17" s="42" t="s">
        <v>532</v>
      </c>
      <c r="E17" s="13" t="s">
        <v>533</v>
      </c>
      <c r="F17" s="14">
        <v>41961.0</v>
      </c>
      <c r="G17" s="14">
        <v>42016.0</v>
      </c>
      <c r="H17" s="21">
        <v>41969.0</v>
      </c>
      <c r="I17" s="9" t="s">
        <v>534</v>
      </c>
      <c r="J17" s="9"/>
    </row>
    <row r="18" ht="22.5" customHeight="1">
      <c r="A18" s="42">
        <v>28159.0</v>
      </c>
      <c r="B18" s="12" t="s">
        <v>14</v>
      </c>
      <c r="C18" s="12">
        <v>1991.0</v>
      </c>
      <c r="D18" s="42" t="s">
        <v>535</v>
      </c>
      <c r="E18" s="13" t="s">
        <v>536</v>
      </c>
      <c r="F18" s="14">
        <v>41961.0</v>
      </c>
      <c r="G18" s="14">
        <v>41955.0</v>
      </c>
      <c r="H18" s="21">
        <v>41964.0</v>
      </c>
      <c r="I18" s="9" t="s">
        <v>537</v>
      </c>
      <c r="J18" s="9"/>
    </row>
    <row r="19" ht="22.5" customHeight="1">
      <c r="A19" s="42">
        <v>28581.0</v>
      </c>
      <c r="B19" s="12" t="s">
        <v>21</v>
      </c>
      <c r="C19" s="12">
        <v>800.0</v>
      </c>
      <c r="D19" s="42" t="s">
        <v>538</v>
      </c>
      <c r="E19" s="13" t="s">
        <v>539</v>
      </c>
      <c r="F19" s="14">
        <v>41959.0</v>
      </c>
      <c r="G19" s="14">
        <v>41962.0</v>
      </c>
      <c r="H19" s="21">
        <v>41964.0</v>
      </c>
      <c r="I19" s="9" t="s">
        <v>540</v>
      </c>
      <c r="J19" s="9"/>
    </row>
    <row r="20" ht="22.5" customHeight="1">
      <c r="A20" s="42"/>
      <c r="B20" s="12" t="s">
        <v>14</v>
      </c>
      <c r="C20" s="12">
        <v>21.0</v>
      </c>
      <c r="D20" s="42" t="s">
        <v>541</v>
      </c>
      <c r="E20" s="13" t="s">
        <v>542</v>
      </c>
      <c r="F20" s="14">
        <v>41953.0</v>
      </c>
      <c r="G20" s="14">
        <v>41955.0</v>
      </c>
      <c r="H20" s="21">
        <v>41957.0</v>
      </c>
      <c r="I20" s="9" t="s">
        <v>543</v>
      </c>
      <c r="J20" s="9"/>
    </row>
    <row r="21" ht="22.5" customHeight="1">
      <c r="A21" s="42">
        <v>28575.0</v>
      </c>
      <c r="B21" s="12" t="s">
        <v>21</v>
      </c>
      <c r="C21" s="12">
        <v>930.0</v>
      </c>
      <c r="D21" s="42" t="s">
        <v>544</v>
      </c>
      <c r="E21" s="13" t="s">
        <v>545</v>
      </c>
      <c r="F21" s="14">
        <v>41952.0</v>
      </c>
      <c r="G21" s="14">
        <v>41950.0</v>
      </c>
      <c r="H21" s="21">
        <v>41964.0</v>
      </c>
      <c r="I21" s="9" t="s">
        <v>546</v>
      </c>
      <c r="J21" s="9"/>
    </row>
    <row r="22" ht="22.5" customHeight="1">
      <c r="A22" s="42" t="s">
        <v>547</v>
      </c>
      <c r="B22" s="12" t="s">
        <v>21</v>
      </c>
      <c r="C22" s="12">
        <v>189.0</v>
      </c>
      <c r="D22" s="42" t="s">
        <v>548</v>
      </c>
      <c r="E22" s="13" t="s">
        <v>549</v>
      </c>
      <c r="F22" s="14">
        <v>41950.0</v>
      </c>
      <c r="G22" s="4" t="s">
        <v>28</v>
      </c>
      <c r="H22" s="16">
        <v>41956.0</v>
      </c>
      <c r="I22" s="9" t="s">
        <v>550</v>
      </c>
      <c r="J22" s="9" t="s">
        <v>497</v>
      </c>
    </row>
    <row r="23" ht="22.5" customHeight="1">
      <c r="A23" s="42"/>
      <c r="B23" s="12" t="s">
        <v>21</v>
      </c>
      <c r="C23" s="12">
        <v>21.0</v>
      </c>
      <c r="D23" s="42" t="s">
        <v>551</v>
      </c>
      <c r="E23" s="13" t="s">
        <v>542</v>
      </c>
      <c r="F23" s="14">
        <v>41950.0</v>
      </c>
      <c r="G23" s="14">
        <v>41948.0</v>
      </c>
      <c r="H23" s="16">
        <v>41954.0</v>
      </c>
      <c r="I23" s="9" t="s">
        <v>552</v>
      </c>
      <c r="J23" s="9"/>
    </row>
    <row r="24" ht="22.5" customHeight="1">
      <c r="A24" s="42">
        <v>28001.0</v>
      </c>
      <c r="B24" s="12" t="s">
        <v>21</v>
      </c>
      <c r="C24" s="12">
        <v>1998.0</v>
      </c>
      <c r="D24" s="42" t="s">
        <v>553</v>
      </c>
      <c r="E24" s="13" t="s">
        <v>62</v>
      </c>
      <c r="F24" s="14">
        <v>41949.0</v>
      </c>
      <c r="G24" s="14">
        <v>41942.0</v>
      </c>
      <c r="H24" s="16">
        <v>41953.0</v>
      </c>
      <c r="I24" s="9" t="s">
        <v>554</v>
      </c>
      <c r="J24" s="9"/>
    </row>
    <row r="25" ht="22.5" customHeight="1">
      <c r="A25" s="42">
        <v>28251.0</v>
      </c>
      <c r="B25" s="12" t="s">
        <v>21</v>
      </c>
      <c r="C25" s="12">
        <v>1870.0</v>
      </c>
      <c r="D25" s="42" t="s">
        <v>555</v>
      </c>
      <c r="E25" s="13" t="s">
        <v>556</v>
      </c>
      <c r="F25" s="14">
        <v>41949.0</v>
      </c>
      <c r="G25" s="14">
        <v>41940.0</v>
      </c>
      <c r="H25" s="16">
        <v>41955.0</v>
      </c>
      <c r="I25" s="9" t="s">
        <v>557</v>
      </c>
      <c r="J25" s="9" t="s">
        <v>497</v>
      </c>
    </row>
    <row r="26" ht="22.5" customHeight="1">
      <c r="A26" s="42">
        <v>28451.0</v>
      </c>
      <c r="B26" s="12" t="s">
        <v>21</v>
      </c>
      <c r="C26" s="12">
        <v>920.0</v>
      </c>
      <c r="D26" s="42" t="s">
        <v>558</v>
      </c>
      <c r="E26" s="13" t="s">
        <v>559</v>
      </c>
      <c r="F26" s="14">
        <v>41949.0</v>
      </c>
      <c r="G26" s="14">
        <v>41946.0</v>
      </c>
      <c r="H26" s="21">
        <v>41957.0</v>
      </c>
      <c r="I26" s="9" t="s">
        <v>560</v>
      </c>
      <c r="J26" s="9"/>
    </row>
    <row r="27" ht="22.5" customHeight="1">
      <c r="A27" s="42">
        <v>28540.0</v>
      </c>
      <c r="B27" s="12" t="s">
        <v>21</v>
      </c>
      <c r="C27" s="12">
        <v>600.0</v>
      </c>
      <c r="D27" s="42" t="s">
        <v>561</v>
      </c>
      <c r="E27" s="13" t="s">
        <v>562</v>
      </c>
      <c r="F27" s="14">
        <v>41948.0</v>
      </c>
      <c r="G27" s="14">
        <v>41946.0</v>
      </c>
      <c r="H27" s="16">
        <v>41953.0</v>
      </c>
      <c r="I27" s="9" t="s">
        <v>563</v>
      </c>
      <c r="J27" s="9"/>
    </row>
    <row r="28" ht="22.5" customHeight="1">
      <c r="A28" s="42">
        <v>28289.0</v>
      </c>
      <c r="B28" s="12" t="s">
        <v>21</v>
      </c>
      <c r="C28" s="12">
        <v>532.0</v>
      </c>
      <c r="D28" s="42" t="s">
        <v>564</v>
      </c>
      <c r="E28" s="13" t="s">
        <v>565</v>
      </c>
      <c r="F28" s="14">
        <v>41942.0</v>
      </c>
      <c r="G28" s="14">
        <v>41940.0</v>
      </c>
      <c r="H28" s="21">
        <v>41949.0</v>
      </c>
      <c r="I28" s="9" t="s">
        <v>566</v>
      </c>
      <c r="J28" s="9"/>
    </row>
    <row r="29" ht="22.5" customHeight="1">
      <c r="A29" s="42" t="s">
        <v>567</v>
      </c>
      <c r="B29" s="12" t="s">
        <v>21</v>
      </c>
      <c r="C29" s="12">
        <v>338.0</v>
      </c>
      <c r="D29" s="42" t="s">
        <v>568</v>
      </c>
      <c r="E29" s="13" t="s">
        <v>569</v>
      </c>
      <c r="F29" s="14">
        <v>41941.0</v>
      </c>
      <c r="G29" s="14">
        <v>41943.0</v>
      </c>
      <c r="H29" s="21">
        <v>41947.0</v>
      </c>
      <c r="I29" s="9" t="s">
        <v>570</v>
      </c>
      <c r="J29" s="9" t="s">
        <v>497</v>
      </c>
    </row>
    <row r="30" ht="22.5" customHeight="1">
      <c r="A30" s="42">
        <v>28475.0</v>
      </c>
      <c r="B30" s="12" t="s">
        <v>14</v>
      </c>
      <c r="C30" s="12">
        <v>1400.0</v>
      </c>
      <c r="D30" s="42" t="s">
        <v>571</v>
      </c>
      <c r="E30" s="13" t="s">
        <v>572</v>
      </c>
      <c r="F30" s="14">
        <v>41936.0</v>
      </c>
      <c r="G30" s="14">
        <v>41940.0</v>
      </c>
      <c r="H30" s="21">
        <v>41947.0</v>
      </c>
      <c r="I30" s="9" t="s">
        <v>573</v>
      </c>
      <c r="J30" s="9"/>
    </row>
    <row r="31" ht="22.5" customHeight="1">
      <c r="A31" s="42">
        <v>28476.0</v>
      </c>
      <c r="B31" s="12" t="s">
        <v>14</v>
      </c>
      <c r="C31" s="12">
        <v>900.0</v>
      </c>
      <c r="D31" s="42" t="s">
        <v>574</v>
      </c>
      <c r="E31" s="13" t="s">
        <v>575</v>
      </c>
      <c r="F31" s="14">
        <v>41934.0</v>
      </c>
      <c r="G31" s="14">
        <v>41941.0</v>
      </c>
      <c r="H31" s="16">
        <v>41943.0</v>
      </c>
      <c r="I31" s="9" t="s">
        <v>576</v>
      </c>
      <c r="J31" s="9"/>
    </row>
    <row r="32" ht="22.5" customHeight="1">
      <c r="A32" s="42">
        <v>28042.0</v>
      </c>
      <c r="B32" s="12" t="s">
        <v>21</v>
      </c>
      <c r="C32" s="12">
        <v>2046.0</v>
      </c>
      <c r="D32" s="42" t="s">
        <v>577</v>
      </c>
      <c r="E32" s="13" t="s">
        <v>578</v>
      </c>
      <c r="F32" s="14">
        <v>41934.0</v>
      </c>
      <c r="G32" s="14">
        <v>41932.0</v>
      </c>
      <c r="H32" s="21">
        <v>41941.0</v>
      </c>
      <c r="I32" s="9" t="s">
        <v>579</v>
      </c>
      <c r="J32" s="9" t="s">
        <v>497</v>
      </c>
    </row>
    <row r="33" ht="22.5" customHeight="1">
      <c r="A33" s="42">
        <v>28539.0</v>
      </c>
      <c r="B33" s="12" t="s">
        <v>14</v>
      </c>
      <c r="C33" s="12">
        <v>1010.0</v>
      </c>
      <c r="D33" s="42" t="s">
        <v>580</v>
      </c>
      <c r="E33" s="13" t="s">
        <v>581</v>
      </c>
      <c r="F33" s="14">
        <v>41934.0</v>
      </c>
      <c r="G33" s="14">
        <v>41935.0</v>
      </c>
      <c r="H33" s="21">
        <v>41939.0</v>
      </c>
      <c r="I33" s="9" t="s">
        <v>582</v>
      </c>
      <c r="J33" s="9"/>
    </row>
    <row r="34" ht="22.5" customHeight="1">
      <c r="A34" s="42">
        <v>28516.0</v>
      </c>
      <c r="B34" s="12" t="s">
        <v>14</v>
      </c>
      <c r="C34" s="12">
        <v>1239.0</v>
      </c>
      <c r="D34" s="42" t="s">
        <v>583</v>
      </c>
      <c r="E34" s="13" t="s">
        <v>584</v>
      </c>
      <c r="F34" s="14">
        <v>41934.0</v>
      </c>
      <c r="G34" s="14">
        <v>41935.0</v>
      </c>
      <c r="H34" s="16">
        <v>41940.0</v>
      </c>
      <c r="I34" s="17" t="s">
        <v>585</v>
      </c>
      <c r="J34" s="17"/>
    </row>
    <row r="35" ht="22.5" customHeight="1">
      <c r="A35" s="42">
        <v>28296.0</v>
      </c>
      <c r="B35" s="12" t="s">
        <v>21</v>
      </c>
      <c r="C35" s="12">
        <v>990.0</v>
      </c>
      <c r="D35" s="42" t="s">
        <v>586</v>
      </c>
      <c r="E35" s="13" t="s">
        <v>587</v>
      </c>
      <c r="F35" s="14">
        <v>41931.0</v>
      </c>
      <c r="G35" s="14">
        <v>41932.0</v>
      </c>
      <c r="H35" s="21">
        <v>41942.0</v>
      </c>
      <c r="I35" s="9" t="s">
        <v>588</v>
      </c>
      <c r="J35" s="9" t="s">
        <v>497</v>
      </c>
    </row>
    <row r="36" ht="22.5" customHeight="1">
      <c r="A36" s="42">
        <v>28041.0</v>
      </c>
      <c r="B36" s="12" t="s">
        <v>25</v>
      </c>
      <c r="C36" s="12">
        <v>2227.0</v>
      </c>
      <c r="D36" s="42" t="s">
        <v>589</v>
      </c>
      <c r="E36" s="13" t="s">
        <v>16</v>
      </c>
      <c r="F36" s="14">
        <v>41927.0</v>
      </c>
      <c r="G36" s="14">
        <v>41929.0</v>
      </c>
      <c r="H36" s="21">
        <v>41935.0</v>
      </c>
      <c r="I36" s="9" t="s">
        <v>590</v>
      </c>
      <c r="J36" s="9" t="s">
        <v>497</v>
      </c>
    </row>
    <row r="37" ht="22.5" customHeight="1">
      <c r="A37" s="42">
        <v>28333.0</v>
      </c>
      <c r="B37" s="12" t="s">
        <v>21</v>
      </c>
      <c r="C37" s="12">
        <v>810.0</v>
      </c>
      <c r="D37" s="42" t="s">
        <v>591</v>
      </c>
      <c r="E37" s="13" t="s">
        <v>495</v>
      </c>
      <c r="F37" s="14">
        <v>41924.0</v>
      </c>
      <c r="G37" s="14">
        <v>41925.0</v>
      </c>
      <c r="H37" s="16">
        <v>41934.0</v>
      </c>
      <c r="I37" s="9" t="s">
        <v>592</v>
      </c>
      <c r="J37" s="9" t="s">
        <v>497</v>
      </c>
    </row>
    <row r="38" ht="22.5" customHeight="1">
      <c r="A38" s="42">
        <v>28294.0</v>
      </c>
      <c r="B38" s="12" t="s">
        <v>21</v>
      </c>
      <c r="C38" s="12">
        <v>536.0</v>
      </c>
      <c r="D38" s="42" t="s">
        <v>593</v>
      </c>
      <c r="E38" s="13" t="s">
        <v>594</v>
      </c>
      <c r="F38" s="14">
        <v>41924.0</v>
      </c>
      <c r="G38" s="14">
        <v>41922.0</v>
      </c>
      <c r="H38" s="21">
        <v>41933.0</v>
      </c>
      <c r="I38" s="9" t="s">
        <v>595</v>
      </c>
      <c r="J38" s="9" t="s">
        <v>497</v>
      </c>
    </row>
    <row r="39" ht="22.5" customHeight="1">
      <c r="A39" s="42">
        <v>28519.0</v>
      </c>
      <c r="B39" s="12" t="s">
        <v>21</v>
      </c>
      <c r="C39" s="12">
        <v>2150.0</v>
      </c>
      <c r="D39" s="42" t="s">
        <v>596</v>
      </c>
      <c r="E39" s="13" t="s">
        <v>597</v>
      </c>
      <c r="F39" s="14">
        <v>41923.0</v>
      </c>
      <c r="G39" s="14">
        <v>41920.0</v>
      </c>
      <c r="H39" s="21">
        <v>41932.0</v>
      </c>
      <c r="I39" s="9" t="s">
        <v>598</v>
      </c>
      <c r="J39" s="9"/>
    </row>
    <row r="40" ht="22.5" customHeight="1">
      <c r="A40" s="42">
        <v>28512.0</v>
      </c>
      <c r="B40" s="12" t="s">
        <v>21</v>
      </c>
      <c r="C40" s="12">
        <v>675.0</v>
      </c>
      <c r="D40" s="42" t="s">
        <v>599</v>
      </c>
      <c r="E40" s="13" t="s">
        <v>600</v>
      </c>
      <c r="F40" s="14">
        <v>41923.0</v>
      </c>
      <c r="G40" s="14">
        <v>41918.0</v>
      </c>
      <c r="H40" s="16">
        <v>41928.0</v>
      </c>
      <c r="I40" s="9" t="s">
        <v>601</v>
      </c>
      <c r="J40" s="9"/>
    </row>
    <row r="41" ht="22.5" customHeight="1">
      <c r="A41" s="42">
        <v>28031.0</v>
      </c>
      <c r="B41" s="12" t="s">
        <v>21</v>
      </c>
      <c r="C41" s="12">
        <v>35.0</v>
      </c>
      <c r="D41" s="42" t="s">
        <v>602</v>
      </c>
      <c r="E41" s="13" t="s">
        <v>603</v>
      </c>
      <c r="F41" s="14">
        <v>41917.0</v>
      </c>
      <c r="G41" s="14">
        <v>41914.0</v>
      </c>
      <c r="H41" s="21">
        <v>41919.0</v>
      </c>
      <c r="I41" s="9" t="s">
        <v>604</v>
      </c>
      <c r="J41" s="9"/>
    </row>
    <row r="42" ht="22.5" customHeight="1">
      <c r="A42" s="42">
        <v>28430.0</v>
      </c>
      <c r="B42" s="12" t="s">
        <v>14</v>
      </c>
      <c r="C42" s="12">
        <v>1010.0</v>
      </c>
      <c r="D42" s="42" t="s">
        <v>605</v>
      </c>
      <c r="E42" s="13" t="s">
        <v>606</v>
      </c>
      <c r="F42" s="14">
        <v>41916.0</v>
      </c>
      <c r="G42" s="14">
        <v>41915.0</v>
      </c>
      <c r="H42" s="21">
        <v>41921.0</v>
      </c>
      <c r="I42" s="9" t="s">
        <v>607</v>
      </c>
      <c r="J42" s="9"/>
    </row>
    <row r="43" ht="22.5" customHeight="1">
      <c r="A43" s="42">
        <v>28383.0</v>
      </c>
      <c r="B43" s="12" t="s">
        <v>14</v>
      </c>
      <c r="C43" s="12">
        <v>450.0</v>
      </c>
      <c r="D43" s="42" t="s">
        <v>608</v>
      </c>
      <c r="E43" s="13" t="s">
        <v>609</v>
      </c>
      <c r="F43" s="14">
        <v>41916.0</v>
      </c>
      <c r="G43" s="14">
        <v>41914.0</v>
      </c>
      <c r="H43" s="21">
        <v>41928.0</v>
      </c>
      <c r="I43" s="9" t="s">
        <v>610</v>
      </c>
      <c r="J43" s="9"/>
    </row>
    <row r="44" ht="22.5" customHeight="1">
      <c r="A44" s="42">
        <v>28255.0</v>
      </c>
      <c r="B44" s="12" t="s">
        <v>14</v>
      </c>
      <c r="C44" s="12">
        <v>828.0</v>
      </c>
      <c r="D44" s="42" t="s">
        <v>611</v>
      </c>
      <c r="E44" s="13" t="s">
        <v>612</v>
      </c>
      <c r="F44" s="14">
        <v>41905.0</v>
      </c>
      <c r="G44" s="14">
        <v>41906.0</v>
      </c>
      <c r="H44" s="21">
        <v>41907.0</v>
      </c>
      <c r="I44" s="9" t="s">
        <v>613</v>
      </c>
      <c r="J44" s="9"/>
    </row>
    <row r="45" ht="22.5" customHeight="1">
      <c r="A45" s="42">
        <v>28384.0</v>
      </c>
      <c r="B45" s="12" t="s">
        <v>14</v>
      </c>
      <c r="C45" s="12">
        <v>1060.0</v>
      </c>
      <c r="D45" s="42" t="s">
        <v>614</v>
      </c>
      <c r="E45" s="13" t="s">
        <v>502</v>
      </c>
      <c r="F45" s="14">
        <v>41901.0</v>
      </c>
      <c r="G45" s="14">
        <v>41900.0</v>
      </c>
      <c r="H45" s="21">
        <v>41905.0</v>
      </c>
      <c r="I45" s="9" t="s">
        <v>615</v>
      </c>
      <c r="J45" s="9"/>
    </row>
    <row r="46" ht="22.5" customHeight="1">
      <c r="A46" s="42" t="s">
        <v>616</v>
      </c>
      <c r="B46" s="12" t="s">
        <v>21</v>
      </c>
      <c r="C46" s="12">
        <v>1506.0</v>
      </c>
      <c r="D46" s="42" t="s">
        <v>617</v>
      </c>
      <c r="E46" s="13" t="s">
        <v>618</v>
      </c>
      <c r="F46" s="14">
        <v>41901.0</v>
      </c>
      <c r="G46" s="4" t="s">
        <v>28</v>
      </c>
      <c r="H46" s="21">
        <v>41907.0</v>
      </c>
      <c r="I46" s="9" t="s">
        <v>619</v>
      </c>
      <c r="J46" s="9"/>
    </row>
    <row r="47" ht="22.5" customHeight="1">
      <c r="A47" s="42">
        <v>28465.0</v>
      </c>
      <c r="B47" s="12" t="s">
        <v>21</v>
      </c>
      <c r="C47" s="12">
        <v>944.0</v>
      </c>
      <c r="D47" s="42" t="s">
        <v>620</v>
      </c>
      <c r="E47" s="13" t="s">
        <v>621</v>
      </c>
      <c r="F47" s="14">
        <v>41900.0</v>
      </c>
      <c r="G47" s="14">
        <v>41900.0</v>
      </c>
      <c r="H47" s="21">
        <v>41904.0</v>
      </c>
      <c r="I47" s="9" t="s">
        <v>622</v>
      </c>
      <c r="J47" s="9"/>
    </row>
    <row r="48" ht="22.5" customHeight="1">
      <c r="A48" s="42">
        <v>28106.0</v>
      </c>
      <c r="B48" s="12" t="s">
        <v>25</v>
      </c>
      <c r="C48" s="12">
        <v>550.0</v>
      </c>
      <c r="D48" s="42" t="s">
        <v>623</v>
      </c>
      <c r="E48" s="13" t="s">
        <v>624</v>
      </c>
      <c r="F48" s="14">
        <v>41899.0</v>
      </c>
      <c r="G48" s="14">
        <v>41900.0</v>
      </c>
      <c r="H48" s="21">
        <v>41908.0</v>
      </c>
      <c r="I48" s="9" t="s">
        <v>625</v>
      </c>
      <c r="J48" s="9" t="s">
        <v>497</v>
      </c>
    </row>
    <row r="49" ht="22.5" customHeight="1">
      <c r="A49" s="42">
        <v>28466.0</v>
      </c>
      <c r="B49" s="12" t="s">
        <v>25</v>
      </c>
      <c r="C49" s="12">
        <v>2500.0</v>
      </c>
      <c r="D49" s="42" t="s">
        <v>626</v>
      </c>
      <c r="E49" s="13" t="s">
        <v>627</v>
      </c>
      <c r="F49" s="14">
        <v>41897.0</v>
      </c>
      <c r="G49" s="14">
        <v>41894.0</v>
      </c>
      <c r="H49" s="21">
        <v>41901.0</v>
      </c>
      <c r="I49" s="9" t="s">
        <v>628</v>
      </c>
      <c r="J49" s="9"/>
    </row>
    <row r="50" ht="22.5" customHeight="1">
      <c r="A50" s="42">
        <v>28039.0</v>
      </c>
      <c r="B50" s="12" t="s">
        <v>21</v>
      </c>
      <c r="C50" s="12">
        <v>2227.0</v>
      </c>
      <c r="D50" s="42" t="s">
        <v>629</v>
      </c>
      <c r="E50" s="13" t="s">
        <v>16</v>
      </c>
      <c r="F50" s="14">
        <v>41895.0</v>
      </c>
      <c r="G50" s="14">
        <v>41899.0</v>
      </c>
      <c r="H50" s="21">
        <v>41907.0</v>
      </c>
      <c r="I50" s="9" t="s">
        <v>630</v>
      </c>
      <c r="J50" s="9" t="s">
        <v>497</v>
      </c>
    </row>
    <row r="51" ht="22.5" customHeight="1">
      <c r="A51" s="42">
        <v>27944.0</v>
      </c>
      <c r="B51" s="12" t="s">
        <v>21</v>
      </c>
      <c r="C51" s="12">
        <v>305.0</v>
      </c>
      <c r="D51" s="42" t="s">
        <v>631</v>
      </c>
      <c r="E51" s="13" t="s">
        <v>632</v>
      </c>
      <c r="F51" s="14">
        <v>41894.0</v>
      </c>
      <c r="G51" s="14">
        <v>41907.0</v>
      </c>
      <c r="H51" s="21">
        <v>41900.0</v>
      </c>
      <c r="I51" s="9" t="s">
        <v>633</v>
      </c>
      <c r="J51" s="9"/>
    </row>
    <row r="52" ht="22.5" customHeight="1">
      <c r="A52" s="42">
        <v>28324.0</v>
      </c>
      <c r="B52" s="12" t="s">
        <v>14</v>
      </c>
      <c r="C52" s="12">
        <v>1234.0</v>
      </c>
      <c r="D52" s="42" t="s">
        <v>634</v>
      </c>
      <c r="E52" s="13" t="s">
        <v>635</v>
      </c>
      <c r="F52" s="14">
        <v>41892.0</v>
      </c>
      <c r="G52" s="14">
        <v>41892.0</v>
      </c>
      <c r="H52" s="21">
        <v>41897.0</v>
      </c>
      <c r="I52" s="9" t="s">
        <v>636</v>
      </c>
      <c r="J52" s="9"/>
    </row>
    <row r="53" ht="22.5" customHeight="1">
      <c r="A53" s="42">
        <v>28183.0</v>
      </c>
      <c r="B53" s="12" t="s">
        <v>21</v>
      </c>
      <c r="C53" s="12">
        <v>769.0</v>
      </c>
      <c r="D53" s="42" t="s">
        <v>637</v>
      </c>
      <c r="E53" s="13" t="s">
        <v>376</v>
      </c>
      <c r="F53" s="14">
        <v>41890.0</v>
      </c>
      <c r="G53" s="14">
        <v>41890.0</v>
      </c>
      <c r="H53" s="21">
        <v>41900.0</v>
      </c>
      <c r="I53" s="9" t="s">
        <v>638</v>
      </c>
      <c r="J53" s="9" t="s">
        <v>497</v>
      </c>
    </row>
    <row r="54" ht="22.5" customHeight="1">
      <c r="A54" s="42" t="s">
        <v>639</v>
      </c>
      <c r="B54" s="12" t="s">
        <v>21</v>
      </c>
      <c r="C54" s="12">
        <v>95.0</v>
      </c>
      <c r="D54" s="42" t="s">
        <v>640</v>
      </c>
      <c r="E54" s="13" t="s">
        <v>641</v>
      </c>
      <c r="F54" s="14">
        <v>41889.0</v>
      </c>
      <c r="G54" s="14">
        <v>41886.0</v>
      </c>
      <c r="H54" s="21">
        <v>41893.0</v>
      </c>
      <c r="I54" s="9" t="s">
        <v>642</v>
      </c>
      <c r="J54" s="9" t="s">
        <v>497</v>
      </c>
    </row>
    <row r="55" ht="22.5" customHeight="1">
      <c r="A55" s="42">
        <v>28038.0</v>
      </c>
      <c r="B55" s="12" t="s">
        <v>14</v>
      </c>
      <c r="C55" s="12">
        <v>2227.0</v>
      </c>
      <c r="D55" s="42" t="s">
        <v>643</v>
      </c>
      <c r="E55" s="13" t="s">
        <v>16</v>
      </c>
      <c r="F55" s="14">
        <v>41887.0</v>
      </c>
      <c r="G55" s="14">
        <v>41904.0</v>
      </c>
      <c r="H55" s="21">
        <v>41900.0</v>
      </c>
      <c r="I55" s="9" t="s">
        <v>644</v>
      </c>
      <c r="J55" s="9" t="s">
        <v>497</v>
      </c>
    </row>
    <row r="56" ht="22.5" customHeight="1">
      <c r="A56" s="42">
        <v>28105.0</v>
      </c>
      <c r="B56" s="12" t="s">
        <v>21</v>
      </c>
      <c r="C56" s="12">
        <v>550.0</v>
      </c>
      <c r="D56" s="42" t="s">
        <v>645</v>
      </c>
      <c r="E56" s="13" t="s">
        <v>624</v>
      </c>
      <c r="F56" s="14">
        <v>41887.0</v>
      </c>
      <c r="G56" s="14">
        <v>41886.0</v>
      </c>
      <c r="H56" s="21">
        <v>41894.0</v>
      </c>
      <c r="I56" s="9" t="s">
        <v>646</v>
      </c>
      <c r="J56" s="9" t="s">
        <v>497</v>
      </c>
    </row>
    <row r="57" ht="22.5" customHeight="1">
      <c r="A57" s="42">
        <v>28040.0</v>
      </c>
      <c r="B57" s="12" t="s">
        <v>14</v>
      </c>
      <c r="C57" s="12">
        <v>2227.0</v>
      </c>
      <c r="D57" s="42" t="s">
        <v>647</v>
      </c>
      <c r="E57" s="13" t="s">
        <v>16</v>
      </c>
      <c r="F57" s="14">
        <v>41887.0</v>
      </c>
      <c r="G57" s="14">
        <v>41892.0</v>
      </c>
      <c r="H57" s="21">
        <v>41897.0</v>
      </c>
      <c r="I57" s="9" t="s">
        <v>648</v>
      </c>
      <c r="J57" s="9" t="s">
        <v>497</v>
      </c>
    </row>
    <row r="58" ht="22.5" customHeight="1">
      <c r="A58" s="42">
        <v>28252.0</v>
      </c>
      <c r="B58" s="12" t="s">
        <v>25</v>
      </c>
      <c r="C58" s="12">
        <v>1660.0</v>
      </c>
      <c r="D58" s="42" t="s">
        <v>649</v>
      </c>
      <c r="E58" s="13" t="s">
        <v>556</v>
      </c>
      <c r="F58" s="14">
        <v>41886.0</v>
      </c>
      <c r="G58" s="14">
        <v>41885.0</v>
      </c>
      <c r="H58" s="21">
        <v>41893.0</v>
      </c>
      <c r="I58" s="9" t="s">
        <v>650</v>
      </c>
      <c r="J58" s="9"/>
    </row>
    <row r="59" ht="22.5" customHeight="1">
      <c r="A59" s="42" t="s">
        <v>651</v>
      </c>
      <c r="B59" s="12" t="s">
        <v>21</v>
      </c>
      <c r="C59" s="12">
        <v>52.0</v>
      </c>
      <c r="D59" s="42" t="s">
        <v>652</v>
      </c>
      <c r="E59" s="13" t="s">
        <v>653</v>
      </c>
      <c r="F59" s="14">
        <v>41885.0</v>
      </c>
      <c r="G59" s="16">
        <v>41913.0</v>
      </c>
      <c r="H59" s="21">
        <v>41891.0</v>
      </c>
      <c r="I59" s="9" t="s">
        <v>654</v>
      </c>
      <c r="J59" s="9"/>
    </row>
    <row r="60" ht="22.5" customHeight="1">
      <c r="A60" s="42" t="s">
        <v>655</v>
      </c>
      <c r="B60" s="12" t="s">
        <v>21</v>
      </c>
      <c r="C60" s="12">
        <v>104.0</v>
      </c>
      <c r="D60" s="42" t="s">
        <v>656</v>
      </c>
      <c r="E60" s="13" t="s">
        <v>657</v>
      </c>
      <c r="F60" s="14">
        <v>41885.0</v>
      </c>
      <c r="G60" s="14">
        <v>41899.0</v>
      </c>
      <c r="H60" s="21">
        <v>41899.0</v>
      </c>
      <c r="I60" s="9" t="s">
        <v>658</v>
      </c>
      <c r="J60" s="9" t="s">
        <v>497</v>
      </c>
    </row>
    <row r="61" ht="22.5" customHeight="1">
      <c r="A61" s="42">
        <v>28243.0</v>
      </c>
      <c r="B61" s="12" t="s">
        <v>21</v>
      </c>
      <c r="C61" s="12">
        <v>147.0</v>
      </c>
      <c r="D61" s="42" t="s">
        <v>659</v>
      </c>
      <c r="E61" s="13" t="s">
        <v>660</v>
      </c>
      <c r="F61" s="14">
        <v>41881.0</v>
      </c>
      <c r="G61" s="14">
        <v>41894.0</v>
      </c>
      <c r="H61" s="21">
        <v>41899.0</v>
      </c>
      <c r="I61" s="9" t="s">
        <v>661</v>
      </c>
      <c r="J61" s="9" t="s">
        <v>497</v>
      </c>
    </row>
    <row r="62" ht="22.5" customHeight="1">
      <c r="A62" s="42" t="s">
        <v>662</v>
      </c>
      <c r="B62" s="12" t="s">
        <v>21</v>
      </c>
      <c r="C62" s="12">
        <v>722.0</v>
      </c>
      <c r="D62" s="42" t="s">
        <v>663</v>
      </c>
      <c r="E62" s="13" t="s">
        <v>664</v>
      </c>
      <c r="F62" s="14">
        <v>41874.0</v>
      </c>
      <c r="G62" s="14">
        <v>41872.0</v>
      </c>
      <c r="H62" s="21">
        <v>41886.0</v>
      </c>
      <c r="I62" s="9" t="s">
        <v>665</v>
      </c>
      <c r="J62" s="9" t="s">
        <v>497</v>
      </c>
    </row>
    <row r="63" ht="22.5" customHeight="1">
      <c r="A63" s="42">
        <v>27921.0</v>
      </c>
      <c r="B63" s="12" t="s">
        <v>21</v>
      </c>
      <c r="C63" s="12">
        <v>1134.0</v>
      </c>
      <c r="D63" s="42" t="s">
        <v>666</v>
      </c>
      <c r="E63" s="13" t="s">
        <v>62</v>
      </c>
      <c r="F63" s="14">
        <v>41874.0</v>
      </c>
      <c r="G63" s="14">
        <v>41872.0</v>
      </c>
      <c r="H63" s="16">
        <v>41885.0</v>
      </c>
      <c r="I63" s="9" t="s">
        <v>667</v>
      </c>
      <c r="J63" s="9"/>
    </row>
    <row r="64" ht="22.5" customHeight="1">
      <c r="A64" s="42">
        <v>28250.0</v>
      </c>
      <c r="B64" s="12" t="s">
        <v>21</v>
      </c>
      <c r="C64" s="12">
        <v>1716.0</v>
      </c>
      <c r="D64" s="42" t="s">
        <v>668</v>
      </c>
      <c r="E64" s="13" t="s">
        <v>556</v>
      </c>
      <c r="F64" s="14">
        <v>41874.0</v>
      </c>
      <c r="G64" s="14">
        <v>41876.0</v>
      </c>
      <c r="H64" s="21">
        <v>41877.0</v>
      </c>
      <c r="I64" s="9" t="s">
        <v>669</v>
      </c>
      <c r="J64" s="9"/>
    </row>
    <row r="65" ht="22.5" customHeight="1">
      <c r="A65" s="42">
        <v>28037.0</v>
      </c>
      <c r="B65" s="12" t="s">
        <v>21</v>
      </c>
      <c r="C65" s="12">
        <v>2227.0</v>
      </c>
      <c r="D65" s="42" t="s">
        <v>670</v>
      </c>
      <c r="E65" s="13" t="s">
        <v>16</v>
      </c>
      <c r="F65" s="14">
        <v>41874.0</v>
      </c>
      <c r="G65" s="14">
        <v>41871.0</v>
      </c>
      <c r="H65" s="21">
        <v>41878.0</v>
      </c>
      <c r="I65" s="9" t="s">
        <v>671</v>
      </c>
      <c r="J65" s="9" t="s">
        <v>497</v>
      </c>
    </row>
    <row r="66" ht="22.5" customHeight="1">
      <c r="A66" s="42">
        <v>28035.0</v>
      </c>
      <c r="B66" s="12" t="s">
        <v>14</v>
      </c>
      <c r="C66" s="12">
        <v>2227.0</v>
      </c>
      <c r="D66" s="42" t="s">
        <v>672</v>
      </c>
      <c r="E66" s="13" t="s">
        <v>16</v>
      </c>
      <c r="F66" s="14">
        <v>41872.0</v>
      </c>
      <c r="G66" s="14">
        <v>41870.0</v>
      </c>
      <c r="H66" s="21">
        <v>41878.0</v>
      </c>
      <c r="I66" s="9" t="s">
        <v>673</v>
      </c>
      <c r="J66" s="9" t="s">
        <v>497</v>
      </c>
    </row>
    <row r="67" ht="22.5" customHeight="1">
      <c r="A67" s="42">
        <v>28211.0</v>
      </c>
      <c r="B67" s="12" t="s">
        <v>14</v>
      </c>
      <c r="C67" s="12">
        <v>1692.0</v>
      </c>
      <c r="D67" s="42" t="s">
        <v>674</v>
      </c>
      <c r="E67" s="13" t="s">
        <v>675</v>
      </c>
      <c r="F67" s="14">
        <v>41872.0</v>
      </c>
      <c r="G67" s="14">
        <v>41870.0</v>
      </c>
      <c r="H67" s="21">
        <v>41879.0</v>
      </c>
      <c r="I67" s="9" t="s">
        <v>676</v>
      </c>
      <c r="J67" s="9"/>
    </row>
    <row r="68" ht="22.5" customHeight="1">
      <c r="A68" s="42">
        <v>28379.0</v>
      </c>
      <c r="B68" s="12" t="s">
        <v>21</v>
      </c>
      <c r="C68" s="12">
        <v>1139.0</v>
      </c>
      <c r="D68" s="42" t="s">
        <v>677</v>
      </c>
      <c r="E68" s="13" t="s">
        <v>678</v>
      </c>
      <c r="F68" s="14">
        <v>41871.0</v>
      </c>
      <c r="G68" s="14">
        <v>41871.0</v>
      </c>
      <c r="H68" s="21">
        <v>41879.0</v>
      </c>
      <c r="I68" s="9" t="s">
        <v>679</v>
      </c>
      <c r="J68" s="9"/>
    </row>
    <row r="69" ht="22.5" customHeight="1">
      <c r="A69" s="42">
        <v>28297.0</v>
      </c>
      <c r="B69" s="12" t="s">
        <v>21</v>
      </c>
      <c r="C69" s="12">
        <v>449.0</v>
      </c>
      <c r="D69" s="42" t="s">
        <v>680</v>
      </c>
      <c r="E69" s="13" t="s">
        <v>681</v>
      </c>
      <c r="F69" s="14">
        <v>41868.0</v>
      </c>
      <c r="G69" s="14">
        <v>41865.0</v>
      </c>
      <c r="H69" s="21">
        <v>41873.0</v>
      </c>
      <c r="I69" s="9" t="s">
        <v>682</v>
      </c>
      <c r="J69" s="9" t="s">
        <v>497</v>
      </c>
    </row>
    <row r="70" ht="22.5" customHeight="1">
      <c r="A70" s="42">
        <v>28111.0</v>
      </c>
      <c r="B70" s="12" t="s">
        <v>21</v>
      </c>
      <c r="C70" s="12">
        <v>895.0</v>
      </c>
      <c r="D70" s="42" t="s">
        <v>683</v>
      </c>
      <c r="E70" s="13" t="s">
        <v>684</v>
      </c>
      <c r="F70" s="14">
        <v>41867.0</v>
      </c>
      <c r="G70" s="14">
        <v>41865.0</v>
      </c>
      <c r="H70" s="21">
        <v>41878.0</v>
      </c>
      <c r="I70" s="9" t="s">
        <v>685</v>
      </c>
      <c r="J70" s="9" t="s">
        <v>497</v>
      </c>
    </row>
    <row r="71" ht="22.5" customHeight="1">
      <c r="A71" s="42">
        <v>28244.0</v>
      </c>
      <c r="B71" s="12" t="s">
        <v>21</v>
      </c>
      <c r="C71" s="12">
        <v>537.0</v>
      </c>
      <c r="D71" s="42" t="s">
        <v>686</v>
      </c>
      <c r="E71" s="13" t="s">
        <v>687</v>
      </c>
      <c r="F71" s="14">
        <v>41867.0</v>
      </c>
      <c r="G71" s="14">
        <v>41865.0</v>
      </c>
      <c r="H71" s="21">
        <v>41877.0</v>
      </c>
      <c r="I71" s="9" t="s">
        <v>688</v>
      </c>
      <c r="J71" s="9" t="s">
        <v>497</v>
      </c>
    </row>
    <row r="72" ht="22.5" customHeight="1">
      <c r="A72" s="42">
        <v>28198.0</v>
      </c>
      <c r="B72" s="12" t="s">
        <v>21</v>
      </c>
      <c r="C72" s="12">
        <v>414.0</v>
      </c>
      <c r="D72" s="42" t="s">
        <v>689</v>
      </c>
      <c r="E72" s="13" t="s">
        <v>690</v>
      </c>
      <c r="F72" s="14">
        <v>41867.0</v>
      </c>
      <c r="G72" s="14">
        <v>41865.0</v>
      </c>
      <c r="H72" s="21">
        <v>41871.0</v>
      </c>
      <c r="I72" s="9" t="s">
        <v>691</v>
      </c>
      <c r="J72" s="9" t="s">
        <v>497</v>
      </c>
    </row>
    <row r="73" ht="22.5" customHeight="1">
      <c r="A73" s="42">
        <v>28382.0</v>
      </c>
      <c r="B73" s="12" t="s">
        <v>21</v>
      </c>
      <c r="C73" s="12">
        <v>720.0</v>
      </c>
      <c r="D73" s="42" t="s">
        <v>692</v>
      </c>
      <c r="E73" s="13" t="s">
        <v>693</v>
      </c>
      <c r="F73" s="14">
        <v>41866.0</v>
      </c>
      <c r="G73" s="14">
        <v>41866.0</v>
      </c>
      <c r="H73" s="21">
        <v>41876.0</v>
      </c>
      <c r="I73" s="9" t="s">
        <v>694</v>
      </c>
      <c r="J73" s="9"/>
    </row>
    <row r="74" ht="22.5" customHeight="1">
      <c r="A74" s="42">
        <v>28288.0</v>
      </c>
      <c r="B74" s="12" t="s">
        <v>14</v>
      </c>
      <c r="C74" s="12">
        <v>931.0</v>
      </c>
      <c r="D74" s="42" t="s">
        <v>695</v>
      </c>
      <c r="E74" s="13" t="s">
        <v>696</v>
      </c>
      <c r="F74" s="14">
        <v>41865.0</v>
      </c>
      <c r="G74" s="14">
        <v>41857.0</v>
      </c>
      <c r="H74" s="21">
        <v>41886.0</v>
      </c>
      <c r="I74" s="9" t="s">
        <v>697</v>
      </c>
      <c r="J74" s="9"/>
    </row>
    <row r="75" ht="22.5" customHeight="1">
      <c r="A75" s="42">
        <v>28036.0</v>
      </c>
      <c r="B75" s="12" t="s">
        <v>25</v>
      </c>
      <c r="C75" s="12">
        <v>2227.0</v>
      </c>
      <c r="D75" s="42" t="s">
        <v>698</v>
      </c>
      <c r="E75" s="13" t="s">
        <v>16</v>
      </c>
      <c r="F75" s="14">
        <v>41863.0</v>
      </c>
      <c r="G75" s="14">
        <v>41862.0</v>
      </c>
      <c r="H75" s="21">
        <v>41866.0</v>
      </c>
      <c r="I75" s="9" t="s">
        <v>699</v>
      </c>
      <c r="J75" s="9" t="s">
        <v>497</v>
      </c>
    </row>
    <row r="76" ht="22.5" customHeight="1">
      <c r="A76" s="42">
        <v>28317.0</v>
      </c>
      <c r="B76" s="12" t="s">
        <v>14</v>
      </c>
      <c r="C76" s="12">
        <v>1074.0</v>
      </c>
      <c r="D76" s="42" t="s">
        <v>700</v>
      </c>
      <c r="E76" s="13" t="s">
        <v>701</v>
      </c>
      <c r="F76" s="14">
        <v>41862.0</v>
      </c>
      <c r="G76" s="14">
        <v>41870.0</v>
      </c>
      <c r="H76" s="16">
        <v>41877.0</v>
      </c>
      <c r="I76" s="9" t="s">
        <v>702</v>
      </c>
      <c r="J76" s="9"/>
    </row>
    <row r="77" ht="22.5" customHeight="1">
      <c r="A77" s="42">
        <v>28158.0</v>
      </c>
      <c r="B77" s="12" t="s">
        <v>14</v>
      </c>
      <c r="C77" s="12">
        <v>1981.0</v>
      </c>
      <c r="D77" s="42" t="s">
        <v>703</v>
      </c>
      <c r="E77" s="13" t="s">
        <v>536</v>
      </c>
      <c r="F77" s="14">
        <v>41857.0</v>
      </c>
      <c r="G77" s="14">
        <v>41859.0</v>
      </c>
      <c r="H77" s="21">
        <v>41859.0</v>
      </c>
      <c r="I77" s="9" t="s">
        <v>704</v>
      </c>
      <c r="J77" s="9"/>
    </row>
    <row r="78" ht="22.5" customHeight="1">
      <c r="A78" s="42">
        <v>27907.0</v>
      </c>
      <c r="B78" s="12" t="s">
        <v>21</v>
      </c>
      <c r="C78" s="12">
        <v>2227.0</v>
      </c>
      <c r="D78" s="42" t="s">
        <v>705</v>
      </c>
      <c r="E78" s="13" t="s">
        <v>16</v>
      </c>
      <c r="F78" s="14">
        <v>41853.0</v>
      </c>
      <c r="G78" s="14">
        <v>41852.0</v>
      </c>
      <c r="H78" s="21">
        <v>41857.0</v>
      </c>
      <c r="I78" s="9" t="s">
        <v>706</v>
      </c>
      <c r="J78" s="9" t="s">
        <v>497</v>
      </c>
    </row>
    <row r="79" ht="22.5" customHeight="1">
      <c r="A79" s="42">
        <v>28320.0</v>
      </c>
      <c r="B79" s="12" t="s">
        <v>25</v>
      </c>
      <c r="C79" s="12">
        <v>1284.0</v>
      </c>
      <c r="D79" s="42" t="s">
        <v>707</v>
      </c>
      <c r="E79" s="13" t="s">
        <v>38</v>
      </c>
      <c r="F79" s="14">
        <v>41849.0</v>
      </c>
      <c r="G79" s="14">
        <v>41857.0</v>
      </c>
      <c r="H79" s="21">
        <v>41857.0</v>
      </c>
      <c r="I79" s="43" t="s">
        <v>708</v>
      </c>
      <c r="J79" s="9"/>
    </row>
    <row r="80" ht="22.5" customHeight="1">
      <c r="A80" s="42">
        <v>28295.0</v>
      </c>
      <c r="B80" s="12" t="s">
        <v>14</v>
      </c>
      <c r="C80" s="12">
        <v>650.0</v>
      </c>
      <c r="D80" s="42" t="s">
        <v>709</v>
      </c>
      <c r="E80" s="13" t="s">
        <v>710</v>
      </c>
      <c r="F80" s="14">
        <v>41848.0</v>
      </c>
      <c r="G80" s="14">
        <v>41845.0</v>
      </c>
      <c r="H80" s="21">
        <v>41850.0</v>
      </c>
      <c r="I80" s="9" t="s">
        <v>711</v>
      </c>
      <c r="J80" s="9"/>
    </row>
    <row r="81" ht="22.5" customHeight="1">
      <c r="A81" s="42">
        <v>28292.0</v>
      </c>
      <c r="B81" s="12" t="s">
        <v>14</v>
      </c>
      <c r="C81" s="12">
        <v>1074.0</v>
      </c>
      <c r="D81" s="42" t="s">
        <v>712</v>
      </c>
      <c r="E81" s="13" t="s">
        <v>713</v>
      </c>
      <c r="F81" s="14">
        <v>41846.0</v>
      </c>
      <c r="G81" s="14">
        <v>41849.0</v>
      </c>
      <c r="H81" s="21">
        <v>41856.0</v>
      </c>
      <c r="I81" s="9" t="s">
        <v>714</v>
      </c>
      <c r="J81" s="9"/>
    </row>
    <row r="82" ht="22.5" customHeight="1">
      <c r="A82" s="42">
        <v>28191.0</v>
      </c>
      <c r="B82" s="12" t="s">
        <v>715</v>
      </c>
      <c r="C82" s="12">
        <v>1200.0</v>
      </c>
      <c r="D82" s="42" t="s">
        <v>716</v>
      </c>
      <c r="E82" s="13" t="s">
        <v>38</v>
      </c>
      <c r="F82" s="14">
        <v>41846.0</v>
      </c>
      <c r="G82" s="14">
        <v>41845.0</v>
      </c>
      <c r="H82" s="21">
        <v>41852.0</v>
      </c>
      <c r="I82" s="9" t="s">
        <v>717</v>
      </c>
      <c r="J82" s="9"/>
    </row>
    <row r="83" ht="22.5" customHeight="1">
      <c r="A83" s="42">
        <v>28287.0</v>
      </c>
      <c r="B83" s="12" t="s">
        <v>21</v>
      </c>
      <c r="C83" s="12">
        <v>1300.0</v>
      </c>
      <c r="D83" s="42" t="s">
        <v>718</v>
      </c>
      <c r="E83" s="13" t="s">
        <v>38</v>
      </c>
      <c r="F83" s="14">
        <v>41843.0</v>
      </c>
      <c r="G83" s="14">
        <v>41844.0</v>
      </c>
      <c r="H83" s="21">
        <v>41851.0</v>
      </c>
      <c r="I83" s="9" t="s">
        <v>719</v>
      </c>
      <c r="J83" s="9"/>
    </row>
    <row r="84" ht="22.5" customHeight="1">
      <c r="A84" s="42">
        <v>28290.0</v>
      </c>
      <c r="B84" s="12" t="s">
        <v>21</v>
      </c>
      <c r="C84" s="12">
        <v>590.0</v>
      </c>
      <c r="D84" s="42" t="s">
        <v>720</v>
      </c>
      <c r="E84" s="13" t="s">
        <v>721</v>
      </c>
      <c r="F84" s="14">
        <v>41842.0</v>
      </c>
      <c r="G84" s="14">
        <v>41852.0</v>
      </c>
      <c r="H84" s="21">
        <v>41849.0</v>
      </c>
      <c r="I84" s="9" t="s">
        <v>722</v>
      </c>
      <c r="J84" s="9"/>
    </row>
    <row r="85" ht="22.5" customHeight="1">
      <c r="A85" s="42">
        <v>27906.0</v>
      </c>
      <c r="B85" s="12" t="s">
        <v>14</v>
      </c>
      <c r="C85" s="12">
        <v>2227.0</v>
      </c>
      <c r="D85" s="42" t="s">
        <v>723</v>
      </c>
      <c r="E85" s="13" t="s">
        <v>16</v>
      </c>
      <c r="F85" s="14">
        <v>41842.0</v>
      </c>
      <c r="G85" s="14">
        <v>41841.0</v>
      </c>
      <c r="H85" s="21">
        <v>41848.0</v>
      </c>
      <c r="I85" s="9" t="s">
        <v>724</v>
      </c>
      <c r="J85" s="9" t="s">
        <v>497</v>
      </c>
    </row>
    <row r="86" ht="22.5" customHeight="1">
      <c r="A86" s="42" t="s">
        <v>725</v>
      </c>
      <c r="B86" s="12" t="s">
        <v>21</v>
      </c>
      <c r="C86" s="12">
        <v>99.0</v>
      </c>
      <c r="D86" s="42" t="s">
        <v>726</v>
      </c>
      <c r="E86" s="13" t="s">
        <v>727</v>
      </c>
      <c r="F86" s="14">
        <v>41840.0</v>
      </c>
      <c r="G86" s="4" t="s">
        <v>28</v>
      </c>
      <c r="H86" s="21">
        <v>41843.0</v>
      </c>
      <c r="I86" s="9" t="s">
        <v>728</v>
      </c>
      <c r="J86" s="9" t="s">
        <v>497</v>
      </c>
    </row>
    <row r="87" ht="22.5" customHeight="1">
      <c r="A87" s="42">
        <v>28213.0</v>
      </c>
      <c r="B87" s="12" t="s">
        <v>25</v>
      </c>
      <c r="C87" s="12">
        <v>151.0</v>
      </c>
      <c r="D87" s="42" t="s">
        <v>729</v>
      </c>
      <c r="E87" s="13" t="s">
        <v>730</v>
      </c>
      <c r="F87" s="14">
        <v>41837.0</v>
      </c>
      <c r="G87" s="4" t="s">
        <v>28</v>
      </c>
      <c r="H87" s="21">
        <v>41841.0</v>
      </c>
      <c r="I87" s="9" t="s">
        <v>731</v>
      </c>
      <c r="J87" s="9" t="s">
        <v>497</v>
      </c>
    </row>
    <row r="88" ht="22.5" customHeight="1">
      <c r="A88" s="42">
        <v>28214.0</v>
      </c>
      <c r="B88" s="12" t="s">
        <v>14</v>
      </c>
      <c r="C88" s="12">
        <v>810.0</v>
      </c>
      <c r="D88" s="42" t="s">
        <v>732</v>
      </c>
      <c r="E88" s="13" t="s">
        <v>733</v>
      </c>
      <c r="F88" s="14">
        <v>41836.0</v>
      </c>
      <c r="G88" s="14">
        <v>41827.0</v>
      </c>
      <c r="H88" s="21">
        <v>41834.0</v>
      </c>
      <c r="I88" s="9" t="s">
        <v>734</v>
      </c>
      <c r="J88" s="9"/>
    </row>
    <row r="89" ht="22.5" customHeight="1">
      <c r="A89" s="42" t="s">
        <v>735</v>
      </c>
      <c r="B89" s="12" t="s">
        <v>14</v>
      </c>
      <c r="C89" s="12">
        <v>4454.0</v>
      </c>
      <c r="D89" s="42" t="s">
        <v>736</v>
      </c>
      <c r="E89" s="13" t="s">
        <v>16</v>
      </c>
      <c r="F89" s="14">
        <v>41836.0</v>
      </c>
      <c r="G89" s="14">
        <v>41836.0</v>
      </c>
      <c r="H89" s="44" t="s">
        <v>737</v>
      </c>
      <c r="I89" s="9" t="s">
        <v>738</v>
      </c>
      <c r="J89" s="9" t="s">
        <v>497</v>
      </c>
    </row>
    <row r="90" ht="22.5" customHeight="1">
      <c r="A90" s="42">
        <v>28239.0</v>
      </c>
      <c r="B90" s="12" t="s">
        <v>14</v>
      </c>
      <c r="C90" s="12">
        <v>1300.0</v>
      </c>
      <c r="D90" s="42" t="s">
        <v>739</v>
      </c>
      <c r="E90" s="13" t="s">
        <v>38</v>
      </c>
      <c r="F90" s="14">
        <v>41835.0</v>
      </c>
      <c r="G90" s="14">
        <v>41829.0</v>
      </c>
      <c r="H90" s="21">
        <v>41836.0</v>
      </c>
      <c r="I90" s="9" t="s">
        <v>740</v>
      </c>
      <c r="J90" s="9"/>
    </row>
    <row r="91" ht="22.5" customHeight="1">
      <c r="A91" s="42">
        <v>28291.0</v>
      </c>
      <c r="B91" s="12" t="s">
        <v>14</v>
      </c>
      <c r="C91" s="12">
        <v>1688.0</v>
      </c>
      <c r="D91" s="42" t="s">
        <v>741</v>
      </c>
      <c r="E91" s="13" t="s">
        <v>524</v>
      </c>
      <c r="F91" s="14">
        <v>41834.0</v>
      </c>
      <c r="G91" s="14">
        <v>41831.0</v>
      </c>
      <c r="H91" s="21">
        <v>41837.0</v>
      </c>
      <c r="I91" s="9" t="s">
        <v>742</v>
      </c>
      <c r="J91" s="9"/>
    </row>
    <row r="92" ht="22.5" customHeight="1">
      <c r="A92" s="42">
        <v>28238.0</v>
      </c>
      <c r="B92" s="12" t="s">
        <v>14</v>
      </c>
      <c r="C92" s="12">
        <v>1350.0</v>
      </c>
      <c r="D92" s="42" t="s">
        <v>743</v>
      </c>
      <c r="E92" s="13" t="s">
        <v>38</v>
      </c>
      <c r="F92" s="14">
        <v>41832.0</v>
      </c>
      <c r="G92" s="14">
        <v>41829.0</v>
      </c>
      <c r="H92" s="21">
        <v>41838.0</v>
      </c>
      <c r="I92" s="9" t="s">
        <v>744</v>
      </c>
      <c r="J92" s="9"/>
    </row>
    <row r="93" ht="22.5" customHeight="1">
      <c r="A93" s="42">
        <v>28237.0</v>
      </c>
      <c r="B93" s="12" t="s">
        <v>21</v>
      </c>
      <c r="C93" s="12">
        <v>800.0</v>
      </c>
      <c r="D93" s="42" t="s">
        <v>745</v>
      </c>
      <c r="E93" s="13" t="s">
        <v>746</v>
      </c>
      <c r="F93" s="14">
        <v>41832.0</v>
      </c>
      <c r="G93" s="16">
        <v>41856.0</v>
      </c>
      <c r="H93" s="21">
        <v>41838.0</v>
      </c>
      <c r="I93" s="9" t="s">
        <v>747</v>
      </c>
      <c r="J93" s="9"/>
    </row>
    <row r="94" ht="22.5" customHeight="1">
      <c r="A94" s="42">
        <v>28236.0</v>
      </c>
      <c r="B94" s="12" t="s">
        <v>21</v>
      </c>
      <c r="C94" s="12">
        <v>1250.0</v>
      </c>
      <c r="D94" s="42" t="s">
        <v>748</v>
      </c>
      <c r="E94" s="13" t="s">
        <v>749</v>
      </c>
      <c r="F94" s="14">
        <v>41832.0</v>
      </c>
      <c r="G94" s="16">
        <v>41845.0</v>
      </c>
      <c r="H94" s="21">
        <v>41838.0</v>
      </c>
      <c r="I94" s="9" t="s">
        <v>750</v>
      </c>
      <c r="J94" s="9"/>
    </row>
    <row r="95" ht="22.5" customHeight="1">
      <c r="A95" s="42">
        <v>28235.0</v>
      </c>
      <c r="B95" s="12" t="s">
        <v>14</v>
      </c>
      <c r="C95" s="12">
        <v>1074.0</v>
      </c>
      <c r="D95" s="42" t="s">
        <v>751</v>
      </c>
      <c r="E95" s="13" t="s">
        <v>752</v>
      </c>
      <c r="F95" s="14">
        <v>41832.0</v>
      </c>
      <c r="G95" s="14">
        <v>41835.0</v>
      </c>
      <c r="H95" s="21">
        <v>41841.0</v>
      </c>
      <c r="I95" s="9" t="s">
        <v>753</v>
      </c>
      <c r="J95" s="9"/>
    </row>
    <row r="96" ht="22.5" customHeight="1">
      <c r="A96" s="42">
        <v>28234.0</v>
      </c>
      <c r="B96" s="12" t="s">
        <v>14</v>
      </c>
      <c r="C96" s="12">
        <v>1300.0</v>
      </c>
      <c r="D96" s="42" t="s">
        <v>754</v>
      </c>
      <c r="E96" s="13" t="s">
        <v>38</v>
      </c>
      <c r="F96" s="14">
        <v>41828.0</v>
      </c>
      <c r="G96" s="14">
        <v>41828.0</v>
      </c>
      <c r="H96" s="21">
        <v>41834.0</v>
      </c>
      <c r="I96" s="9" t="s">
        <v>755</v>
      </c>
      <c r="J96" s="9"/>
    </row>
    <row r="97" ht="22.5" customHeight="1">
      <c r="A97" s="42">
        <v>28104.0</v>
      </c>
      <c r="B97" s="12" t="s">
        <v>21</v>
      </c>
      <c r="C97" s="12">
        <v>1000.0</v>
      </c>
      <c r="D97" s="42" t="s">
        <v>756</v>
      </c>
      <c r="E97" s="13" t="s">
        <v>757</v>
      </c>
      <c r="F97" s="14">
        <v>41825.0</v>
      </c>
      <c r="G97" s="14">
        <v>41823.0</v>
      </c>
      <c r="H97" s="21">
        <v>41837.0</v>
      </c>
      <c r="I97" s="9" t="s">
        <v>758</v>
      </c>
      <c r="J97" s="9" t="s">
        <v>497</v>
      </c>
    </row>
    <row r="98" ht="22.5" customHeight="1">
      <c r="A98" s="42">
        <v>27920.0</v>
      </c>
      <c r="B98" s="12" t="s">
        <v>14</v>
      </c>
      <c r="C98" s="12">
        <v>1134.0</v>
      </c>
      <c r="D98" s="42" t="s">
        <v>759</v>
      </c>
      <c r="E98" s="13" t="s">
        <v>62</v>
      </c>
      <c r="F98" s="14">
        <v>41824.0</v>
      </c>
      <c r="G98" s="14">
        <v>41823.0</v>
      </c>
      <c r="H98" s="21">
        <v>41831.0</v>
      </c>
      <c r="I98" s="9" t="s">
        <v>760</v>
      </c>
      <c r="J98" s="9"/>
    </row>
    <row r="99" ht="22.5" customHeight="1">
      <c r="A99" s="42">
        <v>28192.0</v>
      </c>
      <c r="B99" s="12" t="s">
        <v>715</v>
      </c>
      <c r="C99" s="12">
        <v>1200.0</v>
      </c>
      <c r="D99" s="42" t="s">
        <v>761</v>
      </c>
      <c r="E99" s="13" t="s">
        <v>38</v>
      </c>
      <c r="F99" s="14">
        <v>41824.0</v>
      </c>
      <c r="G99" s="14">
        <v>41823.0</v>
      </c>
      <c r="H99" s="21">
        <v>41827.0</v>
      </c>
      <c r="I99" s="9" t="s">
        <v>762</v>
      </c>
      <c r="J99" s="9"/>
    </row>
    <row r="100" ht="22.5" customHeight="1">
      <c r="A100" s="42" t="s">
        <v>763</v>
      </c>
      <c r="B100" s="12" t="s">
        <v>21</v>
      </c>
      <c r="C100" s="12">
        <v>150.0</v>
      </c>
      <c r="D100" s="42" t="s">
        <v>764</v>
      </c>
      <c r="E100" s="13" t="s">
        <v>227</v>
      </c>
      <c r="F100" s="14">
        <v>41820.0</v>
      </c>
      <c r="G100" s="14">
        <v>41820.0</v>
      </c>
      <c r="H100" s="21">
        <v>41820.0</v>
      </c>
      <c r="I100" s="43" t="s">
        <v>765</v>
      </c>
      <c r="J100" s="9"/>
    </row>
    <row r="101" ht="22.5" customHeight="1">
      <c r="A101" s="42">
        <v>28012.0</v>
      </c>
      <c r="B101" s="12" t="s">
        <v>715</v>
      </c>
      <c r="C101" s="12">
        <v>418.0</v>
      </c>
      <c r="D101" s="42" t="s">
        <v>766</v>
      </c>
      <c r="E101" s="13" t="s">
        <v>767</v>
      </c>
      <c r="F101" s="14">
        <v>41820.0</v>
      </c>
      <c r="G101" s="16">
        <v>41834.0</v>
      </c>
      <c r="H101" s="21">
        <v>41822.0</v>
      </c>
      <c r="I101" s="9" t="s">
        <v>768</v>
      </c>
      <c r="J101" s="9"/>
    </row>
    <row r="102" ht="22.5" customHeight="1">
      <c r="A102" s="42">
        <v>28048.0</v>
      </c>
      <c r="B102" s="12" t="s">
        <v>21</v>
      </c>
      <c r="C102" s="12">
        <v>674.0</v>
      </c>
      <c r="D102" s="42" t="s">
        <v>769</v>
      </c>
      <c r="E102" s="13" t="s">
        <v>770</v>
      </c>
      <c r="F102" s="14">
        <v>41819.0</v>
      </c>
      <c r="G102" s="14">
        <v>41816.0</v>
      </c>
      <c r="H102" s="21">
        <v>41827.0</v>
      </c>
      <c r="I102" s="9" t="s">
        <v>771</v>
      </c>
      <c r="J102" s="9"/>
    </row>
    <row r="103" ht="22.5" customHeight="1">
      <c r="A103" s="42" t="s">
        <v>772</v>
      </c>
      <c r="B103" s="12" t="s">
        <v>21</v>
      </c>
      <c r="C103" s="12">
        <v>101.0</v>
      </c>
      <c r="D103" s="42" t="s">
        <v>773</v>
      </c>
      <c r="E103" s="13" t="s">
        <v>774</v>
      </c>
      <c r="F103" s="14">
        <v>41819.0</v>
      </c>
      <c r="G103" s="4" t="s">
        <v>28</v>
      </c>
      <c r="H103" s="21">
        <v>41822.0</v>
      </c>
      <c r="I103" s="9" t="s">
        <v>775</v>
      </c>
      <c r="J103" s="9" t="s">
        <v>497</v>
      </c>
    </row>
    <row r="104" ht="22.5" customHeight="1">
      <c r="A104" s="42">
        <v>28166.0</v>
      </c>
      <c r="B104" s="12" t="s">
        <v>715</v>
      </c>
      <c r="C104" s="12">
        <v>1200.0</v>
      </c>
      <c r="D104" s="42" t="s">
        <v>776</v>
      </c>
      <c r="E104" s="13" t="s">
        <v>38</v>
      </c>
      <c r="F104" s="14">
        <v>41816.0</v>
      </c>
      <c r="G104" s="14">
        <v>41823.0</v>
      </c>
      <c r="H104" s="21">
        <v>41829.0</v>
      </c>
      <c r="I104" s="9" t="s">
        <v>777</v>
      </c>
      <c r="J104" s="9"/>
    </row>
    <row r="105" ht="22.5" customHeight="1">
      <c r="A105" s="42">
        <v>28165.0</v>
      </c>
      <c r="B105" s="12" t="s">
        <v>715</v>
      </c>
      <c r="C105" s="12">
        <v>1140.0</v>
      </c>
      <c r="D105" s="42" t="s">
        <v>778</v>
      </c>
      <c r="E105" s="13" t="s">
        <v>38</v>
      </c>
      <c r="F105" s="14">
        <v>41816.0</v>
      </c>
      <c r="G105" s="14">
        <v>41823.0</v>
      </c>
      <c r="H105" s="21">
        <v>41829.0</v>
      </c>
      <c r="I105" s="9" t="s">
        <v>779</v>
      </c>
      <c r="J105" s="9"/>
    </row>
    <row r="106" ht="22.5" customHeight="1">
      <c r="A106" s="42">
        <v>28182.0</v>
      </c>
      <c r="B106" s="12" t="s">
        <v>715</v>
      </c>
      <c r="C106" s="12">
        <v>1200.0</v>
      </c>
      <c r="D106" s="42" t="s">
        <v>780</v>
      </c>
      <c r="E106" s="13" t="s">
        <v>38</v>
      </c>
      <c r="F106" s="14">
        <v>41815.0</v>
      </c>
      <c r="G106" s="14">
        <v>41814.0</v>
      </c>
      <c r="H106" s="21">
        <v>41822.0</v>
      </c>
      <c r="I106" s="9" t="s">
        <v>781</v>
      </c>
      <c r="J106" s="9"/>
    </row>
    <row r="107" ht="22.5" customHeight="1">
      <c r="A107" s="42">
        <v>28011.0</v>
      </c>
      <c r="B107" s="12" t="s">
        <v>21</v>
      </c>
      <c r="C107" s="12">
        <v>978.0</v>
      </c>
      <c r="D107" s="42" t="s">
        <v>782</v>
      </c>
      <c r="E107" s="13" t="s">
        <v>767</v>
      </c>
      <c r="F107" s="14">
        <v>41812.0</v>
      </c>
      <c r="G107" s="14">
        <v>41809.0</v>
      </c>
      <c r="H107" s="21">
        <v>41814.0</v>
      </c>
      <c r="I107" s="9" t="s">
        <v>783</v>
      </c>
      <c r="J107" s="9"/>
    </row>
    <row r="108" ht="22.5" customHeight="1">
      <c r="A108" s="42">
        <v>28034.0</v>
      </c>
      <c r="B108" s="12" t="s">
        <v>21</v>
      </c>
      <c r="C108" s="12">
        <v>2227.0</v>
      </c>
      <c r="D108" s="42" t="s">
        <v>784</v>
      </c>
      <c r="E108" s="13" t="s">
        <v>16</v>
      </c>
      <c r="F108" s="14">
        <v>41811.0</v>
      </c>
      <c r="G108" s="14">
        <v>41814.0</v>
      </c>
      <c r="H108" s="21">
        <v>41821.0</v>
      </c>
      <c r="I108" s="9" t="s">
        <v>785</v>
      </c>
      <c r="J108" s="9" t="s">
        <v>497</v>
      </c>
    </row>
    <row r="109" ht="22.5" customHeight="1">
      <c r="A109" s="42">
        <v>27902.0</v>
      </c>
      <c r="B109" s="12" t="s">
        <v>715</v>
      </c>
      <c r="C109" s="12">
        <v>1000.0</v>
      </c>
      <c r="D109" s="42" t="s">
        <v>786</v>
      </c>
      <c r="E109" s="13" t="s">
        <v>787</v>
      </c>
      <c r="F109" s="14">
        <v>41809.0</v>
      </c>
      <c r="G109" s="14">
        <v>41813.0</v>
      </c>
      <c r="H109" s="21">
        <v>41817.0</v>
      </c>
      <c r="I109" s="9" t="s">
        <v>788</v>
      </c>
      <c r="J109" s="9" t="s">
        <v>497</v>
      </c>
    </row>
    <row r="110" ht="22.5" customHeight="1">
      <c r="A110" s="42">
        <v>28146.0</v>
      </c>
      <c r="B110" s="12" t="s">
        <v>14</v>
      </c>
      <c r="C110" s="12">
        <v>944.0</v>
      </c>
      <c r="D110" s="42" t="s">
        <v>789</v>
      </c>
      <c r="E110" s="13" t="s">
        <v>790</v>
      </c>
      <c r="F110" s="14">
        <v>41804.0</v>
      </c>
      <c r="G110" s="14">
        <v>41810.0</v>
      </c>
      <c r="H110" s="21">
        <v>41816.0</v>
      </c>
      <c r="I110" s="9" t="s">
        <v>791</v>
      </c>
      <c r="J110" s="9"/>
    </row>
    <row r="111" ht="22.5" customHeight="1">
      <c r="A111" s="42" t="s">
        <v>792</v>
      </c>
      <c r="B111" s="12" t="s">
        <v>21</v>
      </c>
      <c r="C111" s="12">
        <v>352.0</v>
      </c>
      <c r="D111" s="42" t="s">
        <v>793</v>
      </c>
      <c r="E111" s="13" t="s">
        <v>794</v>
      </c>
      <c r="F111" s="14">
        <v>41803.0</v>
      </c>
      <c r="G111" s="14">
        <v>41802.0</v>
      </c>
      <c r="H111" s="21">
        <v>41814.0</v>
      </c>
      <c r="I111" s="9" t="s">
        <v>795</v>
      </c>
      <c r="J111" s="9" t="s">
        <v>497</v>
      </c>
    </row>
    <row r="112" ht="22.5" customHeight="1">
      <c r="A112" s="42">
        <v>28175.0</v>
      </c>
      <c r="B112" s="12" t="s">
        <v>21</v>
      </c>
      <c r="C112" s="12">
        <v>1140.0</v>
      </c>
      <c r="D112" s="42" t="s">
        <v>796</v>
      </c>
      <c r="E112" s="13" t="s">
        <v>38</v>
      </c>
      <c r="F112" s="14">
        <v>41802.0</v>
      </c>
      <c r="G112" s="14">
        <v>41800.0</v>
      </c>
      <c r="H112" s="21">
        <v>41809.0</v>
      </c>
      <c r="I112" s="9" t="s">
        <v>797</v>
      </c>
      <c r="J112" s="9"/>
    </row>
    <row r="113" ht="22.5" customHeight="1">
      <c r="A113" s="42">
        <v>27901.0</v>
      </c>
      <c r="B113" s="12" t="s">
        <v>715</v>
      </c>
      <c r="C113" s="12">
        <v>550.0</v>
      </c>
      <c r="D113" s="42" t="s">
        <v>798</v>
      </c>
      <c r="E113" s="13" t="s">
        <v>799</v>
      </c>
      <c r="F113" s="14">
        <v>41802.0</v>
      </c>
      <c r="G113" s="14">
        <v>41807.0</v>
      </c>
      <c r="H113" s="21">
        <v>41810.0</v>
      </c>
      <c r="I113" s="9" t="s">
        <v>800</v>
      </c>
      <c r="J113" s="9" t="s">
        <v>497</v>
      </c>
    </row>
    <row r="114" ht="22.5" customHeight="1">
      <c r="A114" s="42">
        <v>27922.0</v>
      </c>
      <c r="B114" s="12" t="s">
        <v>21</v>
      </c>
      <c r="C114" s="12">
        <v>193.0</v>
      </c>
      <c r="D114" s="42" t="s">
        <v>801</v>
      </c>
      <c r="E114" s="13" t="s">
        <v>262</v>
      </c>
      <c r="F114" s="14">
        <v>41800.0</v>
      </c>
      <c r="G114" s="14">
        <v>41799.0</v>
      </c>
      <c r="H114" s="21">
        <v>41806.0</v>
      </c>
      <c r="I114" s="9" t="s">
        <v>802</v>
      </c>
      <c r="J114" s="9"/>
    </row>
    <row r="115" ht="22.5" customHeight="1">
      <c r="A115" s="42">
        <v>27894.0</v>
      </c>
      <c r="B115" s="12" t="s">
        <v>21</v>
      </c>
      <c r="C115" s="12">
        <v>101.0</v>
      </c>
      <c r="D115" s="42" t="s">
        <v>803</v>
      </c>
      <c r="E115" s="13" t="s">
        <v>804</v>
      </c>
      <c r="F115" s="14">
        <v>41798.0</v>
      </c>
      <c r="G115" s="14">
        <v>41795.0</v>
      </c>
      <c r="H115" s="21">
        <v>41800.0</v>
      </c>
      <c r="I115" s="9" t="s">
        <v>805</v>
      </c>
      <c r="J115" s="9" t="s">
        <v>497</v>
      </c>
    </row>
    <row r="116" ht="23.25" customHeight="1">
      <c r="A116" s="42">
        <v>28147.0</v>
      </c>
      <c r="B116" s="12" t="s">
        <v>21</v>
      </c>
      <c r="C116" s="12">
        <v>519.0</v>
      </c>
      <c r="D116" s="42" t="s">
        <v>806</v>
      </c>
      <c r="E116" s="13" t="s">
        <v>807</v>
      </c>
      <c r="F116" s="14">
        <v>41798.0</v>
      </c>
      <c r="G116" s="8" t="s">
        <v>808</v>
      </c>
      <c r="H116" s="21">
        <v>41807.0</v>
      </c>
      <c r="I116" s="9" t="s">
        <v>809</v>
      </c>
      <c r="J116" s="9"/>
    </row>
    <row r="117" ht="22.5" customHeight="1">
      <c r="A117" s="42">
        <v>28006.0</v>
      </c>
      <c r="B117" s="12" t="s">
        <v>21</v>
      </c>
      <c r="C117" s="12">
        <v>963.0</v>
      </c>
      <c r="D117" s="42" t="s">
        <v>810</v>
      </c>
      <c r="E117" s="13" t="s">
        <v>811</v>
      </c>
      <c r="F117" s="14">
        <v>41797.0</v>
      </c>
      <c r="G117" s="14">
        <v>41795.0</v>
      </c>
      <c r="H117" s="21">
        <v>41801.0</v>
      </c>
      <c r="I117" s="9" t="s">
        <v>812</v>
      </c>
      <c r="J117" s="9"/>
    </row>
    <row r="118" ht="22.5" customHeight="1">
      <c r="A118" s="42">
        <v>28007.0</v>
      </c>
      <c r="B118" s="12" t="s">
        <v>21</v>
      </c>
      <c r="C118" s="12">
        <v>1005.0</v>
      </c>
      <c r="D118" s="42" t="s">
        <v>813</v>
      </c>
      <c r="E118" s="13" t="s">
        <v>811</v>
      </c>
      <c r="F118" s="14">
        <v>41797.0</v>
      </c>
      <c r="G118" s="14">
        <v>41795.0</v>
      </c>
      <c r="H118" s="21">
        <v>41801.0</v>
      </c>
      <c r="I118" s="9" t="s">
        <v>814</v>
      </c>
      <c r="J118" s="9"/>
    </row>
    <row r="119" ht="23.25" customHeight="1">
      <c r="A119" s="42">
        <v>27964.0</v>
      </c>
      <c r="B119" s="12" t="s">
        <v>21</v>
      </c>
      <c r="C119" s="12">
        <v>153.0</v>
      </c>
      <c r="D119" s="42" t="s">
        <v>815</v>
      </c>
      <c r="E119" s="13" t="s">
        <v>816</v>
      </c>
      <c r="F119" s="14">
        <v>41797.0</v>
      </c>
      <c r="G119" s="14">
        <v>41801.0</v>
      </c>
      <c r="H119" s="21">
        <v>41806.0</v>
      </c>
      <c r="I119" s="9" t="s">
        <v>817</v>
      </c>
      <c r="J119" s="9" t="s">
        <v>497</v>
      </c>
    </row>
    <row r="120" ht="22.5" customHeight="1">
      <c r="A120" s="42">
        <v>28163.0</v>
      </c>
      <c r="B120" s="12" t="s">
        <v>21</v>
      </c>
      <c r="C120" s="12">
        <v>1140.0</v>
      </c>
      <c r="D120" s="42" t="s">
        <v>818</v>
      </c>
      <c r="E120" s="13" t="s">
        <v>38</v>
      </c>
      <c r="F120" s="14">
        <v>41796.0</v>
      </c>
      <c r="G120" s="14">
        <v>41807.0</v>
      </c>
      <c r="H120" s="21">
        <v>41801.0</v>
      </c>
      <c r="I120" s="9" t="s">
        <v>819</v>
      </c>
      <c r="J120" s="9"/>
    </row>
    <row r="121" ht="22.5" customHeight="1">
      <c r="A121" s="42">
        <v>28162.0</v>
      </c>
      <c r="B121" s="12" t="s">
        <v>21</v>
      </c>
      <c r="C121" s="12">
        <v>1200.0</v>
      </c>
      <c r="D121" s="42" t="s">
        <v>820</v>
      </c>
      <c r="E121" s="13" t="s">
        <v>38</v>
      </c>
      <c r="F121" s="14">
        <v>41796.0</v>
      </c>
      <c r="G121" s="14">
        <v>41794.0</v>
      </c>
      <c r="H121" s="21">
        <v>41801.0</v>
      </c>
      <c r="I121" s="9" t="s">
        <v>821</v>
      </c>
      <c r="J121" s="9"/>
    </row>
    <row r="122" ht="22.5" customHeight="1">
      <c r="A122" s="42">
        <v>27886.0</v>
      </c>
      <c r="B122" s="12" t="s">
        <v>21</v>
      </c>
      <c r="C122" s="12">
        <v>300.0</v>
      </c>
      <c r="D122" s="42" t="s">
        <v>822</v>
      </c>
      <c r="E122" s="13" t="s">
        <v>823</v>
      </c>
      <c r="F122" s="14">
        <v>41794.0</v>
      </c>
      <c r="G122" s="14">
        <v>41809.0</v>
      </c>
      <c r="H122" s="21">
        <v>41810.0</v>
      </c>
      <c r="I122" s="9" t="s">
        <v>824</v>
      </c>
      <c r="J122" s="9"/>
    </row>
    <row r="123" ht="23.25" customHeight="1">
      <c r="A123" s="42">
        <v>28144.0</v>
      </c>
      <c r="B123" s="12" t="s">
        <v>14</v>
      </c>
      <c r="C123" s="12">
        <v>2498.0</v>
      </c>
      <c r="D123" s="42" t="s">
        <v>825</v>
      </c>
      <c r="E123" s="13" t="s">
        <v>826</v>
      </c>
      <c r="F123" s="14">
        <v>41794.0</v>
      </c>
      <c r="G123" s="14">
        <v>41793.0</v>
      </c>
      <c r="H123" s="21">
        <v>41802.0</v>
      </c>
      <c r="I123" s="9" t="s">
        <v>827</v>
      </c>
      <c r="J123" s="9"/>
    </row>
    <row r="124" ht="22.5" customHeight="1">
      <c r="A124" s="42">
        <v>28172.0</v>
      </c>
      <c r="B124" s="12" t="s">
        <v>21</v>
      </c>
      <c r="C124" s="12">
        <v>1073.0</v>
      </c>
      <c r="D124" s="42" t="s">
        <v>828</v>
      </c>
      <c r="E124" s="13" t="s">
        <v>829</v>
      </c>
      <c r="F124" s="14">
        <v>41794.0</v>
      </c>
      <c r="G124" s="14">
        <v>41795.0</v>
      </c>
      <c r="H124" s="21">
        <v>41802.0</v>
      </c>
      <c r="I124" s="9" t="s">
        <v>830</v>
      </c>
      <c r="J124" s="9"/>
    </row>
    <row r="125" ht="23.25" customHeight="1">
      <c r="A125" s="42">
        <v>28115.0</v>
      </c>
      <c r="B125" s="12" t="s">
        <v>14</v>
      </c>
      <c r="C125" s="12">
        <v>1200.0</v>
      </c>
      <c r="D125" s="42" t="s">
        <v>831</v>
      </c>
      <c r="E125" s="13" t="s">
        <v>38</v>
      </c>
      <c r="F125" s="14">
        <v>41792.0</v>
      </c>
      <c r="G125" s="14">
        <v>41793.0</v>
      </c>
      <c r="H125" s="21">
        <v>41803.0</v>
      </c>
      <c r="I125" s="9" t="s">
        <v>832</v>
      </c>
      <c r="J125" s="9"/>
    </row>
    <row r="126" ht="22.5" customHeight="1">
      <c r="A126" s="42">
        <v>28044.0</v>
      </c>
      <c r="B126" s="12" t="s">
        <v>715</v>
      </c>
      <c r="C126" s="12">
        <v>1764.0</v>
      </c>
      <c r="D126" s="42" t="s">
        <v>833</v>
      </c>
      <c r="E126" s="13" t="s">
        <v>675</v>
      </c>
      <c r="F126" s="14">
        <v>41791.0</v>
      </c>
      <c r="G126" s="14">
        <v>41792.0</v>
      </c>
      <c r="H126" s="21">
        <v>41795.0</v>
      </c>
      <c r="I126" s="9" t="s">
        <v>834</v>
      </c>
      <c r="J126" s="9"/>
    </row>
    <row r="127" ht="23.25" customHeight="1">
      <c r="A127" s="42">
        <v>28161.0</v>
      </c>
      <c r="B127" s="12" t="s">
        <v>21</v>
      </c>
      <c r="C127" s="12">
        <v>596.0</v>
      </c>
      <c r="D127" s="42" t="s">
        <v>835</v>
      </c>
      <c r="E127" s="13" t="s">
        <v>836</v>
      </c>
      <c r="F127" s="14">
        <v>41789.0</v>
      </c>
      <c r="G127" s="14">
        <v>41788.0</v>
      </c>
      <c r="H127" s="16">
        <v>41802.0</v>
      </c>
      <c r="I127" s="9" t="s">
        <v>837</v>
      </c>
      <c r="J127" s="9"/>
    </row>
    <row r="128" ht="23.25" customHeight="1">
      <c r="A128" s="42">
        <v>27838.0</v>
      </c>
      <c r="B128" s="12" t="s">
        <v>14</v>
      </c>
      <c r="C128" s="12">
        <v>235.0</v>
      </c>
      <c r="D128" s="42" t="s">
        <v>838</v>
      </c>
      <c r="E128" s="13" t="s">
        <v>632</v>
      </c>
      <c r="F128" s="14">
        <v>41789.0</v>
      </c>
      <c r="G128" s="14">
        <v>41792.0</v>
      </c>
      <c r="H128" s="21">
        <v>41799.0</v>
      </c>
      <c r="I128" s="9" t="s">
        <v>839</v>
      </c>
      <c r="J128" s="9"/>
    </row>
    <row r="129" ht="23.25" customHeight="1">
      <c r="A129" s="42">
        <v>27905.0</v>
      </c>
      <c r="B129" s="12" t="s">
        <v>21</v>
      </c>
      <c r="C129" s="12">
        <v>2227.0</v>
      </c>
      <c r="D129" s="42" t="s">
        <v>840</v>
      </c>
      <c r="E129" s="13" t="s">
        <v>16</v>
      </c>
      <c r="F129" s="14">
        <v>41789.0</v>
      </c>
      <c r="G129" s="14">
        <v>41788.0</v>
      </c>
      <c r="H129" s="16">
        <v>41795.0</v>
      </c>
      <c r="I129" s="18" t="s">
        <v>841</v>
      </c>
      <c r="J129" s="9" t="s">
        <v>497</v>
      </c>
    </row>
    <row r="130" ht="23.25" customHeight="1">
      <c r="A130" s="42">
        <v>27986.0</v>
      </c>
      <c r="B130" s="12" t="s">
        <v>25</v>
      </c>
      <c r="C130" s="12">
        <v>2227.0</v>
      </c>
      <c r="D130" s="42" t="s">
        <v>842</v>
      </c>
      <c r="E130" s="13" t="s">
        <v>16</v>
      </c>
      <c r="F130" s="14">
        <v>41787.0</v>
      </c>
      <c r="G130" s="14">
        <v>41800.0</v>
      </c>
      <c r="H130" s="21">
        <v>41800.0</v>
      </c>
      <c r="I130" s="18" t="s">
        <v>843</v>
      </c>
      <c r="J130" s="9" t="s">
        <v>497</v>
      </c>
    </row>
    <row r="131" ht="23.25" customHeight="1">
      <c r="A131" s="42">
        <v>28117.0</v>
      </c>
      <c r="B131" s="12" t="s">
        <v>715</v>
      </c>
      <c r="C131" s="12">
        <v>1200.0</v>
      </c>
      <c r="D131" s="42" t="s">
        <v>844</v>
      </c>
      <c r="E131" s="13" t="s">
        <v>102</v>
      </c>
      <c r="F131" s="14">
        <v>41785.0</v>
      </c>
      <c r="G131" s="14">
        <v>41786.0</v>
      </c>
      <c r="H131" s="21">
        <v>41789.0</v>
      </c>
      <c r="I131" s="18" t="s">
        <v>845</v>
      </c>
      <c r="J131" s="9"/>
    </row>
    <row r="132" ht="23.25" customHeight="1">
      <c r="A132" s="42" t="s">
        <v>846</v>
      </c>
      <c r="B132" s="12" t="s">
        <v>21</v>
      </c>
      <c r="C132" s="12">
        <v>406.0</v>
      </c>
      <c r="D132" s="42" t="s">
        <v>847</v>
      </c>
      <c r="E132" s="13" t="s">
        <v>848</v>
      </c>
      <c r="F132" s="14">
        <v>41783.0</v>
      </c>
      <c r="G132" s="14">
        <v>41782.0</v>
      </c>
      <c r="H132" s="21">
        <v>41789.0</v>
      </c>
      <c r="I132" s="9" t="s">
        <v>849</v>
      </c>
      <c r="J132" s="9" t="s">
        <v>497</v>
      </c>
    </row>
    <row r="133" ht="23.25" customHeight="1">
      <c r="A133" s="42">
        <v>28116.0</v>
      </c>
      <c r="B133" s="12" t="s">
        <v>25</v>
      </c>
      <c r="C133" s="12">
        <v>1200.0</v>
      </c>
      <c r="D133" s="42" t="s">
        <v>850</v>
      </c>
      <c r="E133" s="13" t="s">
        <v>38</v>
      </c>
      <c r="F133" s="14">
        <v>41780.0</v>
      </c>
      <c r="G133" s="14">
        <v>41778.0</v>
      </c>
      <c r="H133" s="21">
        <v>41782.0</v>
      </c>
      <c r="I133" s="9" t="s">
        <v>851</v>
      </c>
      <c r="J133" s="9"/>
    </row>
    <row r="134" ht="23.25" customHeight="1">
      <c r="A134" s="42" t="s">
        <v>852</v>
      </c>
      <c r="B134" s="12" t="s">
        <v>21</v>
      </c>
      <c r="C134" s="12">
        <v>857.0</v>
      </c>
      <c r="D134" s="42" t="s">
        <v>853</v>
      </c>
      <c r="E134" s="13" t="s">
        <v>854</v>
      </c>
      <c r="F134" s="14">
        <v>41778.0</v>
      </c>
      <c r="G134" s="14">
        <v>41786.0</v>
      </c>
      <c r="H134" s="21">
        <v>41786.0</v>
      </c>
      <c r="I134" s="9" t="s">
        <v>855</v>
      </c>
      <c r="J134" s="9" t="s">
        <v>497</v>
      </c>
    </row>
    <row r="135" ht="23.25" customHeight="1">
      <c r="A135" s="42">
        <v>28102.0</v>
      </c>
      <c r="B135" s="12" t="s">
        <v>21</v>
      </c>
      <c r="C135" s="12">
        <v>996.0</v>
      </c>
      <c r="D135" s="42" t="s">
        <v>856</v>
      </c>
      <c r="E135" s="13" t="s">
        <v>857</v>
      </c>
      <c r="F135" s="14">
        <v>41778.0</v>
      </c>
      <c r="G135" s="14">
        <v>41774.0</v>
      </c>
      <c r="H135" s="21">
        <v>41786.0</v>
      </c>
      <c r="I135" s="9" t="s">
        <v>858</v>
      </c>
      <c r="J135" s="9"/>
    </row>
    <row r="136" ht="23.25" customHeight="1">
      <c r="A136" s="42" t="s">
        <v>859</v>
      </c>
      <c r="B136" s="12" t="s">
        <v>21</v>
      </c>
      <c r="C136" s="12">
        <v>578.0</v>
      </c>
      <c r="D136" s="42" t="s">
        <v>860</v>
      </c>
      <c r="E136" s="13" t="s">
        <v>861</v>
      </c>
      <c r="F136" s="14">
        <v>41776.0</v>
      </c>
      <c r="G136" s="16">
        <v>41843.0</v>
      </c>
      <c r="H136" s="21">
        <v>41782.0</v>
      </c>
      <c r="I136" s="9" t="s">
        <v>862</v>
      </c>
      <c r="J136" s="9" t="s">
        <v>497</v>
      </c>
    </row>
    <row r="137" ht="23.25" customHeight="1">
      <c r="A137" s="42">
        <v>28100.0</v>
      </c>
      <c r="B137" s="12" t="s">
        <v>21</v>
      </c>
      <c r="C137" s="12">
        <v>1140.0</v>
      </c>
      <c r="D137" s="42" t="s">
        <v>863</v>
      </c>
      <c r="E137" s="13" t="s">
        <v>102</v>
      </c>
      <c r="F137" s="14">
        <v>41774.0</v>
      </c>
      <c r="G137" s="14">
        <v>41774.0</v>
      </c>
      <c r="H137" s="16">
        <v>41781.0</v>
      </c>
      <c r="I137" s="17" t="s">
        <v>864</v>
      </c>
      <c r="J137" s="17"/>
    </row>
    <row r="138" ht="23.25" customHeight="1">
      <c r="A138" s="42">
        <v>27559.0</v>
      </c>
      <c r="B138" s="12" t="s">
        <v>21</v>
      </c>
      <c r="C138" s="12">
        <v>415.0</v>
      </c>
      <c r="D138" s="42" t="s">
        <v>865</v>
      </c>
      <c r="E138" s="13" t="s">
        <v>533</v>
      </c>
      <c r="F138" s="14">
        <v>41773.0</v>
      </c>
      <c r="G138" s="14">
        <v>41767.0</v>
      </c>
      <c r="H138" s="21">
        <v>41773.0</v>
      </c>
      <c r="I138" s="9" t="s">
        <v>866</v>
      </c>
      <c r="J138" s="9" t="s">
        <v>497</v>
      </c>
    </row>
    <row r="139" ht="23.25" customHeight="1">
      <c r="A139" s="42">
        <v>27898.0</v>
      </c>
      <c r="B139" s="12" t="s">
        <v>14</v>
      </c>
      <c r="C139" s="12">
        <v>2230.0</v>
      </c>
      <c r="D139" s="45" t="s">
        <v>867</v>
      </c>
      <c r="E139" s="13" t="s">
        <v>16</v>
      </c>
      <c r="F139" s="14">
        <v>41771.0</v>
      </c>
      <c r="G139" s="14">
        <v>41771.0</v>
      </c>
      <c r="H139" s="21">
        <v>41775.0</v>
      </c>
      <c r="I139" s="9" t="s">
        <v>868</v>
      </c>
      <c r="J139" s="9" t="s">
        <v>497</v>
      </c>
    </row>
    <row r="140" ht="23.25" customHeight="1">
      <c r="A140" s="42">
        <v>28099.0</v>
      </c>
      <c r="B140" s="12" t="s">
        <v>25</v>
      </c>
      <c r="C140" s="12">
        <v>1200.0</v>
      </c>
      <c r="D140" s="42" t="s">
        <v>869</v>
      </c>
      <c r="E140" s="13" t="s">
        <v>102</v>
      </c>
      <c r="F140" s="14">
        <v>41770.0</v>
      </c>
      <c r="G140" s="14">
        <v>41772.0</v>
      </c>
      <c r="H140" s="16">
        <v>41778.0</v>
      </c>
      <c r="I140" s="18" t="s">
        <v>870</v>
      </c>
      <c r="J140" s="9"/>
    </row>
    <row r="141" ht="23.25" customHeight="1">
      <c r="A141" s="42">
        <v>28080.0</v>
      </c>
      <c r="B141" s="12" t="s">
        <v>21</v>
      </c>
      <c r="C141" s="12">
        <v>727.0</v>
      </c>
      <c r="D141" s="42" t="s">
        <v>871</v>
      </c>
      <c r="E141" s="13" t="s">
        <v>872</v>
      </c>
      <c r="F141" s="14">
        <v>41770.0</v>
      </c>
      <c r="G141" s="8" t="s">
        <v>873</v>
      </c>
      <c r="H141" s="21">
        <v>41775.0</v>
      </c>
      <c r="I141" s="18" t="s">
        <v>874</v>
      </c>
      <c r="J141" s="9"/>
    </row>
    <row r="142" ht="23.25" customHeight="1">
      <c r="A142" s="42">
        <v>28079.0</v>
      </c>
      <c r="B142" s="12" t="s">
        <v>14</v>
      </c>
      <c r="C142" s="12">
        <v>1200.0</v>
      </c>
      <c r="D142" s="42" t="s">
        <v>875</v>
      </c>
      <c r="E142" s="13" t="s">
        <v>102</v>
      </c>
      <c r="F142" s="14">
        <v>41769.0</v>
      </c>
      <c r="G142" s="14">
        <v>41764.0</v>
      </c>
      <c r="H142" s="21">
        <v>41772.0</v>
      </c>
      <c r="I142" s="9" t="s">
        <v>876</v>
      </c>
      <c r="J142" s="9"/>
    </row>
    <row r="143" ht="23.25" customHeight="1">
      <c r="A143" s="42">
        <v>28078.0</v>
      </c>
      <c r="B143" s="12" t="s">
        <v>14</v>
      </c>
      <c r="C143" s="12">
        <v>900.0</v>
      </c>
      <c r="D143" s="42" t="s">
        <v>877</v>
      </c>
      <c r="E143" s="13" t="s">
        <v>878</v>
      </c>
      <c r="F143" s="14">
        <v>41769.0</v>
      </c>
      <c r="G143" s="14">
        <v>41766.0</v>
      </c>
      <c r="H143" s="21">
        <v>41768.0</v>
      </c>
      <c r="I143" s="9" t="s">
        <v>879</v>
      </c>
      <c r="J143" s="9"/>
    </row>
    <row r="144" ht="23.25" customHeight="1">
      <c r="A144" s="42">
        <v>27786.0</v>
      </c>
      <c r="B144" s="12" t="s">
        <v>21</v>
      </c>
      <c r="C144" s="12">
        <v>782.0</v>
      </c>
      <c r="D144" s="42" t="s">
        <v>880</v>
      </c>
      <c r="E144" s="13" t="s">
        <v>376</v>
      </c>
      <c r="F144" s="14">
        <v>41764.0</v>
      </c>
      <c r="G144" s="14">
        <v>41761.0</v>
      </c>
      <c r="H144" s="21">
        <v>41772.0</v>
      </c>
      <c r="I144" s="18" t="s">
        <v>881</v>
      </c>
      <c r="J144" s="9" t="s">
        <v>497</v>
      </c>
    </row>
    <row r="145" ht="23.25" customHeight="1">
      <c r="A145" s="42" t="s">
        <v>882</v>
      </c>
      <c r="B145" s="12" t="s">
        <v>21</v>
      </c>
      <c r="C145" s="12">
        <v>94.0</v>
      </c>
      <c r="D145" s="42" t="s">
        <v>883</v>
      </c>
      <c r="E145" s="13" t="s">
        <v>884</v>
      </c>
      <c r="F145" s="14">
        <v>41763.0</v>
      </c>
      <c r="G145" s="16">
        <v>41821.0</v>
      </c>
      <c r="H145" s="21">
        <v>41774.0</v>
      </c>
      <c r="I145" s="9" t="s">
        <v>885</v>
      </c>
      <c r="J145" s="9" t="s">
        <v>497</v>
      </c>
    </row>
    <row r="146" ht="23.25" customHeight="1">
      <c r="A146" s="42">
        <v>27904.0</v>
      </c>
      <c r="B146" s="12" t="s">
        <v>21</v>
      </c>
      <c r="C146" s="12">
        <v>403.0</v>
      </c>
      <c r="D146" s="42" t="s">
        <v>886</v>
      </c>
      <c r="E146" s="13" t="s">
        <v>887</v>
      </c>
      <c r="F146" s="14">
        <v>41761.0</v>
      </c>
      <c r="G146" s="4" t="s">
        <v>28</v>
      </c>
      <c r="H146" s="16">
        <v>41766.0</v>
      </c>
      <c r="I146" s="43" t="s">
        <v>888</v>
      </c>
      <c r="J146" s="9" t="s">
        <v>497</v>
      </c>
    </row>
    <row r="147" ht="23.25" customHeight="1">
      <c r="A147" s="42">
        <v>28024.0</v>
      </c>
      <c r="B147" s="12" t="s">
        <v>21</v>
      </c>
      <c r="C147" s="12">
        <v>1029.0</v>
      </c>
      <c r="D147" s="42" t="s">
        <v>889</v>
      </c>
      <c r="E147" s="13" t="s">
        <v>890</v>
      </c>
      <c r="F147" s="14">
        <v>41757.0</v>
      </c>
      <c r="G147" s="14">
        <v>41754.0</v>
      </c>
      <c r="H147" s="21">
        <v>41765.0</v>
      </c>
      <c r="I147" s="9" t="s">
        <v>891</v>
      </c>
      <c r="J147" s="9"/>
    </row>
    <row r="148" ht="23.25" customHeight="1">
      <c r="A148" s="42">
        <v>27993.0</v>
      </c>
      <c r="B148" s="12" t="s">
        <v>14</v>
      </c>
      <c r="C148" s="12">
        <v>1180.0</v>
      </c>
      <c r="D148" s="42" t="s">
        <v>892</v>
      </c>
      <c r="E148" s="13" t="s">
        <v>38</v>
      </c>
      <c r="F148" s="14">
        <v>41757.0</v>
      </c>
      <c r="G148" s="14">
        <v>41758.0</v>
      </c>
      <c r="H148" s="16">
        <v>41764.0</v>
      </c>
      <c r="I148" s="9" t="s">
        <v>893</v>
      </c>
      <c r="J148" s="9"/>
    </row>
    <row r="149" ht="23.25" customHeight="1">
      <c r="A149" s="42">
        <v>28025.0</v>
      </c>
      <c r="B149" s="12" t="s">
        <v>21</v>
      </c>
      <c r="C149" s="12">
        <v>1200.0</v>
      </c>
      <c r="D149" s="42" t="s">
        <v>894</v>
      </c>
      <c r="E149" s="13" t="s">
        <v>38</v>
      </c>
      <c r="F149" s="14">
        <v>41753.0</v>
      </c>
      <c r="G149" s="14">
        <v>41751.0</v>
      </c>
      <c r="H149" s="21">
        <v>41760.0</v>
      </c>
      <c r="I149" s="9" t="s">
        <v>895</v>
      </c>
      <c r="J149" s="9"/>
    </row>
    <row r="150" ht="23.25" customHeight="1">
      <c r="A150" s="42">
        <v>27778.0</v>
      </c>
      <c r="B150" s="12" t="s">
        <v>25</v>
      </c>
      <c r="C150" s="12">
        <v>2248.0</v>
      </c>
      <c r="D150" s="42" t="s">
        <v>896</v>
      </c>
      <c r="E150" s="13" t="s">
        <v>16</v>
      </c>
      <c r="F150" s="14">
        <v>41752.0</v>
      </c>
      <c r="G150" s="14">
        <v>41754.0</v>
      </c>
      <c r="H150" s="16">
        <v>41757.0</v>
      </c>
      <c r="I150" s="18" t="s">
        <v>897</v>
      </c>
      <c r="J150" s="9" t="s">
        <v>497</v>
      </c>
    </row>
    <row r="151" ht="23.25" customHeight="1">
      <c r="A151" s="42">
        <v>27846.0</v>
      </c>
      <c r="B151" s="12" t="s">
        <v>21</v>
      </c>
      <c r="C151" s="12">
        <v>2227.0</v>
      </c>
      <c r="D151" s="42" t="s">
        <v>898</v>
      </c>
      <c r="E151" s="13" t="s">
        <v>16</v>
      </c>
      <c r="F151" s="14">
        <v>41750.0</v>
      </c>
      <c r="G151" s="14">
        <v>41747.0</v>
      </c>
      <c r="H151" s="16">
        <v>41757.0</v>
      </c>
      <c r="I151" s="46" t="s">
        <v>899</v>
      </c>
      <c r="J151" s="9"/>
    </row>
    <row r="152" ht="23.25" customHeight="1">
      <c r="A152" s="6">
        <v>27971.0</v>
      </c>
      <c r="B152" s="12" t="s">
        <v>14</v>
      </c>
      <c r="C152" s="12">
        <v>1141.0</v>
      </c>
      <c r="D152" s="42" t="s">
        <v>900</v>
      </c>
      <c r="E152" s="13" t="s">
        <v>901</v>
      </c>
      <c r="F152" s="14">
        <v>41750.0</v>
      </c>
      <c r="G152" s="14">
        <v>41752.0</v>
      </c>
      <c r="H152" s="16">
        <v>41759.0</v>
      </c>
      <c r="I152" s="9" t="s">
        <v>902</v>
      </c>
      <c r="J152" s="9"/>
    </row>
    <row r="153" ht="23.25" customHeight="1">
      <c r="A153" s="42">
        <v>27970.0</v>
      </c>
      <c r="B153" s="12" t="s">
        <v>21</v>
      </c>
      <c r="C153" s="12">
        <v>450.0</v>
      </c>
      <c r="D153" s="42" t="s">
        <v>903</v>
      </c>
      <c r="E153" s="13" t="s">
        <v>904</v>
      </c>
      <c r="F153" s="14">
        <v>41748.0</v>
      </c>
      <c r="G153" s="14">
        <v>41750.0</v>
      </c>
      <c r="H153" s="21">
        <v>41758.0</v>
      </c>
      <c r="I153" s="9" t="s">
        <v>905</v>
      </c>
      <c r="J153" s="9"/>
    </row>
    <row r="154" ht="23.25" customHeight="1">
      <c r="A154" s="42">
        <v>27989.0</v>
      </c>
      <c r="B154" s="12" t="s">
        <v>21</v>
      </c>
      <c r="C154" s="12">
        <v>1010.0</v>
      </c>
      <c r="D154" s="42" t="s">
        <v>906</v>
      </c>
      <c r="E154" s="13" t="s">
        <v>701</v>
      </c>
      <c r="F154" s="14">
        <v>41747.0</v>
      </c>
      <c r="G154" s="14">
        <v>41745.0</v>
      </c>
      <c r="H154" s="16">
        <v>41759.0</v>
      </c>
      <c r="I154" s="9" t="s">
        <v>907</v>
      </c>
      <c r="J154" s="9"/>
    </row>
    <row r="155" ht="23.25" customHeight="1">
      <c r="A155" s="42" t="s">
        <v>908</v>
      </c>
      <c r="B155" s="12" t="s">
        <v>21</v>
      </c>
      <c r="C155" s="12">
        <v>226.0</v>
      </c>
      <c r="D155" s="42" t="s">
        <v>909</v>
      </c>
      <c r="E155" s="13" t="s">
        <v>910</v>
      </c>
      <c r="F155" s="14">
        <v>41744.0</v>
      </c>
      <c r="G155" s="16">
        <v>41799.0</v>
      </c>
      <c r="H155" s="21">
        <v>41751.0</v>
      </c>
      <c r="I155" s="47" t="s">
        <v>911</v>
      </c>
      <c r="J155" s="9" t="s">
        <v>497</v>
      </c>
    </row>
    <row r="156" ht="25.5" customHeight="1">
      <c r="A156" s="6">
        <v>27969.0</v>
      </c>
      <c r="B156" s="12" t="s">
        <v>25</v>
      </c>
      <c r="C156" s="12">
        <v>1180.0</v>
      </c>
      <c r="D156" s="42" t="s">
        <v>912</v>
      </c>
      <c r="E156" s="13" t="s">
        <v>38</v>
      </c>
      <c r="F156" s="14">
        <v>41744.0</v>
      </c>
      <c r="G156" s="14">
        <v>41751.0</v>
      </c>
      <c r="H156" s="16">
        <v>41747.0</v>
      </c>
      <c r="I156" s="47" t="s">
        <v>913</v>
      </c>
      <c r="J156" s="17"/>
    </row>
    <row r="157" ht="23.25" customHeight="1">
      <c r="A157" s="42" t="s">
        <v>914</v>
      </c>
      <c r="B157" s="12" t="s">
        <v>21</v>
      </c>
      <c r="C157" s="12">
        <v>567.0</v>
      </c>
      <c r="D157" s="42" t="s">
        <v>915</v>
      </c>
      <c r="E157" s="13" t="s">
        <v>916</v>
      </c>
      <c r="F157" s="14">
        <v>41743.0</v>
      </c>
      <c r="G157" s="14">
        <v>41745.0</v>
      </c>
      <c r="H157" s="16">
        <v>41745.0</v>
      </c>
      <c r="I157" s="18" t="s">
        <v>917</v>
      </c>
      <c r="J157" s="9" t="s">
        <v>497</v>
      </c>
    </row>
    <row r="158" ht="21.75" customHeight="1">
      <c r="A158" s="6">
        <v>27720.0</v>
      </c>
      <c r="B158" s="12" t="s">
        <v>21</v>
      </c>
      <c r="C158" s="12">
        <v>1998.0</v>
      </c>
      <c r="D158" s="42" t="s">
        <v>918</v>
      </c>
      <c r="E158" s="13" t="s">
        <v>62</v>
      </c>
      <c r="F158" s="14">
        <v>41733.0</v>
      </c>
      <c r="G158" s="14">
        <v>41729.0</v>
      </c>
      <c r="H158" s="16">
        <v>41740.0</v>
      </c>
      <c r="I158" s="46" t="s">
        <v>919</v>
      </c>
      <c r="J158" s="9"/>
    </row>
    <row r="159" ht="23.25" customHeight="1">
      <c r="A159" s="42">
        <v>27968.0</v>
      </c>
      <c r="B159" s="12" t="s">
        <v>920</v>
      </c>
      <c r="C159" s="12">
        <v>1180.0</v>
      </c>
      <c r="D159" s="42" t="s">
        <v>921</v>
      </c>
      <c r="E159" s="13" t="s">
        <v>38</v>
      </c>
      <c r="F159" s="14">
        <v>41731.0</v>
      </c>
      <c r="G159" s="14">
        <v>41740.0</v>
      </c>
      <c r="H159" s="16">
        <v>41738.0</v>
      </c>
      <c r="I159" s="9" t="s">
        <v>922</v>
      </c>
      <c r="J159" s="9"/>
    </row>
    <row r="160" ht="23.25" customHeight="1">
      <c r="A160" s="6">
        <v>27940.0</v>
      </c>
      <c r="B160" s="12" t="s">
        <v>14</v>
      </c>
      <c r="C160" s="12">
        <v>1180.0</v>
      </c>
      <c r="D160" s="42" t="s">
        <v>923</v>
      </c>
      <c r="E160" s="13" t="s">
        <v>38</v>
      </c>
      <c r="F160" s="14">
        <v>41729.0</v>
      </c>
      <c r="G160" s="14">
        <v>41729.0</v>
      </c>
      <c r="H160" s="16">
        <v>41736.0</v>
      </c>
      <c r="I160" s="17" t="s">
        <v>924</v>
      </c>
      <c r="J160" s="17"/>
    </row>
    <row r="161" ht="23.25" customHeight="1">
      <c r="A161" s="6">
        <v>27781.0</v>
      </c>
      <c r="B161" s="12" t="s">
        <v>920</v>
      </c>
      <c r="C161" s="12">
        <v>525.0</v>
      </c>
      <c r="D161" s="42" t="s">
        <v>925</v>
      </c>
      <c r="E161" s="13" t="s">
        <v>926</v>
      </c>
      <c r="F161" s="14">
        <v>41727.0</v>
      </c>
      <c r="G161" s="14">
        <v>41729.0</v>
      </c>
      <c r="H161" s="16">
        <v>41736.0</v>
      </c>
      <c r="I161" s="9" t="s">
        <v>927</v>
      </c>
      <c r="J161" s="9"/>
    </row>
    <row r="162" ht="23.25" customHeight="1">
      <c r="A162" s="42">
        <v>27801.0</v>
      </c>
      <c r="B162" s="12" t="s">
        <v>14</v>
      </c>
      <c r="C162" s="12">
        <v>1800.0</v>
      </c>
      <c r="D162" s="42" t="s">
        <v>928</v>
      </c>
      <c r="E162" s="13" t="s">
        <v>675</v>
      </c>
      <c r="F162" s="14">
        <v>41725.0</v>
      </c>
      <c r="G162" s="14">
        <v>41725.0</v>
      </c>
      <c r="H162" s="21">
        <v>41733.0</v>
      </c>
      <c r="I162" s="18" t="s">
        <v>929</v>
      </c>
      <c r="J162" s="9"/>
    </row>
    <row r="163" ht="23.25" customHeight="1">
      <c r="A163" s="6">
        <v>27965.0</v>
      </c>
      <c r="B163" s="12" t="s">
        <v>21</v>
      </c>
      <c r="C163" s="12">
        <v>791.0</v>
      </c>
      <c r="D163" s="42" t="s">
        <v>930</v>
      </c>
      <c r="E163" s="13" t="s">
        <v>931</v>
      </c>
      <c r="F163" s="14">
        <v>41724.0</v>
      </c>
      <c r="G163" s="14">
        <v>41722.0</v>
      </c>
      <c r="H163" s="16">
        <v>41733.0</v>
      </c>
      <c r="I163" s="46" t="s">
        <v>932</v>
      </c>
      <c r="J163" s="9"/>
    </row>
    <row r="164" ht="23.25" customHeight="1">
      <c r="A164" s="42" t="s">
        <v>933</v>
      </c>
      <c r="B164" s="12" t="s">
        <v>920</v>
      </c>
      <c r="C164" s="12">
        <v>48.0</v>
      </c>
      <c r="D164" s="42" t="s">
        <v>934</v>
      </c>
      <c r="E164" s="13" t="s">
        <v>935</v>
      </c>
      <c r="F164" s="14">
        <v>41722.0</v>
      </c>
      <c r="G164" s="4" t="s">
        <v>28</v>
      </c>
      <c r="H164" s="48">
        <v>41729.0</v>
      </c>
      <c r="I164" s="17" t="s">
        <v>936</v>
      </c>
      <c r="J164" s="9" t="s">
        <v>497</v>
      </c>
    </row>
    <row r="165" ht="21.75" customHeight="1">
      <c r="A165" s="6">
        <v>27811.0</v>
      </c>
      <c r="B165" s="12" t="s">
        <v>21</v>
      </c>
      <c r="C165" s="12">
        <v>505.0</v>
      </c>
      <c r="D165" s="42" t="s">
        <v>937</v>
      </c>
      <c r="E165" s="13" t="s">
        <v>182</v>
      </c>
      <c r="F165" s="14">
        <v>41722.0</v>
      </c>
      <c r="G165" s="14">
        <v>41722.0</v>
      </c>
      <c r="H165" s="16">
        <v>41731.0</v>
      </c>
      <c r="I165" s="9" t="s">
        <v>938</v>
      </c>
      <c r="J165" s="9" t="s">
        <v>497</v>
      </c>
    </row>
    <row r="166" ht="21.75" customHeight="1">
      <c r="A166" s="6">
        <v>27721.0</v>
      </c>
      <c r="B166" s="12" t="s">
        <v>21</v>
      </c>
      <c r="C166" s="12">
        <v>900.0</v>
      </c>
      <c r="D166" s="42" t="s">
        <v>939</v>
      </c>
      <c r="E166" s="13" t="s">
        <v>940</v>
      </c>
      <c r="F166" s="14">
        <v>41720.0</v>
      </c>
      <c r="G166" s="14">
        <v>41717.0</v>
      </c>
      <c r="H166" s="16">
        <v>41732.0</v>
      </c>
      <c r="I166" s="18" t="s">
        <v>941</v>
      </c>
      <c r="J166" s="9" t="s">
        <v>497</v>
      </c>
    </row>
    <row r="167" ht="21.75" customHeight="1">
      <c r="A167" s="6">
        <v>27780.0</v>
      </c>
      <c r="B167" s="12" t="s">
        <v>21</v>
      </c>
      <c r="C167" s="12">
        <v>924.0</v>
      </c>
      <c r="D167" s="6" t="s">
        <v>942</v>
      </c>
      <c r="E167" s="19" t="s">
        <v>943</v>
      </c>
      <c r="F167" s="14">
        <v>41717.0</v>
      </c>
      <c r="G167" s="14">
        <v>41715.0</v>
      </c>
      <c r="H167" s="16">
        <v>41723.0</v>
      </c>
      <c r="I167" s="9" t="s">
        <v>944</v>
      </c>
      <c r="J167" s="9" t="s">
        <v>497</v>
      </c>
    </row>
    <row r="168" ht="21.75" customHeight="1">
      <c r="A168" s="6">
        <v>27805.0</v>
      </c>
      <c r="B168" s="12" t="s">
        <v>945</v>
      </c>
      <c r="C168" s="12">
        <v>73.0</v>
      </c>
      <c r="D168" s="42" t="s">
        <v>946</v>
      </c>
      <c r="E168" s="13" t="s">
        <v>947</v>
      </c>
      <c r="F168" s="14">
        <v>41716.0</v>
      </c>
      <c r="G168" s="4" t="s">
        <v>948</v>
      </c>
      <c r="H168" s="8" t="s">
        <v>948</v>
      </c>
      <c r="I168" s="9" t="s">
        <v>949</v>
      </c>
      <c r="J168" s="9"/>
    </row>
    <row r="169" ht="21.75" customHeight="1">
      <c r="A169" s="6">
        <v>27939.0</v>
      </c>
      <c r="B169" s="12" t="s">
        <v>14</v>
      </c>
      <c r="C169" s="12">
        <v>1180.0</v>
      </c>
      <c r="D169" s="42" t="s">
        <v>950</v>
      </c>
      <c r="E169" s="13" t="s">
        <v>38</v>
      </c>
      <c r="F169" s="14">
        <v>41716.0</v>
      </c>
      <c r="G169" s="14">
        <v>41712.0</v>
      </c>
      <c r="H169" s="16">
        <v>41719.0</v>
      </c>
      <c r="I169" s="17" t="s">
        <v>951</v>
      </c>
      <c r="J169" s="17"/>
    </row>
    <row r="170" ht="27.0" customHeight="1">
      <c r="A170" s="6">
        <v>27594.0</v>
      </c>
      <c r="B170" s="12" t="s">
        <v>21</v>
      </c>
      <c r="C170" s="12">
        <v>674.0</v>
      </c>
      <c r="D170" s="42" t="s">
        <v>952</v>
      </c>
      <c r="E170" s="13" t="s">
        <v>953</v>
      </c>
      <c r="F170" s="14">
        <v>41711.0</v>
      </c>
      <c r="G170" s="49">
        <v>41715.0</v>
      </c>
      <c r="H170" s="16">
        <v>41722.0</v>
      </c>
      <c r="I170" s="17" t="s">
        <v>954</v>
      </c>
      <c r="J170" s="17"/>
    </row>
    <row r="171" ht="45.75" customHeight="1">
      <c r="A171" s="6">
        <v>27849.0</v>
      </c>
      <c r="B171" s="12" t="s">
        <v>14</v>
      </c>
      <c r="C171" s="12">
        <v>450.0</v>
      </c>
      <c r="D171" s="6" t="s">
        <v>955</v>
      </c>
      <c r="E171" s="19" t="s">
        <v>956</v>
      </c>
      <c r="F171" s="14">
        <v>41708.0</v>
      </c>
      <c r="G171" s="14">
        <v>41717.0</v>
      </c>
      <c r="H171" s="16">
        <v>41710.0</v>
      </c>
      <c r="I171" s="9" t="s">
        <v>957</v>
      </c>
      <c r="J171" s="9"/>
    </row>
    <row r="172" ht="27.0" customHeight="1">
      <c r="A172" s="6">
        <v>27697.0</v>
      </c>
      <c r="B172" s="12" t="s">
        <v>14</v>
      </c>
      <c r="C172" s="12">
        <v>2227.0</v>
      </c>
      <c r="D172" s="6" t="s">
        <v>958</v>
      </c>
      <c r="E172" s="13" t="s">
        <v>16</v>
      </c>
      <c r="F172" s="14">
        <v>41701.0</v>
      </c>
      <c r="G172" s="14">
        <v>41701.0</v>
      </c>
      <c r="H172" s="16">
        <v>41708.0</v>
      </c>
      <c r="I172" s="9" t="s">
        <v>959</v>
      </c>
      <c r="J172" s="9" t="s">
        <v>497</v>
      </c>
    </row>
    <row r="173" ht="27.0" customHeight="1">
      <c r="A173" s="6" t="s">
        <v>960</v>
      </c>
      <c r="B173" s="12" t="s">
        <v>14</v>
      </c>
      <c r="C173" s="12">
        <v>423.0</v>
      </c>
      <c r="D173" s="6" t="s">
        <v>961</v>
      </c>
      <c r="E173" s="13" t="s">
        <v>962</v>
      </c>
      <c r="F173" s="14">
        <v>41691.0</v>
      </c>
      <c r="G173" s="14">
        <v>41690.0</v>
      </c>
      <c r="H173" s="16">
        <v>41697.0</v>
      </c>
      <c r="I173" s="9" t="s">
        <v>963</v>
      </c>
      <c r="J173" s="9" t="s">
        <v>497</v>
      </c>
    </row>
    <row r="174" ht="27.0" customHeight="1">
      <c r="A174" s="6" t="s">
        <v>964</v>
      </c>
      <c r="B174" s="12" t="s">
        <v>14</v>
      </c>
      <c r="C174" s="12">
        <v>265.0</v>
      </c>
      <c r="D174" s="6" t="s">
        <v>965</v>
      </c>
      <c r="E174" s="13" t="s">
        <v>848</v>
      </c>
      <c r="F174" s="14">
        <v>41691.0</v>
      </c>
      <c r="G174" s="14">
        <v>41690.0</v>
      </c>
      <c r="H174" s="14">
        <v>41696.0</v>
      </c>
      <c r="I174" s="9" t="s">
        <v>966</v>
      </c>
      <c r="J174" s="9" t="s">
        <v>497</v>
      </c>
    </row>
    <row r="175" ht="27.0" customHeight="1">
      <c r="A175" s="6" t="s">
        <v>967</v>
      </c>
      <c r="B175" s="12" t="s">
        <v>21</v>
      </c>
      <c r="C175" s="12">
        <v>1515.0</v>
      </c>
      <c r="D175" s="6" t="s">
        <v>968</v>
      </c>
      <c r="E175" s="13" t="s">
        <v>969</v>
      </c>
      <c r="F175" s="14">
        <v>41686.0</v>
      </c>
      <c r="G175" s="14">
        <v>41674.0</v>
      </c>
      <c r="H175" s="4" t="s">
        <v>970</v>
      </c>
      <c r="I175" s="43" t="s">
        <v>971</v>
      </c>
      <c r="J175" s="9" t="s">
        <v>497</v>
      </c>
    </row>
    <row r="176" ht="27.0" customHeight="1">
      <c r="A176" s="6">
        <v>27603.0</v>
      </c>
      <c r="B176" s="12" t="s">
        <v>21</v>
      </c>
      <c r="C176" s="12">
        <v>2230.0</v>
      </c>
      <c r="D176" s="6" t="s">
        <v>972</v>
      </c>
      <c r="E176" s="13" t="s">
        <v>16</v>
      </c>
      <c r="F176" s="14">
        <v>41680.0</v>
      </c>
      <c r="G176" s="14">
        <v>41676.0</v>
      </c>
      <c r="H176" s="16">
        <v>41689.0</v>
      </c>
      <c r="I176" s="17" t="s">
        <v>973</v>
      </c>
      <c r="J176" s="17" t="s">
        <v>497</v>
      </c>
    </row>
    <row r="177" ht="27.0" customHeight="1">
      <c r="A177" s="6">
        <v>27813.0</v>
      </c>
      <c r="B177" s="12" t="s">
        <v>21</v>
      </c>
      <c r="C177" s="12">
        <v>2034.0</v>
      </c>
      <c r="D177" s="6" t="s">
        <v>974</v>
      </c>
      <c r="E177" s="13" t="s">
        <v>975</v>
      </c>
      <c r="F177" s="14">
        <v>41680.0</v>
      </c>
      <c r="G177" s="14">
        <v>41676.0</v>
      </c>
      <c r="H177" s="14">
        <v>41684.0</v>
      </c>
      <c r="I177" s="9" t="s">
        <v>976</v>
      </c>
      <c r="J177" s="9"/>
    </row>
    <row r="178" ht="27.0" customHeight="1">
      <c r="A178" s="6">
        <v>27690.0</v>
      </c>
      <c r="B178" s="12" t="s">
        <v>21</v>
      </c>
      <c r="C178" s="12">
        <v>81.0</v>
      </c>
      <c r="D178" s="6" t="s">
        <v>977</v>
      </c>
      <c r="E178" s="13" t="s">
        <v>978</v>
      </c>
      <c r="F178" s="14">
        <v>41673.0</v>
      </c>
      <c r="G178" s="16">
        <v>41683.0</v>
      </c>
      <c r="H178" s="14">
        <v>41681.0</v>
      </c>
      <c r="I178" s="17" t="s">
        <v>979</v>
      </c>
      <c r="J178" s="17" t="s">
        <v>497</v>
      </c>
    </row>
    <row r="179" ht="27.0" customHeight="1">
      <c r="A179" s="6">
        <v>27792.0</v>
      </c>
      <c r="B179" s="12" t="s">
        <v>21</v>
      </c>
      <c r="C179" s="12">
        <v>330.0</v>
      </c>
      <c r="D179" s="6" t="s">
        <v>980</v>
      </c>
      <c r="E179" s="13" t="s">
        <v>445</v>
      </c>
      <c r="F179" s="14">
        <v>41670.0</v>
      </c>
      <c r="G179" s="14">
        <v>41689.0</v>
      </c>
      <c r="H179" s="14">
        <v>41689.0</v>
      </c>
      <c r="I179" s="9" t="s">
        <v>981</v>
      </c>
      <c r="J179" s="9"/>
    </row>
    <row r="180" ht="27.0" customHeight="1">
      <c r="A180" s="6">
        <v>27628.0</v>
      </c>
      <c r="B180" s="12" t="s">
        <v>21</v>
      </c>
      <c r="C180" s="12">
        <v>48.0</v>
      </c>
      <c r="D180" s="6" t="s">
        <v>982</v>
      </c>
      <c r="E180" s="13" t="s">
        <v>983</v>
      </c>
      <c r="F180" s="14">
        <v>41667.0</v>
      </c>
      <c r="G180" s="14">
        <v>41667.0</v>
      </c>
      <c r="H180" s="16">
        <v>41673.0</v>
      </c>
      <c r="I180" s="17" t="s">
        <v>984</v>
      </c>
      <c r="J180" s="17" t="s">
        <v>497</v>
      </c>
    </row>
    <row r="181" ht="27.0" customHeight="1">
      <c r="A181" s="6">
        <v>27620.0</v>
      </c>
      <c r="B181" s="12" t="s">
        <v>21</v>
      </c>
      <c r="C181" s="12">
        <v>1.0</v>
      </c>
      <c r="D181" s="6" t="s">
        <v>985</v>
      </c>
      <c r="E181" s="13" t="s">
        <v>986</v>
      </c>
      <c r="F181" s="14">
        <v>41666.0</v>
      </c>
      <c r="G181" s="14">
        <v>41663.0</v>
      </c>
      <c r="H181" s="16">
        <v>41670.0</v>
      </c>
      <c r="I181" s="9" t="s">
        <v>987</v>
      </c>
      <c r="J181" s="9" t="s">
        <v>497</v>
      </c>
    </row>
    <row r="182" ht="27.0" customHeight="1">
      <c r="A182" s="6">
        <v>27788.0</v>
      </c>
      <c r="B182" s="12" t="s">
        <v>21</v>
      </c>
      <c r="C182" s="12">
        <v>1180.0</v>
      </c>
      <c r="D182" s="6" t="s">
        <v>988</v>
      </c>
      <c r="E182" s="13" t="s">
        <v>38</v>
      </c>
      <c r="F182" s="14">
        <v>41661.0</v>
      </c>
      <c r="G182" s="14">
        <v>41661.0</v>
      </c>
      <c r="H182" s="16">
        <v>41670.0</v>
      </c>
      <c r="I182" s="17" t="s">
        <v>989</v>
      </c>
      <c r="J182" s="17"/>
    </row>
    <row r="183" ht="27.0" customHeight="1">
      <c r="A183" s="6">
        <v>27773.0</v>
      </c>
      <c r="B183" s="12" t="s">
        <v>14</v>
      </c>
      <c r="C183" s="12">
        <v>534.0</v>
      </c>
      <c r="D183" s="6" t="s">
        <v>990</v>
      </c>
      <c r="E183" s="13" t="s">
        <v>991</v>
      </c>
      <c r="F183" s="14">
        <v>41659.0</v>
      </c>
      <c r="G183" s="14">
        <v>41659.0</v>
      </c>
      <c r="H183" s="14">
        <v>41669.0</v>
      </c>
      <c r="I183" s="9" t="s">
        <v>992</v>
      </c>
      <c r="J183" s="9"/>
    </row>
    <row r="184" ht="27.0" customHeight="1">
      <c r="A184" s="6" t="s">
        <v>192</v>
      </c>
      <c r="B184" s="12" t="s">
        <v>21</v>
      </c>
      <c r="C184" s="12">
        <v>163.0</v>
      </c>
      <c r="D184" s="6" t="s">
        <v>993</v>
      </c>
      <c r="E184" s="13" t="s">
        <v>994</v>
      </c>
      <c r="F184" s="14">
        <v>41659.0</v>
      </c>
      <c r="G184" s="4" t="s">
        <v>28</v>
      </c>
      <c r="H184" s="16">
        <v>41666.0</v>
      </c>
      <c r="I184" s="9" t="s">
        <v>995</v>
      </c>
      <c r="J184" s="9" t="s">
        <v>497</v>
      </c>
    </row>
    <row r="185" ht="27.0" customHeight="1">
      <c r="A185" s="6">
        <v>27748.0</v>
      </c>
      <c r="B185" s="12" t="s">
        <v>21</v>
      </c>
      <c r="C185" s="12">
        <v>450.0</v>
      </c>
      <c r="D185" s="6" t="s">
        <v>996</v>
      </c>
      <c r="E185" s="24" t="s">
        <v>997</v>
      </c>
      <c r="F185" s="14">
        <v>41651.0</v>
      </c>
      <c r="G185" s="16">
        <v>41675.0</v>
      </c>
      <c r="H185" s="14">
        <v>41661.0</v>
      </c>
      <c r="I185" s="9" t="s">
        <v>998</v>
      </c>
      <c r="J185" s="9"/>
    </row>
    <row r="186" ht="27.0" customHeight="1">
      <c r="A186" s="6">
        <v>27596.0</v>
      </c>
      <c r="B186" s="12" t="s">
        <v>21</v>
      </c>
      <c r="C186" s="12">
        <v>8.0</v>
      </c>
      <c r="D186" s="6" t="s">
        <v>999</v>
      </c>
      <c r="E186" s="13" t="s">
        <v>59</v>
      </c>
      <c r="F186" s="14">
        <v>41650.0</v>
      </c>
      <c r="G186" s="8" t="s">
        <v>1000</v>
      </c>
      <c r="H186" s="14">
        <v>41660.0</v>
      </c>
      <c r="I186" s="17" t="s">
        <v>1001</v>
      </c>
      <c r="J186" s="17" t="s">
        <v>497</v>
      </c>
    </row>
    <row r="187" ht="27.0" customHeight="1">
      <c r="A187" s="6">
        <v>27451.0</v>
      </c>
      <c r="B187" s="12" t="s">
        <v>21</v>
      </c>
      <c r="C187" s="12">
        <v>480.0</v>
      </c>
      <c r="D187" s="6" t="s">
        <v>1002</v>
      </c>
      <c r="E187" s="13" t="s">
        <v>926</v>
      </c>
      <c r="F187" s="14">
        <v>41644.0</v>
      </c>
      <c r="G187" s="14">
        <v>41646.0</v>
      </c>
      <c r="H187" s="14">
        <v>41653.0</v>
      </c>
      <c r="I187" s="17" t="s">
        <v>1003</v>
      </c>
      <c r="J187" s="17"/>
    </row>
    <row r="188" ht="27.0" customHeight="1">
      <c r="A188" s="6">
        <v>27370.0</v>
      </c>
      <c r="B188" s="12" t="s">
        <v>14</v>
      </c>
      <c r="C188" s="12">
        <v>530.0</v>
      </c>
      <c r="D188" s="6" t="s">
        <v>1004</v>
      </c>
      <c r="E188" s="13" t="s">
        <v>85</v>
      </c>
      <c r="F188" s="14">
        <v>41639.0</v>
      </c>
      <c r="G188" s="14">
        <v>41645.0</v>
      </c>
      <c r="H188" s="16">
        <v>41659.0</v>
      </c>
      <c r="I188" s="17" t="s">
        <v>1005</v>
      </c>
      <c r="J188" s="17" t="s">
        <v>497</v>
      </c>
    </row>
    <row r="189" ht="27.0" customHeight="1">
      <c r="A189" s="6" t="s">
        <v>1006</v>
      </c>
      <c r="B189" s="12" t="s">
        <v>21</v>
      </c>
      <c r="C189" s="12">
        <v>23.0</v>
      </c>
      <c r="D189" s="6" t="s">
        <v>1007</v>
      </c>
      <c r="E189" s="13" t="s">
        <v>1008</v>
      </c>
      <c r="F189" s="14">
        <v>41638.0</v>
      </c>
      <c r="G189" s="4" t="s">
        <v>28</v>
      </c>
      <c r="H189" s="14">
        <v>41646.0</v>
      </c>
      <c r="I189" s="9" t="s">
        <v>1009</v>
      </c>
      <c r="J189" s="9" t="s">
        <v>497</v>
      </c>
    </row>
    <row r="190" ht="27.0" customHeight="1">
      <c r="A190" s="6">
        <v>27159.0</v>
      </c>
      <c r="B190" s="12" t="s">
        <v>21</v>
      </c>
      <c r="C190" s="12">
        <v>782.0</v>
      </c>
      <c r="D190" s="6" t="s">
        <v>1010</v>
      </c>
      <c r="E190" s="13" t="s">
        <v>1011</v>
      </c>
      <c r="F190" s="14">
        <v>41636.0</v>
      </c>
      <c r="G190" s="14">
        <v>42004.0</v>
      </c>
      <c r="H190" s="14">
        <v>41646.0</v>
      </c>
      <c r="I190" s="9" t="s">
        <v>1012</v>
      </c>
      <c r="J190" s="9"/>
    </row>
    <row r="191" ht="27.0" customHeight="1">
      <c r="A191" s="6">
        <v>27573.0</v>
      </c>
      <c r="B191" s="12" t="s">
        <v>21</v>
      </c>
      <c r="C191" s="12">
        <v>15.0</v>
      </c>
      <c r="D191" s="6" t="s">
        <v>1013</v>
      </c>
      <c r="E191" s="13" t="s">
        <v>1014</v>
      </c>
      <c r="F191" s="14">
        <v>41634.0</v>
      </c>
      <c r="G191" s="16">
        <v>41642.0</v>
      </c>
      <c r="H191" s="14">
        <v>41641.0</v>
      </c>
      <c r="I191" s="17" t="s">
        <v>1015</v>
      </c>
      <c r="J191" s="17"/>
    </row>
    <row r="192" ht="27.0" customHeight="1">
      <c r="A192" s="6">
        <v>27037.0</v>
      </c>
      <c r="B192" s="12" t="s">
        <v>14</v>
      </c>
      <c r="C192" s="12">
        <v>1544.0</v>
      </c>
      <c r="D192" s="6" t="s">
        <v>1016</v>
      </c>
      <c r="E192" s="13" t="s">
        <v>1017</v>
      </c>
      <c r="F192" s="14">
        <v>41632.0</v>
      </c>
      <c r="G192" s="14">
        <v>41638.0</v>
      </c>
      <c r="H192" s="14">
        <v>41642.0</v>
      </c>
      <c r="I192" s="9" t="s">
        <v>1018</v>
      </c>
      <c r="J192" s="9" t="s">
        <v>497</v>
      </c>
    </row>
    <row r="193" ht="27.0" customHeight="1">
      <c r="A193" s="6">
        <v>27671.0</v>
      </c>
      <c r="B193" s="12" t="s">
        <v>14</v>
      </c>
      <c r="C193" s="12">
        <v>1280.0</v>
      </c>
      <c r="D193" s="6" t="s">
        <v>1019</v>
      </c>
      <c r="E193" s="13" t="s">
        <v>38</v>
      </c>
      <c r="F193" s="14">
        <v>41631.0</v>
      </c>
      <c r="G193" s="14">
        <v>41631.0</v>
      </c>
      <c r="H193" s="14">
        <v>41645.0</v>
      </c>
      <c r="I193" s="9" t="s">
        <v>1020</v>
      </c>
      <c r="J193" s="9"/>
    </row>
    <row r="194" ht="22.5" customHeight="1">
      <c r="A194" s="42"/>
      <c r="B194" s="12" t="s">
        <v>14</v>
      </c>
      <c r="C194" s="12">
        <v>21.0</v>
      </c>
      <c r="D194" s="42" t="s">
        <v>541</v>
      </c>
      <c r="E194" s="13" t="s">
        <v>542</v>
      </c>
      <c r="F194" s="4"/>
      <c r="G194" s="4"/>
      <c r="H194" s="44"/>
      <c r="I194" s="9" t="s">
        <v>1021</v>
      </c>
      <c r="J194" s="9"/>
    </row>
    <row r="195" ht="27.0" customHeight="1">
      <c r="A195" s="6"/>
      <c r="B195" s="12"/>
      <c r="C195" s="12"/>
      <c r="D195" s="6"/>
      <c r="E195" s="13"/>
      <c r="F195" s="4"/>
      <c r="G195" s="4"/>
      <c r="H195" s="8"/>
      <c r="I195" s="9"/>
      <c r="J195" s="9"/>
    </row>
    <row r="196" ht="27.0" customHeight="1">
      <c r="A196" s="6"/>
      <c r="B196" s="12"/>
      <c r="C196" s="12"/>
      <c r="D196" s="6"/>
      <c r="E196" s="13"/>
      <c r="F196" s="4"/>
      <c r="G196" s="4"/>
      <c r="H196" s="4"/>
      <c r="I196" s="43"/>
      <c r="J196" s="9"/>
    </row>
    <row r="197" ht="27.0" customHeight="1">
      <c r="A197" s="6"/>
      <c r="B197" s="12"/>
      <c r="C197" s="12"/>
      <c r="D197" s="6"/>
      <c r="E197" s="13"/>
      <c r="F197" s="4"/>
      <c r="G197" s="4"/>
      <c r="H197" s="8"/>
      <c r="I197" s="9"/>
      <c r="J197" s="9"/>
    </row>
    <row r="198" ht="27.0" customHeight="1">
      <c r="A198" s="6"/>
      <c r="B198" s="12"/>
      <c r="C198" s="12"/>
      <c r="D198" s="6"/>
      <c r="E198" s="13"/>
      <c r="F198" s="4"/>
      <c r="G198" s="4"/>
      <c r="H198" s="4"/>
      <c r="I198" s="9"/>
      <c r="J198" s="9"/>
    </row>
    <row r="199" ht="27.0" customHeight="1">
      <c r="A199" s="6"/>
      <c r="B199" s="12"/>
      <c r="C199" s="12"/>
      <c r="D199" s="6"/>
      <c r="E199" s="13"/>
      <c r="F199" s="4"/>
      <c r="G199" s="4"/>
      <c r="H199" s="4"/>
      <c r="I199" s="17"/>
      <c r="J199" s="17"/>
    </row>
    <row r="200" ht="27.0" customHeight="1">
      <c r="A200" s="6"/>
      <c r="B200" s="12"/>
      <c r="C200" s="12"/>
      <c r="D200" s="6"/>
      <c r="E200" s="13"/>
      <c r="F200" s="4"/>
      <c r="G200" s="4"/>
      <c r="H200" s="4"/>
      <c r="I200" s="9"/>
      <c r="J200" s="9"/>
    </row>
    <row r="201" ht="13.5" customHeight="1">
      <c r="A201" s="6"/>
      <c r="B201" s="12"/>
      <c r="C201" s="12"/>
      <c r="D201" s="6"/>
      <c r="E201" s="13"/>
      <c r="F201" s="4"/>
      <c r="G201" s="4"/>
      <c r="H201" s="8"/>
      <c r="I201" s="9"/>
      <c r="J201" s="9"/>
    </row>
    <row r="202" ht="13.5" customHeight="1">
      <c r="A202" s="6"/>
      <c r="B202" s="12"/>
      <c r="C202" s="12"/>
      <c r="D202" s="6"/>
      <c r="E202" s="13"/>
      <c r="F202" s="4"/>
      <c r="G202" s="4"/>
      <c r="H202" s="4"/>
      <c r="I202" s="9"/>
      <c r="J202" s="9"/>
    </row>
    <row r="203" ht="13.5" customHeight="1">
      <c r="A203" s="6"/>
      <c r="B203" s="12"/>
      <c r="C203" s="12"/>
      <c r="D203" s="6"/>
      <c r="E203" s="13"/>
      <c r="F203" s="4"/>
      <c r="G203" s="4"/>
      <c r="H203" s="4"/>
      <c r="I203" s="9"/>
      <c r="J203" s="9"/>
    </row>
    <row r="204" ht="13.5" customHeight="1">
      <c r="A204" s="6"/>
      <c r="B204" s="12"/>
      <c r="C204" s="12"/>
      <c r="D204" s="6"/>
      <c r="E204" s="13"/>
      <c r="F204" s="4"/>
      <c r="G204" s="4"/>
      <c r="H204" s="4"/>
      <c r="I204" s="13"/>
      <c r="J204" s="13"/>
    </row>
    <row r="205" ht="27.0" customHeight="1">
      <c r="A205" s="6"/>
      <c r="B205" s="12"/>
      <c r="C205" s="12"/>
      <c r="D205" s="6"/>
      <c r="E205" s="13"/>
      <c r="F205" s="4"/>
      <c r="G205" s="4"/>
      <c r="H205" s="4"/>
      <c r="I205" s="9"/>
      <c r="J205" s="9"/>
    </row>
    <row r="206" ht="13.5" customHeight="1">
      <c r="A206" s="6"/>
      <c r="B206" s="12"/>
      <c r="C206" s="12"/>
      <c r="D206" s="6"/>
      <c r="E206" s="13"/>
      <c r="F206" s="4"/>
      <c r="G206" s="4"/>
      <c r="H206" s="4"/>
      <c r="I206" s="13"/>
      <c r="J206" s="13"/>
    </row>
    <row r="207" ht="13.5" customHeight="1">
      <c r="A207" s="6"/>
      <c r="B207" s="12"/>
      <c r="C207" s="12"/>
      <c r="D207" s="6"/>
      <c r="E207" s="13"/>
      <c r="F207" s="4"/>
      <c r="G207" s="4"/>
      <c r="H207" s="8"/>
      <c r="I207" s="18"/>
      <c r="J207" s="9"/>
    </row>
    <row r="208" ht="13.5" customHeight="1">
      <c r="A208" s="6"/>
      <c r="B208" s="12"/>
      <c r="C208" s="12"/>
      <c r="D208" s="6"/>
      <c r="E208" s="13"/>
      <c r="F208" s="4"/>
      <c r="G208" s="4"/>
      <c r="H208" s="4"/>
      <c r="I208" s="18"/>
      <c r="J208" s="9"/>
    </row>
    <row r="209" ht="13.5" customHeight="1">
      <c r="A209" s="6"/>
      <c r="B209" s="12"/>
      <c r="C209" s="12"/>
      <c r="D209" s="6"/>
      <c r="E209" s="13"/>
      <c r="F209" s="4"/>
      <c r="G209" s="4"/>
      <c r="H209" s="8"/>
      <c r="I209" s="13"/>
      <c r="J209" s="13"/>
    </row>
    <row r="210" ht="13.5" customHeight="1">
      <c r="A210" s="6"/>
      <c r="B210" s="12"/>
      <c r="C210" s="12"/>
      <c r="D210" s="6"/>
      <c r="E210" s="13"/>
      <c r="F210" s="4"/>
      <c r="G210" s="4"/>
      <c r="H210" s="4"/>
      <c r="I210" s="9"/>
      <c r="J210" s="9"/>
    </row>
    <row r="211" ht="13.5" customHeight="1">
      <c r="A211" s="6"/>
      <c r="B211" s="12"/>
      <c r="C211" s="12"/>
      <c r="D211" s="6"/>
      <c r="E211" s="13"/>
      <c r="F211" s="4"/>
      <c r="G211" s="4"/>
      <c r="H211" s="4"/>
      <c r="I211" s="13"/>
      <c r="J211" s="13"/>
    </row>
    <row r="212" ht="13.5" customHeight="1">
      <c r="A212" s="6"/>
      <c r="B212" s="12"/>
      <c r="C212" s="12"/>
      <c r="D212" s="6"/>
      <c r="E212" s="13"/>
      <c r="F212" s="4"/>
      <c r="G212" s="4"/>
      <c r="H212" s="4"/>
      <c r="I212" s="9"/>
      <c r="J212" s="9"/>
    </row>
    <row r="213" ht="13.5" customHeight="1">
      <c r="A213" s="6"/>
      <c r="B213" s="12"/>
      <c r="C213" s="12"/>
      <c r="D213" s="6"/>
      <c r="E213" s="13"/>
      <c r="F213" s="4"/>
      <c r="G213" s="4"/>
      <c r="H213" s="4"/>
      <c r="I213" s="13"/>
      <c r="J213" s="13"/>
    </row>
    <row r="214" ht="13.5" customHeight="1">
      <c r="A214" s="6"/>
      <c r="B214" s="12"/>
      <c r="C214" s="12"/>
      <c r="D214" s="6"/>
      <c r="E214" s="19"/>
      <c r="F214" s="4"/>
      <c r="G214" s="4"/>
      <c r="H214" s="4"/>
      <c r="I214" s="9"/>
      <c r="J214" s="9"/>
    </row>
    <row r="215" ht="13.5" customHeight="1">
      <c r="A215" s="6"/>
      <c r="B215" s="12"/>
      <c r="C215" s="12"/>
      <c r="D215" s="6"/>
      <c r="E215" s="13"/>
      <c r="F215" s="4"/>
      <c r="G215" s="4"/>
      <c r="H215" s="4"/>
      <c r="I215" s="19"/>
      <c r="J215" s="13"/>
    </row>
    <row r="216" ht="13.5" customHeight="1">
      <c r="A216" s="6"/>
      <c r="B216" s="12"/>
      <c r="C216" s="12"/>
      <c r="D216" s="6"/>
      <c r="E216" s="13"/>
      <c r="F216" s="4"/>
      <c r="G216" s="4"/>
      <c r="H216" s="4"/>
      <c r="I216" s="13"/>
      <c r="J216" s="13"/>
    </row>
    <row r="217" ht="13.5" customHeight="1">
      <c r="A217" s="6"/>
      <c r="B217" s="12"/>
      <c r="C217" s="12"/>
      <c r="D217" s="6"/>
      <c r="E217" s="13"/>
      <c r="F217" s="4"/>
      <c r="G217" s="4"/>
      <c r="H217" s="4"/>
      <c r="I217" s="9"/>
      <c r="J217" s="9"/>
    </row>
    <row r="218" ht="13.5" customHeight="1">
      <c r="A218" s="6"/>
      <c r="B218" s="12"/>
      <c r="C218" s="12"/>
      <c r="D218" s="6"/>
      <c r="E218" s="13"/>
      <c r="F218" s="4"/>
      <c r="G218" s="8"/>
      <c r="H218" s="4"/>
      <c r="I218" s="17"/>
      <c r="J218" s="17"/>
    </row>
    <row r="219" ht="13.5" customHeight="1">
      <c r="A219" s="6"/>
      <c r="B219" s="12"/>
      <c r="C219" s="12"/>
      <c r="D219" s="6"/>
      <c r="E219" s="13"/>
      <c r="F219" s="4"/>
      <c r="G219" s="4"/>
      <c r="H219" s="4"/>
      <c r="I219" s="13"/>
      <c r="J219" s="13"/>
    </row>
    <row r="220" ht="13.5" customHeight="1">
      <c r="A220" s="6"/>
      <c r="B220" s="12"/>
      <c r="C220" s="12"/>
      <c r="D220" s="6"/>
      <c r="E220" s="13"/>
      <c r="F220" s="4"/>
      <c r="G220" s="4"/>
      <c r="H220" s="4"/>
      <c r="I220" s="13"/>
      <c r="J220" s="13"/>
    </row>
    <row r="221" ht="13.5" customHeight="1">
      <c r="A221" s="6"/>
      <c r="B221" s="12"/>
      <c r="C221" s="12"/>
      <c r="D221" s="6"/>
      <c r="E221" s="13"/>
      <c r="F221" s="4"/>
      <c r="G221" s="4"/>
      <c r="H221" s="4"/>
      <c r="I221" s="13"/>
      <c r="J221" s="13"/>
    </row>
    <row r="222" ht="13.5" customHeight="1">
      <c r="A222" s="6"/>
      <c r="B222" s="12"/>
      <c r="C222" s="12"/>
      <c r="D222" s="6"/>
      <c r="E222" s="13"/>
      <c r="F222" s="4"/>
      <c r="G222" s="4"/>
      <c r="H222" s="4"/>
      <c r="I222" s="13"/>
      <c r="J222" s="13"/>
    </row>
    <row r="223" ht="13.5" customHeight="1">
      <c r="A223" s="6"/>
      <c r="B223" s="12"/>
      <c r="C223" s="12"/>
      <c r="D223" s="6"/>
      <c r="E223" s="13"/>
      <c r="F223" s="4"/>
      <c r="G223" s="4"/>
      <c r="H223" s="4"/>
      <c r="I223" s="13"/>
      <c r="J223" s="13"/>
    </row>
    <row r="224" ht="13.5" customHeight="1">
      <c r="A224" s="6"/>
      <c r="B224" s="12"/>
      <c r="C224" s="12"/>
      <c r="D224" s="6"/>
      <c r="E224" s="13"/>
      <c r="F224" s="4"/>
      <c r="G224" s="4"/>
      <c r="H224" s="4"/>
      <c r="I224" s="9"/>
      <c r="J224" s="9"/>
    </row>
    <row r="225" ht="13.5" customHeight="1">
      <c r="A225" s="6"/>
      <c r="B225" s="12"/>
      <c r="C225" s="12"/>
      <c r="D225" s="6"/>
      <c r="E225" s="13"/>
      <c r="F225" s="4"/>
      <c r="G225" s="4"/>
      <c r="H225" s="4"/>
      <c r="I225" s="13"/>
      <c r="J225" s="13"/>
    </row>
    <row r="226" ht="13.5" customHeight="1">
      <c r="A226" s="6"/>
      <c r="B226" s="12"/>
      <c r="C226" s="12"/>
      <c r="D226" s="6"/>
      <c r="E226" s="13"/>
      <c r="F226" s="4"/>
      <c r="G226" s="4"/>
      <c r="H226" s="4"/>
      <c r="I226" s="17"/>
      <c r="J226" s="17"/>
    </row>
    <row r="227" ht="12.75" customHeight="1">
      <c r="A227" s="6"/>
      <c r="B227" s="12"/>
      <c r="C227" s="12"/>
      <c r="D227" s="6"/>
      <c r="E227" s="13"/>
      <c r="F227" s="4"/>
      <c r="G227" s="4"/>
      <c r="H227" s="4"/>
      <c r="I227" s="13"/>
      <c r="J227" s="13"/>
    </row>
    <row r="228" ht="12.75" customHeight="1">
      <c r="A228" s="6"/>
      <c r="B228" s="12"/>
      <c r="C228" s="12"/>
      <c r="D228" s="6"/>
      <c r="E228" s="13"/>
      <c r="F228" s="4"/>
      <c r="G228" s="4"/>
      <c r="H228" s="4"/>
      <c r="I228" s="13"/>
      <c r="J228" s="13"/>
    </row>
    <row r="229" ht="12.75" customHeight="1">
      <c r="A229" s="6"/>
      <c r="B229" s="12"/>
      <c r="C229" s="12"/>
      <c r="D229" s="6"/>
      <c r="E229" s="13"/>
      <c r="F229" s="4"/>
      <c r="G229" s="4"/>
      <c r="H229" s="4"/>
      <c r="I229" s="13"/>
      <c r="J229" s="13"/>
    </row>
    <row r="230" ht="12.75" customHeight="1">
      <c r="A230" s="6"/>
      <c r="B230" s="12"/>
      <c r="C230" s="12"/>
      <c r="D230" s="6"/>
      <c r="E230" s="13"/>
      <c r="F230" s="4"/>
      <c r="G230" s="4"/>
      <c r="H230" s="4"/>
      <c r="I230" s="13"/>
      <c r="J230" s="13"/>
    </row>
    <row r="231" ht="12.75" customHeight="1">
      <c r="A231" s="6"/>
      <c r="B231" s="12"/>
      <c r="C231" s="12"/>
      <c r="D231" s="6"/>
      <c r="E231" s="13"/>
      <c r="F231" s="4"/>
      <c r="G231" s="4"/>
      <c r="H231" s="4"/>
      <c r="I231" s="13"/>
      <c r="J231" s="13"/>
    </row>
    <row r="232" ht="12.75" customHeight="1">
      <c r="A232" s="6"/>
      <c r="B232" s="12"/>
      <c r="C232" s="12"/>
      <c r="D232" s="6"/>
      <c r="E232" s="13"/>
      <c r="F232" s="4"/>
      <c r="G232" s="4"/>
      <c r="H232" s="4"/>
      <c r="I232" s="13"/>
      <c r="J232" s="13"/>
    </row>
    <row r="233" ht="12.75" customHeight="1">
      <c r="A233" s="6"/>
      <c r="B233" s="12"/>
      <c r="C233" s="12"/>
      <c r="D233" s="6"/>
      <c r="E233" s="13"/>
      <c r="F233" s="4"/>
      <c r="G233" s="4"/>
      <c r="H233" s="4"/>
      <c r="I233" s="13"/>
      <c r="J233" s="13"/>
    </row>
    <row r="234" ht="12.75" customHeight="1">
      <c r="A234" s="6"/>
      <c r="B234" s="12"/>
      <c r="C234" s="12"/>
      <c r="D234" s="6"/>
      <c r="E234" s="13"/>
      <c r="F234" s="4"/>
      <c r="G234" s="4"/>
      <c r="H234" s="4"/>
      <c r="I234" s="13"/>
      <c r="J234" s="13"/>
    </row>
    <row r="235" ht="12.75" customHeight="1">
      <c r="A235" s="6"/>
      <c r="B235" s="12"/>
      <c r="C235" s="12"/>
      <c r="D235" s="6"/>
      <c r="E235" s="13"/>
      <c r="F235" s="4"/>
      <c r="G235" s="4"/>
      <c r="H235" s="4"/>
      <c r="I235" s="13"/>
      <c r="J235" s="13"/>
    </row>
    <row r="236" ht="12.75" customHeight="1">
      <c r="A236" s="6"/>
      <c r="B236" s="12"/>
      <c r="C236" s="12"/>
      <c r="D236" s="6"/>
      <c r="E236" s="13"/>
      <c r="F236" s="4"/>
      <c r="G236" s="4"/>
      <c r="H236" s="4"/>
      <c r="I236" s="13"/>
      <c r="J236" s="13"/>
    </row>
    <row r="237" ht="12.75" customHeight="1">
      <c r="A237" s="6"/>
      <c r="B237" s="12"/>
      <c r="C237" s="12"/>
      <c r="D237" s="6"/>
      <c r="E237" s="13"/>
      <c r="F237" s="4"/>
      <c r="G237" s="4"/>
      <c r="H237" s="4"/>
      <c r="I237" s="13"/>
      <c r="J237" s="13"/>
    </row>
    <row r="238" ht="12.75" customHeight="1">
      <c r="A238" s="6"/>
      <c r="B238" s="12"/>
      <c r="C238" s="12"/>
      <c r="D238" s="6"/>
      <c r="E238" s="13"/>
      <c r="F238" s="8"/>
      <c r="G238" s="4"/>
      <c r="H238" s="4"/>
      <c r="I238" s="13"/>
      <c r="J238" s="13"/>
    </row>
    <row r="239" ht="12.75" customHeight="1">
      <c r="A239" s="6"/>
      <c r="B239" s="12"/>
      <c r="C239" s="12"/>
      <c r="D239" s="6"/>
      <c r="E239" s="13"/>
      <c r="F239" s="4"/>
      <c r="G239" s="4"/>
      <c r="H239" s="4"/>
      <c r="I239" s="13"/>
      <c r="J239" s="13"/>
    </row>
    <row r="240" ht="12.75" customHeight="1">
      <c r="A240" s="6"/>
      <c r="B240" s="12"/>
      <c r="C240" s="12"/>
      <c r="D240" s="20"/>
      <c r="E240" s="13"/>
      <c r="F240" s="4"/>
      <c r="G240" s="4"/>
      <c r="H240" s="4"/>
      <c r="I240" s="13"/>
      <c r="J240" s="13"/>
    </row>
    <row r="241" ht="12.75" customHeight="1">
      <c r="A241" s="6"/>
      <c r="B241" s="12"/>
      <c r="C241" s="12"/>
      <c r="D241" s="6"/>
      <c r="E241" s="13"/>
      <c r="F241" s="4"/>
      <c r="G241" s="44"/>
      <c r="H241" s="4"/>
      <c r="I241" s="13"/>
      <c r="J241" s="13"/>
    </row>
    <row r="242" ht="12.75" customHeight="1">
      <c r="A242" s="6"/>
      <c r="B242" s="12"/>
      <c r="C242" s="12"/>
      <c r="D242" s="6"/>
      <c r="E242" s="13"/>
      <c r="F242" s="4"/>
      <c r="G242" s="50"/>
      <c r="H242" s="4"/>
      <c r="I242" s="13"/>
      <c r="J242" s="13"/>
    </row>
    <row r="243" ht="12.75" customHeight="1">
      <c r="A243" s="6"/>
      <c r="B243" s="12"/>
      <c r="C243" s="12"/>
      <c r="D243" s="6"/>
      <c r="E243" s="13"/>
      <c r="F243" s="4"/>
      <c r="G243" s="4"/>
      <c r="H243" s="4"/>
      <c r="I243" s="13"/>
      <c r="J243" s="13"/>
    </row>
    <row r="244" ht="12.75" customHeight="1">
      <c r="A244" s="6"/>
      <c r="B244" s="12"/>
      <c r="C244" s="12"/>
      <c r="D244" s="6"/>
      <c r="E244" s="13"/>
      <c r="F244" s="4"/>
      <c r="G244" s="4"/>
      <c r="H244" s="4"/>
      <c r="I244" s="13"/>
      <c r="J244" s="13"/>
    </row>
    <row r="245" ht="12.75" customHeight="1">
      <c r="A245" s="6"/>
      <c r="B245" s="12"/>
      <c r="C245" s="12"/>
      <c r="D245" s="6"/>
      <c r="E245" s="13"/>
      <c r="F245" s="4"/>
      <c r="G245" s="4"/>
      <c r="H245" s="4"/>
      <c r="I245" s="13"/>
      <c r="J245" s="13"/>
    </row>
    <row r="246" ht="12.75" customHeight="1">
      <c r="A246" s="6"/>
      <c r="B246" s="12"/>
      <c r="C246" s="12"/>
      <c r="D246" s="6"/>
      <c r="E246" s="13"/>
      <c r="F246" s="4"/>
      <c r="G246" s="4"/>
      <c r="H246" s="4"/>
      <c r="I246" s="13"/>
      <c r="J246" s="13"/>
    </row>
    <row r="247" ht="12.75" customHeight="1">
      <c r="A247" s="6"/>
      <c r="B247" s="12"/>
      <c r="C247" s="12"/>
      <c r="D247" s="6"/>
      <c r="E247" s="13"/>
      <c r="F247" s="4"/>
      <c r="G247" s="4"/>
      <c r="H247" s="4"/>
      <c r="I247" s="13"/>
      <c r="J247" s="13"/>
    </row>
    <row r="248" ht="12.75" customHeight="1">
      <c r="A248" s="6"/>
      <c r="B248" s="12"/>
      <c r="C248" s="12"/>
      <c r="D248" s="6"/>
      <c r="E248" s="13"/>
      <c r="F248" s="4"/>
      <c r="G248" s="4"/>
      <c r="H248" s="4"/>
      <c r="I248" s="13"/>
      <c r="J248" s="13"/>
    </row>
    <row r="249" ht="12.75" customHeight="1">
      <c r="A249" s="6"/>
      <c r="B249" s="12"/>
      <c r="C249" s="12"/>
      <c r="D249" s="6"/>
      <c r="E249" s="13"/>
      <c r="F249" s="4"/>
      <c r="G249" s="4"/>
      <c r="H249" s="51"/>
      <c r="I249" s="13"/>
      <c r="J249" s="9"/>
    </row>
    <row r="250" ht="12.75" customHeight="1">
      <c r="A250" s="6"/>
      <c r="B250" s="12"/>
      <c r="C250" s="12"/>
      <c r="D250" s="6"/>
      <c r="E250" s="13"/>
      <c r="F250" s="4"/>
      <c r="G250" s="4"/>
      <c r="H250" s="4"/>
      <c r="I250" s="13"/>
      <c r="J250" s="13"/>
    </row>
    <row r="251" ht="13.5" customHeight="1">
      <c r="A251" s="6"/>
      <c r="B251" s="12"/>
      <c r="C251" s="12"/>
      <c r="D251" s="6"/>
      <c r="E251" s="13"/>
      <c r="F251" s="4"/>
      <c r="G251" s="4"/>
      <c r="H251" s="4"/>
      <c r="I251" s="13"/>
      <c r="J251" s="13"/>
    </row>
    <row r="252" ht="4.5" customHeight="1">
      <c r="A252" s="6"/>
      <c r="B252" s="12"/>
      <c r="C252" s="12"/>
      <c r="D252" s="6"/>
      <c r="E252" s="13"/>
      <c r="F252" s="4"/>
      <c r="G252" s="4"/>
      <c r="H252" s="4"/>
      <c r="I252" s="13"/>
      <c r="J252" s="13"/>
    </row>
    <row r="253" ht="12.75" customHeight="1">
      <c r="A253" s="6"/>
      <c r="B253" s="12"/>
      <c r="C253" s="12"/>
      <c r="D253" s="6"/>
      <c r="E253" s="13"/>
      <c r="F253" s="4"/>
      <c r="G253" s="8"/>
      <c r="H253" s="51"/>
      <c r="I253" s="13"/>
      <c r="J253" s="9"/>
    </row>
    <row r="254" ht="12.75" customHeight="1">
      <c r="A254" s="6"/>
      <c r="B254" s="12"/>
      <c r="C254" s="12"/>
      <c r="D254" s="6"/>
      <c r="E254" s="13"/>
      <c r="F254" s="4"/>
      <c r="G254" s="4"/>
      <c r="H254" s="51"/>
      <c r="I254" s="13"/>
      <c r="J254" s="9"/>
    </row>
    <row r="255" ht="12.75" customHeight="1">
      <c r="A255" s="6"/>
      <c r="B255" s="12"/>
      <c r="C255" s="12"/>
      <c r="D255" s="6"/>
      <c r="E255" s="24"/>
      <c r="F255" s="4"/>
      <c r="G255" s="4"/>
      <c r="H255" s="8"/>
      <c r="I255" s="13"/>
      <c r="J255" s="13"/>
    </row>
    <row r="256" ht="12.75" customHeight="1">
      <c r="A256" s="6"/>
      <c r="B256" s="12"/>
      <c r="C256" s="12"/>
      <c r="D256" s="6"/>
      <c r="E256" s="13"/>
      <c r="F256" s="4"/>
      <c r="G256" s="4"/>
      <c r="H256" s="8"/>
      <c r="I256" s="13"/>
      <c r="J256" s="13"/>
    </row>
    <row r="257" ht="12.75" customHeight="1">
      <c r="A257" s="20"/>
      <c r="B257" s="12"/>
      <c r="C257" s="12"/>
      <c r="D257" s="6"/>
      <c r="E257" s="13"/>
      <c r="F257" s="4"/>
      <c r="G257" s="4"/>
      <c r="H257" s="4"/>
      <c r="I257" s="13"/>
      <c r="J257" s="13"/>
    </row>
    <row r="258" ht="12.75" customHeight="1">
      <c r="A258" s="6"/>
      <c r="B258" s="12"/>
      <c r="C258" s="12"/>
      <c r="D258" s="6"/>
      <c r="E258" s="13"/>
      <c r="F258" s="4"/>
      <c r="G258" s="4"/>
      <c r="H258" s="4"/>
      <c r="I258" s="13"/>
      <c r="J258" s="13"/>
    </row>
    <row r="259" ht="12.75" customHeight="1">
      <c r="A259" s="6"/>
      <c r="B259" s="12"/>
      <c r="C259" s="12"/>
      <c r="D259" s="6"/>
      <c r="E259" s="13"/>
      <c r="F259" s="4"/>
      <c r="G259" s="4"/>
      <c r="H259" s="4"/>
      <c r="I259" s="25"/>
      <c r="J259" s="52"/>
    </row>
    <row r="260" ht="12.75" customHeight="1">
      <c r="A260" s="6"/>
      <c r="B260" s="12"/>
      <c r="C260" s="12"/>
      <c r="D260" s="6"/>
      <c r="E260" s="13"/>
      <c r="F260" s="4"/>
      <c r="G260" s="4"/>
      <c r="H260" s="4"/>
      <c r="I260" s="26"/>
      <c r="J260" s="26"/>
    </row>
    <row r="261" ht="12.75" customHeight="1">
      <c r="A261" s="6"/>
      <c r="B261" s="12"/>
      <c r="C261" s="12"/>
      <c r="D261" s="6"/>
      <c r="E261" s="13"/>
      <c r="F261" s="4"/>
      <c r="G261" s="4"/>
      <c r="H261" s="4"/>
      <c r="I261" s="26"/>
      <c r="J261" s="26"/>
    </row>
    <row r="262" ht="12.75" customHeight="1">
      <c r="A262" s="6"/>
      <c r="B262" s="12"/>
      <c r="C262" s="12"/>
      <c r="D262" s="6"/>
      <c r="E262" s="13"/>
      <c r="F262" s="4"/>
      <c r="G262" s="4"/>
      <c r="H262" s="4"/>
      <c r="I262" s="13"/>
      <c r="J262" s="13"/>
    </row>
    <row r="263" ht="12.75" customHeight="1">
      <c r="A263" s="6"/>
      <c r="B263" s="12"/>
      <c r="C263" s="12"/>
      <c r="D263" s="6"/>
      <c r="E263" s="13"/>
      <c r="F263" s="4"/>
      <c r="G263" s="4"/>
      <c r="H263" s="8"/>
      <c r="I263" s="26"/>
      <c r="J263" s="26"/>
    </row>
    <row r="264" ht="12.75" customHeight="1">
      <c r="A264" s="6"/>
      <c r="B264" s="12"/>
      <c r="C264" s="12"/>
      <c r="D264" s="6"/>
      <c r="E264" s="13"/>
      <c r="F264" s="4"/>
      <c r="G264" s="4"/>
      <c r="H264" s="8"/>
      <c r="I264" s="13"/>
      <c r="J264" s="13"/>
    </row>
    <row r="265" ht="12.75" customHeight="1">
      <c r="A265" s="6"/>
      <c r="B265" s="12"/>
      <c r="C265" s="12"/>
      <c r="D265" s="6"/>
      <c r="E265" s="13"/>
      <c r="F265" s="4"/>
      <c r="G265" s="4"/>
      <c r="H265" s="4"/>
      <c r="I265" s="13"/>
      <c r="J265" s="13"/>
    </row>
    <row r="266" ht="12.75" customHeight="1">
      <c r="A266" s="6"/>
      <c r="B266" s="12"/>
      <c r="C266" s="12"/>
      <c r="D266" s="6"/>
      <c r="E266" s="13"/>
      <c r="F266" s="4"/>
      <c r="G266" s="50"/>
      <c r="H266" s="8"/>
      <c r="I266" s="19"/>
      <c r="J266" s="13"/>
    </row>
    <row r="267" ht="12.75" customHeight="1">
      <c r="A267" s="6"/>
      <c r="B267" s="12"/>
      <c r="C267" s="12"/>
      <c r="D267" s="6"/>
      <c r="E267" s="13"/>
      <c r="F267" s="4"/>
      <c r="G267" s="4"/>
      <c r="H267" s="50"/>
      <c r="I267" s="19"/>
      <c r="J267" s="19"/>
    </row>
    <row r="268" ht="12.75" customHeight="1">
      <c r="A268" s="6"/>
      <c r="B268" s="12"/>
      <c r="C268" s="12"/>
      <c r="D268" s="6"/>
      <c r="E268" s="13"/>
      <c r="F268" s="4"/>
      <c r="G268" s="4"/>
      <c r="H268" s="8"/>
      <c r="I268" s="19"/>
      <c r="J268" s="13"/>
    </row>
    <row r="269" ht="12.75" customHeight="1">
      <c r="A269" s="6"/>
      <c r="B269" s="12"/>
      <c r="C269" s="12"/>
      <c r="D269" s="6"/>
      <c r="E269" s="13"/>
      <c r="F269" s="4"/>
      <c r="G269" s="4"/>
      <c r="H269" s="50"/>
      <c r="I269" s="19"/>
      <c r="J269" s="19"/>
    </row>
    <row r="270" ht="12.75" customHeight="1">
      <c r="A270" s="6"/>
      <c r="B270" s="12"/>
      <c r="C270" s="12"/>
      <c r="D270" s="6"/>
      <c r="E270" s="13"/>
      <c r="F270" s="4"/>
      <c r="G270" s="4"/>
      <c r="H270" s="4"/>
      <c r="I270" s="19"/>
      <c r="J270" s="13"/>
    </row>
    <row r="271" ht="12.75" customHeight="1">
      <c r="A271" s="6"/>
      <c r="B271" s="12"/>
      <c r="C271" s="12"/>
      <c r="D271" s="6"/>
      <c r="E271" s="13"/>
      <c r="F271" s="4"/>
      <c r="G271" s="4"/>
      <c r="H271" s="50"/>
      <c r="I271" s="19"/>
      <c r="J271" s="19"/>
    </row>
    <row r="272" ht="12.75" customHeight="1">
      <c r="A272" s="6"/>
      <c r="B272" s="12"/>
      <c r="C272" s="12"/>
      <c r="D272" s="6"/>
      <c r="E272" s="13"/>
      <c r="F272" s="4"/>
      <c r="G272" s="4"/>
      <c r="H272" s="4"/>
      <c r="I272" s="13"/>
      <c r="J272" s="13"/>
    </row>
    <row r="273" ht="12.75" customHeight="1">
      <c r="A273" s="6"/>
      <c r="B273" s="12"/>
      <c r="C273" s="12"/>
      <c r="D273" s="6"/>
      <c r="E273" s="13"/>
      <c r="F273" s="4"/>
      <c r="G273" s="4"/>
      <c r="H273" s="4"/>
      <c r="I273" s="13"/>
      <c r="J273" s="13"/>
    </row>
    <row r="274" ht="12.75" customHeight="1">
      <c r="A274" s="6"/>
      <c r="B274" s="12"/>
      <c r="C274" s="12"/>
      <c r="D274" s="6"/>
      <c r="E274" s="13"/>
      <c r="F274" s="4"/>
      <c r="G274" s="4"/>
      <c r="H274" s="4"/>
      <c r="I274" s="13"/>
      <c r="J274" s="13"/>
    </row>
    <row r="275" ht="12.75" customHeight="1">
      <c r="A275" s="6"/>
      <c r="B275" s="12"/>
      <c r="C275" s="12"/>
      <c r="D275" s="6"/>
      <c r="E275" s="13"/>
      <c r="F275" s="4"/>
      <c r="G275" s="4"/>
      <c r="H275" s="4"/>
      <c r="I275" s="13"/>
      <c r="J275" s="13"/>
    </row>
    <row r="276" ht="12.75" customHeight="1">
      <c r="A276" s="6"/>
      <c r="B276" s="12"/>
      <c r="C276" s="12"/>
      <c r="D276" s="6"/>
      <c r="E276" s="13"/>
      <c r="F276" s="4"/>
      <c r="G276" s="4"/>
      <c r="H276" s="4"/>
      <c r="I276" s="13"/>
      <c r="J276" s="13"/>
    </row>
    <row r="277" ht="12.75" customHeight="1">
      <c r="A277" s="6"/>
      <c r="B277" s="12"/>
      <c r="C277" s="12"/>
      <c r="D277" s="6"/>
      <c r="E277" s="13"/>
      <c r="F277" s="4"/>
      <c r="G277" s="4"/>
      <c r="H277" s="4"/>
      <c r="I277" s="19"/>
      <c r="J277" s="13"/>
    </row>
    <row r="278" ht="12.75" customHeight="1">
      <c r="A278" s="6"/>
      <c r="B278" s="12"/>
      <c r="C278" s="12"/>
      <c r="D278" s="6"/>
      <c r="E278" s="13"/>
      <c r="F278" s="4"/>
      <c r="G278" s="4"/>
      <c r="H278" s="4"/>
      <c r="I278" s="18"/>
      <c r="J278" s="9"/>
    </row>
    <row r="279" ht="12.75" customHeight="1">
      <c r="A279" s="27"/>
      <c r="B279" s="28"/>
      <c r="C279" s="28"/>
      <c r="D279" s="27"/>
      <c r="E279" s="24"/>
      <c r="F279" s="32"/>
      <c r="G279" s="34"/>
      <c r="H279" s="32"/>
      <c r="I279" s="31"/>
      <c r="J279" s="31"/>
    </row>
    <row r="280" ht="12.75" customHeight="1">
      <c r="A280" s="6"/>
      <c r="B280" s="12"/>
      <c r="C280" s="12"/>
      <c r="D280" s="6"/>
      <c r="E280" s="13"/>
      <c r="F280" s="4"/>
      <c r="G280" s="4"/>
      <c r="H280" s="4"/>
      <c r="I280" s="17"/>
      <c r="J280" s="17"/>
    </row>
    <row r="281" ht="12.75" customHeight="1">
      <c r="A281" s="27"/>
      <c r="B281" s="28"/>
      <c r="C281" s="28"/>
      <c r="D281" s="27"/>
      <c r="E281" s="24"/>
      <c r="F281" s="32"/>
      <c r="G281" s="32"/>
      <c r="H281" s="4"/>
      <c r="I281" s="17"/>
      <c r="J281" s="17"/>
    </row>
    <row r="282" ht="12.75" customHeight="1">
      <c r="A282" s="27"/>
      <c r="B282" s="28"/>
      <c r="C282" s="28"/>
      <c r="D282" s="27"/>
      <c r="E282" s="24"/>
      <c r="F282" s="32"/>
      <c r="G282" s="32"/>
      <c r="H282" s="4"/>
      <c r="I282" s="9"/>
      <c r="J282" s="9"/>
    </row>
    <row r="283" ht="12.75" customHeight="1">
      <c r="A283" s="6"/>
      <c r="B283" s="12"/>
      <c r="C283" s="12"/>
      <c r="D283" s="6"/>
      <c r="E283" s="13"/>
      <c r="F283" s="4"/>
      <c r="G283" s="4"/>
      <c r="H283" s="4"/>
      <c r="I283" s="9"/>
      <c r="J283" s="9"/>
    </row>
    <row r="284" ht="12.75" customHeight="1">
      <c r="A284" s="6"/>
      <c r="B284" s="12"/>
      <c r="C284" s="12"/>
      <c r="D284" s="6"/>
      <c r="E284" s="13"/>
      <c r="F284" s="4"/>
      <c r="G284" s="4"/>
      <c r="H284" s="4"/>
      <c r="I284" s="18"/>
      <c r="J284" s="9"/>
    </row>
    <row r="285" ht="12.75" customHeight="1">
      <c r="A285" s="6"/>
      <c r="B285" s="12"/>
      <c r="C285" s="12"/>
      <c r="D285" s="6"/>
      <c r="E285" s="13"/>
      <c r="F285" s="4"/>
      <c r="G285" s="4"/>
      <c r="H285" s="4"/>
      <c r="I285" s="13"/>
      <c r="J285" s="13"/>
    </row>
    <row r="286" ht="12.75" customHeight="1">
      <c r="A286" s="27"/>
      <c r="B286" s="28"/>
      <c r="C286" s="28"/>
      <c r="D286" s="27"/>
      <c r="E286" s="24"/>
      <c r="F286" s="32"/>
      <c r="G286" s="32"/>
      <c r="H286" s="32"/>
      <c r="I286" s="24"/>
      <c r="J286" s="24"/>
    </row>
    <row r="287" ht="12.75" customHeight="1">
      <c r="A287" s="6"/>
      <c r="B287" s="12"/>
      <c r="C287" s="12"/>
      <c r="D287" s="6"/>
      <c r="E287" s="13"/>
      <c r="F287" s="4"/>
      <c r="G287" s="4"/>
      <c r="H287" s="4"/>
      <c r="I287" s="26"/>
      <c r="J287" s="26"/>
    </row>
    <row r="288" ht="12.75" customHeight="1">
      <c r="A288" s="6"/>
      <c r="B288" s="12"/>
      <c r="C288" s="12"/>
      <c r="D288" s="6"/>
      <c r="E288" s="13"/>
      <c r="F288" s="4"/>
      <c r="G288" s="4"/>
      <c r="H288" s="4"/>
      <c r="I288" s="26"/>
      <c r="J288" s="26"/>
    </row>
    <row r="289" ht="12.75" customHeight="1">
      <c r="A289" s="6"/>
      <c r="B289" s="12"/>
      <c r="C289" s="12"/>
      <c r="D289" s="6"/>
      <c r="E289" s="13"/>
      <c r="F289" s="4"/>
      <c r="G289" s="4"/>
      <c r="H289" s="4"/>
      <c r="I289" s="26"/>
      <c r="J289" s="26"/>
    </row>
    <row r="290" ht="12.75" customHeight="1">
      <c r="A290" s="6"/>
      <c r="B290" s="12"/>
      <c r="C290" s="12"/>
      <c r="D290" s="6"/>
      <c r="E290" s="13"/>
      <c r="F290" s="4"/>
      <c r="G290" s="4"/>
      <c r="H290" s="4"/>
      <c r="I290" s="13"/>
      <c r="J290" s="13"/>
    </row>
    <row r="291" ht="12.75" customHeight="1">
      <c r="A291" s="6"/>
      <c r="B291" s="28"/>
      <c r="C291" s="28"/>
      <c r="D291" s="27"/>
      <c r="E291" s="24"/>
      <c r="F291" s="4"/>
      <c r="G291" s="4"/>
      <c r="H291" s="4"/>
      <c r="I291" s="26"/>
      <c r="J291" s="26"/>
    </row>
    <row r="292" ht="12.75" customHeight="1">
      <c r="A292" s="27"/>
      <c r="B292" s="33"/>
      <c r="C292" s="33"/>
      <c r="D292" s="33"/>
      <c r="E292" s="24"/>
      <c r="F292" s="32"/>
      <c r="G292" s="34"/>
      <c r="H292" s="32"/>
      <c r="I292" s="24"/>
      <c r="J292" s="24"/>
    </row>
    <row r="293" ht="12.75" customHeight="1">
      <c r="A293" s="6"/>
      <c r="B293" s="1"/>
      <c r="C293" s="1"/>
      <c r="D293" s="1"/>
      <c r="E293" s="13"/>
      <c r="F293" s="4"/>
      <c r="G293" s="4"/>
      <c r="H293" s="4"/>
      <c r="I293" s="26"/>
      <c r="J293" s="26"/>
    </row>
    <row r="294" ht="12.75" customHeight="1">
      <c r="A294" s="27"/>
      <c r="B294" s="33"/>
      <c r="C294" s="33"/>
      <c r="D294" s="33"/>
      <c r="E294" s="24"/>
      <c r="F294" s="32"/>
      <c r="G294" s="32"/>
      <c r="H294" s="32"/>
      <c r="I294" s="35"/>
      <c r="J294" s="35"/>
    </row>
    <row r="295" ht="12.75" customHeight="1">
      <c r="A295" s="6"/>
      <c r="B295" s="1"/>
      <c r="C295" s="1"/>
      <c r="D295" s="1"/>
      <c r="E295" s="13"/>
      <c r="F295" s="4"/>
      <c r="G295" s="4"/>
      <c r="H295" s="4"/>
      <c r="I295" s="26"/>
      <c r="J295" s="26"/>
    </row>
    <row r="296" ht="12.75" customHeight="1">
      <c r="A296" s="6"/>
      <c r="B296" s="1"/>
      <c r="C296" s="1"/>
      <c r="D296" s="1"/>
      <c r="E296" s="13"/>
      <c r="F296" s="4"/>
      <c r="G296" s="4"/>
      <c r="H296" s="4"/>
      <c r="I296" s="26"/>
      <c r="J296" s="26"/>
    </row>
    <row r="297" ht="12.75" customHeight="1">
      <c r="A297" s="6"/>
      <c r="B297" s="1"/>
      <c r="C297" s="1"/>
      <c r="D297" s="1"/>
      <c r="E297" s="13"/>
      <c r="F297" s="4"/>
      <c r="G297" s="4"/>
      <c r="H297" s="4"/>
      <c r="I297" s="26"/>
      <c r="J297" s="26"/>
    </row>
    <row r="298" ht="12.75" customHeight="1">
      <c r="A298" s="27"/>
      <c r="B298" s="33"/>
      <c r="C298" s="33"/>
      <c r="D298" s="33"/>
      <c r="E298" s="24"/>
      <c r="F298" s="32"/>
      <c r="G298" s="32"/>
      <c r="H298" s="32"/>
      <c r="I298" s="24"/>
      <c r="J298" s="24"/>
    </row>
    <row r="299" ht="12.75" customHeight="1">
      <c r="A299" s="6"/>
      <c r="B299" s="1"/>
      <c r="C299" s="1"/>
      <c r="D299" s="1"/>
      <c r="E299" s="13"/>
      <c r="F299" s="4"/>
      <c r="G299" s="4"/>
      <c r="H299" s="4"/>
      <c r="I299" s="26"/>
      <c r="J299" s="26"/>
    </row>
    <row r="300" ht="12.75" customHeight="1">
      <c r="A300" s="27"/>
      <c r="B300" s="33"/>
      <c r="C300" s="33"/>
      <c r="D300" s="33"/>
      <c r="E300" s="24"/>
      <c r="F300" s="32"/>
      <c r="G300" s="32"/>
      <c r="H300" s="32"/>
      <c r="I300" s="35"/>
      <c r="J300" s="35"/>
    </row>
    <row r="301" ht="12.75" customHeight="1">
      <c r="A301" s="6"/>
      <c r="B301" s="1"/>
      <c r="C301" s="1"/>
      <c r="D301" s="1"/>
      <c r="E301" s="13"/>
      <c r="F301" s="4"/>
      <c r="G301" s="4"/>
      <c r="H301" s="4"/>
      <c r="I301" s="26"/>
      <c r="J301" s="26"/>
    </row>
    <row r="302" ht="12.75" customHeight="1">
      <c r="A302" s="6"/>
      <c r="B302" s="1"/>
      <c r="C302" s="1"/>
      <c r="D302" s="1"/>
      <c r="E302" s="13"/>
      <c r="F302" s="4"/>
      <c r="G302" s="4"/>
      <c r="H302" s="4"/>
      <c r="I302" s="26"/>
      <c r="J302" s="26"/>
    </row>
    <row r="303" ht="12.75" customHeight="1">
      <c r="A303" s="6"/>
      <c r="B303" s="1"/>
      <c r="C303" s="1"/>
      <c r="D303" s="1"/>
      <c r="E303" s="13"/>
      <c r="F303" s="4"/>
      <c r="G303" s="4"/>
      <c r="H303" s="4"/>
      <c r="I303" s="13"/>
      <c r="J303" s="13"/>
    </row>
    <row r="304" ht="12.75" customHeight="1">
      <c r="A304" s="27"/>
      <c r="B304" s="33"/>
      <c r="C304" s="33"/>
      <c r="D304" s="33"/>
      <c r="E304" s="24"/>
      <c r="F304" s="32"/>
      <c r="G304" s="32"/>
      <c r="H304" s="32"/>
      <c r="I304" s="24"/>
      <c r="J304" s="24"/>
    </row>
    <row r="305" ht="12.75" customHeight="1">
      <c r="A305" s="27"/>
      <c r="B305" s="33"/>
      <c r="C305" s="33"/>
      <c r="D305" s="33"/>
      <c r="E305" s="24"/>
      <c r="F305" s="32"/>
      <c r="G305" s="32"/>
      <c r="H305" s="32"/>
      <c r="I305" s="24"/>
      <c r="J305" s="24"/>
    </row>
    <row r="306" ht="12.75" customHeight="1">
      <c r="A306" s="27"/>
      <c r="B306" s="33"/>
      <c r="C306" s="33"/>
      <c r="D306" s="33"/>
      <c r="E306" s="24"/>
      <c r="F306" s="32"/>
      <c r="G306" s="32"/>
      <c r="H306" s="32"/>
      <c r="I306" s="24"/>
      <c r="J306" s="24"/>
    </row>
    <row r="307" ht="12.75" customHeight="1">
      <c r="A307" s="27"/>
      <c r="B307" s="33"/>
      <c r="C307" s="33"/>
      <c r="D307" s="33"/>
      <c r="E307" s="36"/>
      <c r="F307" s="32"/>
      <c r="G307" s="34"/>
      <c r="H307" s="32"/>
      <c r="I307" s="36"/>
      <c r="J307" s="24"/>
    </row>
    <row r="308" ht="12.75" customHeight="1">
      <c r="A308" s="6"/>
      <c r="B308" s="1"/>
      <c r="C308" s="1"/>
      <c r="D308" s="1"/>
      <c r="E308" s="13"/>
      <c r="F308" s="4"/>
      <c r="G308" s="4"/>
      <c r="H308" s="4"/>
      <c r="I308" s="26"/>
      <c r="J308" s="26"/>
    </row>
    <row r="309" ht="12.75" customHeight="1">
      <c r="A309" s="6"/>
      <c r="B309" s="1"/>
      <c r="C309" s="1"/>
      <c r="D309" s="1"/>
      <c r="E309" s="13"/>
      <c r="F309" s="4"/>
      <c r="G309" s="4"/>
      <c r="H309" s="4"/>
      <c r="I309" s="13"/>
      <c r="J309" s="13"/>
    </row>
    <row r="310" ht="12.75" customHeight="1">
      <c r="A310" s="27"/>
      <c r="B310" s="33"/>
      <c r="C310" s="33"/>
      <c r="D310" s="33"/>
      <c r="E310" s="36"/>
      <c r="F310" s="32"/>
      <c r="G310" s="32"/>
      <c r="H310" s="32"/>
      <c r="I310" s="36"/>
      <c r="J310" s="24"/>
    </row>
    <row r="311" ht="12.75" customHeight="1">
      <c r="A311" s="27"/>
      <c r="B311" s="33"/>
      <c r="C311" s="33"/>
      <c r="D311" s="33"/>
      <c r="E311" s="24"/>
      <c r="F311" s="32"/>
      <c r="G311" s="32"/>
      <c r="H311" s="32"/>
      <c r="I311" s="35"/>
      <c r="J311" s="35"/>
    </row>
    <row r="312" ht="12.75" customHeight="1">
      <c r="A312" s="27"/>
      <c r="B312" s="33"/>
      <c r="C312" s="33"/>
      <c r="D312" s="33"/>
      <c r="E312" s="24"/>
      <c r="F312" s="32"/>
      <c r="G312" s="32"/>
      <c r="H312" s="32"/>
      <c r="I312" s="35"/>
      <c r="J312" s="35"/>
    </row>
    <row r="313" ht="12.75" customHeight="1">
      <c r="A313" s="6"/>
      <c r="B313" s="1"/>
      <c r="C313" s="1"/>
      <c r="D313" s="1"/>
      <c r="E313" s="13"/>
      <c r="F313" s="4"/>
      <c r="G313" s="4"/>
      <c r="H313" s="4"/>
      <c r="I313" s="26"/>
      <c r="J313" s="26"/>
    </row>
    <row r="314" ht="60.0" customHeight="1">
      <c r="A314" s="27"/>
      <c r="B314" s="33"/>
      <c r="C314" s="33"/>
      <c r="D314" s="33"/>
      <c r="E314" s="24"/>
      <c r="F314" s="32"/>
      <c r="G314" s="32"/>
      <c r="H314" s="32"/>
      <c r="I314" s="24"/>
      <c r="J314" s="24"/>
    </row>
    <row r="315" ht="60.0" customHeight="1">
      <c r="A315" s="27"/>
      <c r="B315" s="33"/>
      <c r="C315" s="33"/>
      <c r="D315" s="33"/>
      <c r="E315" s="24"/>
      <c r="F315" s="32"/>
      <c r="G315" s="32"/>
      <c r="H315" s="32"/>
      <c r="I315" s="24"/>
      <c r="J315" s="24"/>
    </row>
    <row r="316" ht="20.25" customHeight="1">
      <c r="A316" s="27"/>
      <c r="B316" s="33"/>
      <c r="C316" s="33"/>
      <c r="D316" s="33"/>
      <c r="E316" s="24"/>
      <c r="F316" s="32"/>
      <c r="G316" s="32"/>
      <c r="H316" s="32"/>
      <c r="I316" s="24"/>
      <c r="J316" s="24"/>
    </row>
    <row r="317" ht="20.25" customHeight="1">
      <c r="A317" s="27"/>
      <c r="B317" s="33"/>
      <c r="C317" s="33"/>
      <c r="D317" s="33"/>
      <c r="E317" s="24"/>
      <c r="F317" s="32"/>
      <c r="G317" s="32"/>
      <c r="H317" s="32"/>
      <c r="I317" s="35"/>
      <c r="J317" s="35"/>
    </row>
    <row r="318" ht="20.25" customHeight="1">
      <c r="A318" s="27"/>
      <c r="B318" s="33"/>
      <c r="C318" s="33"/>
      <c r="D318" s="33"/>
      <c r="E318" s="24"/>
      <c r="F318" s="32"/>
      <c r="G318" s="37"/>
      <c r="H318" s="32"/>
      <c r="I318" s="38"/>
      <c r="J318" s="35"/>
    </row>
    <row r="319" ht="20.25" customHeight="1">
      <c r="A319" s="27"/>
      <c r="B319" s="33"/>
      <c r="C319" s="33"/>
      <c r="D319" s="33"/>
      <c r="E319" s="24"/>
      <c r="F319" s="32"/>
      <c r="G319" s="32"/>
      <c r="H319" s="32"/>
      <c r="I319" s="24"/>
      <c r="J319" s="24"/>
    </row>
    <row r="320" ht="20.25" customHeight="1">
      <c r="A320" s="27"/>
      <c r="B320" s="33"/>
      <c r="C320" s="33"/>
      <c r="D320" s="33"/>
      <c r="E320" s="24"/>
      <c r="F320" s="32"/>
      <c r="G320" s="32"/>
      <c r="H320" s="32"/>
      <c r="I320" s="35"/>
      <c r="J320" s="35"/>
    </row>
    <row r="321" ht="20.25" customHeight="1">
      <c r="A321" s="27"/>
      <c r="B321" s="33"/>
      <c r="C321" s="33"/>
      <c r="D321" s="33"/>
      <c r="E321" s="24"/>
      <c r="F321" s="32"/>
      <c r="G321" s="32"/>
      <c r="H321" s="32"/>
      <c r="I321" s="24"/>
      <c r="J321" s="24"/>
    </row>
    <row r="322" ht="20.25" customHeight="1">
      <c r="A322" s="27"/>
      <c r="B322" s="33"/>
      <c r="C322" s="33"/>
      <c r="D322" s="33"/>
      <c r="E322" s="24"/>
      <c r="F322" s="32"/>
      <c r="G322" s="32"/>
      <c r="H322" s="32"/>
      <c r="I322" s="35"/>
      <c r="J322" s="35"/>
    </row>
    <row r="323" ht="20.25" customHeight="1">
      <c r="A323" s="27"/>
      <c r="B323" s="33"/>
      <c r="C323" s="33"/>
      <c r="D323" s="33"/>
      <c r="E323" s="24"/>
      <c r="F323" s="32"/>
      <c r="G323" s="32"/>
      <c r="H323" s="32"/>
      <c r="I323" s="35"/>
      <c r="J323" s="35"/>
    </row>
    <row r="324" ht="20.25" customHeight="1">
      <c r="A324" s="27"/>
      <c r="B324" s="33"/>
      <c r="C324" s="33"/>
      <c r="D324" s="33"/>
      <c r="E324" s="24"/>
      <c r="F324" s="32"/>
      <c r="G324" s="32"/>
      <c r="H324" s="32"/>
      <c r="I324" s="35"/>
      <c r="J324" s="35"/>
    </row>
    <row r="325" ht="20.25" customHeight="1">
      <c r="A325" s="27"/>
      <c r="B325" s="33"/>
      <c r="C325" s="33"/>
      <c r="D325" s="33"/>
      <c r="E325" s="24"/>
      <c r="F325" s="32"/>
      <c r="G325" s="32"/>
      <c r="H325" s="32"/>
      <c r="I325" s="24"/>
      <c r="J325" s="24"/>
    </row>
    <row r="326" ht="20.25" customHeight="1">
      <c r="A326" s="27"/>
      <c r="B326" s="33"/>
      <c r="C326" s="33"/>
      <c r="D326" s="33"/>
      <c r="E326" s="24"/>
      <c r="F326" s="32"/>
      <c r="G326" s="32"/>
      <c r="H326" s="32"/>
      <c r="I326" s="35"/>
      <c r="J326" s="35"/>
    </row>
    <row r="327" ht="20.25" customHeight="1">
      <c r="A327" s="27"/>
      <c r="B327" s="33"/>
      <c r="C327" s="33"/>
      <c r="D327" s="33"/>
      <c r="E327" s="24"/>
      <c r="F327" s="32"/>
      <c r="G327" s="32"/>
      <c r="H327" s="32"/>
      <c r="I327" s="35"/>
      <c r="J327" s="35"/>
    </row>
    <row r="328" ht="20.25" customHeight="1">
      <c r="A328" s="27"/>
      <c r="B328" s="33"/>
      <c r="C328" s="33"/>
      <c r="D328" s="33"/>
      <c r="E328" s="24"/>
      <c r="F328" s="32"/>
      <c r="G328" s="32"/>
      <c r="H328" s="32"/>
      <c r="I328" s="35"/>
      <c r="J328" s="35"/>
    </row>
    <row r="329" ht="20.25" customHeight="1">
      <c r="A329" s="27"/>
      <c r="B329" s="33"/>
      <c r="C329" s="33"/>
      <c r="D329" s="33"/>
      <c r="E329" s="24"/>
      <c r="F329" s="32"/>
      <c r="G329" s="34"/>
      <c r="H329" s="32"/>
      <c r="I329" s="24"/>
      <c r="J329" s="24"/>
    </row>
    <row r="330" ht="20.25" customHeight="1">
      <c r="A330" s="6"/>
      <c r="B330" s="12"/>
      <c r="C330" s="12"/>
      <c r="D330" s="6"/>
      <c r="E330" s="13"/>
      <c r="F330" s="4"/>
      <c r="G330" s="4"/>
      <c r="H330" s="4"/>
      <c r="I330" s="9"/>
      <c r="J330" s="9"/>
    </row>
    <row r="331" ht="20.25" customHeight="1">
      <c r="A331" s="6"/>
      <c r="B331" s="1"/>
      <c r="C331" s="1"/>
      <c r="D331" s="1"/>
      <c r="E331" s="13"/>
      <c r="F331" s="4"/>
      <c r="G331" s="4"/>
      <c r="H331" s="4"/>
      <c r="I331" s="13"/>
      <c r="J331" s="13"/>
    </row>
    <row r="332" ht="20.25" customHeight="1">
      <c r="A332" s="27"/>
      <c r="B332" s="33"/>
      <c r="C332" s="33"/>
      <c r="D332" s="33"/>
      <c r="E332" s="24"/>
      <c r="F332" s="32"/>
      <c r="G332" s="32"/>
      <c r="H332" s="32"/>
      <c r="I332" s="24"/>
      <c r="J332" s="24"/>
    </row>
    <row r="333" ht="20.25" customHeight="1">
      <c r="A333" s="6"/>
      <c r="B333" s="1"/>
      <c r="C333" s="1"/>
      <c r="D333" s="1"/>
      <c r="E333" s="13"/>
      <c r="F333" s="4"/>
      <c r="G333" s="4"/>
      <c r="H333" s="4"/>
      <c r="I333" s="13"/>
      <c r="J333" s="13"/>
    </row>
    <row r="334" ht="20.25" customHeight="1">
      <c r="A334" s="6"/>
      <c r="B334" s="1"/>
      <c r="C334" s="1"/>
      <c r="D334" s="1"/>
      <c r="E334" s="13"/>
      <c r="F334" s="4"/>
      <c r="G334" s="4"/>
      <c r="H334" s="4"/>
      <c r="I334" s="13"/>
      <c r="J334" s="13"/>
    </row>
    <row r="335" ht="20.25" customHeight="1">
      <c r="A335" s="27"/>
      <c r="B335" s="33"/>
      <c r="C335" s="33"/>
      <c r="D335" s="33"/>
      <c r="E335" s="24"/>
      <c r="F335" s="32"/>
      <c r="G335" s="32"/>
      <c r="H335" s="32"/>
      <c r="I335" s="39"/>
      <c r="J335" s="24"/>
    </row>
    <row r="336" ht="20.25" customHeight="1">
      <c r="A336" s="6"/>
      <c r="B336" s="1"/>
      <c r="C336" s="1"/>
      <c r="D336" s="1"/>
      <c r="E336" s="13"/>
      <c r="F336" s="4"/>
      <c r="G336" s="4"/>
      <c r="H336" s="4"/>
      <c r="I336" s="13"/>
      <c r="J336" s="13"/>
    </row>
    <row r="337" ht="20.25" customHeight="1">
      <c r="A337" s="33"/>
      <c r="B337" s="33"/>
      <c r="C337" s="33"/>
      <c r="D337" s="33"/>
      <c r="E337" s="24"/>
      <c r="F337" s="32"/>
      <c r="G337" s="32"/>
      <c r="H337" s="32"/>
      <c r="I337" s="24"/>
      <c r="J337" s="24"/>
    </row>
    <row r="338" ht="20.25" customHeight="1">
      <c r="A338" s="6"/>
      <c r="B338" s="12"/>
      <c r="C338" s="12"/>
      <c r="D338" s="6"/>
      <c r="E338" s="24"/>
      <c r="F338" s="4"/>
      <c r="G338" s="4"/>
      <c r="H338" s="4"/>
      <c r="I338" s="9"/>
      <c r="J338" s="9"/>
    </row>
    <row r="339" ht="20.25" customHeight="1">
      <c r="A339" s="6"/>
      <c r="B339" s="12"/>
      <c r="C339" s="12"/>
      <c r="D339" s="6"/>
      <c r="E339" s="13"/>
      <c r="F339" s="4"/>
      <c r="G339" s="4"/>
      <c r="H339" s="4"/>
      <c r="I339" s="9"/>
      <c r="J339" s="9"/>
    </row>
    <row r="340" ht="20.25" customHeight="1">
      <c r="A340" s="27"/>
      <c r="B340" s="33"/>
      <c r="C340" s="33"/>
      <c r="D340" s="33"/>
      <c r="E340" s="24"/>
      <c r="F340" s="32"/>
      <c r="G340" s="32"/>
      <c r="H340" s="32"/>
      <c r="I340" s="24"/>
      <c r="J340" s="24"/>
    </row>
    <row r="341" ht="20.25" customHeight="1">
      <c r="A341" s="27"/>
      <c r="B341" s="33"/>
      <c r="C341" s="33"/>
      <c r="D341" s="33"/>
      <c r="E341" s="24"/>
      <c r="F341" s="32"/>
      <c r="G341" s="32"/>
      <c r="H341" s="32"/>
      <c r="I341" s="24"/>
      <c r="J341" s="24"/>
    </row>
    <row r="342" ht="20.25" customHeight="1">
      <c r="A342" s="27"/>
      <c r="B342" s="33"/>
      <c r="C342" s="33"/>
      <c r="D342" s="33"/>
      <c r="E342" s="24"/>
      <c r="F342" s="32"/>
      <c r="G342" s="32"/>
      <c r="H342" s="32"/>
      <c r="I342" s="24"/>
      <c r="J342" s="24"/>
    </row>
    <row r="343" ht="20.25" customHeight="1">
      <c r="A343" s="27"/>
      <c r="B343" s="33"/>
      <c r="C343" s="33"/>
      <c r="D343" s="33"/>
      <c r="E343" s="24"/>
      <c r="F343" s="32"/>
      <c r="G343" s="32"/>
      <c r="H343" s="32"/>
      <c r="I343" s="24"/>
      <c r="J343" s="24"/>
    </row>
    <row r="344" ht="20.25" customHeight="1">
      <c r="A344" s="27"/>
      <c r="B344" s="33"/>
      <c r="C344" s="33"/>
      <c r="D344" s="33"/>
      <c r="E344" s="24"/>
      <c r="F344" s="32"/>
      <c r="G344" s="32"/>
      <c r="H344" s="32"/>
      <c r="I344" s="24"/>
      <c r="J344" s="24"/>
    </row>
    <row r="345" ht="20.25" customHeight="1">
      <c r="A345" s="27"/>
      <c r="B345" s="33"/>
      <c r="C345" s="33"/>
      <c r="D345" s="33"/>
      <c r="E345" s="24"/>
      <c r="F345" s="32"/>
      <c r="G345" s="32"/>
      <c r="H345" s="32"/>
      <c r="I345" s="24"/>
      <c r="J345" s="24"/>
    </row>
    <row r="346" ht="20.25" customHeight="1">
      <c r="A346" s="40"/>
      <c r="B346" s="33"/>
      <c r="C346" s="33"/>
      <c r="D346" s="33"/>
      <c r="E346" s="24"/>
      <c r="F346" s="32"/>
      <c r="G346" s="32"/>
      <c r="H346" s="32"/>
      <c r="I346" s="24"/>
      <c r="J346" s="24"/>
    </row>
    <row r="347" ht="20.25" customHeight="1">
      <c r="A347" s="27"/>
      <c r="B347" s="33"/>
      <c r="C347" s="33"/>
      <c r="D347" s="33"/>
      <c r="E347" s="24"/>
      <c r="F347" s="32"/>
      <c r="G347" s="32"/>
      <c r="H347" s="32"/>
      <c r="I347" s="24"/>
      <c r="J347" s="24"/>
    </row>
    <row r="348" ht="20.25" customHeight="1">
      <c r="A348" s="27"/>
      <c r="B348" s="33"/>
      <c r="C348" s="33"/>
      <c r="D348" s="33"/>
      <c r="E348" s="24"/>
      <c r="F348" s="32"/>
      <c r="G348" s="32"/>
      <c r="H348" s="32"/>
      <c r="I348" s="13"/>
      <c r="J348" s="13"/>
    </row>
    <row r="349" ht="20.25" customHeight="1">
      <c r="A349" s="27"/>
      <c r="B349" s="33"/>
      <c r="C349" s="33"/>
      <c r="D349" s="33"/>
      <c r="E349" s="24"/>
      <c r="F349" s="32"/>
      <c r="G349" s="32"/>
      <c r="H349" s="32"/>
      <c r="I349" s="24"/>
      <c r="J349" s="24"/>
    </row>
    <row r="350" ht="20.25" customHeight="1">
      <c r="A350" s="6"/>
      <c r="B350" s="1"/>
      <c r="C350" s="1"/>
      <c r="D350" s="1"/>
      <c r="E350" s="13"/>
      <c r="F350" s="4"/>
      <c r="G350" s="4"/>
      <c r="H350" s="4"/>
      <c r="I350" s="13"/>
      <c r="J350" s="13"/>
    </row>
    <row r="351" ht="20.25" customHeight="1">
      <c r="A351" s="6"/>
      <c r="B351" s="1"/>
      <c r="C351" s="1"/>
      <c r="D351" s="1"/>
      <c r="E351" s="13"/>
      <c r="F351" s="4"/>
      <c r="G351" s="4"/>
      <c r="H351" s="4"/>
      <c r="I351" s="13"/>
      <c r="J351" s="13"/>
    </row>
    <row r="352" ht="20.25" customHeight="1">
      <c r="A352" s="27"/>
      <c r="B352" s="33"/>
      <c r="C352" s="33"/>
      <c r="D352" s="33"/>
      <c r="E352" s="24"/>
      <c r="F352" s="32"/>
      <c r="G352" s="32"/>
      <c r="H352" s="32"/>
      <c r="I352" s="24"/>
      <c r="J352" s="24"/>
    </row>
    <row r="353" ht="20.25" customHeight="1">
      <c r="A353" s="33"/>
      <c r="B353" s="33"/>
      <c r="C353" s="33"/>
      <c r="D353" s="33"/>
      <c r="E353" s="24"/>
      <c r="F353" s="32"/>
      <c r="G353" s="32"/>
      <c r="H353" s="32"/>
      <c r="I353" s="35"/>
      <c r="J353" s="35"/>
    </row>
    <row r="354" ht="23.25" customHeight="1">
      <c r="A354" s="33"/>
      <c r="B354" s="33"/>
      <c r="C354" s="33"/>
      <c r="D354" s="33"/>
      <c r="E354" s="24"/>
      <c r="F354" s="32"/>
      <c r="G354" s="32"/>
      <c r="H354" s="32"/>
      <c r="I354" s="35"/>
      <c r="J354" s="35"/>
    </row>
    <row r="355" ht="27.0" customHeight="1">
      <c r="A355" s="27"/>
      <c r="B355" s="33"/>
      <c r="C355" s="33"/>
      <c r="D355" s="33"/>
      <c r="E355" s="24"/>
      <c r="F355" s="32"/>
      <c r="G355" s="32"/>
      <c r="H355" s="32"/>
      <c r="I355" s="24"/>
      <c r="J355" s="24"/>
    </row>
    <row r="356" ht="20.25" customHeight="1">
      <c r="A356" s="1"/>
      <c r="B356" s="1"/>
      <c r="C356" s="1"/>
      <c r="D356" s="1"/>
      <c r="E356" s="13"/>
      <c r="F356" s="4"/>
      <c r="G356" s="4"/>
      <c r="H356" s="4"/>
      <c r="I356" s="26"/>
      <c r="J356" s="26"/>
    </row>
    <row r="357" ht="20.25" customHeight="1">
      <c r="A357" s="6"/>
      <c r="B357" s="12"/>
      <c r="C357" s="12"/>
      <c r="D357" s="6"/>
      <c r="E357" s="13"/>
      <c r="F357" s="4"/>
      <c r="G357" s="4"/>
      <c r="H357" s="4"/>
      <c r="I357" s="9"/>
      <c r="J357" s="9"/>
    </row>
    <row r="358" ht="20.25" customHeight="1">
      <c r="A358" s="6"/>
      <c r="B358" s="12"/>
      <c r="C358" s="12"/>
      <c r="D358" s="6"/>
      <c r="E358" s="13"/>
      <c r="F358" s="4"/>
      <c r="G358" s="4"/>
      <c r="H358" s="4"/>
      <c r="I358" s="26"/>
      <c r="J358" s="26"/>
    </row>
    <row r="359" ht="20.25" customHeight="1">
      <c r="A359" s="6"/>
      <c r="B359" s="12"/>
      <c r="C359" s="12"/>
      <c r="D359" s="6"/>
      <c r="E359" s="13"/>
      <c r="F359" s="4"/>
      <c r="G359" s="4"/>
      <c r="H359" s="4"/>
      <c r="I359" s="26"/>
      <c r="J359" s="26"/>
    </row>
    <row r="360" ht="12.75" customHeight="1">
      <c r="A360" s="6"/>
      <c r="B360" s="1"/>
      <c r="C360" s="1"/>
      <c r="D360" s="1"/>
      <c r="E360" s="13"/>
      <c r="F360" s="4"/>
      <c r="G360" s="4"/>
      <c r="H360" s="4"/>
      <c r="I360" s="13"/>
      <c r="J360" s="13"/>
    </row>
    <row r="361" ht="12.75" customHeight="1">
      <c r="A361" s="33"/>
      <c r="B361" s="33"/>
      <c r="C361" s="33"/>
      <c r="D361" s="33"/>
      <c r="E361" s="24"/>
      <c r="F361" s="32"/>
      <c r="G361" s="32"/>
      <c r="H361" s="32"/>
      <c r="I361" s="41"/>
      <c r="J361" s="41"/>
    </row>
    <row r="362" ht="12.75" customHeight="1">
      <c r="A362" s="33"/>
      <c r="B362" s="33"/>
      <c r="C362" s="33"/>
      <c r="D362" s="33"/>
      <c r="E362" s="24"/>
      <c r="F362" s="32"/>
      <c r="G362" s="32"/>
      <c r="H362" s="32"/>
      <c r="I362" s="41"/>
      <c r="J362" s="41"/>
    </row>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J$194"/>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2.86"/>
    <col customWidth="1" min="2" max="2" width="10.57"/>
    <col customWidth="1" min="3" max="3" width="8.71"/>
    <col customWidth="1" min="4" max="4" width="17.57"/>
    <col customWidth="1" min="5" max="5" width="43.71"/>
    <col customWidth="1" min="6" max="6" width="9.57"/>
    <col customWidth="1" min="7" max="7" width="11.71"/>
    <col customWidth="1" min="8" max="8" width="11.14"/>
    <col customWidth="1" min="9" max="9" width="13.29"/>
    <col customWidth="1" min="10" max="10" width="32.14"/>
    <col customWidth="1" min="11" max="11" width="10.29"/>
    <col customWidth="1" min="12" max="12" width="15.43"/>
    <col customWidth="1" min="13" max="13" width="17.29"/>
  </cols>
  <sheetData>
    <row r="1" ht="15.75" customHeight="1">
      <c r="A1" s="1"/>
      <c r="B1" s="1"/>
      <c r="C1" s="2"/>
      <c r="D1" s="2"/>
      <c r="E1" s="3" t="s">
        <v>1022</v>
      </c>
      <c r="F1" s="4" t="s">
        <v>492</v>
      </c>
      <c r="G1" s="4"/>
      <c r="H1" s="4"/>
      <c r="I1" s="4"/>
      <c r="J1" s="53" t="s">
        <v>1</v>
      </c>
      <c r="K1" s="54"/>
      <c r="L1" s="54"/>
      <c r="M1" s="55"/>
    </row>
    <row r="2" ht="39.0" customHeight="1">
      <c r="A2" s="1"/>
      <c r="B2" s="6" t="s">
        <v>2</v>
      </c>
      <c r="C2" s="1"/>
      <c r="D2" s="56" t="s">
        <v>1023</v>
      </c>
      <c r="E2" s="7" t="s">
        <v>3</v>
      </c>
      <c r="F2" s="8" t="s">
        <v>4</v>
      </c>
      <c r="G2" s="6" t="s">
        <v>5</v>
      </c>
      <c r="H2" s="6" t="s">
        <v>1024</v>
      </c>
      <c r="I2" s="8" t="s">
        <v>6</v>
      </c>
      <c r="J2" s="57"/>
      <c r="K2" s="54"/>
      <c r="L2" s="54"/>
      <c r="M2" s="55"/>
    </row>
    <row r="3" ht="13.5" customHeight="1">
      <c r="A3" s="10" t="s">
        <v>7</v>
      </c>
      <c r="B3" s="10" t="s">
        <v>8</v>
      </c>
      <c r="C3" s="10" t="s">
        <v>9</v>
      </c>
      <c r="D3" s="10" t="s">
        <v>10</v>
      </c>
      <c r="E3" s="10" t="s">
        <v>11</v>
      </c>
      <c r="F3" s="11" t="s">
        <v>12</v>
      </c>
      <c r="G3" s="11" t="s">
        <v>12</v>
      </c>
      <c r="H3" s="11"/>
      <c r="I3" s="11" t="s">
        <v>12</v>
      </c>
      <c r="J3" s="10" t="s">
        <v>13</v>
      </c>
      <c r="K3" s="10" t="s">
        <v>493</v>
      </c>
      <c r="L3" s="58" t="s">
        <v>1025</v>
      </c>
      <c r="M3" s="59" t="s">
        <v>1026</v>
      </c>
    </row>
    <row r="4" ht="9.75" hidden="1" customHeight="1">
      <c r="A4" s="45">
        <v>29181.0</v>
      </c>
      <c r="B4" s="42" t="s">
        <v>25</v>
      </c>
      <c r="C4" s="12">
        <v>1388.0</v>
      </c>
      <c r="D4" s="12" t="s">
        <v>1027</v>
      </c>
      <c r="E4" s="19" t="s">
        <v>1028</v>
      </c>
      <c r="F4" s="14">
        <v>42284.0</v>
      </c>
      <c r="G4" s="14"/>
      <c r="H4" s="60"/>
      <c r="I4" s="60"/>
      <c r="J4" s="9" t="s">
        <v>1029</v>
      </c>
      <c r="K4" s="42"/>
      <c r="L4" s="42"/>
      <c r="M4" s="61"/>
    </row>
    <row r="5" ht="26.25" customHeight="1">
      <c r="A5" s="45">
        <v>29766.0</v>
      </c>
      <c r="B5" s="42" t="s">
        <v>21</v>
      </c>
      <c r="C5" s="12">
        <v>1135.0</v>
      </c>
      <c r="D5" s="12" t="s">
        <v>1030</v>
      </c>
      <c r="E5" s="19" t="s">
        <v>1031</v>
      </c>
      <c r="F5" s="62">
        <v>42369.0</v>
      </c>
      <c r="G5" s="14">
        <v>42366.0</v>
      </c>
      <c r="H5" s="6" t="s">
        <v>1032</v>
      </c>
      <c r="I5" s="16">
        <v>42377.0</v>
      </c>
      <c r="J5" s="9" t="s">
        <v>1033</v>
      </c>
      <c r="K5" s="42"/>
      <c r="L5" s="42"/>
      <c r="M5" s="61"/>
    </row>
    <row r="6" ht="26.25" customHeight="1">
      <c r="A6" s="45">
        <v>29751.0</v>
      </c>
      <c r="B6" s="42" t="s">
        <v>21</v>
      </c>
      <c r="C6" s="12">
        <v>930.0</v>
      </c>
      <c r="D6" s="12" t="s">
        <v>1034</v>
      </c>
      <c r="E6" s="19" t="s">
        <v>1035</v>
      </c>
      <c r="F6" s="62">
        <v>42367.0</v>
      </c>
      <c r="G6" s="14">
        <v>42366.0</v>
      </c>
      <c r="H6" s="6" t="s">
        <v>1032</v>
      </c>
      <c r="I6" s="16">
        <v>42375.0</v>
      </c>
      <c r="J6" s="63" t="s">
        <v>1036</v>
      </c>
      <c r="K6" s="42"/>
      <c r="L6" s="42"/>
      <c r="M6" s="61"/>
    </row>
    <row r="7" ht="26.25" hidden="1" customHeight="1">
      <c r="A7" s="45">
        <v>29524.0</v>
      </c>
      <c r="B7" s="42" t="s">
        <v>14</v>
      </c>
      <c r="C7" s="12">
        <v>1821.0</v>
      </c>
      <c r="D7" s="12" t="s">
        <v>1037</v>
      </c>
      <c r="E7" s="19" t="s">
        <v>1038</v>
      </c>
      <c r="F7" s="62">
        <v>42366.0</v>
      </c>
      <c r="G7" s="14">
        <v>42367.0</v>
      </c>
      <c r="H7" s="6" t="s">
        <v>1032</v>
      </c>
      <c r="I7" s="16">
        <v>42374.0</v>
      </c>
      <c r="J7" s="9" t="s">
        <v>1039</v>
      </c>
      <c r="K7" s="42"/>
      <c r="L7" s="42"/>
      <c r="M7" s="61"/>
    </row>
    <row r="8" ht="26.25" customHeight="1">
      <c r="A8" s="45">
        <v>29575.0</v>
      </c>
      <c r="B8" s="42" t="s">
        <v>21</v>
      </c>
      <c r="C8" s="12">
        <v>901.0</v>
      </c>
      <c r="D8" s="12" t="s">
        <v>1040</v>
      </c>
      <c r="E8" s="19" t="s">
        <v>1041</v>
      </c>
      <c r="F8" s="62">
        <v>42366.0</v>
      </c>
      <c r="G8" s="14">
        <v>42362.0</v>
      </c>
      <c r="H8" s="6" t="s">
        <v>1032</v>
      </c>
      <c r="I8" s="16">
        <v>42376.0</v>
      </c>
      <c r="J8" s="64" t="s">
        <v>1042</v>
      </c>
      <c r="K8" s="42" t="s">
        <v>497</v>
      </c>
      <c r="L8" s="42" t="s">
        <v>1043</v>
      </c>
      <c r="M8" s="61">
        <v>42336.4</v>
      </c>
    </row>
    <row r="9" ht="26.25" customHeight="1">
      <c r="A9" s="45" t="s">
        <v>1044</v>
      </c>
      <c r="B9" s="42" t="s">
        <v>21</v>
      </c>
      <c r="C9" s="12">
        <v>113.0</v>
      </c>
      <c r="D9" s="12" t="s">
        <v>1045</v>
      </c>
      <c r="E9" s="19" t="s">
        <v>1046</v>
      </c>
      <c r="F9" s="62">
        <v>42365.0</v>
      </c>
      <c r="G9" s="14">
        <v>42367.0</v>
      </c>
      <c r="H9" s="6" t="s">
        <v>1032</v>
      </c>
      <c r="I9" s="16">
        <v>42376.0</v>
      </c>
      <c r="J9" s="9" t="s">
        <v>1047</v>
      </c>
      <c r="K9" s="42" t="s">
        <v>497</v>
      </c>
      <c r="L9" s="42" t="s">
        <v>1048</v>
      </c>
      <c r="M9" s="61">
        <v>12260.8</v>
      </c>
    </row>
    <row r="10" ht="26.25" customHeight="1">
      <c r="A10" s="45">
        <v>29037.0</v>
      </c>
      <c r="B10" s="42" t="s">
        <v>21</v>
      </c>
      <c r="C10" s="12">
        <v>2227.0</v>
      </c>
      <c r="D10" s="12" t="s">
        <v>1049</v>
      </c>
      <c r="E10" s="19" t="s">
        <v>1050</v>
      </c>
      <c r="F10" s="62">
        <v>42364.0</v>
      </c>
      <c r="G10" s="65">
        <v>42389.0</v>
      </c>
      <c r="H10" s="6" t="s">
        <v>1032</v>
      </c>
      <c r="I10" s="16">
        <v>42368.0</v>
      </c>
      <c r="J10" s="64" t="s">
        <v>1051</v>
      </c>
      <c r="K10" s="42" t="s">
        <v>497</v>
      </c>
      <c r="L10" s="42" t="s">
        <v>1052</v>
      </c>
      <c r="M10" s="61">
        <v>11045.92</v>
      </c>
    </row>
    <row r="11" ht="26.25" hidden="1" customHeight="1">
      <c r="A11" s="45">
        <v>29556.0</v>
      </c>
      <c r="B11" s="42" t="s">
        <v>25</v>
      </c>
      <c r="C11" s="12">
        <v>1100.0</v>
      </c>
      <c r="D11" s="12" t="s">
        <v>1053</v>
      </c>
      <c r="E11" s="19" t="s">
        <v>1054</v>
      </c>
      <c r="F11" s="62">
        <v>42361.0</v>
      </c>
      <c r="G11" s="14">
        <v>42359.0</v>
      </c>
      <c r="H11" s="6" t="s">
        <v>1032</v>
      </c>
      <c r="I11" s="16">
        <v>42369.0</v>
      </c>
      <c r="J11" s="9" t="s">
        <v>1055</v>
      </c>
      <c r="K11" s="42"/>
      <c r="L11" s="42"/>
      <c r="M11" s="61"/>
    </row>
    <row r="12" ht="26.25" customHeight="1">
      <c r="A12" s="45">
        <v>29750.0</v>
      </c>
      <c r="B12" s="42" t="s">
        <v>21</v>
      </c>
      <c r="C12" s="12">
        <v>944.0</v>
      </c>
      <c r="D12" s="12" t="s">
        <v>1056</v>
      </c>
      <c r="E12" s="66" t="s">
        <v>1057</v>
      </c>
      <c r="F12" s="62">
        <v>42360.0</v>
      </c>
      <c r="G12" s="14">
        <v>42356.0</v>
      </c>
      <c r="H12" s="6" t="s">
        <v>1032</v>
      </c>
      <c r="I12" s="67">
        <v>42373.0</v>
      </c>
      <c r="J12" s="9" t="s">
        <v>1058</v>
      </c>
      <c r="K12" s="42"/>
      <c r="L12" s="42"/>
      <c r="M12" s="61"/>
    </row>
    <row r="13" ht="26.25" customHeight="1">
      <c r="A13" s="45">
        <v>29564.0</v>
      </c>
      <c r="B13" s="42" t="s">
        <v>21</v>
      </c>
      <c r="C13" s="12">
        <v>1279.0</v>
      </c>
      <c r="D13" s="12" t="s">
        <v>1059</v>
      </c>
      <c r="E13" s="19" t="s">
        <v>1060</v>
      </c>
      <c r="F13" s="62">
        <v>42360.0</v>
      </c>
      <c r="G13" s="14">
        <v>42356.0</v>
      </c>
      <c r="H13" s="6" t="s">
        <v>1032</v>
      </c>
      <c r="I13" s="16">
        <v>42367.0</v>
      </c>
      <c r="J13" s="9" t="s">
        <v>1061</v>
      </c>
      <c r="K13" s="42"/>
      <c r="L13" s="42"/>
      <c r="M13" s="61"/>
    </row>
    <row r="14" ht="26.25" customHeight="1">
      <c r="A14" s="45">
        <v>29746.0</v>
      </c>
      <c r="B14" s="42" t="s">
        <v>21</v>
      </c>
      <c r="C14" s="12">
        <v>1260.0</v>
      </c>
      <c r="D14" s="12" t="s">
        <v>1062</v>
      </c>
      <c r="E14" s="19" t="s">
        <v>1063</v>
      </c>
      <c r="F14" s="62">
        <v>42356.0</v>
      </c>
      <c r="G14" s="14">
        <v>42352.0</v>
      </c>
      <c r="H14" s="6" t="s">
        <v>1032</v>
      </c>
      <c r="I14" s="16">
        <v>42361.0</v>
      </c>
      <c r="J14" s="9" t="s">
        <v>1064</v>
      </c>
      <c r="K14" s="42"/>
      <c r="L14" s="42"/>
      <c r="M14" s="61"/>
    </row>
    <row r="15" ht="26.25" customHeight="1">
      <c r="A15" s="45">
        <v>29768.0</v>
      </c>
      <c r="B15" s="42" t="s">
        <v>21</v>
      </c>
      <c r="C15" s="12">
        <v>8.0</v>
      </c>
      <c r="D15" s="12" t="s">
        <v>1065</v>
      </c>
      <c r="E15" s="19" t="s">
        <v>1066</v>
      </c>
      <c r="F15" s="62">
        <v>42353.0</v>
      </c>
      <c r="G15" s="6" t="s">
        <v>1032</v>
      </c>
      <c r="H15" s="6" t="s">
        <v>1032</v>
      </c>
      <c r="I15" s="16">
        <v>42353.0</v>
      </c>
      <c r="J15" s="9" t="s">
        <v>1067</v>
      </c>
      <c r="K15" s="42"/>
      <c r="L15" s="42"/>
      <c r="M15" s="61"/>
    </row>
    <row r="16" ht="26.25" customHeight="1">
      <c r="A16" s="45">
        <v>29534.0</v>
      </c>
      <c r="B16" s="42" t="s">
        <v>21</v>
      </c>
      <c r="C16" s="12">
        <v>690.0</v>
      </c>
      <c r="D16" s="12" t="s">
        <v>1068</v>
      </c>
      <c r="E16" s="19" t="s">
        <v>1069</v>
      </c>
      <c r="F16" s="62">
        <v>42352.0</v>
      </c>
      <c r="G16" s="14">
        <v>42348.0</v>
      </c>
      <c r="H16" s="6" t="s">
        <v>1032</v>
      </c>
      <c r="I16" s="16">
        <v>42359.0</v>
      </c>
      <c r="J16" s="9" t="s">
        <v>1070</v>
      </c>
      <c r="K16" s="42"/>
      <c r="L16" s="42"/>
      <c r="M16" s="61"/>
    </row>
    <row r="17" ht="26.25" hidden="1" customHeight="1">
      <c r="A17" s="45">
        <v>29491.0</v>
      </c>
      <c r="B17" s="42" t="s">
        <v>25</v>
      </c>
      <c r="C17" s="12">
        <v>1094.0</v>
      </c>
      <c r="D17" s="12" t="s">
        <v>1071</v>
      </c>
      <c r="E17" s="19" t="s">
        <v>1072</v>
      </c>
      <c r="F17" s="62">
        <v>42351.0</v>
      </c>
      <c r="G17" s="67">
        <v>42349.0</v>
      </c>
      <c r="H17" s="6" t="s">
        <v>1032</v>
      </c>
      <c r="I17" s="16">
        <v>42349.0</v>
      </c>
      <c r="J17" s="9" t="s">
        <v>1073</v>
      </c>
      <c r="K17" s="42"/>
      <c r="L17" s="42"/>
      <c r="M17" s="61"/>
    </row>
    <row r="18" ht="26.25" hidden="1" customHeight="1">
      <c r="A18" s="45">
        <v>29335.0</v>
      </c>
      <c r="B18" s="42" t="s">
        <v>14</v>
      </c>
      <c r="C18" s="12">
        <v>744.0</v>
      </c>
      <c r="D18" s="12" t="s">
        <v>1074</v>
      </c>
      <c r="E18" s="19" t="s">
        <v>1075</v>
      </c>
      <c r="F18" s="62">
        <v>42347.0</v>
      </c>
      <c r="G18" s="67">
        <v>42349.0</v>
      </c>
      <c r="H18" s="6" t="s">
        <v>1032</v>
      </c>
      <c r="I18" s="68">
        <v>42353.0</v>
      </c>
      <c r="J18" s="9" t="s">
        <v>1076</v>
      </c>
      <c r="K18" s="42" t="s">
        <v>497</v>
      </c>
      <c r="L18" s="42" t="s">
        <v>1077</v>
      </c>
      <c r="M18" s="61">
        <v>41730.92</v>
      </c>
    </row>
    <row r="19" ht="26.25" customHeight="1">
      <c r="A19" s="69">
        <v>29714.0</v>
      </c>
      <c r="B19" s="42" t="s">
        <v>21</v>
      </c>
      <c r="C19" s="12">
        <v>940.0</v>
      </c>
      <c r="D19" s="12" t="s">
        <v>1078</v>
      </c>
      <c r="E19" s="66" t="s">
        <v>1079</v>
      </c>
      <c r="F19" s="62">
        <v>42346.0</v>
      </c>
      <c r="G19" s="14">
        <v>42342.0</v>
      </c>
      <c r="H19" s="6" t="s">
        <v>1032</v>
      </c>
      <c r="I19" s="68">
        <v>42353.0</v>
      </c>
      <c r="J19" s="9" t="s">
        <v>1080</v>
      </c>
      <c r="K19" s="42"/>
      <c r="L19" s="42"/>
      <c r="M19" s="61"/>
    </row>
    <row r="20" ht="26.25" customHeight="1">
      <c r="A20" s="69">
        <v>29104.0</v>
      </c>
      <c r="B20" s="42" t="s">
        <v>21</v>
      </c>
      <c r="C20" s="12">
        <v>1480.0</v>
      </c>
      <c r="D20" s="12" t="s">
        <v>1081</v>
      </c>
      <c r="E20" s="19" t="s">
        <v>1082</v>
      </c>
      <c r="F20" s="62">
        <v>42346.0</v>
      </c>
      <c r="G20" s="14">
        <v>42342.0</v>
      </c>
      <c r="H20" s="6" t="s">
        <v>1032</v>
      </c>
      <c r="I20" s="68">
        <v>42352.0</v>
      </c>
      <c r="J20" s="9" t="s">
        <v>1083</v>
      </c>
      <c r="K20" s="42"/>
      <c r="L20" s="42"/>
      <c r="M20" s="61"/>
    </row>
    <row r="21" ht="26.25" hidden="1" customHeight="1">
      <c r="A21" s="69">
        <v>29635.0</v>
      </c>
      <c r="B21" s="42" t="s">
        <v>14</v>
      </c>
      <c r="C21" s="12">
        <v>476.0</v>
      </c>
      <c r="D21" s="12" t="s">
        <v>1084</v>
      </c>
      <c r="E21" s="19" t="s">
        <v>1085</v>
      </c>
      <c r="F21" s="62">
        <v>42345.0</v>
      </c>
      <c r="G21" s="14">
        <v>42341.0</v>
      </c>
      <c r="H21" s="6" t="s">
        <v>1032</v>
      </c>
      <c r="I21" s="68">
        <v>42352.0</v>
      </c>
      <c r="J21" s="9" t="s">
        <v>1086</v>
      </c>
      <c r="K21" s="42"/>
      <c r="L21" s="42"/>
      <c r="M21" s="61"/>
    </row>
    <row r="22" ht="26.25" customHeight="1">
      <c r="A22" s="69">
        <v>29712.0</v>
      </c>
      <c r="B22" s="42" t="s">
        <v>21</v>
      </c>
      <c r="C22" s="12">
        <v>220.0</v>
      </c>
      <c r="D22" s="12" t="s">
        <v>1087</v>
      </c>
      <c r="E22" s="19" t="s">
        <v>1088</v>
      </c>
      <c r="F22" s="14">
        <v>42345.0</v>
      </c>
      <c r="G22" s="14">
        <v>42342.0</v>
      </c>
      <c r="H22" s="6" t="s">
        <v>1032</v>
      </c>
      <c r="I22" s="68">
        <v>42353.0</v>
      </c>
      <c r="J22" s="9" t="s">
        <v>1089</v>
      </c>
      <c r="K22" s="42"/>
      <c r="L22" s="42"/>
      <c r="M22" s="61"/>
    </row>
    <row r="23" ht="26.25" customHeight="1">
      <c r="A23" s="69">
        <v>29541.0</v>
      </c>
      <c r="B23" s="42" t="s">
        <v>21</v>
      </c>
      <c r="C23" s="12">
        <v>150.0</v>
      </c>
      <c r="D23" s="12" t="s">
        <v>1090</v>
      </c>
      <c r="E23" s="19" t="s">
        <v>1091</v>
      </c>
      <c r="F23" s="14">
        <v>42345.0</v>
      </c>
      <c r="G23" s="14">
        <v>42342.0</v>
      </c>
      <c r="H23" s="6" t="s">
        <v>1032</v>
      </c>
      <c r="I23" s="68">
        <v>42342.0</v>
      </c>
      <c r="J23" s="9" t="s">
        <v>1092</v>
      </c>
      <c r="K23" s="42"/>
      <c r="L23" s="42"/>
      <c r="M23" s="61"/>
    </row>
    <row r="24" ht="26.25" customHeight="1">
      <c r="A24" s="69">
        <v>29386.0</v>
      </c>
      <c r="B24" s="42" t="s">
        <v>21</v>
      </c>
      <c r="C24" s="12">
        <v>910.0</v>
      </c>
      <c r="D24" s="12" t="s">
        <v>1093</v>
      </c>
      <c r="E24" s="19" t="s">
        <v>1094</v>
      </c>
      <c r="F24" s="14">
        <v>42343.0</v>
      </c>
      <c r="G24" s="14">
        <v>42345.0</v>
      </c>
      <c r="H24" s="6" t="s">
        <v>1032</v>
      </c>
      <c r="I24" s="68">
        <v>42348.0</v>
      </c>
      <c r="J24" s="64" t="s">
        <v>1095</v>
      </c>
      <c r="K24" s="42" t="s">
        <v>497</v>
      </c>
      <c r="L24" s="42" t="s">
        <v>1048</v>
      </c>
      <c r="M24" s="61">
        <v>64085.2</v>
      </c>
    </row>
    <row r="25" ht="26.25" customHeight="1">
      <c r="A25" s="69">
        <v>29149.0</v>
      </c>
      <c r="B25" s="42" t="s">
        <v>21</v>
      </c>
      <c r="C25" s="12">
        <v>1980.0</v>
      </c>
      <c r="D25" s="12" t="s">
        <v>1096</v>
      </c>
      <c r="E25" s="19" t="s">
        <v>1097</v>
      </c>
      <c r="F25" s="14">
        <v>42342.0</v>
      </c>
      <c r="G25" s="14">
        <v>42342.0</v>
      </c>
      <c r="H25" s="6" t="s">
        <v>1032</v>
      </c>
      <c r="I25" s="16">
        <v>42354.0</v>
      </c>
      <c r="J25" s="64" t="s">
        <v>1098</v>
      </c>
      <c r="K25" s="42"/>
      <c r="L25" s="42"/>
      <c r="M25" s="61"/>
    </row>
    <row r="26" ht="26.25" hidden="1" customHeight="1">
      <c r="A26" s="45">
        <v>29713.0</v>
      </c>
      <c r="B26" s="42" t="s">
        <v>25</v>
      </c>
      <c r="C26" s="12">
        <v>1180.0</v>
      </c>
      <c r="D26" s="12" t="s">
        <v>1099</v>
      </c>
      <c r="E26" s="19" t="s">
        <v>1100</v>
      </c>
      <c r="F26" s="62">
        <v>42338.0</v>
      </c>
      <c r="G26" s="14">
        <v>42333.0</v>
      </c>
      <c r="H26" s="6" t="s">
        <v>1032</v>
      </c>
      <c r="I26" s="16">
        <v>42342.0</v>
      </c>
      <c r="J26" s="9" t="s">
        <v>1101</v>
      </c>
      <c r="K26" s="42"/>
      <c r="L26" s="42"/>
      <c r="M26" s="61"/>
    </row>
    <row r="27" ht="26.25" hidden="1" customHeight="1">
      <c r="A27" s="45">
        <v>29657.0</v>
      </c>
      <c r="B27" s="42" t="s">
        <v>14</v>
      </c>
      <c r="C27" s="12">
        <v>1100.0</v>
      </c>
      <c r="D27" s="70" t="s">
        <v>1102</v>
      </c>
      <c r="E27" s="19" t="s">
        <v>1031</v>
      </c>
      <c r="F27" s="14">
        <v>42338.0</v>
      </c>
      <c r="G27" s="65">
        <v>42341.0</v>
      </c>
      <c r="H27" s="6" t="s">
        <v>1032</v>
      </c>
      <c r="I27" s="16">
        <v>42340.0</v>
      </c>
      <c r="J27" s="9" t="s">
        <v>1103</v>
      </c>
      <c r="K27" s="42"/>
      <c r="L27" s="42"/>
      <c r="M27" s="61"/>
    </row>
    <row r="28" ht="26.25" hidden="1" customHeight="1">
      <c r="A28" s="45">
        <v>29655.0</v>
      </c>
      <c r="B28" s="42" t="s">
        <v>14</v>
      </c>
      <c r="C28" s="12">
        <v>1300.0</v>
      </c>
      <c r="D28" s="12" t="s">
        <v>1104</v>
      </c>
      <c r="E28" s="19" t="s">
        <v>1105</v>
      </c>
      <c r="F28" s="14">
        <v>42338.0</v>
      </c>
      <c r="G28" s="67">
        <v>42341.0</v>
      </c>
      <c r="H28" s="6" t="s">
        <v>1032</v>
      </c>
      <c r="I28" s="16">
        <v>42346.0</v>
      </c>
      <c r="J28" s="9" t="s">
        <v>1106</v>
      </c>
      <c r="K28" s="42"/>
      <c r="L28" s="42"/>
      <c r="M28" s="61"/>
    </row>
    <row r="29" ht="26.25" customHeight="1">
      <c r="A29" s="45" t="s">
        <v>1107</v>
      </c>
      <c r="B29" s="42" t="s">
        <v>21</v>
      </c>
      <c r="C29" s="12">
        <v>122.0</v>
      </c>
      <c r="D29" s="12" t="s">
        <v>1108</v>
      </c>
      <c r="E29" s="19" t="s">
        <v>1109</v>
      </c>
      <c r="F29" s="14">
        <v>42337.0</v>
      </c>
      <c r="G29" s="1" t="s">
        <v>1110</v>
      </c>
      <c r="H29" s="6" t="s">
        <v>1032</v>
      </c>
      <c r="I29" s="16">
        <v>42348.0</v>
      </c>
      <c r="J29" s="9" t="s">
        <v>1111</v>
      </c>
      <c r="K29" s="42" t="s">
        <v>497</v>
      </c>
      <c r="L29" s="42" t="s">
        <v>1048</v>
      </c>
      <c r="M29" s="61">
        <v>15203.0</v>
      </c>
    </row>
    <row r="30" ht="26.25" customHeight="1">
      <c r="A30" s="45" t="s">
        <v>1112</v>
      </c>
      <c r="B30" s="42" t="s">
        <v>21</v>
      </c>
      <c r="C30" s="12">
        <v>100.0</v>
      </c>
      <c r="D30" s="12" t="s">
        <v>1113</v>
      </c>
      <c r="E30" s="19" t="s">
        <v>1114</v>
      </c>
      <c r="F30" s="62">
        <v>42334.0</v>
      </c>
      <c r="G30" s="14">
        <v>42332.0</v>
      </c>
      <c r="H30" s="6" t="s">
        <v>1032</v>
      </c>
      <c r="I30" s="16">
        <v>42340.0</v>
      </c>
      <c r="J30" s="9" t="s">
        <v>1115</v>
      </c>
      <c r="K30" s="42"/>
      <c r="L30" s="42"/>
      <c r="M30" s="61"/>
    </row>
    <row r="31" ht="26.25" hidden="1" customHeight="1">
      <c r="A31" s="45">
        <v>29565.0</v>
      </c>
      <c r="B31" s="42" t="s">
        <v>14</v>
      </c>
      <c r="C31" s="12">
        <v>4346.0</v>
      </c>
      <c r="D31" s="12" t="s">
        <v>1116</v>
      </c>
      <c r="E31" s="19" t="s">
        <v>1117</v>
      </c>
      <c r="F31" s="14">
        <v>42333.0</v>
      </c>
      <c r="G31" s="14">
        <v>42332.0</v>
      </c>
      <c r="H31" s="6" t="s">
        <v>1032</v>
      </c>
      <c r="I31" s="16">
        <v>42342.0</v>
      </c>
      <c r="J31" s="64" t="s">
        <v>1118</v>
      </c>
      <c r="K31" s="42"/>
      <c r="L31" s="42"/>
      <c r="M31" s="61"/>
    </row>
    <row r="32" ht="26.25" hidden="1" customHeight="1">
      <c r="A32" s="45">
        <v>29645.0</v>
      </c>
      <c r="B32" s="42" t="s">
        <v>14</v>
      </c>
      <c r="C32" s="12">
        <v>1074.0</v>
      </c>
      <c r="D32" s="12" t="s">
        <v>1119</v>
      </c>
      <c r="E32" s="66" t="s">
        <v>1120</v>
      </c>
      <c r="F32" s="14">
        <v>42333.0</v>
      </c>
      <c r="G32" s="65">
        <v>42335.0</v>
      </c>
      <c r="H32" s="6" t="s">
        <v>1032</v>
      </c>
      <c r="I32" s="16">
        <v>42339.0</v>
      </c>
      <c r="J32" s="9" t="s">
        <v>1121</v>
      </c>
      <c r="K32" s="42"/>
      <c r="L32" s="42"/>
      <c r="M32" s="61"/>
    </row>
    <row r="33" ht="26.25" hidden="1" customHeight="1">
      <c r="A33" s="45">
        <v>29462.0</v>
      </c>
      <c r="B33" s="42" t="s">
        <v>14</v>
      </c>
      <c r="C33" s="12">
        <v>1100.0</v>
      </c>
      <c r="D33" s="12" t="s">
        <v>1122</v>
      </c>
      <c r="E33" s="19" t="s">
        <v>1054</v>
      </c>
      <c r="F33" s="14">
        <v>42332.0</v>
      </c>
      <c r="G33" s="14">
        <v>42330.0</v>
      </c>
      <c r="H33" s="6" t="s">
        <v>1032</v>
      </c>
      <c r="I33" s="16">
        <v>42345.0</v>
      </c>
      <c r="J33" s="9" t="s">
        <v>1123</v>
      </c>
      <c r="K33" s="42"/>
      <c r="L33" s="42"/>
      <c r="M33" s="61"/>
    </row>
    <row r="34" ht="26.25" hidden="1" customHeight="1">
      <c r="A34" s="45">
        <v>29094.0</v>
      </c>
      <c r="B34" s="42" t="s">
        <v>14</v>
      </c>
      <c r="C34" s="12">
        <v>1990.0</v>
      </c>
      <c r="D34" s="12" t="s">
        <v>1124</v>
      </c>
      <c r="E34" s="19" t="s">
        <v>1125</v>
      </c>
      <c r="F34" s="62">
        <v>42331.0</v>
      </c>
      <c r="G34" s="14">
        <v>42331.0</v>
      </c>
      <c r="H34" s="6" t="s">
        <v>1032</v>
      </c>
      <c r="I34" s="16">
        <v>42333.0</v>
      </c>
      <c r="J34" s="9" t="s">
        <v>1126</v>
      </c>
      <c r="K34" s="42"/>
      <c r="L34" s="42"/>
      <c r="M34" s="61"/>
    </row>
    <row r="35" ht="26.25" hidden="1" customHeight="1">
      <c r="A35" s="45">
        <v>29646.0</v>
      </c>
      <c r="B35" s="42" t="s">
        <v>14</v>
      </c>
      <c r="C35" s="12">
        <v>1430.0</v>
      </c>
      <c r="D35" s="12" t="s">
        <v>1127</v>
      </c>
      <c r="E35" s="19" t="s">
        <v>1128</v>
      </c>
      <c r="F35" s="14">
        <v>42331.0</v>
      </c>
      <c r="G35" s="14">
        <v>42331.0</v>
      </c>
      <c r="H35" s="6" t="s">
        <v>1032</v>
      </c>
      <c r="I35" s="16">
        <v>42338.0</v>
      </c>
      <c r="J35" s="9" t="s">
        <v>1129</v>
      </c>
      <c r="K35" s="42"/>
      <c r="L35" s="42"/>
      <c r="M35" s="61"/>
    </row>
    <row r="36" ht="26.25" customHeight="1">
      <c r="A36" s="45">
        <v>29103.0</v>
      </c>
      <c r="B36" s="42" t="s">
        <v>21</v>
      </c>
      <c r="C36" s="12">
        <v>676.0</v>
      </c>
      <c r="D36" s="12" t="s">
        <v>1130</v>
      </c>
      <c r="E36" s="19" t="s">
        <v>1131</v>
      </c>
      <c r="F36" s="14">
        <v>42331.0</v>
      </c>
      <c r="G36" s="71">
        <v>42352.0</v>
      </c>
      <c r="H36" s="6" t="s">
        <v>1032</v>
      </c>
      <c r="I36" s="16">
        <v>42333.0</v>
      </c>
      <c r="J36" s="64" t="s">
        <v>1132</v>
      </c>
      <c r="K36" s="42"/>
      <c r="L36" s="42"/>
      <c r="M36" s="61"/>
    </row>
    <row r="37" ht="26.25" hidden="1" customHeight="1">
      <c r="A37" s="45">
        <v>29623.0</v>
      </c>
      <c r="B37" s="42" t="s">
        <v>25</v>
      </c>
      <c r="C37" s="12">
        <v>944.0</v>
      </c>
      <c r="D37" s="12" t="s">
        <v>1133</v>
      </c>
      <c r="E37" s="66" t="s">
        <v>1134</v>
      </c>
      <c r="F37" s="14">
        <v>42326.0</v>
      </c>
      <c r="G37" s="14">
        <v>42324.0</v>
      </c>
      <c r="H37" s="6" t="s">
        <v>1032</v>
      </c>
      <c r="I37" s="16">
        <v>42332.0</v>
      </c>
      <c r="J37" s="9" t="s">
        <v>1135</v>
      </c>
      <c r="K37" s="42"/>
      <c r="L37" s="42"/>
      <c r="M37" s="61"/>
    </row>
    <row r="38" ht="26.25" hidden="1" customHeight="1">
      <c r="A38" s="45">
        <v>29622.0</v>
      </c>
      <c r="B38" s="42" t="s">
        <v>14</v>
      </c>
      <c r="C38" s="12">
        <v>1090.0</v>
      </c>
      <c r="D38" s="12" t="s">
        <v>1136</v>
      </c>
      <c r="E38" s="19" t="s">
        <v>1137</v>
      </c>
      <c r="F38" s="14">
        <v>42326.0</v>
      </c>
      <c r="G38" s="14">
        <v>42327.0</v>
      </c>
      <c r="H38" s="6" t="s">
        <v>1032</v>
      </c>
      <c r="I38" s="16">
        <v>42331.0</v>
      </c>
      <c r="J38" s="9" t="s">
        <v>1138</v>
      </c>
      <c r="K38" s="42"/>
      <c r="L38" s="42"/>
      <c r="M38" s="61"/>
    </row>
    <row r="39" ht="26.25" customHeight="1">
      <c r="A39" s="45">
        <v>29606.0</v>
      </c>
      <c r="B39" s="42" t="s">
        <v>21</v>
      </c>
      <c r="C39" s="12">
        <v>820.0</v>
      </c>
      <c r="D39" s="12" t="s">
        <v>1139</v>
      </c>
      <c r="E39" s="72" t="s">
        <v>1140</v>
      </c>
      <c r="F39" s="14">
        <v>42326.0</v>
      </c>
      <c r="G39" s="14">
        <v>42318.0</v>
      </c>
      <c r="H39" s="6" t="s">
        <v>1032</v>
      </c>
      <c r="I39" s="67">
        <v>42326.0</v>
      </c>
      <c r="J39" s="73" t="s">
        <v>1141</v>
      </c>
      <c r="K39" s="42"/>
      <c r="L39" s="42"/>
      <c r="M39" s="61"/>
    </row>
    <row r="40" ht="26.25" hidden="1" customHeight="1">
      <c r="A40" s="45">
        <v>29513.0</v>
      </c>
      <c r="B40" s="42" t="s">
        <v>14</v>
      </c>
      <c r="C40" s="12">
        <v>1814.0</v>
      </c>
      <c r="D40" s="12" t="s">
        <v>1142</v>
      </c>
      <c r="E40" s="19" t="s">
        <v>1143</v>
      </c>
      <c r="F40" s="14">
        <v>42322.0</v>
      </c>
      <c r="G40" s="67">
        <v>42327.0</v>
      </c>
      <c r="H40" s="6" t="s">
        <v>1032</v>
      </c>
      <c r="I40" s="16">
        <v>42326.0</v>
      </c>
      <c r="J40" s="9" t="s">
        <v>1144</v>
      </c>
      <c r="K40" s="42"/>
      <c r="L40" s="42"/>
      <c r="M40" s="61"/>
    </row>
    <row r="41" ht="26.25" customHeight="1">
      <c r="A41" s="45">
        <v>29334.0</v>
      </c>
      <c r="B41" s="42" t="s">
        <v>21</v>
      </c>
      <c r="C41" s="12">
        <v>622.0</v>
      </c>
      <c r="D41" s="12" t="s">
        <v>1145</v>
      </c>
      <c r="E41" s="19" t="s">
        <v>1075</v>
      </c>
      <c r="F41" s="14">
        <v>42322.0</v>
      </c>
      <c r="G41" s="65">
        <v>42341.0</v>
      </c>
      <c r="H41" s="6" t="s">
        <v>1032</v>
      </c>
      <c r="I41" s="67">
        <v>42335.0</v>
      </c>
      <c r="J41" s="73" t="s">
        <v>1146</v>
      </c>
      <c r="K41" s="42" t="s">
        <v>497</v>
      </c>
      <c r="L41" s="42" t="s">
        <v>1077</v>
      </c>
      <c r="M41" s="61">
        <v>39489.8</v>
      </c>
    </row>
    <row r="42" ht="26.25" customHeight="1">
      <c r="A42" s="45">
        <v>29590.0</v>
      </c>
      <c r="B42" s="42" t="s">
        <v>21</v>
      </c>
      <c r="C42" s="12">
        <v>321.0</v>
      </c>
      <c r="D42" s="12" t="s">
        <v>1147</v>
      </c>
      <c r="E42" s="19" t="s">
        <v>1148</v>
      </c>
      <c r="F42" s="14">
        <v>42322.0</v>
      </c>
      <c r="G42" s="14">
        <v>42318.0</v>
      </c>
      <c r="H42" s="6" t="s">
        <v>1032</v>
      </c>
      <c r="I42" s="6" t="s">
        <v>1149</v>
      </c>
      <c r="J42" s="73" t="s">
        <v>1150</v>
      </c>
      <c r="K42" s="42"/>
      <c r="L42" s="42"/>
      <c r="M42" s="61"/>
    </row>
    <row r="43" ht="26.25" customHeight="1">
      <c r="A43" s="45">
        <v>29594.0</v>
      </c>
      <c r="B43" s="42" t="s">
        <v>21</v>
      </c>
      <c r="C43" s="12">
        <v>1180.0</v>
      </c>
      <c r="D43" s="12" t="s">
        <v>1151</v>
      </c>
      <c r="E43" s="19" t="s">
        <v>1105</v>
      </c>
      <c r="F43" s="14">
        <v>42319.0</v>
      </c>
      <c r="G43" s="14">
        <v>42314.0</v>
      </c>
      <c r="H43" s="6" t="s">
        <v>1032</v>
      </c>
      <c r="I43" s="16">
        <v>42328.0</v>
      </c>
      <c r="J43" s="73" t="s">
        <v>1152</v>
      </c>
      <c r="K43" s="42"/>
      <c r="L43" s="42"/>
      <c r="M43" s="61"/>
    </row>
    <row r="44" ht="26.25" hidden="1" customHeight="1">
      <c r="A44" s="45">
        <v>29034.0</v>
      </c>
      <c r="B44" s="42" t="s">
        <v>25</v>
      </c>
      <c r="C44" s="12">
        <v>2227.0</v>
      </c>
      <c r="D44" s="12" t="s">
        <v>1153</v>
      </c>
      <c r="E44" s="19" t="s">
        <v>1154</v>
      </c>
      <c r="F44" s="14">
        <v>42319.0</v>
      </c>
      <c r="G44" s="14">
        <v>42318.0</v>
      </c>
      <c r="H44" s="6" t="s">
        <v>1032</v>
      </c>
      <c r="I44" s="16">
        <v>42324.0</v>
      </c>
      <c r="J44" s="9" t="s">
        <v>1155</v>
      </c>
      <c r="K44" s="42" t="s">
        <v>497</v>
      </c>
      <c r="L44" s="42" t="s">
        <v>1052</v>
      </c>
      <c r="M44" s="61">
        <v>29262.78</v>
      </c>
    </row>
    <row r="45" ht="26.25" hidden="1" customHeight="1">
      <c r="A45" s="45">
        <v>29475.0</v>
      </c>
      <c r="B45" s="42" t="s">
        <v>14</v>
      </c>
      <c r="C45" s="12">
        <v>520.0</v>
      </c>
      <c r="D45" s="12" t="s">
        <v>1156</v>
      </c>
      <c r="E45" s="19" t="s">
        <v>1157</v>
      </c>
      <c r="F45" s="14">
        <v>42317.0</v>
      </c>
      <c r="G45" s="14">
        <v>42314.0</v>
      </c>
      <c r="H45" s="6" t="s">
        <v>1032</v>
      </c>
      <c r="I45" s="16">
        <v>42320.0</v>
      </c>
      <c r="J45" s="9" t="s">
        <v>1158</v>
      </c>
      <c r="K45" s="42"/>
      <c r="L45" s="42"/>
      <c r="M45" s="61"/>
    </row>
    <row r="46" ht="26.25" hidden="1" customHeight="1">
      <c r="A46" s="45">
        <v>29035.0</v>
      </c>
      <c r="B46" s="42" t="s">
        <v>14</v>
      </c>
      <c r="C46" s="12">
        <v>2227.0</v>
      </c>
      <c r="D46" s="12" t="s">
        <v>1159</v>
      </c>
      <c r="E46" s="19" t="s">
        <v>1160</v>
      </c>
      <c r="F46" s="62">
        <v>42317.0</v>
      </c>
      <c r="G46" s="14">
        <v>42314.0</v>
      </c>
      <c r="H46" s="6" t="s">
        <v>1032</v>
      </c>
      <c r="I46" s="16">
        <v>42321.0</v>
      </c>
      <c r="J46" s="9" t="s">
        <v>1161</v>
      </c>
      <c r="K46" s="42" t="s">
        <v>497</v>
      </c>
      <c r="L46" s="42" t="s">
        <v>1162</v>
      </c>
      <c r="M46" s="61">
        <v>29262.78</v>
      </c>
    </row>
    <row r="47" ht="26.25" hidden="1" customHeight="1">
      <c r="A47" s="45">
        <v>29592.0</v>
      </c>
      <c r="B47" s="42" t="s">
        <v>14</v>
      </c>
      <c r="C47" s="12">
        <v>944.0</v>
      </c>
      <c r="D47" s="12" t="s">
        <v>1163</v>
      </c>
      <c r="E47" s="66" t="s">
        <v>1164</v>
      </c>
      <c r="F47" s="14">
        <v>42317.0</v>
      </c>
      <c r="G47" s="14">
        <v>42317.0</v>
      </c>
      <c r="H47" s="6" t="s">
        <v>1032</v>
      </c>
      <c r="I47" s="67">
        <v>42319.0</v>
      </c>
      <c r="J47" s="9" t="s">
        <v>1165</v>
      </c>
      <c r="K47" s="42"/>
      <c r="L47" s="42"/>
      <c r="M47" s="61"/>
    </row>
    <row r="48" ht="26.25" hidden="1" customHeight="1">
      <c r="A48" s="45">
        <v>29035.0</v>
      </c>
      <c r="B48" s="42" t="s">
        <v>14</v>
      </c>
      <c r="C48" s="12">
        <v>2227.0</v>
      </c>
      <c r="D48" s="12" t="s">
        <v>1159</v>
      </c>
      <c r="E48" s="19" t="s">
        <v>1160</v>
      </c>
      <c r="F48" s="14">
        <v>42317.0</v>
      </c>
      <c r="G48" s="14">
        <v>42317.0</v>
      </c>
      <c r="H48" s="6" t="s">
        <v>1032</v>
      </c>
      <c r="I48" s="74">
        <v>42321.0</v>
      </c>
      <c r="J48" s="73" t="s">
        <v>1166</v>
      </c>
      <c r="K48" s="42"/>
      <c r="L48" s="42"/>
      <c r="M48" s="61"/>
    </row>
    <row r="49" ht="26.25" customHeight="1">
      <c r="A49" s="45">
        <v>29178.0</v>
      </c>
      <c r="B49" s="42" t="s">
        <v>21</v>
      </c>
      <c r="C49" s="12">
        <v>624.0</v>
      </c>
      <c r="D49" s="12" t="s">
        <v>1167</v>
      </c>
      <c r="E49" s="19" t="s">
        <v>1028</v>
      </c>
      <c r="F49" s="14">
        <v>42316.0</v>
      </c>
      <c r="G49" s="14">
        <v>42312.0</v>
      </c>
      <c r="H49" s="6" t="s">
        <v>1032</v>
      </c>
      <c r="I49" s="16">
        <v>42321.0</v>
      </c>
      <c r="J49" s="9" t="s">
        <v>1168</v>
      </c>
      <c r="K49" s="42"/>
      <c r="L49" s="42"/>
      <c r="M49" s="61"/>
    </row>
    <row r="50" ht="26.25" customHeight="1">
      <c r="A50" s="45">
        <v>29589.0</v>
      </c>
      <c r="B50" s="42" t="s">
        <v>21</v>
      </c>
      <c r="C50" s="12">
        <v>1250.0</v>
      </c>
      <c r="D50" s="12" t="s">
        <v>1169</v>
      </c>
      <c r="E50" s="19" t="s">
        <v>1170</v>
      </c>
      <c r="F50" s="14">
        <v>42315.0</v>
      </c>
      <c r="G50" s="14">
        <v>42317.0</v>
      </c>
      <c r="H50" s="6" t="s">
        <v>1171</v>
      </c>
      <c r="I50" s="16">
        <v>42326.0</v>
      </c>
      <c r="J50" s="73" t="s">
        <v>1172</v>
      </c>
      <c r="K50" s="42"/>
      <c r="L50" s="42"/>
      <c r="M50" s="61"/>
    </row>
    <row r="51" ht="26.25" hidden="1" customHeight="1">
      <c r="A51" s="45">
        <v>29302.0</v>
      </c>
      <c r="B51" s="42" t="s">
        <v>25</v>
      </c>
      <c r="C51" s="12">
        <v>1101.0</v>
      </c>
      <c r="D51" s="12" t="s">
        <v>1173</v>
      </c>
      <c r="E51" s="19" t="s">
        <v>1054</v>
      </c>
      <c r="F51" s="14">
        <v>42314.0</v>
      </c>
      <c r="G51" s="65">
        <v>42311.0</v>
      </c>
      <c r="H51" s="6" t="s">
        <v>1032</v>
      </c>
      <c r="I51" s="75">
        <v>42318.0</v>
      </c>
      <c r="J51" s="17" t="s">
        <v>1174</v>
      </c>
      <c r="K51" s="42"/>
      <c r="L51" s="42"/>
      <c r="M51" s="61"/>
    </row>
    <row r="52" ht="26.25" customHeight="1">
      <c r="A52" s="45" t="s">
        <v>1175</v>
      </c>
      <c r="B52" s="42" t="s">
        <v>21</v>
      </c>
      <c r="C52" s="12">
        <v>320.0</v>
      </c>
      <c r="D52" s="12" t="s">
        <v>1176</v>
      </c>
      <c r="E52" s="66" t="s">
        <v>1177</v>
      </c>
      <c r="F52" s="14">
        <v>42307.0</v>
      </c>
      <c r="G52" s="14">
        <v>42303.0</v>
      </c>
      <c r="H52" s="6" t="s">
        <v>1032</v>
      </c>
      <c r="I52" s="16">
        <v>42313.0</v>
      </c>
      <c r="J52" s="73" t="s">
        <v>1178</v>
      </c>
      <c r="K52" s="42"/>
      <c r="L52" s="42"/>
      <c r="M52" s="61"/>
    </row>
    <row r="53" ht="26.25" customHeight="1">
      <c r="A53" s="45">
        <v>29338.0</v>
      </c>
      <c r="B53" s="42" t="s">
        <v>21</v>
      </c>
      <c r="C53" s="12">
        <v>320.0</v>
      </c>
      <c r="D53" s="12" t="s">
        <v>1179</v>
      </c>
      <c r="E53" s="19" t="s">
        <v>1180</v>
      </c>
      <c r="F53" s="14">
        <v>42304.0</v>
      </c>
      <c r="G53" s="14">
        <v>42300.0</v>
      </c>
      <c r="H53" s="6" t="s">
        <v>1032</v>
      </c>
      <c r="I53" s="16">
        <v>42311.0</v>
      </c>
      <c r="J53" s="73" t="s">
        <v>1181</v>
      </c>
      <c r="K53" s="42"/>
      <c r="L53" s="42"/>
      <c r="M53" s="61"/>
    </row>
    <row r="54" ht="26.25" customHeight="1">
      <c r="A54" s="45">
        <v>29147.0</v>
      </c>
      <c r="B54" s="42" t="s">
        <v>21</v>
      </c>
      <c r="C54" s="12">
        <v>900.0</v>
      </c>
      <c r="D54" s="12" t="s">
        <v>1182</v>
      </c>
      <c r="E54" s="19" t="s">
        <v>1097</v>
      </c>
      <c r="F54" s="14">
        <v>42302.0</v>
      </c>
      <c r="G54" s="14">
        <v>42299.0</v>
      </c>
      <c r="H54" s="6" t="s">
        <v>1032</v>
      </c>
      <c r="I54" s="16">
        <v>42310.0</v>
      </c>
      <c r="J54" s="73" t="s">
        <v>1183</v>
      </c>
      <c r="K54" s="42"/>
      <c r="L54" s="42"/>
      <c r="M54" s="61"/>
    </row>
    <row r="55" ht="26.25" hidden="1" customHeight="1">
      <c r="A55" s="45">
        <v>29301.0</v>
      </c>
      <c r="B55" s="42" t="s">
        <v>14</v>
      </c>
      <c r="C55" s="12">
        <v>2202.0</v>
      </c>
      <c r="D55" s="12" t="s">
        <v>1184</v>
      </c>
      <c r="E55" s="19" t="s">
        <v>1054</v>
      </c>
      <c r="F55" s="14">
        <v>42296.0</v>
      </c>
      <c r="G55" s="14">
        <v>42293.0</v>
      </c>
      <c r="H55" s="6" t="s">
        <v>1032</v>
      </c>
      <c r="I55" s="67">
        <v>42298.0</v>
      </c>
      <c r="J55" s="9" t="s">
        <v>1185</v>
      </c>
      <c r="K55" s="42"/>
      <c r="L55" s="42"/>
      <c r="M55" s="61"/>
    </row>
    <row r="56" ht="26.25" customHeight="1">
      <c r="A56" s="45" t="s">
        <v>1186</v>
      </c>
      <c r="B56" s="42" t="s">
        <v>21</v>
      </c>
      <c r="C56" s="12">
        <v>156.0</v>
      </c>
      <c r="D56" s="12" t="s">
        <v>1187</v>
      </c>
      <c r="E56" s="19" t="s">
        <v>1188</v>
      </c>
      <c r="F56" s="14">
        <v>42295.0</v>
      </c>
      <c r="G56" s="1" t="s">
        <v>1175</v>
      </c>
      <c r="H56" s="6" t="s">
        <v>1175</v>
      </c>
      <c r="I56" s="16">
        <v>42300.0</v>
      </c>
      <c r="J56" s="9" t="s">
        <v>1189</v>
      </c>
      <c r="K56" s="42" t="s">
        <v>497</v>
      </c>
      <c r="L56" s="42" t="s">
        <v>1048</v>
      </c>
      <c r="M56" s="61">
        <v>14787.9</v>
      </c>
    </row>
    <row r="57" ht="27.0" customHeight="1">
      <c r="A57" s="45">
        <v>29395.0</v>
      </c>
      <c r="B57" s="42" t="s">
        <v>21</v>
      </c>
      <c r="C57" s="12">
        <v>436.0</v>
      </c>
      <c r="D57" s="12" t="s">
        <v>1190</v>
      </c>
      <c r="E57" s="19" t="s">
        <v>1191</v>
      </c>
      <c r="F57" s="14">
        <v>42294.0</v>
      </c>
      <c r="G57" s="14">
        <v>42290.0</v>
      </c>
      <c r="H57" s="6" t="s">
        <v>1032</v>
      </c>
      <c r="I57" s="16">
        <v>42299.0</v>
      </c>
      <c r="J57" s="73" t="s">
        <v>1192</v>
      </c>
      <c r="K57" s="42" t="s">
        <v>497</v>
      </c>
      <c r="L57" s="42" t="s">
        <v>1193</v>
      </c>
      <c r="M57" s="61">
        <v>33864.78</v>
      </c>
    </row>
    <row r="58" ht="27.0" customHeight="1">
      <c r="A58" s="45">
        <v>29500.0</v>
      </c>
      <c r="B58" s="42" t="s">
        <v>21</v>
      </c>
      <c r="C58" s="12">
        <v>944.0</v>
      </c>
      <c r="D58" s="12" t="s">
        <v>1194</v>
      </c>
      <c r="E58" s="76" t="s">
        <v>1195</v>
      </c>
      <c r="F58" s="14">
        <v>42292.0</v>
      </c>
      <c r="G58" s="14">
        <v>42290.0</v>
      </c>
      <c r="H58" s="6" t="s">
        <v>1032</v>
      </c>
      <c r="I58" s="67">
        <v>42298.0</v>
      </c>
      <c r="J58" s="64" t="s">
        <v>1196</v>
      </c>
      <c r="K58" s="42"/>
      <c r="L58" s="42"/>
      <c r="M58" s="61"/>
    </row>
    <row r="59" ht="27.0" hidden="1" customHeight="1">
      <c r="A59" s="45">
        <v>29499.0</v>
      </c>
      <c r="B59" s="42" t="s">
        <v>14</v>
      </c>
      <c r="C59" s="12">
        <v>2500.0</v>
      </c>
      <c r="D59" s="12" t="s">
        <v>1197</v>
      </c>
      <c r="E59" s="19" t="s">
        <v>1198</v>
      </c>
      <c r="F59" s="14">
        <v>42291.0</v>
      </c>
      <c r="G59" s="14">
        <v>42290.0</v>
      </c>
      <c r="H59" s="6" t="s">
        <v>1032</v>
      </c>
      <c r="I59" s="16">
        <v>42297.0</v>
      </c>
      <c r="J59" s="64" t="s">
        <v>1199</v>
      </c>
      <c r="K59" s="42"/>
      <c r="L59" s="42"/>
      <c r="M59" s="61"/>
    </row>
    <row r="60" ht="27.0" hidden="1" customHeight="1">
      <c r="A60" s="45">
        <v>29447.0</v>
      </c>
      <c r="B60" s="42" t="s">
        <v>14</v>
      </c>
      <c r="C60" s="12">
        <v>450.0</v>
      </c>
      <c r="D60" s="12" t="s">
        <v>1200</v>
      </c>
      <c r="E60" s="13" t="s">
        <v>1201</v>
      </c>
      <c r="F60" s="14">
        <v>42291.0</v>
      </c>
      <c r="G60" s="14">
        <v>42291.0</v>
      </c>
      <c r="H60" s="6" t="s">
        <v>1032</v>
      </c>
      <c r="I60" s="16">
        <v>42296.0</v>
      </c>
      <c r="J60" s="9" t="s">
        <v>1202</v>
      </c>
      <c r="K60" s="42"/>
      <c r="L60" s="42"/>
      <c r="M60" s="61"/>
    </row>
    <row r="61" ht="27.0" customHeight="1">
      <c r="A61" s="45">
        <v>29323.0</v>
      </c>
      <c r="B61" s="42" t="s">
        <v>21</v>
      </c>
      <c r="C61" s="12">
        <v>16500.0</v>
      </c>
      <c r="D61" s="12" t="s">
        <v>1203</v>
      </c>
      <c r="E61" s="19" t="s">
        <v>1204</v>
      </c>
      <c r="F61" s="14">
        <v>42290.0</v>
      </c>
      <c r="G61" s="14">
        <v>42290.0</v>
      </c>
      <c r="H61" s="6" t="s">
        <v>1032</v>
      </c>
      <c r="I61" s="16">
        <v>42297.0</v>
      </c>
      <c r="J61" s="73" t="s">
        <v>1205</v>
      </c>
      <c r="K61" s="42"/>
      <c r="L61" s="42"/>
      <c r="M61" s="61"/>
    </row>
    <row r="62" ht="27.0" customHeight="1">
      <c r="A62" s="45">
        <v>29481.0</v>
      </c>
      <c r="B62" s="42" t="s">
        <v>21</v>
      </c>
      <c r="C62" s="12">
        <v>300.0</v>
      </c>
      <c r="D62" s="12" t="s">
        <v>1206</v>
      </c>
      <c r="E62" s="19" t="s">
        <v>163</v>
      </c>
      <c r="F62" s="14">
        <v>42287.0</v>
      </c>
      <c r="G62" s="14">
        <v>42298.0</v>
      </c>
      <c r="H62" s="6" t="s">
        <v>1032</v>
      </c>
      <c r="I62" s="16">
        <v>42299.0</v>
      </c>
      <c r="J62" s="9" t="s">
        <v>1207</v>
      </c>
      <c r="K62" s="42"/>
      <c r="L62" s="42"/>
      <c r="M62" s="61"/>
    </row>
    <row r="63" ht="27.0" hidden="1" customHeight="1">
      <c r="A63" s="45">
        <v>29183.0</v>
      </c>
      <c r="B63" s="42" t="s">
        <v>14</v>
      </c>
      <c r="C63" s="12">
        <v>1496.0</v>
      </c>
      <c r="D63" s="12" t="s">
        <v>1208</v>
      </c>
      <c r="E63" s="19" t="s">
        <v>1028</v>
      </c>
      <c r="F63" s="14">
        <v>42287.0</v>
      </c>
      <c r="G63" s="14">
        <v>42285.0</v>
      </c>
      <c r="H63" s="6" t="s">
        <v>1032</v>
      </c>
      <c r="I63" s="16">
        <v>42290.0</v>
      </c>
      <c r="J63" s="9" t="s">
        <v>1209</v>
      </c>
      <c r="K63" s="42"/>
      <c r="L63" s="42"/>
      <c r="M63" s="61"/>
    </row>
    <row r="64" ht="27.0" customHeight="1">
      <c r="A64" s="45">
        <v>29501.0</v>
      </c>
      <c r="B64" s="42" t="s">
        <v>21</v>
      </c>
      <c r="C64" s="12">
        <v>1340.0</v>
      </c>
      <c r="D64" s="12" t="s">
        <v>1210</v>
      </c>
      <c r="E64" s="19" t="s">
        <v>1211</v>
      </c>
      <c r="F64" s="14">
        <v>42283.0</v>
      </c>
      <c r="G64" s="14">
        <v>42279.0</v>
      </c>
      <c r="H64" s="6" t="s">
        <v>1032</v>
      </c>
      <c r="I64" s="16">
        <v>42291.0</v>
      </c>
      <c r="J64" s="9" t="s">
        <v>1212</v>
      </c>
      <c r="K64" s="42"/>
      <c r="L64" s="42"/>
      <c r="M64" s="61"/>
    </row>
    <row r="65" ht="27.0" hidden="1" customHeight="1">
      <c r="A65" s="45">
        <v>29181.0</v>
      </c>
      <c r="B65" s="42" t="s">
        <v>25</v>
      </c>
      <c r="C65" s="12">
        <v>1388.0</v>
      </c>
      <c r="D65" s="12" t="s">
        <v>1027</v>
      </c>
      <c r="E65" s="19" t="s">
        <v>1028</v>
      </c>
      <c r="F65" s="62">
        <v>42284.0</v>
      </c>
      <c r="G65" s="14">
        <v>42283.0</v>
      </c>
      <c r="H65" s="6" t="s">
        <v>1032</v>
      </c>
      <c r="I65" s="16">
        <v>42290.0</v>
      </c>
      <c r="J65" s="9" t="s">
        <v>1029</v>
      </c>
      <c r="K65" s="42"/>
      <c r="L65" s="42"/>
      <c r="M65" s="61"/>
    </row>
    <row r="66" ht="27.0" hidden="1" customHeight="1">
      <c r="A66" s="45">
        <v>29181.0</v>
      </c>
      <c r="B66" s="42" t="s">
        <v>25</v>
      </c>
      <c r="C66" s="12">
        <v>1388.0</v>
      </c>
      <c r="D66" s="12" t="s">
        <v>1027</v>
      </c>
      <c r="E66" s="19" t="s">
        <v>1028</v>
      </c>
      <c r="F66" s="14">
        <v>42284.0</v>
      </c>
      <c r="G66" s="14">
        <v>42283.0</v>
      </c>
      <c r="H66" s="6" t="s">
        <v>1032</v>
      </c>
      <c r="I66" s="16">
        <v>42290.0</v>
      </c>
      <c r="J66" s="9" t="s">
        <v>1029</v>
      </c>
      <c r="K66" s="42"/>
      <c r="L66" s="42"/>
      <c r="M66" s="61"/>
    </row>
    <row r="67" ht="27.0" customHeight="1">
      <c r="A67" s="45">
        <v>29502.0</v>
      </c>
      <c r="B67" s="42" t="s">
        <v>21</v>
      </c>
      <c r="C67" s="12">
        <v>1180.0</v>
      </c>
      <c r="D67" s="12" t="s">
        <v>1213</v>
      </c>
      <c r="E67" s="13" t="s">
        <v>1214</v>
      </c>
      <c r="F67" s="14">
        <v>42283.0</v>
      </c>
      <c r="G67" s="14">
        <v>42279.0</v>
      </c>
      <c r="H67" s="6" t="s">
        <v>1032</v>
      </c>
      <c r="I67" s="16">
        <v>42290.0</v>
      </c>
      <c r="J67" s="9" t="s">
        <v>1215</v>
      </c>
      <c r="K67" s="42"/>
      <c r="L67" s="42"/>
      <c r="M67" s="61"/>
    </row>
    <row r="68" ht="27.0" hidden="1" customHeight="1">
      <c r="A68" s="45">
        <v>29181.0</v>
      </c>
      <c r="B68" s="42" t="s">
        <v>25</v>
      </c>
      <c r="C68" s="12">
        <v>1388.0</v>
      </c>
      <c r="D68" s="12" t="s">
        <v>1027</v>
      </c>
      <c r="E68" s="13" t="s">
        <v>1028</v>
      </c>
      <c r="F68" s="14">
        <v>42284.0</v>
      </c>
      <c r="G68" s="14">
        <v>42284.0</v>
      </c>
      <c r="H68" s="60"/>
      <c r="I68" s="60"/>
      <c r="J68" s="9" t="s">
        <v>1029</v>
      </c>
      <c r="K68" s="42"/>
      <c r="L68" s="42"/>
      <c r="M68" s="61"/>
    </row>
    <row r="69" ht="27.0" hidden="1" customHeight="1">
      <c r="A69" s="45">
        <v>28980.0</v>
      </c>
      <c r="B69" s="42" t="s">
        <v>14</v>
      </c>
      <c r="C69" s="12">
        <v>2227.0</v>
      </c>
      <c r="D69" s="12" t="s">
        <v>1216</v>
      </c>
      <c r="E69" s="13" t="s">
        <v>1217</v>
      </c>
      <c r="F69" s="14">
        <v>42282.0</v>
      </c>
      <c r="G69" s="14">
        <v>42285.0</v>
      </c>
      <c r="H69" s="6" t="s">
        <v>1032</v>
      </c>
      <c r="I69" s="67">
        <v>42286.0</v>
      </c>
      <c r="J69" s="64" t="s">
        <v>1218</v>
      </c>
      <c r="K69" s="42" t="s">
        <v>497</v>
      </c>
      <c r="L69" s="42" t="s">
        <v>1162</v>
      </c>
      <c r="M69" s="61">
        <v>29262.78</v>
      </c>
    </row>
    <row r="70" ht="27.0" hidden="1" customHeight="1">
      <c r="A70" s="45">
        <v>29446.0</v>
      </c>
      <c r="B70" s="42" t="s">
        <v>14</v>
      </c>
      <c r="C70" s="12">
        <v>930.0</v>
      </c>
      <c r="D70" s="12" t="s">
        <v>1219</v>
      </c>
      <c r="E70" s="13" t="s">
        <v>1220</v>
      </c>
      <c r="F70" s="14">
        <v>42277.0</v>
      </c>
      <c r="G70" s="6" t="s">
        <v>1221</v>
      </c>
      <c r="H70" s="6" t="s">
        <v>1032</v>
      </c>
      <c r="I70" s="67">
        <v>42284.0</v>
      </c>
      <c r="J70" s="64" t="s">
        <v>1222</v>
      </c>
      <c r="K70" s="42"/>
      <c r="L70" s="42"/>
      <c r="M70" s="61"/>
    </row>
    <row r="71" ht="27.0" hidden="1" customHeight="1">
      <c r="A71" s="45">
        <v>29148.0</v>
      </c>
      <c r="B71" s="42" t="s">
        <v>14</v>
      </c>
      <c r="C71" s="12">
        <v>900.0</v>
      </c>
      <c r="D71" s="12" t="s">
        <v>1223</v>
      </c>
      <c r="E71" s="19" t="s">
        <v>1097</v>
      </c>
      <c r="F71" s="14">
        <v>42273.0</v>
      </c>
      <c r="G71" s="14">
        <v>42274.0</v>
      </c>
      <c r="H71" s="6" t="s">
        <v>1032</v>
      </c>
      <c r="I71" s="16">
        <v>42276.0</v>
      </c>
      <c r="J71" s="9" t="s">
        <v>1224</v>
      </c>
      <c r="K71" s="42"/>
      <c r="L71" s="42"/>
      <c r="M71" s="61"/>
    </row>
    <row r="72" ht="51.75" hidden="1" customHeight="1">
      <c r="A72" s="45">
        <v>29419.0</v>
      </c>
      <c r="B72" s="42" t="s">
        <v>14</v>
      </c>
      <c r="C72" s="12">
        <v>1450.0</v>
      </c>
      <c r="D72" s="12" t="s">
        <v>1225</v>
      </c>
      <c r="E72" s="13" t="s">
        <v>1226</v>
      </c>
      <c r="F72" s="14">
        <v>42268.0</v>
      </c>
      <c r="G72" s="14">
        <v>42268.0</v>
      </c>
      <c r="H72" s="6" t="s">
        <v>1227</v>
      </c>
      <c r="I72" s="16">
        <v>42272.0</v>
      </c>
      <c r="J72" s="77" t="s">
        <v>1228</v>
      </c>
      <c r="K72" s="42"/>
      <c r="L72" s="42"/>
      <c r="M72" s="61"/>
    </row>
    <row r="73" ht="27.0" customHeight="1">
      <c r="A73" s="45">
        <v>29102.0</v>
      </c>
      <c r="B73" s="42" t="s">
        <v>21</v>
      </c>
      <c r="C73" s="12">
        <v>1580.0</v>
      </c>
      <c r="D73" s="12" t="s">
        <v>1229</v>
      </c>
      <c r="E73" s="13" t="s">
        <v>1230</v>
      </c>
      <c r="F73" s="14">
        <v>42268.0</v>
      </c>
      <c r="G73" s="14">
        <v>42268.0</v>
      </c>
      <c r="H73" s="6" t="s">
        <v>1227</v>
      </c>
      <c r="I73" s="16">
        <v>42275.0</v>
      </c>
      <c r="J73" s="63" t="s">
        <v>1231</v>
      </c>
      <c r="K73" s="42"/>
      <c r="L73" s="42"/>
      <c r="M73" s="61"/>
    </row>
    <row r="74" ht="27.0" customHeight="1">
      <c r="A74" s="45">
        <v>29448.0</v>
      </c>
      <c r="B74" s="42" t="s">
        <v>21</v>
      </c>
      <c r="C74" s="12">
        <v>1152.0</v>
      </c>
      <c r="D74" s="12" t="s">
        <v>1232</v>
      </c>
      <c r="E74" s="13" t="s">
        <v>1031</v>
      </c>
      <c r="F74" s="14">
        <v>42264.0</v>
      </c>
      <c r="G74" s="14">
        <v>42261.0</v>
      </c>
      <c r="H74" s="6" t="s">
        <v>1227</v>
      </c>
      <c r="I74" s="16">
        <v>42271.0</v>
      </c>
      <c r="J74" s="64" t="s">
        <v>1233</v>
      </c>
      <c r="K74" s="42"/>
      <c r="L74" s="42"/>
      <c r="M74" s="61"/>
    </row>
    <row r="75" ht="27.0" hidden="1" customHeight="1">
      <c r="A75" s="45">
        <v>29180.0</v>
      </c>
      <c r="B75" s="42" t="s">
        <v>25</v>
      </c>
      <c r="C75" s="12">
        <v>1492.0</v>
      </c>
      <c r="D75" s="12" t="s">
        <v>1234</v>
      </c>
      <c r="E75" s="13" t="s">
        <v>1235</v>
      </c>
      <c r="F75" s="14">
        <v>42263.0</v>
      </c>
      <c r="G75" s="14">
        <v>42262.0</v>
      </c>
      <c r="H75" s="6" t="s">
        <v>1227</v>
      </c>
      <c r="I75" s="16">
        <v>42268.0</v>
      </c>
      <c r="J75" s="9" t="s">
        <v>1236</v>
      </c>
      <c r="K75" s="42"/>
      <c r="L75" s="42"/>
      <c r="M75" s="61"/>
    </row>
    <row r="76" ht="27.0" customHeight="1">
      <c r="A76" s="45">
        <v>29177.0</v>
      </c>
      <c r="B76" s="42" t="s">
        <v>21</v>
      </c>
      <c r="C76" s="12">
        <v>1522.0</v>
      </c>
      <c r="D76" s="12" t="s">
        <v>1237</v>
      </c>
      <c r="E76" s="13" t="s">
        <v>1235</v>
      </c>
      <c r="F76" s="14">
        <v>42262.0</v>
      </c>
      <c r="G76" s="14">
        <v>42257.0</v>
      </c>
      <c r="H76" s="6" t="s">
        <v>1227</v>
      </c>
      <c r="I76" s="16">
        <v>42265.0</v>
      </c>
      <c r="J76" s="64" t="s">
        <v>1238</v>
      </c>
      <c r="K76" s="42"/>
      <c r="L76" s="42"/>
      <c r="M76" s="61"/>
    </row>
    <row r="77" ht="27.0" customHeight="1">
      <c r="A77" s="45">
        <v>29417.0</v>
      </c>
      <c r="B77" s="42" t="s">
        <v>21</v>
      </c>
      <c r="C77" s="12">
        <v>1874.0</v>
      </c>
      <c r="D77" s="12" t="s">
        <v>1239</v>
      </c>
      <c r="E77" s="66" t="s">
        <v>1240</v>
      </c>
      <c r="F77" s="14">
        <v>42260.0</v>
      </c>
      <c r="G77" s="14">
        <v>42256.0</v>
      </c>
      <c r="H77" s="6" t="s">
        <v>1227</v>
      </c>
      <c r="I77" s="67">
        <v>42278.0</v>
      </c>
      <c r="J77" s="64" t="s">
        <v>1241</v>
      </c>
      <c r="K77" s="42"/>
      <c r="L77" s="42"/>
      <c r="M77" s="61"/>
    </row>
    <row r="78" ht="27.0" customHeight="1">
      <c r="A78" s="45">
        <v>29079.0</v>
      </c>
      <c r="B78" s="42" t="s">
        <v>21</v>
      </c>
      <c r="C78" s="12">
        <v>1080.0</v>
      </c>
      <c r="D78" s="12" t="s">
        <v>1242</v>
      </c>
      <c r="E78" s="13" t="s">
        <v>1243</v>
      </c>
      <c r="F78" s="14">
        <v>42258.0</v>
      </c>
      <c r="G78" s="14">
        <v>42255.0</v>
      </c>
      <c r="H78" s="6" t="s">
        <v>1227</v>
      </c>
      <c r="I78" s="67">
        <v>42269.0</v>
      </c>
      <c r="J78" s="63" t="s">
        <v>1244</v>
      </c>
      <c r="K78" s="42" t="s">
        <v>497</v>
      </c>
      <c r="L78" s="42" t="s">
        <v>1245</v>
      </c>
      <c r="M78" s="61">
        <v>42789.6</v>
      </c>
    </row>
    <row r="79" ht="27.0" hidden="1" customHeight="1">
      <c r="A79" s="45">
        <v>29418.0</v>
      </c>
      <c r="B79" s="42" t="s">
        <v>25</v>
      </c>
      <c r="C79" s="12">
        <v>1074.0</v>
      </c>
      <c r="D79" s="12" t="s">
        <v>1246</v>
      </c>
      <c r="E79" s="19" t="s">
        <v>1247</v>
      </c>
      <c r="F79" s="14">
        <v>42257.0</v>
      </c>
      <c r="G79" s="14">
        <v>42255.0</v>
      </c>
      <c r="H79" s="6" t="s">
        <v>1227</v>
      </c>
      <c r="I79" s="16">
        <v>42265.0</v>
      </c>
      <c r="J79" s="17" t="s">
        <v>1248</v>
      </c>
      <c r="K79" s="42"/>
      <c r="L79" s="42"/>
      <c r="M79" s="61"/>
    </row>
    <row r="80" ht="27.0" customHeight="1">
      <c r="A80" s="45">
        <v>29176.0</v>
      </c>
      <c r="B80" s="42" t="s">
        <v>21</v>
      </c>
      <c r="C80" s="12">
        <v>1702.0</v>
      </c>
      <c r="D80" s="12" t="s">
        <v>1249</v>
      </c>
      <c r="E80" s="13" t="s">
        <v>1250</v>
      </c>
      <c r="F80" s="14">
        <v>42254.0</v>
      </c>
      <c r="G80" s="14">
        <v>42250.0</v>
      </c>
      <c r="H80" s="6" t="s">
        <v>1227</v>
      </c>
      <c r="I80" s="16">
        <v>42262.0</v>
      </c>
      <c r="J80" s="63" t="s">
        <v>1251</v>
      </c>
      <c r="K80" s="42"/>
      <c r="L80" s="42"/>
      <c r="M80" s="61"/>
    </row>
    <row r="81" ht="27.0" customHeight="1">
      <c r="A81" s="69">
        <v>29443.0</v>
      </c>
      <c r="B81" s="42" t="s">
        <v>21</v>
      </c>
      <c r="C81" s="12">
        <v>930.0</v>
      </c>
      <c r="D81" s="12" t="s">
        <v>1252</v>
      </c>
      <c r="E81" s="13" t="s">
        <v>1253</v>
      </c>
      <c r="F81" s="14">
        <v>42253.0</v>
      </c>
      <c r="G81" s="14">
        <v>42251.0</v>
      </c>
      <c r="H81" s="6" t="s">
        <v>1254</v>
      </c>
      <c r="I81" s="16">
        <v>42258.0</v>
      </c>
      <c r="J81" s="64" t="s">
        <v>1255</v>
      </c>
      <c r="K81" s="42"/>
      <c r="L81" s="42"/>
      <c r="M81" s="61"/>
    </row>
    <row r="82" ht="27.0" customHeight="1">
      <c r="A82" s="45">
        <v>29404.0</v>
      </c>
      <c r="B82" s="42" t="s">
        <v>21</v>
      </c>
      <c r="C82" s="12">
        <v>1017.0</v>
      </c>
      <c r="D82" s="12" t="s">
        <v>1256</v>
      </c>
      <c r="E82" s="19" t="s">
        <v>1257</v>
      </c>
      <c r="F82" s="14">
        <v>42252.0</v>
      </c>
      <c r="G82" s="14">
        <v>42249.0</v>
      </c>
      <c r="H82" s="6" t="s">
        <v>1032</v>
      </c>
      <c r="I82" s="16">
        <v>42265.0</v>
      </c>
      <c r="J82" s="64" t="s">
        <v>1258</v>
      </c>
      <c r="K82" s="42"/>
      <c r="L82" s="42"/>
      <c r="M82" s="61"/>
    </row>
    <row r="83" ht="27.0" customHeight="1">
      <c r="A83" s="45">
        <v>29101.0</v>
      </c>
      <c r="B83" s="42" t="s">
        <v>21</v>
      </c>
      <c r="C83" s="12">
        <v>640.0</v>
      </c>
      <c r="D83" s="12" t="s">
        <v>1259</v>
      </c>
      <c r="E83" s="13" t="s">
        <v>1260</v>
      </c>
      <c r="F83" s="14">
        <v>42252.0</v>
      </c>
      <c r="G83" s="14">
        <v>42248.0</v>
      </c>
      <c r="H83" s="6" t="s">
        <v>1032</v>
      </c>
      <c r="I83" s="16">
        <v>42268.0</v>
      </c>
      <c r="J83" s="77" t="s">
        <v>1261</v>
      </c>
      <c r="K83" s="42"/>
      <c r="L83" s="42"/>
      <c r="M83" s="61"/>
    </row>
    <row r="84" ht="27.0" customHeight="1">
      <c r="A84" s="45">
        <v>29357.0</v>
      </c>
      <c r="B84" s="42" t="s">
        <v>21</v>
      </c>
      <c r="C84" s="12">
        <v>1450.0</v>
      </c>
      <c r="D84" s="12" t="s">
        <v>1262</v>
      </c>
      <c r="E84" s="13" t="s">
        <v>1263</v>
      </c>
      <c r="F84" s="14">
        <v>42248.0</v>
      </c>
      <c r="G84" s="65">
        <v>42247.0</v>
      </c>
      <c r="H84" s="6" t="s">
        <v>1032</v>
      </c>
      <c r="I84" s="16">
        <v>42261.0</v>
      </c>
      <c r="J84" s="63" t="s">
        <v>1264</v>
      </c>
      <c r="K84" s="42"/>
      <c r="L84" s="42"/>
      <c r="M84" s="61"/>
    </row>
    <row r="85" ht="27.0" hidden="1" customHeight="1">
      <c r="A85" s="45">
        <v>29179.0</v>
      </c>
      <c r="B85" s="42" t="s">
        <v>25</v>
      </c>
      <c r="C85" s="12">
        <v>1636.0</v>
      </c>
      <c r="D85" s="12" t="s">
        <v>1265</v>
      </c>
      <c r="E85" s="13" t="s">
        <v>1250</v>
      </c>
      <c r="F85" s="14">
        <v>42250.0</v>
      </c>
      <c r="G85" s="14">
        <v>42248.0</v>
      </c>
      <c r="H85" s="6" t="s">
        <v>1032</v>
      </c>
      <c r="I85" s="16">
        <v>42256.0</v>
      </c>
      <c r="J85" s="9" t="s">
        <v>1266</v>
      </c>
      <c r="K85" s="42"/>
      <c r="L85" s="42"/>
      <c r="M85" s="61"/>
    </row>
    <row r="86" ht="27.0" customHeight="1">
      <c r="A86" s="45">
        <v>29356.0</v>
      </c>
      <c r="B86" s="42" t="s">
        <v>21</v>
      </c>
      <c r="C86" s="12">
        <v>1440.0</v>
      </c>
      <c r="D86" s="12" t="s">
        <v>1267</v>
      </c>
      <c r="E86" s="13" t="s">
        <v>1268</v>
      </c>
      <c r="F86" s="14">
        <v>42248.0</v>
      </c>
      <c r="G86" s="14">
        <v>42247.0</v>
      </c>
      <c r="H86" s="6" t="s">
        <v>1032</v>
      </c>
      <c r="I86" s="16">
        <v>42257.0</v>
      </c>
      <c r="J86" s="9" t="s">
        <v>1269</v>
      </c>
      <c r="K86" s="42"/>
      <c r="L86" s="42"/>
      <c r="M86" s="61"/>
    </row>
    <row r="87" ht="27.0" customHeight="1">
      <c r="A87" s="45">
        <v>29353.0</v>
      </c>
      <c r="B87" s="42" t="s">
        <v>21</v>
      </c>
      <c r="C87" s="12">
        <v>1139.0</v>
      </c>
      <c r="D87" s="12" t="s">
        <v>1270</v>
      </c>
      <c r="E87" s="66" t="s">
        <v>1271</v>
      </c>
      <c r="F87" s="14">
        <v>42248.0</v>
      </c>
      <c r="G87" s="14">
        <v>42247.0</v>
      </c>
      <c r="H87" s="6" t="s">
        <v>1032</v>
      </c>
      <c r="I87" s="16">
        <v>42265.0</v>
      </c>
      <c r="J87" s="64" t="s">
        <v>1272</v>
      </c>
      <c r="K87" s="42"/>
      <c r="L87" s="42"/>
      <c r="M87" s="61"/>
    </row>
    <row r="88" ht="27.0" customHeight="1">
      <c r="A88" s="45">
        <v>29352.0</v>
      </c>
      <c r="B88" s="42" t="s">
        <v>21</v>
      </c>
      <c r="C88" s="12">
        <v>944.0</v>
      </c>
      <c r="D88" s="12" t="s">
        <v>1273</v>
      </c>
      <c r="E88" s="19" t="s">
        <v>1079</v>
      </c>
      <c r="F88" s="14">
        <v>42248.0</v>
      </c>
      <c r="G88" s="14">
        <v>42247.0</v>
      </c>
      <c r="H88" s="6" t="s">
        <v>1032</v>
      </c>
      <c r="I88" s="67">
        <v>42262.0</v>
      </c>
      <c r="J88" s="64" t="s">
        <v>1274</v>
      </c>
      <c r="K88" s="42"/>
      <c r="L88" s="42"/>
      <c r="M88" s="61"/>
    </row>
    <row r="89" ht="27.0" hidden="1" customHeight="1">
      <c r="A89" s="45">
        <v>29299.0</v>
      </c>
      <c r="B89" s="42" t="s">
        <v>14</v>
      </c>
      <c r="C89" s="12">
        <v>1248.0</v>
      </c>
      <c r="D89" s="12" t="s">
        <v>1275</v>
      </c>
      <c r="E89" s="19" t="s">
        <v>1276</v>
      </c>
      <c r="F89" s="14">
        <v>42246.0</v>
      </c>
      <c r="G89" s="14">
        <v>42243.0</v>
      </c>
      <c r="H89" s="6" t="s">
        <v>1032</v>
      </c>
      <c r="I89" s="16">
        <v>42243.0</v>
      </c>
      <c r="J89" s="64" t="s">
        <v>1277</v>
      </c>
      <c r="K89" s="42"/>
      <c r="L89" s="42"/>
      <c r="M89" s="61"/>
    </row>
    <row r="90" ht="27.0" hidden="1" customHeight="1">
      <c r="A90" s="45">
        <v>29337.0</v>
      </c>
      <c r="B90" s="42" t="s">
        <v>14</v>
      </c>
      <c r="C90" s="12">
        <v>700.0</v>
      </c>
      <c r="D90" s="12" t="s">
        <v>1278</v>
      </c>
      <c r="E90" s="13" t="s">
        <v>1279</v>
      </c>
      <c r="F90" s="14">
        <v>42246.0</v>
      </c>
      <c r="G90" s="67">
        <v>42261.0</v>
      </c>
      <c r="H90" s="6" t="s">
        <v>1280</v>
      </c>
      <c r="I90" s="16">
        <v>42258.0</v>
      </c>
      <c r="J90" s="9" t="s">
        <v>1281</v>
      </c>
      <c r="K90" s="42"/>
      <c r="L90" s="42"/>
      <c r="M90" s="61"/>
    </row>
    <row r="91" ht="27.0" customHeight="1">
      <c r="A91" s="45">
        <v>29358.0</v>
      </c>
      <c r="B91" s="42" t="s">
        <v>21</v>
      </c>
      <c r="C91" s="12">
        <v>800.0</v>
      </c>
      <c r="D91" s="12" t="s">
        <v>1282</v>
      </c>
      <c r="E91" s="13" t="s">
        <v>1283</v>
      </c>
      <c r="F91" s="14">
        <v>42245.0</v>
      </c>
      <c r="G91" s="14">
        <v>42255.0</v>
      </c>
      <c r="H91" s="6" t="s">
        <v>1032</v>
      </c>
      <c r="I91" s="16">
        <v>42255.0</v>
      </c>
      <c r="J91" s="77" t="s">
        <v>1284</v>
      </c>
      <c r="K91" s="42"/>
      <c r="L91" s="42"/>
      <c r="M91" s="61"/>
    </row>
    <row r="92" ht="27.0" customHeight="1">
      <c r="A92" s="45">
        <v>29159.0</v>
      </c>
      <c r="B92" s="42" t="s">
        <v>21</v>
      </c>
      <c r="C92" s="12">
        <v>138.0</v>
      </c>
      <c r="D92" s="12" t="s">
        <v>1285</v>
      </c>
      <c r="E92" s="13" t="s">
        <v>1286</v>
      </c>
      <c r="F92" s="14">
        <v>42245.0</v>
      </c>
      <c r="G92" s="14">
        <v>42241.0</v>
      </c>
      <c r="H92" s="6" t="s">
        <v>1032</v>
      </c>
      <c r="I92" s="67">
        <v>42249.0</v>
      </c>
      <c r="J92" s="64" t="s">
        <v>1287</v>
      </c>
      <c r="K92" s="42"/>
      <c r="L92" s="42"/>
      <c r="M92" s="61"/>
    </row>
    <row r="93" ht="27.0" hidden="1" customHeight="1">
      <c r="A93" s="45">
        <v>29100.0</v>
      </c>
      <c r="B93" s="42" t="s">
        <v>14</v>
      </c>
      <c r="C93" s="12">
        <v>760.0</v>
      </c>
      <c r="D93" s="12" t="s">
        <v>1288</v>
      </c>
      <c r="E93" s="13" t="s">
        <v>1230</v>
      </c>
      <c r="F93" s="14">
        <v>42242.0</v>
      </c>
      <c r="G93" s="14">
        <v>42240.0</v>
      </c>
      <c r="H93" s="6" t="s">
        <v>1032</v>
      </c>
      <c r="I93" s="16">
        <v>42242.0</v>
      </c>
      <c r="J93" s="9" t="s">
        <v>1289</v>
      </c>
      <c r="K93" s="42"/>
      <c r="L93" s="42"/>
      <c r="M93" s="61"/>
    </row>
    <row r="94" ht="27.0" hidden="1" customHeight="1">
      <c r="A94" s="45">
        <v>29182.0</v>
      </c>
      <c r="B94" s="42" t="s">
        <v>14</v>
      </c>
      <c r="C94" s="12">
        <v>1462.0</v>
      </c>
      <c r="D94" s="12" t="s">
        <v>1290</v>
      </c>
      <c r="E94" s="13" t="s">
        <v>1250</v>
      </c>
      <c r="F94" s="14">
        <v>42240.0</v>
      </c>
      <c r="G94" s="14">
        <v>42242.0</v>
      </c>
      <c r="H94" s="6" t="s">
        <v>1032</v>
      </c>
      <c r="I94" s="16">
        <v>42242.0</v>
      </c>
      <c r="J94" s="9" t="s">
        <v>1291</v>
      </c>
      <c r="K94" s="42"/>
      <c r="L94" s="42"/>
      <c r="M94" s="61"/>
    </row>
    <row r="95" ht="27.0" customHeight="1">
      <c r="A95" s="45">
        <v>29020.0</v>
      </c>
      <c r="B95" s="42" t="s">
        <v>21</v>
      </c>
      <c r="C95" s="12">
        <v>770.0</v>
      </c>
      <c r="D95" s="12" t="s">
        <v>1292</v>
      </c>
      <c r="E95" s="13" t="s">
        <v>376</v>
      </c>
      <c r="F95" s="14">
        <v>42240.0</v>
      </c>
      <c r="G95" s="14">
        <v>42237.0</v>
      </c>
      <c r="H95" s="6" t="s">
        <v>1032</v>
      </c>
      <c r="I95" s="16">
        <v>42249.0</v>
      </c>
      <c r="J95" s="9" t="s">
        <v>1293</v>
      </c>
      <c r="K95" s="42"/>
      <c r="L95" s="42"/>
      <c r="M95" s="61"/>
    </row>
    <row r="96" ht="27.0" customHeight="1">
      <c r="A96" s="45">
        <v>29205.0</v>
      </c>
      <c r="B96" s="42" t="s">
        <v>21</v>
      </c>
      <c r="C96" s="12">
        <v>910.0</v>
      </c>
      <c r="D96" s="12" t="s">
        <v>1294</v>
      </c>
      <c r="E96" s="13" t="s">
        <v>1295</v>
      </c>
      <c r="F96" s="14">
        <v>42239.0</v>
      </c>
      <c r="G96" s="14">
        <v>42235.0</v>
      </c>
      <c r="H96" s="6" t="s">
        <v>1032</v>
      </c>
      <c r="I96" s="16">
        <v>42249.0</v>
      </c>
      <c r="J96" s="64" t="s">
        <v>1296</v>
      </c>
      <c r="K96" s="42"/>
      <c r="L96" s="42"/>
      <c r="M96" s="61"/>
    </row>
    <row r="97" ht="27.0" customHeight="1">
      <c r="A97" s="45">
        <v>29300.0</v>
      </c>
      <c r="B97" s="42" t="s">
        <v>21</v>
      </c>
      <c r="C97" s="12">
        <v>1280.0</v>
      </c>
      <c r="D97" s="12" t="s">
        <v>1297</v>
      </c>
      <c r="E97" s="13" t="s">
        <v>1298</v>
      </c>
      <c r="F97" s="14">
        <v>42239.0</v>
      </c>
      <c r="G97" s="14">
        <v>42236.0</v>
      </c>
      <c r="H97" s="6" t="s">
        <v>1032</v>
      </c>
      <c r="I97" s="67">
        <v>42257.0</v>
      </c>
      <c r="J97" s="64" t="s">
        <v>1299</v>
      </c>
      <c r="K97" s="42"/>
      <c r="L97" s="42"/>
      <c r="M97" s="61"/>
    </row>
    <row r="98" ht="27.0" customHeight="1">
      <c r="A98" s="45">
        <v>29142.0</v>
      </c>
      <c r="B98" s="42" t="s">
        <v>21</v>
      </c>
      <c r="C98" s="12">
        <v>508.0</v>
      </c>
      <c r="D98" s="12" t="s">
        <v>1300</v>
      </c>
      <c r="E98" s="13" t="s">
        <v>1301</v>
      </c>
      <c r="F98" s="14">
        <v>42235.0</v>
      </c>
      <c r="G98" s="14">
        <v>42235.0</v>
      </c>
      <c r="H98" s="6" t="s">
        <v>1032</v>
      </c>
      <c r="I98" s="16">
        <v>42242.0</v>
      </c>
      <c r="J98" s="9" t="s">
        <v>1302</v>
      </c>
      <c r="K98" s="42"/>
      <c r="L98" s="42"/>
      <c r="M98" s="61"/>
    </row>
    <row r="99" ht="27.0" customHeight="1">
      <c r="A99" s="45">
        <v>29077.0</v>
      </c>
      <c r="B99" s="42" t="s">
        <v>21</v>
      </c>
      <c r="C99" s="12">
        <v>550.0</v>
      </c>
      <c r="D99" s="78" t="s">
        <v>1303</v>
      </c>
      <c r="E99" s="13" t="s">
        <v>1304</v>
      </c>
      <c r="F99" s="14">
        <v>42233.0</v>
      </c>
      <c r="G99" s="14">
        <v>42227.0</v>
      </c>
      <c r="H99" s="6" t="s">
        <v>1032</v>
      </c>
      <c r="I99" s="16">
        <v>42243.0</v>
      </c>
      <c r="J99" s="9" t="s">
        <v>1305</v>
      </c>
      <c r="K99" s="42" t="s">
        <v>497</v>
      </c>
      <c r="L99" s="42" t="s">
        <v>1077</v>
      </c>
      <c r="M99" s="61">
        <v>42237.0</v>
      </c>
    </row>
    <row r="100" ht="27.0" customHeight="1">
      <c r="A100" s="45" t="s">
        <v>1306</v>
      </c>
      <c r="B100" s="42" t="s">
        <v>21</v>
      </c>
      <c r="C100" s="12">
        <v>406.0</v>
      </c>
      <c r="D100" s="12" t="s">
        <v>1307</v>
      </c>
      <c r="E100" s="13" t="s">
        <v>1114</v>
      </c>
      <c r="F100" s="14">
        <v>42233.0</v>
      </c>
      <c r="G100" s="14">
        <v>42227.0</v>
      </c>
      <c r="H100" s="6" t="s">
        <v>1032</v>
      </c>
      <c r="I100" s="16">
        <v>42255.0</v>
      </c>
      <c r="J100" s="64" t="s">
        <v>1308</v>
      </c>
      <c r="K100" s="42"/>
      <c r="L100" s="42"/>
      <c r="M100" s="61"/>
    </row>
    <row r="101" ht="27.0" customHeight="1">
      <c r="A101" s="45" t="s">
        <v>1175</v>
      </c>
      <c r="B101" s="42" t="s">
        <v>21</v>
      </c>
      <c r="C101" s="12">
        <v>26.0</v>
      </c>
      <c r="D101" s="12" t="s">
        <v>1309</v>
      </c>
      <c r="E101" s="13" t="s">
        <v>1310</v>
      </c>
      <c r="F101" s="14">
        <v>42232.0</v>
      </c>
      <c r="G101" s="1" t="s">
        <v>28</v>
      </c>
      <c r="H101" s="6" t="s">
        <v>28</v>
      </c>
      <c r="I101" s="16">
        <v>42235.0</v>
      </c>
      <c r="J101" s="9" t="s">
        <v>1311</v>
      </c>
      <c r="K101" s="42" t="s">
        <v>497</v>
      </c>
      <c r="L101" s="42" t="s">
        <v>1048</v>
      </c>
      <c r="M101" s="61">
        <v>1255.08</v>
      </c>
    </row>
    <row r="102" ht="27.0" customHeight="1">
      <c r="A102" s="45" t="s">
        <v>1312</v>
      </c>
      <c r="B102" s="42" t="s">
        <v>21</v>
      </c>
      <c r="C102" s="12">
        <v>441.0</v>
      </c>
      <c r="D102" s="12" t="s">
        <v>1313</v>
      </c>
      <c r="E102" s="13" t="s">
        <v>1314</v>
      </c>
      <c r="F102" s="14">
        <v>42231.0</v>
      </c>
      <c r="G102" s="14">
        <v>42230.0</v>
      </c>
      <c r="H102" s="6" t="s">
        <v>1032</v>
      </c>
      <c r="I102" s="67">
        <v>42230.0</v>
      </c>
      <c r="J102" s="9" t="s">
        <v>1315</v>
      </c>
      <c r="K102" s="42"/>
      <c r="L102" s="42"/>
      <c r="M102" s="61"/>
    </row>
    <row r="103" ht="27.0" customHeight="1">
      <c r="A103" s="45" t="s">
        <v>1316</v>
      </c>
      <c r="B103" s="42" t="s">
        <v>21</v>
      </c>
      <c r="C103" s="12">
        <v>83.0</v>
      </c>
      <c r="D103" s="12" t="s">
        <v>1317</v>
      </c>
      <c r="E103" s="13" t="s">
        <v>1318</v>
      </c>
      <c r="F103" s="14">
        <v>42225.0</v>
      </c>
      <c r="G103" s="14">
        <v>42222.0</v>
      </c>
      <c r="H103" s="6" t="s">
        <v>1032</v>
      </c>
      <c r="I103" s="16">
        <v>42229.0</v>
      </c>
      <c r="J103" s="9" t="s">
        <v>1319</v>
      </c>
      <c r="K103" s="42" t="s">
        <v>497</v>
      </c>
      <c r="L103" s="42" t="s">
        <v>1048</v>
      </c>
      <c r="M103" s="61">
        <v>10150.46</v>
      </c>
    </row>
    <row r="104" ht="27.0" hidden="1" customHeight="1">
      <c r="A104" s="45">
        <v>29296.0</v>
      </c>
      <c r="B104" s="42" t="s">
        <v>14</v>
      </c>
      <c r="C104" s="12">
        <v>1275.0</v>
      </c>
      <c r="D104" s="12" t="s">
        <v>1320</v>
      </c>
      <c r="E104" s="13" t="s">
        <v>1321</v>
      </c>
      <c r="F104" s="14">
        <v>42221.0</v>
      </c>
      <c r="G104" s="65">
        <v>42228.0</v>
      </c>
      <c r="H104" s="6" t="s">
        <v>1032</v>
      </c>
      <c r="I104" s="16">
        <v>42227.0</v>
      </c>
      <c r="J104" s="64" t="s">
        <v>1322</v>
      </c>
      <c r="K104" s="42"/>
      <c r="L104" s="42"/>
      <c r="M104" s="61"/>
    </row>
    <row r="105" ht="27.0" customHeight="1">
      <c r="A105" s="45">
        <v>28977.0</v>
      </c>
      <c r="B105" s="42" t="s">
        <v>21</v>
      </c>
      <c r="C105" s="12">
        <v>2227.0</v>
      </c>
      <c r="D105" s="12" t="s">
        <v>1323</v>
      </c>
      <c r="E105" s="13" t="s">
        <v>1324</v>
      </c>
      <c r="F105" s="14">
        <v>42221.0</v>
      </c>
      <c r="G105" s="14">
        <v>42214.0</v>
      </c>
      <c r="H105" s="6" t="s">
        <v>1032</v>
      </c>
      <c r="I105" s="16">
        <v>42229.0</v>
      </c>
      <c r="J105" s="9" t="s">
        <v>1325</v>
      </c>
      <c r="K105" s="42" t="s">
        <v>497</v>
      </c>
      <c r="L105" s="42" t="s">
        <v>1052</v>
      </c>
      <c r="M105" s="61">
        <v>29449.78</v>
      </c>
    </row>
    <row r="106" ht="27.0" hidden="1" customHeight="1">
      <c r="A106" s="45">
        <v>29298.0</v>
      </c>
      <c r="B106" s="42" t="s">
        <v>14</v>
      </c>
      <c r="C106" s="12">
        <v>1450.0</v>
      </c>
      <c r="D106" s="12" t="s">
        <v>1326</v>
      </c>
      <c r="E106" s="13" t="s">
        <v>1327</v>
      </c>
      <c r="F106" s="14">
        <v>42219.0</v>
      </c>
      <c r="G106" s="14">
        <v>42216.0</v>
      </c>
      <c r="H106" s="6" t="s">
        <v>1032</v>
      </c>
      <c r="I106" s="16">
        <v>42222.0</v>
      </c>
      <c r="J106" s="9" t="s">
        <v>1328</v>
      </c>
      <c r="K106" s="42"/>
      <c r="L106" s="42"/>
      <c r="M106" s="61"/>
    </row>
    <row r="107" ht="27.0" hidden="1" customHeight="1">
      <c r="A107" s="45">
        <v>28978.0</v>
      </c>
      <c r="B107" s="42" t="s">
        <v>14</v>
      </c>
      <c r="C107" s="12">
        <v>2227.0</v>
      </c>
      <c r="D107" s="12" t="s">
        <v>1329</v>
      </c>
      <c r="E107" s="13" t="s">
        <v>1217</v>
      </c>
      <c r="F107" s="14">
        <v>42219.0</v>
      </c>
      <c r="G107" s="14">
        <v>42219.0</v>
      </c>
      <c r="H107" s="6" t="s">
        <v>1032</v>
      </c>
      <c r="I107" s="16">
        <v>42223.0</v>
      </c>
      <c r="J107" s="9" t="s">
        <v>1330</v>
      </c>
      <c r="K107" s="42" t="s">
        <v>497</v>
      </c>
      <c r="L107" s="42" t="s">
        <v>1052</v>
      </c>
      <c r="M107" s="61">
        <v>29262.78</v>
      </c>
    </row>
    <row r="108" ht="27.0" hidden="1" customHeight="1">
      <c r="A108" s="45">
        <v>29297.0</v>
      </c>
      <c r="B108" s="12" t="s">
        <v>14</v>
      </c>
      <c r="C108" s="12">
        <v>1029.0</v>
      </c>
      <c r="D108" s="12" t="s">
        <v>1331</v>
      </c>
      <c r="E108" s="19" t="s">
        <v>1332</v>
      </c>
      <c r="F108" s="14">
        <v>42219.0</v>
      </c>
      <c r="G108" s="14">
        <v>42219.0</v>
      </c>
      <c r="H108" s="6" t="s">
        <v>1227</v>
      </c>
      <c r="I108" s="67">
        <v>42221.0</v>
      </c>
      <c r="J108" s="9" t="s">
        <v>1333</v>
      </c>
      <c r="K108" s="42"/>
      <c r="L108" s="42"/>
      <c r="M108" s="61"/>
    </row>
    <row r="109" ht="27.0" customHeight="1">
      <c r="A109" s="45">
        <v>28954.0</v>
      </c>
      <c r="B109" s="42" t="s">
        <v>21</v>
      </c>
      <c r="C109" s="12">
        <v>1980.0</v>
      </c>
      <c r="D109" s="12" t="s">
        <v>1334</v>
      </c>
      <c r="E109" s="13" t="s">
        <v>1335</v>
      </c>
      <c r="F109" s="14">
        <v>42218.0</v>
      </c>
      <c r="G109" s="14">
        <v>42214.0</v>
      </c>
      <c r="H109" s="6" t="s">
        <v>1032</v>
      </c>
      <c r="I109" s="16">
        <v>42237.0</v>
      </c>
      <c r="J109" s="64" t="s">
        <v>1336</v>
      </c>
      <c r="K109" s="42"/>
      <c r="L109" s="42"/>
      <c r="M109" s="61"/>
    </row>
    <row r="110" ht="27.0" customHeight="1">
      <c r="A110" s="45">
        <v>29076.0</v>
      </c>
      <c r="B110" s="42" t="s">
        <v>21</v>
      </c>
      <c r="C110" s="12">
        <v>1055.0</v>
      </c>
      <c r="D110" s="12" t="s">
        <v>1337</v>
      </c>
      <c r="E110" s="13" t="s">
        <v>1338</v>
      </c>
      <c r="F110" s="14">
        <v>42215.0</v>
      </c>
      <c r="G110" s="65">
        <v>42228.0</v>
      </c>
      <c r="H110" s="6" t="s">
        <v>1032</v>
      </c>
      <c r="I110" s="16">
        <v>42226.0</v>
      </c>
      <c r="J110" s="9" t="s">
        <v>1339</v>
      </c>
      <c r="K110" s="42" t="s">
        <v>497</v>
      </c>
      <c r="L110" s="42" t="s">
        <v>1077</v>
      </c>
      <c r="M110" s="61">
        <v>42788.0</v>
      </c>
    </row>
    <row r="111" ht="27.0" customHeight="1">
      <c r="A111" s="45">
        <v>29277.0</v>
      </c>
      <c r="B111" s="42" t="s">
        <v>21</v>
      </c>
      <c r="C111" s="12">
        <v>854.0</v>
      </c>
      <c r="D111" s="12" t="s">
        <v>1340</v>
      </c>
      <c r="E111" s="19" t="s">
        <v>1341</v>
      </c>
      <c r="F111" s="14">
        <v>42215.0</v>
      </c>
      <c r="G111" s="14">
        <v>42207.0</v>
      </c>
      <c r="H111" s="6" t="s">
        <v>1032</v>
      </c>
      <c r="I111" s="67">
        <v>42223.0</v>
      </c>
      <c r="J111" s="9" t="s">
        <v>1342</v>
      </c>
      <c r="K111" s="42"/>
      <c r="L111" s="42"/>
      <c r="M111" s="61"/>
    </row>
    <row r="112" ht="27.0" hidden="1" customHeight="1">
      <c r="A112" s="45">
        <v>28979.0</v>
      </c>
      <c r="B112" s="42" t="s">
        <v>25</v>
      </c>
      <c r="C112" s="12">
        <v>2227.0</v>
      </c>
      <c r="D112" s="12" t="s">
        <v>1343</v>
      </c>
      <c r="E112" s="13" t="s">
        <v>1344</v>
      </c>
      <c r="F112" s="14">
        <v>42214.0</v>
      </c>
      <c r="G112" s="14">
        <v>42212.0</v>
      </c>
      <c r="H112" s="6" t="s">
        <v>1032</v>
      </c>
      <c r="I112" s="16">
        <v>42221.0</v>
      </c>
      <c r="J112" s="9" t="s">
        <v>1345</v>
      </c>
      <c r="K112" s="42" t="s">
        <v>497</v>
      </c>
      <c r="L112" s="42" t="s">
        <v>1052</v>
      </c>
      <c r="M112" s="61">
        <v>29262.78</v>
      </c>
    </row>
    <row r="113" ht="27.0" customHeight="1">
      <c r="A113" s="45">
        <v>29267.0</v>
      </c>
      <c r="B113" s="42" t="s">
        <v>21</v>
      </c>
      <c r="C113" s="12">
        <v>1300.0</v>
      </c>
      <c r="D113" s="12" t="s">
        <v>1346</v>
      </c>
      <c r="E113" s="13" t="s">
        <v>1347</v>
      </c>
      <c r="F113" s="14">
        <v>42213.0</v>
      </c>
      <c r="G113" s="65">
        <v>42228.0</v>
      </c>
      <c r="H113" s="6" t="s">
        <v>1032</v>
      </c>
      <c r="I113" s="16">
        <v>42228.0</v>
      </c>
      <c r="J113" s="9" t="s">
        <v>1348</v>
      </c>
      <c r="K113" s="42"/>
      <c r="L113" s="42"/>
      <c r="M113" s="61"/>
    </row>
    <row r="114" ht="27.0" hidden="1" customHeight="1">
      <c r="A114" s="45">
        <v>29266.0</v>
      </c>
      <c r="B114" s="42" t="s">
        <v>25</v>
      </c>
      <c r="C114" s="12">
        <v>1300.0</v>
      </c>
      <c r="D114" s="12" t="s">
        <v>1349</v>
      </c>
      <c r="E114" s="13" t="s">
        <v>1347</v>
      </c>
      <c r="F114" s="14">
        <v>42212.0</v>
      </c>
      <c r="G114" s="65">
        <v>42214.0</v>
      </c>
      <c r="H114" s="16">
        <v>42214.0</v>
      </c>
      <c r="I114" s="16">
        <v>42215.0</v>
      </c>
      <c r="J114" s="9" t="s">
        <v>1350</v>
      </c>
      <c r="K114" s="42"/>
      <c r="L114" s="42"/>
      <c r="M114" s="61"/>
    </row>
    <row r="115" ht="27.0" customHeight="1">
      <c r="A115" s="45" t="s">
        <v>1175</v>
      </c>
      <c r="B115" s="42" t="s">
        <v>21</v>
      </c>
      <c r="C115" s="12">
        <v>1.0</v>
      </c>
      <c r="D115" s="12" t="s">
        <v>1351</v>
      </c>
      <c r="E115" s="13" t="s">
        <v>1352</v>
      </c>
      <c r="F115" s="14">
        <v>42208.0</v>
      </c>
      <c r="G115" s="14">
        <v>42208.0</v>
      </c>
      <c r="H115" s="16">
        <v>42208.0</v>
      </c>
      <c r="I115" s="16">
        <v>42208.0</v>
      </c>
      <c r="J115" s="9" t="s">
        <v>1353</v>
      </c>
      <c r="K115" s="42" t="s">
        <v>1354</v>
      </c>
      <c r="L115" s="42" t="s">
        <v>1048</v>
      </c>
      <c r="M115" s="61">
        <v>31.97</v>
      </c>
    </row>
    <row r="116" ht="27.0" hidden="1" customHeight="1">
      <c r="A116" s="45">
        <v>29246.0</v>
      </c>
      <c r="B116" s="12" t="s">
        <v>14</v>
      </c>
      <c r="C116" s="12">
        <v>1007.0</v>
      </c>
      <c r="D116" s="12" t="s">
        <v>1355</v>
      </c>
      <c r="E116" s="19" t="s">
        <v>1356</v>
      </c>
      <c r="F116" s="14">
        <v>42205.0</v>
      </c>
      <c r="G116" s="14">
        <v>42201.0</v>
      </c>
      <c r="H116" s="67">
        <v>42214.0</v>
      </c>
      <c r="I116" s="67">
        <v>42207.0</v>
      </c>
      <c r="J116" s="18" t="s">
        <v>1357</v>
      </c>
      <c r="K116" s="42"/>
      <c r="L116" s="42"/>
      <c r="M116" s="61"/>
    </row>
    <row r="117" ht="27.0" hidden="1" customHeight="1">
      <c r="A117" s="45">
        <v>28260.0</v>
      </c>
      <c r="B117" s="12" t="s">
        <v>14</v>
      </c>
      <c r="C117" s="12">
        <v>161.0</v>
      </c>
      <c r="D117" s="12" t="s">
        <v>1358</v>
      </c>
      <c r="E117" s="13" t="s">
        <v>1359</v>
      </c>
      <c r="F117" s="14">
        <v>42204.0</v>
      </c>
      <c r="G117" s="67">
        <v>42201.0</v>
      </c>
      <c r="H117" s="67">
        <v>42214.0</v>
      </c>
      <c r="I117" s="16">
        <v>42220.0</v>
      </c>
      <c r="J117" s="9" t="s">
        <v>1360</v>
      </c>
      <c r="K117" s="42"/>
      <c r="L117" s="42"/>
      <c r="M117" s="61"/>
    </row>
    <row r="118" ht="27.0" customHeight="1">
      <c r="A118" s="45">
        <v>29240.0</v>
      </c>
      <c r="B118" s="12" t="s">
        <v>21</v>
      </c>
      <c r="C118" s="12">
        <v>220.0</v>
      </c>
      <c r="D118" s="12" t="s">
        <v>1361</v>
      </c>
      <c r="E118" s="13" t="s">
        <v>1362</v>
      </c>
      <c r="F118" s="14">
        <v>42203.0</v>
      </c>
      <c r="G118" s="14">
        <v>42198.0</v>
      </c>
      <c r="H118" s="16">
        <v>42198.0</v>
      </c>
      <c r="I118" s="16">
        <v>42212.0</v>
      </c>
      <c r="J118" s="79" t="s">
        <v>1363</v>
      </c>
      <c r="K118" s="42"/>
      <c r="L118" s="42"/>
      <c r="M118" s="61"/>
    </row>
    <row r="119" ht="27.0" customHeight="1">
      <c r="A119" s="45">
        <v>29245.0</v>
      </c>
      <c r="B119" s="42" t="s">
        <v>21</v>
      </c>
      <c r="C119" s="12">
        <v>100.0</v>
      </c>
      <c r="D119" s="12" t="s">
        <v>1364</v>
      </c>
      <c r="E119" s="13" t="s">
        <v>163</v>
      </c>
      <c r="F119" s="14">
        <v>42201.0</v>
      </c>
      <c r="G119" s="65">
        <v>42214.0</v>
      </c>
      <c r="H119" s="16">
        <v>42214.0</v>
      </c>
      <c r="I119" s="16">
        <v>42214.0</v>
      </c>
      <c r="J119" s="9" t="s">
        <v>1365</v>
      </c>
      <c r="K119" s="42"/>
      <c r="L119" s="42"/>
      <c r="M119" s="61"/>
    </row>
    <row r="120" ht="27.0" hidden="1" customHeight="1">
      <c r="A120" s="45">
        <v>29061.0</v>
      </c>
      <c r="B120" s="12" t="s">
        <v>1366</v>
      </c>
      <c r="C120" s="12">
        <v>487.0</v>
      </c>
      <c r="D120" s="12" t="s">
        <v>1367</v>
      </c>
      <c r="E120" s="13" t="s">
        <v>1368</v>
      </c>
      <c r="F120" s="14">
        <v>42198.0</v>
      </c>
      <c r="G120" s="65">
        <v>42199.0</v>
      </c>
      <c r="H120" s="67">
        <v>42214.0</v>
      </c>
      <c r="I120" s="16">
        <v>42215.0</v>
      </c>
      <c r="J120" s="64" t="s">
        <v>1369</v>
      </c>
      <c r="K120" s="42"/>
      <c r="L120" s="42"/>
      <c r="M120" s="61"/>
    </row>
    <row r="121" ht="27.0" customHeight="1">
      <c r="A121" s="45">
        <v>28988.0</v>
      </c>
      <c r="B121" s="12" t="s">
        <v>21</v>
      </c>
      <c r="C121" s="12">
        <v>122.0</v>
      </c>
      <c r="D121" s="12" t="s">
        <v>1370</v>
      </c>
      <c r="E121" s="13" t="s">
        <v>1371</v>
      </c>
      <c r="F121" s="14">
        <v>42197.0</v>
      </c>
      <c r="G121" s="14">
        <v>42195.0</v>
      </c>
      <c r="H121" s="6" t="s">
        <v>1032</v>
      </c>
      <c r="I121" s="16">
        <v>42206.0</v>
      </c>
      <c r="J121" s="9" t="s">
        <v>1372</v>
      </c>
      <c r="K121" s="42" t="s">
        <v>497</v>
      </c>
      <c r="L121" s="42" t="s">
        <v>1048</v>
      </c>
      <c r="M121" s="61">
        <v>9376.6</v>
      </c>
    </row>
    <row r="122" ht="27.0" customHeight="1">
      <c r="A122" s="45">
        <v>29241.0</v>
      </c>
      <c r="B122" s="12" t="s">
        <v>21</v>
      </c>
      <c r="C122" s="12">
        <v>1130.0</v>
      </c>
      <c r="D122" s="12" t="s">
        <v>1373</v>
      </c>
      <c r="E122" s="13" t="s">
        <v>1031</v>
      </c>
      <c r="F122" s="14">
        <v>42194.0</v>
      </c>
      <c r="G122" s="14">
        <v>42192.0</v>
      </c>
      <c r="H122" s="6" t="s">
        <v>1032</v>
      </c>
      <c r="I122" s="16">
        <v>42206.0</v>
      </c>
      <c r="J122" s="77" t="s">
        <v>1374</v>
      </c>
      <c r="K122" s="42"/>
      <c r="L122" s="42"/>
      <c r="M122" s="61"/>
    </row>
    <row r="123" ht="27.0" customHeight="1">
      <c r="A123" s="45">
        <v>28957.0</v>
      </c>
      <c r="B123" s="12" t="s">
        <v>21</v>
      </c>
      <c r="C123" s="12">
        <v>1340.0</v>
      </c>
      <c r="D123" s="12" t="s">
        <v>1375</v>
      </c>
      <c r="E123" s="13" t="s">
        <v>1376</v>
      </c>
      <c r="F123" s="14">
        <v>42191.0</v>
      </c>
      <c r="G123" s="14">
        <v>42187.0</v>
      </c>
      <c r="H123" s="6" t="s">
        <v>1032</v>
      </c>
      <c r="I123" s="16">
        <v>42205.0</v>
      </c>
      <c r="J123" s="9" t="s">
        <v>1377</v>
      </c>
      <c r="K123" s="42"/>
      <c r="L123" s="42"/>
      <c r="M123" s="61"/>
    </row>
    <row r="124" ht="27.0" hidden="1" customHeight="1">
      <c r="A124" s="45">
        <v>28976.0</v>
      </c>
      <c r="B124" s="12" t="s">
        <v>25</v>
      </c>
      <c r="C124" s="12">
        <v>2227.0</v>
      </c>
      <c r="D124" s="12" t="s">
        <v>1378</v>
      </c>
      <c r="E124" s="13" t="s">
        <v>1379</v>
      </c>
      <c r="F124" s="14">
        <v>42191.0</v>
      </c>
      <c r="G124" s="14">
        <v>42187.0</v>
      </c>
      <c r="H124" s="6" t="s">
        <v>1032</v>
      </c>
      <c r="I124" s="16">
        <v>42194.0</v>
      </c>
      <c r="J124" s="9" t="s">
        <v>1380</v>
      </c>
      <c r="K124" s="42" t="s">
        <v>497</v>
      </c>
      <c r="L124" s="42" t="s">
        <v>1052</v>
      </c>
      <c r="M124" s="61">
        <v>29482.78</v>
      </c>
    </row>
    <row r="125" ht="27.0" hidden="1" customHeight="1">
      <c r="A125" s="45">
        <v>28975.0</v>
      </c>
      <c r="B125" s="12" t="s">
        <v>14</v>
      </c>
      <c r="C125" s="12">
        <v>2227.0</v>
      </c>
      <c r="D125" s="12" t="s">
        <v>1381</v>
      </c>
      <c r="E125" s="13" t="s">
        <v>1382</v>
      </c>
      <c r="F125" s="14">
        <v>42191.0</v>
      </c>
      <c r="G125" s="14">
        <v>42191.0</v>
      </c>
      <c r="H125" s="6" t="s">
        <v>1032</v>
      </c>
      <c r="I125" s="16">
        <v>42194.0</v>
      </c>
      <c r="J125" s="9" t="s">
        <v>1383</v>
      </c>
      <c r="K125" s="42" t="s">
        <v>497</v>
      </c>
      <c r="L125" s="42" t="s">
        <v>1052</v>
      </c>
      <c r="M125" s="61">
        <v>29262.78</v>
      </c>
    </row>
    <row r="126" ht="27.0" customHeight="1">
      <c r="A126" s="45" t="s">
        <v>1384</v>
      </c>
      <c r="B126" s="12" t="s">
        <v>21</v>
      </c>
      <c r="C126" s="12">
        <v>1830.0</v>
      </c>
      <c r="D126" s="12" t="s">
        <v>1385</v>
      </c>
      <c r="E126" s="13" t="s">
        <v>1386</v>
      </c>
      <c r="F126" s="14">
        <v>42190.0</v>
      </c>
      <c r="G126" s="14">
        <v>42191.0</v>
      </c>
      <c r="H126" s="6" t="s">
        <v>1032</v>
      </c>
      <c r="I126" s="16">
        <v>42195.0</v>
      </c>
      <c r="J126" s="64" t="s">
        <v>1387</v>
      </c>
      <c r="K126" s="42" t="s">
        <v>497</v>
      </c>
      <c r="L126" s="42" t="s">
        <v>1048</v>
      </c>
      <c r="M126" s="61">
        <v>570305.61</v>
      </c>
    </row>
    <row r="127" ht="27.0" customHeight="1">
      <c r="A127" s="45">
        <v>29060.0</v>
      </c>
      <c r="B127" s="12" t="s">
        <v>21</v>
      </c>
      <c r="C127" s="12">
        <v>929.0</v>
      </c>
      <c r="D127" s="12" t="s">
        <v>1388</v>
      </c>
      <c r="E127" s="13" t="s">
        <v>1368</v>
      </c>
      <c r="F127" s="14">
        <v>42190.0</v>
      </c>
      <c r="G127" s="14">
        <v>42186.0</v>
      </c>
      <c r="H127" s="6" t="s">
        <v>1032</v>
      </c>
      <c r="I127" s="16">
        <v>42198.0</v>
      </c>
      <c r="J127" s="64" t="s">
        <v>1389</v>
      </c>
      <c r="K127" s="42"/>
      <c r="L127" s="42"/>
      <c r="M127" s="61"/>
    </row>
    <row r="128" ht="27.0" customHeight="1">
      <c r="A128" s="45" t="s">
        <v>1390</v>
      </c>
      <c r="B128" s="12" t="s">
        <v>21</v>
      </c>
      <c r="C128" s="12">
        <v>1084.0</v>
      </c>
      <c r="D128" s="12" t="s">
        <v>1391</v>
      </c>
      <c r="E128" s="13" t="s">
        <v>1392</v>
      </c>
      <c r="F128" s="14">
        <v>42190.0</v>
      </c>
      <c r="G128" s="1" t="s">
        <v>28</v>
      </c>
      <c r="H128" s="6" t="s">
        <v>1032</v>
      </c>
      <c r="I128" s="16">
        <v>42199.0</v>
      </c>
      <c r="J128" s="64" t="s">
        <v>1393</v>
      </c>
      <c r="K128" s="42"/>
      <c r="L128" s="42"/>
      <c r="M128" s="61"/>
    </row>
    <row r="129" ht="27.0" customHeight="1">
      <c r="A129" s="45">
        <v>29184.0</v>
      </c>
      <c r="B129" s="12" t="s">
        <v>21</v>
      </c>
      <c r="C129" s="12">
        <v>800.0</v>
      </c>
      <c r="D129" s="12" t="s">
        <v>1394</v>
      </c>
      <c r="E129" s="13" t="s">
        <v>1395</v>
      </c>
      <c r="F129" s="14">
        <v>42185.0</v>
      </c>
      <c r="G129" s="14">
        <v>42186.0</v>
      </c>
      <c r="H129" s="6" t="s">
        <v>1032</v>
      </c>
      <c r="I129" s="16">
        <v>42198.0</v>
      </c>
      <c r="J129" s="64" t="s">
        <v>1396</v>
      </c>
      <c r="K129" s="42"/>
      <c r="L129" s="42"/>
      <c r="M129" s="61"/>
    </row>
    <row r="130" ht="27.0" hidden="1" customHeight="1">
      <c r="A130" s="45">
        <v>29131.0</v>
      </c>
      <c r="B130" s="12" t="s">
        <v>14</v>
      </c>
      <c r="C130" s="12">
        <v>1300.0</v>
      </c>
      <c r="D130" s="12" t="s">
        <v>1397</v>
      </c>
      <c r="E130" s="13" t="s">
        <v>1398</v>
      </c>
      <c r="F130" s="14">
        <v>42185.0</v>
      </c>
      <c r="G130" s="14">
        <v>42184.0</v>
      </c>
      <c r="H130" s="6" t="s">
        <v>1032</v>
      </c>
      <c r="I130" s="16">
        <v>42191.0</v>
      </c>
      <c r="J130" s="17" t="s">
        <v>1399</v>
      </c>
      <c r="K130" s="42"/>
      <c r="L130" s="42"/>
      <c r="M130" s="61"/>
    </row>
    <row r="131" ht="27.0" customHeight="1">
      <c r="A131" s="45">
        <v>29185.0</v>
      </c>
      <c r="B131" s="12" t="s">
        <v>21</v>
      </c>
      <c r="C131" s="12">
        <v>930.0</v>
      </c>
      <c r="D131" s="6" t="s">
        <v>1400</v>
      </c>
      <c r="E131" s="13" t="s">
        <v>1401</v>
      </c>
      <c r="F131" s="14">
        <v>42184.0</v>
      </c>
      <c r="G131" s="14">
        <v>42181.0</v>
      </c>
      <c r="H131" s="6" t="s">
        <v>1032</v>
      </c>
      <c r="I131" s="16">
        <v>42193.0</v>
      </c>
      <c r="J131" s="64" t="s">
        <v>1402</v>
      </c>
      <c r="K131" s="42"/>
      <c r="L131" s="42"/>
      <c r="M131" s="61"/>
    </row>
    <row r="132" ht="27.0" hidden="1" customHeight="1">
      <c r="A132" s="45">
        <v>28973.0</v>
      </c>
      <c r="B132" s="12" t="s">
        <v>14</v>
      </c>
      <c r="C132" s="12">
        <v>1000.0</v>
      </c>
      <c r="D132" s="6" t="s">
        <v>1403</v>
      </c>
      <c r="E132" s="13" t="s">
        <v>1404</v>
      </c>
      <c r="F132" s="14">
        <v>42184.0</v>
      </c>
      <c r="G132" s="14">
        <v>42184.0</v>
      </c>
      <c r="H132" s="6" t="s">
        <v>1032</v>
      </c>
      <c r="I132" s="16">
        <v>42192.0</v>
      </c>
      <c r="J132" s="9" t="s">
        <v>1405</v>
      </c>
      <c r="K132" s="42" t="s">
        <v>497</v>
      </c>
      <c r="L132" s="42" t="s">
        <v>1406</v>
      </c>
      <c r="M132" s="61">
        <v>39620.0</v>
      </c>
    </row>
    <row r="133" ht="27.0" customHeight="1">
      <c r="A133" s="45" t="s">
        <v>1407</v>
      </c>
      <c r="B133" s="12" t="s">
        <v>21</v>
      </c>
      <c r="C133" s="12">
        <v>69.0</v>
      </c>
      <c r="D133" s="6" t="s">
        <v>1408</v>
      </c>
      <c r="E133" s="13" t="s">
        <v>1409</v>
      </c>
      <c r="F133" s="14">
        <v>42183.0</v>
      </c>
      <c r="G133" s="14">
        <v>42184.0</v>
      </c>
      <c r="H133" s="6" t="s">
        <v>1032</v>
      </c>
      <c r="I133" s="16">
        <v>42193.0</v>
      </c>
      <c r="J133" s="9" t="s">
        <v>1410</v>
      </c>
      <c r="K133" s="42" t="s">
        <v>497</v>
      </c>
      <c r="L133" s="42" t="s">
        <v>1048</v>
      </c>
      <c r="M133" s="61">
        <v>4083.0</v>
      </c>
    </row>
    <row r="134" ht="27.0" customHeight="1">
      <c r="A134" s="45">
        <v>29186.0</v>
      </c>
      <c r="B134" s="12" t="s">
        <v>21</v>
      </c>
      <c r="C134" s="12">
        <v>1251.0</v>
      </c>
      <c r="D134" s="6" t="s">
        <v>1411</v>
      </c>
      <c r="E134" s="13" t="s">
        <v>1412</v>
      </c>
      <c r="F134" s="14">
        <v>42183.0</v>
      </c>
      <c r="G134" s="65">
        <v>42186.0</v>
      </c>
      <c r="H134" s="6" t="s">
        <v>1032</v>
      </c>
      <c r="I134" s="67">
        <v>42194.0</v>
      </c>
      <c r="J134" s="64" t="s">
        <v>1413</v>
      </c>
      <c r="K134" s="42"/>
      <c r="L134" s="42"/>
      <c r="M134" s="61"/>
    </row>
    <row r="135" ht="27.0" hidden="1" customHeight="1">
      <c r="A135" s="45">
        <v>29087.0</v>
      </c>
      <c r="B135" s="12" t="s">
        <v>14</v>
      </c>
      <c r="C135" s="12">
        <v>225.0</v>
      </c>
      <c r="D135" s="6" t="s">
        <v>1414</v>
      </c>
      <c r="E135" s="13" t="s">
        <v>1415</v>
      </c>
      <c r="F135" s="14">
        <v>42179.0</v>
      </c>
      <c r="G135" s="14">
        <v>42179.0</v>
      </c>
      <c r="H135" s="6" t="s">
        <v>1032</v>
      </c>
      <c r="I135" s="16">
        <v>42180.0</v>
      </c>
      <c r="J135" s="9" t="s">
        <v>1416</v>
      </c>
      <c r="K135" s="42"/>
      <c r="L135" s="42"/>
      <c r="M135" s="61"/>
    </row>
    <row r="136" ht="27.0" hidden="1" customHeight="1">
      <c r="A136" s="45">
        <v>29115.0</v>
      </c>
      <c r="B136" s="12" t="s">
        <v>14</v>
      </c>
      <c r="C136" s="12">
        <v>1300.0</v>
      </c>
      <c r="D136" s="6" t="s">
        <v>1417</v>
      </c>
      <c r="E136" s="13" t="s">
        <v>1418</v>
      </c>
      <c r="F136" s="14">
        <v>42177.0</v>
      </c>
      <c r="G136" s="14">
        <v>42177.0</v>
      </c>
      <c r="H136" s="6" t="s">
        <v>1032</v>
      </c>
      <c r="I136" s="16">
        <v>42184.0</v>
      </c>
      <c r="J136" s="9" t="s">
        <v>1419</v>
      </c>
      <c r="K136" s="42"/>
      <c r="L136" s="42"/>
      <c r="M136" s="61"/>
    </row>
    <row r="137" ht="27.0" hidden="1" customHeight="1">
      <c r="A137" s="45">
        <v>29088.0</v>
      </c>
      <c r="B137" s="12" t="s">
        <v>14</v>
      </c>
      <c r="C137" s="12">
        <v>1300.0</v>
      </c>
      <c r="D137" s="6" t="s">
        <v>1420</v>
      </c>
      <c r="E137" s="13" t="s">
        <v>1418</v>
      </c>
      <c r="F137" s="14">
        <v>42171.0</v>
      </c>
      <c r="G137" s="14">
        <v>42171.0</v>
      </c>
      <c r="H137" s="6" t="s">
        <v>1032</v>
      </c>
      <c r="I137" s="16">
        <v>42177.0</v>
      </c>
      <c r="J137" s="9" t="s">
        <v>1421</v>
      </c>
      <c r="K137" s="42"/>
      <c r="L137" s="42"/>
      <c r="M137" s="61"/>
    </row>
    <row r="138" ht="27.0" hidden="1" customHeight="1">
      <c r="A138" s="45">
        <v>29116.0</v>
      </c>
      <c r="B138" s="12" t="s">
        <v>14</v>
      </c>
      <c r="C138" s="12">
        <v>1015.0</v>
      </c>
      <c r="D138" s="6" t="s">
        <v>1422</v>
      </c>
      <c r="E138" s="19" t="s">
        <v>1423</v>
      </c>
      <c r="F138" s="14">
        <v>42171.0</v>
      </c>
      <c r="G138" s="14">
        <v>42171.0</v>
      </c>
      <c r="H138" s="6" t="s">
        <v>1032</v>
      </c>
      <c r="I138" s="16">
        <v>42178.0</v>
      </c>
      <c r="J138" s="9" t="s">
        <v>1424</v>
      </c>
      <c r="K138" s="42"/>
      <c r="L138" s="42"/>
      <c r="M138" s="61"/>
    </row>
    <row r="139" ht="27.0" hidden="1" customHeight="1">
      <c r="A139" s="45">
        <v>29114.0</v>
      </c>
      <c r="B139" s="12" t="s">
        <v>14</v>
      </c>
      <c r="C139" s="12">
        <v>2500.0</v>
      </c>
      <c r="D139" s="6" t="s">
        <v>1425</v>
      </c>
      <c r="E139" s="13" t="s">
        <v>1426</v>
      </c>
      <c r="F139" s="14">
        <v>42171.0</v>
      </c>
      <c r="G139" s="14">
        <v>42171.0</v>
      </c>
      <c r="H139" s="6" t="s">
        <v>1032</v>
      </c>
      <c r="I139" s="16">
        <v>42174.0</v>
      </c>
      <c r="J139" s="9" t="s">
        <v>1427</v>
      </c>
      <c r="K139" s="42"/>
      <c r="L139" s="42"/>
      <c r="M139" s="61"/>
    </row>
    <row r="140" ht="27.0" hidden="1" customHeight="1">
      <c r="A140" s="45">
        <v>29130.0</v>
      </c>
      <c r="B140" s="12" t="s">
        <v>25</v>
      </c>
      <c r="C140" s="12">
        <v>2500.0</v>
      </c>
      <c r="D140" s="6" t="s">
        <v>1428</v>
      </c>
      <c r="E140" s="13" t="s">
        <v>1426</v>
      </c>
      <c r="F140" s="14">
        <v>42169.0</v>
      </c>
      <c r="G140" s="14">
        <v>42166.0</v>
      </c>
      <c r="H140" s="6" t="s">
        <v>1032</v>
      </c>
      <c r="I140" s="16">
        <v>42172.0</v>
      </c>
      <c r="J140" s="9" t="s">
        <v>1429</v>
      </c>
      <c r="K140" s="42"/>
      <c r="L140" s="42"/>
      <c r="M140" s="61"/>
    </row>
    <row r="141" ht="27.0" hidden="1" customHeight="1">
      <c r="A141" s="45">
        <v>28961.0</v>
      </c>
      <c r="B141" s="12" t="s">
        <v>14</v>
      </c>
      <c r="C141" s="12">
        <v>1700.0</v>
      </c>
      <c r="D141" s="6" t="s">
        <v>1430</v>
      </c>
      <c r="E141" s="13" t="s">
        <v>1431</v>
      </c>
      <c r="F141" s="14">
        <v>42168.0</v>
      </c>
      <c r="G141" s="14">
        <v>42165.0</v>
      </c>
      <c r="H141" s="6" t="s">
        <v>1032</v>
      </c>
      <c r="I141" s="16">
        <v>42177.0</v>
      </c>
      <c r="J141" s="64" t="s">
        <v>1432</v>
      </c>
      <c r="K141" s="42"/>
      <c r="L141" s="42"/>
      <c r="M141" s="61"/>
    </row>
    <row r="142" ht="27.0" customHeight="1">
      <c r="A142" s="45">
        <v>28834.0</v>
      </c>
      <c r="B142" s="12" t="s">
        <v>21</v>
      </c>
      <c r="C142" s="12">
        <v>900.0</v>
      </c>
      <c r="D142" s="6" t="s">
        <v>1433</v>
      </c>
      <c r="E142" s="13" t="s">
        <v>1335</v>
      </c>
      <c r="F142" s="14">
        <v>42168.0</v>
      </c>
      <c r="G142" s="14">
        <v>42156.0</v>
      </c>
      <c r="H142" s="6" t="s">
        <v>1032</v>
      </c>
      <c r="I142" s="16">
        <v>42173.0</v>
      </c>
      <c r="J142" s="64" t="s">
        <v>1434</v>
      </c>
      <c r="K142" s="42"/>
      <c r="L142" s="42"/>
      <c r="M142" s="61"/>
    </row>
    <row r="143" ht="27.0" customHeight="1">
      <c r="A143" s="80" t="s">
        <v>1435</v>
      </c>
      <c r="B143" s="12" t="s">
        <v>21</v>
      </c>
      <c r="C143" s="12">
        <v>335.0</v>
      </c>
      <c r="D143" s="6" t="s">
        <v>1436</v>
      </c>
      <c r="E143" s="13" t="s">
        <v>1437</v>
      </c>
      <c r="F143" s="14">
        <v>42167.0</v>
      </c>
      <c r="G143" s="1" t="s">
        <v>28</v>
      </c>
      <c r="H143" s="6" t="s">
        <v>1032</v>
      </c>
      <c r="I143" s="16">
        <v>42179.0</v>
      </c>
      <c r="J143" s="9" t="s">
        <v>1438</v>
      </c>
      <c r="K143" s="42" t="s">
        <v>497</v>
      </c>
      <c r="L143" s="42" t="s">
        <v>1048</v>
      </c>
      <c r="M143" s="61">
        <v>27912.29</v>
      </c>
    </row>
    <row r="144" ht="27.0" hidden="1" customHeight="1">
      <c r="A144" s="45">
        <v>29063.0</v>
      </c>
      <c r="B144" s="12" t="s">
        <v>25</v>
      </c>
      <c r="C144" s="12">
        <v>149.0</v>
      </c>
      <c r="D144" s="6" t="s">
        <v>1439</v>
      </c>
      <c r="E144" s="13" t="s">
        <v>1440</v>
      </c>
      <c r="F144" s="14">
        <v>42166.0</v>
      </c>
      <c r="G144" s="1" t="s">
        <v>28</v>
      </c>
      <c r="H144" s="6" t="s">
        <v>1032</v>
      </c>
      <c r="I144" s="16">
        <v>42172.0</v>
      </c>
      <c r="J144" s="81" t="s">
        <v>1441</v>
      </c>
      <c r="K144" s="42" t="s">
        <v>497</v>
      </c>
      <c r="L144" s="42" t="s">
        <v>1442</v>
      </c>
      <c r="M144" s="61">
        <v>34648.0</v>
      </c>
    </row>
    <row r="145" ht="27.0" customHeight="1">
      <c r="A145" s="45">
        <v>28858.0</v>
      </c>
      <c r="B145" s="12" t="s">
        <v>21</v>
      </c>
      <c r="C145" s="12">
        <v>2227.0</v>
      </c>
      <c r="D145" s="6" t="s">
        <v>1443</v>
      </c>
      <c r="E145" s="13" t="s">
        <v>1344</v>
      </c>
      <c r="F145" s="14">
        <v>42164.0</v>
      </c>
      <c r="G145" s="14">
        <v>42159.0</v>
      </c>
      <c r="H145" s="6" t="s">
        <v>1032</v>
      </c>
      <c r="I145" s="16">
        <v>42171.0</v>
      </c>
      <c r="J145" s="64" t="s">
        <v>1444</v>
      </c>
      <c r="K145" s="42" t="s">
        <v>497</v>
      </c>
      <c r="L145" s="42" t="s">
        <v>1052</v>
      </c>
      <c r="M145" s="61">
        <v>29262.78</v>
      </c>
    </row>
    <row r="146" ht="27.0" customHeight="1">
      <c r="A146" s="45" t="s">
        <v>1445</v>
      </c>
      <c r="B146" s="12" t="s">
        <v>21</v>
      </c>
      <c r="C146" s="12">
        <v>658.0</v>
      </c>
      <c r="D146" s="6" t="s">
        <v>1446</v>
      </c>
      <c r="E146" s="13" t="s">
        <v>1447</v>
      </c>
      <c r="F146" s="14">
        <v>42163.0</v>
      </c>
      <c r="G146" s="14">
        <v>42163.0</v>
      </c>
      <c r="H146" s="6" t="s">
        <v>1032</v>
      </c>
      <c r="I146" s="16">
        <v>42172.0</v>
      </c>
      <c r="J146" s="9" t="s">
        <v>1448</v>
      </c>
      <c r="K146" s="42"/>
      <c r="L146" s="42"/>
      <c r="M146" s="61"/>
    </row>
    <row r="147" ht="27.0" hidden="1" customHeight="1">
      <c r="A147" s="45">
        <v>29083.0</v>
      </c>
      <c r="B147" s="12" t="s">
        <v>14</v>
      </c>
      <c r="C147" s="12">
        <v>1285.0</v>
      </c>
      <c r="D147" s="6" t="s">
        <v>1449</v>
      </c>
      <c r="E147" s="13" t="s">
        <v>1450</v>
      </c>
      <c r="F147" s="14">
        <v>42163.0</v>
      </c>
      <c r="G147" s="14">
        <v>42163.0</v>
      </c>
      <c r="H147" s="6" t="s">
        <v>1032</v>
      </c>
      <c r="I147" s="16">
        <v>42164.0</v>
      </c>
      <c r="J147" s="9" t="s">
        <v>1451</v>
      </c>
      <c r="K147" s="42"/>
      <c r="L147" s="42"/>
      <c r="M147" s="61"/>
    </row>
    <row r="148" ht="27.0" hidden="1" customHeight="1">
      <c r="A148" s="45">
        <v>28857.0</v>
      </c>
      <c r="B148" s="12" t="s">
        <v>14</v>
      </c>
      <c r="C148" s="12">
        <v>2227.0</v>
      </c>
      <c r="D148" s="6" t="s">
        <v>1452</v>
      </c>
      <c r="E148" s="13" t="s">
        <v>16</v>
      </c>
      <c r="F148" s="14">
        <v>42156.0</v>
      </c>
      <c r="G148" s="14">
        <v>42156.0</v>
      </c>
      <c r="H148" s="6" t="s">
        <v>1032</v>
      </c>
      <c r="I148" s="16">
        <v>42163.0</v>
      </c>
      <c r="J148" s="9" t="s">
        <v>1453</v>
      </c>
      <c r="K148" s="42" t="s">
        <v>497</v>
      </c>
      <c r="L148" s="42" t="s">
        <v>1052</v>
      </c>
      <c r="M148" s="61">
        <v>29262.78</v>
      </c>
    </row>
    <row r="149" ht="27.0" hidden="1" customHeight="1">
      <c r="A149" s="45">
        <v>28855.0</v>
      </c>
      <c r="B149" s="12" t="s">
        <v>14</v>
      </c>
      <c r="C149" s="12">
        <v>2227.0</v>
      </c>
      <c r="D149" s="6" t="s">
        <v>1454</v>
      </c>
      <c r="E149" s="13" t="s">
        <v>1455</v>
      </c>
      <c r="F149" s="14">
        <v>42156.0</v>
      </c>
      <c r="G149" s="14">
        <v>42156.0</v>
      </c>
      <c r="H149" s="6" t="s">
        <v>1032</v>
      </c>
      <c r="I149" s="16">
        <v>42160.0</v>
      </c>
      <c r="J149" s="9" t="s">
        <v>1456</v>
      </c>
      <c r="K149" s="42" t="s">
        <v>497</v>
      </c>
      <c r="L149" s="42" t="s">
        <v>1052</v>
      </c>
      <c r="M149" s="61">
        <v>29372.78</v>
      </c>
    </row>
    <row r="150" ht="27.0" customHeight="1">
      <c r="A150" s="45">
        <v>28480.0</v>
      </c>
      <c r="B150" s="12" t="s">
        <v>21</v>
      </c>
      <c r="C150" s="12">
        <v>1030.0</v>
      </c>
      <c r="D150" s="6" t="s">
        <v>1457</v>
      </c>
      <c r="E150" s="13" t="s">
        <v>1458</v>
      </c>
      <c r="F150" s="14">
        <v>42154.0</v>
      </c>
      <c r="G150" s="14">
        <v>42150.0</v>
      </c>
      <c r="H150" s="6" t="s">
        <v>1032</v>
      </c>
      <c r="I150" s="16">
        <v>42177.0</v>
      </c>
      <c r="J150" s="64" t="s">
        <v>1459</v>
      </c>
      <c r="K150" s="42" t="s">
        <v>497</v>
      </c>
      <c r="L150" s="42" t="s">
        <v>1460</v>
      </c>
      <c r="M150" s="61">
        <v>41638.0</v>
      </c>
    </row>
    <row r="151" ht="27.0" hidden="1" customHeight="1">
      <c r="A151" s="45">
        <v>29032.0</v>
      </c>
      <c r="B151" s="12" t="s">
        <v>14</v>
      </c>
      <c r="C151" s="12">
        <v>1249.0</v>
      </c>
      <c r="D151" s="6" t="s">
        <v>1461</v>
      </c>
      <c r="E151" s="19" t="s">
        <v>1462</v>
      </c>
      <c r="F151" s="14">
        <v>42150.0</v>
      </c>
      <c r="G151" s="14">
        <v>42149.0</v>
      </c>
      <c r="H151" s="6" t="s">
        <v>1032</v>
      </c>
      <c r="I151" s="16">
        <v>42156.0</v>
      </c>
      <c r="J151" s="9" t="s">
        <v>1463</v>
      </c>
      <c r="K151" s="42"/>
      <c r="L151" s="42"/>
      <c r="M151" s="61"/>
    </row>
    <row r="152" ht="27.0" hidden="1" customHeight="1">
      <c r="A152" s="45">
        <v>29031.0</v>
      </c>
      <c r="B152" s="12" t="s">
        <v>14</v>
      </c>
      <c r="C152" s="12">
        <v>930.0</v>
      </c>
      <c r="D152" s="6" t="s">
        <v>1464</v>
      </c>
      <c r="E152" s="13" t="s">
        <v>1465</v>
      </c>
      <c r="F152" s="14">
        <v>42150.0</v>
      </c>
      <c r="G152" s="14">
        <v>42150.0</v>
      </c>
      <c r="H152" s="6" t="s">
        <v>1032</v>
      </c>
      <c r="I152" s="16">
        <v>42157.0</v>
      </c>
      <c r="J152" s="9" t="s">
        <v>1466</v>
      </c>
      <c r="K152" s="42"/>
      <c r="L152" s="9"/>
      <c r="M152" s="9"/>
    </row>
    <row r="153" ht="27.0" hidden="1" customHeight="1">
      <c r="A153" s="45">
        <v>29050.0</v>
      </c>
      <c r="B153" s="12" t="s">
        <v>14</v>
      </c>
      <c r="C153" s="12">
        <v>930.0</v>
      </c>
      <c r="D153" s="6" t="s">
        <v>1467</v>
      </c>
      <c r="E153" s="13" t="s">
        <v>1468</v>
      </c>
      <c r="F153" s="14">
        <v>42149.0</v>
      </c>
      <c r="G153" s="65">
        <v>42158.0</v>
      </c>
      <c r="H153" s="6" t="s">
        <v>1032</v>
      </c>
      <c r="I153" s="16">
        <v>42160.0</v>
      </c>
      <c r="J153" s="9" t="s">
        <v>1469</v>
      </c>
      <c r="K153" s="42"/>
      <c r="L153" s="42"/>
      <c r="M153" s="82"/>
    </row>
    <row r="154" ht="27.0" hidden="1" customHeight="1">
      <c r="A154" s="45">
        <v>28853.0</v>
      </c>
      <c r="B154" s="12" t="s">
        <v>14</v>
      </c>
      <c r="C154" s="12">
        <v>2227.0</v>
      </c>
      <c r="D154" s="6" t="s">
        <v>1470</v>
      </c>
      <c r="E154" s="13" t="s">
        <v>1471</v>
      </c>
      <c r="F154" s="14">
        <v>42149.0</v>
      </c>
      <c r="G154" s="14">
        <v>42147.0</v>
      </c>
      <c r="H154" s="6" t="s">
        <v>1032</v>
      </c>
      <c r="I154" s="16">
        <v>42157.0</v>
      </c>
      <c r="J154" s="9" t="s">
        <v>1472</v>
      </c>
      <c r="K154" s="42" t="s">
        <v>497</v>
      </c>
      <c r="L154" s="42" t="s">
        <v>1052</v>
      </c>
      <c r="M154" s="82">
        <v>29372.78</v>
      </c>
    </row>
    <row r="155" ht="27.0" customHeight="1">
      <c r="A155" s="45">
        <v>28898.0</v>
      </c>
      <c r="B155" s="12" t="s">
        <v>21</v>
      </c>
      <c r="C155" s="12">
        <v>660.0</v>
      </c>
      <c r="D155" s="6" t="s">
        <v>1473</v>
      </c>
      <c r="E155" s="13" t="s">
        <v>1474</v>
      </c>
      <c r="F155" s="14">
        <v>42149.0</v>
      </c>
      <c r="G155" s="14">
        <v>42145.0</v>
      </c>
      <c r="H155" s="6" t="s">
        <v>1032</v>
      </c>
      <c r="I155" s="16">
        <v>42158.0</v>
      </c>
      <c r="J155" s="9" t="s">
        <v>1475</v>
      </c>
      <c r="K155" s="42" t="s">
        <v>497</v>
      </c>
      <c r="L155" s="42" t="s">
        <v>1077</v>
      </c>
      <c r="M155" s="82">
        <v>52985.58</v>
      </c>
    </row>
    <row r="156" ht="27.0" hidden="1" customHeight="1">
      <c r="A156" s="45">
        <v>29081.0</v>
      </c>
      <c r="B156" s="12" t="s">
        <v>25</v>
      </c>
      <c r="C156" s="12">
        <v>1139.0</v>
      </c>
      <c r="D156" s="6" t="s">
        <v>1476</v>
      </c>
      <c r="E156" s="19" t="s">
        <v>1477</v>
      </c>
      <c r="F156" s="14">
        <v>42146.0</v>
      </c>
      <c r="G156" s="14">
        <v>42143.0</v>
      </c>
      <c r="H156" s="6" t="s">
        <v>1032</v>
      </c>
      <c r="I156" s="16">
        <v>42152.0</v>
      </c>
      <c r="J156" s="9" t="s">
        <v>1478</v>
      </c>
      <c r="K156" s="42"/>
      <c r="L156" s="42"/>
      <c r="M156" s="82"/>
    </row>
    <row r="157" ht="27.0" hidden="1" customHeight="1">
      <c r="A157" s="45">
        <v>29001.0</v>
      </c>
      <c r="B157" s="12" t="s">
        <v>14</v>
      </c>
      <c r="C157" s="12">
        <v>1110.0</v>
      </c>
      <c r="D157" s="6" t="s">
        <v>1479</v>
      </c>
      <c r="E157" s="13" t="s">
        <v>1480</v>
      </c>
      <c r="F157" s="14">
        <v>42144.0</v>
      </c>
      <c r="G157" s="14">
        <v>42143.0</v>
      </c>
      <c r="H157" s="6" t="s">
        <v>1032</v>
      </c>
      <c r="I157" s="16">
        <v>42153.0</v>
      </c>
      <c r="J157" s="9" t="s">
        <v>1481</v>
      </c>
      <c r="K157" s="42"/>
      <c r="L157" s="42"/>
      <c r="M157" s="82"/>
    </row>
    <row r="158" ht="27.0" hidden="1" customHeight="1">
      <c r="A158" s="45">
        <v>28854.0</v>
      </c>
      <c r="B158" s="12" t="s">
        <v>25</v>
      </c>
      <c r="C158" s="12">
        <v>2227.0</v>
      </c>
      <c r="D158" s="6" t="s">
        <v>1482</v>
      </c>
      <c r="E158" s="13" t="s">
        <v>1471</v>
      </c>
      <c r="F158" s="14">
        <v>42144.0</v>
      </c>
      <c r="G158" s="14">
        <v>42142.0</v>
      </c>
      <c r="H158" s="6" t="s">
        <v>1032</v>
      </c>
      <c r="I158" s="16">
        <v>42152.0</v>
      </c>
      <c r="J158" s="9" t="s">
        <v>1483</v>
      </c>
      <c r="K158" s="42" t="s">
        <v>497</v>
      </c>
      <c r="L158" s="42" t="s">
        <v>1052</v>
      </c>
      <c r="M158" s="82">
        <v>29372.78</v>
      </c>
    </row>
    <row r="159" ht="27.0" hidden="1" customHeight="1">
      <c r="A159" s="45">
        <v>28438.0</v>
      </c>
      <c r="B159" s="12" t="s">
        <v>14</v>
      </c>
      <c r="C159" s="12">
        <v>2227.0</v>
      </c>
      <c r="D159" s="6" t="s">
        <v>1484</v>
      </c>
      <c r="E159" s="13" t="s">
        <v>1382</v>
      </c>
      <c r="F159" s="14">
        <v>42142.0</v>
      </c>
      <c r="G159" s="14">
        <v>42143.0</v>
      </c>
      <c r="H159" s="6" t="s">
        <v>1032</v>
      </c>
      <c r="I159" s="16">
        <v>42146.0</v>
      </c>
      <c r="J159" s="9" t="s">
        <v>1485</v>
      </c>
      <c r="K159" s="42" t="s">
        <v>497</v>
      </c>
      <c r="L159" s="42" t="s">
        <v>1052</v>
      </c>
      <c r="M159" s="82">
        <v>29262.78</v>
      </c>
    </row>
    <row r="160" ht="27.0" hidden="1" customHeight="1">
      <c r="A160" s="45">
        <v>29082.0</v>
      </c>
      <c r="B160" s="12" t="s">
        <v>25</v>
      </c>
      <c r="C160" s="12">
        <v>930.0</v>
      </c>
      <c r="D160" s="6" t="s">
        <v>1486</v>
      </c>
      <c r="E160" s="13" t="s">
        <v>1468</v>
      </c>
      <c r="F160" s="14">
        <v>42141.0</v>
      </c>
      <c r="G160" s="14">
        <v>42142.0</v>
      </c>
      <c r="H160" s="6" t="s">
        <v>1032</v>
      </c>
      <c r="I160" s="16">
        <v>42151.0</v>
      </c>
      <c r="J160" s="9" t="s">
        <v>1487</v>
      </c>
      <c r="K160" s="42"/>
      <c r="L160" s="42"/>
      <c r="M160" s="82"/>
    </row>
    <row r="161" ht="27.0" hidden="1" customHeight="1">
      <c r="A161" s="45">
        <v>28835.0</v>
      </c>
      <c r="B161" s="12" t="s">
        <v>14</v>
      </c>
      <c r="C161" s="12">
        <v>900.0</v>
      </c>
      <c r="D161" s="6" t="s">
        <v>1488</v>
      </c>
      <c r="E161" s="13" t="s">
        <v>1097</v>
      </c>
      <c r="F161" s="14">
        <v>42140.0</v>
      </c>
      <c r="G161" s="14">
        <v>42143.0</v>
      </c>
      <c r="H161" s="6" t="s">
        <v>1032</v>
      </c>
      <c r="I161" s="16">
        <v>42145.0</v>
      </c>
      <c r="J161" s="9" t="s">
        <v>1489</v>
      </c>
      <c r="K161" s="42"/>
      <c r="L161" s="9"/>
      <c r="M161" s="9"/>
    </row>
    <row r="162" ht="27.0" customHeight="1">
      <c r="A162" s="45">
        <v>28902.0</v>
      </c>
      <c r="B162" s="12" t="s">
        <v>21</v>
      </c>
      <c r="C162" s="12">
        <v>980.0</v>
      </c>
      <c r="D162" s="6" t="s">
        <v>1490</v>
      </c>
      <c r="E162" s="13" t="s">
        <v>122</v>
      </c>
      <c r="F162" s="14">
        <v>42137.0</v>
      </c>
      <c r="G162" s="14">
        <v>42135.0</v>
      </c>
      <c r="H162" s="6" t="s">
        <v>1032</v>
      </c>
      <c r="I162" s="16">
        <v>42143.0</v>
      </c>
      <c r="J162" s="64" t="s">
        <v>1491</v>
      </c>
      <c r="K162" s="42"/>
      <c r="L162" s="42"/>
      <c r="M162" s="82"/>
    </row>
    <row r="163" ht="27.0" hidden="1" customHeight="1">
      <c r="A163" s="45">
        <v>29000.0</v>
      </c>
      <c r="B163" s="12" t="s">
        <v>14</v>
      </c>
      <c r="C163" s="12">
        <v>944.0</v>
      </c>
      <c r="D163" s="6" t="s">
        <v>1492</v>
      </c>
      <c r="E163" s="13" t="s">
        <v>1493</v>
      </c>
      <c r="F163" s="14">
        <v>42136.0</v>
      </c>
      <c r="G163" s="14">
        <v>42139.0</v>
      </c>
      <c r="H163" s="6" t="s">
        <v>1032</v>
      </c>
      <c r="I163" s="16">
        <v>42142.0</v>
      </c>
      <c r="J163" s="9" t="s">
        <v>1494</v>
      </c>
      <c r="K163" s="42"/>
      <c r="L163" s="42"/>
      <c r="M163" s="82"/>
    </row>
    <row r="164" ht="27.0" customHeight="1">
      <c r="A164" s="45">
        <v>28440.0</v>
      </c>
      <c r="B164" s="12" t="s">
        <v>21</v>
      </c>
      <c r="C164" s="12">
        <v>2227.0</v>
      </c>
      <c r="D164" s="6" t="s">
        <v>1495</v>
      </c>
      <c r="E164" s="13" t="s">
        <v>1382</v>
      </c>
      <c r="F164" s="14">
        <v>42134.0</v>
      </c>
      <c r="G164" s="14">
        <v>42132.0</v>
      </c>
      <c r="H164" s="6" t="s">
        <v>1032</v>
      </c>
      <c r="I164" s="22">
        <v>42153.0</v>
      </c>
      <c r="J164" s="9" t="s">
        <v>1496</v>
      </c>
      <c r="K164" s="42" t="s">
        <v>497</v>
      </c>
      <c r="L164" s="42" t="s">
        <v>1052</v>
      </c>
      <c r="M164" s="82">
        <v>29262.78</v>
      </c>
    </row>
    <row r="165" ht="27.0" customHeight="1">
      <c r="A165" s="45">
        <v>29049.0</v>
      </c>
      <c r="B165" s="12" t="s">
        <v>21</v>
      </c>
      <c r="C165" s="12">
        <v>1450.0</v>
      </c>
      <c r="D165" s="6" t="s">
        <v>1497</v>
      </c>
      <c r="E165" s="13" t="s">
        <v>1498</v>
      </c>
      <c r="F165" s="14">
        <v>42132.0</v>
      </c>
      <c r="G165" s="14">
        <v>42131.0</v>
      </c>
      <c r="H165" s="6" t="s">
        <v>1032</v>
      </c>
      <c r="I165" s="16">
        <v>42144.0</v>
      </c>
      <c r="J165" s="9" t="s">
        <v>1499</v>
      </c>
      <c r="K165" s="42"/>
      <c r="L165" s="42"/>
      <c r="M165" s="82"/>
    </row>
    <row r="166" ht="27.0" customHeight="1">
      <c r="A166" s="83">
        <v>28951.0</v>
      </c>
      <c r="B166" s="84" t="s">
        <v>21</v>
      </c>
      <c r="C166" s="84">
        <v>700.0</v>
      </c>
      <c r="D166" s="84" t="s">
        <v>1500</v>
      </c>
      <c r="E166" s="5" t="s">
        <v>1501</v>
      </c>
      <c r="F166" s="85">
        <v>42124.0</v>
      </c>
      <c r="G166" s="86" t="s">
        <v>1502</v>
      </c>
      <c r="H166" s="84" t="s">
        <v>1032</v>
      </c>
      <c r="I166" s="60">
        <v>42132.0</v>
      </c>
      <c r="J166" s="87" t="s">
        <v>1503</v>
      </c>
      <c r="K166" s="83"/>
      <c r="L166" s="83"/>
      <c r="M166" s="88"/>
    </row>
    <row r="167" ht="27.0" hidden="1" customHeight="1">
      <c r="A167" s="45">
        <v>28996.0</v>
      </c>
      <c r="B167" s="12" t="s">
        <v>14</v>
      </c>
      <c r="C167" s="12">
        <v>930.0</v>
      </c>
      <c r="D167" s="6" t="s">
        <v>1504</v>
      </c>
      <c r="E167" s="13" t="s">
        <v>1505</v>
      </c>
      <c r="F167" s="14">
        <v>42123.0</v>
      </c>
      <c r="G167" s="14">
        <v>42124.0</v>
      </c>
      <c r="H167" s="6" t="s">
        <v>1032</v>
      </c>
      <c r="I167" s="16">
        <v>42128.0</v>
      </c>
      <c r="J167" s="9" t="s">
        <v>1506</v>
      </c>
      <c r="K167" s="42"/>
      <c r="L167" s="42"/>
      <c r="M167" s="82"/>
    </row>
    <row r="168" ht="27.0" hidden="1" customHeight="1">
      <c r="A168" s="45">
        <v>28868.0</v>
      </c>
      <c r="B168" s="12" t="s">
        <v>14</v>
      </c>
      <c r="C168" s="12">
        <v>505.0</v>
      </c>
      <c r="D168" s="6" t="s">
        <v>1507</v>
      </c>
      <c r="E168" s="13" t="s">
        <v>1508</v>
      </c>
      <c r="F168" s="14">
        <v>42116.0</v>
      </c>
      <c r="G168" s="14">
        <v>42118.0</v>
      </c>
      <c r="H168" s="6" t="s">
        <v>1032</v>
      </c>
      <c r="I168" s="16">
        <v>42123.0</v>
      </c>
      <c r="J168" s="9" t="s">
        <v>1509</v>
      </c>
      <c r="K168" s="42"/>
      <c r="L168" s="42"/>
      <c r="M168" s="82"/>
    </row>
    <row r="169" ht="27.0" hidden="1" customHeight="1">
      <c r="A169" s="45">
        <v>28959.0</v>
      </c>
      <c r="B169" s="12" t="s">
        <v>14</v>
      </c>
      <c r="C169" s="12">
        <v>1127.0</v>
      </c>
      <c r="D169" s="6" t="s">
        <v>1510</v>
      </c>
      <c r="E169" s="13" t="s">
        <v>1511</v>
      </c>
      <c r="F169" s="14">
        <v>42114.0</v>
      </c>
      <c r="G169" s="14">
        <v>42116.0</v>
      </c>
      <c r="H169" s="6" t="s">
        <v>1032</v>
      </c>
      <c r="I169" s="16">
        <v>42121.0</v>
      </c>
      <c r="J169" s="9" t="s">
        <v>1512</v>
      </c>
      <c r="K169" s="42"/>
      <c r="L169" s="42"/>
      <c r="M169" s="82"/>
    </row>
    <row r="170" ht="27.0" hidden="1" customHeight="1">
      <c r="A170" s="45">
        <v>28997.0</v>
      </c>
      <c r="B170" s="12" t="s">
        <v>21</v>
      </c>
      <c r="C170" s="12">
        <v>750.0</v>
      </c>
      <c r="D170" s="6" t="s">
        <v>1513</v>
      </c>
      <c r="E170" s="13" t="s">
        <v>1514</v>
      </c>
      <c r="F170" s="14">
        <v>42120.0</v>
      </c>
      <c r="G170" s="14">
        <v>42118.0</v>
      </c>
      <c r="H170" s="6" t="s">
        <v>1032</v>
      </c>
      <c r="I170" s="16">
        <v>42123.0</v>
      </c>
      <c r="J170" s="9" t="s">
        <v>1515</v>
      </c>
      <c r="K170" s="42"/>
      <c r="L170" s="42"/>
      <c r="M170" s="82"/>
    </row>
    <row r="171" ht="27.0" customHeight="1">
      <c r="A171" s="45">
        <v>28952.0</v>
      </c>
      <c r="B171" s="12" t="s">
        <v>21</v>
      </c>
      <c r="C171" s="12">
        <v>1230.0</v>
      </c>
      <c r="D171" s="6" t="s">
        <v>1516</v>
      </c>
      <c r="E171" s="13" t="s">
        <v>1517</v>
      </c>
      <c r="F171" s="14">
        <v>42112.0</v>
      </c>
      <c r="G171" s="14">
        <v>42108.0</v>
      </c>
      <c r="H171" s="6" t="s">
        <v>1032</v>
      </c>
      <c r="I171" s="16">
        <v>42124.0</v>
      </c>
      <c r="J171" s="77" t="s">
        <v>1518</v>
      </c>
      <c r="K171" s="42" t="s">
        <v>497</v>
      </c>
      <c r="L171" s="42" t="s">
        <v>1519</v>
      </c>
      <c r="M171" s="82">
        <v>48490.0</v>
      </c>
    </row>
    <row r="172" ht="27.0" customHeight="1">
      <c r="A172" s="69">
        <v>28960.0</v>
      </c>
      <c r="B172" s="70" t="s">
        <v>21</v>
      </c>
      <c r="C172" s="70">
        <v>930.0</v>
      </c>
      <c r="D172" s="20" t="s">
        <v>1520</v>
      </c>
      <c r="E172" s="19" t="s">
        <v>1505</v>
      </c>
      <c r="F172" s="15">
        <v>42110.0</v>
      </c>
      <c r="G172" s="89">
        <v>42115.0</v>
      </c>
      <c r="H172" s="6" t="s">
        <v>1032</v>
      </c>
      <c r="I172" s="22">
        <v>42122.0</v>
      </c>
      <c r="J172" s="63" t="s">
        <v>1521</v>
      </c>
      <c r="K172" s="90"/>
      <c r="L172" s="42"/>
      <c r="M172" s="82"/>
    </row>
    <row r="173" ht="27.0" customHeight="1">
      <c r="A173" s="45">
        <v>28437.0</v>
      </c>
      <c r="B173" s="12" t="s">
        <v>21</v>
      </c>
      <c r="C173" s="12">
        <v>2227.0</v>
      </c>
      <c r="D173" s="6" t="s">
        <v>1522</v>
      </c>
      <c r="E173" s="13" t="s">
        <v>1160</v>
      </c>
      <c r="F173" s="14">
        <v>42110.0</v>
      </c>
      <c r="G173" s="14">
        <v>42102.0</v>
      </c>
      <c r="H173" s="6" t="s">
        <v>1032</v>
      </c>
      <c r="I173" s="16">
        <v>42117.0</v>
      </c>
      <c r="J173" s="9" t="s">
        <v>1523</v>
      </c>
      <c r="K173" s="42" t="s">
        <v>497</v>
      </c>
      <c r="L173" s="42" t="s">
        <v>1052</v>
      </c>
      <c r="M173" s="82">
        <v>29262.78</v>
      </c>
    </row>
    <row r="174" ht="27.0" hidden="1" customHeight="1">
      <c r="A174" s="69">
        <v>28958.0</v>
      </c>
      <c r="B174" s="70" t="s">
        <v>14</v>
      </c>
      <c r="C174" s="70">
        <v>930.0</v>
      </c>
      <c r="D174" s="20" t="s">
        <v>1524</v>
      </c>
      <c r="E174" s="19" t="s">
        <v>1525</v>
      </c>
      <c r="F174" s="15">
        <v>42109.0</v>
      </c>
      <c r="G174" s="15">
        <v>42111.0</v>
      </c>
      <c r="H174" s="6" t="s">
        <v>1032</v>
      </c>
      <c r="I174" s="22">
        <v>42115.0</v>
      </c>
      <c r="J174" s="91" t="s">
        <v>1526</v>
      </c>
      <c r="K174" s="90"/>
      <c r="L174" s="42"/>
      <c r="M174" s="82"/>
    </row>
    <row r="175" ht="27.0" customHeight="1">
      <c r="A175" s="45">
        <v>28934.0</v>
      </c>
      <c r="B175" s="12" t="s">
        <v>21</v>
      </c>
      <c r="C175" s="12">
        <v>224.0</v>
      </c>
      <c r="D175" s="6" t="s">
        <v>1527</v>
      </c>
      <c r="E175" s="13" t="s">
        <v>1415</v>
      </c>
      <c r="F175" s="14">
        <v>42109.0</v>
      </c>
      <c r="G175" s="14">
        <v>42104.0</v>
      </c>
      <c r="H175" s="6" t="s">
        <v>1032</v>
      </c>
      <c r="I175" s="16">
        <v>42123.0</v>
      </c>
      <c r="J175" s="64" t="s">
        <v>1528</v>
      </c>
      <c r="K175" s="42"/>
      <c r="L175" s="42"/>
      <c r="M175" s="82"/>
    </row>
    <row r="176" ht="27.0" hidden="1" customHeight="1">
      <c r="A176" s="45">
        <v>28735.0</v>
      </c>
      <c r="B176" s="12" t="s">
        <v>25</v>
      </c>
      <c r="C176" s="12">
        <v>161.0</v>
      </c>
      <c r="D176" s="6" t="s">
        <v>1529</v>
      </c>
      <c r="E176" s="13" t="s">
        <v>1530</v>
      </c>
      <c r="F176" s="14">
        <v>42107.0</v>
      </c>
      <c r="G176" s="92">
        <v>42116.0</v>
      </c>
      <c r="H176" s="6" t="s">
        <v>1032</v>
      </c>
      <c r="I176" s="16">
        <v>42117.0</v>
      </c>
      <c r="J176" s="9" t="s">
        <v>1531</v>
      </c>
      <c r="K176" s="42" t="s">
        <v>497</v>
      </c>
      <c r="L176" s="42" t="s">
        <v>1048</v>
      </c>
      <c r="M176" s="82">
        <v>17162.65</v>
      </c>
    </row>
    <row r="177" ht="27.0" customHeight="1">
      <c r="A177" s="45">
        <v>28935.0</v>
      </c>
      <c r="B177" s="12" t="s">
        <v>21</v>
      </c>
      <c r="C177" s="12">
        <v>1324.0</v>
      </c>
      <c r="D177" s="6" t="s">
        <v>1532</v>
      </c>
      <c r="E177" s="13" t="s">
        <v>1533</v>
      </c>
      <c r="F177" s="14">
        <v>42106.0</v>
      </c>
      <c r="G177" s="14">
        <v>42102.0</v>
      </c>
      <c r="H177" s="6" t="s">
        <v>1032</v>
      </c>
      <c r="I177" s="16">
        <v>42114.0</v>
      </c>
      <c r="J177" s="93" t="s">
        <v>1534</v>
      </c>
      <c r="K177" s="94"/>
      <c r="L177" s="42"/>
      <c r="M177" s="82"/>
    </row>
    <row r="178" ht="27.0" hidden="1" customHeight="1">
      <c r="A178" s="45">
        <v>28439.0</v>
      </c>
      <c r="B178" s="12" t="s">
        <v>25</v>
      </c>
      <c r="C178" s="12">
        <v>2227.0</v>
      </c>
      <c r="D178" s="6" t="s">
        <v>1535</v>
      </c>
      <c r="E178" s="13" t="s">
        <v>1160</v>
      </c>
      <c r="F178" s="14">
        <v>42102.0</v>
      </c>
      <c r="G178" s="14">
        <v>42102.0</v>
      </c>
      <c r="H178" s="6" t="s">
        <v>1032</v>
      </c>
      <c r="I178" s="16">
        <v>42108.0</v>
      </c>
      <c r="J178" s="57" t="s">
        <v>1536</v>
      </c>
      <c r="K178" s="94" t="s">
        <v>497</v>
      </c>
      <c r="L178" s="42" t="s">
        <v>1052</v>
      </c>
      <c r="M178" s="82">
        <v>29262.78</v>
      </c>
    </row>
    <row r="179" ht="27.0" hidden="1" customHeight="1">
      <c r="A179" s="69">
        <v>28936.0</v>
      </c>
      <c r="B179" s="70" t="s">
        <v>25</v>
      </c>
      <c r="C179" s="70">
        <v>1080.0</v>
      </c>
      <c r="D179" s="20" t="s">
        <v>1537</v>
      </c>
      <c r="E179" s="19" t="s">
        <v>1538</v>
      </c>
      <c r="F179" s="15">
        <v>42098.0</v>
      </c>
      <c r="G179" s="15">
        <v>42097.0</v>
      </c>
      <c r="H179" s="6" t="s">
        <v>1032</v>
      </c>
      <c r="I179" s="22">
        <v>42107.0</v>
      </c>
      <c r="J179" s="95" t="s">
        <v>1539</v>
      </c>
      <c r="K179" s="96"/>
      <c r="L179" s="42"/>
      <c r="M179" s="82"/>
    </row>
    <row r="180" ht="27.0" hidden="1" customHeight="1">
      <c r="A180" s="45">
        <v>28623.0</v>
      </c>
      <c r="B180" s="12" t="s">
        <v>14</v>
      </c>
      <c r="C180" s="12">
        <v>900.0</v>
      </c>
      <c r="D180" s="6" t="s">
        <v>1540</v>
      </c>
      <c r="E180" s="13" t="s">
        <v>1541</v>
      </c>
      <c r="F180" s="14">
        <v>42097.0</v>
      </c>
      <c r="G180" s="14">
        <v>42097.0</v>
      </c>
      <c r="H180" s="6" t="s">
        <v>1032</v>
      </c>
      <c r="I180" s="16">
        <v>42103.0</v>
      </c>
      <c r="J180" s="57" t="s">
        <v>1542</v>
      </c>
      <c r="K180" s="94"/>
      <c r="L180" s="42"/>
      <c r="M180" s="82"/>
    </row>
    <row r="181" ht="27.0" hidden="1" customHeight="1">
      <c r="A181" s="45">
        <v>28800.0</v>
      </c>
      <c r="B181" s="12" t="s">
        <v>14</v>
      </c>
      <c r="C181" s="12">
        <v>1330.0</v>
      </c>
      <c r="D181" s="6" t="s">
        <v>1543</v>
      </c>
      <c r="E181" s="13" t="s">
        <v>1376</v>
      </c>
      <c r="F181" s="14">
        <v>42097.0</v>
      </c>
      <c r="G181" s="14">
        <v>42097.0</v>
      </c>
      <c r="H181" s="6" t="s">
        <v>1032</v>
      </c>
      <c r="I181" s="16">
        <v>42108.0</v>
      </c>
      <c r="J181" s="57" t="s">
        <v>1544</v>
      </c>
      <c r="K181" s="94"/>
      <c r="L181" s="42"/>
      <c r="M181" s="82"/>
    </row>
    <row r="182" ht="27.0" customHeight="1">
      <c r="A182" s="45">
        <v>28715.0</v>
      </c>
      <c r="B182" s="12" t="s">
        <v>21</v>
      </c>
      <c r="C182" s="12">
        <v>1099.0</v>
      </c>
      <c r="D182" s="6" t="s">
        <v>1545</v>
      </c>
      <c r="E182" s="13" t="s">
        <v>1546</v>
      </c>
      <c r="F182" s="14">
        <v>42097.0</v>
      </c>
      <c r="G182" s="14">
        <v>42102.0</v>
      </c>
      <c r="H182" s="6" t="s">
        <v>1032</v>
      </c>
      <c r="I182" s="16">
        <v>42102.0</v>
      </c>
      <c r="J182" s="57" t="s">
        <v>1547</v>
      </c>
      <c r="K182" s="94"/>
      <c r="L182" s="42"/>
      <c r="M182" s="82"/>
    </row>
    <row r="183" ht="27.0" hidden="1" customHeight="1">
      <c r="A183" s="45">
        <v>28479.0</v>
      </c>
      <c r="B183" s="12" t="s">
        <v>25</v>
      </c>
      <c r="C183" s="12">
        <v>550.0</v>
      </c>
      <c r="D183" s="6" t="s">
        <v>1548</v>
      </c>
      <c r="E183" s="13" t="s">
        <v>1549</v>
      </c>
      <c r="F183" s="14">
        <v>42095.0</v>
      </c>
      <c r="G183" s="14">
        <v>42096.0</v>
      </c>
      <c r="H183" s="6" t="s">
        <v>1032</v>
      </c>
      <c r="I183" s="16">
        <v>42102.0</v>
      </c>
      <c r="J183" s="57" t="s">
        <v>1550</v>
      </c>
      <c r="K183" s="54" t="s">
        <v>497</v>
      </c>
      <c r="L183" s="54" t="s">
        <v>1406</v>
      </c>
      <c r="M183" s="55">
        <v>42237.0</v>
      </c>
    </row>
    <row r="184" ht="27.0" hidden="1" customHeight="1">
      <c r="A184" s="6">
        <v>28883.0</v>
      </c>
      <c r="B184" s="12" t="s">
        <v>14</v>
      </c>
      <c r="C184" s="12">
        <v>800.0</v>
      </c>
      <c r="D184" s="6" t="s">
        <v>1551</v>
      </c>
      <c r="E184" s="13" t="s">
        <v>1552</v>
      </c>
      <c r="F184" s="14">
        <v>42095.0</v>
      </c>
      <c r="G184" s="14">
        <v>42094.0</v>
      </c>
      <c r="H184" s="6" t="s">
        <v>1032</v>
      </c>
      <c r="I184" s="22">
        <v>42103.0</v>
      </c>
      <c r="J184" s="57" t="s">
        <v>1553</v>
      </c>
      <c r="K184" s="54"/>
      <c r="L184" s="54"/>
      <c r="M184" s="55"/>
    </row>
    <row r="185" ht="27.0" customHeight="1">
      <c r="A185" s="45">
        <v>28622.0</v>
      </c>
      <c r="B185" s="12" t="s">
        <v>21</v>
      </c>
      <c r="C185" s="12">
        <v>900.0</v>
      </c>
      <c r="D185" s="6" t="s">
        <v>1554</v>
      </c>
      <c r="E185" s="13" t="s">
        <v>1097</v>
      </c>
      <c r="F185" s="14">
        <v>42092.0</v>
      </c>
      <c r="G185" s="14">
        <v>42093.0</v>
      </c>
      <c r="H185" s="6" t="s">
        <v>1032</v>
      </c>
      <c r="I185" s="16">
        <v>42103.0</v>
      </c>
      <c r="J185" s="93" t="s">
        <v>1555</v>
      </c>
      <c r="K185" s="54"/>
      <c r="L185" s="54"/>
      <c r="M185" s="55"/>
    </row>
    <row r="186" ht="27.0" hidden="1" customHeight="1">
      <c r="A186" s="45">
        <v>28899.0</v>
      </c>
      <c r="B186" s="12" t="s">
        <v>25</v>
      </c>
      <c r="C186" s="12">
        <v>1467.0</v>
      </c>
      <c r="D186" s="6" t="s">
        <v>1556</v>
      </c>
      <c r="E186" s="13" t="s">
        <v>1557</v>
      </c>
      <c r="F186" s="14">
        <v>42091.0</v>
      </c>
      <c r="G186" s="14">
        <v>42090.0</v>
      </c>
      <c r="H186" s="6" t="s">
        <v>1032</v>
      </c>
      <c r="I186" s="16">
        <v>42103.0</v>
      </c>
      <c r="J186" s="57" t="s">
        <v>1558</v>
      </c>
      <c r="K186" s="54"/>
      <c r="L186" s="54"/>
      <c r="M186" s="55"/>
    </row>
    <row r="187" ht="27.0" hidden="1" customHeight="1">
      <c r="A187" s="45">
        <v>28946.0</v>
      </c>
      <c r="B187" s="12" t="s">
        <v>14</v>
      </c>
      <c r="C187" s="12">
        <v>820.0</v>
      </c>
      <c r="D187" s="6" t="s">
        <v>1559</v>
      </c>
      <c r="E187" s="13" t="s">
        <v>1560</v>
      </c>
      <c r="F187" s="14">
        <v>42090.0</v>
      </c>
      <c r="G187" s="14">
        <v>42094.0</v>
      </c>
      <c r="H187" s="6" t="s">
        <v>1032</v>
      </c>
      <c r="I187" s="16">
        <v>42101.0</v>
      </c>
      <c r="J187" s="57" t="s">
        <v>1561</v>
      </c>
      <c r="K187" s="54"/>
      <c r="L187" s="54"/>
      <c r="M187" s="55"/>
    </row>
    <row r="188" ht="27.0" customHeight="1">
      <c r="A188" s="6" t="s">
        <v>28</v>
      </c>
      <c r="B188" s="12" t="s">
        <v>21</v>
      </c>
      <c r="C188" s="12">
        <v>14.0</v>
      </c>
      <c r="D188" s="6" t="s">
        <v>1562</v>
      </c>
      <c r="E188" s="13" t="s">
        <v>1563</v>
      </c>
      <c r="F188" s="14">
        <v>42089.0</v>
      </c>
      <c r="G188" s="14">
        <v>42088.0</v>
      </c>
      <c r="H188" s="6" t="s">
        <v>1032</v>
      </c>
      <c r="I188" s="16">
        <v>42100.0</v>
      </c>
      <c r="J188" s="57" t="s">
        <v>1564</v>
      </c>
      <c r="K188" s="54"/>
      <c r="L188" s="54"/>
      <c r="M188" s="55"/>
    </row>
    <row r="189" ht="27.0" hidden="1" customHeight="1">
      <c r="A189" s="6">
        <v>28810.0</v>
      </c>
      <c r="B189" s="12" t="s">
        <v>25</v>
      </c>
      <c r="C189" s="12">
        <v>510.0</v>
      </c>
      <c r="D189" s="6" t="s">
        <v>1565</v>
      </c>
      <c r="E189" s="13" t="s">
        <v>1474</v>
      </c>
      <c r="F189" s="14">
        <v>42087.0</v>
      </c>
      <c r="G189" s="14">
        <v>42076.0</v>
      </c>
      <c r="H189" s="6" t="s">
        <v>1032</v>
      </c>
      <c r="I189" s="16">
        <v>42094.0</v>
      </c>
      <c r="J189" s="57" t="s">
        <v>1566</v>
      </c>
      <c r="K189" s="54" t="s">
        <v>497</v>
      </c>
      <c r="L189" s="54" t="s">
        <v>1567</v>
      </c>
      <c r="M189" s="55">
        <v>28971.53</v>
      </c>
    </row>
    <row r="190" ht="27.0" hidden="1" customHeight="1">
      <c r="A190" s="45" t="s">
        <v>1568</v>
      </c>
      <c r="B190" s="12" t="s">
        <v>25</v>
      </c>
      <c r="C190" s="12">
        <v>310.0</v>
      </c>
      <c r="D190" s="6" t="s">
        <v>1569</v>
      </c>
      <c r="E190" s="13" t="s">
        <v>1570</v>
      </c>
      <c r="F190" s="14">
        <v>42086.0</v>
      </c>
      <c r="G190" s="14">
        <v>42083.0</v>
      </c>
      <c r="H190" s="6" t="s">
        <v>1032</v>
      </c>
      <c r="I190" s="16">
        <v>42102.0</v>
      </c>
      <c r="J190" s="57" t="s">
        <v>1571</v>
      </c>
      <c r="K190" s="54"/>
      <c r="L190" s="54"/>
      <c r="M190" s="55"/>
    </row>
    <row r="191" ht="27.0" hidden="1" customHeight="1">
      <c r="A191" s="6">
        <v>28885.0</v>
      </c>
      <c r="B191" s="12" t="s">
        <v>14</v>
      </c>
      <c r="C191" s="12">
        <v>1053.0</v>
      </c>
      <c r="D191" s="6" t="s">
        <v>1572</v>
      </c>
      <c r="E191" s="13" t="s">
        <v>1573</v>
      </c>
      <c r="F191" s="14">
        <v>42081.0</v>
      </c>
      <c r="G191" s="14">
        <v>42081.0</v>
      </c>
      <c r="H191" s="6" t="s">
        <v>1032</v>
      </c>
      <c r="I191" s="16">
        <v>42088.0</v>
      </c>
      <c r="J191" s="57" t="s">
        <v>1574</v>
      </c>
      <c r="K191" s="54"/>
      <c r="L191" s="54"/>
      <c r="M191" s="55"/>
    </row>
    <row r="192" ht="27.0" hidden="1" customHeight="1">
      <c r="A192" s="97">
        <v>28880.0</v>
      </c>
      <c r="B192" s="98" t="s">
        <v>25</v>
      </c>
      <c r="C192" s="98">
        <v>930.0</v>
      </c>
      <c r="D192" s="97" t="s">
        <v>1575</v>
      </c>
      <c r="E192" s="76" t="s">
        <v>1576</v>
      </c>
      <c r="F192" s="99">
        <v>42081.0</v>
      </c>
      <c r="G192" s="99">
        <v>42086.0</v>
      </c>
      <c r="H192" s="6" t="s">
        <v>1032</v>
      </c>
      <c r="I192" s="100">
        <v>42088.0</v>
      </c>
      <c r="J192" s="101" t="s">
        <v>1577</v>
      </c>
      <c r="K192" s="102"/>
      <c r="L192" s="54"/>
      <c r="M192" s="55"/>
    </row>
    <row r="193" ht="27.0" hidden="1" customHeight="1">
      <c r="A193" s="45">
        <v>28436.0</v>
      </c>
      <c r="B193" s="12" t="s">
        <v>14</v>
      </c>
      <c r="C193" s="12">
        <v>2227.0</v>
      </c>
      <c r="D193" s="6" t="s">
        <v>1578</v>
      </c>
      <c r="E193" s="13" t="s">
        <v>16</v>
      </c>
      <c r="F193" s="14">
        <v>42079.0</v>
      </c>
      <c r="G193" s="14">
        <v>42076.0</v>
      </c>
      <c r="H193" s="6" t="s">
        <v>1032</v>
      </c>
      <c r="I193" s="16">
        <v>42086.0</v>
      </c>
      <c r="J193" s="57" t="s">
        <v>1579</v>
      </c>
      <c r="K193" s="54" t="s">
        <v>497</v>
      </c>
      <c r="L193" s="54" t="s">
        <v>1052</v>
      </c>
      <c r="M193" s="55">
        <v>29313.2</v>
      </c>
    </row>
    <row r="194" ht="27.0" hidden="1" customHeight="1">
      <c r="A194" s="45" t="s">
        <v>1580</v>
      </c>
      <c r="B194" s="12" t="s">
        <v>25</v>
      </c>
      <c r="C194" s="12">
        <v>416.0</v>
      </c>
      <c r="D194" s="6" t="s">
        <v>1581</v>
      </c>
      <c r="E194" s="13" t="s">
        <v>1582</v>
      </c>
      <c r="F194" s="14">
        <v>42079.0</v>
      </c>
      <c r="G194" s="14">
        <v>42081.0</v>
      </c>
      <c r="H194" s="6" t="s">
        <v>1032</v>
      </c>
      <c r="I194" s="16">
        <v>42087.0</v>
      </c>
      <c r="J194" s="57" t="s">
        <v>1583</v>
      </c>
      <c r="K194" s="54"/>
      <c r="L194" s="54"/>
      <c r="M194" s="55"/>
    </row>
    <row r="195" ht="27.0" customHeight="1">
      <c r="A195" s="6">
        <v>28804.0</v>
      </c>
      <c r="B195" s="12" t="s">
        <v>21</v>
      </c>
      <c r="C195" s="12">
        <v>800.0</v>
      </c>
      <c r="D195" s="6" t="s">
        <v>1584</v>
      </c>
      <c r="E195" s="13" t="s">
        <v>1585</v>
      </c>
      <c r="F195" s="14">
        <v>42075.0</v>
      </c>
      <c r="G195" s="14">
        <v>42072.0</v>
      </c>
      <c r="H195" s="6" t="s">
        <v>1032</v>
      </c>
      <c r="I195" s="14">
        <v>42083.0</v>
      </c>
      <c r="J195" s="103" t="s">
        <v>1586</v>
      </c>
      <c r="K195" s="54"/>
      <c r="L195" s="54"/>
      <c r="M195" s="55"/>
    </row>
    <row r="196" ht="27.0" customHeight="1">
      <c r="A196" s="6">
        <v>28657.0</v>
      </c>
      <c r="B196" s="12" t="s">
        <v>21</v>
      </c>
      <c r="C196" s="12">
        <v>63.0</v>
      </c>
      <c r="D196" s="6" t="s">
        <v>1587</v>
      </c>
      <c r="E196" s="13" t="s">
        <v>1588</v>
      </c>
      <c r="F196" s="14">
        <v>42073.0</v>
      </c>
      <c r="G196" s="14">
        <v>42072.0</v>
      </c>
      <c r="H196" s="6" t="s">
        <v>1032</v>
      </c>
      <c r="I196" s="16">
        <v>42082.0</v>
      </c>
      <c r="J196" s="57" t="s">
        <v>1589</v>
      </c>
      <c r="K196" s="54" t="s">
        <v>497</v>
      </c>
      <c r="L196" s="54" t="s">
        <v>1048</v>
      </c>
      <c r="M196" s="55">
        <v>6101.7</v>
      </c>
    </row>
    <row r="197" ht="27.0" hidden="1" customHeight="1">
      <c r="A197" s="6">
        <v>28881.0</v>
      </c>
      <c r="B197" s="12" t="s">
        <v>14</v>
      </c>
      <c r="C197" s="12">
        <v>990.0</v>
      </c>
      <c r="D197" s="6" t="s">
        <v>1590</v>
      </c>
      <c r="E197" s="13" t="s">
        <v>1591</v>
      </c>
      <c r="F197" s="14">
        <v>42072.0</v>
      </c>
      <c r="G197" s="14">
        <v>42072.0</v>
      </c>
      <c r="H197" s="6" t="s">
        <v>1032</v>
      </c>
      <c r="I197" s="16">
        <v>42075.0</v>
      </c>
      <c r="J197" s="57" t="s">
        <v>1592</v>
      </c>
      <c r="K197" s="54"/>
      <c r="L197" s="54"/>
      <c r="M197" s="55"/>
    </row>
    <row r="198" ht="27.0" hidden="1" customHeight="1">
      <c r="A198" s="6">
        <v>28682.0</v>
      </c>
      <c r="B198" s="12" t="s">
        <v>25</v>
      </c>
      <c r="C198" s="12">
        <v>320.0</v>
      </c>
      <c r="D198" s="6" t="s">
        <v>1593</v>
      </c>
      <c r="E198" s="13" t="s">
        <v>1180</v>
      </c>
      <c r="F198" s="14">
        <v>42069.0</v>
      </c>
      <c r="G198" s="14">
        <v>42068.0</v>
      </c>
      <c r="H198" s="6" t="s">
        <v>1032</v>
      </c>
      <c r="I198" s="16">
        <v>42080.0</v>
      </c>
      <c r="J198" s="57" t="s">
        <v>1594</v>
      </c>
      <c r="K198" s="54"/>
      <c r="L198" s="54"/>
      <c r="M198" s="55"/>
    </row>
    <row r="199" ht="27.0" hidden="1" customHeight="1">
      <c r="A199" s="6">
        <v>28838.0</v>
      </c>
      <c r="B199" s="12" t="s">
        <v>25</v>
      </c>
      <c r="C199" s="12">
        <v>1139.0</v>
      </c>
      <c r="D199" s="6" t="s">
        <v>1595</v>
      </c>
      <c r="E199" s="13" t="s">
        <v>1596</v>
      </c>
      <c r="F199" s="14">
        <v>42069.0</v>
      </c>
      <c r="G199" s="14">
        <v>42047.0</v>
      </c>
      <c r="H199" s="6" t="s">
        <v>1032</v>
      </c>
      <c r="I199" s="14">
        <v>42073.0</v>
      </c>
      <c r="J199" s="57" t="s">
        <v>1597</v>
      </c>
      <c r="K199" s="54"/>
      <c r="L199" s="54"/>
      <c r="M199" s="55"/>
    </row>
    <row r="200" ht="27.0" customHeight="1">
      <c r="A200" s="42">
        <v>28579.0</v>
      </c>
      <c r="B200" s="12" t="s">
        <v>21</v>
      </c>
      <c r="C200" s="12">
        <v>774.0</v>
      </c>
      <c r="D200" s="42" t="s">
        <v>1598</v>
      </c>
      <c r="E200" s="13" t="s">
        <v>376</v>
      </c>
      <c r="F200" s="14">
        <v>42067.0</v>
      </c>
      <c r="G200" s="14">
        <v>42069.0</v>
      </c>
      <c r="H200" s="6" t="s">
        <v>1032</v>
      </c>
      <c r="I200" s="21">
        <v>42073.0</v>
      </c>
      <c r="J200" s="57" t="s">
        <v>1599</v>
      </c>
      <c r="K200" s="54" t="s">
        <v>497</v>
      </c>
      <c r="L200" s="54" t="s">
        <v>1600</v>
      </c>
      <c r="M200" s="55">
        <v>11191.02</v>
      </c>
    </row>
    <row r="201" ht="27.0" hidden="1" customHeight="1">
      <c r="A201" s="42">
        <v>28790.0</v>
      </c>
      <c r="B201" s="12" t="s">
        <v>14</v>
      </c>
      <c r="C201" s="12">
        <v>1300.0</v>
      </c>
      <c r="D201" s="42" t="s">
        <v>1601</v>
      </c>
      <c r="E201" s="13" t="s">
        <v>1602</v>
      </c>
      <c r="F201" s="14">
        <v>42060.0</v>
      </c>
      <c r="G201" s="14">
        <v>42069.0</v>
      </c>
      <c r="H201" s="6" t="s">
        <v>1032</v>
      </c>
      <c r="I201" s="21">
        <v>42066.0</v>
      </c>
      <c r="J201" s="57" t="s">
        <v>1603</v>
      </c>
      <c r="K201" s="54"/>
      <c r="L201" s="54"/>
      <c r="M201" s="55"/>
    </row>
    <row r="202" ht="27.0" hidden="1" customHeight="1">
      <c r="A202" s="6">
        <v>28870.0</v>
      </c>
      <c r="B202" s="12" t="s">
        <v>14</v>
      </c>
      <c r="C202" s="12">
        <v>1250.0</v>
      </c>
      <c r="D202" s="6" t="s">
        <v>1604</v>
      </c>
      <c r="E202" s="13" t="s">
        <v>1605</v>
      </c>
      <c r="F202" s="14">
        <v>42059.0</v>
      </c>
      <c r="G202" s="14">
        <v>42054.0</v>
      </c>
      <c r="H202" s="6" t="s">
        <v>1032</v>
      </c>
      <c r="I202" s="16">
        <v>42065.0</v>
      </c>
      <c r="J202" s="57" t="s">
        <v>1606</v>
      </c>
      <c r="K202" s="54"/>
      <c r="L202" s="54"/>
      <c r="M202" s="55"/>
    </row>
    <row r="203" ht="22.5" hidden="1" customHeight="1">
      <c r="A203" s="42">
        <v>28791.0</v>
      </c>
      <c r="B203" s="12" t="s">
        <v>14</v>
      </c>
      <c r="C203" s="12">
        <v>2500.0</v>
      </c>
      <c r="D203" s="42" t="s">
        <v>1607</v>
      </c>
      <c r="E203" s="13" t="s">
        <v>1608</v>
      </c>
      <c r="F203" s="14">
        <v>42048.0</v>
      </c>
      <c r="G203" s="14">
        <v>42047.0</v>
      </c>
      <c r="H203" s="6" t="s">
        <v>1032</v>
      </c>
      <c r="I203" s="21">
        <v>42054.0</v>
      </c>
      <c r="J203" s="57" t="s">
        <v>1609</v>
      </c>
      <c r="K203" s="54"/>
      <c r="L203" s="54"/>
      <c r="M203" s="55"/>
    </row>
    <row r="204" ht="27.0" hidden="1" customHeight="1">
      <c r="A204" s="6">
        <v>28805.0</v>
      </c>
      <c r="B204" s="12" t="s">
        <v>14</v>
      </c>
      <c r="C204" s="12">
        <v>1018.0</v>
      </c>
      <c r="D204" s="6" t="s">
        <v>1610</v>
      </c>
      <c r="E204" s="13" t="s">
        <v>1611</v>
      </c>
      <c r="F204" s="14">
        <v>42046.0</v>
      </c>
      <c r="G204" s="14">
        <v>42047.0</v>
      </c>
      <c r="H204" s="6" t="s">
        <v>1032</v>
      </c>
      <c r="I204" s="16">
        <v>42055.0</v>
      </c>
      <c r="J204" s="57" t="s">
        <v>1612</v>
      </c>
      <c r="K204" s="54"/>
      <c r="L204" s="54"/>
      <c r="M204" s="55"/>
    </row>
    <row r="205" ht="22.5" hidden="1" customHeight="1">
      <c r="A205" s="42">
        <v>28794.0</v>
      </c>
      <c r="B205" s="12" t="s">
        <v>14</v>
      </c>
      <c r="C205" s="12">
        <v>1450.0</v>
      </c>
      <c r="D205" s="42" t="s">
        <v>1613</v>
      </c>
      <c r="E205" s="13" t="s">
        <v>1614</v>
      </c>
      <c r="F205" s="14">
        <v>42044.0</v>
      </c>
      <c r="G205" s="14">
        <v>42044.0</v>
      </c>
      <c r="H205" s="6" t="s">
        <v>1032</v>
      </c>
      <c r="I205" s="21">
        <v>42053.0</v>
      </c>
      <c r="J205" s="57" t="s">
        <v>1615</v>
      </c>
      <c r="K205" s="54"/>
      <c r="L205" s="54"/>
      <c r="M205" s="55"/>
    </row>
    <row r="206" ht="22.5" hidden="1" customHeight="1">
      <c r="A206" s="42">
        <v>28435.0</v>
      </c>
      <c r="B206" s="12" t="s">
        <v>14</v>
      </c>
      <c r="C206" s="12">
        <v>2227.0</v>
      </c>
      <c r="D206" s="42" t="s">
        <v>1616</v>
      </c>
      <c r="E206" s="13" t="s">
        <v>1617</v>
      </c>
      <c r="F206" s="14">
        <v>42042.0</v>
      </c>
      <c r="G206" s="14">
        <v>42044.0</v>
      </c>
      <c r="H206" s="6" t="s">
        <v>1032</v>
      </c>
      <c r="I206" s="21">
        <v>42053.0</v>
      </c>
      <c r="J206" s="104" t="s">
        <v>1618</v>
      </c>
      <c r="K206" s="54" t="s">
        <v>497</v>
      </c>
      <c r="L206" s="54" t="s">
        <v>1052</v>
      </c>
      <c r="M206" s="55">
        <v>29262.78</v>
      </c>
    </row>
    <row r="207" ht="22.5" hidden="1" customHeight="1">
      <c r="A207" s="42">
        <v>28752.0</v>
      </c>
      <c r="B207" s="12" t="s">
        <v>14</v>
      </c>
      <c r="C207" s="12">
        <v>1184.0</v>
      </c>
      <c r="D207" s="42" t="s">
        <v>1619</v>
      </c>
      <c r="E207" s="13" t="s">
        <v>1620</v>
      </c>
      <c r="F207" s="14">
        <v>42042.0</v>
      </c>
      <c r="G207" s="14">
        <v>42040.0</v>
      </c>
      <c r="H207" s="6" t="s">
        <v>1032</v>
      </c>
      <c r="I207" s="21">
        <v>42048.0</v>
      </c>
      <c r="J207" s="57" t="s">
        <v>1621</v>
      </c>
      <c r="K207" s="54"/>
      <c r="L207" s="54"/>
      <c r="M207" s="55"/>
    </row>
    <row r="208" ht="22.5" hidden="1" customHeight="1">
      <c r="A208" s="42">
        <v>28750.0</v>
      </c>
      <c r="B208" s="12" t="s">
        <v>14</v>
      </c>
      <c r="C208" s="12">
        <v>800.0</v>
      </c>
      <c r="D208" s="45" t="s">
        <v>1622</v>
      </c>
      <c r="E208" s="13" t="s">
        <v>1623</v>
      </c>
      <c r="F208" s="14">
        <v>42041.0</v>
      </c>
      <c r="G208" s="14">
        <v>42040.0</v>
      </c>
      <c r="H208" s="6" t="s">
        <v>1032</v>
      </c>
      <c r="I208" s="16">
        <v>42048.0</v>
      </c>
      <c r="J208" s="57" t="s">
        <v>1624</v>
      </c>
      <c r="K208" s="54"/>
      <c r="L208" s="54"/>
      <c r="M208" s="55"/>
    </row>
    <row r="209" ht="22.5" hidden="1" customHeight="1">
      <c r="A209" s="42">
        <v>28751.0</v>
      </c>
      <c r="B209" s="12" t="s">
        <v>14</v>
      </c>
      <c r="C209" s="12">
        <v>650.0</v>
      </c>
      <c r="D209" s="42" t="s">
        <v>1625</v>
      </c>
      <c r="E209" s="13" t="s">
        <v>1626</v>
      </c>
      <c r="F209" s="14">
        <v>42040.0</v>
      </c>
      <c r="G209" s="14">
        <v>42055.0</v>
      </c>
      <c r="H209" s="6" t="s">
        <v>1032</v>
      </c>
      <c r="I209" s="21">
        <v>42052.0</v>
      </c>
      <c r="J209" s="57" t="s">
        <v>1627</v>
      </c>
      <c r="K209" s="54"/>
      <c r="L209" s="54"/>
      <c r="M209" s="55"/>
    </row>
    <row r="210" ht="22.5" customHeight="1">
      <c r="A210" s="42">
        <v>28839.0</v>
      </c>
      <c r="B210" s="12" t="s">
        <v>21</v>
      </c>
      <c r="C210" s="12">
        <v>800.0</v>
      </c>
      <c r="D210" s="42" t="s">
        <v>1628</v>
      </c>
      <c r="E210" s="13" t="s">
        <v>1629</v>
      </c>
      <c r="F210" s="14">
        <v>42039.0</v>
      </c>
      <c r="G210" s="14">
        <v>42039.0</v>
      </c>
      <c r="H210" s="6" t="s">
        <v>1032</v>
      </c>
      <c r="I210" s="16">
        <v>42060.0</v>
      </c>
      <c r="J210" s="57" t="s">
        <v>1630</v>
      </c>
      <c r="K210" s="54"/>
      <c r="L210" s="54"/>
      <c r="M210" s="55"/>
    </row>
    <row r="211" ht="22.5" customHeight="1">
      <c r="A211" s="42">
        <v>28798.0</v>
      </c>
      <c r="B211" s="12" t="s">
        <v>21</v>
      </c>
      <c r="C211" s="12">
        <v>590.0</v>
      </c>
      <c r="D211" s="42" t="s">
        <v>1631</v>
      </c>
      <c r="E211" s="13" t="s">
        <v>721</v>
      </c>
      <c r="F211" s="14">
        <v>42039.0</v>
      </c>
      <c r="G211" s="14">
        <v>42038.0</v>
      </c>
      <c r="H211" s="6" t="s">
        <v>1032</v>
      </c>
      <c r="I211" s="21">
        <v>42059.0</v>
      </c>
      <c r="J211" s="57" t="s">
        <v>1632</v>
      </c>
      <c r="K211" s="54"/>
      <c r="L211" s="54"/>
      <c r="M211" s="55"/>
    </row>
    <row r="212" ht="22.5" hidden="1" customHeight="1">
      <c r="A212" s="42" t="s">
        <v>1633</v>
      </c>
      <c r="B212" s="12" t="s">
        <v>14</v>
      </c>
      <c r="C212" s="12">
        <v>282.0</v>
      </c>
      <c r="D212" s="42" t="s">
        <v>1634</v>
      </c>
      <c r="E212" s="13" t="s">
        <v>1635</v>
      </c>
      <c r="F212" s="14">
        <v>42033.0</v>
      </c>
      <c r="G212" s="14">
        <v>42033.0</v>
      </c>
      <c r="H212" s="6" t="s">
        <v>1032</v>
      </c>
      <c r="I212" s="21">
        <v>42040.0</v>
      </c>
      <c r="J212" s="57" t="s">
        <v>1636</v>
      </c>
      <c r="K212" s="54"/>
      <c r="L212" s="54"/>
      <c r="M212" s="55"/>
    </row>
    <row r="213" ht="22.5" hidden="1" customHeight="1">
      <c r="A213" s="42">
        <v>28728.0</v>
      </c>
      <c r="B213" s="12" t="s">
        <v>14</v>
      </c>
      <c r="C213" s="12">
        <v>450.0</v>
      </c>
      <c r="D213" s="42" t="s">
        <v>1637</v>
      </c>
      <c r="E213" s="13" t="s">
        <v>1638</v>
      </c>
      <c r="F213" s="14">
        <v>42027.0</v>
      </c>
      <c r="G213" s="14">
        <v>42026.0</v>
      </c>
      <c r="H213" s="6" t="s">
        <v>1032</v>
      </c>
      <c r="I213" s="21">
        <v>42033.0</v>
      </c>
      <c r="J213" s="105" t="s">
        <v>1639</v>
      </c>
      <c r="K213" s="54"/>
      <c r="L213" s="54"/>
      <c r="M213" s="55"/>
    </row>
    <row r="214" ht="22.5" hidden="1" customHeight="1">
      <c r="A214" s="42">
        <v>28729.0</v>
      </c>
      <c r="B214" s="12" t="s">
        <v>14</v>
      </c>
      <c r="C214" s="12">
        <v>944.0</v>
      </c>
      <c r="D214" s="42" t="s">
        <v>1640</v>
      </c>
      <c r="E214" s="13" t="s">
        <v>1641</v>
      </c>
      <c r="F214" s="14">
        <v>42017.0</v>
      </c>
      <c r="G214" s="14">
        <v>42016.0</v>
      </c>
      <c r="H214" s="6" t="s">
        <v>1032</v>
      </c>
      <c r="I214" s="21">
        <v>42024.0</v>
      </c>
      <c r="J214" s="57" t="s">
        <v>1642</v>
      </c>
      <c r="K214" s="54"/>
      <c r="L214" s="54"/>
      <c r="M214" s="55"/>
    </row>
    <row r="215" ht="22.5" hidden="1" customHeight="1">
      <c r="A215" s="42">
        <v>28673.0</v>
      </c>
      <c r="B215" s="12" t="s">
        <v>14</v>
      </c>
      <c r="C215" s="12">
        <v>1296.0</v>
      </c>
      <c r="D215" s="42" t="s">
        <v>1643</v>
      </c>
      <c r="E215" s="13" t="s">
        <v>1644</v>
      </c>
      <c r="F215" s="14">
        <v>42016.0</v>
      </c>
      <c r="G215" s="14">
        <v>42018.0</v>
      </c>
      <c r="H215" s="6" t="s">
        <v>1032</v>
      </c>
      <c r="I215" s="16">
        <v>42020.0</v>
      </c>
      <c r="J215" s="103" t="s">
        <v>1645</v>
      </c>
      <c r="K215" s="54"/>
      <c r="L215" s="54"/>
      <c r="M215" s="55"/>
    </row>
    <row r="216" ht="22.5" hidden="1" customHeight="1">
      <c r="A216" s="42" t="s">
        <v>225</v>
      </c>
      <c r="B216" s="12" t="s">
        <v>14</v>
      </c>
      <c r="C216" s="12">
        <v>300.0</v>
      </c>
      <c r="D216" s="42" t="s">
        <v>1646</v>
      </c>
      <c r="E216" s="13" t="s">
        <v>1647</v>
      </c>
      <c r="F216" s="14">
        <v>42014.0</v>
      </c>
      <c r="G216" s="14">
        <v>42020.0</v>
      </c>
      <c r="H216" s="6" t="s">
        <v>1032</v>
      </c>
      <c r="I216" s="21">
        <v>42025.0</v>
      </c>
      <c r="J216" s="57" t="s">
        <v>1648</v>
      </c>
      <c r="K216" s="54" t="s">
        <v>497</v>
      </c>
      <c r="L216" s="54"/>
      <c r="M216" s="55"/>
    </row>
    <row r="217" ht="22.5" hidden="1" customHeight="1">
      <c r="A217" s="42">
        <v>28621.0</v>
      </c>
      <c r="B217" s="12" t="s">
        <v>14</v>
      </c>
      <c r="C217" s="12">
        <v>70.0</v>
      </c>
      <c r="D217" s="42" t="s">
        <v>1649</v>
      </c>
      <c r="E217" s="13" t="s">
        <v>1650</v>
      </c>
      <c r="F217" s="14">
        <v>42013.0</v>
      </c>
      <c r="G217" s="14">
        <v>42026.0</v>
      </c>
      <c r="H217" s="6" t="s">
        <v>1032</v>
      </c>
      <c r="I217" s="21">
        <v>42026.0</v>
      </c>
      <c r="J217" s="57" t="s">
        <v>1651</v>
      </c>
      <c r="K217" s="54" t="s">
        <v>497</v>
      </c>
      <c r="L217" s="54"/>
      <c r="M217" s="55"/>
    </row>
    <row r="218" ht="22.5" hidden="1" customHeight="1">
      <c r="A218" s="42">
        <v>28478.0</v>
      </c>
      <c r="B218" s="12" t="s">
        <v>14</v>
      </c>
      <c r="C218" s="12">
        <v>1000.0</v>
      </c>
      <c r="D218" s="42" t="s">
        <v>1652</v>
      </c>
      <c r="E218" s="13" t="s">
        <v>1653</v>
      </c>
      <c r="F218" s="14">
        <v>42009.0</v>
      </c>
      <c r="G218" s="14">
        <v>42020.0</v>
      </c>
      <c r="H218" s="6" t="s">
        <v>1032</v>
      </c>
      <c r="I218" s="21">
        <v>42018.0</v>
      </c>
      <c r="J218" s="57" t="s">
        <v>1654</v>
      </c>
      <c r="K218" s="54" t="s">
        <v>497</v>
      </c>
      <c r="L218" s="54"/>
      <c r="M218" s="55"/>
    </row>
    <row r="219" ht="22.5" customHeight="1">
      <c r="A219" s="42" t="s">
        <v>1655</v>
      </c>
      <c r="B219" s="12" t="s">
        <v>21</v>
      </c>
      <c r="C219" s="12">
        <v>357.0</v>
      </c>
      <c r="D219" s="42" t="s">
        <v>1656</v>
      </c>
      <c r="E219" s="13" t="s">
        <v>1657</v>
      </c>
      <c r="F219" s="14">
        <v>42008.0</v>
      </c>
      <c r="G219" s="4" t="s">
        <v>28</v>
      </c>
      <c r="H219" s="6" t="s">
        <v>1032</v>
      </c>
      <c r="I219" s="106">
        <v>42025.0</v>
      </c>
      <c r="J219" s="103" t="s">
        <v>1658</v>
      </c>
      <c r="K219" s="54" t="s">
        <v>497</v>
      </c>
      <c r="L219" s="54" t="s">
        <v>1048</v>
      </c>
      <c r="M219" s="55"/>
    </row>
    <row r="220" ht="22.5" hidden="1" customHeight="1">
      <c r="A220" s="42">
        <v>28688.0</v>
      </c>
      <c r="B220" s="12" t="s">
        <v>14</v>
      </c>
      <c r="C220" s="12">
        <v>944.0</v>
      </c>
      <c r="D220" s="42" t="s">
        <v>1659</v>
      </c>
      <c r="E220" s="13" t="s">
        <v>1660</v>
      </c>
      <c r="F220" s="14">
        <v>42004.0</v>
      </c>
      <c r="G220" s="14">
        <v>42010.0</v>
      </c>
      <c r="H220" s="6" t="s">
        <v>1032</v>
      </c>
      <c r="I220" s="21">
        <v>42013.0</v>
      </c>
      <c r="J220" s="57" t="s">
        <v>1661</v>
      </c>
      <c r="K220" s="54"/>
      <c r="L220" s="54"/>
      <c r="M220" s="55"/>
    </row>
    <row r="221" ht="22.5" customHeight="1">
      <c r="A221" s="42" t="s">
        <v>1662</v>
      </c>
      <c r="B221" s="12" t="s">
        <v>21</v>
      </c>
      <c r="C221" s="12">
        <v>429.0</v>
      </c>
      <c r="D221" s="42" t="s">
        <v>1663</v>
      </c>
      <c r="E221" s="13" t="s">
        <v>232</v>
      </c>
      <c r="F221" s="14">
        <v>42004.0</v>
      </c>
      <c r="G221" s="14">
        <v>42010.0</v>
      </c>
      <c r="H221" s="6" t="s">
        <v>1032</v>
      </c>
      <c r="I221" s="21">
        <v>42011.0</v>
      </c>
      <c r="J221" s="57" t="s">
        <v>1664</v>
      </c>
      <c r="K221" s="54" t="s">
        <v>497</v>
      </c>
      <c r="L221" s="54"/>
      <c r="M221" s="55"/>
    </row>
    <row r="222" ht="22.5" hidden="1" customHeight="1">
      <c r="A222" s="42">
        <v>28003.0</v>
      </c>
      <c r="B222" s="12" t="s">
        <v>14</v>
      </c>
      <c r="C222" s="12">
        <v>1890.0</v>
      </c>
      <c r="D222" s="42" t="s">
        <v>1665</v>
      </c>
      <c r="E222" s="13" t="s">
        <v>62</v>
      </c>
      <c r="F222" s="14">
        <v>42002.0</v>
      </c>
      <c r="G222" s="14">
        <v>42010.0</v>
      </c>
      <c r="H222" s="6" t="s">
        <v>1032</v>
      </c>
      <c r="I222" s="21">
        <v>42013.0</v>
      </c>
      <c r="J222" s="57" t="s">
        <v>1666</v>
      </c>
      <c r="K222" s="54"/>
      <c r="L222" s="54"/>
      <c r="M222" s="55"/>
    </row>
    <row r="223" ht="22.5" hidden="1" customHeight="1">
      <c r="A223" s="42">
        <v>28654.0</v>
      </c>
      <c r="B223" s="12" t="s">
        <v>14</v>
      </c>
      <c r="C223" s="12">
        <v>1250.0</v>
      </c>
      <c r="D223" s="42" t="s">
        <v>1667</v>
      </c>
      <c r="E223" s="13" t="s">
        <v>1668</v>
      </c>
      <c r="F223" s="14">
        <v>42001.0</v>
      </c>
      <c r="G223" s="14">
        <v>42030.0</v>
      </c>
      <c r="H223" s="6" t="s">
        <v>1032</v>
      </c>
      <c r="I223" s="16">
        <v>42023.0</v>
      </c>
      <c r="J223" s="57" t="s">
        <v>1669</v>
      </c>
      <c r="K223" s="54"/>
      <c r="L223" s="54"/>
      <c r="M223" s="55"/>
    </row>
    <row r="224" ht="22.5" hidden="1" customHeight="1">
      <c r="A224" s="42">
        <v>28541.0</v>
      </c>
      <c r="B224" s="12" t="s">
        <v>14</v>
      </c>
      <c r="C224" s="12">
        <v>1800.0</v>
      </c>
      <c r="D224" s="42" t="s">
        <v>1670</v>
      </c>
      <c r="E224" s="13" t="s">
        <v>675</v>
      </c>
      <c r="F224" s="14">
        <v>42000.0</v>
      </c>
      <c r="G224" s="14">
        <v>42002.0</v>
      </c>
      <c r="H224" s="6" t="s">
        <v>1032</v>
      </c>
      <c r="I224" s="21">
        <v>42016.0</v>
      </c>
      <c r="J224" s="104" t="s">
        <v>1671</v>
      </c>
      <c r="K224" s="54"/>
      <c r="L224" s="54"/>
      <c r="M224" s="55"/>
    </row>
    <row r="225" ht="22.5" hidden="1" customHeight="1">
      <c r="A225" s="45"/>
      <c r="B225" s="42"/>
      <c r="C225" s="12"/>
      <c r="D225" s="12"/>
      <c r="E225" s="19"/>
      <c r="F225" s="62"/>
      <c r="G225" s="14"/>
      <c r="H225" s="60"/>
      <c r="I225" s="60"/>
      <c r="J225" s="57"/>
      <c r="K225" s="54"/>
      <c r="L225" s="54"/>
      <c r="M225" s="55"/>
    </row>
    <row r="226" ht="22.5" hidden="1" customHeight="1">
      <c r="A226" s="45"/>
      <c r="B226" s="42"/>
      <c r="C226" s="12"/>
      <c r="D226" s="12"/>
      <c r="E226" s="19"/>
      <c r="F226" s="14"/>
      <c r="G226" s="14"/>
      <c r="H226" s="60"/>
      <c r="I226" s="60"/>
      <c r="J226" s="57"/>
      <c r="K226" s="54"/>
      <c r="L226" s="54"/>
      <c r="M226" s="55"/>
    </row>
    <row r="227" ht="27.0" customHeight="1">
      <c r="A227" s="6"/>
      <c r="B227" s="12"/>
      <c r="C227" s="12"/>
      <c r="D227" s="6"/>
      <c r="E227" s="13"/>
      <c r="F227" s="4"/>
      <c r="G227" s="4"/>
      <c r="H227" s="4"/>
      <c r="I227" s="4"/>
      <c r="J227" s="57"/>
      <c r="K227" s="54"/>
      <c r="L227" s="54"/>
      <c r="M227" s="55"/>
    </row>
    <row r="228" ht="27.0" customHeight="1">
      <c r="A228" s="6"/>
      <c r="B228" s="12"/>
      <c r="C228" s="12"/>
      <c r="D228" s="6"/>
      <c r="E228" s="13" t="s">
        <v>1023</v>
      </c>
      <c r="F228" s="4"/>
      <c r="G228" s="4"/>
      <c r="H228" s="4"/>
      <c r="I228" s="4"/>
      <c r="J228" s="103"/>
      <c r="K228" s="54"/>
      <c r="L228" s="54"/>
      <c r="M228" s="55"/>
    </row>
    <row r="229" ht="27.0" customHeight="1">
      <c r="A229" s="6"/>
      <c r="B229" s="12"/>
      <c r="C229" s="12"/>
      <c r="D229" s="6"/>
      <c r="E229" s="13"/>
      <c r="F229" s="4"/>
      <c r="G229" s="4" t="s">
        <v>1023</v>
      </c>
      <c r="H229" s="4"/>
      <c r="I229" s="4"/>
      <c r="J229" s="57"/>
      <c r="K229" s="54"/>
      <c r="L229" s="54"/>
      <c r="M229" s="55"/>
    </row>
    <row r="230" ht="13.5" customHeight="1">
      <c r="A230" s="6"/>
      <c r="B230" s="12"/>
      <c r="C230" s="12"/>
      <c r="D230" s="6"/>
      <c r="E230" s="13" t="s">
        <v>1672</v>
      </c>
      <c r="F230" s="4"/>
      <c r="G230" s="4"/>
      <c r="H230" s="8"/>
      <c r="I230" s="8"/>
      <c r="J230" s="57"/>
      <c r="K230" s="54"/>
      <c r="L230" s="54"/>
      <c r="M230" s="55"/>
    </row>
    <row r="231" ht="13.5" customHeight="1">
      <c r="A231" s="6"/>
      <c r="B231" s="12"/>
      <c r="C231" s="12"/>
      <c r="D231" s="6"/>
      <c r="E231" s="13"/>
      <c r="F231" s="4"/>
      <c r="G231" s="4"/>
      <c r="H231" s="4"/>
      <c r="I231" s="4"/>
      <c r="J231" s="57"/>
      <c r="K231" s="54"/>
      <c r="L231" s="54"/>
      <c r="M231" s="55"/>
    </row>
    <row r="232" ht="13.5" customHeight="1">
      <c r="A232" s="6"/>
      <c r="B232" s="12"/>
      <c r="C232" s="12"/>
      <c r="D232" s="6"/>
      <c r="E232" s="13"/>
      <c r="F232" s="4"/>
      <c r="G232" s="4"/>
      <c r="H232" s="4"/>
      <c r="I232" s="4"/>
      <c r="J232" s="57"/>
      <c r="K232" s="54"/>
      <c r="L232" s="54"/>
      <c r="M232" s="55"/>
    </row>
    <row r="233" ht="13.5" customHeight="1">
      <c r="A233" s="6"/>
      <c r="C233" s="12"/>
      <c r="D233" s="6"/>
      <c r="E233" s="13"/>
      <c r="F233" s="4"/>
      <c r="G233" s="4"/>
      <c r="H233" s="4"/>
      <c r="I233" s="4"/>
      <c r="J233" s="105"/>
      <c r="K233" s="54"/>
      <c r="L233" s="54"/>
      <c r="M233" s="55"/>
    </row>
    <row r="234" ht="27.0" customHeight="1">
      <c r="A234" s="6"/>
      <c r="B234" s="12"/>
      <c r="C234" s="12"/>
      <c r="D234" s="6"/>
      <c r="E234" s="13"/>
      <c r="F234" s="4"/>
      <c r="G234" s="4"/>
      <c r="H234" s="4"/>
      <c r="I234" s="4"/>
      <c r="J234" s="57"/>
      <c r="K234" s="54"/>
      <c r="L234" s="54"/>
      <c r="M234" s="55"/>
    </row>
    <row r="235" ht="13.5" customHeight="1">
      <c r="A235" s="6"/>
      <c r="B235" s="12"/>
      <c r="C235" s="12"/>
      <c r="D235" s="6"/>
      <c r="E235" s="13"/>
      <c r="F235" s="4"/>
      <c r="G235" s="4"/>
      <c r="H235" s="4"/>
      <c r="I235" s="4"/>
      <c r="J235" s="105"/>
      <c r="K235" s="54"/>
      <c r="L235" s="54"/>
      <c r="M235" s="55"/>
    </row>
    <row r="236" ht="13.5" customHeight="1">
      <c r="A236" s="6"/>
      <c r="B236" s="12"/>
      <c r="C236" s="12"/>
      <c r="D236" s="6"/>
      <c r="E236" s="13"/>
      <c r="F236" s="4"/>
      <c r="G236" s="4"/>
      <c r="H236" s="8"/>
      <c r="I236" s="8"/>
      <c r="J236" s="107"/>
      <c r="K236" s="54"/>
      <c r="L236" s="54"/>
      <c r="M236" s="55"/>
    </row>
    <row r="237" ht="13.5" customHeight="1">
      <c r="A237" s="6"/>
      <c r="B237" s="12"/>
      <c r="C237" s="12"/>
      <c r="D237" s="6"/>
      <c r="E237" s="13"/>
      <c r="F237" s="4"/>
      <c r="G237" s="4"/>
      <c r="H237" s="8"/>
      <c r="I237" s="8"/>
      <c r="J237" s="105"/>
      <c r="K237" s="54"/>
      <c r="L237" s="54"/>
      <c r="M237" s="55"/>
    </row>
    <row r="238" ht="13.5" customHeight="1">
      <c r="A238" s="6"/>
      <c r="B238" s="12"/>
      <c r="C238" s="12"/>
      <c r="D238" s="6"/>
      <c r="E238" s="13"/>
      <c r="F238" s="4"/>
      <c r="G238" s="4"/>
      <c r="H238" s="4"/>
      <c r="I238" s="4"/>
      <c r="J238" s="57"/>
      <c r="K238" s="54"/>
      <c r="L238" s="54"/>
      <c r="M238" s="55"/>
    </row>
    <row r="239" ht="13.5" customHeight="1">
      <c r="A239" s="6"/>
      <c r="B239" s="12"/>
      <c r="C239" s="12"/>
      <c r="D239" s="6"/>
      <c r="E239" s="13"/>
      <c r="F239" s="4"/>
      <c r="G239" s="4"/>
      <c r="H239" s="4"/>
      <c r="I239" s="4"/>
      <c r="J239" s="105"/>
      <c r="K239" s="54"/>
      <c r="L239" s="54"/>
      <c r="M239" s="55"/>
    </row>
    <row r="240" ht="13.5" customHeight="1">
      <c r="A240" s="6"/>
      <c r="B240" s="12"/>
      <c r="C240" s="12"/>
      <c r="D240" s="6"/>
      <c r="E240" s="13"/>
      <c r="F240" s="4"/>
      <c r="G240" s="4"/>
      <c r="H240" s="4"/>
      <c r="I240" s="4"/>
      <c r="J240" s="57"/>
      <c r="K240" s="54"/>
      <c r="L240" s="54"/>
      <c r="M240" s="55"/>
    </row>
    <row r="241" ht="13.5" customHeight="1">
      <c r="A241" s="6"/>
      <c r="B241" s="12"/>
      <c r="C241" s="12"/>
      <c r="D241" s="6"/>
      <c r="E241" s="13"/>
      <c r="F241" s="4"/>
      <c r="G241" s="4"/>
      <c r="H241" s="4"/>
      <c r="I241" s="4"/>
      <c r="J241" s="105"/>
      <c r="K241" s="54"/>
      <c r="L241" s="54"/>
      <c r="M241" s="55"/>
    </row>
    <row r="242" ht="13.5" customHeight="1">
      <c r="A242" s="6"/>
      <c r="B242" s="12"/>
      <c r="C242" s="12"/>
      <c r="D242" s="6"/>
      <c r="E242" s="19"/>
      <c r="F242" s="4"/>
      <c r="G242" s="4"/>
      <c r="H242" s="4"/>
      <c r="I242" s="4"/>
      <c r="J242" s="57"/>
      <c r="K242" s="54"/>
      <c r="L242" s="54"/>
      <c r="M242" s="55"/>
    </row>
    <row r="243" ht="13.5" customHeight="1">
      <c r="A243" s="6"/>
      <c r="B243" s="12"/>
      <c r="C243" s="12"/>
      <c r="D243" s="6"/>
      <c r="E243" s="13"/>
      <c r="F243" s="4"/>
      <c r="G243" s="4"/>
      <c r="H243" s="4"/>
      <c r="I243" s="4"/>
      <c r="J243" s="108"/>
      <c r="K243" s="54"/>
      <c r="L243" s="54"/>
      <c r="M243" s="55"/>
    </row>
    <row r="244" ht="13.5" customHeight="1">
      <c r="A244" s="6"/>
      <c r="B244" s="12"/>
      <c r="C244" s="12"/>
      <c r="D244" s="6"/>
      <c r="E244" s="13"/>
      <c r="F244" s="4"/>
      <c r="G244" s="4"/>
      <c r="H244" s="4"/>
      <c r="I244" s="4"/>
      <c r="J244" s="105"/>
      <c r="K244" s="54"/>
      <c r="L244" s="54"/>
      <c r="M244" s="55"/>
    </row>
    <row r="245" ht="13.5" customHeight="1">
      <c r="A245" s="6"/>
      <c r="B245" s="12"/>
      <c r="C245" s="12"/>
      <c r="D245" s="6"/>
      <c r="E245" s="13"/>
      <c r="F245" s="4"/>
      <c r="G245" s="4"/>
      <c r="H245" s="4"/>
      <c r="I245" s="4"/>
      <c r="J245" s="57"/>
      <c r="K245" s="54"/>
      <c r="L245" s="54"/>
      <c r="M245" s="55"/>
    </row>
    <row r="246" ht="13.5" customHeight="1">
      <c r="A246" s="6"/>
      <c r="B246" s="12"/>
      <c r="C246" s="12"/>
      <c r="D246" s="6"/>
      <c r="E246" s="13"/>
      <c r="F246" s="4"/>
      <c r="G246" s="8"/>
      <c r="H246" s="4"/>
      <c r="I246" s="4"/>
      <c r="J246" s="103"/>
      <c r="K246" s="54"/>
      <c r="L246" s="54"/>
      <c r="M246" s="55"/>
    </row>
    <row r="247" ht="13.5" customHeight="1">
      <c r="A247" s="6"/>
      <c r="B247" s="12"/>
      <c r="C247" s="12"/>
      <c r="D247" s="6"/>
      <c r="E247" s="13"/>
      <c r="F247" s="4"/>
      <c r="G247" s="4"/>
      <c r="H247" s="4"/>
      <c r="I247" s="4"/>
      <c r="J247" s="105"/>
      <c r="K247" s="54"/>
      <c r="L247" s="54"/>
      <c r="M247" s="55"/>
    </row>
    <row r="248" ht="13.5" customHeight="1">
      <c r="A248" s="6"/>
      <c r="B248" s="12"/>
      <c r="C248" s="12"/>
      <c r="D248" s="6"/>
      <c r="E248" s="13"/>
      <c r="F248" s="4"/>
      <c r="G248" s="4"/>
      <c r="H248" s="4"/>
      <c r="I248" s="4"/>
      <c r="J248" s="105"/>
      <c r="K248" s="54"/>
      <c r="L248" s="54"/>
      <c r="M248" s="55"/>
    </row>
    <row r="249" ht="13.5" customHeight="1">
      <c r="A249" s="6"/>
      <c r="B249" s="12"/>
      <c r="C249" s="12"/>
      <c r="D249" s="6"/>
      <c r="E249" s="13"/>
      <c r="F249" s="4"/>
      <c r="G249" s="4"/>
      <c r="H249" s="4"/>
      <c r="I249" s="4"/>
      <c r="J249" s="105"/>
      <c r="K249" s="54"/>
      <c r="L249" s="54"/>
      <c r="M249" s="55"/>
    </row>
    <row r="250" ht="13.5" customHeight="1">
      <c r="A250" s="6"/>
      <c r="B250" s="12"/>
      <c r="C250" s="12"/>
      <c r="D250" s="6"/>
      <c r="E250" s="13"/>
      <c r="F250" s="4"/>
      <c r="G250" s="4"/>
      <c r="H250" s="4"/>
      <c r="I250" s="4"/>
      <c r="J250" s="105"/>
      <c r="K250" s="54"/>
      <c r="L250" s="54"/>
      <c r="M250" s="55"/>
    </row>
    <row r="251" ht="13.5" customHeight="1">
      <c r="A251" s="6"/>
      <c r="B251" s="12"/>
      <c r="C251" s="12"/>
      <c r="D251" s="6"/>
      <c r="E251" s="13"/>
      <c r="F251" s="4"/>
      <c r="G251" s="4"/>
      <c r="H251" s="4"/>
      <c r="I251" s="4"/>
      <c r="J251" s="105"/>
      <c r="K251" s="54"/>
      <c r="L251" s="54"/>
      <c r="M251" s="55"/>
    </row>
    <row r="252" ht="13.5" customHeight="1">
      <c r="A252" s="6"/>
      <c r="B252" s="12"/>
      <c r="C252" s="12"/>
      <c r="D252" s="6"/>
      <c r="E252" s="13"/>
      <c r="F252" s="4"/>
      <c r="G252" s="4"/>
      <c r="H252" s="4"/>
      <c r="I252" s="4"/>
      <c r="J252" s="57"/>
      <c r="K252" s="54"/>
      <c r="L252" s="54"/>
      <c r="M252" s="55"/>
    </row>
    <row r="253" ht="13.5" customHeight="1">
      <c r="A253" s="6"/>
      <c r="B253" s="12"/>
      <c r="C253" s="12"/>
      <c r="D253" s="6"/>
      <c r="E253" s="13"/>
      <c r="F253" s="4"/>
      <c r="G253" s="4"/>
      <c r="H253" s="4"/>
      <c r="I253" s="4"/>
      <c r="J253" s="105"/>
      <c r="K253" s="54"/>
      <c r="L253" s="54"/>
      <c r="M253" s="55"/>
    </row>
    <row r="254" ht="13.5" customHeight="1">
      <c r="A254" s="6"/>
      <c r="B254" s="12"/>
      <c r="C254" s="12"/>
      <c r="D254" s="6"/>
      <c r="E254" s="13"/>
      <c r="F254" s="4"/>
      <c r="G254" s="4"/>
      <c r="H254" s="4"/>
      <c r="I254" s="4"/>
      <c r="J254" s="103"/>
      <c r="K254" s="54"/>
      <c r="L254" s="54"/>
      <c r="M254" s="55"/>
    </row>
    <row r="255" ht="12.75" customHeight="1">
      <c r="A255" s="6"/>
      <c r="B255" s="12"/>
      <c r="C255" s="12"/>
      <c r="D255" s="6"/>
      <c r="E255" s="13"/>
      <c r="F255" s="4"/>
      <c r="G255" s="4"/>
      <c r="H255" s="4"/>
      <c r="I255" s="4"/>
      <c r="J255" s="105"/>
      <c r="K255" s="54"/>
      <c r="L255" s="54"/>
      <c r="M255" s="55"/>
    </row>
    <row r="256" ht="12.75" customHeight="1">
      <c r="A256" s="6"/>
      <c r="B256" s="12"/>
      <c r="C256" s="12"/>
      <c r="D256" s="6"/>
      <c r="E256" s="13"/>
      <c r="F256" s="4"/>
      <c r="G256" s="4"/>
      <c r="H256" s="4"/>
      <c r="I256" s="4"/>
      <c r="J256" s="105"/>
      <c r="K256" s="54"/>
      <c r="L256" s="54"/>
      <c r="M256" s="55"/>
    </row>
    <row r="257" ht="12.75" customHeight="1">
      <c r="A257" s="6"/>
      <c r="B257" s="12"/>
      <c r="C257" s="12"/>
      <c r="D257" s="6"/>
      <c r="E257" s="13"/>
      <c r="F257" s="4"/>
      <c r="G257" s="4"/>
      <c r="H257" s="4"/>
      <c r="I257" s="4"/>
      <c r="J257" s="105"/>
      <c r="K257" s="54"/>
      <c r="L257" s="54"/>
      <c r="M257" s="55"/>
    </row>
    <row r="258" ht="12.75" customHeight="1">
      <c r="A258" s="6"/>
      <c r="B258" s="12"/>
      <c r="C258" s="12"/>
      <c r="D258" s="6"/>
      <c r="E258" s="13"/>
      <c r="F258" s="4"/>
      <c r="G258" s="4"/>
      <c r="H258" s="4"/>
      <c r="I258" s="4"/>
      <c r="J258" s="105"/>
      <c r="K258" s="54"/>
      <c r="L258" s="54"/>
      <c r="M258" s="55"/>
    </row>
    <row r="259" ht="12.75" customHeight="1">
      <c r="A259" s="6"/>
      <c r="B259" s="12"/>
      <c r="C259" s="12"/>
      <c r="D259" s="6"/>
      <c r="E259" s="13"/>
      <c r="F259" s="4"/>
      <c r="G259" s="4"/>
      <c r="H259" s="4"/>
      <c r="I259" s="4"/>
      <c r="J259" s="105"/>
      <c r="K259" s="54"/>
      <c r="L259" s="54"/>
      <c r="M259" s="55"/>
    </row>
    <row r="260" ht="12.75" customHeight="1">
      <c r="A260" s="6"/>
      <c r="B260" s="12"/>
      <c r="C260" s="12"/>
      <c r="D260" s="6"/>
      <c r="E260" s="13"/>
      <c r="F260" s="4"/>
      <c r="G260" s="4"/>
      <c r="H260" s="4"/>
      <c r="I260" s="4"/>
      <c r="J260" s="105"/>
      <c r="K260" s="54"/>
      <c r="L260" s="54"/>
      <c r="M260" s="55"/>
    </row>
    <row r="261" ht="12.75" customHeight="1">
      <c r="A261" s="6"/>
      <c r="B261" s="12"/>
      <c r="C261" s="12"/>
      <c r="D261" s="6"/>
      <c r="E261" s="13"/>
      <c r="F261" s="4"/>
      <c r="G261" s="4"/>
      <c r="H261" s="4"/>
      <c r="I261" s="4"/>
      <c r="J261" s="105"/>
      <c r="K261" s="54"/>
      <c r="L261" s="54"/>
      <c r="M261" s="55"/>
    </row>
    <row r="262" ht="12.75" customHeight="1">
      <c r="A262" s="6"/>
      <c r="B262" s="12"/>
      <c r="C262" s="12"/>
      <c r="D262" s="6"/>
      <c r="E262" s="13"/>
      <c r="F262" s="4"/>
      <c r="G262" s="4"/>
      <c r="H262" s="4"/>
      <c r="I262" s="4"/>
      <c r="J262" s="105"/>
      <c r="K262" s="54"/>
      <c r="L262" s="54"/>
      <c r="M262" s="55"/>
    </row>
    <row r="263" ht="12.75" customHeight="1">
      <c r="A263" s="6"/>
      <c r="B263" s="12"/>
      <c r="C263" s="12"/>
      <c r="D263" s="6"/>
      <c r="E263" s="13"/>
      <c r="F263" s="4"/>
      <c r="G263" s="4"/>
      <c r="H263" s="4"/>
      <c r="I263" s="4"/>
      <c r="J263" s="105"/>
      <c r="K263" s="54"/>
      <c r="L263" s="54"/>
      <c r="M263" s="55"/>
    </row>
    <row r="264" ht="12.75" customHeight="1">
      <c r="A264" s="6"/>
      <c r="B264" s="12"/>
      <c r="C264" s="12"/>
      <c r="D264" s="6"/>
      <c r="E264" s="13"/>
      <c r="F264" s="4"/>
      <c r="G264" s="4"/>
      <c r="H264" s="4"/>
      <c r="I264" s="4"/>
      <c r="J264" s="105"/>
      <c r="K264" s="54"/>
      <c r="L264" s="54"/>
      <c r="M264" s="55"/>
    </row>
    <row r="265" ht="12.75" customHeight="1">
      <c r="A265" s="6"/>
      <c r="B265" s="12"/>
      <c r="C265" s="12"/>
      <c r="D265" s="6"/>
      <c r="E265" s="13"/>
      <c r="F265" s="4"/>
      <c r="G265" s="4"/>
      <c r="H265" s="4"/>
      <c r="I265" s="4"/>
      <c r="J265" s="105"/>
      <c r="K265" s="54"/>
      <c r="L265" s="54"/>
      <c r="M265" s="55"/>
    </row>
    <row r="266" ht="12.75" customHeight="1">
      <c r="A266" s="6"/>
      <c r="B266" s="12"/>
      <c r="C266" s="12"/>
      <c r="D266" s="6"/>
      <c r="E266" s="13"/>
      <c r="F266" s="8"/>
      <c r="G266" s="4"/>
      <c r="H266" s="4"/>
      <c r="I266" s="4"/>
      <c r="J266" s="105"/>
      <c r="K266" s="54"/>
      <c r="L266" s="54"/>
      <c r="M266" s="55"/>
    </row>
    <row r="267" ht="12.75" customHeight="1">
      <c r="A267" s="6"/>
      <c r="B267" s="12"/>
      <c r="C267" s="12"/>
      <c r="D267" s="6"/>
      <c r="E267" s="13"/>
      <c r="F267" s="4"/>
      <c r="G267" s="4"/>
      <c r="H267" s="4"/>
      <c r="I267" s="4"/>
      <c r="J267" s="105"/>
      <c r="K267" s="54"/>
      <c r="L267" s="54"/>
      <c r="M267" s="55"/>
    </row>
    <row r="268" ht="12.75" customHeight="1">
      <c r="A268" s="6"/>
      <c r="B268" s="12"/>
      <c r="C268" s="12"/>
      <c r="D268" s="20"/>
      <c r="E268" s="13"/>
      <c r="F268" s="4"/>
      <c r="G268" s="4"/>
      <c r="H268" s="4"/>
      <c r="I268" s="4"/>
      <c r="J268" s="105"/>
      <c r="K268" s="54"/>
      <c r="L268" s="54"/>
      <c r="M268" s="55"/>
    </row>
    <row r="269" ht="12.75" customHeight="1">
      <c r="A269" s="6"/>
      <c r="B269" s="12"/>
      <c r="C269" s="12"/>
      <c r="D269" s="6"/>
      <c r="E269" s="13"/>
      <c r="F269" s="4"/>
      <c r="G269" s="44"/>
      <c r="H269" s="4"/>
      <c r="I269" s="4"/>
      <c r="J269" s="105"/>
      <c r="K269" s="54"/>
      <c r="L269" s="54"/>
      <c r="M269" s="55"/>
    </row>
    <row r="270" ht="12.75" customHeight="1">
      <c r="A270" s="6"/>
      <c r="B270" s="12"/>
      <c r="C270" s="12"/>
      <c r="D270" s="6"/>
      <c r="E270" s="13"/>
      <c r="F270" s="4"/>
      <c r="G270" s="50"/>
      <c r="H270" s="4"/>
      <c r="I270" s="4"/>
      <c r="J270" s="105"/>
      <c r="K270" s="54"/>
      <c r="L270" s="54"/>
      <c r="M270" s="55"/>
    </row>
    <row r="271" ht="12.75" customHeight="1">
      <c r="A271" s="6"/>
      <c r="B271" s="12"/>
      <c r="C271" s="12"/>
      <c r="D271" s="6"/>
      <c r="E271" s="13"/>
      <c r="F271" s="4"/>
      <c r="G271" s="4"/>
      <c r="H271" s="4"/>
      <c r="I271" s="4"/>
      <c r="J271" s="105"/>
      <c r="K271" s="54"/>
      <c r="L271" s="54"/>
      <c r="M271" s="55"/>
    </row>
    <row r="272" ht="12.75" customHeight="1">
      <c r="A272" s="6"/>
      <c r="B272" s="12"/>
      <c r="C272" s="12"/>
      <c r="D272" s="6"/>
      <c r="E272" s="13"/>
      <c r="F272" s="4"/>
      <c r="G272" s="4"/>
      <c r="H272" s="4"/>
      <c r="I272" s="4"/>
      <c r="J272" s="105"/>
      <c r="K272" s="54"/>
      <c r="L272" s="54"/>
      <c r="M272" s="55"/>
    </row>
    <row r="273" ht="12.75" customHeight="1">
      <c r="A273" s="6"/>
      <c r="B273" s="12"/>
      <c r="C273" s="12"/>
      <c r="D273" s="6"/>
      <c r="E273" s="13"/>
      <c r="F273" s="4"/>
      <c r="G273" s="4"/>
      <c r="H273" s="4"/>
      <c r="I273" s="4"/>
      <c r="J273" s="105"/>
      <c r="K273" s="54"/>
      <c r="L273" s="54"/>
      <c r="M273" s="55"/>
    </row>
    <row r="274" ht="12.75" customHeight="1">
      <c r="A274" s="6"/>
      <c r="B274" s="12"/>
      <c r="C274" s="12"/>
      <c r="D274" s="6"/>
      <c r="E274" s="13"/>
      <c r="F274" s="4"/>
      <c r="G274" s="4"/>
      <c r="H274" s="4"/>
      <c r="I274" s="4"/>
      <c r="J274" s="105"/>
      <c r="K274" s="54"/>
      <c r="L274" s="54"/>
      <c r="M274" s="55"/>
    </row>
    <row r="275" ht="12.75" customHeight="1">
      <c r="A275" s="6"/>
      <c r="B275" s="12"/>
      <c r="C275" s="12"/>
      <c r="D275" s="6"/>
      <c r="E275" s="13"/>
      <c r="F275" s="4"/>
      <c r="G275" s="4"/>
      <c r="H275" s="4"/>
      <c r="I275" s="4"/>
      <c r="J275" s="105"/>
      <c r="K275" s="54"/>
      <c r="L275" s="54"/>
      <c r="M275" s="55"/>
    </row>
    <row r="276" ht="12.75" customHeight="1">
      <c r="A276" s="6"/>
      <c r="B276" s="12"/>
      <c r="C276" s="12"/>
      <c r="D276" s="6"/>
      <c r="E276" s="13"/>
      <c r="F276" s="4"/>
      <c r="G276" s="4"/>
      <c r="H276" s="4"/>
      <c r="I276" s="4"/>
      <c r="J276" s="105"/>
      <c r="K276" s="54"/>
      <c r="L276" s="54"/>
      <c r="M276" s="55"/>
    </row>
    <row r="277" ht="12.75" customHeight="1">
      <c r="A277" s="6"/>
      <c r="B277" s="12"/>
      <c r="C277" s="12"/>
      <c r="D277" s="6"/>
      <c r="E277" s="13"/>
      <c r="F277" s="4"/>
      <c r="G277" s="4"/>
      <c r="H277" s="51"/>
      <c r="I277" s="51"/>
      <c r="J277" s="105"/>
      <c r="K277" s="54"/>
      <c r="L277" s="54"/>
      <c r="M277" s="55"/>
    </row>
    <row r="278" ht="12.75" customHeight="1">
      <c r="A278" s="6"/>
      <c r="B278" s="12"/>
      <c r="C278" s="12"/>
      <c r="D278" s="6"/>
      <c r="E278" s="13"/>
      <c r="F278" s="4"/>
      <c r="G278" s="4"/>
      <c r="H278" s="4"/>
      <c r="I278" s="4"/>
      <c r="J278" s="105"/>
      <c r="K278" s="54"/>
      <c r="L278" s="54"/>
      <c r="M278" s="55"/>
    </row>
    <row r="279" ht="13.5" customHeight="1">
      <c r="A279" s="6"/>
      <c r="B279" s="12"/>
      <c r="C279" s="12"/>
      <c r="D279" s="6"/>
      <c r="E279" s="13"/>
      <c r="F279" s="4"/>
      <c r="G279" s="4"/>
      <c r="H279" s="4"/>
      <c r="I279" s="4"/>
      <c r="J279" s="105"/>
      <c r="K279" s="54"/>
      <c r="L279" s="54"/>
      <c r="M279" s="55"/>
    </row>
    <row r="280" ht="4.5" customHeight="1">
      <c r="A280" s="6"/>
      <c r="B280" s="12"/>
      <c r="C280" s="12"/>
      <c r="D280" s="6"/>
      <c r="E280" s="13"/>
      <c r="F280" s="4"/>
      <c r="G280" s="4"/>
      <c r="H280" s="4"/>
      <c r="I280" s="4"/>
      <c r="J280" s="105"/>
      <c r="K280" s="54"/>
      <c r="L280" s="54"/>
      <c r="M280" s="55"/>
    </row>
    <row r="281" ht="12.75" customHeight="1">
      <c r="A281" s="6"/>
      <c r="B281" s="12"/>
      <c r="C281" s="12"/>
      <c r="D281" s="6"/>
      <c r="E281" s="13"/>
      <c r="F281" s="4"/>
      <c r="G281" s="8"/>
      <c r="H281" s="51"/>
      <c r="I281" s="51"/>
      <c r="J281" s="105"/>
      <c r="K281" s="54"/>
      <c r="L281" s="54"/>
      <c r="M281" s="55"/>
    </row>
    <row r="282" ht="12.75" customHeight="1">
      <c r="A282" s="6"/>
      <c r="B282" s="12"/>
      <c r="C282" s="12"/>
      <c r="D282" s="6"/>
      <c r="E282" s="13"/>
      <c r="F282" s="4"/>
      <c r="G282" s="4"/>
      <c r="H282" s="51"/>
      <c r="I282" s="51"/>
      <c r="J282" s="105"/>
      <c r="K282" s="54"/>
      <c r="L282" s="54"/>
      <c r="M282" s="55"/>
    </row>
    <row r="283" ht="12.75" customHeight="1">
      <c r="A283" s="6"/>
      <c r="B283" s="12"/>
      <c r="C283" s="12"/>
      <c r="D283" s="6"/>
      <c r="E283" s="24"/>
      <c r="F283" s="4"/>
      <c r="G283" s="4"/>
      <c r="H283" s="8"/>
      <c r="I283" s="8"/>
      <c r="J283" s="105"/>
      <c r="K283" s="54"/>
      <c r="L283" s="54"/>
      <c r="M283" s="55"/>
    </row>
    <row r="284" ht="12.75" customHeight="1">
      <c r="A284" s="6"/>
      <c r="B284" s="12"/>
      <c r="C284" s="12"/>
      <c r="D284" s="6"/>
      <c r="E284" s="13"/>
      <c r="F284" s="4"/>
      <c r="G284" s="4"/>
      <c r="H284" s="8"/>
      <c r="I284" s="8"/>
      <c r="J284" s="105"/>
      <c r="K284" s="54"/>
      <c r="L284" s="54"/>
      <c r="M284" s="55"/>
    </row>
    <row r="285" ht="12.75" customHeight="1">
      <c r="A285" s="20"/>
      <c r="B285" s="12"/>
      <c r="C285" s="12"/>
      <c r="D285" s="6"/>
      <c r="E285" s="13"/>
      <c r="F285" s="4"/>
      <c r="G285" s="4"/>
      <c r="H285" s="4"/>
      <c r="I285" s="4"/>
      <c r="J285" s="105"/>
      <c r="K285" s="54"/>
      <c r="L285" s="54"/>
      <c r="M285" s="55"/>
    </row>
    <row r="286" ht="12.75" customHeight="1">
      <c r="A286" s="6"/>
      <c r="B286" s="12"/>
      <c r="C286" s="12"/>
      <c r="D286" s="6"/>
      <c r="E286" s="13"/>
      <c r="F286" s="4"/>
      <c r="G286" s="4"/>
      <c r="H286" s="4"/>
      <c r="I286" s="4"/>
      <c r="J286" s="105"/>
      <c r="K286" s="54"/>
      <c r="L286" s="54"/>
      <c r="M286" s="55"/>
    </row>
    <row r="287" ht="12.75" customHeight="1">
      <c r="A287" s="6"/>
      <c r="B287" s="12"/>
      <c r="C287" s="12"/>
      <c r="D287" s="6"/>
      <c r="E287" s="13"/>
      <c r="F287" s="4"/>
      <c r="G287" s="4"/>
      <c r="H287" s="4"/>
      <c r="I287" s="4"/>
      <c r="J287" s="109"/>
      <c r="K287" s="54"/>
      <c r="L287" s="54"/>
      <c r="M287" s="55"/>
    </row>
    <row r="288" ht="12.75" customHeight="1">
      <c r="A288" s="6"/>
      <c r="B288" s="12"/>
      <c r="C288" s="12"/>
      <c r="D288" s="6"/>
      <c r="E288" s="13"/>
      <c r="F288" s="4"/>
      <c r="G288" s="4"/>
      <c r="H288" s="4"/>
      <c r="I288" s="4"/>
      <c r="J288" s="110"/>
      <c r="K288" s="54"/>
      <c r="L288" s="54"/>
      <c r="M288" s="55"/>
    </row>
    <row r="289" ht="12.75" customHeight="1">
      <c r="A289" s="6"/>
      <c r="B289" s="12"/>
      <c r="C289" s="12"/>
      <c r="D289" s="6"/>
      <c r="E289" s="13"/>
      <c r="F289" s="4"/>
      <c r="G289" s="4"/>
      <c r="H289" s="4"/>
      <c r="I289" s="4"/>
      <c r="J289" s="110"/>
      <c r="K289" s="54"/>
      <c r="L289" s="54"/>
      <c r="M289" s="55"/>
    </row>
    <row r="290" ht="12.75" customHeight="1">
      <c r="A290" s="6"/>
      <c r="B290" s="12"/>
      <c r="C290" s="12"/>
      <c r="D290" s="6"/>
      <c r="E290" s="13"/>
      <c r="F290" s="4"/>
      <c r="G290" s="4"/>
      <c r="H290" s="4"/>
      <c r="I290" s="4"/>
      <c r="J290" s="105"/>
      <c r="K290" s="54"/>
      <c r="L290" s="54"/>
      <c r="M290" s="55"/>
    </row>
    <row r="291" ht="12.75" customHeight="1">
      <c r="A291" s="6"/>
      <c r="B291" s="12"/>
      <c r="C291" s="12"/>
      <c r="D291" s="6"/>
      <c r="E291" s="13"/>
      <c r="F291" s="4"/>
      <c r="G291" s="4"/>
      <c r="H291" s="8"/>
      <c r="I291" s="8"/>
      <c r="J291" s="110"/>
      <c r="K291" s="54"/>
      <c r="L291" s="54"/>
      <c r="M291" s="55"/>
    </row>
    <row r="292" ht="12.75" customHeight="1">
      <c r="A292" s="6"/>
      <c r="B292" s="12"/>
      <c r="C292" s="12"/>
      <c r="D292" s="6"/>
      <c r="E292" s="13"/>
      <c r="F292" s="4"/>
      <c r="G292" s="4"/>
      <c r="H292" s="8"/>
      <c r="I292" s="8"/>
      <c r="J292" s="105"/>
      <c r="K292" s="54"/>
      <c r="L292" s="54"/>
      <c r="M292" s="55"/>
    </row>
    <row r="293" ht="12.75" customHeight="1">
      <c r="A293" s="6"/>
      <c r="B293" s="12"/>
      <c r="C293" s="12"/>
      <c r="D293" s="6"/>
      <c r="E293" s="13"/>
      <c r="F293" s="4"/>
      <c r="G293" s="4"/>
      <c r="H293" s="4"/>
      <c r="I293" s="4"/>
      <c r="J293" s="105"/>
      <c r="K293" s="54"/>
      <c r="L293" s="54"/>
      <c r="M293" s="55"/>
    </row>
    <row r="294" ht="12.75" customHeight="1">
      <c r="A294" s="6"/>
      <c r="B294" s="12"/>
      <c r="C294" s="12"/>
      <c r="D294" s="6"/>
      <c r="E294" s="13"/>
      <c r="F294" s="4"/>
      <c r="G294" s="50"/>
      <c r="H294" s="8"/>
      <c r="I294" s="8"/>
      <c r="J294" s="108"/>
      <c r="K294" s="54"/>
      <c r="L294" s="54"/>
      <c r="M294" s="55"/>
    </row>
    <row r="295" ht="12.75" customHeight="1">
      <c r="A295" s="6"/>
      <c r="B295" s="12"/>
      <c r="C295" s="12"/>
      <c r="D295" s="6"/>
      <c r="E295" s="13"/>
      <c r="F295" s="4"/>
      <c r="G295" s="4"/>
      <c r="H295" s="50"/>
      <c r="I295" s="50"/>
      <c r="J295" s="108"/>
      <c r="K295" s="54"/>
      <c r="L295" s="54"/>
      <c r="M295" s="55"/>
    </row>
    <row r="296" ht="12.75" customHeight="1">
      <c r="A296" s="6"/>
      <c r="B296" s="12"/>
      <c r="C296" s="12"/>
      <c r="D296" s="6"/>
      <c r="E296" s="13"/>
      <c r="F296" s="4"/>
      <c r="G296" s="4"/>
      <c r="H296" s="8"/>
      <c r="I296" s="8"/>
      <c r="J296" s="108"/>
      <c r="K296" s="54"/>
      <c r="L296" s="54"/>
      <c r="M296" s="55"/>
    </row>
    <row r="297" ht="12.75" customHeight="1">
      <c r="A297" s="6"/>
      <c r="B297" s="12"/>
      <c r="C297" s="12"/>
      <c r="D297" s="6"/>
      <c r="E297" s="13"/>
      <c r="F297" s="4"/>
      <c r="G297" s="4"/>
      <c r="H297" s="50"/>
      <c r="I297" s="50"/>
      <c r="J297" s="108"/>
      <c r="K297" s="54"/>
      <c r="L297" s="54"/>
      <c r="M297" s="55"/>
    </row>
    <row r="298" ht="12.75" customHeight="1">
      <c r="A298" s="6"/>
      <c r="B298" s="12"/>
      <c r="C298" s="12"/>
      <c r="D298" s="6"/>
      <c r="E298" s="13"/>
      <c r="F298" s="4"/>
      <c r="G298" s="4"/>
      <c r="H298" s="4"/>
      <c r="I298" s="4"/>
      <c r="J298" s="108"/>
      <c r="K298" s="54"/>
      <c r="L298" s="54"/>
      <c r="M298" s="55"/>
    </row>
    <row r="299" ht="12.75" customHeight="1">
      <c r="A299" s="6"/>
      <c r="B299" s="12"/>
      <c r="C299" s="12"/>
      <c r="D299" s="6"/>
      <c r="E299" s="13"/>
      <c r="F299" s="4"/>
      <c r="G299" s="4"/>
      <c r="H299" s="50"/>
      <c r="I299" s="50"/>
      <c r="J299" s="108"/>
      <c r="K299" s="54"/>
      <c r="L299" s="54"/>
      <c r="M299" s="55"/>
    </row>
    <row r="300" ht="12.75" customHeight="1">
      <c r="A300" s="6"/>
      <c r="B300" s="12"/>
      <c r="C300" s="12"/>
      <c r="D300" s="6"/>
      <c r="E300" s="13"/>
      <c r="F300" s="4"/>
      <c r="G300" s="4"/>
      <c r="H300" s="4"/>
      <c r="I300" s="4"/>
      <c r="J300" s="105"/>
      <c r="K300" s="54"/>
      <c r="L300" s="54"/>
      <c r="M300" s="55"/>
    </row>
    <row r="301" ht="12.75" customHeight="1">
      <c r="A301" s="6"/>
      <c r="B301" s="12"/>
      <c r="C301" s="12"/>
      <c r="D301" s="6"/>
      <c r="E301" s="13"/>
      <c r="F301" s="4"/>
      <c r="G301" s="4"/>
      <c r="H301" s="4"/>
      <c r="I301" s="4"/>
      <c r="J301" s="105"/>
      <c r="K301" s="54"/>
      <c r="L301" s="54"/>
      <c r="M301" s="55"/>
    </row>
    <row r="302" ht="12.75" customHeight="1">
      <c r="A302" s="6"/>
      <c r="B302" s="12"/>
      <c r="C302" s="12"/>
      <c r="D302" s="6"/>
      <c r="E302" s="13"/>
      <c r="F302" s="4"/>
      <c r="G302" s="4"/>
      <c r="H302" s="4"/>
      <c r="I302" s="4"/>
      <c r="J302" s="105"/>
      <c r="K302" s="54"/>
      <c r="L302" s="54"/>
      <c r="M302" s="55"/>
    </row>
    <row r="303" ht="12.75" customHeight="1">
      <c r="A303" s="6"/>
      <c r="B303" s="12"/>
      <c r="C303" s="12"/>
      <c r="D303" s="6"/>
      <c r="E303" s="13"/>
      <c r="F303" s="4"/>
      <c r="G303" s="4"/>
      <c r="H303" s="4"/>
      <c r="I303" s="4"/>
      <c r="J303" s="105"/>
      <c r="K303" s="54"/>
      <c r="L303" s="54"/>
      <c r="M303" s="55"/>
    </row>
    <row r="304" ht="12.75" customHeight="1">
      <c r="A304" s="6"/>
      <c r="B304" s="12"/>
      <c r="C304" s="12"/>
      <c r="D304" s="6"/>
      <c r="E304" s="13"/>
      <c r="F304" s="4"/>
      <c r="G304" s="4"/>
      <c r="H304" s="4"/>
      <c r="I304" s="4"/>
      <c r="J304" s="105"/>
      <c r="K304" s="54"/>
      <c r="L304" s="54"/>
      <c r="M304" s="55"/>
    </row>
    <row r="305" ht="12.75" customHeight="1">
      <c r="A305" s="6"/>
      <c r="B305" s="12"/>
      <c r="C305" s="12"/>
      <c r="D305" s="6"/>
      <c r="E305" s="13"/>
      <c r="F305" s="4"/>
      <c r="G305" s="4"/>
      <c r="H305" s="4"/>
      <c r="I305" s="4"/>
      <c r="J305" s="108"/>
      <c r="K305" s="54"/>
      <c r="L305" s="54"/>
      <c r="M305" s="55"/>
    </row>
    <row r="306" ht="12.75" customHeight="1">
      <c r="A306" s="6"/>
      <c r="B306" s="12"/>
      <c r="C306" s="12"/>
      <c r="D306" s="6"/>
      <c r="E306" s="13"/>
      <c r="F306" s="4"/>
      <c r="G306" s="4"/>
      <c r="H306" s="4"/>
      <c r="I306" s="4"/>
      <c r="J306" s="107"/>
      <c r="K306" s="54"/>
      <c r="L306" s="54"/>
      <c r="M306" s="55"/>
    </row>
    <row r="307" ht="12.75" customHeight="1">
      <c r="A307" s="27"/>
      <c r="B307" s="28"/>
      <c r="C307" s="28"/>
      <c r="D307" s="27"/>
      <c r="E307" s="24"/>
      <c r="F307" s="32"/>
      <c r="G307" s="34"/>
      <c r="H307" s="32"/>
      <c r="I307" s="32"/>
      <c r="J307" s="111"/>
      <c r="K307" s="54"/>
      <c r="L307" s="54"/>
      <c r="M307" s="55"/>
    </row>
    <row r="308" ht="12.75" customHeight="1">
      <c r="A308" s="6"/>
      <c r="B308" s="12"/>
      <c r="C308" s="12"/>
      <c r="D308" s="6"/>
      <c r="E308" s="13"/>
      <c r="F308" s="4"/>
      <c r="G308" s="4"/>
      <c r="H308" s="4"/>
      <c r="I308" s="4"/>
      <c r="J308" s="103"/>
      <c r="K308" s="54"/>
      <c r="L308" s="54"/>
      <c r="M308" s="55"/>
    </row>
    <row r="309" ht="12.75" customHeight="1">
      <c r="A309" s="27"/>
      <c r="B309" s="28"/>
      <c r="C309" s="28"/>
      <c r="D309" s="27"/>
      <c r="E309" s="24"/>
      <c r="F309" s="32"/>
      <c r="G309" s="32"/>
      <c r="H309" s="4"/>
      <c r="I309" s="4"/>
      <c r="J309" s="103"/>
      <c r="K309" s="54"/>
      <c r="L309" s="54"/>
      <c r="M309" s="55"/>
    </row>
    <row r="310" ht="12.75" customHeight="1">
      <c r="A310" s="27"/>
      <c r="B310" s="28"/>
      <c r="C310" s="28"/>
      <c r="D310" s="27"/>
      <c r="E310" s="24"/>
      <c r="F310" s="32"/>
      <c r="G310" s="32"/>
      <c r="H310" s="4"/>
      <c r="I310" s="4"/>
      <c r="J310" s="57"/>
      <c r="K310" s="54"/>
      <c r="L310" s="54"/>
      <c r="M310" s="55"/>
    </row>
    <row r="311" ht="12.75" customHeight="1">
      <c r="A311" s="6"/>
      <c r="B311" s="12"/>
      <c r="C311" s="12"/>
      <c r="D311" s="6"/>
      <c r="E311" s="13"/>
      <c r="F311" s="4"/>
      <c r="G311" s="4"/>
      <c r="H311" s="4"/>
      <c r="I311" s="4"/>
      <c r="J311" s="57"/>
      <c r="K311" s="54"/>
      <c r="L311" s="54"/>
      <c r="M311" s="55"/>
    </row>
    <row r="312" ht="12.75" customHeight="1">
      <c r="A312" s="6"/>
      <c r="B312" s="12"/>
      <c r="C312" s="12"/>
      <c r="D312" s="6"/>
      <c r="E312" s="13"/>
      <c r="F312" s="4"/>
      <c r="G312" s="4"/>
      <c r="H312" s="4"/>
      <c r="I312" s="4"/>
      <c r="J312" s="107"/>
      <c r="K312" s="54"/>
      <c r="L312" s="54"/>
      <c r="M312" s="55"/>
    </row>
    <row r="313" ht="12.75" customHeight="1">
      <c r="A313" s="6"/>
      <c r="B313" s="12"/>
      <c r="C313" s="12"/>
      <c r="D313" s="6"/>
      <c r="E313" s="13"/>
      <c r="F313" s="4"/>
      <c r="G313" s="4"/>
      <c r="H313" s="4"/>
      <c r="I313" s="4"/>
      <c r="J313" s="105"/>
      <c r="K313" s="54"/>
      <c r="L313" s="54"/>
      <c r="M313" s="55"/>
    </row>
    <row r="314" ht="12.75" customHeight="1">
      <c r="A314" s="27"/>
      <c r="B314" s="28"/>
      <c r="C314" s="28"/>
      <c r="D314" s="27"/>
      <c r="E314" s="24"/>
      <c r="F314" s="32"/>
      <c r="G314" s="32"/>
      <c r="H314" s="32"/>
      <c r="I314" s="32"/>
      <c r="J314" s="112"/>
      <c r="K314" s="54"/>
      <c r="L314" s="54"/>
      <c r="M314" s="55"/>
    </row>
    <row r="315" ht="12.75" customHeight="1">
      <c r="A315" s="6"/>
      <c r="B315" s="12"/>
      <c r="C315" s="12"/>
      <c r="D315" s="6"/>
      <c r="E315" s="13"/>
      <c r="F315" s="4"/>
      <c r="G315" s="4"/>
      <c r="H315" s="4"/>
      <c r="I315" s="4"/>
      <c r="J315" s="110"/>
      <c r="K315" s="54"/>
      <c r="L315" s="54"/>
      <c r="M315" s="55"/>
    </row>
    <row r="316" ht="12.75" customHeight="1">
      <c r="A316" s="6"/>
      <c r="B316" s="12"/>
      <c r="C316" s="12"/>
      <c r="D316" s="6"/>
      <c r="E316" s="13"/>
      <c r="F316" s="4"/>
      <c r="G316" s="4"/>
      <c r="H316" s="4"/>
      <c r="I316" s="4"/>
      <c r="J316" s="110"/>
      <c r="K316" s="54"/>
      <c r="L316" s="54"/>
      <c r="M316" s="55"/>
    </row>
    <row r="317" ht="12.75" customHeight="1">
      <c r="A317" s="6"/>
      <c r="B317" s="12"/>
      <c r="C317" s="12"/>
      <c r="D317" s="6"/>
      <c r="E317" s="13"/>
      <c r="F317" s="4"/>
      <c r="G317" s="4"/>
      <c r="H317" s="4"/>
      <c r="I317" s="4"/>
      <c r="J317" s="110"/>
      <c r="K317" s="54"/>
      <c r="L317" s="54"/>
      <c r="M317" s="55"/>
    </row>
    <row r="318" ht="12.75" customHeight="1">
      <c r="A318" s="6"/>
      <c r="B318" s="12"/>
      <c r="C318" s="12"/>
      <c r="D318" s="6"/>
      <c r="E318" s="13"/>
      <c r="F318" s="4"/>
      <c r="G318" s="4"/>
      <c r="H318" s="4"/>
      <c r="I318" s="4"/>
      <c r="J318" s="105"/>
      <c r="K318" s="54"/>
      <c r="L318" s="54"/>
      <c r="M318" s="55"/>
    </row>
    <row r="319" ht="12.75" customHeight="1">
      <c r="A319" s="6"/>
      <c r="B319" s="28"/>
      <c r="C319" s="28"/>
      <c r="D319" s="27"/>
      <c r="E319" s="24"/>
      <c r="F319" s="4"/>
      <c r="G319" s="4"/>
      <c r="H319" s="4"/>
      <c r="I319" s="4"/>
      <c r="J319" s="110"/>
      <c r="K319" s="54"/>
      <c r="L319" s="54"/>
      <c r="M319" s="55"/>
    </row>
    <row r="320" ht="12.75" customHeight="1">
      <c r="A320" s="27"/>
      <c r="B320" s="33"/>
      <c r="C320" s="33"/>
      <c r="D320" s="33"/>
      <c r="E320" s="24"/>
      <c r="F320" s="32"/>
      <c r="G320" s="34"/>
      <c r="H320" s="32"/>
      <c r="I320" s="32"/>
      <c r="J320" s="112"/>
      <c r="K320" s="54"/>
      <c r="L320" s="54"/>
      <c r="M320" s="55"/>
    </row>
    <row r="321" ht="12.75" customHeight="1">
      <c r="A321" s="6"/>
      <c r="B321" s="1"/>
      <c r="C321" s="1"/>
      <c r="D321" s="1"/>
      <c r="E321" s="13"/>
      <c r="F321" s="4"/>
      <c r="G321" s="4"/>
      <c r="H321" s="4"/>
      <c r="I321" s="4"/>
      <c r="J321" s="110"/>
      <c r="K321" s="54"/>
      <c r="L321" s="54"/>
      <c r="M321" s="55"/>
    </row>
    <row r="322" ht="12.75" customHeight="1">
      <c r="A322" s="27"/>
      <c r="B322" s="33"/>
      <c r="C322" s="33"/>
      <c r="D322" s="33"/>
      <c r="E322" s="24"/>
      <c r="F322" s="32"/>
      <c r="G322" s="32"/>
      <c r="H322" s="32"/>
      <c r="I322" s="32"/>
      <c r="J322" s="113"/>
      <c r="K322" s="54"/>
      <c r="L322" s="54"/>
      <c r="M322" s="55"/>
    </row>
    <row r="323" ht="12.75" customHeight="1">
      <c r="A323" s="6"/>
      <c r="B323" s="1"/>
      <c r="C323" s="1"/>
      <c r="D323" s="1"/>
      <c r="E323" s="13"/>
      <c r="F323" s="4"/>
      <c r="G323" s="4"/>
      <c r="H323" s="4"/>
      <c r="I323" s="4"/>
      <c r="J323" s="110"/>
      <c r="K323" s="54"/>
      <c r="L323" s="54"/>
      <c r="M323" s="55"/>
    </row>
    <row r="324" ht="12.75" customHeight="1">
      <c r="A324" s="6"/>
      <c r="B324" s="1"/>
      <c r="C324" s="1"/>
      <c r="D324" s="1"/>
      <c r="E324" s="13"/>
      <c r="F324" s="4"/>
      <c r="G324" s="4"/>
      <c r="H324" s="4"/>
      <c r="I324" s="4"/>
      <c r="J324" s="110"/>
      <c r="K324" s="54"/>
      <c r="L324" s="54"/>
      <c r="M324" s="55"/>
    </row>
    <row r="325" ht="12.75" customHeight="1">
      <c r="A325" s="6"/>
      <c r="B325" s="1"/>
      <c r="C325" s="1"/>
      <c r="D325" s="1"/>
      <c r="E325" s="13"/>
      <c r="F325" s="4"/>
      <c r="G325" s="4"/>
      <c r="H325" s="4"/>
      <c r="I325" s="4"/>
      <c r="J325" s="110"/>
      <c r="K325" s="54"/>
      <c r="L325" s="54"/>
      <c r="M325" s="55"/>
    </row>
    <row r="326" ht="12.75" customHeight="1">
      <c r="A326" s="27"/>
      <c r="B326" s="33"/>
      <c r="C326" s="33"/>
      <c r="D326" s="33"/>
      <c r="E326" s="24"/>
      <c r="F326" s="32"/>
      <c r="G326" s="32"/>
      <c r="H326" s="32"/>
      <c r="I326" s="32"/>
      <c r="J326" s="112"/>
      <c r="K326" s="54"/>
      <c r="L326" s="54"/>
      <c r="M326" s="55"/>
    </row>
    <row r="327" ht="12.75" customHeight="1">
      <c r="A327" s="6"/>
      <c r="B327" s="1"/>
      <c r="C327" s="1"/>
      <c r="D327" s="1"/>
      <c r="E327" s="13"/>
      <c r="F327" s="4"/>
      <c r="G327" s="4"/>
      <c r="H327" s="4"/>
      <c r="I327" s="4"/>
      <c r="J327" s="110"/>
      <c r="K327" s="54"/>
      <c r="L327" s="54"/>
      <c r="M327" s="55"/>
    </row>
    <row r="328" ht="12.75" customHeight="1">
      <c r="A328" s="27"/>
      <c r="B328" s="33"/>
      <c r="C328" s="33"/>
      <c r="D328" s="33"/>
      <c r="E328" s="24"/>
      <c r="F328" s="32"/>
      <c r="G328" s="32"/>
      <c r="H328" s="32"/>
      <c r="I328" s="32"/>
      <c r="J328" s="113"/>
      <c r="K328" s="54"/>
      <c r="L328" s="54"/>
      <c r="M328" s="55"/>
    </row>
    <row r="329" ht="12.75" customHeight="1">
      <c r="A329" s="6"/>
      <c r="B329" s="1"/>
      <c r="C329" s="1"/>
      <c r="D329" s="1"/>
      <c r="E329" s="13"/>
      <c r="F329" s="4"/>
      <c r="G329" s="4"/>
      <c r="H329" s="4"/>
      <c r="I329" s="4"/>
      <c r="J329" s="110"/>
      <c r="K329" s="54"/>
      <c r="L329" s="54"/>
      <c r="M329" s="55"/>
    </row>
    <row r="330" ht="12.75" customHeight="1">
      <c r="A330" s="6"/>
      <c r="B330" s="1"/>
      <c r="C330" s="1"/>
      <c r="D330" s="1"/>
      <c r="E330" s="13"/>
      <c r="F330" s="4"/>
      <c r="G330" s="4"/>
      <c r="H330" s="4"/>
      <c r="I330" s="4"/>
      <c r="J330" s="110"/>
      <c r="K330" s="54"/>
      <c r="L330" s="54"/>
      <c r="M330" s="55"/>
    </row>
    <row r="331" ht="12.75" customHeight="1">
      <c r="A331" s="6"/>
      <c r="B331" s="1"/>
      <c r="C331" s="1"/>
      <c r="D331" s="1"/>
      <c r="E331" s="13"/>
      <c r="F331" s="4"/>
      <c r="G331" s="4"/>
      <c r="H331" s="4"/>
      <c r="I331" s="4"/>
      <c r="J331" s="105"/>
      <c r="K331" s="54"/>
      <c r="L331" s="54"/>
      <c r="M331" s="55"/>
    </row>
    <row r="332" ht="12.75" customHeight="1">
      <c r="A332" s="27"/>
      <c r="B332" s="33"/>
      <c r="C332" s="33"/>
      <c r="D332" s="33"/>
      <c r="E332" s="24"/>
      <c r="F332" s="32"/>
      <c r="G332" s="32"/>
      <c r="H332" s="32"/>
      <c r="I332" s="32"/>
      <c r="J332" s="112"/>
      <c r="K332" s="54"/>
      <c r="L332" s="54"/>
      <c r="M332" s="55"/>
    </row>
    <row r="333" ht="12.75" customHeight="1">
      <c r="A333" s="27"/>
      <c r="B333" s="33"/>
      <c r="C333" s="33"/>
      <c r="D333" s="33"/>
      <c r="E333" s="24"/>
      <c r="F333" s="32"/>
      <c r="G333" s="32"/>
      <c r="H333" s="32"/>
      <c r="I333" s="32"/>
      <c r="J333" s="112"/>
      <c r="K333" s="54"/>
      <c r="L333" s="54"/>
      <c r="M333" s="55"/>
    </row>
    <row r="334" ht="12.75" customHeight="1">
      <c r="A334" s="27"/>
      <c r="B334" s="33"/>
      <c r="C334" s="33"/>
      <c r="D334" s="33"/>
      <c r="E334" s="24"/>
      <c r="F334" s="32"/>
      <c r="G334" s="32"/>
      <c r="H334" s="32"/>
      <c r="I334" s="32"/>
      <c r="J334" s="112"/>
      <c r="K334" s="54"/>
      <c r="L334" s="54"/>
      <c r="M334" s="55"/>
    </row>
    <row r="335" ht="12.75" customHeight="1">
      <c r="A335" s="27"/>
      <c r="B335" s="33"/>
      <c r="C335" s="33"/>
      <c r="D335" s="33"/>
      <c r="E335" s="36"/>
      <c r="F335" s="32"/>
      <c r="G335" s="34"/>
      <c r="H335" s="32"/>
      <c r="I335" s="32"/>
      <c r="J335" s="114"/>
      <c r="K335" s="54"/>
      <c r="L335" s="54"/>
      <c r="M335" s="55"/>
    </row>
    <row r="336" ht="12.75" customHeight="1">
      <c r="A336" s="6"/>
      <c r="B336" s="1"/>
      <c r="C336" s="1"/>
      <c r="D336" s="1"/>
      <c r="E336" s="13"/>
      <c r="F336" s="4"/>
      <c r="G336" s="4"/>
      <c r="H336" s="4"/>
      <c r="I336" s="4"/>
      <c r="J336" s="110"/>
      <c r="K336" s="54"/>
      <c r="L336" s="54"/>
      <c r="M336" s="55"/>
    </row>
    <row r="337" ht="12.75" customHeight="1">
      <c r="A337" s="6"/>
      <c r="B337" s="1"/>
      <c r="C337" s="1"/>
      <c r="D337" s="1"/>
      <c r="E337" s="13"/>
      <c r="F337" s="4"/>
      <c r="G337" s="4"/>
      <c r="H337" s="4"/>
      <c r="I337" s="4"/>
      <c r="J337" s="105"/>
      <c r="K337" s="54"/>
      <c r="L337" s="54"/>
      <c r="M337" s="55"/>
    </row>
    <row r="338" ht="12.75" customHeight="1">
      <c r="A338" s="27"/>
      <c r="B338" s="33"/>
      <c r="C338" s="33"/>
      <c r="D338" s="33"/>
      <c r="E338" s="36"/>
      <c r="F338" s="32"/>
      <c r="G338" s="32"/>
      <c r="H338" s="32"/>
      <c r="I338" s="32"/>
      <c r="J338" s="114"/>
      <c r="K338" s="54"/>
      <c r="L338" s="54"/>
      <c r="M338" s="55"/>
    </row>
    <row r="339" ht="12.75" customHeight="1">
      <c r="A339" s="27"/>
      <c r="B339" s="33"/>
      <c r="C339" s="33"/>
      <c r="D339" s="33"/>
      <c r="E339" s="24"/>
      <c r="F339" s="32"/>
      <c r="G339" s="32"/>
      <c r="H339" s="32"/>
      <c r="I339" s="32"/>
      <c r="J339" s="113"/>
      <c r="K339" s="54"/>
      <c r="L339" s="54"/>
      <c r="M339" s="55"/>
    </row>
    <row r="340" ht="12.75" customHeight="1">
      <c r="A340" s="27"/>
      <c r="B340" s="33"/>
      <c r="C340" s="33"/>
      <c r="D340" s="33"/>
      <c r="E340" s="24"/>
      <c r="F340" s="32"/>
      <c r="G340" s="32"/>
      <c r="H340" s="32"/>
      <c r="I340" s="32"/>
      <c r="J340" s="113"/>
      <c r="K340" s="54"/>
      <c r="L340" s="54"/>
      <c r="M340" s="55"/>
    </row>
    <row r="341" ht="12.75" customHeight="1">
      <c r="A341" s="6"/>
      <c r="B341" s="1"/>
      <c r="C341" s="1"/>
      <c r="D341" s="1"/>
      <c r="E341" s="13"/>
      <c r="F341" s="4"/>
      <c r="G341" s="4"/>
      <c r="H341" s="4"/>
      <c r="I341" s="4"/>
      <c r="J341" s="110"/>
      <c r="K341" s="54"/>
      <c r="L341" s="54"/>
      <c r="M341" s="55"/>
    </row>
    <row r="342" ht="60.0" customHeight="1">
      <c r="A342" s="27"/>
      <c r="B342" s="33"/>
      <c r="C342" s="33"/>
      <c r="D342" s="33"/>
      <c r="E342" s="24"/>
      <c r="F342" s="32"/>
      <c r="G342" s="32"/>
      <c r="H342" s="32"/>
      <c r="I342" s="32"/>
      <c r="J342" s="112"/>
      <c r="K342" s="54"/>
      <c r="L342" s="54"/>
      <c r="M342" s="55"/>
    </row>
    <row r="343" ht="60.0" customHeight="1">
      <c r="A343" s="27"/>
      <c r="B343" s="33"/>
      <c r="C343" s="33"/>
      <c r="D343" s="33"/>
      <c r="E343" s="24"/>
      <c r="F343" s="32"/>
      <c r="G343" s="32"/>
      <c r="H343" s="32"/>
      <c r="I343" s="32"/>
      <c r="J343" s="112"/>
      <c r="K343" s="54"/>
      <c r="L343" s="54"/>
      <c r="M343" s="55"/>
    </row>
    <row r="344" ht="20.25" customHeight="1">
      <c r="A344" s="27"/>
      <c r="B344" s="33"/>
      <c r="C344" s="33"/>
      <c r="D344" s="33"/>
      <c r="E344" s="24"/>
      <c r="F344" s="32"/>
      <c r="G344" s="32"/>
      <c r="H344" s="32"/>
      <c r="I344" s="32"/>
      <c r="J344" s="112"/>
      <c r="K344" s="54"/>
      <c r="L344" s="54"/>
      <c r="M344" s="55"/>
    </row>
    <row r="345" ht="20.25" customHeight="1">
      <c r="A345" s="27"/>
      <c r="B345" s="33"/>
      <c r="C345" s="33"/>
      <c r="D345" s="33"/>
      <c r="E345" s="24"/>
      <c r="F345" s="32"/>
      <c r="G345" s="32"/>
      <c r="H345" s="32"/>
      <c r="I345" s="32"/>
      <c r="J345" s="113"/>
      <c r="K345" s="54"/>
      <c r="L345" s="54"/>
      <c r="M345" s="55"/>
    </row>
    <row r="346" ht="20.25" customHeight="1">
      <c r="A346" s="27"/>
      <c r="B346" s="33"/>
      <c r="C346" s="33"/>
      <c r="D346" s="33"/>
      <c r="E346" s="24"/>
      <c r="F346" s="32"/>
      <c r="G346" s="37"/>
      <c r="H346" s="32"/>
      <c r="I346" s="32"/>
      <c r="J346" s="115"/>
      <c r="K346" s="54"/>
      <c r="L346" s="54"/>
      <c r="M346" s="55"/>
    </row>
    <row r="347" ht="20.25" customHeight="1">
      <c r="A347" s="27"/>
      <c r="B347" s="33"/>
      <c r="C347" s="33"/>
      <c r="D347" s="33"/>
      <c r="E347" s="24"/>
      <c r="F347" s="32"/>
      <c r="G347" s="32"/>
      <c r="H347" s="32"/>
      <c r="I347" s="32"/>
      <c r="J347" s="112"/>
      <c r="K347" s="54"/>
      <c r="L347" s="54"/>
      <c r="M347" s="55"/>
    </row>
    <row r="348" ht="20.25" customHeight="1">
      <c r="A348" s="27"/>
      <c r="B348" s="33"/>
      <c r="C348" s="33"/>
      <c r="D348" s="33"/>
      <c r="E348" s="24"/>
      <c r="F348" s="32"/>
      <c r="G348" s="32"/>
      <c r="H348" s="32"/>
      <c r="I348" s="32"/>
      <c r="J348" s="113"/>
      <c r="K348" s="54"/>
      <c r="L348" s="54"/>
      <c r="M348" s="55"/>
    </row>
    <row r="349" ht="20.25" customHeight="1">
      <c r="A349" s="27"/>
      <c r="B349" s="33"/>
      <c r="C349" s="33"/>
      <c r="D349" s="33"/>
      <c r="E349" s="24"/>
      <c r="F349" s="32"/>
      <c r="G349" s="32"/>
      <c r="H349" s="32"/>
      <c r="I349" s="32"/>
      <c r="J349" s="112"/>
      <c r="K349" s="54"/>
      <c r="L349" s="54"/>
      <c r="M349" s="55"/>
    </row>
    <row r="350" ht="20.25" customHeight="1">
      <c r="A350" s="27"/>
      <c r="B350" s="33"/>
      <c r="C350" s="33"/>
      <c r="D350" s="33"/>
      <c r="E350" s="24"/>
      <c r="F350" s="32"/>
      <c r="G350" s="32"/>
      <c r="H350" s="32"/>
      <c r="I350" s="32"/>
      <c r="J350" s="113"/>
      <c r="K350" s="54"/>
      <c r="L350" s="54"/>
      <c r="M350" s="55"/>
    </row>
    <row r="351" ht="20.25" customHeight="1">
      <c r="A351" s="27"/>
      <c r="B351" s="33"/>
      <c r="C351" s="33"/>
      <c r="D351" s="33"/>
      <c r="E351" s="24"/>
      <c r="F351" s="32"/>
      <c r="G351" s="32"/>
      <c r="H351" s="32"/>
      <c r="I351" s="32"/>
      <c r="J351" s="113"/>
      <c r="K351" s="54"/>
      <c r="L351" s="54"/>
      <c r="M351" s="55"/>
    </row>
    <row r="352" ht="20.25" customHeight="1">
      <c r="A352" s="27"/>
      <c r="B352" s="33"/>
      <c r="C352" s="33"/>
      <c r="D352" s="33"/>
      <c r="E352" s="24"/>
      <c r="F352" s="32"/>
      <c r="G352" s="32"/>
      <c r="H352" s="32"/>
      <c r="I352" s="32"/>
      <c r="J352" s="113"/>
      <c r="K352" s="54"/>
      <c r="L352" s="54"/>
      <c r="M352" s="55"/>
    </row>
    <row r="353" ht="20.25" customHeight="1">
      <c r="A353" s="27"/>
      <c r="B353" s="33"/>
      <c r="C353" s="33"/>
      <c r="D353" s="33"/>
      <c r="E353" s="24"/>
      <c r="F353" s="32"/>
      <c r="G353" s="32"/>
      <c r="H353" s="32"/>
      <c r="I353" s="32"/>
      <c r="J353" s="112"/>
      <c r="K353" s="54"/>
      <c r="L353" s="54"/>
      <c r="M353" s="55"/>
    </row>
    <row r="354" ht="20.25" customHeight="1">
      <c r="A354" s="27"/>
      <c r="B354" s="33"/>
      <c r="C354" s="33"/>
      <c r="D354" s="33"/>
      <c r="E354" s="24"/>
      <c r="F354" s="32"/>
      <c r="G354" s="32"/>
      <c r="H354" s="32"/>
      <c r="I354" s="32"/>
      <c r="J354" s="113"/>
      <c r="K354" s="54"/>
      <c r="L354" s="54"/>
      <c r="M354" s="55"/>
    </row>
    <row r="355" ht="20.25" customHeight="1">
      <c r="A355" s="27"/>
      <c r="B355" s="33"/>
      <c r="C355" s="33"/>
      <c r="D355" s="33"/>
      <c r="E355" s="24"/>
      <c r="F355" s="32"/>
      <c r="G355" s="32"/>
      <c r="H355" s="32"/>
      <c r="I355" s="32"/>
      <c r="J355" s="113"/>
      <c r="K355" s="54"/>
      <c r="L355" s="54"/>
      <c r="M355" s="55"/>
    </row>
    <row r="356" ht="20.25" customHeight="1">
      <c r="A356" s="27"/>
      <c r="B356" s="33"/>
      <c r="C356" s="33"/>
      <c r="D356" s="33"/>
      <c r="E356" s="24"/>
      <c r="F356" s="32"/>
      <c r="G356" s="32"/>
      <c r="H356" s="32"/>
      <c r="I356" s="32"/>
      <c r="J356" s="113"/>
      <c r="K356" s="54"/>
      <c r="L356" s="54"/>
      <c r="M356" s="55"/>
    </row>
    <row r="357" ht="20.25" customHeight="1">
      <c r="A357" s="27"/>
      <c r="B357" s="33"/>
      <c r="C357" s="33"/>
      <c r="D357" s="33"/>
      <c r="E357" s="24"/>
      <c r="F357" s="32"/>
      <c r="G357" s="34"/>
      <c r="H357" s="32"/>
      <c r="I357" s="32"/>
      <c r="J357" s="112"/>
      <c r="K357" s="54"/>
      <c r="L357" s="54"/>
      <c r="M357" s="55"/>
    </row>
    <row r="358" ht="20.25" customHeight="1">
      <c r="A358" s="6"/>
      <c r="B358" s="12"/>
      <c r="C358" s="12"/>
      <c r="D358" s="6"/>
      <c r="E358" s="13"/>
      <c r="F358" s="4"/>
      <c r="G358" s="4"/>
      <c r="H358" s="4"/>
      <c r="I358" s="4"/>
      <c r="J358" s="57"/>
      <c r="K358" s="54"/>
      <c r="L358" s="54"/>
      <c r="M358" s="55"/>
    </row>
    <row r="359" ht="20.25" customHeight="1">
      <c r="A359" s="6"/>
      <c r="B359" s="1"/>
      <c r="C359" s="1"/>
      <c r="D359" s="1"/>
      <c r="E359" s="13"/>
      <c r="F359" s="4"/>
      <c r="G359" s="4"/>
      <c r="H359" s="4"/>
      <c r="I359" s="4"/>
      <c r="J359" s="105"/>
      <c r="K359" s="54"/>
      <c r="L359" s="54"/>
      <c r="M359" s="55"/>
    </row>
    <row r="360" ht="20.25" customHeight="1">
      <c r="A360" s="27"/>
      <c r="B360" s="33"/>
      <c r="C360" s="33"/>
      <c r="D360" s="33"/>
      <c r="E360" s="24"/>
      <c r="F360" s="32"/>
      <c r="G360" s="32"/>
      <c r="H360" s="32"/>
      <c r="I360" s="32"/>
      <c r="J360" s="112"/>
      <c r="K360" s="54"/>
      <c r="L360" s="54"/>
      <c r="M360" s="55"/>
    </row>
    <row r="361" ht="20.25" customHeight="1">
      <c r="A361" s="6"/>
      <c r="B361" s="1"/>
      <c r="C361" s="1"/>
      <c r="D361" s="1"/>
      <c r="E361" s="13"/>
      <c r="F361" s="4"/>
      <c r="G361" s="4"/>
      <c r="H361" s="4"/>
      <c r="I361" s="4"/>
      <c r="J361" s="105"/>
      <c r="K361" s="54"/>
      <c r="L361" s="54"/>
      <c r="M361" s="55"/>
    </row>
    <row r="362" ht="20.25" customHeight="1">
      <c r="A362" s="6"/>
      <c r="B362" s="1"/>
      <c r="C362" s="1"/>
      <c r="D362" s="1"/>
      <c r="E362" s="13"/>
      <c r="F362" s="4"/>
      <c r="G362" s="4"/>
      <c r="H362" s="4"/>
      <c r="I362" s="4"/>
      <c r="J362" s="105"/>
      <c r="K362" s="54"/>
      <c r="L362" s="54"/>
      <c r="M362" s="55"/>
    </row>
    <row r="363" ht="20.25" customHeight="1">
      <c r="A363" s="27"/>
      <c r="B363" s="33"/>
      <c r="C363" s="33"/>
      <c r="D363" s="33"/>
      <c r="E363" s="24"/>
      <c r="F363" s="32"/>
      <c r="G363" s="32"/>
      <c r="H363" s="32"/>
      <c r="I363" s="32"/>
      <c r="J363" s="116"/>
      <c r="K363" s="54"/>
      <c r="L363" s="54"/>
      <c r="M363" s="55"/>
    </row>
    <row r="364" ht="20.25" customHeight="1">
      <c r="A364" s="6"/>
      <c r="B364" s="1"/>
      <c r="C364" s="1"/>
      <c r="D364" s="1"/>
      <c r="E364" s="13"/>
      <c r="F364" s="4"/>
      <c r="G364" s="4"/>
      <c r="H364" s="4"/>
      <c r="I364" s="4"/>
      <c r="J364" s="105"/>
      <c r="K364" s="54"/>
      <c r="L364" s="54"/>
      <c r="M364" s="55"/>
    </row>
    <row r="365" ht="20.25" customHeight="1">
      <c r="A365" s="33"/>
      <c r="B365" s="33"/>
      <c r="C365" s="33"/>
      <c r="D365" s="33"/>
      <c r="E365" s="24"/>
      <c r="F365" s="32"/>
      <c r="G365" s="32"/>
      <c r="H365" s="32"/>
      <c r="I365" s="32"/>
      <c r="J365" s="112"/>
      <c r="K365" s="54"/>
      <c r="L365" s="54"/>
      <c r="M365" s="55"/>
    </row>
    <row r="366" ht="20.25" customHeight="1">
      <c r="A366" s="6"/>
      <c r="B366" s="12"/>
      <c r="C366" s="12"/>
      <c r="D366" s="6"/>
      <c r="E366" s="24"/>
      <c r="F366" s="4"/>
      <c r="G366" s="4"/>
      <c r="H366" s="4"/>
      <c r="I366" s="4"/>
      <c r="J366" s="57"/>
      <c r="K366" s="54"/>
      <c r="L366" s="54"/>
      <c r="M366" s="55"/>
    </row>
    <row r="367" ht="20.25" customHeight="1">
      <c r="A367" s="6"/>
      <c r="B367" s="12"/>
      <c r="C367" s="12"/>
      <c r="D367" s="6"/>
      <c r="E367" s="13"/>
      <c r="F367" s="4"/>
      <c r="G367" s="4"/>
      <c r="H367" s="4"/>
      <c r="I367" s="4"/>
      <c r="J367" s="57"/>
      <c r="K367" s="54"/>
      <c r="L367" s="54"/>
      <c r="M367" s="55"/>
    </row>
    <row r="368" ht="20.25" customHeight="1">
      <c r="A368" s="27"/>
      <c r="B368" s="33"/>
      <c r="C368" s="33"/>
      <c r="D368" s="33"/>
      <c r="E368" s="24"/>
      <c r="F368" s="32"/>
      <c r="G368" s="32"/>
      <c r="H368" s="32"/>
      <c r="I368" s="32"/>
      <c r="J368" s="112"/>
      <c r="K368" s="54"/>
      <c r="L368" s="54"/>
      <c r="M368" s="55"/>
    </row>
    <row r="369" ht="20.25" customHeight="1">
      <c r="A369" s="27"/>
      <c r="B369" s="33"/>
      <c r="C369" s="33"/>
      <c r="D369" s="33"/>
      <c r="E369" s="24"/>
      <c r="F369" s="32"/>
      <c r="G369" s="32"/>
      <c r="H369" s="32"/>
      <c r="I369" s="32"/>
      <c r="J369" s="112"/>
      <c r="K369" s="54"/>
      <c r="L369" s="54"/>
      <c r="M369" s="55"/>
    </row>
    <row r="370" ht="20.25" customHeight="1">
      <c r="A370" s="27"/>
      <c r="B370" s="33"/>
      <c r="C370" s="33"/>
      <c r="D370" s="33"/>
      <c r="E370" s="24"/>
      <c r="F370" s="32"/>
      <c r="G370" s="32"/>
      <c r="H370" s="32"/>
      <c r="I370" s="32"/>
      <c r="J370" s="112"/>
      <c r="K370" s="54"/>
      <c r="L370" s="54"/>
      <c r="M370" s="55"/>
    </row>
    <row r="371" ht="20.25" customHeight="1">
      <c r="A371" s="27"/>
      <c r="B371" s="33"/>
      <c r="C371" s="33"/>
      <c r="D371" s="33"/>
      <c r="E371" s="24"/>
      <c r="F371" s="32"/>
      <c r="G371" s="32"/>
      <c r="H371" s="32"/>
      <c r="I371" s="32"/>
      <c r="J371" s="112"/>
      <c r="K371" s="54"/>
      <c r="L371" s="54"/>
      <c r="M371" s="55"/>
    </row>
    <row r="372" ht="20.25" customHeight="1">
      <c r="A372" s="27"/>
      <c r="B372" s="33"/>
      <c r="C372" s="33"/>
      <c r="D372" s="33"/>
      <c r="E372" s="24"/>
      <c r="F372" s="32"/>
      <c r="G372" s="32"/>
      <c r="H372" s="32"/>
      <c r="I372" s="32"/>
      <c r="J372" s="112"/>
      <c r="K372" s="54"/>
      <c r="L372" s="54"/>
      <c r="M372" s="55"/>
    </row>
    <row r="373" ht="20.25" customHeight="1">
      <c r="A373" s="27"/>
      <c r="B373" s="33"/>
      <c r="C373" s="33"/>
      <c r="D373" s="33"/>
      <c r="E373" s="24"/>
      <c r="F373" s="32"/>
      <c r="G373" s="32"/>
      <c r="H373" s="32"/>
      <c r="I373" s="32"/>
      <c r="J373" s="112"/>
      <c r="K373" s="54"/>
      <c r="L373" s="54"/>
      <c r="M373" s="55"/>
    </row>
    <row r="374" ht="20.25" customHeight="1">
      <c r="A374" s="40"/>
      <c r="B374" s="33"/>
      <c r="C374" s="33"/>
      <c r="D374" s="33"/>
      <c r="E374" s="24"/>
      <c r="F374" s="32"/>
      <c r="G374" s="32"/>
      <c r="H374" s="32"/>
      <c r="I374" s="32"/>
      <c r="J374" s="112"/>
      <c r="K374" s="54"/>
      <c r="L374" s="54"/>
      <c r="M374" s="55"/>
    </row>
    <row r="375" ht="20.25" customHeight="1">
      <c r="A375" s="27"/>
      <c r="B375" s="33"/>
      <c r="C375" s="33"/>
      <c r="D375" s="33"/>
      <c r="E375" s="24"/>
      <c r="F375" s="32"/>
      <c r="G375" s="32"/>
      <c r="H375" s="32"/>
      <c r="I375" s="32"/>
      <c r="J375" s="112"/>
      <c r="K375" s="54"/>
      <c r="L375" s="54"/>
      <c r="M375" s="55"/>
    </row>
    <row r="376" ht="20.25" customHeight="1">
      <c r="A376" s="27"/>
      <c r="B376" s="33"/>
      <c r="C376" s="33"/>
      <c r="D376" s="33"/>
      <c r="E376" s="24"/>
      <c r="F376" s="32"/>
      <c r="G376" s="32"/>
      <c r="H376" s="32"/>
      <c r="I376" s="32"/>
      <c r="J376" s="105"/>
      <c r="K376" s="54"/>
      <c r="L376" s="54"/>
      <c r="M376" s="55"/>
    </row>
    <row r="377" ht="20.25" customHeight="1">
      <c r="A377" s="27"/>
      <c r="B377" s="33"/>
      <c r="C377" s="33"/>
      <c r="D377" s="33"/>
      <c r="E377" s="24"/>
      <c r="F377" s="32"/>
      <c r="G377" s="32"/>
      <c r="H377" s="32"/>
      <c r="I377" s="32"/>
      <c r="J377" s="112"/>
      <c r="K377" s="54"/>
      <c r="L377" s="54"/>
      <c r="M377" s="55"/>
    </row>
    <row r="378" ht="20.25" customHeight="1">
      <c r="A378" s="6"/>
      <c r="B378" s="1"/>
      <c r="C378" s="1"/>
      <c r="D378" s="1"/>
      <c r="E378" s="13"/>
      <c r="F378" s="4"/>
      <c r="G378" s="4"/>
      <c r="H378" s="4"/>
      <c r="I378" s="4"/>
      <c r="J378" s="105"/>
      <c r="K378" s="54"/>
      <c r="L378" s="54"/>
      <c r="M378" s="55"/>
    </row>
    <row r="379" ht="20.25" customHeight="1">
      <c r="A379" s="6"/>
      <c r="B379" s="1"/>
      <c r="C379" s="1"/>
      <c r="D379" s="1"/>
      <c r="E379" s="13"/>
      <c r="F379" s="4"/>
      <c r="G379" s="4"/>
      <c r="H379" s="4"/>
      <c r="I379" s="4"/>
      <c r="J379" s="105"/>
      <c r="K379" s="54"/>
      <c r="L379" s="54"/>
      <c r="M379" s="55"/>
    </row>
    <row r="380" ht="20.25" customHeight="1">
      <c r="A380" s="27"/>
      <c r="B380" s="33"/>
      <c r="C380" s="33"/>
      <c r="D380" s="33"/>
      <c r="E380" s="24"/>
      <c r="F380" s="32"/>
      <c r="G380" s="32"/>
      <c r="H380" s="32"/>
      <c r="I380" s="32"/>
      <c r="J380" s="112"/>
      <c r="K380" s="54"/>
      <c r="L380" s="54"/>
      <c r="M380" s="55"/>
    </row>
    <row r="381" ht="20.25" customHeight="1">
      <c r="A381" s="33"/>
      <c r="B381" s="33"/>
      <c r="C381" s="33"/>
      <c r="D381" s="33"/>
      <c r="E381" s="24"/>
      <c r="F381" s="32"/>
      <c r="G381" s="32"/>
      <c r="H381" s="32"/>
      <c r="I381" s="32"/>
      <c r="J381" s="113"/>
      <c r="K381" s="54"/>
      <c r="L381" s="54"/>
      <c r="M381" s="55"/>
    </row>
    <row r="382" ht="23.25" customHeight="1">
      <c r="A382" s="33"/>
      <c r="B382" s="33"/>
      <c r="C382" s="33"/>
      <c r="D382" s="33"/>
      <c r="E382" s="24"/>
      <c r="F382" s="32"/>
      <c r="G382" s="32"/>
      <c r="H382" s="32"/>
      <c r="I382" s="32"/>
      <c r="J382" s="113"/>
      <c r="K382" s="54"/>
      <c r="L382" s="54"/>
      <c r="M382" s="55"/>
    </row>
    <row r="383" ht="27.0" customHeight="1">
      <c r="A383" s="27"/>
      <c r="B383" s="33"/>
      <c r="C383" s="33"/>
      <c r="D383" s="33"/>
      <c r="E383" s="24"/>
      <c r="F383" s="32"/>
      <c r="G383" s="32"/>
      <c r="H383" s="32"/>
      <c r="I383" s="32"/>
      <c r="J383" s="112"/>
      <c r="K383" s="54"/>
      <c r="L383" s="54"/>
      <c r="M383" s="55"/>
    </row>
    <row r="384" ht="20.25" customHeight="1">
      <c r="A384" s="1"/>
      <c r="B384" s="1"/>
      <c r="C384" s="1"/>
      <c r="D384" s="1"/>
      <c r="E384" s="13"/>
      <c r="F384" s="4"/>
      <c r="G384" s="4"/>
      <c r="H384" s="4"/>
      <c r="I384" s="4"/>
      <c r="J384" s="110"/>
      <c r="K384" s="54"/>
      <c r="L384" s="54"/>
      <c r="M384" s="55"/>
    </row>
    <row r="385" ht="20.25" customHeight="1">
      <c r="A385" s="6"/>
      <c r="B385" s="12"/>
      <c r="C385" s="12"/>
      <c r="D385" s="6"/>
      <c r="E385" s="13"/>
      <c r="F385" s="4"/>
      <c r="G385" s="4"/>
      <c r="H385" s="4"/>
      <c r="I385" s="4"/>
      <c r="J385" s="57"/>
      <c r="K385" s="54"/>
      <c r="L385" s="54"/>
      <c r="M385" s="55"/>
    </row>
    <row r="386" ht="20.25" customHeight="1">
      <c r="A386" s="6"/>
      <c r="B386" s="12"/>
      <c r="C386" s="12"/>
      <c r="D386" s="6"/>
      <c r="E386" s="13"/>
      <c r="F386" s="4"/>
      <c r="G386" s="4"/>
      <c r="H386" s="4"/>
      <c r="I386" s="4"/>
      <c r="J386" s="110"/>
      <c r="K386" s="54"/>
      <c r="L386" s="54"/>
      <c r="M386" s="55"/>
    </row>
    <row r="387" ht="20.25" customHeight="1">
      <c r="A387" s="6"/>
      <c r="B387" s="12"/>
      <c r="C387" s="12"/>
      <c r="D387" s="6"/>
      <c r="E387" s="13"/>
      <c r="F387" s="4"/>
      <c r="G387" s="4"/>
      <c r="H387" s="4"/>
      <c r="I387" s="4"/>
      <c r="J387" s="110"/>
      <c r="K387" s="54"/>
      <c r="L387" s="54"/>
      <c r="M387" s="55"/>
    </row>
    <row r="388" ht="12.75" customHeight="1">
      <c r="A388" s="6"/>
      <c r="B388" s="1"/>
      <c r="C388" s="1"/>
      <c r="D388" s="1"/>
      <c r="E388" s="13"/>
      <c r="F388" s="4"/>
      <c r="G388" s="4"/>
      <c r="H388" s="4"/>
      <c r="I388" s="4"/>
      <c r="J388" s="105"/>
      <c r="K388" s="54"/>
      <c r="L388" s="54"/>
      <c r="M388" s="55"/>
    </row>
    <row r="389" ht="12.75" customHeight="1">
      <c r="A389" s="33"/>
      <c r="B389" s="33"/>
      <c r="C389" s="33"/>
      <c r="D389" s="33"/>
      <c r="E389" s="24"/>
      <c r="F389" s="32"/>
      <c r="G389" s="32"/>
      <c r="H389" s="32"/>
      <c r="I389" s="32"/>
      <c r="J389" s="117"/>
      <c r="K389" s="54"/>
      <c r="L389" s="54"/>
      <c r="M389" s="55"/>
    </row>
    <row r="390" ht="12.75" customHeight="1">
      <c r="A390" s="33"/>
      <c r="B390" s="33"/>
      <c r="C390" s="33"/>
      <c r="D390" s="33"/>
      <c r="E390" s="24"/>
      <c r="F390" s="32"/>
      <c r="G390" s="32"/>
      <c r="H390" s="32"/>
      <c r="I390" s="32"/>
      <c r="J390" s="117"/>
      <c r="K390" s="54"/>
      <c r="L390" s="54"/>
      <c r="M390" s="55"/>
    </row>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M$226">
    <filterColumn colId="9">
      <filters blank="1">
        <filter val="EN# 2035960-1; INV# 1155； 3hrs ½ $ 192.50"/>
        <filter val="EN# 2028014-6; $420 delivery + fuel charges"/>
        <filter val="EN# 2029011; IN# 2014900715"/>
        <filter val="EN# 2029774-4; INV#2014200797"/>
        <filter val="EN#2031977-9; INV# 05182015"/>
        <filter val="EN#2026777-0. Inv#2006003-15. 2/2: OBL.Split chasisp/up fee $55.00"/>
        <filter val="EN# 2036973-3; INV#93258106; additional ½ $ 27.50"/>
        <filter val="EN# 2036975-8; INV# 15NSS0323"/>
        <filter val="EN# 2035766-2; INV# 15TM021; OBL: 9/9; additional ½ $ 27.50"/>
        <filter val="EN# 2030929-1; INV# 15NSS0309; OBL 5/18/15"/>
        <filter val="EN# 2037566-4;"/>
        <filter val="EN# 2028840-4; INV# 2001004-15; an additional charge of $ 75+17% for attempted; additional 2hrs $ 110.00"/>
        <filter val="EN# 2036118-5; INV# YD15-T14; OBL sent 9/1"/>
        <filter val="EN# 2032130-4; INV# 15NSS0311;"/>
        <filter val="EN# 2029442-8; INV# 15TM003; OBL sent 4/20/15"/>
        <filter val="EN# 2034024-7; INV# 2044"/>
        <filter val="EN# 2034559-2; INV# 07132015"/>
        <filter val="EN#2039530-8; INV#YD15-T21"/>
        <filter val="EN# 2033104-8; INV# MC-O-2015004; OBL sent 7/2; charge of Genset $45.00;  55.00 for split return chassis"/>
        <filter val="EN#2028014-6"/>
        <filter val="EN# 2031611-4; INV# PI027; additional 1hr ½ $ 82.50"/>
        <filter val="EN# 2033355-6; INV# 15TM010; OBL sent 7/16"/>
        <filter val="EN# 2039861-7; INV# 15NSS0330; OBL sent 12/14"/>
        <filter val="EN# 2039614-0"/>
        <filter val="EN# 2030858-2; INV# PI-023"/>
        <filter val="EN# 2030442-5; INV# TRT-2015-001; sent OBL 4/30/15"/>
        <filter val="EN#2026192-2. Inv# 93164403"/>
        <filter val="EN# 2036719-0; INV# 059/EXP/PI/IV/2015; OBL 9/29"/>
        <filter val="EN# 2037410-5; OBL 10/14/15； additional 1hr ½ $ 82.50."/>
        <filter val="EN# 2033228-5; INV# SS1506111-N; additional 1hr ½ $ 82.50"/>
        <filter val="EN# 2034023-9; INV# 089"/>
        <filter val="EN# 2032577-6; INV#2015TAT01; OBL sent 7/7/15; LFD 7/13; additional 1hr ½ $ 82.50"/>
        <filter val="EN# 2034211-0; INV# 2015200195"/>
        <filter val="EN# 2039722-1"/>
        <filter val="EN# 2031066-1; INV# 93207019; additional charge of $55.00 for split pick up chassis; demurrage $150.00; $ 75.00+17% for 6/17 attempted"/>
        <filter val="EN# 2029776-9; Transfer all to POPSF"/>
        <filter val="EN# 2034984-2; YD15-T19; 7:11am-9:10am additional 1hr $ 55.00"/>
        <filter val="EN# 2034914-9"/>
        <filter val="EN# 2040216-1; YD15-T22"/>
        <filter val="EN#2031610-6; INV# YD15-T08"/>
        <filter val="EN# 2036206-8;  INV# 15NSS0321"/>
        <filter val="EN# 2031064-6; INV# 2001008-15"/>
        <filter val="EN# 2036344-7; INV# 2001016-15"/>
        <filter val="EN# 2035324-0"/>
        <filter val="EN#2026445-4. Inv#2006017-14"/>
        <filter val="EN# 2029340-4; INV# 2014TAT06"/>
        <filter val="EN#2039098-6;"/>
        <filter val="EN# 2038256-4; IN# 2001019-15; OBL 11/4; additional 1hr$55.00"/>
        <filter val="EN# 2037966-6; OBL sent 10/21"/>
        <filter val="EN# 2038953-3; INV# 93275545;  additional 1hr $55.00"/>
        <filter val="EN# 2035610-2; INV# 15NSS0319;  7:47am-9:35am additional 1hr $55"/>
        <filter val="EN# 2035437-0; INV# MC02015006; OBL sent 8/25; additional 1hr ½ $ 82.50"/>
        <filter val="EN# 2037406-3; additional 3hrs $ 165.00"/>
        <filter val="EN#2026191-4. Inv# JST-14025"/>
        <filter val="EN# 2031562-9;INV# 15NSS0312"/>
        <filter val="EN#2028910-5; INV# 2006002-15;Pier waiting additional ½ $ 27.50."/>
        <filter val="EN#2028076-5; ISF 2/6; INV#15TM001"/>
        <filter val="EN# 2031357-4; INV#025/EXP/PI/II2015"/>
        <filter val="EN# 2039917-7"/>
        <filter val="EN#2028013-8; INV# 15NSS0302"/>
        <filter val="EN# 2034214-4 ; INV# 6791"/>
        <filter val="EN# 2033802-7; INV# 056"/>
        <filter val="EN# 2030237-9; INV#3329; additional charge of $ 75.00+17% for attempted."/>
        <filter val="EN# 2036974-1; INV#93257239"/>
        <filter val="EN#2038366-8; INV#"/>
        <filter val="EN# 2032752-5; INV# 06032015"/>
        <filter val="EN# 2030705-5; INV# YD15-T06; OBL resent 5/26/15"/>
        <filter val="EN#2026823-2. Inv# 20141224"/>
        <filter val="EN# 2027121-0; Inv# 14TM052"/>
        <filter val="EN# 2038114-2; INV#"/>
        <filter val="EN# 2039100-0; demurrage $145; detention: $100"/>
        <filter val="EN# 2033426-5; INV#93226682; $55 for split return chassis"/>
        <filter val="EN# 2037102-8; INV# 1509-00074"/>
        <filter val="EN# 2033093-3; INV# 06152015.01/ 06152015.02; Vet Cert sent 7/2； $55.00 for split return chassis."/>
        <filter val="EN# 2039207-3; INV#11178"/>
        <filter val="EN# 2033804-3; INV# 057; p/up: 8/7/15"/>
        <filter val="EN# 2032725-1; INV# 15NSS0313; OBL sent  6/29/15; additional 1hr ½ $ 82.50; split chassis $55.00; 4x in/out gate charges for spilt return"/>
        <filter val="EN# 2029047-5; IN# 15NSS0301"/>
        <filter val="EN# 2027767-0, Inv#KI-POP02GT1-14"/>
        <filter val="EN# 2029045-9; IN# YNBYME0000003"/>
        <filter val="EN# 2027190-5; inv# 2006001-15"/>
        <filter val="EN# 2029046-1; IN# 2036; T/R"/>
        <filter val="EN# 2036934-5; Inv# YD15-T20; OBL 9/29； additional ½ $27.50"/>
        <filter val="EN#2037899-9"/>
        <filter val="EN# 2037565-6; INV# 2001011-15; OBL 11/4; additional 2hr $1100.00"/>
        <filter val="EN#2037720-7; INV#YD15-T16"/>
        <filter val="EN# 2036290-2; INV# SS1508154-N; additional 1hr $ 55.00"/>
        <filter val="EN# 2035998-1; INV#"/>
        <filter val="EN# 2028422-1; INV# JST-15004"/>
        <filter val="EN# 2033868-8; INV# 15TM014; OBL 7/27"/>
        <filter val="EN# 2035818-1; INV#15NSS0322; OBL 9/2/15"/>
        <filter val="EN# 2033141-0; INV# 2001014-15; additional 1hr ½ $ 82.50"/>
        <filter val="EN# 2031338-4; INV#026/EXP/INV/IV/2015"/>
        <filter val="EN# 2031372-3; INV# 15NSS0310; OBL sent 3/20/15"/>
        <filter val="EN#2034895-0; JST-15010; OBL 8/13/15; additional 4hrs $220.00 + additional 1hr $55.00"/>
        <filter val="EN# 2035993-2; additional 1hr $55+$75+17% for pre-pull"/>
        <filter val="EN# 2036136-7; INV# YD15-T15; OBL sent 9/1;pre-pull $90+17%"/>
        <filter val="EN#2032017-3; YD15-T09"/>
        <filter val="EN# 2028782-8; IN# PI 1329"/>
        <filter val="EN# 2038366-8; INV# 062; OBL sent 10/30"/>
        <filter val="EN#2039113-3"/>
        <filter val="EN# 2033105-5; INV# MC-O-2015005; OBL sent 7/2; demurrage:$7332+$45.00 GW Handling; $35 Wire fee"/>
        <filter val="EN# 2032459-7; INV# 2043"/>
        <filter val="EN# 2038611-7; INV# 15NSS0328"/>
        <filter val="EN# 2034519-6; INV# 6942; additional 2hrs $110+$ 75+17% for per-pull; demurrage $300; $100/day"/>
        <filter val="EN#2029529-2; INV# SS1503045-N;  8am-10:59am additional 1hr $ 55.00."/>
        <filter val="EN#2040361-5; INV# 16NSS0302; OBL sent 12/22; additional 1hr $55.00"/>
        <filter val="EN#2024917-4. Inv# 183382"/>
        <filter val="EN# 2037320-6; INV# CZ15S016"/>
        <filter val="EN# 2039290-7"/>
        <filter val="EN# 2030928-3; INV# PI 1330"/>
        <filter val="EN#2025780-5. Inv#YD14-T14. 12/23:OBL"/>
        <filter val="EN# 2037152-3; INV#1509-00075"/>
        <filter val="EN# 2038775-0; INV# 11113"/>
        <filter val="EN# 2039019-2; INV# 2001020-15"/>
        <filter val="EN# 2033354-9; INV# 2001010-15; overweight $225"/>
        <filter val="EN# 2034520-4; INV# 2001012-15; additional 3hrs $165.00+$75+17% for pre-pull"/>
        <filter val="EN#2025637-7. 12/23:OBL."/>
        <filter val="EN#2026776-2. Inv#BP14NSS0338. T/R."/>
        <filter val="EN#2038082-1, INV# 15NSS0325"/>
        <filter val="En#2028223-3; INV#2014TAT09"/>
        <filter val="EN# 2028295-1; INV #MP201528810"/>
        <filter val="EN# 2034191-4; INV# 15NSS0316 OBL 7/23"/>
        <filter val="EN# 2029173-9; INV# 93191978"/>
        <filter val="EN# 2036718-2; Inv# YD15-T13; OBL 9/29"/>
        <filter val="EN# 2035242-4; INV#"/>
        <filter val="EN# 2038371-8; INV# 1510-00090"/>
        <filter val="EN#2026838-0, ISF 1/6/15, INV# 001/EXP/INV/I/2015. Note: &quot;Additional cost of $80 for congestion fee for containers out of Global Terminal.&quot;"/>
        <filter val="EN# 2029530-0; INV# 15NSS0306"/>
        <filter val="EN# 2035609-4; INV# 15NSS0318"/>
        <filter val="EN# 2030862-4; INV# PI-024"/>
        <filter val="EN# 2036345-4; Inv# 93253554"/>
        <filter val="EN# 2031336-8; 1h pier waiting time $55.00"/>
        <filter val="EN# 2033353-1; INV# 06222015"/>
        <filter val="EN#2025223-6. Inv#YD14-T13. 12/8: OBL."/>
        <filter val="EN# 2037629-0; INV# YD15-U010; additional 1hr $55"/>
        <filter val="EN#2026778-8. Inv#2014TAT07.2/6: UPS OBL.; split chassis p/up $55.00"/>
        <filter val="EN# 2035312-5; additional 3hrs ½ $192.5"/>
        <filter val="EN# 2032018-1;"/>
        <filter val="EN# 2034985-9; YD15-T12; additional 2hr $110.00"/>
        <filter val="EN# 2031337-6; INV# YD15-T07"/>
        <filter val="EN# 2035959-3; INV# 1152"/>
        <filter val="EN# 2040569-3; OBL sent 12/28"/>
        <filter val="EN# 2038694-3; INV# YD15-T18"/>
        <filter val="EN# 2038484-9; INV# 15NSS0327; OBL sent 11/9; additional 1hr $55.00"/>
        <filter val="EN# 2033139-4; INV# 2015JKUS002; LFD: 7/20/15"/>
        <filter val="EN# 2040163-5; INV# 2054; additional 1hr $55"/>
        <filter val="EN# 2034190-6; INV# 15NSS0317; OBL 7/23"/>
        <filter val="EN# 2030449-0; INV# 15NSS0304; sent OBL 5/18/15"/>
        <filter val="EN# 2032751-7; INV# 069 LFD: 7/13"/>
        <filter val="EN# 2034369-6; INV# 2015TAT02"/>
        <filter val="EN# 2033817-5; INV# 183388"/>
        <filter val="EN#2026386-0. Inv#YD14-T15"/>
        <filter val="EN# 2029719-9; INV# 15NSS0307; OBL sent 4/20/15;additional charge of $ 75.00+17% for attempted."/>
        <filter val="EN# 2037898-1 (reefer); 9:57am-1:44pm additional 4hrs $220."/>
        <filter val="EN# 2027613-6 .Inv#YD15-T02; 2/6: OBL."/>
        <filter val="EN#2025949-6.T/R. Note: drop and bobtail charges are $750.00"/>
        <filter val="EN# 2039152-1"/>
        <filter val="EN# 2032750-9; INV# 054"/>
        <filter val="EN#2025923-1"/>
        <filter val="EN# 2032308-6; INV# 2001009-15; 9:40pm-3:25pm additional 4hrs $ 220.00"/>
        <filter val="EN# 2038693-5; INV# SS1509187-N"/>
        <filter val="EN# 2040793-9' INV# 150111"/>
        <filter val="EN# 2031126-3; INV# MP201528898"/>
        <filter val="EN#2027570-8"/>
        <filter val="En#2028294-4; INV# YD15-T03"/>
        <filter val="EN#2024447-2. Inv#2006014-14/14A-10-1014. 12/18:OBL."/>
        <filter val="EN#2033637-7;"/>
        <filter val="EN# 2029741-3; INV# 027/EXP/PL/III/2015"/>
        <filter val="EN# 2028530-1; INV# YD15-T04"/>
        <filter val="EN# 2033356-4; INV# YD15-T10; OBL sent 7/2"/>
        <filter val="EN#2024966-1. Inv#2006015-14/14A-10-1015. 12/26:OBL."/>
        <filter val="EN# 2033286-3; INV# US-150601"/>
        <filter val="EN# 2030660-2; INV# 15NSS0308; OBL sent 5/18/15"/>
        <filter val="EN# 2031879-7; INV# 15NSS0314"/>
        <filter val="EN#2025718-5. T/R."/>
        <filter val="EN# 2028991-5; IN# 15NSS0303"/>
        <filter val="EN# 2034646-6; INV#"/>
        <filter val="EN# 2035764-7; INV#; $ 65 for split return chassis"/>
        <filter val="EN# 2038233-0; INV# 2052; $75+19% for attempted"/>
        <filter val="EN# 2039210-7; Inv#JST-15026"/>
        <filter val="EN#2038081-3; INV# YD15-T17"/>
        <filter val="EN# 2039371-7; INV# 15NSS0329; OBL sent 11/30"/>
        <filter val="EN# 2028781-0"/>
        <filter val="EN#2025628-6​. Inv#2006018-14.12/26: OBL."/>
        <filter val="INV# 2001023-15"/>
        <filter val="EN# 2028531-9; INV# PI1328"/>
        <filter val="EN# 2038762-8; INV# 150110"/>
        <filter val="EN# 2040277-3"/>
        <filter val="EN# 2039683-5; additional 1hr $55"/>
        <filter val="EN#2026054-4.Invoice#2014TAT05; OBL:MSCUXT852394"/>
        <filter val="EN# 9011896; POPSF whse pick up at SFO"/>
        <filter val="EN# 2027327-3; bsiu9410873"/>
        <filter val="EN# 2031520-7; INV# 2001007-15"/>
        <filter val="EN# 2031861-5; INV# 15TM007; Pre-Pull"/>
        <filter val="EN#2026285-4. Invoice#2014TAT08"/>
        <filter val="EN# 2035611-0; INV# 2015TAT03; OBL sent 9/2; additional ½ $ 27.50"/>
        <filter val="EN# 2032307-8; Demurrage $250"/>
        <filter val="EN# 2034913-1; INV#2046"/>
        <filter val="EN#:2030739-4; INV# 039/EXP/INV/IV/2015; OBL resent 5/21/15"/>
        <filter val="EN#2026667-3, Inv#YD15-T01"/>
        <filter val="EN# 2036935-2; Inv# 15NSS0324"/>
        <filter val="EN#2028654-9; INV# 93186359; additional charge of $ 55.00 for&#10;Split pick up or return chassis; $ 75+17% for pre-pull charge"/>
        <filter val="EN# 2038832-9; INV# 15NSS0326"/>
        <filter val="EN# 2038485-6; INV# 15TM036; OBL sent 11/11, 3hrs ½ $192.50"/>
        <filter val="EN# 2034205-2; INV# YD15-T11; arrived on 8/19/15; LFD 8/25/15; demurrage $270.00"/>
        <filter val="EN# 2039203-2; INV# 2053"/>
        <filter val="EN# 2029936-9; INV# YD15-T05"/>
        <filter val="EN# 2039199-2;  pierwaiting additional 1hr $55"/>
        <filter val="EN# 2033869-6; INV# 15NSS0315"/>
        <filter val="EN# 2035765-4; INV#"/>
        <filter val="EN# 2030516-6; IN# 15NSS0305"/>
        <filter val="EN#2025594-0. T/R."/>
        <filter val="EN# 2032978-6; INV# 06032015; 8:47am-11:19am additional ½ $ 27.50"/>
        <filter val="EN# 2035817-3; INV# 15NSS0320;  $ 65.00 for split return chassis; additional 1hr $55   OBL 9/2/15"/>
        <filter val="EN# 2039672-8"/>
        <filter val="EN# 2031397-0 INV# 931210466"/>
      </filters>
    </filterColumn>
    <filterColumn colId="0">
      <filters blank="1">
        <filter val="28976"/>
        <filter val="28855"/>
        <filter val="28977"/>
        <filter val="28735"/>
        <filter val="28853"/>
        <filter val="28975"/>
        <filter val="28854"/>
        <filter val="28978"/>
        <filter val="28857"/>
        <filter val="28979"/>
        <filter val="28858"/>
        <filter val="29266"/>
        <filter val="29386"/>
        <filter val="29142"/>
        <filter val="29149"/>
        <filter val="29148"/>
        <filter val="28973"/>
        <filter val="29147"/>
        <filter val="29267"/>
        <filter val="29020"/>
        <filter val="29714"/>
        <filter val="29713"/>
        <filter val="28988"/>
        <filter val="29712"/>
        <filter val="28622"/>
        <filter val="28623"/>
        <filter val="29028/ 29117"/>
        <filter val="28868"/>
        <filter val="29277"/>
        <filter val="29034"/>
        <filter val="28980"/>
        <filter val="29395"/>
        <filter val="29032"/>
        <filter val="29159"/>
        <filter val="28621"/>
        <filter val="29037"/>
        <filter val="29031"/>
        <filter val="28839"/>
        <filter val="28954"/>
        <filter val="28834"/>
        <filter val="28952"/>
        <filter val="28958"/>
        <filter val="28959"/>
        <filter val="28838"/>
        <filter val="28835"/>
        <filter val="28957"/>
        <filter val="28715"/>
        <filter val="29001"/>
        <filter val="29000"/>
        <filter val="29241"/>
        <filter val="28951"/>
        <filter val="29246"/>
        <filter val="29245"/>
        <filter val="29240"/>
        <filter val="29481"/>
        <filter val="28729"/>
        <filter val="28728"/>
        <filter val="29131"/>
        <filter val="28961"/>
        <filter val="29499"/>
        <filter val="28960"/>
        <filter val="28529 28530"/>
        <filter val="29130"/>
        <filter val="29491"/>
        <filter val="29002/ 29080"/>
        <filter val="28810"/>
        <filter val="28936"/>
        <filter val="28934"/>
        <filter val="28935"/>
        <filter val="29101"/>
        <filter val="29100"/>
        <filter val="29462"/>
        <filter val="29589"/>
        <filter val="29104"/>
        <filter val="29103"/>
        <filter val="29102"/>
        <filter val="Ultimate"/>
        <filter val="28946"/>
        <filter val="29475"/>
        <filter val="29353"/>
        <filter val="29594"/>
        <filter val="29352"/>
        <filter val="29358"/>
        <filter val="29116"/>
        <filter val="29357"/>
        <filter val="29115"/>
        <filter val="29356"/>
        <filter val="29114"/>
        <filter val="29592"/>
        <filter val="28260"/>
        <filter val="29590"/>
        <filter val="NS1831/ NS1828"/>
        <filter val="N/A"/>
        <filter val="29448"/>
        <filter val="28479"/>
        <filter val="29447"/>
        <filter val="29205"/>
        <filter val="29446"/>
        <filter val="28478"/>
        <filter val="29565"/>
        <filter val="29323"/>
        <filter val="29564"/>
        <filter val="29443"/>
        <filter val="28800"/>
        <filter val="29338"/>
        <filter val="29337"/>
        <filter val="28804"/>
        <filter val="28805"/>
        <filter val="29335"/>
        <filter val="29334"/>
        <filter val="29575"/>
        <filter val="28003"/>
        <filter val="28480"/>
        <filter val="28579"/>
        <filter val="29541"/>
        <filter val="29302"/>
        <filter val="29301"/>
        <filter val="29300"/>
        <filter val="28967/ 29047/ 29057"/>
        <filter val="NONE"/>
        <filter val="29202/ 29203/ 29208"/>
        <filter val="29120/ 29121"/>
        <filter val="28902"/>
        <filter val="29201/ 29232"/>
        <filter val="29556"/>
        <filter val="28966 29059 29044 28986"/>
        <filter val="28437"/>
        <filter val="29768"/>
        <filter val="28438"/>
        <filter val="29646"/>
        <filter val="29404"/>
        <filter val="28435"/>
        <filter val="28798"/>
        <filter val="29766"/>
        <filter val="29524"/>
        <filter val="29645"/>
        <filter val="28436"/>
        <filter val="28831/ 28851"/>
        <filter val="28439"/>
        <filter val="29265/ 29326/ 29379/ 29381/ 29351"/>
        <filter val="29088"/>
        <filter val="28790"/>
        <filter val="29087"/>
        <filter val="28791"/>
        <filter val="29517/ 29519"/>
        <filter val="28794"/>
        <filter val="28673"/>
        <filter val="29082"/>
        <filter val="29081"/>
        <filter val="29083"/>
        <filter val="28312/&#10;28644/&#10;28574/&#10;NS1562"/>
        <filter val="NS1866/ 29591/ NS1795"/>
        <filter val="29417"/>
        <filter val="29657"/>
        <filter val="28688"/>
        <filter val="29419"/>
        <filter val="29418"/>
        <filter val="28440"/>
        <filter val="28682"/>
        <filter val="29534"/>
        <filter val="29655"/>
        <filter val="28761/ 28795"/>
        <filter val="29094"/>
        <filter val="28899"/>
        <filter val="28657"/>
        <filter val="29746"/>
        <filter val="29623"/>
        <filter val="29502"/>
        <filter val="28898"/>
        <filter val="29186"/>
        <filter val="29622"/>
        <filter val="29501"/>
        <filter val="29500"/>
        <filter val="28654"/>
        <filter val="29060"/>
        <filter val="29180"/>
        <filter val="29185"/>
        <filter val="29184"/>
        <filter val="29063"/>
        <filter val="29183"/>
        <filter val="29182"/>
        <filter val="29061"/>
        <filter val="29635"/>
        <filter val="29513"/>
        <filter val="29750"/>
        <filter val="29079"/>
        <filter val="29077"/>
        <filter val="29076"/>
        <filter val="28541"/>
        <filter val="29751"/>
        <filter val="29018/ 29129"/>
        <filter val="28996"/>
        <filter val="28997"/>
        <filter val="29606"/>
        <filter val="28870"/>
        <filter val="28752"/>
        <filter val="29049"/>
        <filter val="28750"/>
        <filter val="28751"/>
        <filter val="29178"/>
        <filter val="29299"/>
        <filter val="28880"/>
        <filter val="29177"/>
        <filter val="29298"/>
        <filter val="28881"/>
        <filter val="29176"/>
        <filter val="29297"/>
        <filter val="29296"/>
        <filter val="28885"/>
        <filter val="28883"/>
        <filter val="29050"/>
      </filters>
    </filterColumn>
    <filterColumn colId="1">
      <filters>
        <filter val="OAK"/>
      </filters>
    </filterColumn>
    <sortState ref="A3:M226">
      <sortCondition descending="1" ref="F3:F226"/>
    </sortState>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1.29"/>
    <col customWidth="1" min="2" max="2" width="12.14"/>
    <col customWidth="1" min="3" max="3" width="10.57"/>
    <col customWidth="1" min="4" max="4" width="17.86"/>
    <col customWidth="1" min="5" max="5" width="39.43"/>
    <col customWidth="1" min="6" max="6" width="11.0"/>
    <col customWidth="1" min="7" max="7" width="23.86"/>
    <col customWidth="1" min="9" max="9" width="42.71"/>
  </cols>
  <sheetData>
    <row r="1" ht="12.75" customHeight="1">
      <c r="A1" s="3"/>
      <c r="B1" s="1"/>
      <c r="C1" s="2"/>
      <c r="D1" s="118"/>
      <c r="E1" s="3" t="s">
        <v>1673</v>
      </c>
      <c r="F1" s="4"/>
      <c r="G1" s="4"/>
      <c r="H1" s="4"/>
      <c r="I1" s="5"/>
    </row>
    <row r="2" ht="12.75" customHeight="1">
      <c r="A2" s="13"/>
      <c r="B2" s="6" t="s">
        <v>2</v>
      </c>
      <c r="C2" s="1"/>
      <c r="D2" s="6"/>
      <c r="E2" s="119" t="s">
        <v>1674</v>
      </c>
      <c r="F2" s="8" t="s">
        <v>4</v>
      </c>
      <c r="G2" s="8" t="s">
        <v>5</v>
      </c>
      <c r="H2" s="8" t="s">
        <v>6</v>
      </c>
      <c r="I2" s="3"/>
    </row>
    <row r="3" ht="12.75" customHeight="1">
      <c r="A3" s="58" t="s">
        <v>1675</v>
      </c>
      <c r="B3" s="58" t="s">
        <v>8</v>
      </c>
      <c r="C3" s="58" t="s">
        <v>9</v>
      </c>
      <c r="D3" s="120" t="s">
        <v>10</v>
      </c>
      <c r="E3" s="120" t="s">
        <v>11</v>
      </c>
      <c r="F3" s="121" t="s">
        <v>12</v>
      </c>
      <c r="G3" s="121" t="s">
        <v>12</v>
      </c>
      <c r="H3" s="121" t="s">
        <v>12</v>
      </c>
      <c r="I3" s="120" t="s">
        <v>13</v>
      </c>
    </row>
    <row r="4" ht="32.25" customHeight="1">
      <c r="A4" s="122" t="str">
        <f>HYPERLINK("https://drive.google.com/open?id=0B4phjTjb-BwLX1VMdnpHcDFCTGt5RUV0RWRmZFhIcGMtWkJj","7763")</f>
        <v>7763</v>
      </c>
      <c r="B4" s="12" t="s">
        <v>1676</v>
      </c>
      <c r="C4" s="12">
        <v>678.0</v>
      </c>
      <c r="D4" s="123" t="s">
        <v>1677</v>
      </c>
      <c r="E4" s="124" t="s">
        <v>1678</v>
      </c>
      <c r="F4" s="21">
        <v>43095.0</v>
      </c>
      <c r="G4" s="125">
        <v>43456.0</v>
      </c>
      <c r="H4" s="60">
        <v>43102.0</v>
      </c>
      <c r="I4" s="126" t="s">
        <v>1679</v>
      </c>
    </row>
    <row r="5" ht="32.25" customHeight="1">
      <c r="A5" s="122" t="str">
        <f>HYPERLINK("https://drive.google.com/file/d/0B4phjTjb-BwLZW5FM25iMHE0SExWaEt0N0FDRGJlX2RrUFBF/view?usp=sharing","7735")</f>
        <v>7735</v>
      </c>
      <c r="B5" s="12" t="s">
        <v>14</v>
      </c>
      <c r="C5" s="12">
        <v>771.0</v>
      </c>
      <c r="D5" s="123" t="s">
        <v>1680</v>
      </c>
      <c r="E5" s="124" t="s">
        <v>1681</v>
      </c>
      <c r="F5" s="21">
        <v>43094.0</v>
      </c>
      <c r="G5" s="125">
        <v>43095.0</v>
      </c>
      <c r="H5" s="16">
        <v>43098.0</v>
      </c>
      <c r="I5" s="126" t="s">
        <v>1682</v>
      </c>
    </row>
    <row r="6" ht="32.25" customHeight="1">
      <c r="A6" s="122" t="str">
        <f>HYPERLINK("https://drive.google.com/file/d/0B4phjTjb-BwLX2JwYy1VUGduRGk1RHJhd2RjaVF3clVlN0Jr/view?usp=sharing","7734")</f>
        <v>7734</v>
      </c>
      <c r="B6" s="12" t="s">
        <v>1676</v>
      </c>
      <c r="C6" s="12">
        <v>295.0</v>
      </c>
      <c r="D6" s="123" t="s">
        <v>1683</v>
      </c>
      <c r="E6" s="124" t="s">
        <v>1684</v>
      </c>
      <c r="F6" s="21">
        <v>43093.0</v>
      </c>
      <c r="G6" s="125">
        <v>43090.0</v>
      </c>
      <c r="H6" s="60">
        <v>43102.0</v>
      </c>
      <c r="I6" s="126" t="s">
        <v>1685</v>
      </c>
    </row>
    <row r="7" ht="32.25" customHeight="1">
      <c r="A7" s="6">
        <v>7739.0</v>
      </c>
      <c r="B7" s="12" t="s">
        <v>1676</v>
      </c>
      <c r="C7" s="12">
        <v>953.0</v>
      </c>
      <c r="D7" s="123" t="s">
        <v>1686</v>
      </c>
      <c r="E7" s="124" t="s">
        <v>1687</v>
      </c>
      <c r="F7" s="21">
        <v>43091.0</v>
      </c>
      <c r="G7" s="125">
        <v>43087.0</v>
      </c>
      <c r="H7" s="60">
        <v>43098.0</v>
      </c>
      <c r="I7" s="127" t="s">
        <v>1688</v>
      </c>
    </row>
    <row r="8" ht="32.25" customHeight="1">
      <c r="A8" s="6">
        <v>7733.0</v>
      </c>
      <c r="B8" s="12" t="s">
        <v>25</v>
      </c>
      <c r="C8" s="12">
        <v>351.0</v>
      </c>
      <c r="D8" s="123" t="s">
        <v>1689</v>
      </c>
      <c r="E8" s="124" t="s">
        <v>1681</v>
      </c>
      <c r="F8" s="21">
        <v>43089.0</v>
      </c>
      <c r="G8" s="125">
        <v>43089.0</v>
      </c>
      <c r="H8" s="16">
        <v>43097.0</v>
      </c>
      <c r="I8" s="126" t="s">
        <v>1690</v>
      </c>
    </row>
    <row r="9" ht="32.25" customHeight="1">
      <c r="A9" s="6">
        <v>7740.0</v>
      </c>
      <c r="B9" s="12" t="s">
        <v>25</v>
      </c>
      <c r="C9" s="12">
        <v>1025.0</v>
      </c>
      <c r="D9" s="123" t="s">
        <v>1691</v>
      </c>
      <c r="E9" s="124" t="s">
        <v>1687</v>
      </c>
      <c r="F9" s="21">
        <v>43087.0</v>
      </c>
      <c r="G9" s="125">
        <v>43084.0</v>
      </c>
      <c r="H9" s="16">
        <v>43090.0</v>
      </c>
      <c r="I9" s="126" t="s">
        <v>1692</v>
      </c>
    </row>
    <row r="10" ht="32.25" customHeight="1">
      <c r="A10" s="6">
        <v>7738.0</v>
      </c>
      <c r="B10" s="12" t="s">
        <v>14</v>
      </c>
      <c r="C10" s="12">
        <v>2672.0</v>
      </c>
      <c r="D10" s="123" t="s">
        <v>1693</v>
      </c>
      <c r="E10" s="124" t="s">
        <v>1694</v>
      </c>
      <c r="F10" s="21">
        <v>43087.0</v>
      </c>
      <c r="G10" s="14">
        <v>43089.0</v>
      </c>
      <c r="H10" s="6" t="s">
        <v>1695</v>
      </c>
      <c r="I10" s="126" t="s">
        <v>1696</v>
      </c>
    </row>
    <row r="11" ht="32.25" customHeight="1">
      <c r="A11" s="6">
        <v>7706.0</v>
      </c>
      <c r="B11" s="12" t="s">
        <v>14</v>
      </c>
      <c r="C11" s="12">
        <v>506.0</v>
      </c>
      <c r="D11" s="123" t="s">
        <v>1697</v>
      </c>
      <c r="E11" s="124" t="s">
        <v>1678</v>
      </c>
      <c r="F11" s="21">
        <v>43073.0</v>
      </c>
      <c r="G11" s="125">
        <v>43069.0</v>
      </c>
      <c r="H11" s="16">
        <v>43077.0</v>
      </c>
      <c r="I11" s="126" t="s">
        <v>1698</v>
      </c>
    </row>
    <row r="12" ht="32.25" customHeight="1">
      <c r="A12" s="6">
        <v>7691.0</v>
      </c>
      <c r="B12" s="12" t="s">
        <v>1676</v>
      </c>
      <c r="C12" s="12">
        <v>229.0</v>
      </c>
      <c r="D12" s="123" t="s">
        <v>1699</v>
      </c>
      <c r="E12" s="124" t="s">
        <v>1681</v>
      </c>
      <c r="F12" s="21">
        <v>43070.0</v>
      </c>
      <c r="G12" s="125">
        <v>43069.0</v>
      </c>
      <c r="H12" s="16">
        <v>43080.0</v>
      </c>
      <c r="I12" s="126" t="s">
        <v>1700</v>
      </c>
    </row>
    <row r="13" ht="32.25" customHeight="1">
      <c r="A13" s="6">
        <v>7690.0</v>
      </c>
      <c r="B13" s="12" t="s">
        <v>25</v>
      </c>
      <c r="C13" s="12">
        <v>136.0</v>
      </c>
      <c r="D13" s="128" t="s">
        <v>1701</v>
      </c>
      <c r="E13" s="124" t="s">
        <v>1681</v>
      </c>
      <c r="F13" s="21">
        <v>43068.0</v>
      </c>
      <c r="G13" s="125">
        <v>43066.0</v>
      </c>
      <c r="H13" s="16">
        <v>43074.0</v>
      </c>
      <c r="I13" s="126" t="s">
        <v>1702</v>
      </c>
    </row>
    <row r="14" ht="32.25" customHeight="1">
      <c r="A14" s="6">
        <v>7689.0</v>
      </c>
      <c r="B14" s="12" t="s">
        <v>14</v>
      </c>
      <c r="C14" s="12">
        <v>700.0</v>
      </c>
      <c r="D14" s="123" t="s">
        <v>1703</v>
      </c>
      <c r="E14" s="124" t="s">
        <v>1681</v>
      </c>
      <c r="F14" s="21">
        <v>43066.0</v>
      </c>
      <c r="G14" s="125">
        <v>43066.0</v>
      </c>
      <c r="H14" s="16">
        <v>43069.0</v>
      </c>
      <c r="I14" s="126" t="s">
        <v>1704</v>
      </c>
    </row>
    <row r="15" ht="32.25" customHeight="1">
      <c r="A15" s="6">
        <v>7692.0</v>
      </c>
      <c r="B15" s="12" t="s">
        <v>1676</v>
      </c>
      <c r="C15" s="12">
        <v>1379.0</v>
      </c>
      <c r="D15" s="123" t="s">
        <v>1705</v>
      </c>
      <c r="E15" s="124" t="s">
        <v>1687</v>
      </c>
      <c r="F15" s="21">
        <v>43065.0</v>
      </c>
      <c r="G15" s="125">
        <v>43066.0</v>
      </c>
      <c r="H15" s="16">
        <v>43074.0</v>
      </c>
      <c r="I15" s="126" t="s">
        <v>1706</v>
      </c>
    </row>
    <row r="16" ht="32.25" customHeight="1">
      <c r="A16" s="6">
        <v>7693.0</v>
      </c>
      <c r="B16" s="12" t="s">
        <v>25</v>
      </c>
      <c r="C16" s="12">
        <v>1006.0</v>
      </c>
      <c r="D16" s="123" t="s">
        <v>1707</v>
      </c>
      <c r="E16" s="124" t="s">
        <v>1687</v>
      </c>
      <c r="F16" s="21">
        <v>43061.0</v>
      </c>
      <c r="G16" s="125">
        <v>43059.0</v>
      </c>
      <c r="H16" s="16">
        <v>43067.0</v>
      </c>
      <c r="I16" s="126" t="s">
        <v>1708</v>
      </c>
    </row>
    <row r="17" ht="32.25" customHeight="1">
      <c r="A17" s="6">
        <v>7694.0</v>
      </c>
      <c r="B17" s="12" t="s">
        <v>14</v>
      </c>
      <c r="C17" s="12">
        <v>2179.0</v>
      </c>
      <c r="D17" s="128" t="s">
        <v>1709</v>
      </c>
      <c r="E17" s="124" t="s">
        <v>1687</v>
      </c>
      <c r="F17" s="21">
        <v>43059.0</v>
      </c>
      <c r="G17" s="125">
        <v>43055.0</v>
      </c>
      <c r="H17" s="16">
        <v>43061.0</v>
      </c>
      <c r="I17" s="126" t="s">
        <v>1710</v>
      </c>
    </row>
    <row r="18" ht="32.25" customHeight="1">
      <c r="A18" s="6">
        <v>7705.0</v>
      </c>
      <c r="B18" s="12" t="s">
        <v>1676</v>
      </c>
      <c r="C18" s="12">
        <v>1483.0</v>
      </c>
      <c r="D18" s="123" t="s">
        <v>1711</v>
      </c>
      <c r="E18" s="124" t="s">
        <v>1678</v>
      </c>
      <c r="F18" s="21">
        <v>43056.0</v>
      </c>
      <c r="G18" s="125">
        <v>43061.0</v>
      </c>
      <c r="H18" s="16">
        <v>43073.0</v>
      </c>
      <c r="I18" s="126" t="s">
        <v>1712</v>
      </c>
    </row>
    <row r="19" ht="32.25" customHeight="1">
      <c r="A19" s="6">
        <v>7657.0</v>
      </c>
      <c r="B19" s="12" t="s">
        <v>14</v>
      </c>
      <c r="C19" s="12">
        <v>295.0</v>
      </c>
      <c r="D19" s="123" t="s">
        <v>1713</v>
      </c>
      <c r="E19" s="124" t="s">
        <v>1714</v>
      </c>
      <c r="F19" s="21">
        <v>43047.0</v>
      </c>
      <c r="G19" s="125">
        <v>43041.0</v>
      </c>
      <c r="H19" s="16">
        <v>43047.0</v>
      </c>
      <c r="I19" s="126" t="s">
        <v>1715</v>
      </c>
    </row>
    <row r="20" ht="32.25" customHeight="1">
      <c r="A20" s="6">
        <v>7656.0</v>
      </c>
      <c r="B20" s="12" t="s">
        <v>1676</v>
      </c>
      <c r="C20" s="12">
        <v>1242.0</v>
      </c>
      <c r="D20" s="123" t="s">
        <v>1716</v>
      </c>
      <c r="E20" s="124" t="s">
        <v>1717</v>
      </c>
      <c r="F20" s="21">
        <v>43035.0</v>
      </c>
      <c r="G20" s="125">
        <v>43032.0</v>
      </c>
      <c r="H20" s="16">
        <v>43041.0</v>
      </c>
      <c r="I20" s="126" t="s">
        <v>1718</v>
      </c>
    </row>
    <row r="21" ht="32.25" customHeight="1">
      <c r="A21" s="6">
        <v>7659.0</v>
      </c>
      <c r="B21" s="12" t="s">
        <v>25</v>
      </c>
      <c r="C21" s="12">
        <v>672.0</v>
      </c>
      <c r="D21" s="123" t="s">
        <v>1719</v>
      </c>
      <c r="E21" s="124" t="s">
        <v>1717</v>
      </c>
      <c r="F21" s="21">
        <v>43033.0</v>
      </c>
      <c r="G21" s="125">
        <v>43033.0</v>
      </c>
      <c r="H21" s="16">
        <v>43041.0</v>
      </c>
      <c r="I21" s="126" t="s">
        <v>1720</v>
      </c>
    </row>
    <row r="22" ht="32.25" customHeight="1">
      <c r="A22" s="6">
        <v>7650.0</v>
      </c>
      <c r="B22" s="12" t="s">
        <v>14</v>
      </c>
      <c r="C22" s="12">
        <v>713.0</v>
      </c>
      <c r="D22" s="123" t="s">
        <v>1721</v>
      </c>
      <c r="E22" s="124" t="s">
        <v>1681</v>
      </c>
      <c r="F22" s="21">
        <v>43038.0</v>
      </c>
      <c r="G22" s="125">
        <v>43035.0</v>
      </c>
      <c r="H22" s="16">
        <v>43041.0</v>
      </c>
      <c r="I22" s="126" t="s">
        <v>1722</v>
      </c>
    </row>
    <row r="23" ht="32.25" customHeight="1">
      <c r="A23" s="6">
        <v>7649.0</v>
      </c>
      <c r="B23" s="12" t="s">
        <v>14</v>
      </c>
      <c r="C23" s="12">
        <v>1733.0</v>
      </c>
      <c r="D23" s="123" t="s">
        <v>1723</v>
      </c>
      <c r="E23" s="124" t="s">
        <v>1717</v>
      </c>
      <c r="F23" s="21">
        <v>43031.0</v>
      </c>
      <c r="G23" s="125">
        <v>43027.0</v>
      </c>
      <c r="H23" s="16">
        <v>43034.0</v>
      </c>
      <c r="I23" s="126" t="s">
        <v>1724</v>
      </c>
    </row>
    <row r="24" ht="32.25" customHeight="1">
      <c r="A24" s="6">
        <v>7644.0</v>
      </c>
      <c r="B24" s="12" t="s">
        <v>1676</v>
      </c>
      <c r="C24" s="12">
        <v>461.0</v>
      </c>
      <c r="D24" s="123" t="s">
        <v>1725</v>
      </c>
      <c r="E24" s="124" t="s">
        <v>1681</v>
      </c>
      <c r="F24" s="21">
        <v>43037.0</v>
      </c>
      <c r="G24" s="125">
        <v>43034.0</v>
      </c>
      <c r="H24" s="16">
        <v>43046.0</v>
      </c>
      <c r="I24" s="126" t="s">
        <v>1726</v>
      </c>
    </row>
    <row r="25" ht="32.25" customHeight="1">
      <c r="A25" s="6">
        <v>7643.0</v>
      </c>
      <c r="B25" s="12" t="s">
        <v>25</v>
      </c>
      <c r="C25" s="12">
        <v>214.0</v>
      </c>
      <c r="D25" s="123" t="s">
        <v>1727</v>
      </c>
      <c r="E25" s="124" t="s">
        <v>1681</v>
      </c>
      <c r="F25" s="21">
        <v>43033.0</v>
      </c>
      <c r="G25" s="125">
        <v>43033.0</v>
      </c>
      <c r="H25" s="16">
        <v>43041.0</v>
      </c>
      <c r="I25" s="126" t="s">
        <v>1728</v>
      </c>
    </row>
    <row r="26" ht="32.25" customHeight="1">
      <c r="A26" s="6">
        <v>7610.0</v>
      </c>
      <c r="B26" s="12" t="s">
        <v>1676</v>
      </c>
      <c r="C26" s="12">
        <v>563.0</v>
      </c>
      <c r="D26" s="123" t="s">
        <v>1729</v>
      </c>
      <c r="E26" s="124" t="s">
        <v>1678</v>
      </c>
      <c r="F26" s="21">
        <v>43000.0</v>
      </c>
      <c r="G26" s="125">
        <v>42998.0</v>
      </c>
      <c r="H26" s="16">
        <v>43011.0</v>
      </c>
      <c r="I26" s="126" t="s">
        <v>1730</v>
      </c>
    </row>
    <row r="27" ht="32.25" customHeight="1">
      <c r="A27" s="6">
        <v>7590.0</v>
      </c>
      <c r="B27" s="12" t="s">
        <v>14</v>
      </c>
      <c r="C27" s="12">
        <v>662.0</v>
      </c>
      <c r="D27" s="123" t="s">
        <v>1731</v>
      </c>
      <c r="E27" s="124" t="s">
        <v>1681</v>
      </c>
      <c r="F27" s="21">
        <v>43003.0</v>
      </c>
      <c r="G27" s="125">
        <v>43006.0</v>
      </c>
      <c r="H27" s="16">
        <v>43014.0</v>
      </c>
      <c r="I27" s="126" t="s">
        <v>1732</v>
      </c>
    </row>
    <row r="28" ht="32.25" customHeight="1">
      <c r="A28" s="6">
        <v>7603.0</v>
      </c>
      <c r="B28" s="12" t="s">
        <v>14</v>
      </c>
      <c r="C28" s="12">
        <v>562.0</v>
      </c>
      <c r="D28" s="123" t="s">
        <v>1733</v>
      </c>
      <c r="E28" s="124" t="s">
        <v>1678</v>
      </c>
      <c r="F28" s="21">
        <v>43010.0</v>
      </c>
      <c r="G28" s="125">
        <v>43006.0</v>
      </c>
      <c r="H28" s="16">
        <v>43014.0</v>
      </c>
      <c r="I28" s="126" t="s">
        <v>1734</v>
      </c>
    </row>
    <row r="29" ht="32.25" customHeight="1">
      <c r="A29" s="6">
        <v>7595.0</v>
      </c>
      <c r="B29" s="12" t="s">
        <v>14</v>
      </c>
      <c r="C29" s="12">
        <v>3082.0</v>
      </c>
      <c r="D29" s="129" t="s">
        <v>1735</v>
      </c>
      <c r="E29" s="124" t="s">
        <v>1736</v>
      </c>
      <c r="F29" s="21">
        <v>43003.0</v>
      </c>
      <c r="G29" s="125">
        <v>43000.0</v>
      </c>
      <c r="H29" s="16">
        <v>43007.0</v>
      </c>
      <c r="I29" s="126" t="s">
        <v>1737</v>
      </c>
    </row>
    <row r="30" ht="32.25" customHeight="1">
      <c r="A30" s="6">
        <v>7594.0</v>
      </c>
      <c r="B30" s="12" t="s">
        <v>1676</v>
      </c>
      <c r="C30" s="12">
        <v>553.0</v>
      </c>
      <c r="D30" s="123" t="s">
        <v>1738</v>
      </c>
      <c r="E30" s="124" t="s">
        <v>1681</v>
      </c>
      <c r="F30" s="21">
        <v>43009.0</v>
      </c>
      <c r="G30" s="125">
        <v>43010.0</v>
      </c>
      <c r="H30" s="16">
        <v>43020.0</v>
      </c>
      <c r="I30" s="126" t="s">
        <v>1739</v>
      </c>
    </row>
    <row r="31" ht="32.25" customHeight="1">
      <c r="A31" s="6">
        <v>7596.0</v>
      </c>
      <c r="B31" s="12" t="s">
        <v>25</v>
      </c>
      <c r="C31" s="12">
        <v>278.0</v>
      </c>
      <c r="D31" s="123" t="s">
        <v>1740</v>
      </c>
      <c r="E31" s="124" t="s">
        <v>1681</v>
      </c>
      <c r="F31" s="21">
        <v>43005.0</v>
      </c>
      <c r="G31" s="125">
        <v>43003.0</v>
      </c>
      <c r="H31" s="16">
        <v>43012.0</v>
      </c>
      <c r="I31" s="126" t="s">
        <v>1741</v>
      </c>
    </row>
    <row r="32" ht="32.25" customHeight="1">
      <c r="A32" s="6">
        <v>7591.0</v>
      </c>
      <c r="B32" s="12" t="s">
        <v>25</v>
      </c>
      <c r="C32" s="12">
        <v>1324.0</v>
      </c>
      <c r="D32" s="123" t="s">
        <v>1742</v>
      </c>
      <c r="E32" s="124" t="s">
        <v>1743</v>
      </c>
      <c r="F32" s="21">
        <v>42998.0</v>
      </c>
      <c r="G32" s="125">
        <v>42997.0</v>
      </c>
      <c r="H32" s="16">
        <v>43004.0</v>
      </c>
      <c r="I32" s="126" t="s">
        <v>1744</v>
      </c>
    </row>
    <row r="33" ht="32.25" customHeight="1">
      <c r="A33" s="6">
        <v>7589.0</v>
      </c>
      <c r="B33" s="12" t="s">
        <v>1676</v>
      </c>
      <c r="C33" s="12">
        <v>1742.0</v>
      </c>
      <c r="D33" s="123" t="s">
        <v>1745</v>
      </c>
      <c r="E33" s="124" t="s">
        <v>1746</v>
      </c>
      <c r="F33" s="21">
        <v>43002.0</v>
      </c>
      <c r="G33" s="1" t="s">
        <v>1747</v>
      </c>
      <c r="H33" s="16">
        <v>43010.0</v>
      </c>
      <c r="I33" s="126" t="s">
        <v>1748</v>
      </c>
    </row>
    <row r="34" ht="32.25" customHeight="1">
      <c r="A34" s="6">
        <v>7542.0</v>
      </c>
      <c r="B34" s="12" t="s">
        <v>14</v>
      </c>
      <c r="C34" s="12"/>
      <c r="D34" s="128" t="s">
        <v>1749</v>
      </c>
      <c r="E34" s="124" t="s">
        <v>1750</v>
      </c>
      <c r="F34" s="21">
        <v>42982.0</v>
      </c>
      <c r="G34" s="1" t="s">
        <v>1747</v>
      </c>
      <c r="H34" s="16">
        <v>42992.0</v>
      </c>
      <c r="I34" s="126" t="s">
        <v>1751</v>
      </c>
    </row>
    <row r="35" ht="32.25" customHeight="1">
      <c r="A35" s="6">
        <v>7522.0</v>
      </c>
      <c r="B35" s="12" t="s">
        <v>1676</v>
      </c>
      <c r="C35" s="12">
        <v>446.0</v>
      </c>
      <c r="D35" s="123" t="s">
        <v>1752</v>
      </c>
      <c r="E35" s="124" t="s">
        <v>1681</v>
      </c>
      <c r="F35" s="21">
        <v>42981.0</v>
      </c>
      <c r="G35" s="125">
        <v>42978.0</v>
      </c>
      <c r="H35" s="130" t="s">
        <v>1753</v>
      </c>
      <c r="I35" s="126" t="s">
        <v>1754</v>
      </c>
    </row>
    <row r="36" ht="32.25" customHeight="1">
      <c r="A36" s="6">
        <v>7517.0</v>
      </c>
      <c r="B36" s="12" t="s">
        <v>14</v>
      </c>
      <c r="C36" s="12">
        <v>93.0</v>
      </c>
      <c r="D36" s="123" t="s">
        <v>1755</v>
      </c>
      <c r="E36" s="124" t="s">
        <v>1756</v>
      </c>
      <c r="F36" s="21">
        <v>42977.0</v>
      </c>
      <c r="G36" s="125">
        <v>42971.0</v>
      </c>
      <c r="H36" s="16">
        <v>42985.0</v>
      </c>
      <c r="I36" s="126" t="s">
        <v>1757</v>
      </c>
    </row>
    <row r="37" ht="32.25" customHeight="1">
      <c r="A37" s="6">
        <v>7535.0</v>
      </c>
      <c r="B37" s="12" t="s">
        <v>14</v>
      </c>
      <c r="C37" s="12">
        <v>795.0</v>
      </c>
      <c r="D37" s="123" t="s">
        <v>1758</v>
      </c>
      <c r="E37" s="124" t="s">
        <v>1681</v>
      </c>
      <c r="F37" s="21">
        <v>42975.0</v>
      </c>
      <c r="G37" s="125">
        <v>42971.0</v>
      </c>
      <c r="H37" s="16">
        <v>42979.0</v>
      </c>
      <c r="I37" s="126" t="s">
        <v>1759</v>
      </c>
    </row>
    <row r="38" ht="32.25" customHeight="1">
      <c r="A38" s="6">
        <v>7526.0</v>
      </c>
      <c r="B38" s="12" t="s">
        <v>14</v>
      </c>
      <c r="C38" s="12">
        <v>570.0</v>
      </c>
      <c r="D38" s="123" t="s">
        <v>1760</v>
      </c>
      <c r="E38" s="124" t="s">
        <v>1761</v>
      </c>
      <c r="F38" s="21">
        <v>42975.0</v>
      </c>
      <c r="G38" s="125">
        <v>42971.0</v>
      </c>
      <c r="H38" s="16">
        <v>42983.0</v>
      </c>
      <c r="I38" s="126" t="s">
        <v>1762</v>
      </c>
    </row>
    <row r="39" ht="32.25" customHeight="1">
      <c r="A39" s="6">
        <v>7528.0</v>
      </c>
      <c r="B39" s="12" t="s">
        <v>1676</v>
      </c>
      <c r="C39" s="12">
        <v>1165.0</v>
      </c>
      <c r="D39" s="123" t="s">
        <v>1763</v>
      </c>
      <c r="E39" s="124" t="s">
        <v>1764</v>
      </c>
      <c r="F39" s="21">
        <v>42972.0</v>
      </c>
      <c r="G39" s="125">
        <v>42969.0</v>
      </c>
      <c r="H39" s="131">
        <v>42978.0</v>
      </c>
      <c r="I39" s="126" t="s">
        <v>1765</v>
      </c>
    </row>
    <row r="40" ht="32.25" customHeight="1">
      <c r="A40" s="6">
        <v>7518.0</v>
      </c>
      <c r="B40" s="12" t="s">
        <v>21</v>
      </c>
      <c r="C40" s="12">
        <v>63.0</v>
      </c>
      <c r="D40" s="123" t="s">
        <v>1766</v>
      </c>
      <c r="E40" s="124" t="s">
        <v>1756</v>
      </c>
      <c r="F40" s="21">
        <v>42972.0</v>
      </c>
      <c r="G40" s="125">
        <v>42976.0</v>
      </c>
      <c r="H40" s="16">
        <v>42975.0</v>
      </c>
      <c r="I40" s="126" t="s">
        <v>1767</v>
      </c>
    </row>
    <row r="41" ht="32.25" customHeight="1">
      <c r="A41" s="6">
        <v>7529.0</v>
      </c>
      <c r="B41" s="12" t="s">
        <v>25</v>
      </c>
      <c r="C41" s="12">
        <v>1275.0</v>
      </c>
      <c r="D41" s="123" t="s">
        <v>1768</v>
      </c>
      <c r="E41" s="124" t="s">
        <v>1769</v>
      </c>
      <c r="F41" s="21">
        <v>42970.0</v>
      </c>
      <c r="G41" s="125">
        <v>42968.0</v>
      </c>
      <c r="H41" s="16">
        <v>42975.0</v>
      </c>
      <c r="I41" s="126" t="s">
        <v>1770</v>
      </c>
    </row>
    <row r="42" ht="32.25" customHeight="1">
      <c r="A42" s="6">
        <v>7520.0</v>
      </c>
      <c r="B42" s="12" t="s">
        <v>25</v>
      </c>
      <c r="C42" s="12">
        <v>188.0</v>
      </c>
      <c r="D42" s="123" t="s">
        <v>1771</v>
      </c>
      <c r="E42" s="124" t="s">
        <v>1772</v>
      </c>
      <c r="F42" s="21">
        <v>42970.0</v>
      </c>
      <c r="G42" s="125">
        <v>42969.0</v>
      </c>
      <c r="H42" s="16">
        <v>42976.0</v>
      </c>
      <c r="I42" s="126" t="s">
        <v>1773</v>
      </c>
    </row>
    <row r="43" ht="32.25" customHeight="1">
      <c r="A43" s="6">
        <v>7543.0</v>
      </c>
      <c r="B43" s="12" t="s">
        <v>1676</v>
      </c>
      <c r="C43" s="12" t="s">
        <v>1774</v>
      </c>
      <c r="D43" s="123" t="s">
        <v>1775</v>
      </c>
      <c r="E43" s="124" t="s">
        <v>1750</v>
      </c>
      <c r="F43" s="21">
        <v>42968.0</v>
      </c>
      <c r="G43" s="125">
        <v>42971.0</v>
      </c>
      <c r="H43" s="132">
        <v>42975.0</v>
      </c>
      <c r="I43" s="126" t="s">
        <v>1776</v>
      </c>
    </row>
    <row r="44" ht="32.25" customHeight="1">
      <c r="A44" s="6">
        <v>7523.0</v>
      </c>
      <c r="B44" s="12" t="s">
        <v>14</v>
      </c>
      <c r="C44" s="12">
        <v>2451.0</v>
      </c>
      <c r="D44" s="123" t="s">
        <v>1777</v>
      </c>
      <c r="E44" s="124" t="s">
        <v>1778</v>
      </c>
      <c r="F44" s="21">
        <v>42968.0</v>
      </c>
      <c r="G44" s="125">
        <v>42965.0</v>
      </c>
      <c r="H44" s="16">
        <v>42975.0</v>
      </c>
      <c r="I44" s="126" t="s">
        <v>1779</v>
      </c>
    </row>
    <row r="45" ht="32.25" customHeight="1">
      <c r="A45" s="6">
        <v>7519.0</v>
      </c>
      <c r="B45" s="12" t="s">
        <v>21</v>
      </c>
      <c r="C45" s="12">
        <v>439.0</v>
      </c>
      <c r="D45" s="123" t="s">
        <v>1780</v>
      </c>
      <c r="E45" s="124" t="s">
        <v>1678</v>
      </c>
      <c r="F45" s="21">
        <v>42958.0</v>
      </c>
      <c r="G45" s="125">
        <v>42955.0</v>
      </c>
      <c r="H45" s="16">
        <v>42965.0</v>
      </c>
      <c r="I45" s="126" t="s">
        <v>1781</v>
      </c>
    </row>
    <row r="46" ht="32.25" customHeight="1">
      <c r="A46" s="6">
        <v>7479.0</v>
      </c>
      <c r="B46" s="12" t="s">
        <v>14</v>
      </c>
      <c r="C46" s="12">
        <v>111.0</v>
      </c>
      <c r="D46" s="123" t="s">
        <v>1782</v>
      </c>
      <c r="E46" s="124" t="s">
        <v>1714</v>
      </c>
      <c r="F46" s="21">
        <v>42954.0</v>
      </c>
      <c r="G46" s="125">
        <v>42954.0</v>
      </c>
      <c r="H46" s="16"/>
      <c r="I46" s="126" t="s">
        <v>1783</v>
      </c>
    </row>
    <row r="47" ht="32.25" customHeight="1">
      <c r="A47" s="6">
        <v>7472.0</v>
      </c>
      <c r="B47" s="12" t="s">
        <v>21</v>
      </c>
      <c r="C47" s="12">
        <v>640.0</v>
      </c>
      <c r="D47" s="123" t="s">
        <v>1784</v>
      </c>
      <c r="E47" s="124" t="s">
        <v>1681</v>
      </c>
      <c r="F47" s="21">
        <v>42946.0</v>
      </c>
      <c r="G47" s="125">
        <v>42943.0</v>
      </c>
      <c r="H47" s="16">
        <v>42954.0</v>
      </c>
      <c r="I47" s="126" t="s">
        <v>1785</v>
      </c>
    </row>
    <row r="48" ht="32.25" customHeight="1">
      <c r="A48" s="6">
        <v>7477.0</v>
      </c>
      <c r="B48" s="12" t="s">
        <v>25</v>
      </c>
      <c r="C48" s="12">
        <v>184.0</v>
      </c>
      <c r="D48" s="123" t="s">
        <v>1786</v>
      </c>
      <c r="E48" s="124" t="s">
        <v>1787</v>
      </c>
      <c r="F48" s="21">
        <v>42942.0</v>
      </c>
      <c r="G48" s="125">
        <v>42947.0</v>
      </c>
      <c r="H48" s="16">
        <v>42948.0</v>
      </c>
      <c r="I48" s="126" t="s">
        <v>1788</v>
      </c>
    </row>
    <row r="49" ht="32.25" customHeight="1">
      <c r="A49" s="6">
        <v>7478.0</v>
      </c>
      <c r="B49" s="12" t="s">
        <v>14</v>
      </c>
      <c r="C49" s="12">
        <v>1612.0</v>
      </c>
      <c r="D49" s="123" t="s">
        <v>1789</v>
      </c>
      <c r="E49" s="124" t="s">
        <v>1790</v>
      </c>
      <c r="F49" s="21">
        <v>42940.0</v>
      </c>
      <c r="G49" s="125">
        <v>42937.0</v>
      </c>
      <c r="H49" s="16">
        <v>42944.0</v>
      </c>
      <c r="I49" s="126" t="s">
        <v>1791</v>
      </c>
    </row>
    <row r="50" ht="32.25" customHeight="1">
      <c r="A50" s="6">
        <v>7480.0</v>
      </c>
      <c r="B50" s="12" t="s">
        <v>21</v>
      </c>
      <c r="C50" s="12">
        <v>183.0</v>
      </c>
      <c r="D50" s="123" t="s">
        <v>1792</v>
      </c>
      <c r="E50" s="124" t="s">
        <v>1714</v>
      </c>
      <c r="F50" s="21">
        <v>42940.0</v>
      </c>
      <c r="G50" s="125">
        <v>42937.0</v>
      </c>
      <c r="H50" s="16">
        <v>42948.0</v>
      </c>
      <c r="I50" s="126" t="s">
        <v>1793</v>
      </c>
    </row>
    <row r="51" ht="32.25" customHeight="1">
      <c r="A51" s="6">
        <v>7471.0</v>
      </c>
      <c r="B51" s="12" t="s">
        <v>14</v>
      </c>
      <c r="C51" s="12">
        <v>939.0</v>
      </c>
      <c r="D51" s="128" t="s">
        <v>1794</v>
      </c>
      <c r="E51" s="124" t="s">
        <v>1681</v>
      </c>
      <c r="F51" s="21">
        <v>42940.0</v>
      </c>
      <c r="G51" s="125">
        <v>42936.0</v>
      </c>
      <c r="H51" s="133" t="s">
        <v>1795</v>
      </c>
      <c r="I51" s="126" t="s">
        <v>1796</v>
      </c>
    </row>
    <row r="52" ht="32.25" customHeight="1">
      <c r="A52" s="6">
        <v>7467.0</v>
      </c>
      <c r="B52" s="12" t="s">
        <v>25</v>
      </c>
      <c r="C52" s="12">
        <v>850.0</v>
      </c>
      <c r="D52" s="123" t="s">
        <v>1797</v>
      </c>
      <c r="E52" s="124" t="s">
        <v>1790</v>
      </c>
      <c r="F52" s="21">
        <v>42938.0</v>
      </c>
      <c r="G52" s="125">
        <v>42933.0</v>
      </c>
      <c r="H52" s="16">
        <v>42941.0</v>
      </c>
      <c r="I52" s="126" t="s">
        <v>1798</v>
      </c>
    </row>
    <row r="53" ht="32.25" customHeight="1">
      <c r="A53" s="6">
        <v>7462.0</v>
      </c>
      <c r="B53" s="12" t="s">
        <v>21</v>
      </c>
      <c r="C53" s="12">
        <v>976.0</v>
      </c>
      <c r="D53" s="128" t="s">
        <v>1799</v>
      </c>
      <c r="E53" s="124" t="s">
        <v>1717</v>
      </c>
      <c r="F53" s="21">
        <v>42937.0</v>
      </c>
      <c r="G53" s="125">
        <v>42934.0</v>
      </c>
      <c r="H53" s="16">
        <v>42943.0</v>
      </c>
      <c r="I53" s="126" t="s">
        <v>1800</v>
      </c>
    </row>
    <row r="54" ht="32.25" customHeight="1">
      <c r="A54" s="6">
        <v>7426.0</v>
      </c>
      <c r="B54" s="12" t="s">
        <v>14</v>
      </c>
      <c r="C54" s="12">
        <v>94.0</v>
      </c>
      <c r="D54" s="123" t="s">
        <v>1801</v>
      </c>
      <c r="E54" s="124" t="s">
        <v>1802</v>
      </c>
      <c r="F54" s="21">
        <v>42925.0</v>
      </c>
      <c r="G54" s="125">
        <v>42922.0</v>
      </c>
      <c r="H54" s="16">
        <v>42922.0</v>
      </c>
      <c r="I54" s="126" t="s">
        <v>1803</v>
      </c>
    </row>
    <row r="55" ht="32.25" customHeight="1">
      <c r="A55" s="6">
        <v>7428.0</v>
      </c>
      <c r="B55" s="12" t="s">
        <v>14</v>
      </c>
      <c r="C55" s="12">
        <v>11.0</v>
      </c>
      <c r="D55" s="128" t="s">
        <v>1804</v>
      </c>
      <c r="E55" s="124" t="s">
        <v>1750</v>
      </c>
      <c r="F55" s="21">
        <v>42920.0</v>
      </c>
      <c r="G55" s="125">
        <v>42921.0</v>
      </c>
      <c r="H55" s="16">
        <v>42928.0</v>
      </c>
      <c r="I55" s="126" t="s">
        <v>1805</v>
      </c>
    </row>
    <row r="56" ht="32.25" customHeight="1">
      <c r="A56" s="6">
        <v>7427.0</v>
      </c>
      <c r="B56" s="12" t="s">
        <v>21</v>
      </c>
      <c r="C56" s="12">
        <v>101.0</v>
      </c>
      <c r="D56" s="123" t="s">
        <v>1806</v>
      </c>
      <c r="E56" s="124" t="s">
        <v>1802</v>
      </c>
      <c r="F56" s="21">
        <v>42916.0</v>
      </c>
      <c r="G56" s="125">
        <v>42915.0</v>
      </c>
      <c r="H56" s="16">
        <v>42914.0</v>
      </c>
      <c r="I56" s="126" t="s">
        <v>1807</v>
      </c>
    </row>
    <row r="57" ht="32.25" customHeight="1">
      <c r="A57" s="6">
        <v>7422.0</v>
      </c>
      <c r="B57" s="12" t="s">
        <v>21</v>
      </c>
      <c r="C57" s="12">
        <v>2054.0</v>
      </c>
      <c r="D57" s="123" t="s">
        <v>1808</v>
      </c>
      <c r="E57" s="124" t="s">
        <v>1717</v>
      </c>
      <c r="F57" s="21">
        <v>42916.0</v>
      </c>
      <c r="G57" s="125">
        <v>42913.0</v>
      </c>
      <c r="H57" s="16">
        <v>42926.0</v>
      </c>
      <c r="I57" s="126" t="s">
        <v>1809</v>
      </c>
    </row>
    <row r="58" ht="32.25" customHeight="1">
      <c r="A58" s="6">
        <v>7423.0</v>
      </c>
      <c r="B58" s="12" t="s">
        <v>25</v>
      </c>
      <c r="C58" s="12">
        <v>210.0</v>
      </c>
      <c r="D58" s="123" t="s">
        <v>1810</v>
      </c>
      <c r="E58" s="124" t="s">
        <v>1811</v>
      </c>
      <c r="F58" s="21">
        <v>42914.0</v>
      </c>
      <c r="G58" s="125">
        <v>42919.0</v>
      </c>
      <c r="H58" s="16">
        <v>42923.0</v>
      </c>
      <c r="I58" s="126" t="s">
        <v>1812</v>
      </c>
    </row>
    <row r="59" ht="32.25" customHeight="1">
      <c r="A59" s="6">
        <v>7429.0</v>
      </c>
      <c r="B59" s="12" t="s">
        <v>14</v>
      </c>
      <c r="C59" s="12">
        <v>2565.0</v>
      </c>
      <c r="D59" s="126" t="s">
        <v>1813</v>
      </c>
      <c r="E59" s="124" t="s">
        <v>1687</v>
      </c>
      <c r="F59" s="21">
        <v>42912.0</v>
      </c>
      <c r="G59" s="125">
        <v>42909.0</v>
      </c>
      <c r="H59" s="6" t="s">
        <v>1814</v>
      </c>
      <c r="I59" s="126" t="s">
        <v>1815</v>
      </c>
    </row>
    <row r="60" ht="32.25" customHeight="1">
      <c r="A60" s="6">
        <v>7410.0</v>
      </c>
      <c r="B60" s="12" t="s">
        <v>14</v>
      </c>
      <c r="C60" s="12">
        <v>362.0</v>
      </c>
      <c r="D60" s="123" t="s">
        <v>1816</v>
      </c>
      <c r="E60" s="124" t="s">
        <v>1811</v>
      </c>
      <c r="F60" s="21">
        <v>42912.0</v>
      </c>
      <c r="G60" s="125">
        <v>42909.0</v>
      </c>
      <c r="H60" s="134" t="s">
        <v>1817</v>
      </c>
      <c r="I60" s="126" t="s">
        <v>1818</v>
      </c>
    </row>
    <row r="61" ht="32.25" customHeight="1">
      <c r="A61" s="6">
        <v>7413.0</v>
      </c>
      <c r="B61" s="12" t="s">
        <v>14</v>
      </c>
      <c r="C61" s="12">
        <v>549.0</v>
      </c>
      <c r="D61" s="128" t="s">
        <v>1819</v>
      </c>
      <c r="E61" s="124" t="s">
        <v>1678</v>
      </c>
      <c r="F61" s="21">
        <v>42912.0</v>
      </c>
      <c r="G61" s="125">
        <v>42909.0</v>
      </c>
      <c r="H61" s="134" t="s">
        <v>1820</v>
      </c>
      <c r="I61" s="126" t="s">
        <v>1821</v>
      </c>
    </row>
    <row r="62" ht="32.25" customHeight="1">
      <c r="A62" s="6">
        <v>7417.0</v>
      </c>
      <c r="B62" s="12" t="s">
        <v>21</v>
      </c>
      <c r="C62" s="12">
        <v>312.0</v>
      </c>
      <c r="D62" s="123" t="s">
        <v>1822</v>
      </c>
      <c r="E62" s="124" t="s">
        <v>1823</v>
      </c>
      <c r="F62" s="21">
        <v>42911.0</v>
      </c>
      <c r="G62" s="125">
        <v>42915.0</v>
      </c>
      <c r="H62" s="16">
        <v>42927.0</v>
      </c>
      <c r="I62" s="126" t="s">
        <v>1824</v>
      </c>
    </row>
    <row r="63" ht="32.25" customHeight="1">
      <c r="A63" s="6">
        <v>7420.0</v>
      </c>
      <c r="B63" s="12" t="s">
        <v>25</v>
      </c>
      <c r="C63" s="12">
        <v>1305.0</v>
      </c>
      <c r="D63" s="123" t="s">
        <v>1825</v>
      </c>
      <c r="E63" s="124" t="s">
        <v>1687</v>
      </c>
      <c r="F63" s="21">
        <v>42907.0</v>
      </c>
      <c r="G63" s="125">
        <v>42908.0</v>
      </c>
      <c r="H63" s="16">
        <v>42913.0</v>
      </c>
      <c r="I63" s="126" t="s">
        <v>1826</v>
      </c>
    </row>
    <row r="64" ht="32.25" customHeight="1">
      <c r="A64" s="6">
        <v>7411.0</v>
      </c>
      <c r="B64" s="12" t="s">
        <v>21</v>
      </c>
      <c r="C64" s="12">
        <v>441.0</v>
      </c>
      <c r="D64" s="123" t="s">
        <v>1827</v>
      </c>
      <c r="E64" s="124" t="s">
        <v>1678</v>
      </c>
      <c r="F64" s="21">
        <v>42897.0</v>
      </c>
      <c r="G64" s="125">
        <v>42898.0</v>
      </c>
      <c r="H64" s="16">
        <v>42902.0</v>
      </c>
      <c r="I64" s="126" t="s">
        <v>1828</v>
      </c>
    </row>
    <row r="65" ht="32.25" customHeight="1">
      <c r="A65" s="6">
        <v>7375.0</v>
      </c>
      <c r="B65" s="12" t="s">
        <v>21</v>
      </c>
      <c r="C65" s="12">
        <v>1415.0</v>
      </c>
      <c r="D65" s="123" t="s">
        <v>1829</v>
      </c>
      <c r="E65" s="124" t="s">
        <v>1717</v>
      </c>
      <c r="F65" s="21">
        <v>42883.0</v>
      </c>
      <c r="G65" s="125">
        <v>42885.0</v>
      </c>
      <c r="H65" s="16">
        <v>42891.0</v>
      </c>
      <c r="I65" s="126" t="s">
        <v>1830</v>
      </c>
    </row>
    <row r="66" ht="32.25" customHeight="1">
      <c r="A66" s="6">
        <v>7356.0</v>
      </c>
      <c r="B66" s="12" t="s">
        <v>21</v>
      </c>
      <c r="C66" s="12">
        <v>593.0</v>
      </c>
      <c r="D66" s="123" t="s">
        <v>1831</v>
      </c>
      <c r="E66" s="124" t="s">
        <v>1832</v>
      </c>
      <c r="F66" s="21">
        <v>42883.0</v>
      </c>
      <c r="G66" s="125">
        <v>42881.0</v>
      </c>
      <c r="H66" s="135">
        <v>42888.0</v>
      </c>
      <c r="I66" s="126" t="s">
        <v>1833</v>
      </c>
    </row>
    <row r="67" ht="32.25" customHeight="1">
      <c r="A67" s="6">
        <v>7367.0</v>
      </c>
      <c r="B67" s="12" t="s">
        <v>14</v>
      </c>
      <c r="C67" s="12">
        <v>101.0</v>
      </c>
      <c r="D67" s="123" t="s">
        <v>1834</v>
      </c>
      <c r="E67" s="124" t="s">
        <v>1835</v>
      </c>
      <c r="F67" s="21">
        <v>42880.0</v>
      </c>
      <c r="G67" s="125">
        <v>42877.0</v>
      </c>
      <c r="H67" s="16">
        <v>42885.0</v>
      </c>
      <c r="I67" s="126" t="s">
        <v>1836</v>
      </c>
    </row>
    <row r="68" ht="32.25" customHeight="1">
      <c r="A68" s="6">
        <v>7353.0</v>
      </c>
      <c r="B68" s="12" t="s">
        <v>14</v>
      </c>
      <c r="C68" s="12">
        <v>950.0</v>
      </c>
      <c r="D68" s="123" t="s">
        <v>1837</v>
      </c>
      <c r="E68" s="124" t="s">
        <v>1838</v>
      </c>
      <c r="F68" s="21">
        <v>42880.0</v>
      </c>
      <c r="G68" s="125">
        <v>42874.0</v>
      </c>
      <c r="H68" s="16">
        <v>42880.0</v>
      </c>
      <c r="I68" s="126" t="s">
        <v>1839</v>
      </c>
    </row>
    <row r="69" ht="32.25" customHeight="1">
      <c r="A69" s="6">
        <v>7376.0</v>
      </c>
      <c r="B69" s="12" t="s">
        <v>25</v>
      </c>
      <c r="C69" s="12">
        <v>815.0</v>
      </c>
      <c r="D69" s="123" t="s">
        <v>1840</v>
      </c>
      <c r="E69" s="124" t="s">
        <v>1717</v>
      </c>
      <c r="F69" s="21">
        <v>42879.0</v>
      </c>
      <c r="G69" s="125">
        <v>42880.0</v>
      </c>
      <c r="H69" s="16">
        <v>42885.0</v>
      </c>
      <c r="I69" s="126" t="s">
        <v>1841</v>
      </c>
    </row>
    <row r="70" ht="32.25" customHeight="1">
      <c r="A70" s="6">
        <v>7368.0</v>
      </c>
      <c r="B70" s="12" t="s">
        <v>21</v>
      </c>
      <c r="C70" s="12">
        <v>93.0</v>
      </c>
      <c r="D70" s="123" t="s">
        <v>1842</v>
      </c>
      <c r="E70" s="124" t="s">
        <v>1835</v>
      </c>
      <c r="F70" s="21">
        <v>42879.0</v>
      </c>
      <c r="G70" s="125">
        <v>42881.0</v>
      </c>
      <c r="H70" s="16">
        <v>42881.0</v>
      </c>
      <c r="I70" s="126" t="s">
        <v>1843</v>
      </c>
    </row>
    <row r="71" ht="32.25" customHeight="1">
      <c r="A71" s="6">
        <v>7363.0</v>
      </c>
      <c r="B71" s="12" t="s">
        <v>25</v>
      </c>
      <c r="C71" s="12">
        <v>274.0</v>
      </c>
      <c r="D71" s="123" t="s">
        <v>1844</v>
      </c>
      <c r="E71" s="124" t="s">
        <v>1845</v>
      </c>
      <c r="F71" s="21">
        <v>42879.0</v>
      </c>
      <c r="G71" s="125">
        <v>42880.0</v>
      </c>
      <c r="H71" s="16">
        <v>42886.0</v>
      </c>
      <c r="I71" s="126" t="s">
        <v>1846</v>
      </c>
    </row>
    <row r="72" ht="32.25" customHeight="1">
      <c r="A72" s="6">
        <v>7365.0</v>
      </c>
      <c r="B72" s="12" t="s">
        <v>14</v>
      </c>
      <c r="C72" s="12">
        <v>3129.0</v>
      </c>
      <c r="D72" s="123" t="s">
        <v>1847</v>
      </c>
      <c r="E72" s="124" t="s">
        <v>1717</v>
      </c>
      <c r="F72" s="21">
        <v>42877.0</v>
      </c>
      <c r="G72" s="125">
        <v>42874.0</v>
      </c>
      <c r="H72" s="16">
        <v>42885.0</v>
      </c>
      <c r="I72" s="126" t="s">
        <v>1848</v>
      </c>
    </row>
    <row r="73" ht="32.25" customHeight="1">
      <c r="A73" s="6">
        <v>7325.0</v>
      </c>
      <c r="B73" s="12" t="s">
        <v>21</v>
      </c>
      <c r="C73" s="12">
        <v>1112.0</v>
      </c>
      <c r="D73" s="128" t="s">
        <v>1849</v>
      </c>
      <c r="E73" s="124" t="s">
        <v>1717</v>
      </c>
      <c r="F73" s="21">
        <v>42861.0</v>
      </c>
      <c r="G73" s="125">
        <v>42859.0</v>
      </c>
      <c r="H73" s="16">
        <v>42867.0</v>
      </c>
      <c r="I73" s="126" t="s">
        <v>1850</v>
      </c>
    </row>
    <row r="74" ht="32.25" customHeight="1">
      <c r="A74" s="6">
        <v>7324.0</v>
      </c>
      <c r="B74" s="12" t="s">
        <v>25</v>
      </c>
      <c r="C74" s="12">
        <v>1212.0</v>
      </c>
      <c r="D74" s="123" t="s">
        <v>1851</v>
      </c>
      <c r="E74" s="136" t="s">
        <v>1717</v>
      </c>
      <c r="F74" s="21">
        <v>42857.0</v>
      </c>
      <c r="G74" s="125">
        <v>42857.0</v>
      </c>
      <c r="H74" s="16">
        <v>42865.0</v>
      </c>
      <c r="I74" s="126" t="s">
        <v>1852</v>
      </c>
    </row>
    <row r="75" ht="32.25" customHeight="1">
      <c r="A75" s="6">
        <v>7321.0</v>
      </c>
      <c r="B75" s="12" t="s">
        <v>14</v>
      </c>
      <c r="C75" s="12">
        <v>845.0</v>
      </c>
      <c r="D75" s="123" t="s">
        <v>1853</v>
      </c>
      <c r="E75" s="136" t="s">
        <v>1678</v>
      </c>
      <c r="F75" s="21">
        <v>42856.0</v>
      </c>
      <c r="G75" s="125">
        <v>42852.0</v>
      </c>
      <c r="H75" s="84" t="s">
        <v>1854</v>
      </c>
      <c r="I75" s="126" t="s">
        <v>1855</v>
      </c>
    </row>
    <row r="76" ht="32.25" customHeight="1">
      <c r="A76" s="6">
        <v>7296.0</v>
      </c>
      <c r="B76" s="12" t="s">
        <v>21</v>
      </c>
      <c r="C76" s="12">
        <v>396.0</v>
      </c>
      <c r="D76" s="137" t="s">
        <v>1856</v>
      </c>
      <c r="E76" s="136" t="s">
        <v>1857</v>
      </c>
      <c r="F76" s="21">
        <v>42850.0</v>
      </c>
      <c r="G76" s="125">
        <v>42849.0</v>
      </c>
      <c r="H76" s="16">
        <v>42859.0</v>
      </c>
      <c r="I76" s="126" t="s">
        <v>1858</v>
      </c>
    </row>
    <row r="77" ht="32.25" customHeight="1">
      <c r="A77" s="6">
        <v>7323.0</v>
      </c>
      <c r="B77" s="12" t="s">
        <v>14</v>
      </c>
      <c r="C77" s="12">
        <v>2575.0</v>
      </c>
      <c r="D77" s="137" t="s">
        <v>1859</v>
      </c>
      <c r="E77" s="136" t="s">
        <v>1860</v>
      </c>
      <c r="F77" s="21">
        <v>42849.0</v>
      </c>
      <c r="G77" s="125">
        <v>42845.0</v>
      </c>
      <c r="H77" s="16">
        <v>42852.0</v>
      </c>
      <c r="I77" s="126" t="s">
        <v>1861</v>
      </c>
    </row>
    <row r="78" ht="32.25" customHeight="1">
      <c r="A78" s="6">
        <v>7297.0</v>
      </c>
      <c r="B78" s="12" t="s">
        <v>14</v>
      </c>
      <c r="C78" s="12">
        <v>692.0</v>
      </c>
      <c r="D78" s="137" t="s">
        <v>1862</v>
      </c>
      <c r="E78" s="136" t="s">
        <v>1857</v>
      </c>
      <c r="F78" s="21">
        <v>42849.0</v>
      </c>
      <c r="G78" s="125">
        <v>42845.0</v>
      </c>
      <c r="H78" s="16">
        <v>42856.0</v>
      </c>
      <c r="I78" s="126" t="s">
        <v>1863</v>
      </c>
    </row>
    <row r="79" ht="32.25" customHeight="1">
      <c r="A79" s="6">
        <v>7304.0</v>
      </c>
      <c r="B79" s="12" t="s">
        <v>21</v>
      </c>
      <c r="C79" s="12">
        <v>117.0</v>
      </c>
      <c r="D79" s="137" t="s">
        <v>1864</v>
      </c>
      <c r="E79" s="136" t="s">
        <v>1756</v>
      </c>
      <c r="F79" s="21">
        <v>42849.0</v>
      </c>
      <c r="G79" s="125">
        <v>42849.0</v>
      </c>
      <c r="H79" s="16">
        <v>42857.0</v>
      </c>
      <c r="I79" s="126" t="s">
        <v>1865</v>
      </c>
    </row>
    <row r="80" ht="32.25" customHeight="1">
      <c r="A80" s="6">
        <v>7299.0</v>
      </c>
      <c r="B80" s="12" t="s">
        <v>14</v>
      </c>
      <c r="C80" s="12">
        <v>155.0</v>
      </c>
      <c r="D80" s="137" t="s">
        <v>1866</v>
      </c>
      <c r="E80" s="136" t="s">
        <v>1802</v>
      </c>
      <c r="F80" s="21">
        <v>42849.0</v>
      </c>
      <c r="G80" s="125">
        <v>42845.0</v>
      </c>
      <c r="H80" s="16">
        <v>42856.0</v>
      </c>
      <c r="I80" s="126" t="s">
        <v>1867</v>
      </c>
    </row>
    <row r="81" ht="32.25" customHeight="1">
      <c r="A81" s="6">
        <v>7298.0</v>
      </c>
      <c r="B81" s="12" t="s">
        <v>25</v>
      </c>
      <c r="C81" s="12">
        <v>171.0</v>
      </c>
      <c r="D81" s="137" t="s">
        <v>1868</v>
      </c>
      <c r="E81" s="136" t="s">
        <v>1869</v>
      </c>
      <c r="F81" s="21">
        <v>42848.0</v>
      </c>
      <c r="G81" s="125">
        <v>42844.0</v>
      </c>
      <c r="H81" s="16">
        <v>42851.0</v>
      </c>
      <c r="I81" s="126" t="s">
        <v>1870</v>
      </c>
    </row>
    <row r="82" ht="32.25" customHeight="1">
      <c r="A82" s="6">
        <v>7253.0</v>
      </c>
      <c r="B82" s="12" t="s">
        <v>21</v>
      </c>
      <c r="C82" s="12">
        <v>744.0</v>
      </c>
      <c r="D82" s="137" t="s">
        <v>1871</v>
      </c>
      <c r="E82" s="136" t="s">
        <v>1872</v>
      </c>
      <c r="F82" s="21">
        <v>42828.0</v>
      </c>
      <c r="G82" s="125">
        <v>42830.0</v>
      </c>
      <c r="H82" s="16">
        <v>42842.0</v>
      </c>
      <c r="I82" s="126" t="s">
        <v>1873</v>
      </c>
    </row>
    <row r="83" ht="32.25" customHeight="1">
      <c r="A83" s="6">
        <v>7254.0</v>
      </c>
      <c r="B83" s="12" t="s">
        <v>25</v>
      </c>
      <c r="C83" s="12">
        <v>194.0</v>
      </c>
      <c r="D83" s="137" t="s">
        <v>1874</v>
      </c>
      <c r="E83" s="136" t="s">
        <v>1872</v>
      </c>
      <c r="F83" s="21">
        <v>42827.0</v>
      </c>
      <c r="G83" s="125">
        <v>42825.0</v>
      </c>
      <c r="H83" s="16">
        <v>42830.0</v>
      </c>
      <c r="I83" s="126" t="s">
        <v>1875</v>
      </c>
    </row>
    <row r="84" ht="32.25" customHeight="1">
      <c r="A84" s="6">
        <v>7248.0</v>
      </c>
      <c r="B84" s="12" t="s">
        <v>14</v>
      </c>
      <c r="C84" s="12">
        <v>1096.0</v>
      </c>
      <c r="D84" s="137" t="s">
        <v>1876</v>
      </c>
      <c r="E84" s="136" t="s">
        <v>1872</v>
      </c>
      <c r="F84" s="21">
        <v>42822.0</v>
      </c>
      <c r="G84" s="125">
        <v>42818.0</v>
      </c>
      <c r="H84" s="16">
        <v>42829.0</v>
      </c>
      <c r="I84" s="126" t="s">
        <v>1877</v>
      </c>
    </row>
    <row r="85" ht="32.25" customHeight="1">
      <c r="A85" s="6">
        <v>7250.0</v>
      </c>
      <c r="B85" s="12" t="s">
        <v>25</v>
      </c>
      <c r="C85" s="12">
        <v>1029.0</v>
      </c>
      <c r="D85" s="137" t="s">
        <v>1878</v>
      </c>
      <c r="E85" s="136" t="s">
        <v>1717</v>
      </c>
      <c r="F85" s="21">
        <v>42820.0</v>
      </c>
      <c r="G85" s="125">
        <v>42823.0</v>
      </c>
      <c r="H85" s="16">
        <v>42824.0</v>
      </c>
      <c r="I85" s="126" t="s">
        <v>1879</v>
      </c>
    </row>
    <row r="86" ht="32.25" customHeight="1">
      <c r="A86" s="6">
        <v>7239.0</v>
      </c>
      <c r="B86" s="12" t="s">
        <v>21</v>
      </c>
      <c r="C86" s="12">
        <v>1701.0</v>
      </c>
      <c r="D86" s="137" t="s">
        <v>1880</v>
      </c>
      <c r="E86" s="136" t="s">
        <v>1881</v>
      </c>
      <c r="F86" s="21">
        <v>42819.0</v>
      </c>
      <c r="G86" s="125">
        <v>42817.0</v>
      </c>
      <c r="H86" s="16">
        <v>42824.0</v>
      </c>
      <c r="I86" s="126" t="s">
        <v>1882</v>
      </c>
    </row>
    <row r="87" ht="32.25" customHeight="1">
      <c r="A87" s="6">
        <v>7244.0</v>
      </c>
      <c r="B87" s="12" t="s">
        <v>14</v>
      </c>
      <c r="C87" s="12">
        <v>2247.0</v>
      </c>
      <c r="D87" s="137" t="s">
        <v>1883</v>
      </c>
      <c r="E87" s="136" t="s">
        <v>1717</v>
      </c>
      <c r="F87" s="21">
        <v>42816.0</v>
      </c>
      <c r="G87" s="125">
        <v>42814.0</v>
      </c>
      <c r="H87" s="16">
        <v>42821.0</v>
      </c>
      <c r="I87" s="126" t="s">
        <v>1884</v>
      </c>
    </row>
    <row r="88" ht="32.25" customHeight="1">
      <c r="A88" s="6">
        <v>7243.0</v>
      </c>
      <c r="B88" s="12" t="s">
        <v>21</v>
      </c>
      <c r="C88" s="12">
        <v>254.0</v>
      </c>
      <c r="D88" s="137" t="s">
        <v>1885</v>
      </c>
      <c r="E88" s="136" t="s">
        <v>1886</v>
      </c>
      <c r="F88" s="21">
        <v>42815.0</v>
      </c>
      <c r="G88" s="125">
        <v>42811.0</v>
      </c>
      <c r="H88" s="16">
        <v>42821.0</v>
      </c>
      <c r="I88" s="126" t="s">
        <v>1887</v>
      </c>
    </row>
    <row r="89" ht="32.25" customHeight="1">
      <c r="A89" s="6">
        <v>7210.0</v>
      </c>
      <c r="B89" s="12" t="s">
        <v>14</v>
      </c>
      <c r="C89" s="12">
        <v>78.0</v>
      </c>
      <c r="D89" s="138" t="s">
        <v>1888</v>
      </c>
      <c r="E89" s="136" t="s">
        <v>1802</v>
      </c>
      <c r="F89" s="21">
        <v>42796.0</v>
      </c>
      <c r="G89" s="1" t="s">
        <v>1747</v>
      </c>
      <c r="H89" s="16">
        <v>42804.0</v>
      </c>
      <c r="I89" s="126" t="s">
        <v>1889</v>
      </c>
    </row>
    <row r="90" ht="32.25" customHeight="1">
      <c r="A90" s="6">
        <v>7209.0</v>
      </c>
      <c r="B90" s="12" t="s">
        <v>21</v>
      </c>
      <c r="C90" s="12">
        <v>645.0</v>
      </c>
      <c r="D90" s="139" t="s">
        <v>1890</v>
      </c>
      <c r="E90" s="136" t="s">
        <v>1891</v>
      </c>
      <c r="F90" s="21">
        <v>42794.0</v>
      </c>
      <c r="G90" s="125">
        <v>42790.0</v>
      </c>
      <c r="H90" s="16">
        <v>42801.0</v>
      </c>
      <c r="I90" s="126" t="s">
        <v>1892</v>
      </c>
    </row>
    <row r="91" ht="32.25" customHeight="1">
      <c r="A91" s="6">
        <v>7201.0</v>
      </c>
      <c r="B91" s="12" t="s">
        <v>25</v>
      </c>
      <c r="C91" s="12">
        <v>224.0</v>
      </c>
      <c r="D91" s="123" t="s">
        <v>1893</v>
      </c>
      <c r="E91" s="136" t="s">
        <v>1891</v>
      </c>
      <c r="F91" s="21">
        <v>42792.0</v>
      </c>
      <c r="G91" s="125">
        <v>42788.0</v>
      </c>
      <c r="H91" s="16">
        <v>42793.0</v>
      </c>
      <c r="I91" s="126" t="s">
        <v>1894</v>
      </c>
    </row>
    <row r="92" ht="32.25" customHeight="1">
      <c r="A92" s="6">
        <v>7190.0</v>
      </c>
      <c r="B92" s="12" t="s">
        <v>14</v>
      </c>
      <c r="C92" s="12">
        <v>844.0</v>
      </c>
      <c r="D92" s="123" t="s">
        <v>1895</v>
      </c>
      <c r="E92" s="136" t="s">
        <v>1891</v>
      </c>
      <c r="F92" s="21">
        <v>42788.0</v>
      </c>
      <c r="G92" s="125">
        <v>42802.0</v>
      </c>
      <c r="H92" s="6" t="s">
        <v>1896</v>
      </c>
      <c r="I92" s="126" t="s">
        <v>1897</v>
      </c>
    </row>
    <row r="93" ht="32.25" customHeight="1">
      <c r="A93" s="6">
        <v>7184.0</v>
      </c>
      <c r="B93" s="12" t="s">
        <v>21</v>
      </c>
      <c r="C93" s="12">
        <v>1415.0</v>
      </c>
      <c r="D93" s="123" t="s">
        <v>1898</v>
      </c>
      <c r="E93" s="136" t="s">
        <v>1899</v>
      </c>
      <c r="F93" s="21">
        <v>42784.0</v>
      </c>
      <c r="G93" s="125">
        <v>42781.0</v>
      </c>
      <c r="H93" s="16">
        <v>42790.0</v>
      </c>
      <c r="I93" s="126" t="s">
        <v>1900</v>
      </c>
    </row>
    <row r="94" ht="32.25" customHeight="1">
      <c r="A94" s="6">
        <v>7188.0</v>
      </c>
      <c r="B94" s="12" t="s">
        <v>14</v>
      </c>
      <c r="C94" s="12">
        <v>2281.0</v>
      </c>
      <c r="D94" s="123" t="s">
        <v>1901</v>
      </c>
      <c r="E94" s="136" t="s">
        <v>1902</v>
      </c>
      <c r="F94" s="21">
        <v>42781.0</v>
      </c>
      <c r="G94" s="125">
        <v>42788.0</v>
      </c>
      <c r="H94" s="6" t="s">
        <v>1903</v>
      </c>
      <c r="I94" s="126" t="s">
        <v>1904</v>
      </c>
    </row>
    <row r="95" ht="32.25" customHeight="1">
      <c r="A95" s="6">
        <v>7185.0</v>
      </c>
      <c r="B95" s="12" t="s">
        <v>25</v>
      </c>
      <c r="C95" s="12">
        <v>853.0</v>
      </c>
      <c r="D95" s="123" t="s">
        <v>1905</v>
      </c>
      <c r="E95" s="136" t="s">
        <v>1687</v>
      </c>
      <c r="F95" s="21">
        <v>42779.0</v>
      </c>
      <c r="G95" s="125">
        <v>42788.0</v>
      </c>
      <c r="H95" s="16">
        <v>42783.0</v>
      </c>
      <c r="I95" s="126" t="s">
        <v>1906</v>
      </c>
    </row>
    <row r="96" ht="32.25" customHeight="1">
      <c r="A96" s="6">
        <v>7182.0</v>
      </c>
      <c r="B96" s="12" t="s">
        <v>21</v>
      </c>
      <c r="C96" s="12">
        <v>653.0</v>
      </c>
      <c r="D96" s="123" t="s">
        <v>1907</v>
      </c>
      <c r="E96" s="136" t="s">
        <v>1678</v>
      </c>
      <c r="F96" s="21">
        <v>42777.0</v>
      </c>
      <c r="G96" s="125">
        <v>42773.0</v>
      </c>
      <c r="H96" s="16">
        <v>42783.0</v>
      </c>
      <c r="I96" s="126" t="s">
        <v>1908</v>
      </c>
    </row>
    <row r="97" ht="32.25" customHeight="1">
      <c r="A97" s="6">
        <v>7146.0</v>
      </c>
      <c r="B97" s="12" t="s">
        <v>14</v>
      </c>
      <c r="C97" s="12">
        <v>585.0</v>
      </c>
      <c r="D97" s="123" t="s">
        <v>1909</v>
      </c>
      <c r="E97" s="140" t="s">
        <v>1910</v>
      </c>
      <c r="F97" s="21">
        <v>42760.0</v>
      </c>
      <c r="G97" s="141" t="s">
        <v>1747</v>
      </c>
      <c r="H97" s="16">
        <v>42761.0</v>
      </c>
      <c r="I97" s="126" t="s">
        <v>1911</v>
      </c>
    </row>
    <row r="98" ht="35.25" customHeight="1">
      <c r="A98" s="6">
        <v>7147.0</v>
      </c>
      <c r="B98" s="12" t="s">
        <v>21</v>
      </c>
      <c r="C98" s="12">
        <v>439.0</v>
      </c>
      <c r="D98" s="137" t="s">
        <v>1912</v>
      </c>
      <c r="E98" s="136" t="s">
        <v>1913</v>
      </c>
      <c r="F98" s="21">
        <v>42759.0</v>
      </c>
      <c r="G98" s="125">
        <v>42754.0</v>
      </c>
      <c r="H98" s="16">
        <v>42772.0</v>
      </c>
      <c r="I98" s="126" t="s">
        <v>1914</v>
      </c>
    </row>
    <row r="99" ht="12.75" customHeight="1">
      <c r="A99" s="6">
        <v>7148.0</v>
      </c>
      <c r="B99" s="12" t="s">
        <v>25</v>
      </c>
      <c r="C99" s="12">
        <v>250.0</v>
      </c>
      <c r="D99" s="137" t="s">
        <v>1915</v>
      </c>
      <c r="E99" s="136" t="s">
        <v>1910</v>
      </c>
      <c r="F99" s="21">
        <v>42757.0</v>
      </c>
      <c r="G99" s="125">
        <v>42753.0</v>
      </c>
      <c r="H99" s="16">
        <v>42761.0</v>
      </c>
      <c r="I99" s="126" t="s">
        <v>1916</v>
      </c>
    </row>
    <row r="100" ht="12.75" customHeight="1">
      <c r="A100" s="6">
        <v>7143.0</v>
      </c>
      <c r="B100" s="12" t="s">
        <v>21</v>
      </c>
      <c r="C100" s="12">
        <v>966.0</v>
      </c>
      <c r="D100" s="137" t="s">
        <v>1917</v>
      </c>
      <c r="E100" s="136" t="s">
        <v>1899</v>
      </c>
      <c r="F100" s="21">
        <v>42756.0</v>
      </c>
      <c r="G100" s="125">
        <v>42755.0</v>
      </c>
      <c r="H100" s="16">
        <v>42765.0</v>
      </c>
      <c r="I100" s="126" t="s">
        <v>1918</v>
      </c>
    </row>
    <row r="101" ht="33.75" customHeight="1">
      <c r="A101" s="6">
        <v>7138.0</v>
      </c>
      <c r="B101" s="12" t="s">
        <v>14</v>
      </c>
      <c r="C101" s="12">
        <v>117.0</v>
      </c>
      <c r="D101" s="137" t="s">
        <v>1919</v>
      </c>
      <c r="E101" s="136" t="s">
        <v>1802</v>
      </c>
      <c r="F101" s="21">
        <v>42754.0</v>
      </c>
      <c r="G101" s="1" t="s">
        <v>1747</v>
      </c>
      <c r="H101" s="16">
        <v>42760.0</v>
      </c>
      <c r="I101" s="126" t="s">
        <v>1920</v>
      </c>
    </row>
    <row r="102" ht="37.5" customHeight="1">
      <c r="A102" s="6">
        <v>7140.0</v>
      </c>
      <c r="B102" s="12" t="s">
        <v>21</v>
      </c>
      <c r="C102" s="12">
        <v>156.0</v>
      </c>
      <c r="D102" s="137" t="s">
        <v>1921</v>
      </c>
      <c r="E102" s="136" t="s">
        <v>1802</v>
      </c>
      <c r="F102" s="21">
        <v>42752.0</v>
      </c>
      <c r="G102" s="125">
        <v>42752.0</v>
      </c>
      <c r="H102" s="16">
        <v>42761.0</v>
      </c>
      <c r="I102" s="126" t="s">
        <v>1922</v>
      </c>
    </row>
    <row r="103" ht="39.75" customHeight="1">
      <c r="A103" s="6">
        <v>7135.0</v>
      </c>
      <c r="B103" s="12" t="s">
        <v>14</v>
      </c>
      <c r="C103" s="12">
        <v>269.0</v>
      </c>
      <c r="D103" s="137" t="s">
        <v>1923</v>
      </c>
      <c r="E103" s="136" t="s">
        <v>1924</v>
      </c>
      <c r="F103" s="21">
        <v>42752.0</v>
      </c>
      <c r="G103" s="125">
        <v>42748.0</v>
      </c>
      <c r="H103" s="16">
        <v>42755.0</v>
      </c>
      <c r="I103" s="126" t="s">
        <v>1925</v>
      </c>
    </row>
    <row r="104" ht="37.5" customHeight="1">
      <c r="A104" s="6">
        <v>7142.0</v>
      </c>
      <c r="B104" s="12" t="s">
        <v>25</v>
      </c>
      <c r="C104" s="12">
        <v>801.0</v>
      </c>
      <c r="D104" s="137" t="s">
        <v>1926</v>
      </c>
      <c r="E104" s="136" t="s">
        <v>1927</v>
      </c>
      <c r="F104" s="21">
        <v>42751.0</v>
      </c>
      <c r="G104" s="125">
        <v>42747.0</v>
      </c>
      <c r="H104" s="16">
        <v>42755.0</v>
      </c>
      <c r="I104" s="126" t="s">
        <v>1928</v>
      </c>
    </row>
    <row r="105" ht="36.75" customHeight="1">
      <c r="A105" s="6">
        <v>7141.0</v>
      </c>
      <c r="B105" s="12" t="s">
        <v>14</v>
      </c>
      <c r="C105" s="12">
        <v>1763.0</v>
      </c>
      <c r="D105" s="137" t="s">
        <v>1929</v>
      </c>
      <c r="E105" s="136" t="s">
        <v>1899</v>
      </c>
      <c r="F105" s="21">
        <v>42751.0</v>
      </c>
      <c r="G105" s="125">
        <v>42747.0</v>
      </c>
      <c r="H105" s="16">
        <v>42754.0</v>
      </c>
      <c r="I105" s="126" t="s">
        <v>1930</v>
      </c>
    </row>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I$105">
    <sortState ref="A3:I105">
      <sortCondition descending="1" ref="F3:F105"/>
    </sortState>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20.29"/>
    <col customWidth="1" min="3" max="6" width="14.43"/>
  </cols>
  <sheetData>
    <row r="1" ht="12.75" customHeight="1">
      <c r="A1" s="142" t="s">
        <v>1931</v>
      </c>
    </row>
    <row r="2" ht="12.75" customHeight="1">
      <c r="B2" s="42"/>
    </row>
    <row r="3" ht="12.75" customHeight="1">
      <c r="A3" s="143" t="str">
        <f>HYPERLINK("www.emodal.com","EModal.com Payment ")</f>
        <v>EModal.com Payment </v>
      </c>
      <c r="B3" s="144"/>
      <c r="C3" s="144"/>
      <c r="D3" s="144"/>
      <c r="E3" s="144"/>
      <c r="F3" s="144"/>
    </row>
    <row r="4" ht="12.75" customHeight="1">
      <c r="A4" s="145" t="s">
        <v>7</v>
      </c>
      <c r="B4" s="146" t="s">
        <v>10</v>
      </c>
      <c r="C4" s="147"/>
      <c r="D4" s="145" t="s">
        <v>1932</v>
      </c>
      <c r="E4" s="145" t="s">
        <v>1933</v>
      </c>
      <c r="F4" s="145"/>
    </row>
    <row r="5" ht="12.75" customHeight="1">
      <c r="A5" s="42">
        <v>30850.0</v>
      </c>
      <c r="B5" s="148" t="s">
        <v>1934</v>
      </c>
      <c r="C5" s="149"/>
      <c r="D5" s="48">
        <v>42752.0</v>
      </c>
      <c r="E5" s="42"/>
      <c r="F5" s="42"/>
    </row>
    <row r="6" ht="12.75" customHeight="1">
      <c r="A6" s="42">
        <v>30798.0</v>
      </c>
      <c r="B6" s="148" t="s">
        <v>1935</v>
      </c>
      <c r="C6" s="42"/>
      <c r="D6" s="48">
        <v>42753.0</v>
      </c>
      <c r="E6" s="42"/>
      <c r="F6" s="42"/>
    </row>
    <row r="7" ht="12.75" customHeight="1">
      <c r="A7" s="42">
        <v>30888.0</v>
      </c>
      <c r="B7" s="148" t="s">
        <v>1936</v>
      </c>
      <c r="C7" s="42"/>
      <c r="D7" s="48">
        <v>42754.0</v>
      </c>
      <c r="E7" s="42"/>
      <c r="F7" s="42"/>
    </row>
    <row r="8" ht="12.75" customHeight="1">
      <c r="A8" s="42">
        <v>30942.0</v>
      </c>
      <c r="B8" s="148" t="s">
        <v>1921</v>
      </c>
      <c r="C8" s="42"/>
      <c r="D8" s="48">
        <v>42755.0</v>
      </c>
      <c r="E8" s="42"/>
      <c r="F8" s="42"/>
    </row>
    <row r="9" ht="12.75" customHeight="1">
      <c r="A9" s="42">
        <v>30908.0</v>
      </c>
      <c r="B9" s="148" t="s">
        <v>1937</v>
      </c>
      <c r="C9" s="42"/>
      <c r="D9" s="48">
        <v>42755.0</v>
      </c>
      <c r="E9" s="42"/>
      <c r="F9" s="42"/>
    </row>
    <row r="10" ht="12.75" customHeight="1">
      <c r="A10" s="42">
        <v>30772.0</v>
      </c>
      <c r="B10" s="148" t="s">
        <v>1938</v>
      </c>
      <c r="C10" s="42"/>
      <c r="D10" s="48">
        <v>42759.0</v>
      </c>
      <c r="E10" s="42"/>
      <c r="F10" s="42"/>
    </row>
    <row r="11" ht="12.75" customHeight="1">
      <c r="A11" s="42">
        <v>30944.0</v>
      </c>
      <c r="B11" s="148" t="s">
        <v>1917</v>
      </c>
      <c r="C11" s="42"/>
      <c r="D11" s="48">
        <v>42759.0</v>
      </c>
      <c r="E11" s="42"/>
      <c r="F11" s="42"/>
    </row>
    <row r="12" ht="12.75" customHeight="1">
      <c r="A12" s="42">
        <v>30947.0</v>
      </c>
      <c r="B12" s="148" t="s">
        <v>1912</v>
      </c>
      <c r="C12" s="42"/>
      <c r="D12" s="48">
        <v>42761.0</v>
      </c>
      <c r="E12" s="42"/>
      <c r="F12" s="42"/>
    </row>
    <row r="13" ht="12.75" customHeight="1">
      <c r="A13" s="42">
        <v>30648.0</v>
      </c>
      <c r="B13" s="148" t="s">
        <v>1939</v>
      </c>
      <c r="C13" s="42"/>
      <c r="D13" s="48">
        <v>42773.0</v>
      </c>
      <c r="E13" s="42"/>
      <c r="F13" s="42"/>
    </row>
    <row r="14" ht="12.75" customHeight="1">
      <c r="A14" s="42">
        <v>30995.0</v>
      </c>
      <c r="B14" s="148" t="s">
        <v>1907</v>
      </c>
      <c r="C14" s="42"/>
      <c r="D14" s="48">
        <v>42773.0</v>
      </c>
      <c r="E14" s="42"/>
      <c r="F14" s="42"/>
    </row>
    <row r="15" ht="12.75" customHeight="1">
      <c r="A15" s="42">
        <v>30971.0</v>
      </c>
      <c r="B15" s="148" t="s">
        <v>1940</v>
      </c>
      <c r="C15" s="42"/>
      <c r="D15" s="48">
        <v>42773.0</v>
      </c>
      <c r="E15" s="42"/>
      <c r="F15" s="42"/>
    </row>
    <row r="16" ht="12.75" customHeight="1">
      <c r="A16" s="42">
        <v>30559.0</v>
      </c>
      <c r="B16" s="148" t="s">
        <v>1941</v>
      </c>
      <c r="C16" s="42"/>
      <c r="D16" s="48">
        <v>42779.0</v>
      </c>
      <c r="E16" s="42" t="s">
        <v>1942</v>
      </c>
      <c r="F16" s="42"/>
    </row>
    <row r="17" ht="12.75" customHeight="1">
      <c r="A17" s="42">
        <v>31064.0</v>
      </c>
      <c r="B17" s="148" t="s">
        <v>1890</v>
      </c>
      <c r="C17" s="42"/>
      <c r="D17" s="48">
        <v>42795.0</v>
      </c>
      <c r="E17" s="42"/>
      <c r="F17" s="42"/>
    </row>
    <row r="18" ht="12.75" customHeight="1">
      <c r="A18" s="42">
        <v>30915.0</v>
      </c>
      <c r="B18" s="148" t="s">
        <v>1943</v>
      </c>
      <c r="C18" s="42"/>
      <c r="D18" s="48">
        <v>42807.0</v>
      </c>
      <c r="E18" s="42"/>
      <c r="F18" s="42"/>
    </row>
    <row r="19" ht="12.75" customHeight="1">
      <c r="A19" s="42">
        <v>30978.0</v>
      </c>
      <c r="B19" s="148" t="s">
        <v>1944</v>
      </c>
      <c r="C19" s="42"/>
      <c r="D19" s="48">
        <v>42815.0</v>
      </c>
      <c r="E19" s="42"/>
      <c r="F19" s="42"/>
    </row>
    <row r="20" ht="12.75" customHeight="1">
      <c r="A20" s="42">
        <v>31124.0</v>
      </c>
      <c r="B20" s="148" t="s">
        <v>1945</v>
      </c>
      <c r="C20" s="42"/>
      <c r="D20" s="48">
        <v>42815.0</v>
      </c>
      <c r="E20" s="42"/>
      <c r="F20" s="42"/>
    </row>
    <row r="21" ht="12.75" customHeight="1">
      <c r="A21" s="42">
        <v>31098.0</v>
      </c>
      <c r="B21" s="148" t="s">
        <v>1885</v>
      </c>
      <c r="C21" s="42"/>
      <c r="D21" s="48">
        <v>42815.0</v>
      </c>
      <c r="E21" s="42"/>
      <c r="F21" s="42"/>
    </row>
    <row r="22" ht="12.75" customHeight="1">
      <c r="A22" s="42">
        <v>31097.0</v>
      </c>
      <c r="B22" s="148" t="s">
        <v>1946</v>
      </c>
      <c r="C22" s="42"/>
      <c r="D22" s="48">
        <v>42821.0</v>
      </c>
      <c r="E22" s="42"/>
      <c r="F22" s="42"/>
    </row>
    <row r="23" ht="12.75" customHeight="1">
      <c r="A23" s="42">
        <v>31097.0</v>
      </c>
      <c r="B23" s="148" t="s">
        <v>1947</v>
      </c>
      <c r="C23" s="42"/>
      <c r="D23" s="48">
        <v>42821.0</v>
      </c>
      <c r="E23" s="42"/>
      <c r="F23" s="42"/>
    </row>
    <row r="24" ht="12.75" customHeight="1">
      <c r="A24" s="42">
        <v>31083.0</v>
      </c>
      <c r="B24" s="148" t="s">
        <v>1948</v>
      </c>
      <c r="C24" s="42"/>
      <c r="D24" s="48">
        <v>42821.0</v>
      </c>
      <c r="E24" s="42"/>
      <c r="F24" s="42"/>
    </row>
    <row r="25" ht="12.75" customHeight="1">
      <c r="A25" s="42">
        <v>31102.0</v>
      </c>
      <c r="B25" s="148" t="s">
        <v>1871</v>
      </c>
      <c r="C25" s="42"/>
      <c r="D25" s="48">
        <v>42830.0</v>
      </c>
      <c r="E25" s="42"/>
      <c r="F25" s="42"/>
    </row>
    <row r="26" ht="12.75" customHeight="1">
      <c r="A26" s="42">
        <v>30920.0</v>
      </c>
      <c r="B26" s="148" t="s">
        <v>1949</v>
      </c>
      <c r="C26" s="42"/>
      <c r="D26" s="48">
        <v>42830.0</v>
      </c>
      <c r="E26" s="42"/>
      <c r="F26" s="42"/>
    </row>
    <row r="27" ht="12.75" customHeight="1">
      <c r="A27" s="42">
        <v>31137.0</v>
      </c>
      <c r="B27" s="148" t="s">
        <v>1950</v>
      </c>
      <c r="C27" s="42"/>
      <c r="D27" s="48">
        <v>42837.0</v>
      </c>
      <c r="E27" s="42"/>
      <c r="F27" s="42"/>
    </row>
    <row r="28" ht="12.75" customHeight="1">
      <c r="A28" s="42">
        <v>31145.0</v>
      </c>
      <c r="B28" s="148" t="s">
        <v>1951</v>
      </c>
      <c r="C28" s="42"/>
      <c r="D28" s="48">
        <v>42850.0</v>
      </c>
      <c r="E28" s="42"/>
      <c r="F28" s="42"/>
    </row>
    <row r="29" ht="12.75" customHeight="1">
      <c r="A29" s="42">
        <v>31157.0</v>
      </c>
      <c r="B29" s="148" t="s">
        <v>1952</v>
      </c>
      <c r="C29" s="42"/>
      <c r="D29" s="48">
        <v>42851.0</v>
      </c>
      <c r="E29" s="42"/>
      <c r="F29" s="42"/>
    </row>
    <row r="30" ht="12.75" customHeight="1">
      <c r="A30" s="42">
        <v>31174.0</v>
      </c>
      <c r="B30" s="148" t="s">
        <v>1953</v>
      </c>
      <c r="C30" s="42"/>
      <c r="D30" s="48">
        <v>42857.0</v>
      </c>
      <c r="E30" s="42"/>
      <c r="F30" s="42"/>
    </row>
    <row r="31" ht="12.75" customHeight="1">
      <c r="A31" s="42">
        <v>31149.0</v>
      </c>
      <c r="B31" s="148" t="s">
        <v>1954</v>
      </c>
      <c r="C31" s="42"/>
      <c r="D31" s="48">
        <v>42857.0</v>
      </c>
      <c r="E31" s="42"/>
      <c r="F31" s="42"/>
    </row>
    <row r="32" ht="12.75" customHeight="1">
      <c r="A32" s="42">
        <v>31217.0</v>
      </c>
      <c r="B32" s="148" t="s">
        <v>1849</v>
      </c>
      <c r="C32" s="42"/>
      <c r="D32" s="48">
        <v>42863.0</v>
      </c>
      <c r="E32" s="42"/>
      <c r="F32" s="42"/>
    </row>
    <row r="33" ht="12.75" customHeight="1">
      <c r="A33" s="42">
        <v>31051.0</v>
      </c>
      <c r="B33" s="148" t="s">
        <v>1955</v>
      </c>
      <c r="C33" s="42"/>
      <c r="D33" s="48">
        <v>42863.0</v>
      </c>
      <c r="E33" s="42"/>
      <c r="F33" s="42"/>
    </row>
    <row r="34" ht="12.75" customHeight="1">
      <c r="A34" s="42">
        <v>31043.0</v>
      </c>
      <c r="B34" s="148" t="s">
        <v>1956</v>
      </c>
      <c r="C34" s="42"/>
      <c r="D34" s="23">
        <v>42872.0</v>
      </c>
      <c r="E34" s="42"/>
      <c r="F34" s="42"/>
    </row>
    <row r="35" ht="12.75" customHeight="1">
      <c r="A35" s="42">
        <v>31262.0</v>
      </c>
      <c r="B35" s="148" t="s">
        <v>1957</v>
      </c>
      <c r="C35" s="42"/>
      <c r="D35" s="23">
        <v>42885.0</v>
      </c>
      <c r="E35" s="42"/>
      <c r="F35" s="42"/>
    </row>
    <row r="36" ht="12.75" customHeight="1">
      <c r="A36" s="42">
        <v>31250.0</v>
      </c>
      <c r="B36" s="148" t="s">
        <v>1957</v>
      </c>
      <c r="C36" s="42"/>
      <c r="D36" s="23">
        <v>42885.0</v>
      </c>
      <c r="E36" s="42"/>
      <c r="F36" s="42"/>
    </row>
    <row r="37" ht="12.75" customHeight="1">
      <c r="A37" s="42">
        <v>31121.0</v>
      </c>
      <c r="B37" s="148" t="s">
        <v>1958</v>
      </c>
      <c r="C37" s="42"/>
      <c r="D37" s="23">
        <v>42887.0</v>
      </c>
      <c r="E37" s="42"/>
      <c r="F37" s="42"/>
    </row>
    <row r="38" ht="12.75" customHeight="1">
      <c r="A38" s="42">
        <v>31270.0</v>
      </c>
      <c r="B38" s="148" t="s">
        <v>1959</v>
      </c>
      <c r="C38" s="42"/>
      <c r="D38" s="23">
        <v>42887.0</v>
      </c>
      <c r="E38" s="42"/>
      <c r="F38" s="42"/>
    </row>
    <row r="39" ht="12.75" customHeight="1">
      <c r="A39" s="42">
        <v>31193.0</v>
      </c>
      <c r="B39" s="148" t="s">
        <v>1960</v>
      </c>
      <c r="C39" s="42"/>
      <c r="D39" s="23">
        <v>42900.0</v>
      </c>
      <c r="E39" s="42"/>
      <c r="F39" s="42"/>
    </row>
    <row r="40" ht="12.75" customHeight="1">
      <c r="A40" s="42">
        <v>31320.0</v>
      </c>
      <c r="B40" s="148" t="s">
        <v>1961</v>
      </c>
      <c r="C40" s="42"/>
      <c r="D40" s="23">
        <v>42905.0</v>
      </c>
      <c r="E40" s="42"/>
      <c r="F40" s="42"/>
    </row>
    <row r="41" ht="12.75" customHeight="1">
      <c r="A41" s="42">
        <v>31111.0</v>
      </c>
      <c r="B41" s="148" t="s">
        <v>1962</v>
      </c>
      <c r="C41" s="42"/>
      <c r="D41" s="23">
        <v>42907.0</v>
      </c>
      <c r="E41" s="42"/>
      <c r="F41" s="42"/>
    </row>
    <row r="42" ht="12.75" customHeight="1">
      <c r="A42" s="42">
        <v>31055.0</v>
      </c>
      <c r="B42" s="148" t="s">
        <v>1963</v>
      </c>
      <c r="C42" s="42"/>
      <c r="D42" s="23">
        <v>42907.0</v>
      </c>
      <c r="E42" s="42"/>
      <c r="F42" s="42"/>
    </row>
    <row r="43" ht="12.75" customHeight="1">
      <c r="A43" s="42">
        <v>31321.0</v>
      </c>
      <c r="B43" s="148" t="s">
        <v>1964</v>
      </c>
      <c r="C43" s="42"/>
      <c r="D43" s="23">
        <v>42912.0</v>
      </c>
      <c r="E43" s="42"/>
      <c r="F43" s="42"/>
    </row>
    <row r="44" ht="12.75" customHeight="1">
      <c r="A44" s="42">
        <v>31328.0</v>
      </c>
      <c r="B44" s="148" t="s">
        <v>1965</v>
      </c>
      <c r="C44" s="42"/>
      <c r="D44" s="149">
        <v>42913.0</v>
      </c>
      <c r="E44" s="42"/>
      <c r="F44" s="42"/>
    </row>
    <row r="45" ht="12.75" customHeight="1">
      <c r="A45" s="42" t="s">
        <v>1966</v>
      </c>
      <c r="B45" s="148" t="s">
        <v>1967</v>
      </c>
      <c r="C45" s="42"/>
      <c r="D45" s="23">
        <v>42916.0</v>
      </c>
      <c r="E45" s="42"/>
      <c r="F45" s="42"/>
    </row>
    <row r="46" ht="12.75" customHeight="1">
      <c r="A46" s="42" t="s">
        <v>1966</v>
      </c>
      <c r="B46" s="148" t="s">
        <v>1968</v>
      </c>
      <c r="C46" s="42"/>
      <c r="D46" s="23">
        <v>42916.0</v>
      </c>
      <c r="E46" s="42"/>
      <c r="F46" s="42"/>
    </row>
    <row r="47" ht="12.75" customHeight="1">
      <c r="A47" s="42">
        <v>31334.0</v>
      </c>
      <c r="B47" s="148" t="s">
        <v>1969</v>
      </c>
      <c r="C47" s="42"/>
      <c r="D47" s="23">
        <v>42916.0</v>
      </c>
      <c r="E47" s="42"/>
      <c r="F47" s="42"/>
    </row>
    <row r="48" ht="12.75" customHeight="1">
      <c r="A48" s="42">
        <v>31334.0</v>
      </c>
      <c r="B48" s="148" t="s">
        <v>1970</v>
      </c>
      <c r="C48" s="42"/>
      <c r="D48" s="23">
        <v>42916.0</v>
      </c>
      <c r="E48" s="42"/>
      <c r="F48" s="42"/>
    </row>
    <row r="49" ht="12.75" customHeight="1">
      <c r="A49" s="42">
        <v>31332.0</v>
      </c>
      <c r="B49" s="148" t="s">
        <v>1822</v>
      </c>
      <c r="C49" s="42"/>
      <c r="D49" s="23">
        <v>42919.0</v>
      </c>
      <c r="E49" s="42"/>
      <c r="F49" s="42"/>
    </row>
    <row r="50" ht="12.75" customHeight="1">
      <c r="A50" s="42">
        <v>31365.0</v>
      </c>
      <c r="B50" s="148" t="s">
        <v>1971</v>
      </c>
      <c r="C50" s="42"/>
      <c r="D50" s="23">
        <v>42927.0</v>
      </c>
      <c r="E50" s="42"/>
      <c r="F50" s="42"/>
    </row>
    <row r="51" ht="12.75" customHeight="1">
      <c r="A51" s="42">
        <v>31195.0</v>
      </c>
      <c r="B51" s="148" t="s">
        <v>1972</v>
      </c>
      <c r="C51" s="9"/>
      <c r="D51" s="23">
        <v>42930.0</v>
      </c>
      <c r="E51" s="9"/>
      <c r="F51" s="9"/>
    </row>
    <row r="52" ht="12.75" customHeight="1">
      <c r="A52" s="42">
        <v>31176.0</v>
      </c>
      <c r="B52" s="148" t="s">
        <v>1973</v>
      </c>
      <c r="C52" s="42"/>
      <c r="D52" s="48">
        <v>42934.0</v>
      </c>
      <c r="E52" s="9"/>
      <c r="F52" s="9"/>
    </row>
    <row r="53" ht="12.75" customHeight="1">
      <c r="A53" s="42">
        <v>31423.0</v>
      </c>
      <c r="B53" s="148" t="s">
        <v>1799</v>
      </c>
      <c r="C53" s="42"/>
      <c r="D53" s="23">
        <v>42937.0</v>
      </c>
      <c r="E53" s="9"/>
      <c r="F53" s="9"/>
    </row>
    <row r="54" ht="12.75" customHeight="1">
      <c r="A54" s="42">
        <v>31434.0</v>
      </c>
      <c r="B54" s="148" t="s">
        <v>1792</v>
      </c>
      <c r="C54" s="42"/>
      <c r="D54" s="23">
        <v>42940.0</v>
      </c>
      <c r="E54" s="9"/>
      <c r="F54" s="9"/>
    </row>
    <row r="55" ht="12.75" customHeight="1">
      <c r="A55" s="42">
        <v>31275.0</v>
      </c>
      <c r="B55" s="148" t="s">
        <v>1974</v>
      </c>
      <c r="C55" s="42"/>
      <c r="D55" s="23">
        <v>42941.0</v>
      </c>
      <c r="E55" s="9"/>
      <c r="F55" s="9"/>
    </row>
    <row r="56" ht="12.75" customHeight="1">
      <c r="A56" s="42">
        <v>31430.0</v>
      </c>
      <c r="B56" s="148" t="s">
        <v>1784</v>
      </c>
      <c r="C56" s="42"/>
      <c r="D56" s="23">
        <v>42943.0</v>
      </c>
      <c r="E56" s="9"/>
      <c r="F56" s="9"/>
    </row>
    <row r="57" ht="12.75" customHeight="1">
      <c r="A57" s="42">
        <v>31261.0</v>
      </c>
      <c r="B57" s="148" t="s">
        <v>1975</v>
      </c>
      <c r="C57" s="42"/>
      <c r="D57" s="23">
        <v>42951.0</v>
      </c>
      <c r="E57" s="9"/>
      <c r="F57" s="9"/>
    </row>
    <row r="58" ht="12.75" customHeight="1">
      <c r="A58" s="42">
        <v>31344.0</v>
      </c>
      <c r="B58" s="148" t="s">
        <v>1976</v>
      </c>
      <c r="C58" s="42"/>
      <c r="D58" s="23">
        <v>42951.0</v>
      </c>
      <c r="E58" s="9"/>
      <c r="F58" s="9"/>
    </row>
    <row r="59" ht="12.75" customHeight="1">
      <c r="A59" s="42">
        <v>31435.0</v>
      </c>
      <c r="B59" s="148" t="s">
        <v>1977</v>
      </c>
      <c r="C59" s="42"/>
      <c r="D59" s="23">
        <v>42951.0</v>
      </c>
      <c r="E59" s="9"/>
      <c r="F59" s="9"/>
    </row>
    <row r="60" ht="12.75" customHeight="1">
      <c r="A60" s="42">
        <v>31274.0</v>
      </c>
      <c r="B60" s="148" t="s">
        <v>1978</v>
      </c>
      <c r="C60" s="42"/>
      <c r="D60" s="23">
        <v>42955.0</v>
      </c>
      <c r="E60" s="9"/>
      <c r="F60" s="9"/>
    </row>
    <row r="61" ht="12.75" customHeight="1">
      <c r="A61" s="42">
        <v>31484.0</v>
      </c>
      <c r="B61" s="148" t="s">
        <v>1780</v>
      </c>
      <c r="C61" s="42"/>
      <c r="D61" s="23">
        <v>42961.0</v>
      </c>
      <c r="E61" s="9"/>
      <c r="F61" s="9"/>
    </row>
    <row r="62" ht="12.75" customHeight="1">
      <c r="A62" s="42">
        <v>31299.0</v>
      </c>
      <c r="B62" s="148" t="s">
        <v>1979</v>
      </c>
      <c r="C62" s="42"/>
      <c r="D62" s="23">
        <v>42962.0</v>
      </c>
      <c r="E62" s="9"/>
      <c r="F62" s="9"/>
    </row>
    <row r="63" ht="12.75" customHeight="1">
      <c r="A63" s="42">
        <v>31236.0</v>
      </c>
      <c r="B63" s="148" t="s">
        <v>1980</v>
      </c>
      <c r="C63" s="42"/>
      <c r="D63" s="23">
        <v>42964.0</v>
      </c>
      <c r="E63" s="9"/>
      <c r="F63" s="9"/>
    </row>
    <row r="64" ht="12.75" customHeight="1">
      <c r="A64" s="42">
        <v>31377.0</v>
      </c>
      <c r="B64" s="148" t="s">
        <v>1981</v>
      </c>
      <c r="C64" s="42"/>
      <c r="D64" s="23">
        <v>42964.0</v>
      </c>
      <c r="E64" s="9"/>
      <c r="F64" s="9"/>
    </row>
    <row r="65" ht="12.75" customHeight="1">
      <c r="A65" s="42">
        <v>31527.0</v>
      </c>
      <c r="B65" s="148" t="s">
        <v>1763</v>
      </c>
      <c r="C65" s="42"/>
      <c r="D65" s="23">
        <v>42971.0</v>
      </c>
      <c r="E65" s="9"/>
      <c r="F65" s="9"/>
    </row>
    <row r="66" ht="12.75" customHeight="1">
      <c r="A66" s="42">
        <v>31295.0</v>
      </c>
      <c r="B66" s="148" t="s">
        <v>1982</v>
      </c>
      <c r="C66" s="42"/>
      <c r="D66" s="23">
        <v>42971.0</v>
      </c>
      <c r="E66" s="9"/>
      <c r="F66" s="9"/>
    </row>
    <row r="67" ht="12.75" customHeight="1">
      <c r="A67" s="42">
        <v>31497.0</v>
      </c>
      <c r="B67" s="148" t="s">
        <v>1983</v>
      </c>
      <c r="C67" s="42"/>
      <c r="D67" s="23">
        <v>42975.0</v>
      </c>
      <c r="E67" s="9"/>
      <c r="F67" s="9"/>
    </row>
    <row r="68" ht="12.75" customHeight="1">
      <c r="A68" s="42">
        <v>31297.0</v>
      </c>
      <c r="B68" s="148" t="s">
        <v>1984</v>
      </c>
      <c r="C68" s="42"/>
      <c r="D68" s="23">
        <v>42975.0</v>
      </c>
      <c r="E68" s="9"/>
      <c r="F68" s="9"/>
    </row>
    <row r="69" ht="12.75" customHeight="1">
      <c r="A69" s="42">
        <v>31525.0</v>
      </c>
      <c r="B69" s="148" t="s">
        <v>1752</v>
      </c>
      <c r="C69" s="42"/>
      <c r="D69" s="23">
        <v>42979.0</v>
      </c>
      <c r="E69" s="9"/>
      <c r="F69" s="9"/>
    </row>
    <row r="70" ht="12.75" customHeight="1">
      <c r="A70" s="42">
        <v>31229.0</v>
      </c>
      <c r="B70" s="148" t="s">
        <v>1985</v>
      </c>
      <c r="C70" s="42"/>
      <c r="D70" s="23">
        <v>42989.0</v>
      </c>
      <c r="E70" s="9"/>
      <c r="F70" s="9"/>
    </row>
    <row r="71" ht="12.75" customHeight="1">
      <c r="A71" s="42">
        <v>31352.0</v>
      </c>
      <c r="B71" s="148" t="s">
        <v>1986</v>
      </c>
      <c r="C71" s="42"/>
      <c r="D71" s="23">
        <v>42993.0</v>
      </c>
      <c r="E71" s="9"/>
      <c r="F71" s="9"/>
    </row>
    <row r="72" ht="12.75" customHeight="1">
      <c r="A72" s="42">
        <v>31268.0</v>
      </c>
      <c r="B72" s="148" t="s">
        <v>1987</v>
      </c>
      <c r="C72" s="42"/>
      <c r="D72" s="23">
        <v>42998.0</v>
      </c>
      <c r="E72" s="9"/>
      <c r="F72" s="9"/>
    </row>
    <row r="73" ht="12.75" customHeight="1">
      <c r="A73" s="42">
        <v>31634.0</v>
      </c>
      <c r="B73" s="148" t="s">
        <v>1729</v>
      </c>
      <c r="C73" s="42"/>
      <c r="D73" s="23">
        <v>43003.0</v>
      </c>
      <c r="E73" s="9"/>
      <c r="F73" s="9"/>
    </row>
    <row r="74" ht="12.75" customHeight="1">
      <c r="A74" s="42">
        <v>31613.0</v>
      </c>
      <c r="B74" s="148" t="s">
        <v>1988</v>
      </c>
      <c r="C74" s="42"/>
      <c r="D74" s="23">
        <v>43003.0</v>
      </c>
      <c r="E74" s="9"/>
      <c r="F74" s="9"/>
    </row>
    <row r="75" ht="12.75" customHeight="1">
      <c r="A75" s="42">
        <v>31613.0</v>
      </c>
      <c r="B75" s="148" t="s">
        <v>1989</v>
      </c>
      <c r="C75" s="42"/>
      <c r="D75" s="23">
        <v>43003.0</v>
      </c>
      <c r="E75" s="9"/>
      <c r="F75" s="9"/>
    </row>
    <row r="76" ht="12.75" customHeight="1">
      <c r="A76" s="42">
        <v>31482.0</v>
      </c>
      <c r="B76" s="148" t="s">
        <v>1990</v>
      </c>
      <c r="C76" s="42"/>
      <c r="D76" s="23">
        <v>43004.0</v>
      </c>
      <c r="E76" s="9"/>
      <c r="F76" s="9"/>
    </row>
    <row r="77" ht="12.75" customHeight="1">
      <c r="A77" s="42">
        <v>31631.0</v>
      </c>
      <c r="B77" s="148" t="s">
        <v>1738</v>
      </c>
      <c r="C77" s="42"/>
      <c r="D77" s="23">
        <v>43015.0</v>
      </c>
      <c r="E77" s="9"/>
      <c r="F77" s="9"/>
    </row>
    <row r="78" ht="12.75" customHeight="1">
      <c r="A78" s="42">
        <v>31654.0</v>
      </c>
      <c r="B78" s="148" t="s">
        <v>1991</v>
      </c>
      <c r="C78" s="42"/>
      <c r="D78" s="23">
        <v>43026.0</v>
      </c>
      <c r="E78" s="9"/>
      <c r="F78" s="9"/>
    </row>
    <row r="79" ht="12.75" customHeight="1">
      <c r="A79" s="42">
        <v>31653.0</v>
      </c>
      <c r="B79" s="148" t="s">
        <v>1992</v>
      </c>
      <c r="C79" s="42"/>
      <c r="D79" s="23">
        <v>43026.0</v>
      </c>
      <c r="E79" s="9"/>
      <c r="F79" s="9"/>
    </row>
    <row r="80" ht="12.75" customHeight="1">
      <c r="A80" s="42">
        <v>31534.0</v>
      </c>
      <c r="B80" s="148" t="s">
        <v>1993</v>
      </c>
      <c r="C80" s="42"/>
      <c r="D80" s="23">
        <v>43033.0</v>
      </c>
      <c r="E80" s="9"/>
      <c r="F80" s="9"/>
    </row>
    <row r="81" ht="12.75" customHeight="1">
      <c r="A81" s="42">
        <v>31419.0</v>
      </c>
      <c r="B81" s="148" t="s">
        <v>1994</v>
      </c>
      <c r="C81" s="42"/>
      <c r="D81" s="23">
        <v>43035.0</v>
      </c>
      <c r="E81" s="9"/>
      <c r="F81" s="9"/>
    </row>
    <row r="82" ht="12.75" customHeight="1">
      <c r="A82" s="42">
        <v>31706.0</v>
      </c>
      <c r="B82" s="148" t="s">
        <v>1716</v>
      </c>
      <c r="C82" s="42"/>
      <c r="D82" s="23">
        <v>43035.0</v>
      </c>
      <c r="E82" s="9"/>
      <c r="F82" s="9"/>
    </row>
    <row r="83" ht="12.75" customHeight="1">
      <c r="A83" s="42">
        <v>31472.0</v>
      </c>
      <c r="B83" s="148" t="s">
        <v>1995</v>
      </c>
      <c r="C83" s="42"/>
      <c r="D83" s="23">
        <v>43038.0</v>
      </c>
      <c r="E83" s="9"/>
      <c r="F83" s="9"/>
    </row>
    <row r="84" ht="12.75" customHeight="1">
      <c r="A84" s="42">
        <v>31703.0</v>
      </c>
      <c r="B84" s="148" t="s">
        <v>1725</v>
      </c>
      <c r="C84" s="42"/>
      <c r="D84" s="23">
        <v>43038.0</v>
      </c>
      <c r="E84" s="9"/>
      <c r="F84" s="9"/>
    </row>
    <row r="85" ht="12.75" customHeight="1">
      <c r="A85" s="42">
        <v>31533.0</v>
      </c>
      <c r="B85" s="148" t="s">
        <v>1996</v>
      </c>
      <c r="C85" s="42"/>
      <c r="D85" s="23">
        <v>43042.0</v>
      </c>
      <c r="E85" s="9"/>
      <c r="F85" s="9"/>
    </row>
    <row r="86" ht="12.75" customHeight="1">
      <c r="A86" s="42">
        <v>31233.0</v>
      </c>
      <c r="B86" s="148" t="s">
        <v>1997</v>
      </c>
      <c r="C86" s="42"/>
      <c r="D86" s="23">
        <v>43042.0</v>
      </c>
      <c r="E86" s="9"/>
      <c r="F86" s="9"/>
    </row>
    <row r="87" ht="12.75" customHeight="1">
      <c r="A87" s="42">
        <v>31383.0</v>
      </c>
      <c r="B87" s="148" t="s">
        <v>1998</v>
      </c>
      <c r="C87" s="42"/>
      <c r="D87" s="23">
        <v>43047.0</v>
      </c>
      <c r="E87" s="9"/>
      <c r="F87" s="9"/>
    </row>
    <row r="88" ht="12.75" customHeight="1">
      <c r="A88" s="42">
        <v>31766.0</v>
      </c>
      <c r="B88" s="148" t="s">
        <v>1999</v>
      </c>
      <c r="C88" s="42"/>
      <c r="D88" s="23">
        <v>43056.0</v>
      </c>
      <c r="E88" s="9"/>
      <c r="F88" s="9"/>
    </row>
    <row r="89" ht="12.75" customHeight="1">
      <c r="A89" s="42">
        <v>31489.0</v>
      </c>
      <c r="B89" s="148" t="s">
        <v>2000</v>
      </c>
      <c r="C89" s="42"/>
      <c r="D89" s="23">
        <v>43060.0</v>
      </c>
      <c r="E89" s="9"/>
      <c r="F89" s="9"/>
    </row>
    <row r="90" ht="12.75" customHeight="1">
      <c r="A90" s="42">
        <v>31794.0</v>
      </c>
      <c r="B90" s="148" t="s">
        <v>1711</v>
      </c>
      <c r="C90" s="42"/>
      <c r="D90" s="23">
        <v>43066.0</v>
      </c>
      <c r="E90" s="9"/>
      <c r="F90" s="9"/>
    </row>
    <row r="91" ht="12.75" customHeight="1">
      <c r="A91" s="42">
        <v>31787.0</v>
      </c>
      <c r="B91" s="148" t="s">
        <v>1705</v>
      </c>
      <c r="C91" s="42"/>
      <c r="D91" s="23">
        <v>43068.0</v>
      </c>
      <c r="E91" s="9"/>
      <c r="F91" s="9"/>
    </row>
    <row r="92" ht="12.75" customHeight="1">
      <c r="A92" s="42">
        <v>31780.0</v>
      </c>
      <c r="B92" s="148" t="s">
        <v>2001</v>
      </c>
      <c r="C92" s="42"/>
      <c r="D92" s="23">
        <v>43073.0</v>
      </c>
      <c r="E92" s="9"/>
      <c r="F92" s="9"/>
    </row>
    <row r="93" ht="12.75" customHeight="1">
      <c r="A93" s="42">
        <v>31786.0</v>
      </c>
      <c r="B93" s="148" t="s">
        <v>1699</v>
      </c>
      <c r="C93" s="42"/>
      <c r="D93" s="23">
        <v>43074.0</v>
      </c>
      <c r="E93" s="9"/>
      <c r="F93" s="9"/>
    </row>
    <row r="94" ht="12.75" customHeight="1">
      <c r="A94" s="42">
        <v>31557.0</v>
      </c>
      <c r="B94" s="148" t="s">
        <v>2002</v>
      </c>
      <c r="C94" s="42"/>
      <c r="D94" s="23">
        <v>43076.0</v>
      </c>
      <c r="E94" s="9"/>
      <c r="F94" s="9"/>
    </row>
    <row r="95" ht="12.75" customHeight="1">
      <c r="A95" s="42">
        <v>31596.0</v>
      </c>
      <c r="B95" s="148" t="s">
        <v>2003</v>
      </c>
      <c r="C95" s="42"/>
      <c r="D95" s="23">
        <v>43076.0</v>
      </c>
      <c r="E95" s="9"/>
      <c r="F95" s="9"/>
    </row>
    <row r="96" ht="12.75" customHeight="1">
      <c r="A96" s="42">
        <v>31479.0</v>
      </c>
      <c r="B96" s="148" t="s">
        <v>2004</v>
      </c>
      <c r="C96" s="42"/>
      <c r="D96" s="23">
        <v>43076.0</v>
      </c>
      <c r="E96" s="9"/>
      <c r="F96" s="9"/>
    </row>
    <row r="97" ht="12.75" customHeight="1">
      <c r="A97" s="42">
        <v>31598.0</v>
      </c>
      <c r="B97" s="148" t="s">
        <v>2005</v>
      </c>
      <c r="C97" s="42"/>
      <c r="D97" s="23">
        <v>43083.0</v>
      </c>
      <c r="E97" s="9"/>
      <c r="F97" s="9"/>
    </row>
    <row r="98" ht="12.75" customHeight="1">
      <c r="A98" s="42">
        <v>31547.0</v>
      </c>
      <c r="B98" s="148" t="s">
        <v>2006</v>
      </c>
      <c r="C98" s="42"/>
      <c r="D98" s="23">
        <v>43087.0</v>
      </c>
      <c r="E98" s="9"/>
      <c r="F98" s="9"/>
    </row>
    <row r="99" ht="12.75" customHeight="1">
      <c r="A99" s="42">
        <v>31835.0</v>
      </c>
      <c r="B99" s="148" t="s">
        <v>2007</v>
      </c>
      <c r="C99" s="42"/>
      <c r="D99" s="23">
        <v>43087.0</v>
      </c>
      <c r="E99" s="9"/>
      <c r="F99" s="9"/>
    </row>
    <row r="100" ht="12.75" customHeight="1">
      <c r="A100" s="150">
        <v>31715.0</v>
      </c>
      <c r="B100" s="148" t="s">
        <v>2008</v>
      </c>
      <c r="C100" s="151"/>
      <c r="D100" s="23">
        <v>43096.0</v>
      </c>
      <c r="E100" s="152"/>
      <c r="F100" s="151"/>
    </row>
    <row r="101" ht="12.75" customHeight="1">
      <c r="A101" s="150">
        <v>31896.0</v>
      </c>
      <c r="B101" s="148" t="s">
        <v>2009</v>
      </c>
      <c r="C101" s="9"/>
      <c r="D101" s="23">
        <v>43096.0</v>
      </c>
      <c r="E101" s="151"/>
      <c r="F101" s="9"/>
      <c r="G101" s="153"/>
    </row>
    <row r="102" ht="12.75" customHeight="1">
      <c r="A102" s="150">
        <v>31689.0</v>
      </c>
      <c r="B102" s="148" t="s">
        <v>2010</v>
      </c>
      <c r="C102" s="9"/>
      <c r="D102" s="23">
        <v>43095.0</v>
      </c>
      <c r="E102" s="151"/>
      <c r="F102" s="9"/>
      <c r="G102" s="153"/>
    </row>
    <row r="103" ht="12.75" customHeight="1">
      <c r="A103" s="150">
        <v>31601.0</v>
      </c>
      <c r="B103" s="148" t="s">
        <v>2011</v>
      </c>
      <c r="C103" s="9"/>
      <c r="D103" s="23">
        <v>43095.0</v>
      </c>
      <c r="E103" s="151"/>
      <c r="F103" s="9"/>
      <c r="G103" s="153"/>
    </row>
    <row r="104" ht="12.75" customHeight="1">
      <c r="A104" s="150">
        <v>31850.0</v>
      </c>
      <c r="B104" s="148" t="s">
        <v>2012</v>
      </c>
      <c r="C104" s="9"/>
      <c r="D104" s="23">
        <v>43095.0</v>
      </c>
      <c r="E104" s="151"/>
      <c r="F104" s="9"/>
      <c r="G104" s="153"/>
    </row>
    <row r="105" ht="12.75" customHeight="1">
      <c r="A105" s="150">
        <v>31855.0</v>
      </c>
      <c r="B105" s="148" t="s">
        <v>2013</v>
      </c>
      <c r="C105" s="9"/>
      <c r="D105" s="23">
        <v>43089.0</v>
      </c>
      <c r="E105" s="151"/>
      <c r="F105" s="9"/>
      <c r="G105" s="153"/>
    </row>
    <row r="106" ht="12.75" customHeight="1">
      <c r="A106" s="150">
        <v>31834.0</v>
      </c>
      <c r="B106" s="148" t="s">
        <v>2014</v>
      </c>
      <c r="C106" s="9"/>
      <c r="D106" s="23">
        <v>43089.0</v>
      </c>
      <c r="E106" s="151"/>
      <c r="F106" s="9"/>
      <c r="G106" s="153"/>
    </row>
    <row r="107" ht="12.75" customHeight="1">
      <c r="A107" s="150">
        <v>31843.0</v>
      </c>
      <c r="B107" s="148" t="s">
        <v>1683</v>
      </c>
      <c r="C107" s="9"/>
      <c r="D107" s="23">
        <v>43089.0</v>
      </c>
      <c r="E107" s="151"/>
      <c r="F107" s="9"/>
      <c r="G107" s="153"/>
    </row>
    <row r="108" ht="12.75" customHeight="1">
      <c r="A108" s="42">
        <v>31846.0</v>
      </c>
      <c r="B108" s="148" t="s">
        <v>1686</v>
      </c>
      <c r="C108" s="9"/>
      <c r="D108" s="23">
        <v>43089.0</v>
      </c>
      <c r="E108" s="9"/>
      <c r="F108" s="9"/>
    </row>
    <row r="109" ht="12.75" customHeight="1">
      <c r="A109" s="9"/>
      <c r="B109" s="42"/>
      <c r="C109" s="9"/>
      <c r="D109" s="9"/>
      <c r="E109" s="9"/>
      <c r="F109" s="9"/>
    </row>
    <row r="110" ht="12.75" customHeight="1">
      <c r="A110" s="9"/>
      <c r="B110" s="42"/>
      <c r="C110" s="9"/>
      <c r="D110" s="9"/>
      <c r="E110" s="9"/>
      <c r="F110" s="9"/>
    </row>
    <row r="111" ht="12.75" customHeight="1">
      <c r="A111" s="9"/>
      <c r="B111" s="42"/>
      <c r="C111" s="9"/>
      <c r="D111" s="9"/>
      <c r="E111" s="9"/>
      <c r="F111" s="9"/>
    </row>
    <row r="112" ht="12.75" customHeight="1">
      <c r="A112" s="9"/>
      <c r="B112" s="42"/>
      <c r="C112" s="9"/>
      <c r="D112" s="9"/>
      <c r="E112" s="9"/>
      <c r="F112" s="9"/>
    </row>
    <row r="113" ht="12.75" customHeight="1">
      <c r="A113" s="9">
        <v>31693.0</v>
      </c>
      <c r="B113" s="154" t="s">
        <v>2015</v>
      </c>
      <c r="C113" s="9"/>
      <c r="D113" s="155">
        <v>43098.0</v>
      </c>
      <c r="E113" s="9"/>
      <c r="F113" s="9"/>
    </row>
    <row r="114" ht="12.75" customHeight="1">
      <c r="A114" s="9">
        <v>31603.0</v>
      </c>
      <c r="B114" s="42" t="s">
        <v>2016</v>
      </c>
      <c r="C114" s="9"/>
      <c r="D114" s="155">
        <v>43098.0</v>
      </c>
      <c r="E114" s="9"/>
      <c r="F114" s="9"/>
    </row>
    <row r="115" ht="12.75" customHeight="1">
      <c r="A115" s="9"/>
      <c r="B115" s="42"/>
      <c r="C115" s="9"/>
      <c r="D115" s="9"/>
      <c r="E115" s="9"/>
      <c r="F115" s="9"/>
    </row>
    <row r="116" ht="12.75" customHeight="1">
      <c r="A116" s="9"/>
      <c r="B116" s="42"/>
      <c r="C116" s="9"/>
      <c r="D116" s="9"/>
      <c r="E116" s="9"/>
      <c r="F116" s="9"/>
    </row>
    <row r="117" ht="12.75" customHeight="1">
      <c r="A117" s="9"/>
      <c r="B117" s="42"/>
      <c r="C117" s="9"/>
      <c r="D117" s="9"/>
      <c r="E117" s="9"/>
      <c r="F117" s="9"/>
    </row>
    <row r="118" ht="12.75" customHeight="1">
      <c r="B118" s="42"/>
    </row>
    <row r="119" ht="12.75" customHeight="1">
      <c r="B119" s="42"/>
    </row>
    <row r="120" ht="12.75" customHeight="1">
      <c r="B120" s="42"/>
    </row>
    <row r="121" ht="12.75" customHeight="1">
      <c r="B121" s="42"/>
    </row>
    <row r="122" ht="12.75" customHeight="1">
      <c r="B122" s="42"/>
    </row>
    <row r="123" ht="12.75" customHeight="1">
      <c r="B123" s="42"/>
    </row>
    <row r="124" ht="12.75" customHeight="1">
      <c r="B124" s="42"/>
    </row>
    <row r="125" ht="12.75" customHeight="1">
      <c r="B125" s="42"/>
    </row>
    <row r="126" ht="12.75" customHeight="1">
      <c r="B126" s="42"/>
    </row>
    <row r="127" ht="12.75" customHeight="1">
      <c r="B127" s="42"/>
    </row>
    <row r="128" ht="12.75" customHeight="1">
      <c r="B128" s="42"/>
    </row>
    <row r="129" ht="12.75" customHeight="1">
      <c r="B129" s="42"/>
    </row>
    <row r="130" ht="12.75" customHeight="1">
      <c r="B130" s="42"/>
    </row>
    <row r="131" ht="12.75" customHeight="1">
      <c r="B131" s="42"/>
    </row>
    <row r="132" ht="12.75" customHeight="1">
      <c r="B132" s="42"/>
    </row>
    <row r="133" ht="12.75" customHeight="1">
      <c r="B133" s="42"/>
    </row>
    <row r="134" ht="12.75" customHeight="1">
      <c r="B134" s="42"/>
    </row>
    <row r="135" ht="12.75" customHeight="1">
      <c r="B135" s="42"/>
    </row>
    <row r="136" ht="12.75" customHeight="1">
      <c r="B136" s="42"/>
    </row>
    <row r="137" ht="12.75" customHeight="1">
      <c r="B137" s="42"/>
    </row>
    <row r="138" ht="12.75" customHeight="1">
      <c r="B138" s="42"/>
    </row>
    <row r="139" ht="12.75" customHeight="1">
      <c r="B139" s="42"/>
    </row>
    <row r="140" ht="12.75" customHeight="1">
      <c r="B140" s="42"/>
    </row>
    <row r="141" ht="12.75" customHeight="1">
      <c r="B141" s="42"/>
    </row>
    <row r="142" ht="12.75" customHeight="1">
      <c r="B142" s="42"/>
    </row>
    <row r="143" ht="12.75" customHeight="1">
      <c r="B143" s="42"/>
    </row>
    <row r="144" ht="12.75" customHeight="1">
      <c r="B144" s="42"/>
    </row>
    <row r="145" ht="12.75" customHeight="1">
      <c r="B145" s="42"/>
    </row>
    <row r="146" ht="12.75" customHeight="1">
      <c r="B146" s="42"/>
    </row>
    <row r="147" ht="12.75" customHeight="1">
      <c r="B147" s="42"/>
    </row>
    <row r="148" ht="12.75" customHeight="1">
      <c r="B148" s="42"/>
    </row>
    <row r="149" ht="12.75" customHeight="1">
      <c r="B149" s="42"/>
    </row>
    <row r="150" ht="12.75" customHeight="1">
      <c r="B150" s="42"/>
    </row>
    <row r="151" ht="12.75" customHeight="1">
      <c r="B151" s="42"/>
    </row>
    <row r="152" ht="12.75" customHeight="1">
      <c r="B152" s="42"/>
    </row>
    <row r="153" ht="12.75" customHeight="1">
      <c r="B153" s="42"/>
    </row>
    <row r="154" ht="12.75" customHeight="1">
      <c r="B154" s="42"/>
    </row>
    <row r="155" ht="12.75" customHeight="1">
      <c r="B155" s="42"/>
    </row>
    <row r="156" ht="12.75" customHeight="1">
      <c r="B156" s="42"/>
    </row>
    <row r="157" ht="12.75" customHeight="1">
      <c r="B157" s="42"/>
    </row>
    <row r="158" ht="12.75" customHeight="1">
      <c r="B158" s="42"/>
    </row>
    <row r="159" ht="12.75" customHeight="1">
      <c r="B159" s="42"/>
    </row>
    <row r="160" ht="12.75" customHeight="1">
      <c r="B160" s="42"/>
    </row>
    <row r="161" ht="12.75" customHeight="1">
      <c r="B161" s="42"/>
    </row>
    <row r="162" ht="12.75" customHeight="1">
      <c r="B162" s="42"/>
    </row>
    <row r="163" ht="12.75" customHeight="1">
      <c r="B163" s="42"/>
    </row>
    <row r="164" ht="12.75" customHeight="1">
      <c r="B164" s="42"/>
    </row>
    <row r="165" ht="12.75" customHeight="1">
      <c r="B165" s="42"/>
    </row>
    <row r="166" ht="12.75" customHeight="1">
      <c r="B166" s="42"/>
    </row>
    <row r="167" ht="12.75" customHeight="1">
      <c r="B167" s="42"/>
    </row>
    <row r="168" ht="12.75" customHeight="1">
      <c r="B168" s="42"/>
    </row>
    <row r="169" ht="12.75" customHeight="1">
      <c r="B169" s="42"/>
    </row>
    <row r="170" ht="12.75" customHeight="1">
      <c r="B170" s="42"/>
    </row>
    <row r="171" ht="12.75" customHeight="1">
      <c r="B171" s="42"/>
    </row>
    <row r="172" ht="12.75" customHeight="1">
      <c r="B172" s="42"/>
    </row>
    <row r="173" ht="12.75" customHeight="1">
      <c r="B173" s="42"/>
    </row>
    <row r="174" ht="12.75" customHeight="1">
      <c r="B174" s="42"/>
    </row>
    <row r="175" ht="12.75" customHeight="1">
      <c r="B175" s="42"/>
    </row>
    <row r="176" ht="12.75" customHeight="1">
      <c r="B176" s="42"/>
    </row>
    <row r="177" ht="12.75" customHeight="1">
      <c r="B177" s="42"/>
    </row>
    <row r="178" ht="12.75" customHeight="1">
      <c r="B178" s="42"/>
    </row>
    <row r="179" ht="12.75" customHeight="1">
      <c r="B179" s="42"/>
    </row>
    <row r="180" ht="12.75" customHeight="1">
      <c r="B180" s="42"/>
    </row>
    <row r="181" ht="12.75" customHeight="1">
      <c r="B181" s="42"/>
    </row>
    <row r="182" ht="12.75" customHeight="1">
      <c r="B182" s="42"/>
    </row>
    <row r="183" ht="12.75" customHeight="1">
      <c r="B183" s="42"/>
    </row>
    <row r="184" ht="12.75" customHeight="1">
      <c r="B184" s="42"/>
    </row>
    <row r="185" ht="12.75" customHeight="1">
      <c r="B185" s="42"/>
    </row>
    <row r="186" ht="12.75" customHeight="1">
      <c r="B186" s="42"/>
    </row>
    <row r="187" ht="12.75" customHeight="1">
      <c r="B187" s="42"/>
    </row>
    <row r="188" ht="12.75" customHeight="1">
      <c r="B188" s="42"/>
    </row>
    <row r="189" ht="12.75" customHeight="1">
      <c r="B189" s="42"/>
    </row>
    <row r="190" ht="12.75" customHeight="1">
      <c r="B190" s="42"/>
    </row>
    <row r="191" ht="12.75" customHeight="1">
      <c r="B191" s="42"/>
    </row>
    <row r="192" ht="12.75" customHeight="1">
      <c r="B192" s="42"/>
    </row>
    <row r="193" ht="12.75" customHeight="1">
      <c r="B193" s="42"/>
    </row>
    <row r="194" ht="12.75" customHeight="1">
      <c r="B194" s="42"/>
    </row>
    <row r="195" ht="12.75" customHeight="1">
      <c r="B195" s="42"/>
    </row>
    <row r="196" ht="12.75" customHeight="1">
      <c r="B196" s="42"/>
    </row>
    <row r="197" ht="12.75" customHeight="1">
      <c r="B197" s="42"/>
    </row>
    <row r="198" ht="12.75" customHeight="1">
      <c r="B198" s="42"/>
    </row>
    <row r="199" ht="12.75" customHeight="1">
      <c r="B199" s="42"/>
    </row>
    <row r="200" ht="12.75" customHeight="1">
      <c r="B200" s="42"/>
    </row>
    <row r="201" ht="12.75" customHeight="1">
      <c r="B201" s="42"/>
    </row>
    <row r="202" ht="12.75" customHeight="1">
      <c r="B202" s="42"/>
    </row>
    <row r="203" ht="12.75" customHeight="1">
      <c r="B203" s="42"/>
    </row>
    <row r="204" ht="12.75" customHeight="1">
      <c r="B204" s="42"/>
    </row>
    <row r="205" ht="12.75" customHeight="1">
      <c r="B205" s="42"/>
    </row>
    <row r="206" ht="12.75" customHeight="1">
      <c r="B206" s="42"/>
    </row>
    <row r="207" ht="12.75" customHeight="1">
      <c r="B207" s="42"/>
    </row>
    <row r="208" ht="12.75" customHeight="1">
      <c r="B208" s="42"/>
    </row>
    <row r="209" ht="12.75" customHeight="1">
      <c r="B209" s="42"/>
    </row>
    <row r="210" ht="12.75" customHeight="1">
      <c r="B210" s="42"/>
    </row>
    <row r="211" ht="12.75" customHeight="1">
      <c r="B211" s="42"/>
    </row>
    <row r="212" ht="12.75" customHeight="1">
      <c r="B212" s="42"/>
    </row>
    <row r="213" ht="12.75" customHeight="1">
      <c r="B213" s="42"/>
    </row>
    <row r="214" ht="12.75" customHeight="1">
      <c r="B214" s="42"/>
    </row>
    <row r="215" ht="12.75" customHeight="1">
      <c r="B215" s="42"/>
    </row>
    <row r="216" ht="12.75" customHeight="1">
      <c r="B216" s="42"/>
    </row>
    <row r="217" ht="12.75" customHeight="1">
      <c r="B217" s="42"/>
    </row>
    <row r="218" ht="12.75" customHeight="1">
      <c r="B218" s="42"/>
    </row>
    <row r="219" ht="12.75" customHeight="1">
      <c r="B219" s="42"/>
    </row>
    <row r="220" ht="12.75" customHeight="1">
      <c r="B220" s="42"/>
    </row>
    <row r="221" ht="12.75" customHeight="1">
      <c r="B221" s="42"/>
    </row>
    <row r="222" ht="12.75" customHeight="1">
      <c r="B222" s="42"/>
    </row>
    <row r="223" ht="12.75" customHeight="1">
      <c r="B223" s="42"/>
    </row>
    <row r="224" ht="12.75" customHeight="1">
      <c r="B224" s="42"/>
    </row>
    <row r="225" ht="12.75" customHeight="1">
      <c r="B225" s="42"/>
    </row>
    <row r="226" ht="12.75" customHeight="1">
      <c r="B226" s="42"/>
    </row>
    <row r="227" ht="12.75" customHeight="1">
      <c r="B227" s="42"/>
    </row>
    <row r="228" ht="12.75" customHeight="1">
      <c r="B228" s="42"/>
    </row>
    <row r="229" ht="12.75" customHeight="1">
      <c r="B229" s="42"/>
    </row>
    <row r="230" ht="12.75" customHeight="1">
      <c r="B230" s="42"/>
    </row>
    <row r="231" ht="12.75" customHeight="1">
      <c r="B231" s="42"/>
    </row>
    <row r="232" ht="12.75" customHeight="1">
      <c r="B232" s="42"/>
    </row>
    <row r="233" ht="12.75" customHeight="1">
      <c r="B233" s="42"/>
    </row>
    <row r="234" ht="12.75" customHeight="1">
      <c r="B234" s="42"/>
    </row>
    <row r="235" ht="12.75" customHeight="1">
      <c r="B235" s="42"/>
    </row>
    <row r="236" ht="12.75" customHeight="1">
      <c r="B236" s="42"/>
    </row>
    <row r="237" ht="12.75" customHeight="1">
      <c r="B237" s="42"/>
    </row>
    <row r="238" ht="12.75" customHeight="1">
      <c r="B238" s="42"/>
    </row>
    <row r="239" ht="12.75" customHeight="1">
      <c r="B239" s="42"/>
    </row>
    <row r="240" ht="12.75" customHeight="1">
      <c r="B240" s="42"/>
    </row>
    <row r="241" ht="12.75" customHeight="1">
      <c r="B241" s="42"/>
    </row>
    <row r="242" ht="12.75" customHeight="1">
      <c r="B242" s="42"/>
    </row>
    <row r="243" ht="12.75" customHeight="1">
      <c r="B243" s="42"/>
    </row>
    <row r="244" ht="12.75" customHeight="1">
      <c r="B244" s="42"/>
    </row>
    <row r="245" ht="12.75" customHeight="1">
      <c r="B245" s="42"/>
    </row>
    <row r="246" ht="12.75" customHeight="1">
      <c r="B246" s="42"/>
    </row>
    <row r="247" ht="12.75" customHeight="1">
      <c r="B247" s="42"/>
    </row>
    <row r="248" ht="12.75" customHeight="1">
      <c r="B248" s="42"/>
    </row>
    <row r="249" ht="12.75" customHeight="1">
      <c r="B249" s="42"/>
    </row>
    <row r="250" ht="12.75" customHeight="1">
      <c r="B250" s="42"/>
    </row>
    <row r="251" ht="12.75" customHeight="1">
      <c r="B251" s="42"/>
    </row>
    <row r="252" ht="12.75" customHeight="1">
      <c r="B252" s="42"/>
    </row>
    <row r="253" ht="12.75" customHeight="1">
      <c r="B253" s="42"/>
    </row>
    <row r="254" ht="12.75" customHeight="1">
      <c r="B254" s="42"/>
    </row>
    <row r="255" ht="12.75" customHeight="1">
      <c r="B255" s="42"/>
    </row>
    <row r="256" ht="12.75" customHeight="1">
      <c r="B256" s="42"/>
    </row>
    <row r="257" ht="12.75" customHeight="1">
      <c r="B257" s="42"/>
    </row>
    <row r="258" ht="12.75" customHeight="1">
      <c r="B258" s="42"/>
    </row>
    <row r="259" ht="12.75" customHeight="1">
      <c r="B259" s="42"/>
    </row>
    <row r="260" ht="12.75" customHeight="1">
      <c r="B260" s="42"/>
    </row>
    <row r="261" ht="12.75" customHeight="1">
      <c r="B261" s="42"/>
    </row>
    <row r="262" ht="12.75" customHeight="1">
      <c r="B262" s="42"/>
    </row>
    <row r="263" ht="12.75" customHeight="1">
      <c r="B263" s="42"/>
    </row>
    <row r="264" ht="12.75" customHeight="1">
      <c r="B264" s="42"/>
    </row>
    <row r="265" ht="12.75" customHeight="1">
      <c r="B265" s="42"/>
    </row>
    <row r="266" ht="12.75" customHeight="1">
      <c r="B266" s="42"/>
    </row>
    <row r="267" ht="12.75" customHeight="1">
      <c r="B267" s="42"/>
    </row>
    <row r="268" ht="12.75" customHeight="1">
      <c r="B268" s="42"/>
    </row>
    <row r="269" ht="12.75" customHeight="1">
      <c r="B269" s="42"/>
    </row>
    <row r="270" ht="12.75" customHeight="1">
      <c r="B270" s="42"/>
    </row>
    <row r="271" ht="12.75" customHeight="1">
      <c r="B271" s="42"/>
    </row>
    <row r="272" ht="12.75" customHeight="1">
      <c r="B272" s="42"/>
    </row>
    <row r="273" ht="12.75" customHeight="1">
      <c r="B273" s="42"/>
    </row>
    <row r="274" ht="12.75" customHeight="1">
      <c r="B274" s="42"/>
    </row>
    <row r="275" ht="12.75" customHeight="1">
      <c r="B275" s="42"/>
    </row>
    <row r="276" ht="12.75" customHeight="1">
      <c r="B276" s="42"/>
    </row>
    <row r="277" ht="12.75" customHeight="1">
      <c r="B277" s="42"/>
    </row>
    <row r="278" ht="12.75" customHeight="1">
      <c r="B278" s="42"/>
    </row>
    <row r="279" ht="12.75" customHeight="1">
      <c r="B279" s="42"/>
    </row>
    <row r="280" ht="12.75" customHeight="1">
      <c r="B280" s="42"/>
    </row>
    <row r="281" ht="12.75" customHeight="1">
      <c r="B281" s="42"/>
    </row>
    <row r="282" ht="12.75" customHeight="1">
      <c r="B282" s="42"/>
    </row>
    <row r="283" ht="12.75" customHeight="1">
      <c r="B283" s="42"/>
    </row>
    <row r="284" ht="12.75" customHeight="1">
      <c r="B284" s="42"/>
    </row>
    <row r="285" ht="12.75" customHeight="1">
      <c r="B285" s="42"/>
    </row>
    <row r="286" ht="12.75" customHeight="1">
      <c r="B286" s="42"/>
    </row>
    <row r="287" ht="12.75" customHeight="1">
      <c r="B287" s="42"/>
    </row>
    <row r="288" ht="12.75" customHeight="1">
      <c r="B288" s="42"/>
    </row>
    <row r="289" ht="12.75" customHeight="1">
      <c r="B289" s="42"/>
    </row>
    <row r="290" ht="12.75" customHeight="1">
      <c r="B290" s="42"/>
    </row>
    <row r="291" ht="12.75" customHeight="1">
      <c r="B291" s="42"/>
    </row>
    <row r="292" ht="12.75" customHeight="1">
      <c r="B292" s="42"/>
    </row>
    <row r="293" ht="12.75" customHeight="1">
      <c r="B293" s="42"/>
    </row>
    <row r="294" ht="12.75" customHeight="1">
      <c r="B294" s="42"/>
    </row>
    <row r="295" ht="12.75" customHeight="1">
      <c r="B295" s="42"/>
    </row>
    <row r="296" ht="12.75" customHeight="1">
      <c r="B296" s="42"/>
    </row>
    <row r="297" ht="12.75" customHeight="1">
      <c r="B297" s="42"/>
    </row>
    <row r="298" ht="12.75" customHeight="1">
      <c r="B298" s="42"/>
    </row>
    <row r="299" ht="12.75" customHeight="1">
      <c r="B299" s="42"/>
    </row>
    <row r="300" ht="12.75" customHeight="1">
      <c r="B300" s="42"/>
    </row>
    <row r="301" ht="12.75" customHeight="1">
      <c r="B301" s="42"/>
    </row>
    <row r="302" ht="12.75" customHeight="1">
      <c r="B302" s="42"/>
    </row>
    <row r="303" ht="12.75" customHeight="1">
      <c r="B303" s="42"/>
    </row>
    <row r="304" ht="12.75" customHeight="1">
      <c r="B304" s="42"/>
    </row>
    <row r="305" ht="12.75" customHeight="1">
      <c r="B305" s="42"/>
    </row>
    <row r="306" ht="12.75" customHeight="1">
      <c r="B306" s="42"/>
    </row>
    <row r="307" ht="12.75" customHeight="1">
      <c r="B307" s="42"/>
    </row>
    <row r="308" ht="12.75" customHeight="1">
      <c r="B308" s="42"/>
    </row>
    <row r="309" ht="12.75" customHeight="1">
      <c r="B309" s="42"/>
    </row>
    <row r="310" ht="12.75" customHeight="1">
      <c r="B310" s="42"/>
    </row>
    <row r="311" ht="12.75" customHeight="1">
      <c r="B311" s="42"/>
    </row>
    <row r="312" ht="12.75" customHeight="1">
      <c r="B312" s="42"/>
    </row>
    <row r="313" ht="12.75" customHeight="1">
      <c r="B313" s="42"/>
    </row>
    <row r="314" ht="12.75" customHeight="1">
      <c r="B314" s="42"/>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3:F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43"/>
    <col customWidth="1" min="2" max="2" width="20.29"/>
    <col customWidth="1" min="3" max="6" width="14.43"/>
  </cols>
  <sheetData>
    <row r="1" ht="12.75" customHeight="1">
      <c r="A1" s="156" t="s">
        <v>2017</v>
      </c>
      <c r="E1" s="157"/>
      <c r="F1" s="157"/>
      <c r="G1" s="157"/>
      <c r="H1" s="157"/>
      <c r="I1" s="157"/>
      <c r="J1" s="157"/>
      <c r="K1" s="157"/>
      <c r="L1" s="157"/>
      <c r="M1" s="157"/>
      <c r="N1" s="157"/>
      <c r="O1" s="157"/>
      <c r="P1" s="157"/>
      <c r="Q1" s="157"/>
      <c r="R1" s="157"/>
      <c r="S1" s="157"/>
      <c r="T1" s="157"/>
      <c r="U1" s="157"/>
      <c r="V1" s="157"/>
      <c r="W1" s="157"/>
      <c r="X1" s="157"/>
    </row>
    <row r="2" ht="12.75" customHeight="1">
      <c r="A2" s="158" t="s">
        <v>2018</v>
      </c>
      <c r="B2" s="159"/>
      <c r="C2" s="159"/>
      <c r="D2" s="160"/>
      <c r="E2" s="157"/>
      <c r="F2" s="157"/>
      <c r="G2" s="157"/>
      <c r="H2" s="157"/>
      <c r="I2" s="157"/>
      <c r="J2" s="157"/>
      <c r="K2" s="157"/>
      <c r="L2" s="157"/>
      <c r="M2" s="157"/>
      <c r="N2" s="157"/>
      <c r="O2" s="157"/>
      <c r="P2" s="157"/>
      <c r="Q2" s="157"/>
      <c r="R2" s="157"/>
      <c r="S2" s="157"/>
      <c r="T2" s="157"/>
      <c r="U2" s="157"/>
      <c r="V2" s="157"/>
      <c r="W2" s="157"/>
      <c r="X2" s="157"/>
    </row>
    <row r="3" ht="12.75" customHeight="1">
      <c r="A3" s="161"/>
      <c r="B3" s="161"/>
      <c r="C3" s="161"/>
      <c r="D3" s="161"/>
      <c r="E3" s="157"/>
      <c r="F3" s="157"/>
      <c r="G3" s="157"/>
      <c r="H3" s="157"/>
      <c r="I3" s="157"/>
      <c r="J3" s="157"/>
      <c r="K3" s="157"/>
      <c r="L3" s="157"/>
      <c r="M3" s="157"/>
      <c r="N3" s="157"/>
      <c r="O3" s="157"/>
      <c r="P3" s="157"/>
      <c r="Q3" s="157"/>
      <c r="R3" s="157"/>
      <c r="S3" s="157"/>
      <c r="T3" s="157"/>
      <c r="U3" s="157"/>
      <c r="V3" s="157"/>
      <c r="W3" s="157"/>
      <c r="X3" s="157"/>
    </row>
    <row r="4" ht="12.75" customHeight="1">
      <c r="A4" s="162" t="str">
        <f>HYPERLINK("www.emodal.com","EModal.com Payment ")</f>
        <v>EModal.com Payment </v>
      </c>
      <c r="B4" s="144"/>
      <c r="C4" s="144"/>
      <c r="D4" s="163"/>
      <c r="E4" s="157"/>
      <c r="F4" s="157"/>
      <c r="G4" s="157"/>
      <c r="H4" s="157"/>
      <c r="I4" s="157"/>
      <c r="J4" s="157"/>
      <c r="K4" s="157"/>
      <c r="L4" s="157"/>
      <c r="M4" s="157"/>
      <c r="N4" s="157"/>
      <c r="O4" s="157"/>
      <c r="P4" s="157"/>
      <c r="Q4" s="157"/>
      <c r="R4" s="157"/>
      <c r="S4" s="157"/>
      <c r="T4" s="157"/>
      <c r="U4" s="157"/>
      <c r="V4" s="157"/>
      <c r="W4" s="157"/>
      <c r="X4" s="157"/>
    </row>
    <row r="5" ht="12.75" customHeight="1">
      <c r="A5" s="164" t="s">
        <v>2019</v>
      </c>
      <c r="B5" s="164" t="s">
        <v>10</v>
      </c>
      <c r="C5" s="164" t="s">
        <v>1932</v>
      </c>
      <c r="D5" s="164" t="s">
        <v>1933</v>
      </c>
      <c r="E5" s="157"/>
      <c r="F5" s="157"/>
      <c r="G5" s="157"/>
      <c r="H5" s="157"/>
      <c r="I5" s="157"/>
      <c r="J5" s="157"/>
      <c r="K5" s="157"/>
      <c r="L5" s="157"/>
      <c r="M5" s="157"/>
      <c r="N5" s="157"/>
      <c r="O5" s="157"/>
      <c r="P5" s="157"/>
      <c r="Q5" s="157"/>
      <c r="R5" s="157"/>
      <c r="S5" s="157"/>
      <c r="T5" s="157"/>
      <c r="U5" s="157"/>
      <c r="V5" s="157"/>
      <c r="W5" s="157"/>
      <c r="X5" s="157"/>
    </row>
    <row r="6" ht="12.75" customHeight="1">
      <c r="A6" s="165">
        <v>31900.0</v>
      </c>
      <c r="B6" s="165" t="s">
        <v>2020</v>
      </c>
      <c r="C6" s="166">
        <v>43108.0</v>
      </c>
      <c r="D6" s="165"/>
      <c r="E6" s="157"/>
      <c r="F6" s="157"/>
      <c r="G6" s="157"/>
      <c r="H6" s="157"/>
      <c r="I6" s="157"/>
      <c r="J6" s="157"/>
      <c r="K6" s="157"/>
      <c r="L6" s="157"/>
      <c r="M6" s="157"/>
      <c r="N6" s="157"/>
      <c r="O6" s="157"/>
      <c r="P6" s="157"/>
      <c r="Q6" s="157"/>
      <c r="R6" s="157"/>
      <c r="S6" s="157"/>
      <c r="T6" s="157"/>
      <c r="U6" s="157"/>
      <c r="V6" s="157"/>
      <c r="W6" s="157"/>
      <c r="X6" s="157"/>
    </row>
    <row r="7" ht="12.75" customHeight="1">
      <c r="A7" s="165">
        <v>31909.0</v>
      </c>
      <c r="B7" s="165" t="s">
        <v>2021</v>
      </c>
      <c r="C7" s="166">
        <v>43108.0</v>
      </c>
      <c r="D7" s="165"/>
      <c r="E7" s="157"/>
      <c r="F7" s="157"/>
      <c r="G7" s="157"/>
      <c r="H7" s="157"/>
      <c r="I7" s="157"/>
      <c r="J7" s="157"/>
      <c r="K7" s="157"/>
      <c r="L7" s="157"/>
      <c r="M7" s="157"/>
      <c r="N7" s="157"/>
      <c r="O7" s="157"/>
      <c r="P7" s="157"/>
      <c r="Q7" s="157"/>
      <c r="R7" s="157"/>
      <c r="S7" s="157"/>
      <c r="T7" s="157"/>
      <c r="U7" s="157"/>
      <c r="V7" s="157"/>
      <c r="W7" s="157"/>
      <c r="X7" s="157"/>
    </row>
    <row r="8" ht="12.75" customHeight="1">
      <c r="A8" s="165">
        <v>31945.0</v>
      </c>
      <c r="B8" s="165" t="s">
        <v>2022</v>
      </c>
      <c r="C8" s="166">
        <v>43115.0</v>
      </c>
      <c r="D8" s="165"/>
      <c r="E8" s="157"/>
      <c r="F8" s="157"/>
      <c r="G8" s="157"/>
      <c r="H8" s="157"/>
      <c r="I8" s="157"/>
      <c r="J8" s="157"/>
      <c r="K8" s="157"/>
      <c r="L8" s="157"/>
      <c r="M8" s="157"/>
      <c r="N8" s="157"/>
      <c r="O8" s="157"/>
      <c r="P8" s="157"/>
      <c r="Q8" s="157"/>
      <c r="R8" s="157"/>
      <c r="S8" s="157"/>
      <c r="T8" s="157"/>
      <c r="U8" s="157"/>
      <c r="V8" s="157"/>
      <c r="W8" s="157"/>
      <c r="X8" s="157"/>
    </row>
    <row r="9" ht="12.75" customHeight="1">
      <c r="A9" s="165">
        <v>31926.0</v>
      </c>
      <c r="B9" s="165" t="s">
        <v>2023</v>
      </c>
      <c r="C9" s="166">
        <v>43123.0</v>
      </c>
      <c r="D9" s="165"/>
      <c r="E9" s="157"/>
      <c r="F9" s="157"/>
      <c r="G9" s="157"/>
      <c r="H9" s="157"/>
      <c r="I9" s="157"/>
      <c r="J9" s="157"/>
      <c r="K9" s="157"/>
      <c r="L9" s="157"/>
      <c r="M9" s="157"/>
      <c r="N9" s="157"/>
      <c r="O9" s="157"/>
      <c r="P9" s="157"/>
      <c r="Q9" s="157"/>
      <c r="R9" s="157"/>
      <c r="S9" s="157"/>
      <c r="T9" s="157"/>
      <c r="U9" s="157"/>
      <c r="V9" s="157"/>
      <c r="W9" s="157"/>
      <c r="X9" s="157"/>
    </row>
    <row r="10" ht="12.75" customHeight="1">
      <c r="A10" s="165">
        <v>31608.0</v>
      </c>
      <c r="B10" s="165" t="s">
        <v>2024</v>
      </c>
      <c r="C10" s="166">
        <v>43125.0</v>
      </c>
      <c r="D10" s="165"/>
      <c r="E10" s="157"/>
      <c r="F10" s="157"/>
      <c r="G10" s="157"/>
      <c r="H10" s="157"/>
      <c r="I10" s="157"/>
      <c r="J10" s="157"/>
      <c r="K10" s="157"/>
      <c r="L10" s="157"/>
      <c r="M10" s="157"/>
      <c r="N10" s="157"/>
      <c r="O10" s="157"/>
      <c r="P10" s="157"/>
      <c r="Q10" s="157"/>
      <c r="R10" s="157"/>
      <c r="S10" s="157"/>
      <c r="T10" s="157"/>
      <c r="U10" s="157"/>
      <c r="V10" s="157"/>
      <c r="W10" s="157"/>
      <c r="X10" s="157"/>
    </row>
    <row r="11" ht="12.75" customHeight="1">
      <c r="A11" s="165">
        <v>31609.0</v>
      </c>
      <c r="B11" s="165" t="s">
        <v>2025</v>
      </c>
      <c r="C11" s="166">
        <v>43125.0</v>
      </c>
      <c r="D11" s="165"/>
      <c r="E11" s="157"/>
      <c r="F11" s="157"/>
      <c r="G11" s="157"/>
      <c r="H11" s="157"/>
      <c r="I11" s="157"/>
      <c r="J11" s="157"/>
      <c r="K11" s="157"/>
      <c r="L11" s="157"/>
      <c r="M11" s="157"/>
      <c r="N11" s="157"/>
      <c r="O11" s="157"/>
      <c r="P11" s="157"/>
      <c r="Q11" s="157"/>
      <c r="R11" s="157"/>
      <c r="S11" s="157"/>
      <c r="T11" s="157"/>
      <c r="U11" s="157"/>
      <c r="V11" s="157"/>
      <c r="W11" s="157"/>
      <c r="X11" s="157"/>
    </row>
    <row r="12" ht="12.75" customHeight="1">
      <c r="A12" s="165">
        <v>31934.0</v>
      </c>
      <c r="B12" s="165" t="s">
        <v>2026</v>
      </c>
      <c r="C12" s="166">
        <v>43125.0</v>
      </c>
      <c r="D12" s="165"/>
      <c r="E12" s="157"/>
      <c r="F12" s="157"/>
      <c r="G12" s="157"/>
      <c r="H12" s="157"/>
      <c r="I12" s="157"/>
      <c r="J12" s="157"/>
      <c r="K12" s="157"/>
      <c r="L12" s="157"/>
      <c r="M12" s="157"/>
      <c r="N12" s="157"/>
      <c r="O12" s="157"/>
      <c r="P12" s="157"/>
      <c r="Q12" s="157"/>
      <c r="R12" s="157"/>
      <c r="S12" s="157"/>
      <c r="T12" s="157"/>
      <c r="U12" s="157"/>
      <c r="V12" s="157"/>
      <c r="W12" s="157"/>
      <c r="X12" s="157"/>
    </row>
    <row r="13" ht="12.75" customHeight="1">
      <c r="A13" s="165">
        <v>31936.0</v>
      </c>
      <c r="B13" s="165" t="s">
        <v>2027</v>
      </c>
      <c r="C13" s="166">
        <v>43125.0</v>
      </c>
      <c r="D13" s="165"/>
      <c r="E13" s="157"/>
      <c r="F13" s="157"/>
      <c r="G13" s="157"/>
      <c r="H13" s="157"/>
      <c r="I13" s="157"/>
      <c r="J13" s="157"/>
      <c r="K13" s="157"/>
      <c r="L13" s="157"/>
      <c r="M13" s="157"/>
      <c r="N13" s="157"/>
      <c r="O13" s="157"/>
      <c r="P13" s="157"/>
      <c r="Q13" s="157"/>
      <c r="R13" s="157"/>
      <c r="S13" s="157"/>
      <c r="T13" s="157"/>
      <c r="U13" s="157"/>
      <c r="V13" s="157"/>
      <c r="W13" s="157"/>
      <c r="X13" s="157"/>
    </row>
    <row r="14" ht="12.75" customHeight="1">
      <c r="A14" s="165">
        <v>31925.0</v>
      </c>
      <c r="B14" s="165" t="s">
        <v>2028</v>
      </c>
      <c r="C14" s="166">
        <v>43126.0</v>
      </c>
      <c r="D14" s="165"/>
      <c r="E14" s="157"/>
      <c r="F14" s="157"/>
      <c r="G14" s="157"/>
      <c r="H14" s="157"/>
      <c r="I14" s="157"/>
      <c r="J14" s="157"/>
      <c r="K14" s="157"/>
      <c r="L14" s="157"/>
      <c r="M14" s="157"/>
      <c r="N14" s="157"/>
      <c r="O14" s="157"/>
      <c r="P14" s="157"/>
      <c r="Q14" s="157"/>
      <c r="R14" s="157"/>
      <c r="S14" s="157"/>
      <c r="T14" s="157"/>
      <c r="U14" s="157"/>
      <c r="V14" s="157"/>
      <c r="W14" s="157"/>
      <c r="X14" s="157"/>
    </row>
    <row r="15" ht="12.75" customHeight="1">
      <c r="A15" s="165">
        <v>31810.0</v>
      </c>
      <c r="B15" s="165" t="s">
        <v>2029</v>
      </c>
      <c r="C15" s="166">
        <v>43138.0</v>
      </c>
      <c r="D15" s="165"/>
      <c r="E15" s="157"/>
      <c r="F15" s="157"/>
      <c r="G15" s="157"/>
      <c r="H15" s="157"/>
      <c r="I15" s="157"/>
      <c r="J15" s="157"/>
      <c r="K15" s="157"/>
      <c r="L15" s="157"/>
      <c r="M15" s="157"/>
      <c r="N15" s="157"/>
      <c r="O15" s="157"/>
      <c r="P15" s="157"/>
      <c r="Q15" s="157"/>
      <c r="R15" s="157"/>
      <c r="S15" s="157"/>
      <c r="T15" s="157"/>
      <c r="U15" s="157"/>
      <c r="V15" s="157"/>
      <c r="W15" s="157"/>
      <c r="X15" s="157"/>
    </row>
    <row r="16" ht="12.75" customHeight="1">
      <c r="A16" s="165">
        <v>8.500000003E9</v>
      </c>
      <c r="B16" s="165" t="s">
        <v>2030</v>
      </c>
      <c r="C16" s="166">
        <v>43151.0</v>
      </c>
      <c r="D16" s="165"/>
      <c r="E16" s="157"/>
      <c r="F16" s="157"/>
      <c r="G16" s="157"/>
      <c r="H16" s="157"/>
      <c r="I16" s="157"/>
      <c r="J16" s="157"/>
      <c r="K16" s="157"/>
      <c r="L16" s="157"/>
      <c r="M16" s="157"/>
      <c r="N16" s="157"/>
      <c r="O16" s="157"/>
      <c r="P16" s="157"/>
      <c r="Q16" s="157"/>
      <c r="R16" s="157"/>
      <c r="S16" s="157"/>
      <c r="T16" s="157"/>
      <c r="U16" s="157"/>
      <c r="V16" s="157"/>
      <c r="W16" s="157"/>
      <c r="X16" s="157"/>
    </row>
    <row r="17" ht="12.75" customHeight="1">
      <c r="A17" s="165">
        <v>32015.0</v>
      </c>
      <c r="B17" s="165" t="s">
        <v>2031</v>
      </c>
      <c r="C17" s="166">
        <v>43161.0</v>
      </c>
      <c r="D17" s="165"/>
      <c r="E17" s="157"/>
      <c r="F17" s="157"/>
      <c r="G17" s="157"/>
      <c r="H17" s="157"/>
      <c r="I17" s="157"/>
      <c r="J17" s="157"/>
      <c r="K17" s="157"/>
      <c r="L17" s="157"/>
      <c r="M17" s="157"/>
      <c r="N17" s="157"/>
      <c r="O17" s="157"/>
      <c r="P17" s="157"/>
      <c r="Q17" s="157"/>
      <c r="R17" s="157"/>
      <c r="S17" s="157"/>
      <c r="T17" s="157"/>
      <c r="U17" s="157"/>
      <c r="V17" s="157"/>
      <c r="W17" s="157"/>
      <c r="X17" s="157"/>
    </row>
    <row r="18" ht="12.75" customHeight="1">
      <c r="A18" s="165">
        <v>31882.0</v>
      </c>
      <c r="B18" s="165" t="s">
        <v>2032</v>
      </c>
      <c r="C18" s="166">
        <v>43164.0</v>
      </c>
      <c r="D18" s="165"/>
      <c r="E18" s="157"/>
      <c r="F18" s="157"/>
      <c r="G18" s="157"/>
      <c r="H18" s="157"/>
      <c r="I18" s="157"/>
      <c r="J18" s="157"/>
      <c r="K18" s="157"/>
      <c r="L18" s="157"/>
      <c r="M18" s="157"/>
      <c r="N18" s="157"/>
      <c r="O18" s="157"/>
      <c r="P18" s="157"/>
      <c r="Q18" s="157"/>
      <c r="R18" s="157"/>
      <c r="S18" s="157"/>
      <c r="T18" s="157"/>
      <c r="U18" s="157"/>
      <c r="V18" s="157"/>
      <c r="W18" s="157"/>
      <c r="X18" s="157"/>
    </row>
    <row r="19" ht="12.75" customHeight="1">
      <c r="A19" s="165">
        <v>32030.0</v>
      </c>
      <c r="B19" s="165" t="s">
        <v>2033</v>
      </c>
      <c r="C19" s="166">
        <v>43166.0</v>
      </c>
      <c r="D19" s="165"/>
      <c r="E19" s="157"/>
      <c r="F19" s="157"/>
      <c r="G19" s="157"/>
      <c r="H19" s="157"/>
      <c r="I19" s="157"/>
      <c r="J19" s="157"/>
      <c r="K19" s="157"/>
      <c r="L19" s="157"/>
      <c r="M19" s="157"/>
      <c r="N19" s="157"/>
      <c r="O19" s="157"/>
      <c r="P19" s="157"/>
      <c r="Q19" s="157"/>
      <c r="R19" s="157"/>
      <c r="S19" s="157"/>
      <c r="T19" s="157"/>
      <c r="U19" s="157"/>
      <c r="V19" s="157"/>
      <c r="W19" s="157"/>
      <c r="X19" s="157"/>
    </row>
    <row r="20" ht="12.75" customHeight="1">
      <c r="A20" s="165">
        <v>32028.0</v>
      </c>
      <c r="B20" s="167" t="s">
        <v>2034</v>
      </c>
      <c r="C20" s="166">
        <v>43171.0</v>
      </c>
      <c r="D20" s="165"/>
      <c r="E20" s="157"/>
      <c r="F20" s="157"/>
      <c r="G20" s="157"/>
      <c r="H20" s="157"/>
      <c r="I20" s="157"/>
      <c r="J20" s="157"/>
      <c r="K20" s="157"/>
      <c r="L20" s="157"/>
      <c r="M20" s="157"/>
      <c r="N20" s="157"/>
      <c r="O20" s="157"/>
      <c r="P20" s="157"/>
      <c r="Q20" s="157"/>
      <c r="R20" s="157"/>
      <c r="S20" s="157"/>
      <c r="T20" s="157"/>
      <c r="U20" s="157"/>
      <c r="V20" s="157"/>
      <c r="W20" s="157"/>
      <c r="X20" s="157"/>
    </row>
    <row r="21" ht="12.75" customHeight="1">
      <c r="A21" s="165">
        <v>31885.0</v>
      </c>
      <c r="B21" s="168" t="s">
        <v>2035</v>
      </c>
      <c r="C21" s="166">
        <v>43172.0</v>
      </c>
      <c r="D21" s="165"/>
      <c r="E21" s="157"/>
      <c r="F21" s="157"/>
      <c r="G21" s="157"/>
      <c r="H21" s="157"/>
      <c r="I21" s="157"/>
      <c r="J21" s="157"/>
      <c r="K21" s="157"/>
      <c r="L21" s="157"/>
      <c r="M21" s="157"/>
      <c r="N21" s="157"/>
      <c r="O21" s="157"/>
      <c r="P21" s="157"/>
      <c r="Q21" s="157"/>
      <c r="R21" s="157"/>
      <c r="S21" s="157"/>
      <c r="T21" s="157"/>
      <c r="U21" s="157"/>
      <c r="V21" s="157"/>
      <c r="W21" s="157"/>
      <c r="X21" s="157"/>
    </row>
    <row r="22" ht="12.75" customHeight="1">
      <c r="A22" s="165">
        <v>31886.0</v>
      </c>
      <c r="B22" s="165" t="s">
        <v>2036</v>
      </c>
      <c r="C22" s="166">
        <v>43174.0</v>
      </c>
      <c r="D22" s="165"/>
      <c r="E22" s="157"/>
      <c r="F22" s="157"/>
      <c r="G22" s="157"/>
      <c r="H22" s="157"/>
      <c r="I22" s="157"/>
      <c r="J22" s="157"/>
      <c r="K22" s="157"/>
      <c r="L22" s="157"/>
      <c r="M22" s="157"/>
      <c r="N22" s="157"/>
      <c r="O22" s="157"/>
      <c r="P22" s="157"/>
      <c r="Q22" s="157"/>
      <c r="R22" s="157"/>
      <c r="S22" s="157"/>
      <c r="T22" s="157"/>
      <c r="U22" s="157"/>
      <c r="V22" s="157"/>
      <c r="W22" s="157"/>
      <c r="X22" s="157"/>
    </row>
    <row r="23" ht="12.75" customHeight="1">
      <c r="A23" s="165">
        <v>31838.0</v>
      </c>
      <c r="B23" s="169" t="s">
        <v>2037</v>
      </c>
      <c r="C23" s="166">
        <v>43181.0</v>
      </c>
      <c r="D23" s="165"/>
      <c r="E23" s="157"/>
      <c r="F23" s="157"/>
      <c r="G23" s="157"/>
      <c r="H23" s="157"/>
      <c r="I23" s="157"/>
      <c r="J23" s="157"/>
      <c r="K23" s="157"/>
      <c r="L23" s="157"/>
      <c r="M23" s="157"/>
      <c r="N23" s="157"/>
      <c r="O23" s="157"/>
      <c r="P23" s="157"/>
      <c r="Q23" s="157"/>
      <c r="R23" s="157"/>
      <c r="S23" s="157"/>
      <c r="T23" s="157"/>
      <c r="U23" s="157"/>
      <c r="V23" s="157"/>
      <c r="W23" s="157"/>
      <c r="X23" s="157"/>
    </row>
    <row r="24" ht="12.75" customHeight="1">
      <c r="A24" s="165">
        <v>31899.0</v>
      </c>
      <c r="B24" s="165" t="s">
        <v>2038</v>
      </c>
      <c r="C24" s="166">
        <v>43185.0</v>
      </c>
      <c r="D24" s="165"/>
      <c r="E24" s="157"/>
      <c r="F24" s="157"/>
      <c r="G24" s="157"/>
      <c r="H24" s="157"/>
      <c r="I24" s="157"/>
      <c r="J24" s="157"/>
      <c r="K24" s="157"/>
      <c r="L24" s="157"/>
      <c r="M24" s="157"/>
      <c r="N24" s="157"/>
      <c r="O24" s="157"/>
      <c r="P24" s="157"/>
      <c r="Q24" s="157"/>
      <c r="R24" s="157"/>
      <c r="S24" s="157"/>
      <c r="T24" s="157"/>
      <c r="U24" s="157"/>
      <c r="V24" s="157"/>
      <c r="W24" s="157"/>
      <c r="X24" s="157"/>
    </row>
    <row r="25" ht="12.75" customHeight="1">
      <c r="A25" s="165">
        <v>31888.0</v>
      </c>
      <c r="B25" s="165" t="s">
        <v>2039</v>
      </c>
      <c r="C25" s="166">
        <v>43194.0</v>
      </c>
      <c r="D25" s="165"/>
      <c r="E25" s="157"/>
      <c r="F25" s="157"/>
      <c r="G25" s="157"/>
      <c r="H25" s="157"/>
      <c r="I25" s="157"/>
      <c r="J25" s="157"/>
      <c r="K25" s="157"/>
      <c r="L25" s="157"/>
      <c r="M25" s="157"/>
      <c r="N25" s="157"/>
      <c r="O25" s="157"/>
      <c r="P25" s="157"/>
      <c r="Q25" s="157"/>
      <c r="R25" s="157"/>
      <c r="S25" s="157"/>
      <c r="T25" s="157"/>
      <c r="U25" s="157"/>
      <c r="V25" s="157"/>
      <c r="W25" s="157"/>
      <c r="X25" s="157"/>
    </row>
    <row r="26" ht="12.75" customHeight="1">
      <c r="A26" s="165">
        <v>32087.0</v>
      </c>
      <c r="B26" s="165" t="s">
        <v>2040</v>
      </c>
      <c r="C26" s="166">
        <v>43196.0</v>
      </c>
      <c r="D26" s="165"/>
      <c r="E26" s="157"/>
      <c r="F26" s="157"/>
      <c r="G26" s="157"/>
      <c r="H26" s="157"/>
      <c r="I26" s="157"/>
      <c r="J26" s="157"/>
      <c r="K26" s="157"/>
      <c r="L26" s="157"/>
      <c r="M26" s="157"/>
      <c r="N26" s="157"/>
      <c r="O26" s="157"/>
      <c r="P26" s="157"/>
      <c r="Q26" s="157"/>
      <c r="R26" s="157"/>
      <c r="S26" s="157"/>
      <c r="T26" s="157"/>
      <c r="U26" s="157"/>
      <c r="V26" s="157"/>
      <c r="W26" s="157"/>
      <c r="X26" s="157"/>
    </row>
    <row r="27" ht="12.75" customHeight="1">
      <c r="A27" s="165">
        <v>32089.0</v>
      </c>
      <c r="B27" s="165" t="s">
        <v>2041</v>
      </c>
      <c r="C27" s="166">
        <v>43196.0</v>
      </c>
      <c r="D27" s="165"/>
      <c r="E27" s="157"/>
      <c r="F27" s="157"/>
      <c r="G27" s="157"/>
      <c r="H27" s="157"/>
      <c r="I27" s="157"/>
      <c r="J27" s="157"/>
      <c r="K27" s="157"/>
      <c r="L27" s="157"/>
      <c r="M27" s="157"/>
      <c r="N27" s="157"/>
      <c r="O27" s="157"/>
      <c r="P27" s="157"/>
      <c r="Q27" s="157"/>
      <c r="R27" s="157"/>
      <c r="S27" s="157"/>
      <c r="T27" s="157"/>
      <c r="U27" s="157"/>
      <c r="V27" s="157"/>
      <c r="W27" s="157"/>
      <c r="X27" s="157"/>
    </row>
    <row r="28" ht="12.75" customHeight="1">
      <c r="A28" s="165">
        <v>32107.0</v>
      </c>
      <c r="B28" s="165" t="s">
        <v>2042</v>
      </c>
      <c r="C28" s="166">
        <v>43196.0</v>
      </c>
      <c r="D28" s="165"/>
      <c r="E28" s="157"/>
      <c r="F28" s="157"/>
      <c r="G28" s="157"/>
      <c r="H28" s="157"/>
      <c r="I28" s="157"/>
      <c r="J28" s="157"/>
      <c r="K28" s="157"/>
      <c r="L28" s="157"/>
      <c r="M28" s="157"/>
      <c r="N28" s="157"/>
      <c r="O28" s="157"/>
      <c r="P28" s="157"/>
      <c r="Q28" s="157"/>
      <c r="R28" s="157"/>
      <c r="S28" s="157"/>
      <c r="T28" s="157"/>
      <c r="U28" s="157"/>
      <c r="V28" s="157"/>
      <c r="W28" s="157"/>
      <c r="X28" s="157"/>
    </row>
    <row r="29" ht="12.75" customHeight="1">
      <c r="A29" s="165">
        <v>32113.0</v>
      </c>
      <c r="B29" s="165" t="s">
        <v>2043</v>
      </c>
      <c r="C29" s="166">
        <v>43209.0</v>
      </c>
      <c r="D29" s="165"/>
      <c r="E29" s="157"/>
      <c r="F29" s="157"/>
      <c r="G29" s="157"/>
      <c r="H29" s="157"/>
      <c r="I29" s="157"/>
      <c r="J29" s="157"/>
      <c r="K29" s="157"/>
      <c r="L29" s="157"/>
      <c r="M29" s="157"/>
      <c r="N29" s="157"/>
      <c r="O29" s="157"/>
      <c r="P29" s="157"/>
      <c r="Q29" s="157"/>
      <c r="R29" s="157"/>
      <c r="S29" s="157"/>
      <c r="T29" s="157"/>
      <c r="U29" s="157"/>
      <c r="V29" s="157"/>
      <c r="W29" s="157"/>
      <c r="X29" s="157"/>
    </row>
    <row r="30" ht="12.75" customHeight="1">
      <c r="A30" s="165">
        <v>32004.0</v>
      </c>
      <c r="B30" s="12" t="s">
        <v>2044</v>
      </c>
      <c r="C30" s="166">
        <v>43216.0</v>
      </c>
      <c r="D30" s="165"/>
      <c r="E30" s="157"/>
      <c r="F30" s="157"/>
      <c r="G30" s="157"/>
      <c r="H30" s="157"/>
      <c r="I30" s="157"/>
      <c r="J30" s="157"/>
      <c r="K30" s="157"/>
      <c r="L30" s="157"/>
      <c r="M30" s="157"/>
      <c r="N30" s="157"/>
      <c r="O30" s="157"/>
      <c r="P30" s="157"/>
      <c r="Q30" s="157"/>
      <c r="R30" s="157"/>
      <c r="S30" s="157"/>
      <c r="T30" s="157"/>
      <c r="U30" s="157"/>
      <c r="V30" s="157"/>
      <c r="W30" s="157"/>
      <c r="X30" s="157"/>
    </row>
    <row r="31" ht="12.75" customHeight="1">
      <c r="A31" s="165">
        <v>32174.0</v>
      </c>
      <c r="B31" s="165" t="s">
        <v>2045</v>
      </c>
      <c r="C31" s="166">
        <v>43216.0</v>
      </c>
      <c r="D31" s="165"/>
      <c r="E31" s="157"/>
      <c r="F31" s="157"/>
      <c r="G31" s="157"/>
      <c r="H31" s="157"/>
      <c r="I31" s="157"/>
      <c r="J31" s="157"/>
      <c r="K31" s="157"/>
      <c r="L31" s="157"/>
      <c r="M31" s="157"/>
      <c r="N31" s="157"/>
      <c r="O31" s="157"/>
      <c r="P31" s="157"/>
      <c r="Q31" s="157"/>
      <c r="R31" s="157"/>
      <c r="S31" s="157"/>
      <c r="T31" s="157"/>
      <c r="U31" s="157"/>
      <c r="V31" s="157"/>
      <c r="W31" s="157"/>
      <c r="X31" s="157"/>
    </row>
    <row r="32" ht="12.75" customHeight="1">
      <c r="A32" s="165">
        <v>32050.0</v>
      </c>
      <c r="B32" s="12" t="s">
        <v>2046</v>
      </c>
      <c r="C32" s="166">
        <v>43216.0</v>
      </c>
      <c r="D32" s="165"/>
      <c r="E32" s="157"/>
      <c r="F32" s="157"/>
      <c r="G32" s="157"/>
      <c r="H32" s="157"/>
      <c r="I32" s="157"/>
      <c r="J32" s="157"/>
      <c r="K32" s="157"/>
      <c r="L32" s="157"/>
      <c r="M32" s="157"/>
      <c r="N32" s="157"/>
      <c r="O32" s="157"/>
      <c r="P32" s="157"/>
      <c r="Q32" s="157"/>
      <c r="R32" s="157"/>
      <c r="S32" s="157"/>
      <c r="T32" s="157"/>
      <c r="U32" s="157"/>
      <c r="V32" s="157"/>
      <c r="W32" s="157"/>
      <c r="X32" s="157"/>
    </row>
    <row r="33" ht="12.75" customHeight="1">
      <c r="A33" s="165">
        <v>32077.0</v>
      </c>
      <c r="B33" s="165" t="s">
        <v>2047</v>
      </c>
      <c r="C33" s="166">
        <v>43218.0</v>
      </c>
      <c r="D33" s="165"/>
      <c r="E33" s="157"/>
      <c r="F33" s="157"/>
      <c r="G33" s="157"/>
      <c r="H33" s="157"/>
      <c r="I33" s="157"/>
      <c r="J33" s="157"/>
      <c r="K33" s="157"/>
      <c r="L33" s="157"/>
      <c r="M33" s="157"/>
      <c r="N33" s="157"/>
      <c r="O33" s="157"/>
      <c r="P33" s="157"/>
      <c r="Q33" s="157"/>
      <c r="R33" s="157"/>
      <c r="S33" s="157"/>
      <c r="T33" s="157"/>
      <c r="U33" s="157"/>
      <c r="V33" s="157"/>
      <c r="W33" s="157"/>
      <c r="X33" s="157"/>
    </row>
    <row r="34" ht="12.75" customHeight="1">
      <c r="A34" s="165">
        <v>32173.0</v>
      </c>
      <c r="B34" s="165" t="s">
        <v>2048</v>
      </c>
      <c r="C34" s="166">
        <v>43220.0</v>
      </c>
      <c r="D34" s="165"/>
      <c r="E34" s="157"/>
      <c r="F34" s="157"/>
      <c r="G34" s="157"/>
      <c r="H34" s="157"/>
      <c r="I34" s="157"/>
      <c r="J34" s="157"/>
      <c r="K34" s="157"/>
      <c r="L34" s="157"/>
      <c r="M34" s="157"/>
      <c r="N34" s="157"/>
      <c r="O34" s="157"/>
      <c r="P34" s="157"/>
      <c r="Q34" s="157"/>
      <c r="R34" s="157"/>
      <c r="S34" s="157"/>
      <c r="T34" s="157"/>
      <c r="U34" s="157"/>
      <c r="V34" s="157"/>
      <c r="W34" s="157"/>
      <c r="X34" s="157"/>
    </row>
    <row r="35" ht="12.75" customHeight="1">
      <c r="A35" s="165">
        <v>32145.0</v>
      </c>
      <c r="B35" s="165" t="s">
        <v>2049</v>
      </c>
      <c r="C35" s="170">
        <v>43221.0</v>
      </c>
      <c r="D35" s="165"/>
      <c r="E35" s="157"/>
      <c r="F35" s="157"/>
      <c r="G35" s="157"/>
      <c r="H35" s="157"/>
      <c r="I35" s="157"/>
      <c r="J35" s="157"/>
      <c r="K35" s="157"/>
      <c r="L35" s="157"/>
      <c r="M35" s="157"/>
      <c r="N35" s="157"/>
      <c r="O35" s="157"/>
      <c r="P35" s="157"/>
      <c r="Q35" s="157"/>
      <c r="R35" s="157"/>
      <c r="S35" s="157"/>
      <c r="T35" s="157"/>
      <c r="U35" s="157"/>
      <c r="V35" s="157"/>
      <c r="W35" s="157"/>
      <c r="X35" s="157"/>
    </row>
    <row r="36" ht="12.75" customHeight="1">
      <c r="A36" s="165">
        <v>31956.0</v>
      </c>
      <c r="B36" s="165" t="s">
        <v>2050</v>
      </c>
      <c r="C36" s="170">
        <v>43223.0</v>
      </c>
      <c r="D36" s="165"/>
      <c r="E36" s="157"/>
      <c r="F36" s="157"/>
      <c r="G36" s="157"/>
      <c r="H36" s="157"/>
      <c r="I36" s="157"/>
      <c r="J36" s="157"/>
      <c r="K36" s="157"/>
      <c r="L36" s="157"/>
      <c r="M36" s="157"/>
      <c r="N36" s="157"/>
      <c r="O36" s="157"/>
      <c r="P36" s="157"/>
      <c r="Q36" s="157"/>
      <c r="R36" s="157"/>
      <c r="S36" s="157"/>
      <c r="T36" s="157"/>
      <c r="U36" s="157"/>
      <c r="V36" s="157"/>
      <c r="W36" s="157"/>
      <c r="X36" s="157"/>
    </row>
    <row r="37" ht="12.75" customHeight="1">
      <c r="A37" s="165">
        <v>32191.0</v>
      </c>
      <c r="B37" s="165" t="s">
        <v>2051</v>
      </c>
      <c r="C37" s="170">
        <v>43231.0</v>
      </c>
      <c r="D37" s="165"/>
      <c r="E37" s="157"/>
      <c r="F37" s="157"/>
      <c r="G37" s="157"/>
      <c r="H37" s="157"/>
      <c r="I37" s="157"/>
      <c r="J37" s="157"/>
      <c r="K37" s="157"/>
      <c r="L37" s="157"/>
      <c r="M37" s="157"/>
      <c r="N37" s="157"/>
      <c r="O37" s="157"/>
      <c r="P37" s="157"/>
      <c r="Q37" s="157"/>
      <c r="R37" s="157"/>
      <c r="S37" s="157"/>
      <c r="T37" s="157"/>
      <c r="U37" s="157"/>
      <c r="V37" s="157"/>
      <c r="W37" s="157"/>
      <c r="X37" s="157"/>
    </row>
    <row r="38" ht="12.75" customHeight="1">
      <c r="A38" s="165">
        <v>32192.0</v>
      </c>
      <c r="B38" s="12" t="s">
        <v>2052</v>
      </c>
      <c r="C38" s="170">
        <v>43231.0</v>
      </c>
      <c r="D38" s="165"/>
      <c r="E38" s="157"/>
      <c r="F38" s="157"/>
      <c r="G38" s="157"/>
      <c r="H38" s="157"/>
      <c r="I38" s="157"/>
      <c r="J38" s="157"/>
      <c r="K38" s="157"/>
      <c r="L38" s="157"/>
      <c r="M38" s="157"/>
      <c r="N38" s="157"/>
      <c r="O38" s="157"/>
      <c r="P38" s="157"/>
      <c r="Q38" s="157"/>
      <c r="R38" s="157"/>
      <c r="S38" s="157"/>
      <c r="T38" s="157"/>
      <c r="U38" s="157"/>
      <c r="V38" s="157"/>
      <c r="W38" s="157"/>
      <c r="X38" s="157"/>
    </row>
    <row r="39" ht="12.75" customHeight="1">
      <c r="A39" s="165">
        <v>32017.0</v>
      </c>
      <c r="B39" s="167" t="s">
        <v>2053</v>
      </c>
      <c r="C39" s="170">
        <v>43241.0</v>
      </c>
      <c r="D39" s="165"/>
      <c r="E39" s="157"/>
      <c r="F39" s="157"/>
      <c r="G39" s="157"/>
      <c r="H39" s="157"/>
      <c r="I39" s="157"/>
      <c r="J39" s="157"/>
      <c r="K39" s="157"/>
      <c r="L39" s="157"/>
      <c r="M39" s="157"/>
      <c r="N39" s="157"/>
      <c r="O39" s="157"/>
      <c r="P39" s="157"/>
      <c r="Q39" s="157"/>
      <c r="R39" s="157"/>
      <c r="S39" s="157"/>
      <c r="T39" s="157"/>
      <c r="U39" s="157"/>
      <c r="V39" s="157"/>
      <c r="W39" s="157"/>
      <c r="X39" s="157"/>
    </row>
    <row r="40" ht="12.75" customHeight="1">
      <c r="A40" s="165">
        <v>32209.0</v>
      </c>
      <c r="B40" s="167" t="s">
        <v>2054</v>
      </c>
      <c r="C40" s="170">
        <v>43241.0</v>
      </c>
      <c r="D40" s="165"/>
      <c r="E40" s="157"/>
      <c r="F40" s="157"/>
      <c r="G40" s="157"/>
      <c r="H40" s="157"/>
      <c r="I40" s="157"/>
      <c r="J40" s="157"/>
      <c r="K40" s="157"/>
      <c r="L40" s="157"/>
      <c r="M40" s="157"/>
      <c r="N40" s="157"/>
      <c r="O40" s="157"/>
      <c r="P40" s="157"/>
      <c r="Q40" s="157"/>
      <c r="R40" s="157"/>
      <c r="S40" s="157"/>
      <c r="T40" s="157"/>
      <c r="U40" s="157"/>
      <c r="V40" s="157"/>
      <c r="W40" s="157"/>
      <c r="X40" s="157"/>
    </row>
    <row r="41" ht="12.75" customHeight="1">
      <c r="A41" s="165">
        <v>32023.0</v>
      </c>
      <c r="B41" s="167" t="s">
        <v>2055</v>
      </c>
      <c r="C41" s="170">
        <v>43243.0</v>
      </c>
      <c r="D41" s="165"/>
      <c r="E41" s="157"/>
      <c r="F41" s="157"/>
      <c r="G41" s="157"/>
      <c r="H41" s="157"/>
      <c r="I41" s="157"/>
      <c r="J41" s="157"/>
      <c r="K41" s="157"/>
      <c r="L41" s="157"/>
      <c r="M41" s="157"/>
      <c r="N41" s="157"/>
      <c r="O41" s="157"/>
      <c r="P41" s="157"/>
      <c r="Q41" s="157"/>
      <c r="R41" s="157"/>
      <c r="S41" s="157"/>
      <c r="T41" s="157"/>
      <c r="U41" s="157"/>
      <c r="V41" s="157"/>
      <c r="W41" s="157"/>
      <c r="X41" s="157"/>
    </row>
    <row r="42" ht="12.75" customHeight="1">
      <c r="A42" s="165">
        <v>32235.0</v>
      </c>
      <c r="B42" s="167" t="s">
        <v>2056</v>
      </c>
      <c r="C42" s="170">
        <v>43243.0</v>
      </c>
      <c r="D42" s="165"/>
      <c r="E42" s="157"/>
      <c r="F42" s="157"/>
      <c r="G42" s="157"/>
      <c r="H42" s="157"/>
      <c r="I42" s="157"/>
      <c r="J42" s="157"/>
      <c r="K42" s="157"/>
      <c r="L42" s="157"/>
      <c r="M42" s="157"/>
      <c r="N42" s="157"/>
      <c r="O42" s="157"/>
      <c r="P42" s="157"/>
      <c r="Q42" s="157"/>
      <c r="R42" s="157"/>
      <c r="S42" s="157"/>
      <c r="T42" s="157"/>
      <c r="U42" s="157"/>
      <c r="V42" s="157"/>
      <c r="W42" s="157"/>
      <c r="X42" s="157"/>
    </row>
    <row r="43" ht="12.75" customHeight="1">
      <c r="A43" s="165">
        <v>32235.0</v>
      </c>
      <c r="B43" s="167" t="s">
        <v>2057</v>
      </c>
      <c r="C43" s="170">
        <v>43243.0</v>
      </c>
      <c r="D43" s="165"/>
      <c r="E43" s="157"/>
      <c r="F43" s="157"/>
      <c r="G43" s="157"/>
      <c r="H43" s="157"/>
      <c r="I43" s="157"/>
      <c r="J43" s="157"/>
      <c r="K43" s="157"/>
      <c r="L43" s="157"/>
      <c r="M43" s="157"/>
      <c r="N43" s="157"/>
      <c r="O43" s="157"/>
      <c r="P43" s="157"/>
      <c r="Q43" s="157"/>
      <c r="R43" s="157"/>
      <c r="S43" s="157"/>
      <c r="T43" s="157"/>
      <c r="U43" s="157"/>
      <c r="V43" s="157"/>
      <c r="W43" s="157"/>
      <c r="X43" s="157"/>
    </row>
    <row r="44" ht="12.75" customHeight="1">
      <c r="A44" s="165">
        <v>32268.0</v>
      </c>
      <c r="B44" s="12" t="s">
        <v>2058</v>
      </c>
      <c r="C44" s="170">
        <v>43250.0</v>
      </c>
      <c r="D44" s="165"/>
      <c r="E44" s="157"/>
      <c r="F44" s="157"/>
      <c r="G44" s="157"/>
      <c r="H44" s="157"/>
      <c r="I44" s="157"/>
      <c r="J44" s="157"/>
      <c r="K44" s="157"/>
      <c r="L44" s="157"/>
      <c r="M44" s="157"/>
      <c r="N44" s="157"/>
      <c r="O44" s="157"/>
      <c r="P44" s="157"/>
      <c r="Q44" s="157"/>
      <c r="R44" s="157"/>
      <c r="S44" s="157"/>
      <c r="T44" s="157"/>
      <c r="U44" s="157"/>
      <c r="V44" s="157"/>
      <c r="W44" s="157"/>
      <c r="X44" s="157"/>
    </row>
    <row r="45" ht="12.75" customHeight="1">
      <c r="A45" s="165">
        <v>32066.0</v>
      </c>
      <c r="B45" s="12" t="s">
        <v>2059</v>
      </c>
      <c r="C45" s="171">
        <v>43251.0</v>
      </c>
      <c r="D45" s="165"/>
      <c r="E45" s="157"/>
      <c r="F45" s="157"/>
      <c r="G45" s="157"/>
      <c r="H45" s="157"/>
      <c r="I45" s="157"/>
      <c r="J45" s="157"/>
      <c r="K45" s="157"/>
      <c r="L45" s="157"/>
      <c r="M45" s="157"/>
      <c r="N45" s="157"/>
      <c r="O45" s="157"/>
      <c r="P45" s="157"/>
      <c r="Q45" s="157"/>
      <c r="R45" s="157"/>
      <c r="S45" s="157"/>
      <c r="T45" s="157"/>
      <c r="U45" s="157"/>
      <c r="V45" s="157"/>
      <c r="W45" s="157"/>
      <c r="X45" s="157"/>
    </row>
    <row r="46" ht="12.75" customHeight="1">
      <c r="A46" s="165">
        <v>32032.0</v>
      </c>
      <c r="B46" s="165" t="s">
        <v>2060</v>
      </c>
      <c r="C46" s="170">
        <v>43259.0</v>
      </c>
      <c r="D46" s="165"/>
      <c r="E46" s="157"/>
      <c r="F46" s="157"/>
      <c r="G46" s="157"/>
      <c r="H46" s="157"/>
      <c r="I46" s="157"/>
      <c r="J46" s="157"/>
      <c r="K46" s="157"/>
      <c r="L46" s="157"/>
      <c r="M46" s="157"/>
      <c r="N46" s="157"/>
      <c r="O46" s="157"/>
      <c r="P46" s="157"/>
      <c r="Q46" s="157"/>
      <c r="R46" s="157"/>
      <c r="S46" s="157"/>
      <c r="T46" s="157"/>
      <c r="U46" s="157"/>
      <c r="V46" s="157"/>
      <c r="W46" s="157"/>
      <c r="X46" s="157"/>
    </row>
    <row r="47" ht="12.75" customHeight="1">
      <c r="A47" s="165">
        <v>32320.0</v>
      </c>
      <c r="B47" s="12" t="s">
        <v>2061</v>
      </c>
      <c r="C47" s="170">
        <v>43262.0</v>
      </c>
      <c r="D47" s="165"/>
      <c r="E47" s="157"/>
      <c r="F47" s="157"/>
      <c r="G47" s="157"/>
      <c r="H47" s="157"/>
      <c r="I47" s="157"/>
      <c r="J47" s="157"/>
      <c r="K47" s="157"/>
      <c r="L47" s="157"/>
      <c r="M47" s="157"/>
      <c r="N47" s="157"/>
      <c r="O47" s="157"/>
      <c r="P47" s="157"/>
      <c r="Q47" s="157"/>
      <c r="R47" s="157"/>
      <c r="S47" s="157"/>
      <c r="T47" s="157"/>
      <c r="U47" s="157"/>
      <c r="V47" s="157"/>
      <c r="W47" s="157"/>
      <c r="X47" s="157"/>
    </row>
    <row r="48" ht="12.75" customHeight="1">
      <c r="A48" s="165">
        <v>32078.0</v>
      </c>
      <c r="B48" s="165" t="s">
        <v>2062</v>
      </c>
      <c r="C48" s="170">
        <v>43266.0</v>
      </c>
      <c r="D48" s="165"/>
      <c r="E48" s="157"/>
      <c r="F48" s="157"/>
      <c r="G48" s="157"/>
      <c r="H48" s="157"/>
      <c r="I48" s="157"/>
      <c r="J48" s="157"/>
      <c r="K48" s="157"/>
      <c r="L48" s="157"/>
      <c r="M48" s="157"/>
      <c r="N48" s="157"/>
      <c r="O48" s="157"/>
      <c r="P48" s="157"/>
      <c r="Q48" s="157"/>
      <c r="R48" s="157"/>
      <c r="S48" s="157"/>
      <c r="T48" s="157"/>
      <c r="U48" s="157"/>
      <c r="V48" s="157"/>
      <c r="W48" s="157"/>
      <c r="X48" s="157"/>
    </row>
    <row r="49" ht="12.75" customHeight="1">
      <c r="A49" s="165">
        <v>32291.0</v>
      </c>
      <c r="B49" s="165" t="s">
        <v>2063</v>
      </c>
      <c r="C49" s="170">
        <v>43270.0</v>
      </c>
      <c r="D49" s="165"/>
      <c r="E49" s="157"/>
      <c r="F49" s="157"/>
      <c r="G49" s="157"/>
      <c r="H49" s="157"/>
      <c r="I49" s="157"/>
      <c r="J49" s="157"/>
      <c r="K49" s="157"/>
      <c r="L49" s="157"/>
      <c r="M49" s="157"/>
      <c r="N49" s="157"/>
      <c r="O49" s="157"/>
      <c r="P49" s="157"/>
      <c r="Q49" s="157"/>
      <c r="R49" s="157"/>
      <c r="S49" s="157"/>
      <c r="T49" s="157"/>
      <c r="U49" s="157"/>
      <c r="V49" s="157"/>
      <c r="W49" s="157"/>
      <c r="X49" s="157"/>
    </row>
    <row r="50" ht="12.75" customHeight="1">
      <c r="A50" s="165" t="s">
        <v>2064</v>
      </c>
      <c r="B50" s="12" t="s">
        <v>2065</v>
      </c>
      <c r="C50" s="170">
        <v>43276.0</v>
      </c>
      <c r="D50" s="165"/>
      <c r="E50" s="157"/>
      <c r="F50" s="157"/>
      <c r="G50" s="157"/>
      <c r="H50" s="157"/>
      <c r="I50" s="157"/>
      <c r="J50" s="157"/>
      <c r="K50" s="157"/>
      <c r="L50" s="157"/>
      <c r="M50" s="157"/>
      <c r="N50" s="157"/>
      <c r="O50" s="157"/>
      <c r="P50" s="157"/>
      <c r="Q50" s="157"/>
      <c r="R50" s="157"/>
      <c r="S50" s="157"/>
      <c r="T50" s="157"/>
      <c r="U50" s="157"/>
      <c r="V50" s="157"/>
      <c r="W50" s="157"/>
      <c r="X50" s="157"/>
    </row>
    <row r="51" ht="12.75" customHeight="1">
      <c r="A51" s="165">
        <v>32355.0</v>
      </c>
      <c r="B51" s="12" t="s">
        <v>2066</v>
      </c>
      <c r="C51" s="170">
        <v>43276.0</v>
      </c>
      <c r="D51" s="165"/>
      <c r="E51" s="157"/>
      <c r="F51" s="157"/>
      <c r="G51" s="157"/>
      <c r="H51" s="157"/>
      <c r="I51" s="157"/>
      <c r="J51" s="157"/>
      <c r="K51" s="157"/>
      <c r="L51" s="157"/>
      <c r="M51" s="157"/>
      <c r="N51" s="157"/>
      <c r="O51" s="157"/>
      <c r="P51" s="157"/>
      <c r="Q51" s="157"/>
      <c r="R51" s="157"/>
      <c r="S51" s="157"/>
      <c r="T51" s="157"/>
      <c r="U51" s="157"/>
      <c r="V51" s="157"/>
      <c r="W51" s="157"/>
      <c r="X51" s="157"/>
    </row>
    <row r="52" ht="12.75" customHeight="1">
      <c r="A52" s="165">
        <v>32292.0</v>
      </c>
      <c r="B52" s="12" t="s">
        <v>2067</v>
      </c>
      <c r="C52" s="170">
        <v>43276.0</v>
      </c>
      <c r="D52" s="165"/>
      <c r="E52" s="157"/>
      <c r="F52" s="157"/>
      <c r="G52" s="157"/>
      <c r="H52" s="157"/>
      <c r="I52" s="157"/>
      <c r="J52" s="157"/>
      <c r="K52" s="157"/>
      <c r="L52" s="157"/>
      <c r="M52" s="157"/>
      <c r="N52" s="157"/>
      <c r="O52" s="157"/>
      <c r="P52" s="157"/>
      <c r="Q52" s="157"/>
      <c r="R52" s="157"/>
      <c r="S52" s="157"/>
      <c r="T52" s="157"/>
      <c r="U52" s="157"/>
      <c r="V52" s="157"/>
      <c r="W52" s="157"/>
      <c r="X52" s="157"/>
    </row>
    <row r="53" ht="12.75" customHeight="1">
      <c r="A53" s="165">
        <v>32202.0</v>
      </c>
      <c r="B53" s="165" t="s">
        <v>2068</v>
      </c>
      <c r="C53" s="166">
        <v>43287.0</v>
      </c>
      <c r="D53" s="165"/>
      <c r="E53" s="157"/>
      <c r="F53" s="157"/>
      <c r="G53" s="157"/>
      <c r="H53" s="157"/>
      <c r="I53" s="157"/>
      <c r="J53" s="157"/>
      <c r="K53" s="157"/>
      <c r="L53" s="157"/>
      <c r="M53" s="157"/>
      <c r="N53" s="157"/>
      <c r="O53" s="157"/>
      <c r="P53" s="157"/>
      <c r="Q53" s="157"/>
      <c r="R53" s="157"/>
      <c r="S53" s="157"/>
      <c r="T53" s="157"/>
      <c r="U53" s="157"/>
      <c r="V53" s="157"/>
      <c r="W53" s="157"/>
      <c r="X53" s="157"/>
    </row>
    <row r="54" ht="12.75" customHeight="1">
      <c r="A54" s="165">
        <v>32132.0</v>
      </c>
      <c r="B54" s="165" t="s">
        <v>2069</v>
      </c>
      <c r="C54" s="170">
        <v>43287.0</v>
      </c>
      <c r="D54" s="165"/>
      <c r="E54" s="157"/>
      <c r="F54" s="157"/>
      <c r="G54" s="157"/>
      <c r="H54" s="157"/>
      <c r="I54" s="157"/>
      <c r="J54" s="157"/>
      <c r="K54" s="157"/>
      <c r="L54" s="157"/>
      <c r="M54" s="157"/>
      <c r="N54" s="157"/>
      <c r="O54" s="157"/>
      <c r="P54" s="157"/>
      <c r="Q54" s="157"/>
      <c r="R54" s="157"/>
      <c r="S54" s="157"/>
      <c r="T54" s="157"/>
      <c r="U54" s="157"/>
      <c r="V54" s="157"/>
      <c r="W54" s="157"/>
      <c r="X54" s="157"/>
    </row>
    <row r="55" ht="12.75" customHeight="1">
      <c r="A55" s="165">
        <v>32431.0</v>
      </c>
      <c r="B55" s="167" t="s">
        <v>2070</v>
      </c>
      <c r="C55" s="170">
        <v>43297.0</v>
      </c>
      <c r="D55" s="165"/>
      <c r="E55" s="157"/>
      <c r="F55" s="157"/>
      <c r="G55" s="157"/>
      <c r="H55" s="157"/>
      <c r="I55" s="157"/>
      <c r="J55" s="157"/>
      <c r="K55" s="157"/>
      <c r="L55" s="157"/>
      <c r="M55" s="157"/>
      <c r="N55" s="157"/>
      <c r="O55" s="157"/>
      <c r="P55" s="157"/>
      <c r="Q55" s="157"/>
      <c r="R55" s="157"/>
      <c r="S55" s="157"/>
      <c r="T55" s="157"/>
      <c r="U55" s="157"/>
      <c r="V55" s="157"/>
      <c r="W55" s="157"/>
      <c r="X55" s="157"/>
    </row>
    <row r="56" ht="12.75" customHeight="1">
      <c r="A56" s="165">
        <v>32111.0</v>
      </c>
      <c r="B56" s="167" t="s">
        <v>2071</v>
      </c>
      <c r="C56" s="170">
        <v>43298.0</v>
      </c>
      <c r="D56" s="165"/>
      <c r="E56" s="157"/>
      <c r="F56" s="157"/>
      <c r="G56" s="157"/>
      <c r="H56" s="157"/>
      <c r="I56" s="157"/>
      <c r="J56" s="157"/>
      <c r="K56" s="157"/>
      <c r="L56" s="157"/>
      <c r="M56" s="157"/>
      <c r="N56" s="157"/>
      <c r="O56" s="157"/>
      <c r="P56" s="157"/>
      <c r="Q56" s="157"/>
      <c r="R56" s="157"/>
      <c r="S56" s="157"/>
      <c r="T56" s="157"/>
      <c r="U56" s="157"/>
      <c r="V56" s="157"/>
      <c r="W56" s="157"/>
      <c r="X56" s="157"/>
    </row>
    <row r="57" ht="12.75" customHeight="1">
      <c r="A57" s="165">
        <v>32412.0</v>
      </c>
      <c r="B57" s="165" t="s">
        <v>2072</v>
      </c>
      <c r="C57" s="170">
        <v>43299.0</v>
      </c>
      <c r="D57" s="165"/>
      <c r="E57" s="157"/>
      <c r="F57" s="157"/>
      <c r="G57" s="157"/>
      <c r="H57" s="157"/>
      <c r="I57" s="157"/>
      <c r="J57" s="157"/>
      <c r="K57" s="157"/>
      <c r="L57" s="157"/>
      <c r="M57" s="157"/>
      <c r="N57" s="157"/>
      <c r="O57" s="157"/>
      <c r="P57" s="157"/>
      <c r="Q57" s="157"/>
      <c r="R57" s="157"/>
      <c r="S57" s="157"/>
      <c r="T57" s="157"/>
      <c r="U57" s="157"/>
      <c r="V57" s="157"/>
      <c r="W57" s="157"/>
      <c r="X57" s="157"/>
    </row>
    <row r="58" ht="12.75" customHeight="1">
      <c r="A58" s="165">
        <v>32426.0</v>
      </c>
      <c r="B58" s="168" t="s">
        <v>2073</v>
      </c>
      <c r="C58" s="172">
        <v>43301.0</v>
      </c>
      <c r="D58" s="165"/>
      <c r="E58" s="157"/>
      <c r="F58" s="157"/>
      <c r="G58" s="157"/>
      <c r="H58" s="157"/>
      <c r="I58" s="157"/>
      <c r="J58" s="157"/>
      <c r="K58" s="157"/>
      <c r="L58" s="157"/>
      <c r="M58" s="157"/>
      <c r="N58" s="157"/>
      <c r="O58" s="157"/>
      <c r="P58" s="157"/>
      <c r="Q58" s="157"/>
      <c r="R58" s="157"/>
      <c r="S58" s="157"/>
      <c r="T58" s="157"/>
      <c r="U58" s="157"/>
      <c r="V58" s="157"/>
      <c r="W58" s="157"/>
      <c r="X58" s="157"/>
    </row>
    <row r="59" ht="12.75" customHeight="1">
      <c r="A59" s="165">
        <v>32385.0</v>
      </c>
      <c r="B59" s="167" t="s">
        <v>2074</v>
      </c>
      <c r="C59" s="170">
        <v>43305.0</v>
      </c>
      <c r="D59" s="165"/>
      <c r="E59" s="157"/>
      <c r="F59" s="157"/>
      <c r="G59" s="157"/>
      <c r="H59" s="157"/>
      <c r="I59" s="157"/>
      <c r="J59" s="157"/>
      <c r="K59" s="157"/>
      <c r="L59" s="157"/>
      <c r="M59" s="157"/>
      <c r="N59" s="157"/>
      <c r="O59" s="157"/>
      <c r="P59" s="157"/>
      <c r="Q59" s="157"/>
      <c r="R59" s="157"/>
      <c r="S59" s="157"/>
      <c r="T59" s="157"/>
      <c r="U59" s="157"/>
      <c r="V59" s="157"/>
      <c r="W59" s="157"/>
      <c r="X59" s="157"/>
    </row>
    <row r="60" ht="12.75" customHeight="1">
      <c r="A60" s="165">
        <v>32427.0</v>
      </c>
      <c r="B60" s="165" t="s">
        <v>2075</v>
      </c>
      <c r="C60" s="170">
        <v>43312.0</v>
      </c>
      <c r="D60" s="165"/>
      <c r="E60" s="157"/>
      <c r="F60" s="157"/>
      <c r="G60" s="157"/>
      <c r="H60" s="157"/>
      <c r="I60" s="157"/>
      <c r="J60" s="157"/>
      <c r="K60" s="157"/>
      <c r="L60" s="157"/>
      <c r="M60" s="157"/>
      <c r="N60" s="157"/>
      <c r="O60" s="157"/>
      <c r="P60" s="157"/>
      <c r="Q60" s="157"/>
      <c r="R60" s="157"/>
      <c r="S60" s="157"/>
      <c r="T60" s="157"/>
      <c r="U60" s="157"/>
      <c r="V60" s="157"/>
      <c r="W60" s="157"/>
      <c r="X60" s="157"/>
    </row>
    <row r="61" ht="12.75" customHeight="1">
      <c r="A61" s="165">
        <v>32423.0</v>
      </c>
      <c r="B61" s="165" t="s">
        <v>2076</v>
      </c>
      <c r="C61" s="170">
        <v>43313.0</v>
      </c>
      <c r="D61" s="165"/>
      <c r="E61" s="157"/>
      <c r="F61" s="157"/>
      <c r="G61" s="157"/>
      <c r="H61" s="157"/>
      <c r="I61" s="157"/>
      <c r="J61" s="157"/>
      <c r="K61" s="157"/>
      <c r="L61" s="157"/>
      <c r="M61" s="157"/>
      <c r="N61" s="157"/>
      <c r="O61" s="157"/>
      <c r="P61" s="157"/>
      <c r="Q61" s="157"/>
      <c r="R61" s="157"/>
      <c r="S61" s="157"/>
      <c r="T61" s="157"/>
      <c r="U61" s="157"/>
      <c r="V61" s="157"/>
      <c r="W61" s="157"/>
      <c r="X61" s="157"/>
    </row>
    <row r="62" ht="12.75" customHeight="1">
      <c r="A62" s="165">
        <v>32422.0</v>
      </c>
      <c r="B62" s="173" t="s">
        <v>2077</v>
      </c>
      <c r="C62" s="170">
        <v>43327.0</v>
      </c>
      <c r="D62" s="165"/>
      <c r="E62" s="157"/>
      <c r="F62" s="157"/>
      <c r="G62" s="157"/>
      <c r="H62" s="157"/>
      <c r="I62" s="157"/>
      <c r="J62" s="157"/>
      <c r="K62" s="157"/>
      <c r="L62" s="157"/>
      <c r="M62" s="157"/>
      <c r="N62" s="157"/>
      <c r="O62" s="157"/>
      <c r="P62" s="157"/>
      <c r="Q62" s="157"/>
      <c r="R62" s="157"/>
      <c r="S62" s="157"/>
      <c r="T62" s="157"/>
      <c r="U62" s="157"/>
      <c r="V62" s="157"/>
      <c r="W62" s="157"/>
      <c r="X62" s="157"/>
    </row>
    <row r="63" ht="12.75" customHeight="1">
      <c r="A63" s="165">
        <v>32509.0</v>
      </c>
      <c r="B63" s="173" t="s">
        <v>2078</v>
      </c>
      <c r="C63" s="170">
        <v>43327.0</v>
      </c>
      <c r="D63" s="165"/>
      <c r="E63" s="157"/>
      <c r="F63" s="157"/>
      <c r="G63" s="157"/>
      <c r="H63" s="157"/>
      <c r="I63" s="157"/>
      <c r="J63" s="157"/>
      <c r="K63" s="157"/>
      <c r="L63" s="157"/>
      <c r="M63" s="157"/>
      <c r="N63" s="157"/>
      <c r="O63" s="157"/>
      <c r="P63" s="157"/>
      <c r="Q63" s="157"/>
      <c r="R63" s="157"/>
      <c r="S63" s="157"/>
      <c r="T63" s="157"/>
      <c r="U63" s="157"/>
      <c r="V63" s="157"/>
      <c r="W63" s="157"/>
      <c r="X63" s="157"/>
    </row>
    <row r="64" ht="12.75" customHeight="1">
      <c r="A64" s="165">
        <v>32513.0</v>
      </c>
      <c r="B64" s="173" t="s">
        <v>2079</v>
      </c>
      <c r="C64" s="170">
        <v>43332.0</v>
      </c>
      <c r="D64" s="165"/>
      <c r="E64" s="157"/>
      <c r="F64" s="157"/>
      <c r="G64" s="157"/>
      <c r="H64" s="157"/>
      <c r="I64" s="157"/>
      <c r="J64" s="157"/>
      <c r="K64" s="157"/>
      <c r="L64" s="157"/>
      <c r="M64" s="157"/>
      <c r="N64" s="157"/>
      <c r="O64" s="157"/>
      <c r="P64" s="157"/>
      <c r="Q64" s="157"/>
      <c r="R64" s="157"/>
      <c r="S64" s="157"/>
      <c r="T64" s="157"/>
      <c r="U64" s="157"/>
      <c r="V64" s="157"/>
      <c r="W64" s="157"/>
      <c r="X64" s="157"/>
    </row>
    <row r="65" ht="12.75" customHeight="1">
      <c r="A65" s="165">
        <v>32375.0</v>
      </c>
      <c r="B65" s="174" t="s">
        <v>2080</v>
      </c>
      <c r="C65" s="170">
        <v>43336.0</v>
      </c>
      <c r="D65" s="165"/>
      <c r="E65" s="157"/>
      <c r="F65" s="157"/>
      <c r="G65" s="157"/>
      <c r="H65" s="157"/>
      <c r="I65" s="157"/>
      <c r="J65" s="157"/>
      <c r="K65" s="157"/>
      <c r="L65" s="157"/>
      <c r="M65" s="157"/>
      <c r="N65" s="157"/>
      <c r="O65" s="157"/>
      <c r="P65" s="157"/>
      <c r="Q65" s="157"/>
      <c r="R65" s="157"/>
      <c r="S65" s="157"/>
      <c r="T65" s="157"/>
      <c r="U65" s="157"/>
      <c r="V65" s="157"/>
      <c r="W65" s="157"/>
      <c r="X65" s="157"/>
    </row>
    <row r="66" ht="12.75" customHeight="1">
      <c r="A66" s="165">
        <v>32487.0</v>
      </c>
      <c r="B66" s="174" t="s">
        <v>2081</v>
      </c>
      <c r="C66" s="170">
        <v>43336.0</v>
      </c>
      <c r="D66" s="165"/>
      <c r="E66" s="157"/>
      <c r="F66" s="157"/>
      <c r="G66" s="157"/>
      <c r="H66" s="157"/>
      <c r="I66" s="157"/>
      <c r="J66" s="157"/>
      <c r="K66" s="157"/>
      <c r="L66" s="157"/>
      <c r="M66" s="157"/>
      <c r="N66" s="157"/>
      <c r="O66" s="157"/>
      <c r="P66" s="157"/>
      <c r="Q66" s="157"/>
      <c r="R66" s="157"/>
      <c r="S66" s="157"/>
      <c r="T66" s="157"/>
      <c r="U66" s="157"/>
      <c r="V66" s="157"/>
      <c r="W66" s="157"/>
      <c r="X66" s="157"/>
    </row>
    <row r="67" ht="12.75" customHeight="1">
      <c r="A67" s="165">
        <v>32519.0</v>
      </c>
      <c r="B67" s="174" t="s">
        <v>2082</v>
      </c>
      <c r="C67" s="170">
        <v>43341.0</v>
      </c>
      <c r="D67" s="165"/>
      <c r="E67" s="157"/>
      <c r="F67" s="157"/>
      <c r="G67" s="157"/>
      <c r="H67" s="157"/>
      <c r="I67" s="157"/>
      <c r="J67" s="157"/>
      <c r="K67" s="157"/>
      <c r="L67" s="157"/>
      <c r="M67" s="157"/>
      <c r="N67" s="157"/>
      <c r="O67" s="157"/>
      <c r="P67" s="157"/>
      <c r="Q67" s="157"/>
      <c r="R67" s="157"/>
      <c r="S67" s="157"/>
      <c r="T67" s="157"/>
      <c r="U67" s="157"/>
      <c r="V67" s="157"/>
      <c r="W67" s="157"/>
      <c r="X67" s="157"/>
    </row>
    <row r="68" ht="12.75" customHeight="1">
      <c r="A68" s="165">
        <v>32553.0</v>
      </c>
      <c r="B68" s="174" t="s">
        <v>2083</v>
      </c>
      <c r="C68" s="170">
        <v>43342.0</v>
      </c>
      <c r="D68" s="165"/>
      <c r="E68" s="157"/>
      <c r="F68" s="157"/>
      <c r="G68" s="157"/>
      <c r="H68" s="157"/>
      <c r="I68" s="157"/>
      <c r="J68" s="157"/>
      <c r="K68" s="157"/>
      <c r="L68" s="157"/>
      <c r="M68" s="157"/>
      <c r="N68" s="157"/>
      <c r="O68" s="157"/>
      <c r="P68" s="157"/>
      <c r="Q68" s="157"/>
      <c r="R68" s="157"/>
      <c r="S68" s="157"/>
      <c r="T68" s="157"/>
      <c r="U68" s="157"/>
      <c r="V68" s="157"/>
      <c r="W68" s="157"/>
      <c r="X68" s="157"/>
    </row>
    <row r="69" ht="12.75" customHeight="1">
      <c r="A69" s="165">
        <v>32516.0</v>
      </c>
      <c r="B69" s="174" t="s">
        <v>2084</v>
      </c>
      <c r="C69" s="170">
        <v>43348.0</v>
      </c>
      <c r="D69" s="165"/>
      <c r="E69" s="157"/>
      <c r="F69" s="157"/>
      <c r="G69" s="157"/>
      <c r="H69" s="157"/>
      <c r="I69" s="157"/>
      <c r="J69" s="157"/>
      <c r="K69" s="157"/>
      <c r="L69" s="157"/>
      <c r="M69" s="157"/>
      <c r="N69" s="157"/>
      <c r="O69" s="157"/>
      <c r="P69" s="157"/>
      <c r="Q69" s="157"/>
      <c r="R69" s="157"/>
      <c r="S69" s="157"/>
      <c r="T69" s="157"/>
      <c r="U69" s="157"/>
      <c r="V69" s="157"/>
      <c r="W69" s="157"/>
      <c r="X69" s="157"/>
    </row>
    <row r="70" ht="12.75" customHeight="1">
      <c r="A70" s="165">
        <v>32575.0</v>
      </c>
      <c r="B70" s="174" t="s">
        <v>2085</v>
      </c>
      <c r="C70" s="170">
        <v>43350.0</v>
      </c>
      <c r="D70" s="165"/>
      <c r="E70" s="157"/>
      <c r="F70" s="157"/>
      <c r="G70" s="157"/>
      <c r="H70" s="157"/>
      <c r="I70" s="157"/>
      <c r="J70" s="157"/>
      <c r="K70" s="157"/>
      <c r="L70" s="157"/>
      <c r="M70" s="157"/>
      <c r="N70" s="157"/>
      <c r="O70" s="157"/>
      <c r="P70" s="157"/>
      <c r="Q70" s="157"/>
      <c r="R70" s="157"/>
      <c r="S70" s="157"/>
      <c r="T70" s="157"/>
      <c r="U70" s="157"/>
      <c r="V70" s="157"/>
      <c r="W70" s="157"/>
      <c r="X70" s="157"/>
    </row>
    <row r="71" ht="12.75" customHeight="1">
      <c r="A71" s="165">
        <v>32271.0</v>
      </c>
      <c r="B71" s="174" t="s">
        <v>2086</v>
      </c>
      <c r="C71" s="170"/>
      <c r="D71" s="165"/>
      <c r="E71" s="157"/>
      <c r="F71" s="157"/>
      <c r="G71" s="157"/>
      <c r="H71" s="157"/>
      <c r="I71" s="157"/>
      <c r="J71" s="157"/>
      <c r="K71" s="157"/>
      <c r="L71" s="157"/>
      <c r="M71" s="157"/>
      <c r="N71" s="157"/>
      <c r="O71" s="157"/>
      <c r="P71" s="157"/>
      <c r="Q71" s="157"/>
      <c r="R71" s="157"/>
      <c r="S71" s="157"/>
      <c r="T71" s="157"/>
      <c r="U71" s="157"/>
      <c r="V71" s="157"/>
      <c r="W71" s="157"/>
      <c r="X71" s="157"/>
    </row>
    <row r="72" ht="12.75" customHeight="1">
      <c r="A72" s="165">
        <v>32356.0</v>
      </c>
      <c r="B72" s="174" t="s">
        <v>2087</v>
      </c>
      <c r="C72" s="170">
        <v>43356.0</v>
      </c>
      <c r="D72" s="165"/>
      <c r="E72" s="157"/>
      <c r="F72" s="157"/>
      <c r="G72" s="157"/>
      <c r="H72" s="157"/>
      <c r="I72" s="157"/>
      <c r="J72" s="157"/>
      <c r="K72" s="157"/>
      <c r="L72" s="157"/>
      <c r="M72" s="157"/>
      <c r="N72" s="157"/>
      <c r="O72" s="157"/>
      <c r="P72" s="157"/>
      <c r="Q72" s="157"/>
      <c r="R72" s="157"/>
      <c r="S72" s="157"/>
      <c r="T72" s="157"/>
      <c r="U72" s="157"/>
      <c r="V72" s="157"/>
      <c r="W72" s="157"/>
      <c r="X72" s="157"/>
    </row>
    <row r="73" ht="12.75" customHeight="1">
      <c r="A73" s="165">
        <v>32573.0</v>
      </c>
      <c r="B73" s="174" t="s">
        <v>2088</v>
      </c>
      <c r="C73" s="170">
        <v>43363.0</v>
      </c>
      <c r="D73" s="165"/>
      <c r="E73" s="157"/>
      <c r="F73" s="157"/>
      <c r="G73" s="157"/>
      <c r="H73" s="157"/>
      <c r="I73" s="157"/>
      <c r="J73" s="157"/>
      <c r="K73" s="157"/>
      <c r="L73" s="157"/>
      <c r="M73" s="157"/>
      <c r="N73" s="157"/>
      <c r="O73" s="157"/>
      <c r="P73" s="157"/>
      <c r="Q73" s="157"/>
      <c r="R73" s="157"/>
      <c r="S73" s="157"/>
      <c r="T73" s="157"/>
      <c r="U73" s="157"/>
      <c r="V73" s="157"/>
      <c r="W73" s="157"/>
      <c r="X73" s="157"/>
    </row>
    <row r="74" ht="12.75" customHeight="1">
      <c r="A74" s="165">
        <v>32667.0</v>
      </c>
      <c r="B74" s="174" t="s">
        <v>2089</v>
      </c>
      <c r="C74" s="170">
        <v>43367.0</v>
      </c>
      <c r="D74" s="165"/>
      <c r="E74" s="157"/>
      <c r="F74" s="157"/>
      <c r="G74" s="157"/>
      <c r="H74" s="157"/>
      <c r="I74" s="157"/>
      <c r="J74" s="157"/>
      <c r="K74" s="157"/>
      <c r="L74" s="157"/>
      <c r="M74" s="157"/>
      <c r="N74" s="157"/>
      <c r="O74" s="157"/>
      <c r="P74" s="157"/>
      <c r="Q74" s="157"/>
      <c r="R74" s="157"/>
      <c r="S74" s="157"/>
      <c r="T74" s="157"/>
      <c r="U74" s="157"/>
      <c r="V74" s="157"/>
      <c r="W74" s="157"/>
      <c r="X74" s="157"/>
    </row>
    <row r="75" ht="12.75" customHeight="1">
      <c r="A75" s="175" t="s">
        <v>2090</v>
      </c>
      <c r="B75" s="42" t="s">
        <v>2091</v>
      </c>
      <c r="C75" s="170">
        <v>43404.0</v>
      </c>
      <c r="D75" s="165"/>
      <c r="E75" s="157"/>
      <c r="F75" s="157"/>
      <c r="G75" s="157"/>
      <c r="H75" s="157"/>
      <c r="I75" s="157"/>
      <c r="J75" s="157"/>
      <c r="K75" s="157"/>
      <c r="L75" s="157"/>
      <c r="M75" s="157"/>
      <c r="N75" s="157"/>
      <c r="O75" s="157"/>
      <c r="P75" s="157"/>
      <c r="Q75" s="157"/>
      <c r="R75" s="157"/>
      <c r="S75" s="157"/>
      <c r="T75" s="157"/>
      <c r="U75" s="157"/>
      <c r="V75" s="157"/>
      <c r="W75" s="157"/>
      <c r="X75" s="157"/>
    </row>
    <row r="76" ht="12.75" customHeight="1">
      <c r="A76" s="165">
        <v>32699.0</v>
      </c>
      <c r="B76" s="42" t="s">
        <v>2092</v>
      </c>
      <c r="C76" s="170">
        <v>43404.0</v>
      </c>
      <c r="D76" s="165"/>
      <c r="E76" s="157"/>
      <c r="F76" s="157"/>
      <c r="G76" s="157"/>
      <c r="H76" s="157"/>
      <c r="I76" s="157"/>
      <c r="J76" s="157"/>
      <c r="K76" s="157"/>
      <c r="L76" s="157"/>
      <c r="M76" s="157"/>
      <c r="N76" s="157"/>
      <c r="O76" s="157"/>
      <c r="P76" s="157"/>
      <c r="Q76" s="157"/>
      <c r="R76" s="157"/>
      <c r="S76" s="157"/>
      <c r="T76" s="157"/>
      <c r="U76" s="157"/>
      <c r="V76" s="157"/>
      <c r="W76" s="157"/>
      <c r="X76" s="157"/>
    </row>
    <row r="77" ht="12.75" customHeight="1">
      <c r="A77" s="165">
        <v>32700.0</v>
      </c>
      <c r="B77" s="173" t="s">
        <v>2093</v>
      </c>
      <c r="C77" s="170">
        <v>43410.0</v>
      </c>
      <c r="D77" s="165"/>
      <c r="E77" s="157"/>
      <c r="F77" s="157"/>
      <c r="G77" s="157"/>
      <c r="H77" s="157"/>
      <c r="I77" s="157"/>
      <c r="J77" s="157"/>
      <c r="K77" s="157"/>
      <c r="L77" s="157"/>
      <c r="M77" s="157"/>
      <c r="N77" s="157"/>
      <c r="O77" s="157"/>
      <c r="P77" s="157"/>
      <c r="Q77" s="157"/>
      <c r="R77" s="157"/>
      <c r="S77" s="157"/>
      <c r="T77" s="157"/>
      <c r="U77" s="157"/>
      <c r="V77" s="157"/>
      <c r="W77" s="157"/>
      <c r="X77" s="157"/>
    </row>
    <row r="78" ht="12.75" customHeight="1">
      <c r="A78" s="165">
        <v>32674.0</v>
      </c>
      <c r="B78" s="176" t="s">
        <v>2094</v>
      </c>
      <c r="C78" s="170">
        <v>43417.0</v>
      </c>
      <c r="D78" s="165"/>
      <c r="E78" s="157"/>
      <c r="F78" s="157"/>
      <c r="G78" s="157"/>
      <c r="H78" s="157"/>
      <c r="I78" s="157"/>
      <c r="J78" s="157"/>
      <c r="K78" s="157"/>
      <c r="L78" s="157"/>
      <c r="M78" s="157"/>
      <c r="N78" s="157"/>
      <c r="O78" s="157"/>
      <c r="P78" s="157"/>
      <c r="Q78" s="157"/>
      <c r="R78" s="157"/>
      <c r="S78" s="157"/>
      <c r="T78" s="157"/>
      <c r="U78" s="157"/>
      <c r="V78" s="157"/>
      <c r="W78" s="157"/>
      <c r="X78" s="157"/>
    </row>
    <row r="79" ht="12.75" customHeight="1">
      <c r="A79" s="165">
        <v>32768.0</v>
      </c>
      <c r="B79" s="165" t="s">
        <v>2095</v>
      </c>
      <c r="C79" s="170">
        <v>43424.0</v>
      </c>
      <c r="D79" s="165"/>
      <c r="E79" s="157"/>
      <c r="F79" s="157"/>
      <c r="G79" s="157"/>
      <c r="H79" s="157"/>
      <c r="I79" s="157"/>
      <c r="J79" s="157"/>
      <c r="K79" s="157"/>
      <c r="L79" s="157"/>
      <c r="M79" s="157"/>
      <c r="N79" s="157"/>
      <c r="O79" s="157"/>
      <c r="P79" s="157"/>
      <c r="Q79" s="157"/>
      <c r="R79" s="157"/>
      <c r="S79" s="157"/>
      <c r="T79" s="157"/>
      <c r="U79" s="157"/>
      <c r="V79" s="157"/>
      <c r="W79" s="157"/>
      <c r="X79" s="157"/>
    </row>
    <row r="80" ht="12.75" customHeight="1">
      <c r="A80" s="165">
        <v>32497.0</v>
      </c>
      <c r="B80" s="165" t="s">
        <v>2096</v>
      </c>
      <c r="C80" s="170">
        <v>43430.0</v>
      </c>
      <c r="D80" s="165"/>
      <c r="E80" s="157"/>
      <c r="F80" s="157"/>
      <c r="G80" s="157"/>
      <c r="H80" s="157"/>
      <c r="I80" s="157"/>
      <c r="J80" s="157"/>
      <c r="K80" s="157"/>
      <c r="L80" s="157"/>
      <c r="M80" s="157"/>
      <c r="N80" s="157"/>
      <c r="O80" s="157"/>
      <c r="P80" s="157"/>
      <c r="Q80" s="157"/>
      <c r="R80" s="157"/>
      <c r="S80" s="157"/>
      <c r="T80" s="157"/>
      <c r="U80" s="157"/>
      <c r="V80" s="157"/>
      <c r="W80" s="157"/>
      <c r="X80" s="157"/>
    </row>
    <row r="81" ht="12.75" customHeight="1">
      <c r="A81" s="165">
        <v>32804.0</v>
      </c>
      <c r="B81" s="165" t="s">
        <v>2097</v>
      </c>
      <c r="C81" s="170">
        <v>43430.0</v>
      </c>
      <c r="D81" s="165"/>
      <c r="E81" s="157"/>
      <c r="F81" s="157"/>
      <c r="G81" s="157"/>
      <c r="H81" s="157"/>
      <c r="I81" s="157"/>
      <c r="J81" s="157"/>
      <c r="K81" s="157"/>
      <c r="L81" s="157"/>
      <c r="M81" s="157"/>
      <c r="N81" s="157"/>
      <c r="O81" s="157"/>
      <c r="P81" s="157"/>
      <c r="Q81" s="157"/>
      <c r="R81" s="157"/>
      <c r="S81" s="157"/>
      <c r="T81" s="157"/>
      <c r="U81" s="157"/>
      <c r="V81" s="157"/>
      <c r="W81" s="157"/>
      <c r="X81" s="157"/>
    </row>
    <row r="82" ht="12.75" customHeight="1">
      <c r="A82" s="165">
        <v>32876.0</v>
      </c>
      <c r="B82" s="165" t="s">
        <v>2098</v>
      </c>
      <c r="C82" s="170">
        <v>43441.0</v>
      </c>
      <c r="D82" s="165"/>
      <c r="E82" s="157"/>
      <c r="F82" s="157"/>
      <c r="G82" s="157"/>
      <c r="H82" s="157"/>
      <c r="I82" s="157"/>
      <c r="J82" s="157"/>
      <c r="K82" s="157"/>
      <c r="L82" s="157"/>
      <c r="M82" s="157"/>
      <c r="N82" s="157"/>
      <c r="O82" s="157"/>
      <c r="P82" s="157"/>
      <c r="Q82" s="157"/>
      <c r="R82" s="157"/>
      <c r="S82" s="157"/>
      <c r="T82" s="157"/>
      <c r="U82" s="157"/>
      <c r="V82" s="157"/>
      <c r="W82" s="157"/>
      <c r="X82" s="157"/>
    </row>
    <row r="83" ht="12.75" customHeight="1">
      <c r="A83" s="165">
        <v>32821.0</v>
      </c>
      <c r="B83" s="165" t="s">
        <v>2099</v>
      </c>
      <c r="C83" s="170">
        <v>43441.0</v>
      </c>
      <c r="D83" s="165"/>
      <c r="E83" s="157"/>
      <c r="F83" s="157"/>
      <c r="G83" s="157"/>
      <c r="H83" s="157"/>
      <c r="I83" s="157"/>
      <c r="J83" s="157"/>
      <c r="K83" s="157"/>
      <c r="L83" s="157"/>
      <c r="M83" s="157"/>
      <c r="N83" s="157"/>
      <c r="O83" s="157"/>
      <c r="P83" s="157"/>
      <c r="Q83" s="157"/>
      <c r="R83" s="157"/>
      <c r="S83" s="157"/>
      <c r="T83" s="157"/>
      <c r="U83" s="157"/>
      <c r="V83" s="157"/>
      <c r="W83" s="157"/>
      <c r="X83" s="157"/>
    </row>
    <row r="84" ht="12.75" customHeight="1">
      <c r="A84" s="165">
        <v>32790.0</v>
      </c>
      <c r="B84" s="165" t="s">
        <v>2100</v>
      </c>
      <c r="C84" s="170">
        <v>43441.0</v>
      </c>
      <c r="D84" s="165"/>
      <c r="E84" s="157"/>
      <c r="F84" s="157"/>
      <c r="G84" s="157"/>
      <c r="H84" s="157"/>
      <c r="I84" s="157"/>
      <c r="J84" s="157"/>
      <c r="K84" s="157"/>
      <c r="L84" s="157"/>
      <c r="M84" s="157"/>
      <c r="N84" s="157"/>
      <c r="O84" s="157"/>
      <c r="P84" s="157"/>
      <c r="Q84" s="157"/>
      <c r="R84" s="157"/>
      <c r="S84" s="157"/>
      <c r="T84" s="157"/>
      <c r="U84" s="157"/>
      <c r="V84" s="157"/>
      <c r="W84" s="157"/>
      <c r="X84" s="157"/>
    </row>
    <row r="85" ht="12.75" customHeight="1">
      <c r="A85" s="165">
        <v>32507.0</v>
      </c>
      <c r="B85" s="165" t="s">
        <v>2101</v>
      </c>
      <c r="C85" s="170">
        <v>43445.0</v>
      </c>
      <c r="D85" s="165"/>
      <c r="E85" s="157"/>
      <c r="F85" s="157"/>
      <c r="G85" s="157"/>
      <c r="H85" s="157"/>
      <c r="I85" s="157"/>
      <c r="J85" s="157"/>
      <c r="K85" s="157"/>
      <c r="L85" s="157"/>
      <c r="M85" s="157"/>
      <c r="N85" s="157"/>
      <c r="O85" s="157"/>
      <c r="P85" s="157"/>
      <c r="Q85" s="157"/>
      <c r="R85" s="157"/>
      <c r="S85" s="157"/>
      <c r="T85" s="157"/>
      <c r="U85" s="157"/>
      <c r="V85" s="157"/>
      <c r="W85" s="157"/>
      <c r="X85" s="157"/>
    </row>
    <row r="86" ht="12.75" customHeight="1">
      <c r="A86" s="165">
        <v>32681.0</v>
      </c>
      <c r="B86" s="165" t="s">
        <v>2102</v>
      </c>
      <c r="C86" s="170">
        <v>43445.0</v>
      </c>
      <c r="D86" s="165"/>
      <c r="E86" s="157"/>
      <c r="F86" s="157"/>
      <c r="G86" s="157"/>
      <c r="H86" s="157"/>
      <c r="I86" s="157"/>
      <c r="J86" s="157"/>
      <c r="K86" s="157"/>
      <c r="L86" s="157"/>
      <c r="M86" s="157"/>
      <c r="N86" s="157"/>
      <c r="O86" s="157"/>
      <c r="P86" s="157"/>
      <c r="Q86" s="157"/>
      <c r="R86" s="157"/>
      <c r="S86" s="157"/>
      <c r="T86" s="157"/>
      <c r="U86" s="157"/>
      <c r="V86" s="157"/>
      <c r="W86" s="157"/>
      <c r="X86" s="157"/>
    </row>
    <row r="87" ht="12.75" customHeight="1">
      <c r="A87" s="165">
        <v>32300.0</v>
      </c>
      <c r="B87" s="165" t="s">
        <v>2103</v>
      </c>
      <c r="C87" s="170">
        <v>43452.0</v>
      </c>
      <c r="D87" s="165"/>
      <c r="E87" s="157"/>
      <c r="F87" s="157"/>
      <c r="G87" s="157"/>
      <c r="H87" s="157"/>
      <c r="I87" s="157"/>
      <c r="J87" s="157"/>
      <c r="K87" s="157"/>
      <c r="L87" s="157"/>
      <c r="M87" s="157"/>
      <c r="N87" s="157"/>
      <c r="O87" s="157"/>
      <c r="P87" s="157"/>
      <c r="Q87" s="157"/>
      <c r="R87" s="157"/>
      <c r="S87" s="157"/>
      <c r="T87" s="157"/>
      <c r="U87" s="157"/>
      <c r="V87" s="157"/>
      <c r="W87" s="157"/>
      <c r="X87" s="157"/>
    </row>
    <row r="88" ht="12.75" customHeight="1">
      <c r="A88" s="165">
        <v>32662.0</v>
      </c>
      <c r="B88" s="165" t="s">
        <v>2104</v>
      </c>
      <c r="C88" s="170">
        <v>43452.0</v>
      </c>
      <c r="D88" s="165"/>
      <c r="E88" s="157"/>
      <c r="F88" s="157"/>
      <c r="G88" s="157"/>
      <c r="H88" s="157"/>
      <c r="I88" s="157"/>
      <c r="J88" s="157"/>
      <c r="K88" s="157"/>
      <c r="L88" s="157"/>
      <c r="M88" s="157"/>
      <c r="N88" s="157"/>
      <c r="O88" s="157"/>
      <c r="P88" s="157"/>
      <c r="Q88" s="157"/>
      <c r="R88" s="157"/>
      <c r="S88" s="157"/>
      <c r="T88" s="157"/>
      <c r="U88" s="157"/>
      <c r="V88" s="157"/>
      <c r="W88" s="157"/>
      <c r="X88" s="157"/>
    </row>
    <row r="89" ht="12.75" customHeight="1">
      <c r="A89" s="165"/>
      <c r="B89" s="165" t="s">
        <v>2105</v>
      </c>
      <c r="C89" s="170"/>
      <c r="D89" s="165"/>
      <c r="E89" s="157"/>
      <c r="F89" s="157"/>
      <c r="G89" s="157"/>
      <c r="H89" s="157"/>
      <c r="I89" s="157"/>
      <c r="J89" s="157"/>
      <c r="K89" s="157"/>
      <c r="L89" s="157"/>
      <c r="M89" s="157"/>
      <c r="N89" s="157"/>
      <c r="O89" s="157"/>
      <c r="P89" s="157"/>
      <c r="Q89" s="157"/>
      <c r="R89" s="157"/>
      <c r="S89" s="157"/>
      <c r="T89" s="157"/>
      <c r="U89" s="157"/>
      <c r="V89" s="157"/>
      <c r="W89" s="157"/>
      <c r="X89" s="157"/>
    </row>
    <row r="90" ht="12.75" customHeight="1">
      <c r="A90" s="165"/>
      <c r="B90" s="165"/>
      <c r="C90" s="170"/>
      <c r="D90" s="165"/>
      <c r="E90" s="157"/>
      <c r="F90" s="157"/>
      <c r="G90" s="157"/>
      <c r="H90" s="157"/>
      <c r="I90" s="157"/>
      <c r="J90" s="157"/>
      <c r="K90" s="157"/>
      <c r="L90" s="157"/>
      <c r="M90" s="157"/>
      <c r="N90" s="157"/>
      <c r="O90" s="157"/>
      <c r="P90" s="157"/>
      <c r="Q90" s="157"/>
      <c r="R90" s="157"/>
      <c r="S90" s="157"/>
      <c r="T90" s="157"/>
      <c r="U90" s="157"/>
      <c r="V90" s="157"/>
      <c r="W90" s="157"/>
      <c r="X90" s="157"/>
    </row>
    <row r="91" ht="12.75" customHeight="1">
      <c r="A91" s="165"/>
      <c r="B91" s="165"/>
      <c r="C91" s="170"/>
      <c r="D91" s="165"/>
      <c r="E91" s="157"/>
      <c r="F91" s="157"/>
      <c r="G91" s="157"/>
      <c r="H91" s="157"/>
      <c r="I91" s="157"/>
      <c r="J91" s="157"/>
      <c r="K91" s="157"/>
      <c r="L91" s="157"/>
      <c r="M91" s="157"/>
      <c r="N91" s="157"/>
      <c r="O91" s="157"/>
      <c r="P91" s="157"/>
      <c r="Q91" s="157"/>
      <c r="R91" s="157"/>
      <c r="S91" s="157"/>
      <c r="T91" s="157"/>
      <c r="U91" s="157"/>
      <c r="V91" s="157"/>
      <c r="W91" s="157"/>
      <c r="X91" s="157"/>
    </row>
    <row r="92" ht="12.75" customHeight="1">
      <c r="A92" s="165"/>
      <c r="B92" s="165"/>
      <c r="C92" s="170"/>
      <c r="D92" s="165"/>
      <c r="E92" s="157"/>
      <c r="F92" s="157"/>
      <c r="G92" s="157"/>
      <c r="H92" s="157"/>
      <c r="I92" s="157"/>
      <c r="J92" s="157"/>
      <c r="K92" s="157"/>
      <c r="L92" s="157"/>
      <c r="M92" s="157"/>
      <c r="N92" s="157"/>
      <c r="O92" s="157"/>
      <c r="P92" s="157"/>
      <c r="Q92" s="157"/>
      <c r="R92" s="157"/>
      <c r="S92" s="157"/>
      <c r="T92" s="157"/>
      <c r="U92" s="157"/>
      <c r="V92" s="157"/>
      <c r="W92" s="157"/>
      <c r="X92" s="157"/>
    </row>
    <row r="93" ht="12.75" customHeight="1">
      <c r="A93" s="165"/>
      <c r="B93" s="165"/>
      <c r="C93" s="170"/>
      <c r="D93" s="165"/>
      <c r="E93" s="157"/>
      <c r="F93" s="157"/>
      <c r="G93" s="157"/>
      <c r="H93" s="157"/>
      <c r="I93" s="157"/>
      <c r="J93" s="157"/>
      <c r="K93" s="157"/>
      <c r="L93" s="157"/>
      <c r="M93" s="157"/>
      <c r="N93" s="157"/>
      <c r="O93" s="157"/>
      <c r="P93" s="157"/>
      <c r="Q93" s="157"/>
      <c r="R93" s="157"/>
      <c r="S93" s="157"/>
      <c r="T93" s="157"/>
      <c r="U93" s="157"/>
      <c r="V93" s="157"/>
      <c r="W93" s="157"/>
      <c r="X93" s="157"/>
    </row>
    <row r="94" ht="12.75" customHeight="1">
      <c r="A94" s="165"/>
      <c r="B94" s="165"/>
      <c r="C94" s="170"/>
      <c r="D94" s="165"/>
      <c r="E94" s="157"/>
      <c r="F94" s="157"/>
      <c r="G94" s="157"/>
      <c r="H94" s="157"/>
      <c r="I94" s="157"/>
      <c r="J94" s="157"/>
      <c r="K94" s="157"/>
      <c r="L94" s="157"/>
      <c r="M94" s="157"/>
      <c r="N94" s="157"/>
      <c r="O94" s="157"/>
      <c r="P94" s="157"/>
      <c r="Q94" s="157"/>
      <c r="R94" s="157"/>
      <c r="S94" s="157"/>
      <c r="T94" s="157"/>
      <c r="U94" s="157"/>
      <c r="V94" s="157"/>
      <c r="W94" s="157"/>
      <c r="X94" s="157"/>
    </row>
    <row r="95" ht="12.75" customHeight="1">
      <c r="A95" s="165"/>
      <c r="B95" s="165"/>
      <c r="C95" s="170"/>
      <c r="D95" s="165"/>
      <c r="E95" s="157"/>
      <c r="F95" s="157"/>
      <c r="G95" s="157"/>
      <c r="H95" s="157"/>
      <c r="I95" s="157"/>
      <c r="J95" s="157"/>
      <c r="K95" s="157"/>
      <c r="L95" s="157"/>
      <c r="M95" s="157"/>
      <c r="N95" s="157"/>
      <c r="O95" s="157"/>
      <c r="P95" s="157"/>
      <c r="Q95" s="157"/>
      <c r="R95" s="157"/>
      <c r="S95" s="157"/>
      <c r="T95" s="157"/>
      <c r="U95" s="157"/>
      <c r="V95" s="157"/>
      <c r="W95" s="157"/>
      <c r="X95" s="157"/>
    </row>
    <row r="96" ht="12.75" customHeight="1">
      <c r="A96" s="165"/>
      <c r="B96" s="165"/>
      <c r="C96" s="170"/>
      <c r="D96" s="165"/>
      <c r="E96" s="157"/>
      <c r="F96" s="157"/>
      <c r="G96" s="157"/>
      <c r="H96" s="157"/>
      <c r="I96" s="157"/>
      <c r="J96" s="157"/>
      <c r="K96" s="157"/>
      <c r="L96" s="157"/>
      <c r="M96" s="157"/>
      <c r="N96" s="157"/>
      <c r="O96" s="157"/>
      <c r="P96" s="157"/>
      <c r="Q96" s="157"/>
      <c r="R96" s="157"/>
      <c r="S96" s="157"/>
      <c r="T96" s="157"/>
      <c r="U96" s="157"/>
      <c r="V96" s="157"/>
      <c r="W96" s="157"/>
      <c r="X96" s="157"/>
    </row>
    <row r="97" ht="12.75" customHeight="1">
      <c r="A97" s="165"/>
      <c r="B97" s="165"/>
      <c r="C97" s="170"/>
      <c r="D97" s="165"/>
      <c r="E97" s="157"/>
      <c r="F97" s="157"/>
      <c r="G97" s="157"/>
      <c r="H97" s="157"/>
      <c r="I97" s="157"/>
      <c r="J97" s="157"/>
      <c r="K97" s="157"/>
      <c r="L97" s="157"/>
      <c r="M97" s="157"/>
      <c r="N97" s="157"/>
      <c r="O97" s="157"/>
      <c r="P97" s="157"/>
      <c r="Q97" s="157"/>
      <c r="R97" s="157"/>
      <c r="S97" s="157"/>
      <c r="T97" s="157"/>
      <c r="U97" s="157"/>
      <c r="V97" s="157"/>
      <c r="W97" s="157"/>
      <c r="X97" s="157"/>
    </row>
    <row r="98" ht="12.75" customHeight="1">
      <c r="A98" s="165"/>
      <c r="B98" s="165"/>
      <c r="C98" s="170"/>
      <c r="D98" s="165"/>
      <c r="E98" s="157"/>
      <c r="F98" s="157"/>
      <c r="G98" s="157"/>
      <c r="H98" s="157"/>
      <c r="I98" s="157"/>
      <c r="J98" s="157"/>
      <c r="K98" s="157"/>
      <c r="L98" s="157"/>
      <c r="M98" s="157"/>
      <c r="N98" s="157"/>
      <c r="O98" s="157"/>
      <c r="P98" s="157"/>
      <c r="Q98" s="157"/>
      <c r="R98" s="157"/>
      <c r="S98" s="157"/>
      <c r="T98" s="157"/>
      <c r="U98" s="157"/>
      <c r="V98" s="157"/>
      <c r="W98" s="157"/>
      <c r="X98" s="157"/>
    </row>
    <row r="99" ht="12.75" customHeight="1">
      <c r="A99" s="165"/>
      <c r="B99" s="165"/>
      <c r="C99" s="170"/>
      <c r="D99" s="165"/>
      <c r="E99" s="157"/>
      <c r="F99" s="157"/>
      <c r="G99" s="157"/>
      <c r="H99" s="157"/>
      <c r="I99" s="157"/>
      <c r="J99" s="157"/>
      <c r="K99" s="157"/>
      <c r="L99" s="157"/>
      <c r="M99" s="157"/>
      <c r="N99" s="157"/>
      <c r="O99" s="157"/>
      <c r="P99" s="157"/>
      <c r="Q99" s="157"/>
      <c r="R99" s="157"/>
      <c r="S99" s="157"/>
      <c r="T99" s="157"/>
      <c r="U99" s="157"/>
      <c r="V99" s="157"/>
      <c r="W99" s="157"/>
      <c r="X99" s="157"/>
    </row>
    <row r="100" ht="12.75" customHeight="1">
      <c r="A100" s="165"/>
      <c r="B100" s="165"/>
      <c r="C100" s="170"/>
      <c r="D100" s="165"/>
      <c r="E100" s="157"/>
      <c r="F100" s="157"/>
      <c r="G100" s="157"/>
      <c r="H100" s="157"/>
      <c r="I100" s="157"/>
      <c r="J100" s="157"/>
      <c r="K100" s="157"/>
      <c r="L100" s="157"/>
      <c r="M100" s="157"/>
      <c r="N100" s="157"/>
      <c r="O100" s="157"/>
      <c r="P100" s="157"/>
      <c r="Q100" s="157"/>
      <c r="R100" s="157"/>
      <c r="S100" s="157"/>
      <c r="T100" s="157"/>
      <c r="U100" s="157"/>
      <c r="V100" s="157"/>
      <c r="W100" s="157"/>
      <c r="X100" s="157"/>
    </row>
    <row r="101" ht="12.75" customHeight="1">
      <c r="A101" s="165"/>
      <c r="B101" s="165"/>
      <c r="C101" s="170"/>
      <c r="D101" s="165"/>
      <c r="E101" s="157"/>
      <c r="F101" s="157"/>
      <c r="G101" s="157"/>
      <c r="H101" s="157"/>
      <c r="I101" s="157"/>
      <c r="J101" s="157"/>
      <c r="K101" s="157"/>
      <c r="L101" s="157"/>
      <c r="M101" s="157"/>
      <c r="N101" s="157"/>
      <c r="O101" s="157"/>
      <c r="P101" s="157"/>
      <c r="Q101" s="157"/>
      <c r="R101" s="157"/>
      <c r="S101" s="157"/>
      <c r="T101" s="157"/>
      <c r="U101" s="157"/>
      <c r="V101" s="157"/>
      <c r="W101" s="157"/>
      <c r="X101" s="157"/>
    </row>
    <row r="102" ht="12.75" customHeight="1">
      <c r="A102" s="177"/>
      <c r="B102" s="165"/>
      <c r="C102" s="170"/>
      <c r="D102" s="178"/>
      <c r="E102" s="157"/>
      <c r="F102" s="157"/>
      <c r="G102" s="157"/>
      <c r="H102" s="157"/>
      <c r="I102" s="157"/>
      <c r="J102" s="157"/>
      <c r="K102" s="157"/>
      <c r="L102" s="157"/>
      <c r="M102" s="157"/>
      <c r="N102" s="157"/>
      <c r="O102" s="157"/>
      <c r="P102" s="157"/>
      <c r="Q102" s="157"/>
      <c r="R102" s="157"/>
      <c r="S102" s="157"/>
      <c r="T102" s="157"/>
      <c r="U102" s="157"/>
      <c r="V102" s="157"/>
      <c r="W102" s="157"/>
      <c r="X102" s="157"/>
    </row>
    <row r="103" ht="12.75" customHeight="1">
      <c r="A103" s="177"/>
      <c r="B103" s="165"/>
      <c r="C103" s="170"/>
      <c r="D103" s="177"/>
      <c r="E103" s="179"/>
      <c r="F103" s="157"/>
      <c r="G103" s="157"/>
      <c r="H103" s="157"/>
      <c r="I103" s="157"/>
      <c r="J103" s="157"/>
      <c r="K103" s="157"/>
      <c r="L103" s="157"/>
      <c r="M103" s="157"/>
      <c r="N103" s="157"/>
      <c r="O103" s="157"/>
      <c r="P103" s="157"/>
      <c r="Q103" s="157"/>
      <c r="R103" s="157"/>
      <c r="S103" s="157"/>
      <c r="T103" s="157"/>
      <c r="U103" s="157"/>
      <c r="V103" s="157"/>
      <c r="W103" s="157"/>
      <c r="X103" s="157"/>
    </row>
    <row r="104" ht="12.75" customHeight="1">
      <c r="A104" s="177"/>
      <c r="B104" s="165"/>
      <c r="C104" s="170"/>
      <c r="D104" s="177"/>
      <c r="E104" s="179"/>
      <c r="F104" s="157"/>
      <c r="G104" s="157"/>
      <c r="H104" s="157"/>
      <c r="I104" s="157"/>
      <c r="J104" s="157"/>
      <c r="K104" s="157"/>
      <c r="L104" s="157"/>
      <c r="M104" s="157"/>
      <c r="N104" s="157"/>
      <c r="O104" s="157"/>
      <c r="P104" s="157"/>
      <c r="Q104" s="157"/>
      <c r="R104" s="157"/>
      <c r="S104" s="157"/>
      <c r="T104" s="157"/>
      <c r="U104" s="157"/>
      <c r="V104" s="157"/>
      <c r="W104" s="157"/>
      <c r="X104" s="157"/>
    </row>
    <row r="105" ht="12.75" customHeight="1">
      <c r="A105" s="177"/>
      <c r="B105" s="165"/>
      <c r="C105" s="170"/>
      <c r="D105" s="177"/>
      <c r="E105" s="179"/>
      <c r="F105" s="157"/>
      <c r="G105" s="157"/>
      <c r="H105" s="157"/>
      <c r="I105" s="157"/>
      <c r="J105" s="157"/>
      <c r="K105" s="157"/>
      <c r="L105" s="157"/>
      <c r="M105" s="157"/>
      <c r="N105" s="157"/>
      <c r="O105" s="157"/>
      <c r="P105" s="157"/>
      <c r="Q105" s="157"/>
      <c r="R105" s="157"/>
      <c r="S105" s="157"/>
      <c r="T105" s="157"/>
      <c r="U105" s="157"/>
      <c r="V105" s="157"/>
      <c r="W105" s="157"/>
      <c r="X105" s="157"/>
    </row>
    <row r="106" ht="12.75" customHeight="1">
      <c r="A106" s="177"/>
      <c r="B106" s="165"/>
      <c r="C106" s="170"/>
      <c r="D106" s="177"/>
      <c r="E106" s="179"/>
      <c r="F106" s="157"/>
      <c r="G106" s="157"/>
      <c r="H106" s="157"/>
      <c r="I106" s="157"/>
      <c r="J106" s="157"/>
      <c r="K106" s="157"/>
      <c r="L106" s="157"/>
      <c r="M106" s="157"/>
      <c r="N106" s="157"/>
      <c r="O106" s="157"/>
      <c r="P106" s="157"/>
      <c r="Q106" s="157"/>
      <c r="R106" s="157"/>
      <c r="S106" s="157"/>
      <c r="T106" s="157"/>
      <c r="U106" s="157"/>
      <c r="V106" s="157"/>
      <c r="W106" s="157"/>
      <c r="X106" s="157"/>
    </row>
    <row r="107" ht="12.75" customHeight="1">
      <c r="A107" s="177"/>
      <c r="B107" s="165"/>
      <c r="C107" s="170"/>
      <c r="D107" s="177"/>
      <c r="E107" s="179"/>
      <c r="F107" s="157"/>
      <c r="G107" s="157"/>
      <c r="H107" s="157"/>
      <c r="I107" s="157"/>
      <c r="J107" s="157"/>
      <c r="K107" s="157"/>
      <c r="L107" s="157"/>
      <c r="M107" s="157"/>
      <c r="N107" s="157"/>
      <c r="O107" s="157"/>
      <c r="P107" s="157"/>
      <c r="Q107" s="157"/>
      <c r="R107" s="157"/>
      <c r="S107" s="157"/>
      <c r="T107" s="157"/>
      <c r="U107" s="157"/>
      <c r="V107" s="157"/>
      <c r="W107" s="157"/>
      <c r="X107" s="157"/>
    </row>
    <row r="108" ht="12.75" customHeight="1">
      <c r="A108" s="177"/>
      <c r="B108" s="165"/>
      <c r="C108" s="170"/>
      <c r="D108" s="177"/>
      <c r="E108" s="179"/>
      <c r="F108" s="157"/>
      <c r="G108" s="157"/>
      <c r="H108" s="157"/>
      <c r="I108" s="157"/>
      <c r="J108" s="157"/>
      <c r="K108" s="157"/>
      <c r="L108" s="157"/>
      <c r="M108" s="157"/>
      <c r="N108" s="157"/>
      <c r="O108" s="157"/>
      <c r="P108" s="157"/>
      <c r="Q108" s="157"/>
      <c r="R108" s="157"/>
      <c r="S108" s="157"/>
      <c r="T108" s="157"/>
      <c r="U108" s="157"/>
      <c r="V108" s="157"/>
      <c r="W108" s="157"/>
      <c r="X108" s="157"/>
    </row>
    <row r="109" ht="12.75" customHeight="1">
      <c r="A109" s="177"/>
      <c r="B109" s="165"/>
      <c r="C109" s="170"/>
      <c r="D109" s="177"/>
      <c r="E109" s="179"/>
      <c r="F109" s="157"/>
      <c r="G109" s="157"/>
      <c r="H109" s="157"/>
      <c r="I109" s="157"/>
      <c r="J109" s="157"/>
      <c r="K109" s="157"/>
      <c r="L109" s="157"/>
      <c r="M109" s="157"/>
      <c r="N109" s="157"/>
      <c r="O109" s="157"/>
      <c r="P109" s="157"/>
      <c r="Q109" s="157"/>
      <c r="R109" s="157"/>
      <c r="S109" s="157"/>
      <c r="T109" s="157"/>
      <c r="U109" s="157"/>
      <c r="V109" s="157"/>
      <c r="W109" s="157"/>
      <c r="X109" s="157"/>
    </row>
    <row r="110" ht="12.75" customHeight="1">
      <c r="A110" s="165"/>
      <c r="B110" s="165"/>
      <c r="C110" s="170"/>
      <c r="D110" s="165"/>
      <c r="E110" s="157"/>
      <c r="F110" s="157"/>
      <c r="G110" s="157"/>
      <c r="H110" s="157"/>
      <c r="I110" s="157"/>
      <c r="J110" s="157"/>
      <c r="K110" s="157"/>
      <c r="L110" s="157"/>
      <c r="M110" s="157"/>
      <c r="N110" s="157"/>
      <c r="O110" s="157"/>
      <c r="P110" s="157"/>
      <c r="Q110" s="157"/>
      <c r="R110" s="157"/>
      <c r="S110" s="157"/>
      <c r="T110" s="157"/>
      <c r="U110" s="157"/>
      <c r="V110" s="157"/>
      <c r="W110" s="157"/>
      <c r="X110" s="157"/>
    </row>
    <row r="111" ht="12.75" customHeight="1">
      <c r="A111" s="165"/>
      <c r="B111" s="165"/>
      <c r="C111" s="165"/>
      <c r="D111" s="165"/>
      <c r="E111" s="157"/>
      <c r="F111" s="157"/>
      <c r="G111" s="157"/>
      <c r="H111" s="157"/>
      <c r="I111" s="157"/>
      <c r="J111" s="157"/>
      <c r="K111" s="157"/>
      <c r="L111" s="157"/>
      <c r="M111" s="157"/>
      <c r="N111" s="157"/>
      <c r="O111" s="157"/>
      <c r="P111" s="157"/>
      <c r="Q111" s="157"/>
      <c r="R111" s="157"/>
      <c r="S111" s="157"/>
      <c r="T111" s="157"/>
      <c r="U111" s="157"/>
      <c r="V111" s="157"/>
      <c r="W111" s="157"/>
      <c r="X111" s="157"/>
    </row>
    <row r="112" ht="12.75" customHeight="1">
      <c r="A112" s="165"/>
      <c r="B112" s="165"/>
      <c r="C112" s="165"/>
      <c r="D112" s="165"/>
      <c r="E112" s="157"/>
      <c r="F112" s="157"/>
      <c r="G112" s="157"/>
      <c r="H112" s="157"/>
      <c r="I112" s="157"/>
      <c r="J112" s="157"/>
      <c r="K112" s="157"/>
      <c r="L112" s="157"/>
      <c r="M112" s="157"/>
      <c r="N112" s="157"/>
      <c r="O112" s="157"/>
      <c r="P112" s="157"/>
      <c r="Q112" s="157"/>
      <c r="R112" s="157"/>
      <c r="S112" s="157"/>
      <c r="T112" s="157"/>
      <c r="U112" s="157"/>
      <c r="V112" s="157"/>
      <c r="W112" s="157"/>
      <c r="X112" s="157"/>
    </row>
    <row r="113" ht="12.75" customHeight="1">
      <c r="A113" s="165"/>
      <c r="B113" s="165"/>
      <c r="C113" s="165"/>
      <c r="D113" s="165"/>
      <c r="E113" s="157"/>
      <c r="F113" s="157"/>
      <c r="G113" s="157"/>
      <c r="H113" s="157"/>
      <c r="I113" s="157"/>
      <c r="J113" s="157"/>
      <c r="K113" s="157"/>
      <c r="L113" s="157"/>
      <c r="M113" s="157"/>
      <c r="N113" s="157"/>
      <c r="O113" s="157"/>
      <c r="P113" s="157"/>
      <c r="Q113" s="157"/>
      <c r="R113" s="157"/>
      <c r="S113" s="157"/>
      <c r="T113" s="157"/>
      <c r="U113" s="157"/>
      <c r="V113" s="157"/>
      <c r="W113" s="157"/>
      <c r="X113" s="157"/>
    </row>
    <row r="114" ht="12.75" customHeight="1">
      <c r="A114" s="165"/>
      <c r="B114" s="165"/>
      <c r="C114" s="165"/>
      <c r="D114" s="165"/>
      <c r="E114" s="157"/>
      <c r="F114" s="157"/>
      <c r="G114" s="157"/>
      <c r="H114" s="157"/>
      <c r="I114" s="157"/>
      <c r="J114" s="157"/>
      <c r="K114" s="157"/>
      <c r="L114" s="157"/>
      <c r="M114" s="157"/>
      <c r="N114" s="157"/>
      <c r="O114" s="157"/>
      <c r="P114" s="157"/>
      <c r="Q114" s="157"/>
      <c r="R114" s="157"/>
      <c r="S114" s="157"/>
      <c r="T114" s="157"/>
      <c r="U114" s="157"/>
      <c r="V114" s="157"/>
      <c r="W114" s="157"/>
      <c r="X114" s="157"/>
    </row>
    <row r="115" ht="12.75" customHeight="1">
      <c r="A115" s="165"/>
      <c r="B115" s="165"/>
      <c r="C115" s="170"/>
      <c r="D115" s="165"/>
      <c r="E115" s="157"/>
      <c r="F115" s="157"/>
      <c r="G115" s="157"/>
      <c r="H115" s="157"/>
      <c r="I115" s="157"/>
      <c r="J115" s="157"/>
      <c r="K115" s="157"/>
      <c r="L115" s="157"/>
      <c r="M115" s="157"/>
      <c r="N115" s="157"/>
      <c r="O115" s="157"/>
      <c r="P115" s="157"/>
      <c r="Q115" s="157"/>
      <c r="R115" s="157"/>
      <c r="S115" s="157"/>
      <c r="T115" s="157"/>
      <c r="U115" s="157"/>
      <c r="V115" s="157"/>
      <c r="W115" s="157"/>
      <c r="X115" s="157"/>
    </row>
    <row r="116" ht="12.75" customHeight="1">
      <c r="A116" s="165"/>
      <c r="B116" s="165"/>
      <c r="C116" s="170"/>
      <c r="D116" s="165"/>
      <c r="E116" s="157"/>
      <c r="F116" s="157"/>
      <c r="G116" s="157"/>
      <c r="H116" s="157"/>
      <c r="I116" s="157"/>
      <c r="J116" s="157"/>
      <c r="K116" s="157"/>
      <c r="L116" s="157"/>
      <c r="M116" s="157"/>
      <c r="N116" s="157"/>
      <c r="O116" s="157"/>
      <c r="P116" s="157"/>
      <c r="Q116" s="157"/>
      <c r="R116" s="157"/>
      <c r="S116" s="157"/>
      <c r="T116" s="157"/>
      <c r="U116" s="157"/>
      <c r="V116" s="157"/>
      <c r="W116" s="157"/>
      <c r="X116" s="157"/>
    </row>
    <row r="117" ht="12.75" customHeight="1">
      <c r="A117" s="165"/>
      <c r="B117" s="165"/>
      <c r="C117" s="165"/>
      <c r="D117" s="165"/>
      <c r="E117" s="157"/>
      <c r="F117" s="157"/>
      <c r="G117" s="157"/>
      <c r="H117" s="157"/>
      <c r="I117" s="157"/>
      <c r="J117" s="157"/>
      <c r="K117" s="157"/>
      <c r="L117" s="157"/>
      <c r="M117" s="157"/>
      <c r="N117" s="157"/>
      <c r="O117" s="157"/>
      <c r="P117" s="157"/>
      <c r="Q117" s="157"/>
      <c r="R117" s="157"/>
      <c r="S117" s="157"/>
      <c r="T117" s="157"/>
      <c r="U117" s="157"/>
      <c r="V117" s="157"/>
      <c r="W117" s="157"/>
      <c r="X117" s="157"/>
    </row>
    <row r="118" ht="12.75" customHeight="1">
      <c r="A118" s="165"/>
      <c r="B118" s="165"/>
      <c r="C118" s="165"/>
      <c r="D118" s="165"/>
      <c r="E118" s="157"/>
      <c r="F118" s="157"/>
      <c r="G118" s="157"/>
      <c r="H118" s="157"/>
      <c r="I118" s="157"/>
      <c r="J118" s="157"/>
      <c r="K118" s="157"/>
      <c r="L118" s="157"/>
      <c r="M118" s="157"/>
      <c r="N118" s="157"/>
      <c r="O118" s="157"/>
      <c r="P118" s="157"/>
      <c r="Q118" s="157"/>
      <c r="R118" s="157"/>
      <c r="S118" s="157"/>
      <c r="T118" s="157"/>
      <c r="U118" s="157"/>
      <c r="V118" s="157"/>
      <c r="W118" s="157"/>
      <c r="X118" s="157"/>
    </row>
    <row r="119" ht="12.75" customHeight="1">
      <c r="A119" s="165"/>
      <c r="B119" s="165"/>
      <c r="C119" s="165"/>
      <c r="D119" s="165"/>
      <c r="E119" s="157"/>
      <c r="F119" s="157"/>
      <c r="G119" s="157"/>
      <c r="H119" s="157"/>
      <c r="I119" s="157"/>
      <c r="J119" s="157"/>
      <c r="K119" s="157"/>
      <c r="L119" s="157"/>
      <c r="M119" s="157"/>
      <c r="N119" s="157"/>
      <c r="O119" s="157"/>
      <c r="P119" s="157"/>
      <c r="Q119" s="157"/>
      <c r="R119" s="157"/>
      <c r="S119" s="157"/>
      <c r="T119" s="157"/>
      <c r="U119" s="157"/>
      <c r="V119" s="157"/>
      <c r="W119" s="157"/>
      <c r="X119" s="157"/>
    </row>
    <row r="120" ht="12.75" customHeight="1">
      <c r="A120" s="161"/>
      <c r="B120" s="165"/>
      <c r="C120" s="161"/>
      <c r="D120" s="161"/>
      <c r="E120" s="157"/>
      <c r="F120" s="157"/>
      <c r="G120" s="157"/>
      <c r="H120" s="157"/>
      <c r="I120" s="157"/>
      <c r="J120" s="157"/>
      <c r="K120" s="157"/>
      <c r="L120" s="157"/>
      <c r="M120" s="157"/>
      <c r="N120" s="157"/>
      <c r="O120" s="157"/>
      <c r="P120" s="157"/>
      <c r="Q120" s="157"/>
      <c r="R120" s="157"/>
      <c r="S120" s="157"/>
      <c r="T120" s="157"/>
      <c r="U120" s="157"/>
      <c r="V120" s="157"/>
      <c r="W120" s="157"/>
      <c r="X120" s="157"/>
    </row>
    <row r="121" ht="12.75" customHeight="1">
      <c r="A121" s="161"/>
      <c r="B121" s="165"/>
      <c r="C121" s="161"/>
      <c r="D121" s="161"/>
      <c r="E121" s="157"/>
      <c r="F121" s="157"/>
      <c r="G121" s="157"/>
      <c r="H121" s="157"/>
      <c r="I121" s="157"/>
      <c r="J121" s="157"/>
      <c r="K121" s="157"/>
      <c r="L121" s="157"/>
      <c r="M121" s="157"/>
      <c r="N121" s="157"/>
      <c r="O121" s="157"/>
      <c r="P121" s="157"/>
      <c r="Q121" s="157"/>
      <c r="R121" s="157"/>
      <c r="S121" s="157"/>
      <c r="T121" s="157"/>
      <c r="U121" s="157"/>
      <c r="V121" s="157"/>
      <c r="W121" s="157"/>
      <c r="X121" s="157"/>
    </row>
    <row r="122" ht="12.75" customHeight="1">
      <c r="A122" s="161"/>
      <c r="B122" s="165"/>
      <c r="C122" s="161"/>
      <c r="D122" s="161"/>
      <c r="E122" s="157"/>
      <c r="F122" s="157"/>
      <c r="G122" s="157"/>
      <c r="H122" s="157"/>
      <c r="I122" s="157"/>
      <c r="J122" s="157"/>
      <c r="K122" s="157"/>
      <c r="L122" s="157"/>
      <c r="M122" s="157"/>
      <c r="N122" s="157"/>
      <c r="O122" s="157"/>
      <c r="P122" s="157"/>
      <c r="Q122" s="157"/>
      <c r="R122" s="157"/>
      <c r="S122" s="157"/>
      <c r="T122" s="157"/>
      <c r="U122" s="157"/>
      <c r="V122" s="157"/>
      <c r="W122" s="157"/>
      <c r="X122" s="157"/>
    </row>
    <row r="123" ht="12.75" customHeight="1">
      <c r="A123" s="161"/>
      <c r="B123" s="165"/>
      <c r="C123" s="161"/>
      <c r="D123" s="161"/>
      <c r="E123" s="157"/>
      <c r="F123" s="157"/>
      <c r="G123" s="157"/>
      <c r="H123" s="157"/>
      <c r="I123" s="157"/>
      <c r="J123" s="157"/>
      <c r="K123" s="157"/>
      <c r="L123" s="157"/>
      <c r="M123" s="157"/>
      <c r="N123" s="157"/>
      <c r="O123" s="157"/>
      <c r="P123" s="157"/>
      <c r="Q123" s="157"/>
      <c r="R123" s="157"/>
      <c r="S123" s="157"/>
      <c r="T123" s="157"/>
      <c r="U123" s="157"/>
      <c r="V123" s="157"/>
      <c r="W123" s="157"/>
      <c r="X123" s="157"/>
    </row>
    <row r="124" ht="12.75" customHeight="1">
      <c r="A124" s="161"/>
      <c r="B124" s="165"/>
      <c r="C124" s="161"/>
      <c r="D124" s="161"/>
      <c r="E124" s="157"/>
      <c r="F124" s="157"/>
      <c r="G124" s="157"/>
      <c r="H124" s="157"/>
      <c r="I124" s="157"/>
      <c r="J124" s="157"/>
      <c r="K124" s="157"/>
      <c r="L124" s="157"/>
      <c r="M124" s="157"/>
      <c r="N124" s="157"/>
      <c r="O124" s="157"/>
      <c r="P124" s="157"/>
      <c r="Q124" s="157"/>
      <c r="R124" s="157"/>
      <c r="S124" s="157"/>
      <c r="T124" s="157"/>
      <c r="U124" s="157"/>
      <c r="V124" s="157"/>
      <c r="W124" s="157"/>
      <c r="X124" s="157"/>
    </row>
    <row r="125" ht="12.75" customHeight="1">
      <c r="A125" s="161"/>
      <c r="B125" s="165"/>
      <c r="C125" s="161"/>
      <c r="D125" s="161"/>
      <c r="E125" s="157"/>
      <c r="F125" s="157"/>
      <c r="G125" s="157"/>
      <c r="H125" s="157"/>
      <c r="I125" s="157"/>
      <c r="J125" s="157"/>
      <c r="K125" s="157"/>
      <c r="L125" s="157"/>
      <c r="M125" s="157"/>
      <c r="N125" s="157"/>
      <c r="O125" s="157"/>
      <c r="P125" s="157"/>
      <c r="Q125" s="157"/>
      <c r="R125" s="157"/>
      <c r="S125" s="157"/>
      <c r="T125" s="157"/>
      <c r="U125" s="157"/>
      <c r="V125" s="157"/>
      <c r="W125" s="157"/>
      <c r="X125" s="157"/>
    </row>
    <row r="126" ht="12.75" customHeight="1">
      <c r="A126" s="161"/>
      <c r="B126" s="165"/>
      <c r="C126" s="161"/>
      <c r="D126" s="161"/>
      <c r="E126" s="157"/>
      <c r="F126" s="157"/>
      <c r="G126" s="157"/>
      <c r="H126" s="157"/>
      <c r="I126" s="157"/>
      <c r="J126" s="157"/>
      <c r="K126" s="157"/>
      <c r="L126" s="157"/>
      <c r="M126" s="157"/>
      <c r="N126" s="157"/>
      <c r="O126" s="157"/>
      <c r="P126" s="157"/>
      <c r="Q126" s="157"/>
      <c r="R126" s="157"/>
      <c r="S126" s="157"/>
      <c r="T126" s="157"/>
      <c r="U126" s="157"/>
      <c r="V126" s="157"/>
      <c r="W126" s="157"/>
      <c r="X126" s="157"/>
    </row>
    <row r="127" ht="12.75" customHeight="1">
      <c r="A127" s="161"/>
      <c r="B127" s="165"/>
      <c r="C127" s="161"/>
      <c r="D127" s="161"/>
      <c r="E127" s="157"/>
      <c r="F127" s="157"/>
      <c r="G127" s="157"/>
      <c r="H127" s="157"/>
      <c r="I127" s="157"/>
      <c r="J127" s="157"/>
      <c r="K127" s="157"/>
      <c r="L127" s="157"/>
      <c r="M127" s="157"/>
      <c r="N127" s="157"/>
      <c r="O127" s="157"/>
      <c r="P127" s="157"/>
      <c r="Q127" s="157"/>
      <c r="R127" s="157"/>
      <c r="S127" s="157"/>
      <c r="T127" s="157"/>
      <c r="U127" s="157"/>
      <c r="V127" s="157"/>
      <c r="W127" s="157"/>
      <c r="X127" s="157"/>
    </row>
    <row r="128" ht="12.75" customHeight="1">
      <c r="A128" s="161"/>
      <c r="B128" s="165"/>
      <c r="C128" s="161"/>
      <c r="D128" s="161"/>
      <c r="E128" s="157"/>
      <c r="F128" s="157"/>
      <c r="G128" s="157"/>
      <c r="H128" s="157"/>
      <c r="I128" s="157"/>
      <c r="J128" s="157"/>
      <c r="K128" s="157"/>
      <c r="L128" s="157"/>
      <c r="M128" s="157"/>
      <c r="N128" s="157"/>
      <c r="O128" s="157"/>
      <c r="P128" s="157"/>
      <c r="Q128" s="157"/>
      <c r="R128" s="157"/>
      <c r="S128" s="157"/>
      <c r="T128" s="157"/>
      <c r="U128" s="157"/>
      <c r="V128" s="157"/>
      <c r="W128" s="157"/>
      <c r="X128" s="157"/>
    </row>
    <row r="129" ht="12.75" customHeight="1">
      <c r="A129" s="161"/>
      <c r="B129" s="165"/>
      <c r="C129" s="161"/>
      <c r="D129" s="161"/>
      <c r="E129" s="157"/>
      <c r="F129" s="157"/>
      <c r="G129" s="157"/>
      <c r="H129" s="157"/>
      <c r="I129" s="157"/>
      <c r="J129" s="157"/>
      <c r="K129" s="157"/>
      <c r="L129" s="157"/>
      <c r="M129" s="157"/>
      <c r="N129" s="157"/>
      <c r="O129" s="157"/>
      <c r="P129" s="157"/>
      <c r="Q129" s="157"/>
      <c r="R129" s="157"/>
      <c r="S129" s="157"/>
      <c r="T129" s="157"/>
      <c r="U129" s="157"/>
      <c r="V129" s="157"/>
      <c r="W129" s="157"/>
      <c r="X129" s="157"/>
    </row>
    <row r="130" ht="12.75" customHeight="1">
      <c r="A130" s="161"/>
      <c r="B130" s="165"/>
      <c r="C130" s="161"/>
      <c r="D130" s="161"/>
      <c r="E130" s="157"/>
      <c r="F130" s="157"/>
      <c r="G130" s="157"/>
      <c r="H130" s="157"/>
      <c r="I130" s="157"/>
      <c r="J130" s="157"/>
      <c r="K130" s="157"/>
      <c r="L130" s="157"/>
      <c r="M130" s="157"/>
      <c r="N130" s="157"/>
      <c r="O130" s="157"/>
      <c r="P130" s="157"/>
      <c r="Q130" s="157"/>
      <c r="R130" s="157"/>
      <c r="S130" s="157"/>
      <c r="T130" s="157"/>
      <c r="U130" s="157"/>
      <c r="V130" s="157"/>
      <c r="W130" s="157"/>
      <c r="X130" s="157"/>
    </row>
    <row r="131" ht="12.75" customHeight="1">
      <c r="A131" s="161"/>
      <c r="B131" s="165"/>
      <c r="C131" s="161"/>
      <c r="D131" s="161"/>
      <c r="E131" s="157"/>
      <c r="F131" s="157"/>
      <c r="G131" s="157"/>
      <c r="H131" s="157"/>
      <c r="I131" s="157"/>
      <c r="J131" s="157"/>
      <c r="K131" s="157"/>
      <c r="L131" s="157"/>
      <c r="M131" s="157"/>
      <c r="N131" s="157"/>
      <c r="O131" s="157"/>
      <c r="P131" s="157"/>
      <c r="Q131" s="157"/>
      <c r="R131" s="157"/>
      <c r="S131" s="157"/>
      <c r="T131" s="157"/>
      <c r="U131" s="157"/>
      <c r="V131" s="157"/>
      <c r="W131" s="157"/>
      <c r="X131" s="157"/>
    </row>
    <row r="132" ht="12.75" customHeight="1">
      <c r="A132" s="161"/>
      <c r="B132" s="165"/>
      <c r="C132" s="161"/>
      <c r="D132" s="161"/>
      <c r="E132" s="157"/>
      <c r="F132" s="157"/>
      <c r="G132" s="157"/>
      <c r="H132" s="157"/>
      <c r="I132" s="157"/>
      <c r="J132" s="157"/>
      <c r="K132" s="157"/>
      <c r="L132" s="157"/>
      <c r="M132" s="157"/>
      <c r="N132" s="157"/>
      <c r="O132" s="157"/>
      <c r="P132" s="157"/>
      <c r="Q132" s="157"/>
      <c r="R132" s="157"/>
      <c r="S132" s="157"/>
      <c r="T132" s="157"/>
      <c r="U132" s="157"/>
      <c r="V132" s="157"/>
      <c r="W132" s="157"/>
      <c r="X132" s="157"/>
    </row>
    <row r="133" ht="12.75" customHeight="1">
      <c r="A133" s="161"/>
      <c r="B133" s="165"/>
      <c r="C133" s="161"/>
      <c r="D133" s="161"/>
      <c r="E133" s="157"/>
      <c r="F133" s="157"/>
      <c r="G133" s="157"/>
      <c r="H133" s="157"/>
      <c r="I133" s="157"/>
      <c r="J133" s="157"/>
      <c r="K133" s="157"/>
      <c r="L133" s="157"/>
      <c r="M133" s="157"/>
      <c r="N133" s="157"/>
      <c r="O133" s="157"/>
      <c r="P133" s="157"/>
      <c r="Q133" s="157"/>
      <c r="R133" s="157"/>
      <c r="S133" s="157"/>
      <c r="T133" s="157"/>
      <c r="U133" s="157"/>
      <c r="V133" s="157"/>
      <c r="W133" s="157"/>
      <c r="X133" s="157"/>
    </row>
    <row r="134" ht="12.75" customHeight="1">
      <c r="A134" s="161"/>
      <c r="B134" s="165"/>
      <c r="C134" s="161"/>
      <c r="D134" s="161"/>
      <c r="E134" s="157"/>
      <c r="F134" s="157"/>
      <c r="G134" s="157"/>
      <c r="H134" s="157"/>
      <c r="I134" s="157"/>
      <c r="J134" s="157"/>
      <c r="K134" s="157"/>
      <c r="L134" s="157"/>
      <c r="M134" s="157"/>
      <c r="N134" s="157"/>
      <c r="O134" s="157"/>
      <c r="P134" s="157"/>
      <c r="Q134" s="157"/>
      <c r="R134" s="157"/>
      <c r="S134" s="157"/>
      <c r="T134" s="157"/>
      <c r="U134" s="157"/>
      <c r="V134" s="157"/>
      <c r="W134" s="157"/>
      <c r="X134" s="157"/>
    </row>
    <row r="135" ht="12.75" customHeight="1">
      <c r="A135" s="161"/>
      <c r="B135" s="165"/>
      <c r="C135" s="161"/>
      <c r="D135" s="161"/>
      <c r="E135" s="157"/>
      <c r="F135" s="157"/>
      <c r="G135" s="157"/>
      <c r="H135" s="157"/>
      <c r="I135" s="157"/>
      <c r="J135" s="157"/>
      <c r="K135" s="157"/>
      <c r="L135" s="157"/>
      <c r="M135" s="157"/>
      <c r="N135" s="157"/>
      <c r="O135" s="157"/>
      <c r="P135" s="157"/>
      <c r="Q135" s="157"/>
      <c r="R135" s="157"/>
      <c r="S135" s="157"/>
      <c r="T135" s="157"/>
      <c r="U135" s="157"/>
      <c r="V135" s="157"/>
      <c r="W135" s="157"/>
      <c r="X135" s="157"/>
    </row>
    <row r="136" ht="12.75" customHeight="1">
      <c r="A136" s="161"/>
      <c r="B136" s="165"/>
      <c r="C136" s="161"/>
      <c r="D136" s="161"/>
      <c r="E136" s="157"/>
      <c r="F136" s="157"/>
      <c r="G136" s="157"/>
      <c r="H136" s="157"/>
      <c r="I136" s="157"/>
      <c r="J136" s="157"/>
      <c r="K136" s="157"/>
      <c r="L136" s="157"/>
      <c r="M136" s="157"/>
      <c r="N136" s="157"/>
      <c r="O136" s="157"/>
      <c r="P136" s="157"/>
      <c r="Q136" s="157"/>
      <c r="R136" s="157"/>
      <c r="S136" s="157"/>
      <c r="T136" s="157"/>
      <c r="U136" s="157"/>
      <c r="V136" s="157"/>
      <c r="W136" s="157"/>
      <c r="X136" s="157"/>
    </row>
    <row r="137" ht="12.75" customHeight="1">
      <c r="A137" s="161"/>
      <c r="B137" s="165"/>
      <c r="C137" s="161"/>
      <c r="D137" s="161"/>
      <c r="E137" s="157"/>
      <c r="F137" s="157"/>
      <c r="G137" s="157"/>
      <c r="H137" s="157"/>
      <c r="I137" s="157"/>
      <c r="J137" s="157"/>
      <c r="K137" s="157"/>
      <c r="L137" s="157"/>
      <c r="M137" s="157"/>
      <c r="N137" s="157"/>
      <c r="O137" s="157"/>
      <c r="P137" s="157"/>
      <c r="Q137" s="157"/>
      <c r="R137" s="157"/>
      <c r="S137" s="157"/>
      <c r="T137" s="157"/>
      <c r="U137" s="157"/>
      <c r="V137" s="157"/>
      <c r="W137" s="157"/>
      <c r="X137" s="157"/>
    </row>
    <row r="138" ht="12.75" customHeight="1">
      <c r="A138" s="161"/>
      <c r="B138" s="165"/>
      <c r="C138" s="161"/>
      <c r="D138" s="161"/>
      <c r="E138" s="157"/>
      <c r="F138" s="157"/>
      <c r="G138" s="157"/>
      <c r="H138" s="157"/>
      <c r="I138" s="157"/>
      <c r="J138" s="157"/>
      <c r="K138" s="157"/>
      <c r="L138" s="157"/>
      <c r="M138" s="157"/>
      <c r="N138" s="157"/>
      <c r="O138" s="157"/>
      <c r="P138" s="157"/>
      <c r="Q138" s="157"/>
      <c r="R138" s="157"/>
      <c r="S138" s="157"/>
      <c r="T138" s="157"/>
      <c r="U138" s="157"/>
      <c r="V138" s="157"/>
      <c r="W138" s="157"/>
      <c r="X138" s="157"/>
    </row>
    <row r="139" ht="12.75" customHeight="1">
      <c r="A139" s="161"/>
      <c r="B139" s="165"/>
      <c r="C139" s="161"/>
      <c r="D139" s="161"/>
      <c r="E139" s="157"/>
      <c r="F139" s="157"/>
      <c r="G139" s="157"/>
      <c r="H139" s="157"/>
      <c r="I139" s="157"/>
      <c r="J139" s="157"/>
      <c r="K139" s="157"/>
      <c r="L139" s="157"/>
      <c r="M139" s="157"/>
      <c r="N139" s="157"/>
      <c r="O139" s="157"/>
      <c r="P139" s="157"/>
      <c r="Q139" s="157"/>
      <c r="R139" s="157"/>
      <c r="S139" s="157"/>
      <c r="T139" s="157"/>
      <c r="U139" s="157"/>
      <c r="V139" s="157"/>
      <c r="W139" s="157"/>
      <c r="X139" s="157"/>
    </row>
    <row r="140" ht="12.75" customHeight="1">
      <c r="A140" s="161"/>
      <c r="B140" s="165"/>
      <c r="C140" s="161"/>
      <c r="D140" s="161"/>
      <c r="E140" s="157"/>
      <c r="F140" s="157"/>
      <c r="G140" s="157"/>
      <c r="H140" s="157"/>
      <c r="I140" s="157"/>
      <c r="J140" s="157"/>
      <c r="K140" s="157"/>
      <c r="L140" s="157"/>
      <c r="M140" s="157"/>
      <c r="N140" s="157"/>
      <c r="O140" s="157"/>
      <c r="P140" s="157"/>
      <c r="Q140" s="157"/>
      <c r="R140" s="157"/>
      <c r="S140" s="157"/>
      <c r="T140" s="157"/>
      <c r="U140" s="157"/>
      <c r="V140" s="157"/>
      <c r="W140" s="157"/>
      <c r="X140" s="157"/>
    </row>
    <row r="141" ht="12.75" customHeight="1">
      <c r="A141" s="161"/>
      <c r="B141" s="165"/>
      <c r="C141" s="161"/>
      <c r="D141" s="161"/>
      <c r="E141" s="157"/>
      <c r="F141" s="157"/>
      <c r="G141" s="157"/>
      <c r="H141" s="157"/>
      <c r="I141" s="157"/>
      <c r="J141" s="157"/>
      <c r="K141" s="157"/>
      <c r="L141" s="157"/>
      <c r="M141" s="157"/>
      <c r="N141" s="157"/>
      <c r="O141" s="157"/>
      <c r="P141" s="157"/>
      <c r="Q141" s="157"/>
      <c r="R141" s="157"/>
      <c r="S141" s="157"/>
      <c r="T141" s="157"/>
      <c r="U141" s="157"/>
      <c r="V141" s="157"/>
      <c r="W141" s="157"/>
      <c r="X141" s="157"/>
    </row>
    <row r="142" ht="12.75" customHeight="1">
      <c r="A142" s="161"/>
      <c r="B142" s="165"/>
      <c r="C142" s="161"/>
      <c r="D142" s="161"/>
      <c r="E142" s="157"/>
      <c r="F142" s="157"/>
      <c r="G142" s="157"/>
      <c r="H142" s="157"/>
      <c r="I142" s="157"/>
      <c r="J142" s="157"/>
      <c r="K142" s="157"/>
      <c r="L142" s="157"/>
      <c r="M142" s="157"/>
      <c r="N142" s="157"/>
      <c r="O142" s="157"/>
      <c r="P142" s="157"/>
      <c r="Q142" s="157"/>
      <c r="R142" s="157"/>
      <c r="S142" s="157"/>
      <c r="T142" s="157"/>
      <c r="U142" s="157"/>
      <c r="V142" s="157"/>
      <c r="W142" s="157"/>
      <c r="X142" s="157"/>
    </row>
    <row r="143" ht="12.75" customHeight="1">
      <c r="A143" s="161"/>
      <c r="B143" s="165"/>
      <c r="C143" s="161"/>
      <c r="D143" s="161"/>
      <c r="E143" s="157"/>
      <c r="F143" s="157"/>
      <c r="G143" s="157"/>
      <c r="H143" s="157"/>
      <c r="I143" s="157"/>
      <c r="J143" s="157"/>
      <c r="K143" s="157"/>
      <c r="L143" s="157"/>
      <c r="M143" s="157"/>
      <c r="N143" s="157"/>
      <c r="O143" s="157"/>
      <c r="P143" s="157"/>
      <c r="Q143" s="157"/>
      <c r="R143" s="157"/>
      <c r="S143" s="157"/>
      <c r="T143" s="157"/>
      <c r="U143" s="157"/>
      <c r="V143" s="157"/>
      <c r="W143" s="157"/>
      <c r="X143" s="157"/>
    </row>
    <row r="144" ht="12.75" customHeight="1">
      <c r="A144" s="161"/>
      <c r="B144" s="165"/>
      <c r="C144" s="161"/>
      <c r="D144" s="161"/>
      <c r="E144" s="157"/>
      <c r="F144" s="157"/>
      <c r="G144" s="157"/>
      <c r="H144" s="157"/>
      <c r="I144" s="157"/>
      <c r="J144" s="157"/>
      <c r="K144" s="157"/>
      <c r="L144" s="157"/>
      <c r="M144" s="157"/>
      <c r="N144" s="157"/>
      <c r="O144" s="157"/>
      <c r="P144" s="157"/>
      <c r="Q144" s="157"/>
      <c r="R144" s="157"/>
      <c r="S144" s="157"/>
      <c r="T144" s="157"/>
      <c r="U144" s="157"/>
      <c r="V144" s="157"/>
      <c r="W144" s="157"/>
      <c r="X144" s="157"/>
    </row>
    <row r="145" ht="12.75" customHeight="1">
      <c r="A145" s="161"/>
      <c r="B145" s="165"/>
      <c r="C145" s="161"/>
      <c r="D145" s="161"/>
      <c r="E145" s="157"/>
      <c r="F145" s="157"/>
      <c r="G145" s="157"/>
      <c r="H145" s="157"/>
      <c r="I145" s="157"/>
      <c r="J145" s="157"/>
      <c r="K145" s="157"/>
      <c r="L145" s="157"/>
      <c r="M145" s="157"/>
      <c r="N145" s="157"/>
      <c r="O145" s="157"/>
      <c r="P145" s="157"/>
      <c r="Q145" s="157"/>
      <c r="R145" s="157"/>
      <c r="S145" s="157"/>
      <c r="T145" s="157"/>
      <c r="U145" s="157"/>
      <c r="V145" s="157"/>
      <c r="W145" s="157"/>
      <c r="X145" s="157"/>
    </row>
    <row r="146" ht="12.75" customHeight="1">
      <c r="A146" s="161"/>
      <c r="B146" s="165"/>
      <c r="C146" s="161"/>
      <c r="D146" s="161"/>
      <c r="E146" s="157"/>
      <c r="F146" s="157"/>
      <c r="G146" s="157"/>
      <c r="H146" s="157"/>
      <c r="I146" s="157"/>
      <c r="J146" s="157"/>
      <c r="K146" s="157"/>
      <c r="L146" s="157"/>
      <c r="M146" s="157"/>
      <c r="N146" s="157"/>
      <c r="O146" s="157"/>
      <c r="P146" s="157"/>
      <c r="Q146" s="157"/>
      <c r="R146" s="157"/>
      <c r="S146" s="157"/>
      <c r="T146" s="157"/>
      <c r="U146" s="157"/>
      <c r="V146" s="157"/>
      <c r="W146" s="157"/>
      <c r="X146" s="157"/>
    </row>
    <row r="147" ht="12.75" customHeight="1">
      <c r="A147" s="161"/>
      <c r="B147" s="165"/>
      <c r="C147" s="161"/>
      <c r="D147" s="161"/>
      <c r="E147" s="157"/>
      <c r="F147" s="157"/>
      <c r="G147" s="157"/>
      <c r="H147" s="157"/>
      <c r="I147" s="157"/>
      <c r="J147" s="157"/>
      <c r="K147" s="157"/>
      <c r="L147" s="157"/>
      <c r="M147" s="157"/>
      <c r="N147" s="157"/>
      <c r="O147" s="157"/>
      <c r="P147" s="157"/>
      <c r="Q147" s="157"/>
      <c r="R147" s="157"/>
      <c r="S147" s="157"/>
      <c r="T147" s="157"/>
      <c r="U147" s="157"/>
      <c r="V147" s="157"/>
      <c r="W147" s="157"/>
      <c r="X147" s="157"/>
    </row>
    <row r="148" ht="12.75" customHeight="1">
      <c r="A148" s="161"/>
      <c r="B148" s="165"/>
      <c r="C148" s="161"/>
      <c r="D148" s="161"/>
      <c r="E148" s="157"/>
      <c r="F148" s="157"/>
      <c r="G148" s="157"/>
      <c r="H148" s="157"/>
      <c r="I148" s="157"/>
      <c r="J148" s="157"/>
      <c r="K148" s="157"/>
      <c r="L148" s="157"/>
      <c r="M148" s="157"/>
      <c r="N148" s="157"/>
      <c r="O148" s="157"/>
      <c r="P148" s="157"/>
      <c r="Q148" s="157"/>
      <c r="R148" s="157"/>
      <c r="S148" s="157"/>
      <c r="T148" s="157"/>
      <c r="U148" s="157"/>
      <c r="V148" s="157"/>
      <c r="W148" s="157"/>
      <c r="X148" s="157"/>
    </row>
    <row r="149" ht="12.75" customHeight="1">
      <c r="A149" s="161"/>
      <c r="B149" s="165"/>
      <c r="C149" s="161"/>
      <c r="D149" s="161"/>
      <c r="E149" s="157"/>
      <c r="F149" s="157"/>
      <c r="G149" s="157"/>
      <c r="H149" s="157"/>
      <c r="I149" s="157"/>
      <c r="J149" s="157"/>
      <c r="K149" s="157"/>
      <c r="L149" s="157"/>
      <c r="M149" s="157"/>
      <c r="N149" s="157"/>
      <c r="O149" s="157"/>
      <c r="P149" s="157"/>
      <c r="Q149" s="157"/>
      <c r="R149" s="157"/>
      <c r="S149" s="157"/>
      <c r="T149" s="157"/>
      <c r="U149" s="157"/>
      <c r="V149" s="157"/>
      <c r="W149" s="157"/>
      <c r="X149" s="157"/>
    </row>
    <row r="150" ht="12.75" customHeight="1">
      <c r="A150" s="161"/>
      <c r="B150" s="165"/>
      <c r="C150" s="161"/>
      <c r="D150" s="161"/>
      <c r="E150" s="157"/>
      <c r="F150" s="157"/>
      <c r="G150" s="157"/>
      <c r="H150" s="157"/>
      <c r="I150" s="157"/>
      <c r="J150" s="157"/>
      <c r="K150" s="157"/>
      <c r="L150" s="157"/>
      <c r="M150" s="157"/>
      <c r="N150" s="157"/>
      <c r="O150" s="157"/>
      <c r="P150" s="157"/>
      <c r="Q150" s="157"/>
      <c r="R150" s="157"/>
      <c r="S150" s="157"/>
      <c r="T150" s="157"/>
      <c r="U150" s="157"/>
      <c r="V150" s="157"/>
      <c r="W150" s="157"/>
      <c r="X150" s="157"/>
    </row>
    <row r="151" ht="12.75" customHeight="1">
      <c r="A151" s="161"/>
      <c r="B151" s="165"/>
      <c r="C151" s="161"/>
      <c r="D151" s="161"/>
      <c r="E151" s="157"/>
      <c r="F151" s="157"/>
      <c r="G151" s="157"/>
      <c r="H151" s="157"/>
      <c r="I151" s="157"/>
      <c r="J151" s="157"/>
      <c r="K151" s="157"/>
      <c r="L151" s="157"/>
      <c r="M151" s="157"/>
      <c r="N151" s="157"/>
      <c r="O151" s="157"/>
      <c r="P151" s="157"/>
      <c r="Q151" s="157"/>
      <c r="R151" s="157"/>
      <c r="S151" s="157"/>
      <c r="T151" s="157"/>
      <c r="U151" s="157"/>
      <c r="V151" s="157"/>
      <c r="W151" s="157"/>
      <c r="X151" s="157"/>
    </row>
    <row r="152" ht="12.75" customHeight="1">
      <c r="A152" s="161"/>
      <c r="B152" s="165"/>
      <c r="C152" s="161"/>
      <c r="D152" s="161"/>
      <c r="E152" s="157"/>
      <c r="F152" s="157"/>
      <c r="G152" s="157"/>
      <c r="H152" s="157"/>
      <c r="I152" s="157"/>
      <c r="J152" s="157"/>
      <c r="K152" s="157"/>
      <c r="L152" s="157"/>
      <c r="M152" s="157"/>
      <c r="N152" s="157"/>
      <c r="O152" s="157"/>
      <c r="P152" s="157"/>
      <c r="Q152" s="157"/>
      <c r="R152" s="157"/>
      <c r="S152" s="157"/>
      <c r="T152" s="157"/>
      <c r="U152" s="157"/>
      <c r="V152" s="157"/>
      <c r="W152" s="157"/>
      <c r="X152" s="157"/>
    </row>
    <row r="153" ht="12.75" customHeight="1">
      <c r="A153" s="161"/>
      <c r="B153" s="165"/>
      <c r="C153" s="161"/>
      <c r="D153" s="161"/>
      <c r="E153" s="157"/>
      <c r="F153" s="157"/>
      <c r="G153" s="157"/>
      <c r="H153" s="157"/>
      <c r="I153" s="157"/>
      <c r="J153" s="157"/>
      <c r="K153" s="157"/>
      <c r="L153" s="157"/>
      <c r="M153" s="157"/>
      <c r="N153" s="157"/>
      <c r="O153" s="157"/>
      <c r="P153" s="157"/>
      <c r="Q153" s="157"/>
      <c r="R153" s="157"/>
      <c r="S153" s="157"/>
      <c r="T153" s="157"/>
      <c r="U153" s="157"/>
      <c r="V153" s="157"/>
      <c r="W153" s="157"/>
      <c r="X153" s="157"/>
    </row>
    <row r="154" ht="12.75" customHeight="1">
      <c r="A154" s="161"/>
      <c r="B154" s="165"/>
      <c r="C154" s="161"/>
      <c r="D154" s="161"/>
      <c r="E154" s="157"/>
      <c r="F154" s="157"/>
      <c r="G154" s="157"/>
      <c r="H154" s="157"/>
      <c r="I154" s="157"/>
      <c r="J154" s="157"/>
      <c r="K154" s="157"/>
      <c r="L154" s="157"/>
      <c r="M154" s="157"/>
      <c r="N154" s="157"/>
      <c r="O154" s="157"/>
      <c r="P154" s="157"/>
      <c r="Q154" s="157"/>
      <c r="R154" s="157"/>
      <c r="S154" s="157"/>
      <c r="T154" s="157"/>
      <c r="U154" s="157"/>
      <c r="V154" s="157"/>
      <c r="W154" s="157"/>
      <c r="X154" s="157"/>
    </row>
    <row r="155" ht="12.75" customHeight="1">
      <c r="A155" s="161"/>
      <c r="B155" s="165"/>
      <c r="C155" s="161"/>
      <c r="D155" s="161"/>
      <c r="E155" s="157"/>
      <c r="F155" s="157"/>
      <c r="G155" s="157"/>
      <c r="H155" s="157"/>
      <c r="I155" s="157"/>
      <c r="J155" s="157"/>
      <c r="K155" s="157"/>
      <c r="L155" s="157"/>
      <c r="M155" s="157"/>
      <c r="N155" s="157"/>
      <c r="O155" s="157"/>
      <c r="P155" s="157"/>
      <c r="Q155" s="157"/>
      <c r="R155" s="157"/>
      <c r="S155" s="157"/>
      <c r="T155" s="157"/>
      <c r="U155" s="157"/>
      <c r="V155" s="157"/>
      <c r="W155" s="157"/>
      <c r="X155" s="157"/>
    </row>
    <row r="156" ht="12.75" customHeight="1">
      <c r="A156" s="161"/>
      <c r="B156" s="165"/>
      <c r="C156" s="161"/>
      <c r="D156" s="161"/>
      <c r="E156" s="157"/>
      <c r="F156" s="157"/>
      <c r="G156" s="157"/>
      <c r="H156" s="157"/>
      <c r="I156" s="157"/>
      <c r="J156" s="157"/>
      <c r="K156" s="157"/>
      <c r="L156" s="157"/>
      <c r="M156" s="157"/>
      <c r="N156" s="157"/>
      <c r="O156" s="157"/>
      <c r="P156" s="157"/>
      <c r="Q156" s="157"/>
      <c r="R156" s="157"/>
      <c r="S156" s="157"/>
      <c r="T156" s="157"/>
      <c r="U156" s="157"/>
      <c r="V156" s="157"/>
      <c r="W156" s="157"/>
      <c r="X156" s="157"/>
    </row>
    <row r="157" ht="12.75" customHeight="1">
      <c r="A157" s="161"/>
      <c r="B157" s="165"/>
      <c r="C157" s="161"/>
      <c r="D157" s="161"/>
      <c r="E157" s="157"/>
      <c r="F157" s="157"/>
      <c r="G157" s="157"/>
      <c r="H157" s="157"/>
      <c r="I157" s="157"/>
      <c r="J157" s="157"/>
      <c r="K157" s="157"/>
      <c r="L157" s="157"/>
      <c r="M157" s="157"/>
      <c r="N157" s="157"/>
      <c r="O157" s="157"/>
      <c r="P157" s="157"/>
      <c r="Q157" s="157"/>
      <c r="R157" s="157"/>
      <c r="S157" s="157"/>
      <c r="T157" s="157"/>
      <c r="U157" s="157"/>
      <c r="V157" s="157"/>
      <c r="W157" s="157"/>
      <c r="X157" s="157"/>
    </row>
    <row r="158" ht="12.75" customHeight="1">
      <c r="A158" s="161"/>
      <c r="B158" s="165"/>
      <c r="C158" s="161"/>
      <c r="D158" s="161"/>
      <c r="E158" s="157"/>
      <c r="F158" s="157"/>
      <c r="G158" s="157"/>
      <c r="H158" s="157"/>
      <c r="I158" s="157"/>
      <c r="J158" s="157"/>
      <c r="K158" s="157"/>
      <c r="L158" s="157"/>
      <c r="M158" s="157"/>
      <c r="N158" s="157"/>
      <c r="O158" s="157"/>
      <c r="P158" s="157"/>
      <c r="Q158" s="157"/>
      <c r="R158" s="157"/>
      <c r="S158" s="157"/>
      <c r="T158" s="157"/>
      <c r="U158" s="157"/>
      <c r="V158" s="157"/>
      <c r="W158" s="157"/>
      <c r="X158" s="157"/>
    </row>
    <row r="159" ht="12.75" customHeight="1">
      <c r="A159" s="161"/>
      <c r="B159" s="165"/>
      <c r="C159" s="161"/>
      <c r="D159" s="161"/>
      <c r="E159" s="157"/>
      <c r="F159" s="157"/>
      <c r="G159" s="157"/>
      <c r="H159" s="157"/>
      <c r="I159" s="157"/>
      <c r="J159" s="157"/>
      <c r="K159" s="157"/>
      <c r="L159" s="157"/>
      <c r="M159" s="157"/>
      <c r="N159" s="157"/>
      <c r="O159" s="157"/>
      <c r="P159" s="157"/>
      <c r="Q159" s="157"/>
      <c r="R159" s="157"/>
      <c r="S159" s="157"/>
      <c r="T159" s="157"/>
      <c r="U159" s="157"/>
      <c r="V159" s="157"/>
      <c r="W159" s="157"/>
      <c r="X159" s="157"/>
    </row>
    <row r="160" ht="12.75" customHeight="1">
      <c r="A160" s="161"/>
      <c r="B160" s="165"/>
      <c r="C160" s="161"/>
      <c r="D160" s="161"/>
      <c r="E160" s="157"/>
      <c r="F160" s="157"/>
      <c r="G160" s="157"/>
      <c r="H160" s="157"/>
      <c r="I160" s="157"/>
      <c r="J160" s="157"/>
      <c r="K160" s="157"/>
      <c r="L160" s="157"/>
      <c r="M160" s="157"/>
      <c r="N160" s="157"/>
      <c r="O160" s="157"/>
      <c r="P160" s="157"/>
      <c r="Q160" s="157"/>
      <c r="R160" s="157"/>
      <c r="S160" s="157"/>
      <c r="T160" s="157"/>
      <c r="U160" s="157"/>
      <c r="V160" s="157"/>
      <c r="W160" s="157"/>
      <c r="X160" s="157"/>
    </row>
    <row r="161" ht="12.75" customHeight="1">
      <c r="A161" s="161"/>
      <c r="B161" s="165"/>
      <c r="C161" s="161"/>
      <c r="D161" s="161"/>
      <c r="E161" s="157"/>
      <c r="F161" s="157"/>
      <c r="G161" s="157"/>
      <c r="H161" s="157"/>
      <c r="I161" s="157"/>
      <c r="J161" s="157"/>
      <c r="K161" s="157"/>
      <c r="L161" s="157"/>
      <c r="M161" s="157"/>
      <c r="N161" s="157"/>
      <c r="O161" s="157"/>
      <c r="P161" s="157"/>
      <c r="Q161" s="157"/>
      <c r="R161" s="157"/>
      <c r="S161" s="157"/>
      <c r="T161" s="157"/>
      <c r="U161" s="157"/>
      <c r="V161" s="157"/>
      <c r="W161" s="157"/>
      <c r="X161" s="157"/>
    </row>
    <row r="162" ht="12.75" customHeight="1">
      <c r="A162" s="161"/>
      <c r="B162" s="165"/>
      <c r="C162" s="161"/>
      <c r="D162" s="161"/>
      <c r="E162" s="157"/>
      <c r="F162" s="157"/>
      <c r="G162" s="157"/>
      <c r="H162" s="157"/>
      <c r="I162" s="157"/>
      <c r="J162" s="157"/>
      <c r="K162" s="157"/>
      <c r="L162" s="157"/>
      <c r="M162" s="157"/>
      <c r="N162" s="157"/>
      <c r="O162" s="157"/>
      <c r="P162" s="157"/>
      <c r="Q162" s="157"/>
      <c r="R162" s="157"/>
      <c r="S162" s="157"/>
      <c r="T162" s="157"/>
      <c r="U162" s="157"/>
      <c r="V162" s="157"/>
      <c r="W162" s="157"/>
      <c r="X162" s="157"/>
    </row>
    <row r="163" ht="12.75" customHeight="1">
      <c r="A163" s="161"/>
      <c r="B163" s="165"/>
      <c r="C163" s="161"/>
      <c r="D163" s="161"/>
      <c r="E163" s="157"/>
      <c r="F163" s="157"/>
      <c r="G163" s="157"/>
      <c r="H163" s="157"/>
      <c r="I163" s="157"/>
      <c r="J163" s="157"/>
      <c r="K163" s="157"/>
      <c r="L163" s="157"/>
      <c r="M163" s="157"/>
      <c r="N163" s="157"/>
      <c r="O163" s="157"/>
      <c r="P163" s="157"/>
      <c r="Q163" s="157"/>
      <c r="R163" s="157"/>
      <c r="S163" s="157"/>
      <c r="T163" s="157"/>
      <c r="U163" s="157"/>
      <c r="V163" s="157"/>
      <c r="W163" s="157"/>
      <c r="X163" s="157"/>
    </row>
    <row r="164" ht="12.75" customHeight="1">
      <c r="A164" s="161"/>
      <c r="B164" s="165"/>
      <c r="C164" s="161"/>
      <c r="D164" s="161"/>
      <c r="E164" s="157"/>
      <c r="F164" s="157"/>
      <c r="G164" s="157"/>
      <c r="H164" s="157"/>
      <c r="I164" s="157"/>
      <c r="J164" s="157"/>
      <c r="K164" s="157"/>
      <c r="L164" s="157"/>
      <c r="M164" s="157"/>
      <c r="N164" s="157"/>
      <c r="O164" s="157"/>
      <c r="P164" s="157"/>
      <c r="Q164" s="157"/>
      <c r="R164" s="157"/>
      <c r="S164" s="157"/>
      <c r="T164" s="157"/>
      <c r="U164" s="157"/>
      <c r="V164" s="157"/>
      <c r="W164" s="157"/>
      <c r="X164" s="157"/>
    </row>
    <row r="165" ht="12.75" customHeight="1">
      <c r="A165" s="161"/>
      <c r="B165" s="165"/>
      <c r="C165" s="161"/>
      <c r="D165" s="161"/>
      <c r="E165" s="157"/>
      <c r="F165" s="157"/>
      <c r="G165" s="157"/>
      <c r="H165" s="157"/>
      <c r="I165" s="157"/>
      <c r="J165" s="157"/>
      <c r="K165" s="157"/>
      <c r="L165" s="157"/>
      <c r="M165" s="157"/>
      <c r="N165" s="157"/>
      <c r="O165" s="157"/>
      <c r="P165" s="157"/>
      <c r="Q165" s="157"/>
      <c r="R165" s="157"/>
      <c r="S165" s="157"/>
      <c r="T165" s="157"/>
      <c r="U165" s="157"/>
      <c r="V165" s="157"/>
      <c r="W165" s="157"/>
      <c r="X165" s="157"/>
    </row>
    <row r="166" ht="12.75" customHeight="1">
      <c r="A166" s="161"/>
      <c r="B166" s="165"/>
      <c r="C166" s="161"/>
      <c r="D166" s="161"/>
      <c r="E166" s="157"/>
      <c r="F166" s="157"/>
      <c r="G166" s="157"/>
      <c r="H166" s="157"/>
      <c r="I166" s="157"/>
      <c r="J166" s="157"/>
      <c r="K166" s="157"/>
      <c r="L166" s="157"/>
      <c r="M166" s="157"/>
      <c r="N166" s="157"/>
      <c r="O166" s="157"/>
      <c r="P166" s="157"/>
      <c r="Q166" s="157"/>
      <c r="R166" s="157"/>
      <c r="S166" s="157"/>
      <c r="T166" s="157"/>
      <c r="U166" s="157"/>
      <c r="V166" s="157"/>
      <c r="W166" s="157"/>
      <c r="X166" s="157"/>
    </row>
    <row r="167" ht="12.75" customHeight="1">
      <c r="A167" s="161"/>
      <c r="B167" s="165"/>
      <c r="C167" s="161"/>
      <c r="D167" s="161"/>
      <c r="E167" s="157"/>
      <c r="F167" s="157"/>
      <c r="G167" s="157"/>
      <c r="H167" s="157"/>
      <c r="I167" s="157"/>
      <c r="J167" s="157"/>
      <c r="K167" s="157"/>
      <c r="L167" s="157"/>
      <c r="M167" s="157"/>
      <c r="N167" s="157"/>
      <c r="O167" s="157"/>
      <c r="P167" s="157"/>
      <c r="Q167" s="157"/>
      <c r="R167" s="157"/>
      <c r="S167" s="157"/>
      <c r="T167" s="157"/>
      <c r="U167" s="157"/>
      <c r="V167" s="157"/>
      <c r="W167" s="157"/>
      <c r="X167" s="157"/>
    </row>
    <row r="168" ht="12.75" customHeight="1">
      <c r="A168" s="161"/>
      <c r="B168" s="165"/>
      <c r="C168" s="161"/>
      <c r="D168" s="161"/>
      <c r="E168" s="157"/>
      <c r="F168" s="157"/>
      <c r="G168" s="157"/>
      <c r="H168" s="157"/>
      <c r="I168" s="157"/>
      <c r="J168" s="157"/>
      <c r="K168" s="157"/>
      <c r="L168" s="157"/>
      <c r="M168" s="157"/>
      <c r="N168" s="157"/>
      <c r="O168" s="157"/>
      <c r="P168" s="157"/>
      <c r="Q168" s="157"/>
      <c r="R168" s="157"/>
      <c r="S168" s="157"/>
      <c r="T168" s="157"/>
      <c r="U168" s="157"/>
      <c r="V168" s="157"/>
      <c r="W168" s="157"/>
      <c r="X168" s="157"/>
    </row>
    <row r="169" ht="12.75" customHeight="1">
      <c r="A169" s="161"/>
      <c r="B169" s="165"/>
      <c r="C169" s="161"/>
      <c r="D169" s="161"/>
      <c r="E169" s="157"/>
      <c r="F169" s="157"/>
      <c r="G169" s="157"/>
      <c r="H169" s="157"/>
      <c r="I169" s="157"/>
      <c r="J169" s="157"/>
      <c r="K169" s="157"/>
      <c r="L169" s="157"/>
      <c r="M169" s="157"/>
      <c r="N169" s="157"/>
      <c r="O169" s="157"/>
      <c r="P169" s="157"/>
      <c r="Q169" s="157"/>
      <c r="R169" s="157"/>
      <c r="S169" s="157"/>
      <c r="T169" s="157"/>
      <c r="U169" s="157"/>
      <c r="V169" s="157"/>
      <c r="W169" s="157"/>
      <c r="X169" s="157"/>
    </row>
    <row r="170" ht="12.75" customHeight="1">
      <c r="A170" s="161"/>
      <c r="B170" s="165"/>
      <c r="C170" s="161"/>
      <c r="D170" s="161"/>
      <c r="E170" s="157"/>
      <c r="F170" s="157"/>
      <c r="G170" s="157"/>
      <c r="H170" s="157"/>
      <c r="I170" s="157"/>
      <c r="J170" s="157"/>
      <c r="K170" s="157"/>
      <c r="L170" s="157"/>
      <c r="M170" s="157"/>
      <c r="N170" s="157"/>
      <c r="O170" s="157"/>
      <c r="P170" s="157"/>
      <c r="Q170" s="157"/>
      <c r="R170" s="157"/>
      <c r="S170" s="157"/>
      <c r="T170" s="157"/>
      <c r="U170" s="157"/>
      <c r="V170" s="157"/>
      <c r="W170" s="157"/>
      <c r="X170" s="157"/>
    </row>
    <row r="171" ht="12.75" customHeight="1">
      <c r="A171" s="161"/>
      <c r="B171" s="165"/>
      <c r="C171" s="161"/>
      <c r="D171" s="161"/>
      <c r="E171" s="157"/>
      <c r="F171" s="157"/>
      <c r="G171" s="157"/>
      <c r="H171" s="157"/>
      <c r="I171" s="157"/>
      <c r="J171" s="157"/>
      <c r="K171" s="157"/>
      <c r="L171" s="157"/>
      <c r="M171" s="157"/>
      <c r="N171" s="157"/>
      <c r="O171" s="157"/>
      <c r="P171" s="157"/>
      <c r="Q171" s="157"/>
      <c r="R171" s="157"/>
      <c r="S171" s="157"/>
      <c r="T171" s="157"/>
      <c r="U171" s="157"/>
      <c r="V171" s="157"/>
      <c r="W171" s="157"/>
      <c r="X171" s="157"/>
    </row>
    <row r="172" ht="12.75" customHeight="1">
      <c r="A172" s="161"/>
      <c r="B172" s="165"/>
      <c r="C172" s="161"/>
      <c r="D172" s="161"/>
      <c r="E172" s="157"/>
      <c r="F172" s="157"/>
      <c r="G172" s="157"/>
      <c r="H172" s="157"/>
      <c r="I172" s="157"/>
      <c r="J172" s="157"/>
      <c r="K172" s="157"/>
      <c r="L172" s="157"/>
      <c r="M172" s="157"/>
      <c r="N172" s="157"/>
      <c r="O172" s="157"/>
      <c r="P172" s="157"/>
      <c r="Q172" s="157"/>
      <c r="R172" s="157"/>
      <c r="S172" s="157"/>
      <c r="T172" s="157"/>
      <c r="U172" s="157"/>
      <c r="V172" s="157"/>
      <c r="W172" s="157"/>
      <c r="X172" s="157"/>
    </row>
    <row r="173" ht="12.75" customHeight="1">
      <c r="A173" s="161"/>
      <c r="B173" s="165"/>
      <c r="C173" s="161"/>
      <c r="D173" s="161"/>
      <c r="E173" s="157"/>
      <c r="F173" s="157"/>
      <c r="G173" s="157"/>
      <c r="H173" s="157"/>
      <c r="I173" s="157"/>
      <c r="J173" s="157"/>
      <c r="K173" s="157"/>
      <c r="L173" s="157"/>
      <c r="M173" s="157"/>
      <c r="N173" s="157"/>
      <c r="O173" s="157"/>
      <c r="P173" s="157"/>
      <c r="Q173" s="157"/>
      <c r="R173" s="157"/>
      <c r="S173" s="157"/>
      <c r="T173" s="157"/>
      <c r="U173" s="157"/>
      <c r="V173" s="157"/>
      <c r="W173" s="157"/>
      <c r="X173" s="157"/>
    </row>
    <row r="174" ht="12.75" customHeight="1">
      <c r="A174" s="161"/>
      <c r="B174" s="165"/>
      <c r="C174" s="161"/>
      <c r="D174" s="161"/>
      <c r="E174" s="157"/>
      <c r="F174" s="157"/>
      <c r="G174" s="157"/>
      <c r="H174" s="157"/>
      <c r="I174" s="157"/>
      <c r="J174" s="157"/>
      <c r="K174" s="157"/>
      <c r="L174" s="157"/>
      <c r="M174" s="157"/>
      <c r="N174" s="157"/>
      <c r="O174" s="157"/>
      <c r="P174" s="157"/>
      <c r="Q174" s="157"/>
      <c r="R174" s="157"/>
      <c r="S174" s="157"/>
      <c r="T174" s="157"/>
      <c r="U174" s="157"/>
      <c r="V174" s="157"/>
      <c r="W174" s="157"/>
      <c r="X174" s="157"/>
    </row>
    <row r="175" ht="12.75" customHeight="1">
      <c r="A175" s="161"/>
      <c r="B175" s="165"/>
      <c r="C175" s="161"/>
      <c r="D175" s="161"/>
      <c r="E175" s="157"/>
      <c r="F175" s="157"/>
      <c r="G175" s="157"/>
      <c r="H175" s="157"/>
      <c r="I175" s="157"/>
      <c r="J175" s="157"/>
      <c r="K175" s="157"/>
      <c r="L175" s="157"/>
      <c r="M175" s="157"/>
      <c r="N175" s="157"/>
      <c r="O175" s="157"/>
      <c r="P175" s="157"/>
      <c r="Q175" s="157"/>
      <c r="R175" s="157"/>
      <c r="S175" s="157"/>
      <c r="T175" s="157"/>
      <c r="U175" s="157"/>
      <c r="V175" s="157"/>
      <c r="W175" s="157"/>
      <c r="X175" s="157"/>
    </row>
    <row r="176" ht="12.75" customHeight="1">
      <c r="A176" s="161"/>
      <c r="B176" s="165"/>
      <c r="C176" s="161"/>
      <c r="D176" s="161"/>
      <c r="E176" s="157"/>
      <c r="F176" s="157"/>
      <c r="G176" s="157"/>
      <c r="H176" s="157"/>
      <c r="I176" s="157"/>
      <c r="J176" s="157"/>
      <c r="K176" s="157"/>
      <c r="L176" s="157"/>
      <c r="M176" s="157"/>
      <c r="N176" s="157"/>
      <c r="O176" s="157"/>
      <c r="P176" s="157"/>
      <c r="Q176" s="157"/>
      <c r="R176" s="157"/>
      <c r="S176" s="157"/>
      <c r="T176" s="157"/>
      <c r="U176" s="157"/>
      <c r="V176" s="157"/>
      <c r="W176" s="157"/>
      <c r="X176" s="157"/>
    </row>
    <row r="177" ht="12.75" customHeight="1">
      <c r="A177" s="161"/>
      <c r="B177" s="165"/>
      <c r="C177" s="161"/>
      <c r="D177" s="161"/>
      <c r="E177" s="157"/>
      <c r="F177" s="157"/>
      <c r="G177" s="157"/>
      <c r="H177" s="157"/>
      <c r="I177" s="157"/>
      <c r="J177" s="157"/>
      <c r="K177" s="157"/>
      <c r="L177" s="157"/>
      <c r="M177" s="157"/>
      <c r="N177" s="157"/>
      <c r="O177" s="157"/>
      <c r="P177" s="157"/>
      <c r="Q177" s="157"/>
      <c r="R177" s="157"/>
      <c r="S177" s="157"/>
      <c r="T177" s="157"/>
      <c r="U177" s="157"/>
      <c r="V177" s="157"/>
      <c r="W177" s="157"/>
      <c r="X177" s="157"/>
    </row>
    <row r="178" ht="12.75" customHeight="1">
      <c r="A178" s="161"/>
      <c r="B178" s="165"/>
      <c r="C178" s="161"/>
      <c r="D178" s="161"/>
      <c r="E178" s="157"/>
      <c r="F178" s="157"/>
      <c r="G178" s="157"/>
      <c r="H178" s="157"/>
      <c r="I178" s="157"/>
      <c r="J178" s="157"/>
      <c r="K178" s="157"/>
      <c r="L178" s="157"/>
      <c r="M178" s="157"/>
      <c r="N178" s="157"/>
      <c r="O178" s="157"/>
      <c r="P178" s="157"/>
      <c r="Q178" s="157"/>
      <c r="R178" s="157"/>
      <c r="S178" s="157"/>
      <c r="T178" s="157"/>
      <c r="U178" s="157"/>
      <c r="V178" s="157"/>
      <c r="W178" s="157"/>
      <c r="X178" s="157"/>
    </row>
    <row r="179" ht="12.75" customHeight="1">
      <c r="A179" s="161"/>
      <c r="B179" s="165"/>
      <c r="C179" s="161"/>
      <c r="D179" s="161"/>
      <c r="E179" s="157"/>
      <c r="F179" s="157"/>
      <c r="G179" s="157"/>
      <c r="H179" s="157"/>
      <c r="I179" s="157"/>
      <c r="J179" s="157"/>
      <c r="K179" s="157"/>
      <c r="L179" s="157"/>
      <c r="M179" s="157"/>
      <c r="N179" s="157"/>
      <c r="O179" s="157"/>
      <c r="P179" s="157"/>
      <c r="Q179" s="157"/>
      <c r="R179" s="157"/>
      <c r="S179" s="157"/>
      <c r="T179" s="157"/>
      <c r="U179" s="157"/>
      <c r="V179" s="157"/>
      <c r="W179" s="157"/>
      <c r="X179" s="157"/>
    </row>
    <row r="180" ht="12.75" customHeight="1">
      <c r="A180" s="161"/>
      <c r="B180" s="165"/>
      <c r="C180" s="161"/>
      <c r="D180" s="161"/>
      <c r="E180" s="157"/>
      <c r="F180" s="157"/>
      <c r="G180" s="157"/>
      <c r="H180" s="157"/>
      <c r="I180" s="157"/>
      <c r="J180" s="157"/>
      <c r="K180" s="157"/>
      <c r="L180" s="157"/>
      <c r="M180" s="157"/>
      <c r="N180" s="157"/>
      <c r="O180" s="157"/>
      <c r="P180" s="157"/>
      <c r="Q180" s="157"/>
      <c r="R180" s="157"/>
      <c r="S180" s="157"/>
      <c r="T180" s="157"/>
      <c r="U180" s="157"/>
      <c r="V180" s="157"/>
      <c r="W180" s="157"/>
      <c r="X180" s="157"/>
    </row>
    <row r="181" ht="12.75" customHeight="1">
      <c r="A181" s="161"/>
      <c r="B181" s="165"/>
      <c r="C181" s="161"/>
      <c r="D181" s="161"/>
      <c r="E181" s="157"/>
      <c r="F181" s="157"/>
      <c r="G181" s="157"/>
      <c r="H181" s="157"/>
      <c r="I181" s="157"/>
      <c r="J181" s="157"/>
      <c r="K181" s="157"/>
      <c r="L181" s="157"/>
      <c r="M181" s="157"/>
      <c r="N181" s="157"/>
      <c r="O181" s="157"/>
      <c r="P181" s="157"/>
      <c r="Q181" s="157"/>
      <c r="R181" s="157"/>
      <c r="S181" s="157"/>
      <c r="T181" s="157"/>
      <c r="U181" s="157"/>
      <c r="V181" s="157"/>
      <c r="W181" s="157"/>
      <c r="X181" s="157"/>
    </row>
    <row r="182" ht="12.75" customHeight="1">
      <c r="A182" s="161"/>
      <c r="B182" s="165"/>
      <c r="C182" s="161"/>
      <c r="D182" s="161"/>
      <c r="E182" s="157"/>
      <c r="F182" s="157"/>
      <c r="G182" s="157"/>
      <c r="H182" s="157"/>
      <c r="I182" s="157"/>
      <c r="J182" s="157"/>
      <c r="K182" s="157"/>
      <c r="L182" s="157"/>
      <c r="M182" s="157"/>
      <c r="N182" s="157"/>
      <c r="O182" s="157"/>
      <c r="P182" s="157"/>
      <c r="Q182" s="157"/>
      <c r="R182" s="157"/>
      <c r="S182" s="157"/>
      <c r="T182" s="157"/>
      <c r="U182" s="157"/>
      <c r="V182" s="157"/>
      <c r="W182" s="157"/>
      <c r="X182" s="157"/>
    </row>
    <row r="183" ht="12.75" customHeight="1">
      <c r="A183" s="161"/>
      <c r="B183" s="165"/>
      <c r="C183" s="161"/>
      <c r="D183" s="161"/>
      <c r="E183" s="157"/>
      <c r="F183" s="157"/>
      <c r="G183" s="157"/>
      <c r="H183" s="157"/>
      <c r="I183" s="157"/>
      <c r="J183" s="157"/>
      <c r="K183" s="157"/>
      <c r="L183" s="157"/>
      <c r="M183" s="157"/>
      <c r="N183" s="157"/>
      <c r="O183" s="157"/>
      <c r="P183" s="157"/>
      <c r="Q183" s="157"/>
      <c r="R183" s="157"/>
      <c r="S183" s="157"/>
      <c r="T183" s="157"/>
      <c r="U183" s="157"/>
      <c r="V183" s="157"/>
      <c r="W183" s="157"/>
      <c r="X183" s="157"/>
    </row>
    <row r="184" ht="12.75" customHeight="1">
      <c r="A184" s="161"/>
      <c r="B184" s="165"/>
      <c r="C184" s="161"/>
      <c r="D184" s="161"/>
      <c r="E184" s="157"/>
      <c r="F184" s="157"/>
      <c r="G184" s="157"/>
      <c r="H184" s="157"/>
      <c r="I184" s="157"/>
      <c r="J184" s="157"/>
      <c r="K184" s="157"/>
      <c r="L184" s="157"/>
      <c r="M184" s="157"/>
      <c r="N184" s="157"/>
      <c r="O184" s="157"/>
      <c r="P184" s="157"/>
      <c r="Q184" s="157"/>
      <c r="R184" s="157"/>
      <c r="S184" s="157"/>
      <c r="T184" s="157"/>
      <c r="U184" s="157"/>
      <c r="V184" s="157"/>
      <c r="W184" s="157"/>
      <c r="X184" s="157"/>
    </row>
    <row r="185" ht="12.75" customHeight="1">
      <c r="A185" s="161"/>
      <c r="B185" s="165"/>
      <c r="C185" s="161"/>
      <c r="D185" s="161"/>
      <c r="E185" s="157"/>
      <c r="F185" s="157"/>
      <c r="G185" s="157"/>
      <c r="H185" s="157"/>
      <c r="I185" s="157"/>
      <c r="J185" s="157"/>
      <c r="K185" s="157"/>
      <c r="L185" s="157"/>
      <c r="M185" s="157"/>
      <c r="N185" s="157"/>
      <c r="O185" s="157"/>
      <c r="P185" s="157"/>
      <c r="Q185" s="157"/>
      <c r="R185" s="157"/>
      <c r="S185" s="157"/>
      <c r="T185" s="157"/>
      <c r="U185" s="157"/>
      <c r="V185" s="157"/>
      <c r="W185" s="157"/>
      <c r="X185" s="157"/>
    </row>
    <row r="186" ht="12.75" customHeight="1">
      <c r="A186" s="161"/>
      <c r="B186" s="165"/>
      <c r="C186" s="161"/>
      <c r="D186" s="161"/>
      <c r="E186" s="157"/>
      <c r="F186" s="157"/>
      <c r="G186" s="157"/>
      <c r="H186" s="157"/>
      <c r="I186" s="157"/>
      <c r="J186" s="157"/>
      <c r="K186" s="157"/>
      <c r="L186" s="157"/>
      <c r="M186" s="157"/>
      <c r="N186" s="157"/>
      <c r="O186" s="157"/>
      <c r="P186" s="157"/>
      <c r="Q186" s="157"/>
      <c r="R186" s="157"/>
      <c r="S186" s="157"/>
      <c r="T186" s="157"/>
      <c r="U186" s="157"/>
      <c r="V186" s="157"/>
      <c r="W186" s="157"/>
      <c r="X186" s="157"/>
    </row>
    <row r="187" ht="12.75" customHeight="1">
      <c r="A187" s="161"/>
      <c r="B187" s="165"/>
      <c r="C187" s="161"/>
      <c r="D187" s="161"/>
      <c r="E187" s="157"/>
      <c r="F187" s="157"/>
      <c r="G187" s="157"/>
      <c r="H187" s="157"/>
      <c r="I187" s="157"/>
      <c r="J187" s="157"/>
      <c r="K187" s="157"/>
      <c r="L187" s="157"/>
      <c r="M187" s="157"/>
      <c r="N187" s="157"/>
      <c r="O187" s="157"/>
      <c r="P187" s="157"/>
      <c r="Q187" s="157"/>
      <c r="R187" s="157"/>
      <c r="S187" s="157"/>
      <c r="T187" s="157"/>
      <c r="U187" s="157"/>
      <c r="V187" s="157"/>
      <c r="W187" s="157"/>
      <c r="X187" s="157"/>
    </row>
    <row r="188" ht="12.75" customHeight="1">
      <c r="A188" s="161"/>
      <c r="B188" s="165"/>
      <c r="C188" s="161"/>
      <c r="D188" s="161"/>
      <c r="E188" s="157"/>
      <c r="F188" s="157"/>
      <c r="G188" s="157"/>
      <c r="H188" s="157"/>
      <c r="I188" s="157"/>
      <c r="J188" s="157"/>
      <c r="K188" s="157"/>
      <c r="L188" s="157"/>
      <c r="M188" s="157"/>
      <c r="N188" s="157"/>
      <c r="O188" s="157"/>
      <c r="P188" s="157"/>
      <c r="Q188" s="157"/>
      <c r="R188" s="157"/>
      <c r="S188" s="157"/>
      <c r="T188" s="157"/>
      <c r="U188" s="157"/>
      <c r="V188" s="157"/>
      <c r="W188" s="157"/>
      <c r="X188" s="157"/>
    </row>
    <row r="189" ht="12.75" customHeight="1">
      <c r="A189" s="161"/>
      <c r="B189" s="165"/>
      <c r="C189" s="161"/>
      <c r="D189" s="161"/>
      <c r="E189" s="157"/>
      <c r="F189" s="157"/>
      <c r="G189" s="157"/>
      <c r="H189" s="157"/>
      <c r="I189" s="157"/>
      <c r="J189" s="157"/>
      <c r="K189" s="157"/>
      <c r="L189" s="157"/>
      <c r="M189" s="157"/>
      <c r="N189" s="157"/>
      <c r="O189" s="157"/>
      <c r="P189" s="157"/>
      <c r="Q189" s="157"/>
      <c r="R189" s="157"/>
      <c r="S189" s="157"/>
      <c r="T189" s="157"/>
      <c r="U189" s="157"/>
      <c r="V189" s="157"/>
      <c r="W189" s="157"/>
      <c r="X189" s="157"/>
    </row>
    <row r="190" ht="12.75" customHeight="1">
      <c r="A190" s="161"/>
      <c r="B190" s="165"/>
      <c r="C190" s="161"/>
      <c r="D190" s="161"/>
      <c r="E190" s="157"/>
      <c r="F190" s="157"/>
      <c r="G190" s="157"/>
      <c r="H190" s="157"/>
      <c r="I190" s="157"/>
      <c r="J190" s="157"/>
      <c r="K190" s="157"/>
      <c r="L190" s="157"/>
      <c r="M190" s="157"/>
      <c r="N190" s="157"/>
      <c r="O190" s="157"/>
      <c r="P190" s="157"/>
      <c r="Q190" s="157"/>
      <c r="R190" s="157"/>
      <c r="S190" s="157"/>
      <c r="T190" s="157"/>
      <c r="U190" s="157"/>
      <c r="V190" s="157"/>
      <c r="W190" s="157"/>
      <c r="X190" s="157"/>
    </row>
    <row r="191" ht="12.75" customHeight="1">
      <c r="A191" s="161"/>
      <c r="B191" s="165"/>
      <c r="C191" s="161"/>
      <c r="D191" s="161"/>
      <c r="E191" s="157"/>
      <c r="F191" s="157"/>
      <c r="G191" s="157"/>
      <c r="H191" s="157"/>
      <c r="I191" s="157"/>
      <c r="J191" s="157"/>
      <c r="K191" s="157"/>
      <c r="L191" s="157"/>
      <c r="M191" s="157"/>
      <c r="N191" s="157"/>
      <c r="O191" s="157"/>
      <c r="P191" s="157"/>
      <c r="Q191" s="157"/>
      <c r="R191" s="157"/>
      <c r="S191" s="157"/>
      <c r="T191" s="157"/>
      <c r="U191" s="157"/>
      <c r="V191" s="157"/>
      <c r="W191" s="157"/>
      <c r="X191" s="157"/>
    </row>
    <row r="192" ht="12.75" customHeight="1">
      <c r="A192" s="161"/>
      <c r="B192" s="165"/>
      <c r="C192" s="161"/>
      <c r="D192" s="161"/>
      <c r="E192" s="157"/>
      <c r="F192" s="157"/>
      <c r="G192" s="157"/>
      <c r="H192" s="157"/>
      <c r="I192" s="157"/>
      <c r="J192" s="157"/>
      <c r="K192" s="157"/>
      <c r="L192" s="157"/>
      <c r="M192" s="157"/>
      <c r="N192" s="157"/>
      <c r="O192" s="157"/>
      <c r="P192" s="157"/>
      <c r="Q192" s="157"/>
      <c r="R192" s="157"/>
      <c r="S192" s="157"/>
      <c r="T192" s="157"/>
      <c r="U192" s="157"/>
      <c r="V192" s="157"/>
      <c r="W192" s="157"/>
      <c r="X192" s="157"/>
    </row>
    <row r="193" ht="12.75" customHeight="1">
      <c r="A193" s="161"/>
      <c r="B193" s="165"/>
      <c r="C193" s="161"/>
      <c r="D193" s="161"/>
      <c r="E193" s="157"/>
      <c r="F193" s="157"/>
      <c r="G193" s="157"/>
      <c r="H193" s="157"/>
      <c r="I193" s="157"/>
      <c r="J193" s="157"/>
      <c r="K193" s="157"/>
      <c r="L193" s="157"/>
      <c r="M193" s="157"/>
      <c r="N193" s="157"/>
      <c r="O193" s="157"/>
      <c r="P193" s="157"/>
      <c r="Q193" s="157"/>
      <c r="R193" s="157"/>
      <c r="S193" s="157"/>
      <c r="T193" s="157"/>
      <c r="U193" s="157"/>
      <c r="V193" s="157"/>
      <c r="W193" s="157"/>
      <c r="X193" s="157"/>
    </row>
    <row r="194" ht="12.75" customHeight="1">
      <c r="A194" s="161"/>
      <c r="B194" s="165"/>
      <c r="C194" s="161"/>
      <c r="D194" s="161"/>
      <c r="E194" s="157"/>
      <c r="F194" s="157"/>
      <c r="G194" s="157"/>
      <c r="H194" s="157"/>
      <c r="I194" s="157"/>
      <c r="J194" s="157"/>
      <c r="K194" s="157"/>
      <c r="L194" s="157"/>
      <c r="M194" s="157"/>
      <c r="N194" s="157"/>
      <c r="O194" s="157"/>
      <c r="P194" s="157"/>
      <c r="Q194" s="157"/>
      <c r="R194" s="157"/>
      <c r="S194" s="157"/>
      <c r="T194" s="157"/>
      <c r="U194" s="157"/>
      <c r="V194" s="157"/>
      <c r="W194" s="157"/>
      <c r="X194" s="157"/>
    </row>
    <row r="195" ht="12.75" customHeight="1">
      <c r="A195" s="161"/>
      <c r="B195" s="165"/>
      <c r="C195" s="161"/>
      <c r="D195" s="161"/>
      <c r="E195" s="157"/>
      <c r="F195" s="157"/>
      <c r="G195" s="157"/>
      <c r="H195" s="157"/>
      <c r="I195" s="157"/>
      <c r="J195" s="157"/>
      <c r="K195" s="157"/>
      <c r="L195" s="157"/>
      <c r="M195" s="157"/>
      <c r="N195" s="157"/>
      <c r="O195" s="157"/>
      <c r="P195" s="157"/>
      <c r="Q195" s="157"/>
      <c r="R195" s="157"/>
      <c r="S195" s="157"/>
      <c r="T195" s="157"/>
      <c r="U195" s="157"/>
      <c r="V195" s="157"/>
      <c r="W195" s="157"/>
      <c r="X195" s="157"/>
    </row>
    <row r="196" ht="12.75" customHeight="1">
      <c r="A196" s="161"/>
      <c r="B196" s="165"/>
      <c r="C196" s="161"/>
      <c r="D196" s="161"/>
      <c r="E196" s="157"/>
      <c r="F196" s="157"/>
      <c r="G196" s="157"/>
      <c r="H196" s="157"/>
      <c r="I196" s="157"/>
      <c r="J196" s="157"/>
      <c r="K196" s="157"/>
      <c r="L196" s="157"/>
      <c r="M196" s="157"/>
      <c r="N196" s="157"/>
      <c r="O196" s="157"/>
      <c r="P196" s="157"/>
      <c r="Q196" s="157"/>
      <c r="R196" s="157"/>
      <c r="S196" s="157"/>
      <c r="T196" s="157"/>
      <c r="U196" s="157"/>
      <c r="V196" s="157"/>
      <c r="W196" s="157"/>
      <c r="X196" s="157"/>
    </row>
    <row r="197" ht="12.75" customHeight="1">
      <c r="A197" s="161"/>
      <c r="B197" s="165"/>
      <c r="C197" s="161"/>
      <c r="D197" s="161"/>
      <c r="E197" s="157"/>
      <c r="F197" s="157"/>
      <c r="G197" s="157"/>
      <c r="H197" s="157"/>
      <c r="I197" s="157"/>
      <c r="J197" s="157"/>
      <c r="K197" s="157"/>
      <c r="L197" s="157"/>
      <c r="M197" s="157"/>
      <c r="N197" s="157"/>
      <c r="O197" s="157"/>
      <c r="P197" s="157"/>
      <c r="Q197" s="157"/>
      <c r="R197" s="157"/>
      <c r="S197" s="157"/>
      <c r="T197" s="157"/>
      <c r="U197" s="157"/>
      <c r="V197" s="157"/>
      <c r="W197" s="157"/>
      <c r="X197" s="157"/>
    </row>
    <row r="198" ht="12.75" customHeight="1">
      <c r="A198" s="161"/>
      <c r="B198" s="165"/>
      <c r="C198" s="161"/>
      <c r="D198" s="161"/>
      <c r="E198" s="157"/>
      <c r="F198" s="157"/>
      <c r="G198" s="157"/>
      <c r="H198" s="157"/>
      <c r="I198" s="157"/>
      <c r="J198" s="157"/>
      <c r="K198" s="157"/>
      <c r="L198" s="157"/>
      <c r="M198" s="157"/>
      <c r="N198" s="157"/>
      <c r="O198" s="157"/>
      <c r="P198" s="157"/>
      <c r="Q198" s="157"/>
      <c r="R198" s="157"/>
      <c r="S198" s="157"/>
      <c r="T198" s="157"/>
      <c r="U198" s="157"/>
      <c r="V198" s="157"/>
      <c r="W198" s="157"/>
      <c r="X198" s="157"/>
    </row>
    <row r="199" ht="12.75" customHeight="1">
      <c r="A199" s="161"/>
      <c r="B199" s="165"/>
      <c r="C199" s="161"/>
      <c r="D199" s="161"/>
      <c r="E199" s="157"/>
      <c r="F199" s="157"/>
      <c r="G199" s="157"/>
      <c r="H199" s="157"/>
      <c r="I199" s="157"/>
      <c r="J199" s="157"/>
      <c r="K199" s="157"/>
      <c r="L199" s="157"/>
      <c r="M199" s="157"/>
      <c r="N199" s="157"/>
      <c r="O199" s="157"/>
      <c r="P199" s="157"/>
      <c r="Q199" s="157"/>
      <c r="R199" s="157"/>
      <c r="S199" s="157"/>
      <c r="T199" s="157"/>
      <c r="U199" s="157"/>
      <c r="V199" s="157"/>
      <c r="W199" s="157"/>
      <c r="X199" s="157"/>
    </row>
    <row r="200" ht="12.75" customHeight="1">
      <c r="A200" s="161"/>
      <c r="B200" s="165"/>
      <c r="C200" s="161"/>
      <c r="D200" s="161"/>
      <c r="E200" s="157"/>
      <c r="F200" s="157"/>
      <c r="G200" s="157"/>
      <c r="H200" s="157"/>
      <c r="I200" s="157"/>
      <c r="J200" s="157"/>
      <c r="K200" s="157"/>
      <c r="L200" s="157"/>
      <c r="M200" s="157"/>
      <c r="N200" s="157"/>
      <c r="O200" s="157"/>
      <c r="P200" s="157"/>
      <c r="Q200" s="157"/>
      <c r="R200" s="157"/>
      <c r="S200" s="157"/>
      <c r="T200" s="157"/>
      <c r="U200" s="157"/>
      <c r="V200" s="157"/>
      <c r="W200" s="157"/>
      <c r="X200" s="157"/>
    </row>
    <row r="201" ht="12.75" customHeight="1">
      <c r="A201" s="161"/>
      <c r="B201" s="165"/>
      <c r="C201" s="161"/>
      <c r="D201" s="161"/>
      <c r="E201" s="157"/>
      <c r="F201" s="157"/>
      <c r="G201" s="157"/>
      <c r="H201" s="157"/>
      <c r="I201" s="157"/>
      <c r="J201" s="157"/>
      <c r="K201" s="157"/>
      <c r="L201" s="157"/>
      <c r="M201" s="157"/>
      <c r="N201" s="157"/>
      <c r="O201" s="157"/>
      <c r="P201" s="157"/>
      <c r="Q201" s="157"/>
      <c r="R201" s="157"/>
      <c r="S201" s="157"/>
      <c r="T201" s="157"/>
      <c r="U201" s="157"/>
      <c r="V201" s="157"/>
      <c r="W201" s="157"/>
      <c r="X201" s="157"/>
    </row>
    <row r="202" ht="12.75" customHeight="1">
      <c r="A202" s="161"/>
      <c r="B202" s="165"/>
      <c r="C202" s="161"/>
      <c r="D202" s="161"/>
      <c r="E202" s="157"/>
      <c r="F202" s="157"/>
      <c r="G202" s="157"/>
      <c r="H202" s="157"/>
      <c r="I202" s="157"/>
      <c r="J202" s="157"/>
      <c r="K202" s="157"/>
      <c r="L202" s="157"/>
      <c r="M202" s="157"/>
      <c r="N202" s="157"/>
      <c r="O202" s="157"/>
      <c r="P202" s="157"/>
      <c r="Q202" s="157"/>
      <c r="R202" s="157"/>
      <c r="S202" s="157"/>
      <c r="T202" s="157"/>
      <c r="U202" s="157"/>
      <c r="V202" s="157"/>
      <c r="W202" s="157"/>
      <c r="X202" s="157"/>
    </row>
    <row r="203" ht="12.75" customHeight="1">
      <c r="A203" s="161"/>
      <c r="B203" s="165"/>
      <c r="C203" s="161"/>
      <c r="D203" s="161"/>
      <c r="E203" s="157"/>
      <c r="F203" s="157"/>
      <c r="G203" s="157"/>
      <c r="H203" s="157"/>
      <c r="I203" s="157"/>
      <c r="J203" s="157"/>
      <c r="K203" s="157"/>
      <c r="L203" s="157"/>
      <c r="M203" s="157"/>
      <c r="N203" s="157"/>
      <c r="O203" s="157"/>
      <c r="P203" s="157"/>
      <c r="Q203" s="157"/>
      <c r="R203" s="157"/>
      <c r="S203" s="157"/>
      <c r="T203" s="157"/>
      <c r="U203" s="157"/>
      <c r="V203" s="157"/>
      <c r="W203" s="157"/>
      <c r="X203" s="157"/>
    </row>
    <row r="204" ht="12.75" customHeight="1">
      <c r="A204" s="161"/>
      <c r="B204" s="165"/>
      <c r="C204" s="161"/>
      <c r="D204" s="161"/>
      <c r="E204" s="157"/>
      <c r="F204" s="157"/>
      <c r="G204" s="157"/>
      <c r="H204" s="157"/>
      <c r="I204" s="157"/>
      <c r="J204" s="157"/>
      <c r="K204" s="157"/>
      <c r="L204" s="157"/>
      <c r="M204" s="157"/>
      <c r="N204" s="157"/>
      <c r="O204" s="157"/>
      <c r="P204" s="157"/>
      <c r="Q204" s="157"/>
      <c r="R204" s="157"/>
      <c r="S204" s="157"/>
      <c r="T204" s="157"/>
      <c r="U204" s="157"/>
      <c r="V204" s="157"/>
      <c r="W204" s="157"/>
      <c r="X204" s="157"/>
    </row>
    <row r="205" ht="12.75" customHeight="1">
      <c r="A205" s="161"/>
      <c r="B205" s="165"/>
      <c r="C205" s="161"/>
      <c r="D205" s="161"/>
      <c r="E205" s="157"/>
      <c r="F205" s="157"/>
      <c r="G205" s="157"/>
      <c r="H205" s="157"/>
      <c r="I205" s="157"/>
      <c r="J205" s="157"/>
      <c r="K205" s="157"/>
      <c r="L205" s="157"/>
      <c r="M205" s="157"/>
      <c r="N205" s="157"/>
      <c r="O205" s="157"/>
      <c r="P205" s="157"/>
      <c r="Q205" s="157"/>
      <c r="R205" s="157"/>
      <c r="S205" s="157"/>
      <c r="T205" s="157"/>
      <c r="U205" s="157"/>
      <c r="V205" s="157"/>
      <c r="W205" s="157"/>
      <c r="X205" s="157"/>
    </row>
    <row r="206" ht="12.75" customHeight="1">
      <c r="A206" s="161"/>
      <c r="B206" s="165"/>
      <c r="C206" s="161"/>
      <c r="D206" s="161"/>
      <c r="E206" s="157"/>
      <c r="F206" s="157"/>
      <c r="G206" s="157"/>
      <c r="H206" s="157"/>
      <c r="I206" s="157"/>
      <c r="J206" s="157"/>
      <c r="K206" s="157"/>
      <c r="L206" s="157"/>
      <c r="M206" s="157"/>
      <c r="N206" s="157"/>
      <c r="O206" s="157"/>
      <c r="P206" s="157"/>
      <c r="Q206" s="157"/>
      <c r="R206" s="157"/>
      <c r="S206" s="157"/>
      <c r="T206" s="157"/>
      <c r="U206" s="157"/>
      <c r="V206" s="157"/>
      <c r="W206" s="157"/>
      <c r="X206" s="157"/>
    </row>
    <row r="207" ht="12.75" customHeight="1">
      <c r="A207" s="161"/>
      <c r="B207" s="165"/>
      <c r="C207" s="161"/>
      <c r="D207" s="161"/>
      <c r="E207" s="157"/>
      <c r="F207" s="157"/>
      <c r="G207" s="157"/>
      <c r="H207" s="157"/>
      <c r="I207" s="157"/>
      <c r="J207" s="157"/>
      <c r="K207" s="157"/>
      <c r="L207" s="157"/>
      <c r="M207" s="157"/>
      <c r="N207" s="157"/>
      <c r="O207" s="157"/>
      <c r="P207" s="157"/>
      <c r="Q207" s="157"/>
      <c r="R207" s="157"/>
      <c r="S207" s="157"/>
      <c r="T207" s="157"/>
      <c r="U207" s="157"/>
      <c r="V207" s="157"/>
      <c r="W207" s="157"/>
      <c r="X207" s="157"/>
    </row>
    <row r="208" ht="12.75" customHeight="1">
      <c r="A208" s="161"/>
      <c r="B208" s="165"/>
      <c r="C208" s="161"/>
      <c r="D208" s="161"/>
      <c r="E208" s="157"/>
      <c r="F208" s="157"/>
      <c r="G208" s="157"/>
      <c r="H208" s="157"/>
      <c r="I208" s="157"/>
      <c r="J208" s="157"/>
      <c r="K208" s="157"/>
      <c r="L208" s="157"/>
      <c r="M208" s="157"/>
      <c r="N208" s="157"/>
      <c r="O208" s="157"/>
      <c r="P208" s="157"/>
      <c r="Q208" s="157"/>
      <c r="R208" s="157"/>
      <c r="S208" s="157"/>
      <c r="T208" s="157"/>
      <c r="U208" s="157"/>
      <c r="V208" s="157"/>
      <c r="W208" s="157"/>
      <c r="X208" s="157"/>
    </row>
    <row r="209" ht="12.75" customHeight="1">
      <c r="A209" s="161"/>
      <c r="B209" s="165"/>
      <c r="C209" s="161"/>
      <c r="D209" s="161"/>
      <c r="E209" s="157"/>
      <c r="F209" s="157"/>
      <c r="G209" s="157"/>
      <c r="H209" s="157"/>
      <c r="I209" s="157"/>
      <c r="J209" s="157"/>
      <c r="K209" s="157"/>
      <c r="L209" s="157"/>
      <c r="M209" s="157"/>
      <c r="N209" s="157"/>
      <c r="O209" s="157"/>
      <c r="P209" s="157"/>
      <c r="Q209" s="157"/>
      <c r="R209" s="157"/>
      <c r="S209" s="157"/>
      <c r="T209" s="157"/>
      <c r="U209" s="157"/>
      <c r="V209" s="157"/>
      <c r="W209" s="157"/>
      <c r="X209" s="157"/>
    </row>
    <row r="210" ht="12.75" customHeight="1">
      <c r="A210" s="161"/>
      <c r="B210" s="165"/>
      <c r="C210" s="161"/>
      <c r="D210" s="161"/>
      <c r="E210" s="157"/>
      <c r="F210" s="157"/>
      <c r="G210" s="157"/>
      <c r="H210" s="157"/>
      <c r="I210" s="157"/>
      <c r="J210" s="157"/>
      <c r="K210" s="157"/>
      <c r="L210" s="157"/>
      <c r="M210" s="157"/>
      <c r="N210" s="157"/>
      <c r="O210" s="157"/>
      <c r="P210" s="157"/>
      <c r="Q210" s="157"/>
      <c r="R210" s="157"/>
      <c r="S210" s="157"/>
      <c r="T210" s="157"/>
      <c r="U210" s="157"/>
      <c r="V210" s="157"/>
      <c r="W210" s="157"/>
      <c r="X210" s="157"/>
    </row>
    <row r="211" ht="12.75" customHeight="1">
      <c r="A211" s="161"/>
      <c r="B211" s="165"/>
      <c r="C211" s="161"/>
      <c r="D211" s="161"/>
      <c r="E211" s="157"/>
      <c r="F211" s="157"/>
      <c r="G211" s="157"/>
      <c r="H211" s="157"/>
      <c r="I211" s="157"/>
      <c r="J211" s="157"/>
      <c r="K211" s="157"/>
      <c r="L211" s="157"/>
      <c r="M211" s="157"/>
      <c r="N211" s="157"/>
      <c r="O211" s="157"/>
      <c r="P211" s="157"/>
      <c r="Q211" s="157"/>
      <c r="R211" s="157"/>
      <c r="S211" s="157"/>
      <c r="T211" s="157"/>
      <c r="U211" s="157"/>
      <c r="V211" s="157"/>
      <c r="W211" s="157"/>
      <c r="X211" s="157"/>
    </row>
    <row r="212" ht="12.75" customHeight="1">
      <c r="A212" s="161"/>
      <c r="B212" s="165"/>
      <c r="C212" s="161"/>
      <c r="D212" s="161"/>
      <c r="E212" s="157"/>
      <c r="F212" s="157"/>
      <c r="G212" s="157"/>
      <c r="H212" s="157"/>
      <c r="I212" s="157"/>
      <c r="J212" s="157"/>
      <c r="K212" s="157"/>
      <c r="L212" s="157"/>
      <c r="M212" s="157"/>
      <c r="N212" s="157"/>
      <c r="O212" s="157"/>
      <c r="P212" s="157"/>
      <c r="Q212" s="157"/>
      <c r="R212" s="157"/>
      <c r="S212" s="157"/>
      <c r="T212" s="157"/>
      <c r="U212" s="157"/>
      <c r="V212" s="157"/>
      <c r="W212" s="157"/>
      <c r="X212" s="157"/>
    </row>
    <row r="213" ht="12.75" customHeight="1">
      <c r="A213" s="161"/>
      <c r="B213" s="165"/>
      <c r="C213" s="161"/>
      <c r="D213" s="161"/>
      <c r="E213" s="157"/>
      <c r="F213" s="157"/>
      <c r="G213" s="157"/>
      <c r="H213" s="157"/>
      <c r="I213" s="157"/>
      <c r="J213" s="157"/>
      <c r="K213" s="157"/>
      <c r="L213" s="157"/>
      <c r="M213" s="157"/>
      <c r="N213" s="157"/>
      <c r="O213" s="157"/>
      <c r="P213" s="157"/>
      <c r="Q213" s="157"/>
      <c r="R213" s="157"/>
      <c r="S213" s="157"/>
      <c r="T213" s="157"/>
      <c r="U213" s="157"/>
      <c r="V213" s="157"/>
      <c r="W213" s="157"/>
      <c r="X213" s="157"/>
    </row>
    <row r="214" ht="12.75" customHeight="1">
      <c r="A214" s="161"/>
      <c r="B214" s="165"/>
      <c r="C214" s="161"/>
      <c r="D214" s="161"/>
      <c r="E214" s="157"/>
      <c r="F214" s="157"/>
      <c r="G214" s="157"/>
      <c r="H214" s="157"/>
      <c r="I214" s="157"/>
      <c r="J214" s="157"/>
      <c r="K214" s="157"/>
      <c r="L214" s="157"/>
      <c r="M214" s="157"/>
      <c r="N214" s="157"/>
      <c r="O214" s="157"/>
      <c r="P214" s="157"/>
      <c r="Q214" s="157"/>
      <c r="R214" s="157"/>
      <c r="S214" s="157"/>
      <c r="T214" s="157"/>
      <c r="U214" s="157"/>
      <c r="V214" s="157"/>
      <c r="W214" s="157"/>
      <c r="X214" s="157"/>
    </row>
    <row r="215" ht="12.75" customHeight="1">
      <c r="A215" s="161"/>
      <c r="B215" s="165"/>
      <c r="C215" s="161"/>
      <c r="D215" s="161"/>
      <c r="E215" s="157"/>
      <c r="F215" s="157"/>
      <c r="G215" s="157"/>
      <c r="H215" s="157"/>
      <c r="I215" s="157"/>
      <c r="J215" s="157"/>
      <c r="K215" s="157"/>
      <c r="L215" s="157"/>
      <c r="M215" s="157"/>
      <c r="N215" s="157"/>
      <c r="O215" s="157"/>
      <c r="P215" s="157"/>
      <c r="Q215" s="157"/>
      <c r="R215" s="157"/>
      <c r="S215" s="157"/>
      <c r="T215" s="157"/>
      <c r="U215" s="157"/>
      <c r="V215" s="157"/>
      <c r="W215" s="157"/>
      <c r="X215" s="157"/>
    </row>
    <row r="216" ht="12.75" customHeight="1">
      <c r="A216" s="161"/>
      <c r="B216" s="165"/>
      <c r="C216" s="161"/>
      <c r="D216" s="161"/>
      <c r="E216" s="157"/>
      <c r="F216" s="157"/>
      <c r="G216" s="157"/>
      <c r="H216" s="157"/>
      <c r="I216" s="157"/>
      <c r="J216" s="157"/>
      <c r="K216" s="157"/>
      <c r="L216" s="157"/>
      <c r="M216" s="157"/>
      <c r="N216" s="157"/>
      <c r="O216" s="157"/>
      <c r="P216" s="157"/>
      <c r="Q216" s="157"/>
      <c r="R216" s="157"/>
      <c r="S216" s="157"/>
      <c r="T216" s="157"/>
      <c r="U216" s="157"/>
      <c r="V216" s="157"/>
      <c r="W216" s="157"/>
      <c r="X216" s="157"/>
    </row>
    <row r="217" ht="12.75" customHeight="1">
      <c r="A217" s="161"/>
      <c r="B217" s="165"/>
      <c r="C217" s="161"/>
      <c r="D217" s="161"/>
      <c r="E217" s="157"/>
      <c r="F217" s="157"/>
      <c r="G217" s="157"/>
      <c r="H217" s="157"/>
      <c r="I217" s="157"/>
      <c r="J217" s="157"/>
      <c r="K217" s="157"/>
      <c r="L217" s="157"/>
      <c r="M217" s="157"/>
      <c r="N217" s="157"/>
      <c r="O217" s="157"/>
      <c r="P217" s="157"/>
      <c r="Q217" s="157"/>
      <c r="R217" s="157"/>
      <c r="S217" s="157"/>
      <c r="T217" s="157"/>
      <c r="U217" s="157"/>
      <c r="V217" s="157"/>
      <c r="W217" s="157"/>
      <c r="X217" s="157"/>
    </row>
    <row r="218" ht="12.75" customHeight="1">
      <c r="A218" s="161"/>
      <c r="B218" s="165"/>
      <c r="C218" s="161"/>
      <c r="D218" s="161"/>
      <c r="E218" s="157"/>
      <c r="F218" s="157"/>
      <c r="G218" s="157"/>
      <c r="H218" s="157"/>
      <c r="I218" s="157"/>
      <c r="J218" s="157"/>
      <c r="K218" s="157"/>
      <c r="L218" s="157"/>
      <c r="M218" s="157"/>
      <c r="N218" s="157"/>
      <c r="O218" s="157"/>
      <c r="P218" s="157"/>
      <c r="Q218" s="157"/>
      <c r="R218" s="157"/>
      <c r="S218" s="157"/>
      <c r="T218" s="157"/>
      <c r="U218" s="157"/>
      <c r="V218" s="157"/>
      <c r="W218" s="157"/>
      <c r="X218" s="157"/>
    </row>
    <row r="219" ht="12.75" customHeight="1">
      <c r="A219" s="161"/>
      <c r="B219" s="165"/>
      <c r="C219" s="161"/>
      <c r="D219" s="161"/>
      <c r="E219" s="157"/>
      <c r="F219" s="157"/>
      <c r="G219" s="157"/>
      <c r="H219" s="157"/>
      <c r="I219" s="157"/>
      <c r="J219" s="157"/>
      <c r="K219" s="157"/>
      <c r="L219" s="157"/>
      <c r="M219" s="157"/>
      <c r="N219" s="157"/>
      <c r="O219" s="157"/>
      <c r="P219" s="157"/>
      <c r="Q219" s="157"/>
      <c r="R219" s="157"/>
      <c r="S219" s="157"/>
      <c r="T219" s="157"/>
      <c r="U219" s="157"/>
      <c r="V219" s="157"/>
      <c r="W219" s="157"/>
      <c r="X219" s="157"/>
    </row>
    <row r="220" ht="12.75" customHeight="1">
      <c r="A220" s="161"/>
      <c r="B220" s="165"/>
      <c r="C220" s="161"/>
      <c r="D220" s="161"/>
      <c r="E220" s="157"/>
      <c r="F220" s="157"/>
      <c r="G220" s="157"/>
      <c r="H220" s="157"/>
      <c r="I220" s="157"/>
      <c r="J220" s="157"/>
      <c r="K220" s="157"/>
      <c r="L220" s="157"/>
      <c r="M220" s="157"/>
      <c r="N220" s="157"/>
      <c r="O220" s="157"/>
      <c r="P220" s="157"/>
      <c r="Q220" s="157"/>
      <c r="R220" s="157"/>
      <c r="S220" s="157"/>
      <c r="T220" s="157"/>
      <c r="U220" s="157"/>
      <c r="V220" s="157"/>
      <c r="W220" s="157"/>
      <c r="X220" s="157"/>
    </row>
    <row r="221" ht="12.75" customHeight="1">
      <c r="A221" s="161"/>
      <c r="B221" s="165"/>
      <c r="C221" s="161"/>
      <c r="D221" s="161"/>
      <c r="E221" s="157"/>
      <c r="F221" s="157"/>
      <c r="G221" s="157"/>
      <c r="H221" s="157"/>
      <c r="I221" s="157"/>
      <c r="J221" s="157"/>
      <c r="K221" s="157"/>
      <c r="L221" s="157"/>
      <c r="M221" s="157"/>
      <c r="N221" s="157"/>
      <c r="O221" s="157"/>
      <c r="P221" s="157"/>
      <c r="Q221" s="157"/>
      <c r="R221" s="157"/>
      <c r="S221" s="157"/>
      <c r="T221" s="157"/>
      <c r="U221" s="157"/>
      <c r="V221" s="157"/>
      <c r="W221" s="157"/>
      <c r="X221" s="157"/>
    </row>
    <row r="222" ht="12.75" customHeight="1">
      <c r="A222" s="161"/>
      <c r="B222" s="165"/>
      <c r="C222" s="161"/>
      <c r="D222" s="161"/>
      <c r="E222" s="157"/>
      <c r="F222" s="157"/>
      <c r="G222" s="157"/>
      <c r="H222" s="157"/>
      <c r="I222" s="157"/>
      <c r="J222" s="157"/>
      <c r="K222" s="157"/>
      <c r="L222" s="157"/>
      <c r="M222" s="157"/>
      <c r="N222" s="157"/>
      <c r="O222" s="157"/>
      <c r="P222" s="157"/>
      <c r="Q222" s="157"/>
      <c r="R222" s="157"/>
      <c r="S222" s="157"/>
      <c r="T222" s="157"/>
      <c r="U222" s="157"/>
      <c r="V222" s="157"/>
      <c r="W222" s="157"/>
      <c r="X222" s="157"/>
    </row>
    <row r="223" ht="12.75" customHeight="1">
      <c r="A223" s="161"/>
      <c r="B223" s="165"/>
      <c r="C223" s="161"/>
      <c r="D223" s="161"/>
      <c r="E223" s="157"/>
      <c r="F223" s="157"/>
      <c r="G223" s="157"/>
      <c r="H223" s="157"/>
      <c r="I223" s="157"/>
      <c r="J223" s="157"/>
      <c r="K223" s="157"/>
      <c r="L223" s="157"/>
      <c r="M223" s="157"/>
      <c r="N223" s="157"/>
      <c r="O223" s="157"/>
      <c r="P223" s="157"/>
      <c r="Q223" s="157"/>
      <c r="R223" s="157"/>
      <c r="S223" s="157"/>
      <c r="T223" s="157"/>
      <c r="U223" s="157"/>
      <c r="V223" s="157"/>
      <c r="W223" s="157"/>
      <c r="X223" s="157"/>
    </row>
    <row r="224" ht="12.75" customHeight="1">
      <c r="A224" s="161"/>
      <c r="B224" s="165"/>
      <c r="C224" s="161"/>
      <c r="D224" s="161"/>
      <c r="E224" s="157"/>
      <c r="F224" s="157"/>
      <c r="G224" s="157"/>
      <c r="H224" s="157"/>
      <c r="I224" s="157"/>
      <c r="J224" s="157"/>
      <c r="K224" s="157"/>
      <c r="L224" s="157"/>
      <c r="M224" s="157"/>
      <c r="N224" s="157"/>
      <c r="O224" s="157"/>
      <c r="P224" s="157"/>
      <c r="Q224" s="157"/>
      <c r="R224" s="157"/>
      <c r="S224" s="157"/>
      <c r="T224" s="157"/>
      <c r="U224" s="157"/>
      <c r="V224" s="157"/>
      <c r="W224" s="157"/>
      <c r="X224" s="157"/>
    </row>
    <row r="225" ht="12.75" customHeight="1">
      <c r="A225" s="161"/>
      <c r="B225" s="165"/>
      <c r="C225" s="161"/>
      <c r="D225" s="161"/>
      <c r="E225" s="157"/>
      <c r="F225" s="157"/>
      <c r="G225" s="157"/>
      <c r="H225" s="157"/>
      <c r="I225" s="157"/>
      <c r="J225" s="157"/>
      <c r="K225" s="157"/>
      <c r="L225" s="157"/>
      <c r="M225" s="157"/>
      <c r="N225" s="157"/>
      <c r="O225" s="157"/>
      <c r="P225" s="157"/>
      <c r="Q225" s="157"/>
      <c r="R225" s="157"/>
      <c r="S225" s="157"/>
      <c r="T225" s="157"/>
      <c r="U225" s="157"/>
      <c r="V225" s="157"/>
      <c r="W225" s="157"/>
      <c r="X225" s="157"/>
    </row>
    <row r="226" ht="12.75" customHeight="1">
      <c r="A226" s="161"/>
      <c r="B226" s="165"/>
      <c r="C226" s="161"/>
      <c r="D226" s="161"/>
      <c r="E226" s="157"/>
      <c r="F226" s="157"/>
      <c r="G226" s="157"/>
      <c r="H226" s="157"/>
      <c r="I226" s="157"/>
      <c r="J226" s="157"/>
      <c r="K226" s="157"/>
      <c r="L226" s="157"/>
      <c r="M226" s="157"/>
      <c r="N226" s="157"/>
      <c r="O226" s="157"/>
      <c r="P226" s="157"/>
      <c r="Q226" s="157"/>
      <c r="R226" s="157"/>
      <c r="S226" s="157"/>
      <c r="T226" s="157"/>
      <c r="U226" s="157"/>
      <c r="V226" s="157"/>
      <c r="W226" s="157"/>
      <c r="X226" s="157"/>
    </row>
    <row r="227" ht="12.75" customHeight="1">
      <c r="A227" s="161"/>
      <c r="B227" s="165"/>
      <c r="C227" s="161"/>
      <c r="D227" s="161"/>
      <c r="E227" s="157"/>
      <c r="F227" s="157"/>
      <c r="G227" s="157"/>
      <c r="H227" s="157"/>
      <c r="I227" s="157"/>
      <c r="J227" s="157"/>
      <c r="K227" s="157"/>
      <c r="L227" s="157"/>
      <c r="M227" s="157"/>
      <c r="N227" s="157"/>
      <c r="O227" s="157"/>
      <c r="P227" s="157"/>
      <c r="Q227" s="157"/>
      <c r="R227" s="157"/>
      <c r="S227" s="157"/>
      <c r="T227" s="157"/>
      <c r="U227" s="157"/>
      <c r="V227" s="157"/>
      <c r="W227" s="157"/>
      <c r="X227" s="157"/>
    </row>
    <row r="228" ht="12.75" customHeight="1">
      <c r="A228" s="161"/>
      <c r="B228" s="165"/>
      <c r="C228" s="161"/>
      <c r="D228" s="161"/>
      <c r="E228" s="157"/>
      <c r="F228" s="157"/>
      <c r="G228" s="157"/>
      <c r="H228" s="157"/>
      <c r="I228" s="157"/>
      <c r="J228" s="157"/>
      <c r="K228" s="157"/>
      <c r="L228" s="157"/>
      <c r="M228" s="157"/>
      <c r="N228" s="157"/>
      <c r="O228" s="157"/>
      <c r="P228" s="157"/>
      <c r="Q228" s="157"/>
      <c r="R228" s="157"/>
      <c r="S228" s="157"/>
      <c r="T228" s="157"/>
      <c r="U228" s="157"/>
      <c r="V228" s="157"/>
      <c r="W228" s="157"/>
      <c r="X228" s="157"/>
    </row>
    <row r="229" ht="12.75" customHeight="1">
      <c r="A229" s="161"/>
      <c r="B229" s="165"/>
      <c r="C229" s="161"/>
      <c r="D229" s="161"/>
      <c r="E229" s="157"/>
      <c r="F229" s="157"/>
      <c r="G229" s="157"/>
      <c r="H229" s="157"/>
      <c r="I229" s="157"/>
      <c r="J229" s="157"/>
      <c r="K229" s="157"/>
      <c r="L229" s="157"/>
      <c r="M229" s="157"/>
      <c r="N229" s="157"/>
      <c r="O229" s="157"/>
      <c r="P229" s="157"/>
      <c r="Q229" s="157"/>
      <c r="R229" s="157"/>
      <c r="S229" s="157"/>
      <c r="T229" s="157"/>
      <c r="U229" s="157"/>
      <c r="V229" s="157"/>
      <c r="W229" s="157"/>
      <c r="X229" s="157"/>
    </row>
    <row r="230" ht="12.75" customHeight="1">
      <c r="A230" s="161"/>
      <c r="B230" s="165"/>
      <c r="C230" s="161"/>
      <c r="D230" s="161"/>
      <c r="E230" s="157"/>
      <c r="F230" s="157"/>
      <c r="G230" s="157"/>
      <c r="H230" s="157"/>
      <c r="I230" s="157"/>
      <c r="J230" s="157"/>
      <c r="K230" s="157"/>
      <c r="L230" s="157"/>
      <c r="M230" s="157"/>
      <c r="N230" s="157"/>
      <c r="O230" s="157"/>
      <c r="P230" s="157"/>
      <c r="Q230" s="157"/>
      <c r="R230" s="157"/>
      <c r="S230" s="157"/>
      <c r="T230" s="157"/>
      <c r="U230" s="157"/>
      <c r="V230" s="157"/>
      <c r="W230" s="157"/>
      <c r="X230" s="157"/>
    </row>
    <row r="231" ht="12.75" customHeight="1">
      <c r="A231" s="161"/>
      <c r="B231" s="165"/>
      <c r="C231" s="161"/>
      <c r="D231" s="161"/>
      <c r="E231" s="157"/>
      <c r="F231" s="157"/>
      <c r="G231" s="157"/>
      <c r="H231" s="157"/>
      <c r="I231" s="157"/>
      <c r="J231" s="157"/>
      <c r="K231" s="157"/>
      <c r="L231" s="157"/>
      <c r="M231" s="157"/>
      <c r="N231" s="157"/>
      <c r="O231" s="157"/>
      <c r="P231" s="157"/>
      <c r="Q231" s="157"/>
      <c r="R231" s="157"/>
      <c r="S231" s="157"/>
      <c r="T231" s="157"/>
      <c r="U231" s="157"/>
      <c r="V231" s="157"/>
      <c r="W231" s="157"/>
      <c r="X231" s="157"/>
    </row>
    <row r="232" ht="12.75" customHeight="1">
      <c r="A232" s="161"/>
      <c r="B232" s="165"/>
      <c r="C232" s="161"/>
      <c r="D232" s="161"/>
      <c r="E232" s="157"/>
      <c r="F232" s="157"/>
      <c r="G232" s="157"/>
      <c r="H232" s="157"/>
      <c r="I232" s="157"/>
      <c r="J232" s="157"/>
      <c r="K232" s="157"/>
      <c r="L232" s="157"/>
      <c r="M232" s="157"/>
      <c r="N232" s="157"/>
      <c r="O232" s="157"/>
      <c r="P232" s="157"/>
      <c r="Q232" s="157"/>
      <c r="R232" s="157"/>
      <c r="S232" s="157"/>
      <c r="T232" s="157"/>
      <c r="U232" s="157"/>
      <c r="V232" s="157"/>
      <c r="W232" s="157"/>
      <c r="X232" s="157"/>
    </row>
    <row r="233" ht="12.75" customHeight="1">
      <c r="A233" s="161"/>
      <c r="B233" s="165"/>
      <c r="C233" s="161"/>
      <c r="D233" s="161"/>
      <c r="E233" s="157"/>
      <c r="F233" s="157"/>
      <c r="G233" s="157"/>
      <c r="H233" s="157"/>
      <c r="I233" s="157"/>
      <c r="J233" s="157"/>
      <c r="K233" s="157"/>
      <c r="L233" s="157"/>
      <c r="M233" s="157"/>
      <c r="N233" s="157"/>
      <c r="O233" s="157"/>
      <c r="P233" s="157"/>
      <c r="Q233" s="157"/>
      <c r="R233" s="157"/>
      <c r="S233" s="157"/>
      <c r="T233" s="157"/>
      <c r="U233" s="157"/>
      <c r="V233" s="157"/>
      <c r="W233" s="157"/>
      <c r="X233" s="157"/>
    </row>
    <row r="234" ht="12.75" customHeight="1">
      <c r="A234" s="161"/>
      <c r="B234" s="165"/>
      <c r="C234" s="161"/>
      <c r="D234" s="161"/>
      <c r="E234" s="157"/>
      <c r="F234" s="157"/>
      <c r="G234" s="157"/>
      <c r="H234" s="157"/>
      <c r="I234" s="157"/>
      <c r="J234" s="157"/>
      <c r="K234" s="157"/>
      <c r="L234" s="157"/>
      <c r="M234" s="157"/>
      <c r="N234" s="157"/>
      <c r="O234" s="157"/>
      <c r="P234" s="157"/>
      <c r="Q234" s="157"/>
      <c r="R234" s="157"/>
      <c r="S234" s="157"/>
      <c r="T234" s="157"/>
      <c r="U234" s="157"/>
      <c r="V234" s="157"/>
      <c r="W234" s="157"/>
      <c r="X234" s="157"/>
    </row>
    <row r="235" ht="12.75" customHeight="1">
      <c r="A235" s="161"/>
      <c r="B235" s="165"/>
      <c r="C235" s="161"/>
      <c r="D235" s="161"/>
      <c r="E235" s="157"/>
      <c r="F235" s="157"/>
      <c r="G235" s="157"/>
      <c r="H235" s="157"/>
      <c r="I235" s="157"/>
      <c r="J235" s="157"/>
      <c r="K235" s="157"/>
      <c r="L235" s="157"/>
      <c r="M235" s="157"/>
      <c r="N235" s="157"/>
      <c r="O235" s="157"/>
      <c r="P235" s="157"/>
      <c r="Q235" s="157"/>
      <c r="R235" s="157"/>
      <c r="S235" s="157"/>
      <c r="T235" s="157"/>
      <c r="U235" s="157"/>
      <c r="V235" s="157"/>
      <c r="W235" s="157"/>
      <c r="X235" s="157"/>
    </row>
    <row r="236" ht="12.75" customHeight="1">
      <c r="A236" s="161"/>
      <c r="B236" s="165"/>
      <c r="C236" s="161"/>
      <c r="D236" s="161"/>
      <c r="E236" s="157"/>
      <c r="F236" s="157"/>
      <c r="G236" s="157"/>
      <c r="H236" s="157"/>
      <c r="I236" s="157"/>
      <c r="J236" s="157"/>
      <c r="K236" s="157"/>
      <c r="L236" s="157"/>
      <c r="M236" s="157"/>
      <c r="N236" s="157"/>
      <c r="O236" s="157"/>
      <c r="P236" s="157"/>
      <c r="Q236" s="157"/>
      <c r="R236" s="157"/>
      <c r="S236" s="157"/>
      <c r="T236" s="157"/>
      <c r="U236" s="157"/>
      <c r="V236" s="157"/>
      <c r="W236" s="157"/>
      <c r="X236" s="157"/>
    </row>
    <row r="237" ht="12.75" customHeight="1">
      <c r="A237" s="161"/>
      <c r="B237" s="165"/>
      <c r="C237" s="161"/>
      <c r="D237" s="161"/>
      <c r="E237" s="157"/>
      <c r="F237" s="157"/>
      <c r="G237" s="157"/>
      <c r="H237" s="157"/>
      <c r="I237" s="157"/>
      <c r="J237" s="157"/>
      <c r="K237" s="157"/>
      <c r="L237" s="157"/>
      <c r="M237" s="157"/>
      <c r="N237" s="157"/>
      <c r="O237" s="157"/>
      <c r="P237" s="157"/>
      <c r="Q237" s="157"/>
      <c r="R237" s="157"/>
      <c r="S237" s="157"/>
      <c r="T237" s="157"/>
      <c r="U237" s="157"/>
      <c r="V237" s="157"/>
      <c r="W237" s="157"/>
      <c r="X237" s="157"/>
    </row>
    <row r="238" ht="12.75" customHeight="1">
      <c r="A238" s="161"/>
      <c r="B238" s="165"/>
      <c r="C238" s="161"/>
      <c r="D238" s="161"/>
      <c r="E238" s="157"/>
      <c r="F238" s="157"/>
      <c r="G238" s="157"/>
      <c r="H238" s="157"/>
      <c r="I238" s="157"/>
      <c r="J238" s="157"/>
      <c r="K238" s="157"/>
      <c r="L238" s="157"/>
      <c r="M238" s="157"/>
      <c r="N238" s="157"/>
      <c r="O238" s="157"/>
      <c r="P238" s="157"/>
      <c r="Q238" s="157"/>
      <c r="R238" s="157"/>
      <c r="S238" s="157"/>
      <c r="T238" s="157"/>
      <c r="U238" s="157"/>
      <c r="V238" s="157"/>
      <c r="W238" s="157"/>
      <c r="X238" s="157"/>
    </row>
    <row r="239" ht="12.75" customHeight="1">
      <c r="A239" s="161"/>
      <c r="B239" s="165"/>
      <c r="C239" s="161"/>
      <c r="D239" s="161"/>
      <c r="E239" s="157"/>
      <c r="F239" s="157"/>
      <c r="G239" s="157"/>
      <c r="H239" s="157"/>
      <c r="I239" s="157"/>
      <c r="J239" s="157"/>
      <c r="K239" s="157"/>
      <c r="L239" s="157"/>
      <c r="M239" s="157"/>
      <c r="N239" s="157"/>
      <c r="O239" s="157"/>
      <c r="P239" s="157"/>
      <c r="Q239" s="157"/>
      <c r="R239" s="157"/>
      <c r="S239" s="157"/>
      <c r="T239" s="157"/>
      <c r="U239" s="157"/>
      <c r="V239" s="157"/>
      <c r="W239" s="157"/>
      <c r="X239" s="157"/>
    </row>
    <row r="240" ht="12.75" customHeight="1">
      <c r="A240" s="161"/>
      <c r="B240" s="165"/>
      <c r="C240" s="161"/>
      <c r="D240" s="161"/>
      <c r="E240" s="157"/>
      <c r="F240" s="157"/>
      <c r="G240" s="157"/>
      <c r="H240" s="157"/>
      <c r="I240" s="157"/>
      <c r="J240" s="157"/>
      <c r="K240" s="157"/>
      <c r="L240" s="157"/>
      <c r="M240" s="157"/>
      <c r="N240" s="157"/>
      <c r="O240" s="157"/>
      <c r="P240" s="157"/>
      <c r="Q240" s="157"/>
      <c r="R240" s="157"/>
      <c r="S240" s="157"/>
      <c r="T240" s="157"/>
      <c r="U240" s="157"/>
      <c r="V240" s="157"/>
      <c r="W240" s="157"/>
      <c r="X240" s="157"/>
    </row>
    <row r="241" ht="12.75" customHeight="1">
      <c r="A241" s="161"/>
      <c r="B241" s="165"/>
      <c r="C241" s="161"/>
      <c r="D241" s="161"/>
      <c r="E241" s="157"/>
      <c r="F241" s="157"/>
      <c r="G241" s="157"/>
      <c r="H241" s="157"/>
      <c r="I241" s="157"/>
      <c r="J241" s="157"/>
      <c r="K241" s="157"/>
      <c r="L241" s="157"/>
      <c r="M241" s="157"/>
      <c r="N241" s="157"/>
      <c r="O241" s="157"/>
      <c r="P241" s="157"/>
      <c r="Q241" s="157"/>
      <c r="R241" s="157"/>
      <c r="S241" s="157"/>
      <c r="T241" s="157"/>
      <c r="U241" s="157"/>
      <c r="V241" s="157"/>
      <c r="W241" s="157"/>
      <c r="X241" s="157"/>
    </row>
    <row r="242" ht="12.75" customHeight="1">
      <c r="A242" s="161"/>
      <c r="B242" s="165"/>
      <c r="C242" s="161"/>
      <c r="D242" s="161"/>
      <c r="E242" s="157"/>
      <c r="F242" s="157"/>
      <c r="G242" s="157"/>
      <c r="H242" s="157"/>
      <c r="I242" s="157"/>
      <c r="J242" s="157"/>
      <c r="K242" s="157"/>
      <c r="L242" s="157"/>
      <c r="M242" s="157"/>
      <c r="N242" s="157"/>
      <c r="O242" s="157"/>
      <c r="P242" s="157"/>
      <c r="Q242" s="157"/>
      <c r="R242" s="157"/>
      <c r="S242" s="157"/>
      <c r="T242" s="157"/>
      <c r="U242" s="157"/>
      <c r="V242" s="157"/>
      <c r="W242" s="157"/>
      <c r="X242" s="157"/>
    </row>
    <row r="243" ht="12.75" customHeight="1">
      <c r="A243" s="161"/>
      <c r="B243" s="165"/>
      <c r="C243" s="161"/>
      <c r="D243" s="161"/>
      <c r="E243" s="157"/>
      <c r="F243" s="157"/>
      <c r="G243" s="157"/>
      <c r="H243" s="157"/>
      <c r="I243" s="157"/>
      <c r="J243" s="157"/>
      <c r="K243" s="157"/>
      <c r="L243" s="157"/>
      <c r="M243" s="157"/>
      <c r="N243" s="157"/>
      <c r="O243" s="157"/>
      <c r="P243" s="157"/>
      <c r="Q243" s="157"/>
      <c r="R243" s="157"/>
      <c r="S243" s="157"/>
      <c r="T243" s="157"/>
      <c r="U243" s="157"/>
      <c r="V243" s="157"/>
      <c r="W243" s="157"/>
      <c r="X243" s="157"/>
    </row>
    <row r="244" ht="12.75" customHeight="1">
      <c r="A244" s="161"/>
      <c r="B244" s="165"/>
      <c r="C244" s="161"/>
      <c r="D244" s="161"/>
      <c r="E244" s="157"/>
      <c r="F244" s="157"/>
      <c r="G244" s="157"/>
      <c r="H244" s="157"/>
      <c r="I244" s="157"/>
      <c r="J244" s="157"/>
      <c r="K244" s="157"/>
      <c r="L244" s="157"/>
      <c r="M244" s="157"/>
      <c r="N244" s="157"/>
      <c r="O244" s="157"/>
      <c r="P244" s="157"/>
      <c r="Q244" s="157"/>
      <c r="R244" s="157"/>
      <c r="S244" s="157"/>
      <c r="T244" s="157"/>
      <c r="U244" s="157"/>
      <c r="V244" s="157"/>
      <c r="W244" s="157"/>
      <c r="X244" s="157"/>
    </row>
    <row r="245" ht="12.75" customHeight="1">
      <c r="A245" s="161"/>
      <c r="B245" s="165"/>
      <c r="C245" s="161"/>
      <c r="D245" s="161"/>
      <c r="E245" s="157"/>
      <c r="F245" s="157"/>
      <c r="G245" s="157"/>
      <c r="H245" s="157"/>
      <c r="I245" s="157"/>
      <c r="J245" s="157"/>
      <c r="K245" s="157"/>
      <c r="L245" s="157"/>
      <c r="M245" s="157"/>
      <c r="N245" s="157"/>
      <c r="O245" s="157"/>
      <c r="P245" s="157"/>
      <c r="Q245" s="157"/>
      <c r="R245" s="157"/>
      <c r="S245" s="157"/>
      <c r="T245" s="157"/>
      <c r="U245" s="157"/>
      <c r="V245" s="157"/>
      <c r="W245" s="157"/>
      <c r="X245" s="157"/>
    </row>
    <row r="246" ht="12.75" customHeight="1">
      <c r="A246" s="161"/>
      <c r="B246" s="165"/>
      <c r="C246" s="161"/>
      <c r="D246" s="161"/>
      <c r="E246" s="157"/>
      <c r="F246" s="157"/>
      <c r="G246" s="157"/>
      <c r="H246" s="157"/>
      <c r="I246" s="157"/>
      <c r="J246" s="157"/>
      <c r="K246" s="157"/>
      <c r="L246" s="157"/>
      <c r="M246" s="157"/>
      <c r="N246" s="157"/>
      <c r="O246" s="157"/>
      <c r="P246" s="157"/>
      <c r="Q246" s="157"/>
      <c r="R246" s="157"/>
      <c r="S246" s="157"/>
      <c r="T246" s="157"/>
      <c r="U246" s="157"/>
      <c r="V246" s="157"/>
      <c r="W246" s="157"/>
      <c r="X246" s="157"/>
    </row>
    <row r="247" ht="12.75" customHeight="1">
      <c r="A247" s="161"/>
      <c r="B247" s="165"/>
      <c r="C247" s="161"/>
      <c r="D247" s="161"/>
      <c r="E247" s="157"/>
      <c r="F247" s="157"/>
      <c r="G247" s="157"/>
      <c r="H247" s="157"/>
      <c r="I247" s="157"/>
      <c r="J247" s="157"/>
      <c r="K247" s="157"/>
      <c r="L247" s="157"/>
      <c r="M247" s="157"/>
      <c r="N247" s="157"/>
      <c r="O247" s="157"/>
      <c r="P247" s="157"/>
      <c r="Q247" s="157"/>
      <c r="R247" s="157"/>
      <c r="S247" s="157"/>
      <c r="T247" s="157"/>
      <c r="U247" s="157"/>
      <c r="V247" s="157"/>
      <c r="W247" s="157"/>
      <c r="X247" s="157"/>
    </row>
    <row r="248" ht="12.75" customHeight="1">
      <c r="A248" s="161"/>
      <c r="B248" s="165"/>
      <c r="C248" s="161"/>
      <c r="D248" s="161"/>
      <c r="E248" s="157"/>
      <c r="F248" s="157"/>
      <c r="G248" s="157"/>
      <c r="H248" s="157"/>
      <c r="I248" s="157"/>
      <c r="J248" s="157"/>
      <c r="K248" s="157"/>
      <c r="L248" s="157"/>
      <c r="M248" s="157"/>
      <c r="N248" s="157"/>
      <c r="O248" s="157"/>
      <c r="P248" s="157"/>
      <c r="Q248" s="157"/>
      <c r="R248" s="157"/>
      <c r="S248" s="157"/>
      <c r="T248" s="157"/>
      <c r="U248" s="157"/>
      <c r="V248" s="157"/>
      <c r="W248" s="157"/>
      <c r="X248" s="157"/>
    </row>
    <row r="249" ht="12.75" customHeight="1">
      <c r="A249" s="161"/>
      <c r="B249" s="165"/>
      <c r="C249" s="161"/>
      <c r="D249" s="161"/>
      <c r="E249" s="157"/>
      <c r="F249" s="157"/>
      <c r="G249" s="157"/>
      <c r="H249" s="157"/>
      <c r="I249" s="157"/>
      <c r="J249" s="157"/>
      <c r="K249" s="157"/>
      <c r="L249" s="157"/>
      <c r="M249" s="157"/>
      <c r="N249" s="157"/>
      <c r="O249" s="157"/>
      <c r="P249" s="157"/>
      <c r="Q249" s="157"/>
      <c r="R249" s="157"/>
      <c r="S249" s="157"/>
      <c r="T249" s="157"/>
      <c r="U249" s="157"/>
      <c r="V249" s="157"/>
      <c r="W249" s="157"/>
      <c r="X249" s="157"/>
    </row>
    <row r="250" ht="12.75" customHeight="1">
      <c r="A250" s="161"/>
      <c r="B250" s="165"/>
      <c r="C250" s="161"/>
      <c r="D250" s="161"/>
      <c r="E250" s="157"/>
      <c r="F250" s="157"/>
      <c r="G250" s="157"/>
      <c r="H250" s="157"/>
      <c r="I250" s="157"/>
      <c r="J250" s="157"/>
      <c r="K250" s="157"/>
      <c r="L250" s="157"/>
      <c r="M250" s="157"/>
      <c r="N250" s="157"/>
      <c r="O250" s="157"/>
      <c r="P250" s="157"/>
      <c r="Q250" s="157"/>
      <c r="R250" s="157"/>
      <c r="S250" s="157"/>
      <c r="T250" s="157"/>
      <c r="U250" s="157"/>
      <c r="V250" s="157"/>
      <c r="W250" s="157"/>
      <c r="X250" s="157"/>
    </row>
    <row r="251" ht="12.75" customHeight="1">
      <c r="A251" s="161"/>
      <c r="B251" s="165"/>
      <c r="C251" s="161"/>
      <c r="D251" s="161"/>
      <c r="E251" s="157"/>
      <c r="F251" s="157"/>
      <c r="G251" s="157"/>
      <c r="H251" s="157"/>
      <c r="I251" s="157"/>
      <c r="J251" s="157"/>
      <c r="K251" s="157"/>
      <c r="L251" s="157"/>
      <c r="M251" s="157"/>
      <c r="N251" s="157"/>
      <c r="O251" s="157"/>
      <c r="P251" s="157"/>
      <c r="Q251" s="157"/>
      <c r="R251" s="157"/>
      <c r="S251" s="157"/>
      <c r="T251" s="157"/>
      <c r="U251" s="157"/>
      <c r="V251" s="157"/>
      <c r="W251" s="157"/>
      <c r="X251" s="157"/>
    </row>
    <row r="252" ht="12.75" customHeight="1">
      <c r="A252" s="161"/>
      <c r="B252" s="165"/>
      <c r="C252" s="161"/>
      <c r="D252" s="161"/>
      <c r="E252" s="157"/>
      <c r="F252" s="157"/>
      <c r="G252" s="157"/>
      <c r="H252" s="157"/>
      <c r="I252" s="157"/>
      <c r="J252" s="157"/>
      <c r="K252" s="157"/>
      <c r="L252" s="157"/>
      <c r="M252" s="157"/>
      <c r="N252" s="157"/>
      <c r="O252" s="157"/>
      <c r="P252" s="157"/>
      <c r="Q252" s="157"/>
      <c r="R252" s="157"/>
      <c r="S252" s="157"/>
      <c r="T252" s="157"/>
      <c r="U252" s="157"/>
      <c r="V252" s="157"/>
      <c r="W252" s="157"/>
      <c r="X252" s="157"/>
    </row>
    <row r="253" ht="12.75" customHeight="1">
      <c r="A253" s="161"/>
      <c r="B253" s="165"/>
      <c r="C253" s="161"/>
      <c r="D253" s="161"/>
      <c r="E253" s="157"/>
      <c r="F253" s="157"/>
      <c r="G253" s="157"/>
      <c r="H253" s="157"/>
      <c r="I253" s="157"/>
      <c r="J253" s="157"/>
      <c r="K253" s="157"/>
      <c r="L253" s="157"/>
      <c r="M253" s="157"/>
      <c r="N253" s="157"/>
      <c r="O253" s="157"/>
      <c r="P253" s="157"/>
      <c r="Q253" s="157"/>
      <c r="R253" s="157"/>
      <c r="S253" s="157"/>
      <c r="T253" s="157"/>
      <c r="U253" s="157"/>
      <c r="V253" s="157"/>
      <c r="W253" s="157"/>
      <c r="X253" s="157"/>
    </row>
    <row r="254" ht="12.75" customHeight="1">
      <c r="A254" s="161"/>
      <c r="B254" s="165"/>
      <c r="C254" s="161"/>
      <c r="D254" s="161"/>
      <c r="E254" s="157"/>
      <c r="F254" s="157"/>
      <c r="G254" s="157"/>
      <c r="H254" s="157"/>
      <c r="I254" s="157"/>
      <c r="J254" s="157"/>
      <c r="K254" s="157"/>
      <c r="L254" s="157"/>
      <c r="M254" s="157"/>
      <c r="N254" s="157"/>
      <c r="O254" s="157"/>
      <c r="P254" s="157"/>
      <c r="Q254" s="157"/>
      <c r="R254" s="157"/>
      <c r="S254" s="157"/>
      <c r="T254" s="157"/>
      <c r="U254" s="157"/>
      <c r="V254" s="157"/>
      <c r="W254" s="157"/>
      <c r="X254" s="157"/>
    </row>
    <row r="255" ht="12.75" customHeight="1">
      <c r="A255" s="161"/>
      <c r="B255" s="165"/>
      <c r="C255" s="161"/>
      <c r="D255" s="161"/>
      <c r="E255" s="157"/>
      <c r="F255" s="157"/>
      <c r="G255" s="157"/>
      <c r="H255" s="157"/>
      <c r="I255" s="157"/>
      <c r="J255" s="157"/>
      <c r="K255" s="157"/>
      <c r="L255" s="157"/>
      <c r="M255" s="157"/>
      <c r="N255" s="157"/>
      <c r="O255" s="157"/>
      <c r="P255" s="157"/>
      <c r="Q255" s="157"/>
      <c r="R255" s="157"/>
      <c r="S255" s="157"/>
      <c r="T255" s="157"/>
      <c r="U255" s="157"/>
      <c r="V255" s="157"/>
      <c r="W255" s="157"/>
      <c r="X255" s="157"/>
    </row>
    <row r="256" ht="12.75" customHeight="1">
      <c r="A256" s="161"/>
      <c r="B256" s="165"/>
      <c r="C256" s="161"/>
      <c r="D256" s="161"/>
      <c r="E256" s="157"/>
      <c r="F256" s="157"/>
      <c r="G256" s="157"/>
      <c r="H256" s="157"/>
      <c r="I256" s="157"/>
      <c r="J256" s="157"/>
      <c r="K256" s="157"/>
      <c r="L256" s="157"/>
      <c r="M256" s="157"/>
      <c r="N256" s="157"/>
      <c r="O256" s="157"/>
      <c r="P256" s="157"/>
      <c r="Q256" s="157"/>
      <c r="R256" s="157"/>
      <c r="S256" s="157"/>
      <c r="T256" s="157"/>
      <c r="U256" s="157"/>
      <c r="V256" s="157"/>
      <c r="W256" s="157"/>
      <c r="X256" s="157"/>
    </row>
    <row r="257" ht="12.75" customHeight="1">
      <c r="A257" s="161"/>
      <c r="B257" s="165"/>
      <c r="C257" s="161"/>
      <c r="D257" s="161"/>
      <c r="E257" s="157"/>
      <c r="F257" s="157"/>
      <c r="G257" s="157"/>
      <c r="H257" s="157"/>
      <c r="I257" s="157"/>
      <c r="J257" s="157"/>
      <c r="K257" s="157"/>
      <c r="L257" s="157"/>
      <c r="M257" s="157"/>
      <c r="N257" s="157"/>
      <c r="O257" s="157"/>
      <c r="P257" s="157"/>
      <c r="Q257" s="157"/>
      <c r="R257" s="157"/>
      <c r="S257" s="157"/>
      <c r="T257" s="157"/>
      <c r="U257" s="157"/>
      <c r="V257" s="157"/>
      <c r="W257" s="157"/>
      <c r="X257" s="157"/>
    </row>
    <row r="258" ht="12.75" customHeight="1">
      <c r="A258" s="161"/>
      <c r="B258" s="165"/>
      <c r="C258" s="161"/>
      <c r="D258" s="161"/>
      <c r="E258" s="157"/>
      <c r="F258" s="157"/>
      <c r="G258" s="157"/>
      <c r="H258" s="157"/>
      <c r="I258" s="157"/>
      <c r="J258" s="157"/>
      <c r="K258" s="157"/>
      <c r="L258" s="157"/>
      <c r="M258" s="157"/>
      <c r="N258" s="157"/>
      <c r="O258" s="157"/>
      <c r="P258" s="157"/>
      <c r="Q258" s="157"/>
      <c r="R258" s="157"/>
      <c r="S258" s="157"/>
      <c r="T258" s="157"/>
      <c r="U258" s="157"/>
      <c r="V258" s="157"/>
      <c r="W258" s="157"/>
      <c r="X258" s="157"/>
    </row>
    <row r="259" ht="12.75" customHeight="1">
      <c r="A259" s="161"/>
      <c r="B259" s="165"/>
      <c r="C259" s="161"/>
      <c r="D259" s="161"/>
      <c r="E259" s="157"/>
      <c r="F259" s="157"/>
      <c r="G259" s="157"/>
      <c r="H259" s="157"/>
      <c r="I259" s="157"/>
      <c r="J259" s="157"/>
      <c r="K259" s="157"/>
      <c r="L259" s="157"/>
      <c r="M259" s="157"/>
      <c r="N259" s="157"/>
      <c r="O259" s="157"/>
      <c r="P259" s="157"/>
      <c r="Q259" s="157"/>
      <c r="R259" s="157"/>
      <c r="S259" s="157"/>
      <c r="T259" s="157"/>
      <c r="U259" s="157"/>
      <c r="V259" s="157"/>
      <c r="W259" s="157"/>
      <c r="X259" s="157"/>
    </row>
    <row r="260" ht="12.75" customHeight="1">
      <c r="A260" s="161"/>
      <c r="B260" s="165"/>
      <c r="C260" s="161"/>
      <c r="D260" s="161"/>
      <c r="E260" s="157"/>
      <c r="F260" s="157"/>
      <c r="G260" s="157"/>
      <c r="H260" s="157"/>
      <c r="I260" s="157"/>
      <c r="J260" s="157"/>
      <c r="K260" s="157"/>
      <c r="L260" s="157"/>
      <c r="M260" s="157"/>
      <c r="N260" s="157"/>
      <c r="O260" s="157"/>
      <c r="P260" s="157"/>
      <c r="Q260" s="157"/>
      <c r="R260" s="157"/>
      <c r="S260" s="157"/>
      <c r="T260" s="157"/>
      <c r="U260" s="157"/>
      <c r="V260" s="157"/>
      <c r="W260" s="157"/>
      <c r="X260" s="157"/>
    </row>
    <row r="261" ht="12.75" customHeight="1">
      <c r="A261" s="161"/>
      <c r="B261" s="165"/>
      <c r="C261" s="161"/>
      <c r="D261" s="161"/>
      <c r="E261" s="157"/>
      <c r="F261" s="157"/>
      <c r="G261" s="157"/>
      <c r="H261" s="157"/>
      <c r="I261" s="157"/>
      <c r="J261" s="157"/>
      <c r="K261" s="157"/>
      <c r="L261" s="157"/>
      <c r="M261" s="157"/>
      <c r="N261" s="157"/>
      <c r="O261" s="157"/>
      <c r="P261" s="157"/>
      <c r="Q261" s="157"/>
      <c r="R261" s="157"/>
      <c r="S261" s="157"/>
      <c r="T261" s="157"/>
      <c r="U261" s="157"/>
      <c r="V261" s="157"/>
      <c r="W261" s="157"/>
      <c r="X261" s="157"/>
    </row>
    <row r="262" ht="12.75" customHeight="1">
      <c r="A262" s="161"/>
      <c r="B262" s="165"/>
      <c r="C262" s="161"/>
      <c r="D262" s="161"/>
      <c r="E262" s="157"/>
      <c r="F262" s="157"/>
      <c r="G262" s="157"/>
      <c r="H262" s="157"/>
      <c r="I262" s="157"/>
      <c r="J262" s="157"/>
      <c r="K262" s="157"/>
      <c r="L262" s="157"/>
      <c r="M262" s="157"/>
      <c r="N262" s="157"/>
      <c r="O262" s="157"/>
      <c r="P262" s="157"/>
      <c r="Q262" s="157"/>
      <c r="R262" s="157"/>
      <c r="S262" s="157"/>
      <c r="T262" s="157"/>
      <c r="U262" s="157"/>
      <c r="V262" s="157"/>
      <c r="W262" s="157"/>
      <c r="X262" s="157"/>
    </row>
    <row r="263" ht="12.75" customHeight="1">
      <c r="A263" s="161"/>
      <c r="B263" s="165"/>
      <c r="C263" s="161"/>
      <c r="D263" s="161"/>
      <c r="E263" s="157"/>
      <c r="F263" s="157"/>
      <c r="G263" s="157"/>
      <c r="H263" s="157"/>
      <c r="I263" s="157"/>
      <c r="J263" s="157"/>
      <c r="K263" s="157"/>
      <c r="L263" s="157"/>
      <c r="M263" s="157"/>
      <c r="N263" s="157"/>
      <c r="O263" s="157"/>
      <c r="P263" s="157"/>
      <c r="Q263" s="157"/>
      <c r="R263" s="157"/>
      <c r="S263" s="157"/>
      <c r="T263" s="157"/>
      <c r="U263" s="157"/>
      <c r="V263" s="157"/>
      <c r="W263" s="157"/>
      <c r="X263" s="157"/>
    </row>
    <row r="264" ht="12.75" customHeight="1">
      <c r="A264" s="161"/>
      <c r="B264" s="165"/>
      <c r="C264" s="161"/>
      <c r="D264" s="161"/>
      <c r="E264" s="157"/>
      <c r="F264" s="157"/>
      <c r="G264" s="157"/>
      <c r="H264" s="157"/>
      <c r="I264" s="157"/>
      <c r="J264" s="157"/>
      <c r="K264" s="157"/>
      <c r="L264" s="157"/>
      <c r="M264" s="157"/>
      <c r="N264" s="157"/>
      <c r="O264" s="157"/>
      <c r="P264" s="157"/>
      <c r="Q264" s="157"/>
      <c r="R264" s="157"/>
      <c r="S264" s="157"/>
      <c r="T264" s="157"/>
      <c r="U264" s="157"/>
      <c r="V264" s="157"/>
      <c r="W264" s="157"/>
      <c r="X264" s="157"/>
    </row>
    <row r="265" ht="12.75" customHeight="1">
      <c r="A265" s="161"/>
      <c r="B265" s="165"/>
      <c r="C265" s="161"/>
      <c r="D265" s="161"/>
      <c r="E265" s="157"/>
      <c r="F265" s="157"/>
      <c r="G265" s="157"/>
      <c r="H265" s="157"/>
      <c r="I265" s="157"/>
      <c r="J265" s="157"/>
      <c r="K265" s="157"/>
      <c r="L265" s="157"/>
      <c r="M265" s="157"/>
      <c r="N265" s="157"/>
      <c r="O265" s="157"/>
      <c r="P265" s="157"/>
      <c r="Q265" s="157"/>
      <c r="R265" s="157"/>
      <c r="S265" s="157"/>
      <c r="T265" s="157"/>
      <c r="U265" s="157"/>
      <c r="V265" s="157"/>
      <c r="W265" s="157"/>
      <c r="X265" s="157"/>
    </row>
    <row r="266" ht="12.75" customHeight="1">
      <c r="A266" s="161"/>
      <c r="B266" s="165"/>
      <c r="C266" s="161"/>
      <c r="D266" s="161"/>
      <c r="E266" s="157"/>
      <c r="F266" s="157"/>
      <c r="G266" s="157"/>
      <c r="H266" s="157"/>
      <c r="I266" s="157"/>
      <c r="J266" s="157"/>
      <c r="K266" s="157"/>
      <c r="L266" s="157"/>
      <c r="M266" s="157"/>
      <c r="N266" s="157"/>
      <c r="O266" s="157"/>
      <c r="P266" s="157"/>
      <c r="Q266" s="157"/>
      <c r="R266" s="157"/>
      <c r="S266" s="157"/>
      <c r="T266" s="157"/>
      <c r="U266" s="157"/>
      <c r="V266" s="157"/>
      <c r="W266" s="157"/>
      <c r="X266" s="157"/>
    </row>
    <row r="267" ht="12.75" customHeight="1">
      <c r="A267" s="161"/>
      <c r="B267" s="165"/>
      <c r="C267" s="161"/>
      <c r="D267" s="161"/>
      <c r="E267" s="157"/>
      <c r="F267" s="157"/>
      <c r="G267" s="157"/>
      <c r="H267" s="157"/>
      <c r="I267" s="157"/>
      <c r="J267" s="157"/>
      <c r="K267" s="157"/>
      <c r="L267" s="157"/>
      <c r="M267" s="157"/>
      <c r="N267" s="157"/>
      <c r="O267" s="157"/>
      <c r="P267" s="157"/>
      <c r="Q267" s="157"/>
      <c r="R267" s="157"/>
      <c r="S267" s="157"/>
      <c r="T267" s="157"/>
      <c r="U267" s="157"/>
      <c r="V267" s="157"/>
      <c r="W267" s="157"/>
      <c r="X267" s="157"/>
    </row>
    <row r="268" ht="12.75" customHeight="1">
      <c r="A268" s="161"/>
      <c r="B268" s="165"/>
      <c r="C268" s="161"/>
      <c r="D268" s="161"/>
      <c r="E268" s="157"/>
      <c r="F268" s="157"/>
      <c r="G268" s="157"/>
      <c r="H268" s="157"/>
      <c r="I268" s="157"/>
      <c r="J268" s="157"/>
      <c r="K268" s="157"/>
      <c r="L268" s="157"/>
      <c r="M268" s="157"/>
      <c r="N268" s="157"/>
      <c r="O268" s="157"/>
      <c r="P268" s="157"/>
      <c r="Q268" s="157"/>
      <c r="R268" s="157"/>
      <c r="S268" s="157"/>
      <c r="T268" s="157"/>
      <c r="U268" s="157"/>
      <c r="V268" s="157"/>
      <c r="W268" s="157"/>
      <c r="X268" s="157"/>
    </row>
    <row r="269" ht="12.75" customHeight="1">
      <c r="A269" s="161"/>
      <c r="B269" s="165"/>
      <c r="C269" s="161"/>
      <c r="D269" s="161"/>
      <c r="E269" s="157"/>
      <c r="F269" s="157"/>
      <c r="G269" s="157"/>
      <c r="H269" s="157"/>
      <c r="I269" s="157"/>
      <c r="J269" s="157"/>
      <c r="K269" s="157"/>
      <c r="L269" s="157"/>
      <c r="M269" s="157"/>
      <c r="N269" s="157"/>
      <c r="O269" s="157"/>
      <c r="P269" s="157"/>
      <c r="Q269" s="157"/>
      <c r="R269" s="157"/>
      <c r="S269" s="157"/>
      <c r="T269" s="157"/>
      <c r="U269" s="157"/>
      <c r="V269" s="157"/>
      <c r="W269" s="157"/>
      <c r="X269" s="157"/>
    </row>
    <row r="270" ht="12.75" customHeight="1">
      <c r="A270" s="161"/>
      <c r="B270" s="165"/>
      <c r="C270" s="161"/>
      <c r="D270" s="161"/>
      <c r="E270" s="157"/>
      <c r="F270" s="157"/>
      <c r="G270" s="157"/>
      <c r="H270" s="157"/>
      <c r="I270" s="157"/>
      <c r="J270" s="157"/>
      <c r="K270" s="157"/>
      <c r="L270" s="157"/>
      <c r="M270" s="157"/>
      <c r="N270" s="157"/>
      <c r="O270" s="157"/>
      <c r="P270" s="157"/>
      <c r="Q270" s="157"/>
      <c r="R270" s="157"/>
      <c r="S270" s="157"/>
      <c r="T270" s="157"/>
      <c r="U270" s="157"/>
      <c r="V270" s="157"/>
      <c r="W270" s="157"/>
      <c r="X270" s="157"/>
    </row>
    <row r="271" ht="12.75" customHeight="1">
      <c r="A271" s="161"/>
      <c r="B271" s="165"/>
      <c r="C271" s="161"/>
      <c r="D271" s="161"/>
      <c r="E271" s="157"/>
      <c r="F271" s="157"/>
      <c r="G271" s="157"/>
      <c r="H271" s="157"/>
      <c r="I271" s="157"/>
      <c r="J271" s="157"/>
      <c r="K271" s="157"/>
      <c r="L271" s="157"/>
      <c r="M271" s="157"/>
      <c r="N271" s="157"/>
      <c r="O271" s="157"/>
      <c r="P271" s="157"/>
      <c r="Q271" s="157"/>
      <c r="R271" s="157"/>
      <c r="S271" s="157"/>
      <c r="T271" s="157"/>
      <c r="U271" s="157"/>
      <c r="V271" s="157"/>
      <c r="W271" s="157"/>
      <c r="X271" s="157"/>
    </row>
    <row r="272" ht="12.75" customHeight="1">
      <c r="A272" s="161"/>
      <c r="B272" s="165"/>
      <c r="C272" s="161"/>
      <c r="D272" s="161"/>
      <c r="E272" s="157"/>
      <c r="F272" s="157"/>
      <c r="G272" s="157"/>
      <c r="H272" s="157"/>
      <c r="I272" s="157"/>
      <c r="J272" s="157"/>
      <c r="K272" s="157"/>
      <c r="L272" s="157"/>
      <c r="M272" s="157"/>
      <c r="N272" s="157"/>
      <c r="O272" s="157"/>
      <c r="P272" s="157"/>
      <c r="Q272" s="157"/>
      <c r="R272" s="157"/>
      <c r="S272" s="157"/>
      <c r="T272" s="157"/>
      <c r="U272" s="157"/>
      <c r="V272" s="157"/>
      <c r="W272" s="157"/>
      <c r="X272" s="157"/>
    </row>
    <row r="273" ht="12.75" customHeight="1">
      <c r="A273" s="161"/>
      <c r="B273" s="165"/>
      <c r="C273" s="161"/>
      <c r="D273" s="161"/>
      <c r="E273" s="157"/>
      <c r="F273" s="157"/>
      <c r="G273" s="157"/>
      <c r="H273" s="157"/>
      <c r="I273" s="157"/>
      <c r="J273" s="157"/>
      <c r="K273" s="157"/>
      <c r="L273" s="157"/>
      <c r="M273" s="157"/>
      <c r="N273" s="157"/>
      <c r="O273" s="157"/>
      <c r="P273" s="157"/>
      <c r="Q273" s="157"/>
      <c r="R273" s="157"/>
      <c r="S273" s="157"/>
      <c r="T273" s="157"/>
      <c r="U273" s="157"/>
      <c r="V273" s="157"/>
      <c r="W273" s="157"/>
      <c r="X273" s="157"/>
    </row>
    <row r="274" ht="12.75" customHeight="1">
      <c r="A274" s="161"/>
      <c r="B274" s="165"/>
      <c r="C274" s="161"/>
      <c r="D274" s="161"/>
      <c r="E274" s="157"/>
      <c r="F274" s="157"/>
      <c r="G274" s="157"/>
      <c r="H274" s="157"/>
      <c r="I274" s="157"/>
      <c r="J274" s="157"/>
      <c r="K274" s="157"/>
      <c r="L274" s="157"/>
      <c r="M274" s="157"/>
      <c r="N274" s="157"/>
      <c r="O274" s="157"/>
      <c r="P274" s="157"/>
      <c r="Q274" s="157"/>
      <c r="R274" s="157"/>
      <c r="S274" s="157"/>
      <c r="T274" s="157"/>
      <c r="U274" s="157"/>
      <c r="V274" s="157"/>
      <c r="W274" s="157"/>
      <c r="X274" s="157"/>
    </row>
    <row r="275" ht="12.75" customHeight="1">
      <c r="A275" s="161"/>
      <c r="B275" s="165"/>
      <c r="C275" s="161"/>
      <c r="D275" s="161"/>
      <c r="E275" s="157"/>
      <c r="F275" s="157"/>
      <c r="G275" s="157"/>
      <c r="H275" s="157"/>
      <c r="I275" s="157"/>
      <c r="J275" s="157"/>
      <c r="K275" s="157"/>
      <c r="L275" s="157"/>
      <c r="M275" s="157"/>
      <c r="N275" s="157"/>
      <c r="O275" s="157"/>
      <c r="P275" s="157"/>
      <c r="Q275" s="157"/>
      <c r="R275" s="157"/>
      <c r="S275" s="157"/>
      <c r="T275" s="157"/>
      <c r="U275" s="157"/>
      <c r="V275" s="157"/>
      <c r="W275" s="157"/>
      <c r="X275" s="157"/>
    </row>
    <row r="276" ht="12.75" customHeight="1">
      <c r="A276" s="161"/>
      <c r="B276" s="165"/>
      <c r="C276" s="161"/>
      <c r="D276" s="161"/>
      <c r="E276" s="157"/>
      <c r="F276" s="157"/>
      <c r="G276" s="157"/>
      <c r="H276" s="157"/>
      <c r="I276" s="157"/>
      <c r="J276" s="157"/>
      <c r="K276" s="157"/>
      <c r="L276" s="157"/>
      <c r="M276" s="157"/>
      <c r="N276" s="157"/>
      <c r="O276" s="157"/>
      <c r="P276" s="157"/>
      <c r="Q276" s="157"/>
      <c r="R276" s="157"/>
      <c r="S276" s="157"/>
      <c r="T276" s="157"/>
      <c r="U276" s="157"/>
      <c r="V276" s="157"/>
      <c r="W276" s="157"/>
      <c r="X276" s="157"/>
    </row>
    <row r="277" ht="12.75" customHeight="1">
      <c r="A277" s="161"/>
      <c r="B277" s="165"/>
      <c r="C277" s="161"/>
      <c r="D277" s="161"/>
      <c r="E277" s="157"/>
      <c r="F277" s="157"/>
      <c r="G277" s="157"/>
      <c r="H277" s="157"/>
      <c r="I277" s="157"/>
      <c r="J277" s="157"/>
      <c r="K277" s="157"/>
      <c r="L277" s="157"/>
      <c r="M277" s="157"/>
      <c r="N277" s="157"/>
      <c r="O277" s="157"/>
      <c r="P277" s="157"/>
      <c r="Q277" s="157"/>
      <c r="R277" s="157"/>
      <c r="S277" s="157"/>
      <c r="T277" s="157"/>
      <c r="U277" s="157"/>
      <c r="V277" s="157"/>
      <c r="W277" s="157"/>
      <c r="X277" s="157"/>
    </row>
    <row r="278" ht="12.75" customHeight="1">
      <c r="A278" s="161"/>
      <c r="B278" s="165"/>
      <c r="C278" s="161"/>
      <c r="D278" s="161"/>
      <c r="E278" s="157"/>
      <c r="F278" s="157"/>
      <c r="G278" s="157"/>
      <c r="H278" s="157"/>
      <c r="I278" s="157"/>
      <c r="J278" s="157"/>
      <c r="K278" s="157"/>
      <c r="L278" s="157"/>
      <c r="M278" s="157"/>
      <c r="N278" s="157"/>
      <c r="O278" s="157"/>
      <c r="P278" s="157"/>
      <c r="Q278" s="157"/>
      <c r="R278" s="157"/>
      <c r="S278" s="157"/>
      <c r="T278" s="157"/>
      <c r="U278" s="157"/>
      <c r="V278" s="157"/>
      <c r="W278" s="157"/>
      <c r="X278" s="157"/>
    </row>
    <row r="279" ht="12.75" customHeight="1">
      <c r="A279" s="161"/>
      <c r="B279" s="165"/>
      <c r="C279" s="161"/>
      <c r="D279" s="161"/>
      <c r="E279" s="157"/>
      <c r="F279" s="157"/>
      <c r="G279" s="157"/>
      <c r="H279" s="157"/>
      <c r="I279" s="157"/>
      <c r="J279" s="157"/>
      <c r="K279" s="157"/>
      <c r="L279" s="157"/>
      <c r="M279" s="157"/>
      <c r="N279" s="157"/>
      <c r="O279" s="157"/>
      <c r="P279" s="157"/>
      <c r="Q279" s="157"/>
      <c r="R279" s="157"/>
      <c r="S279" s="157"/>
      <c r="T279" s="157"/>
      <c r="U279" s="157"/>
      <c r="V279" s="157"/>
      <c r="W279" s="157"/>
      <c r="X279" s="157"/>
    </row>
    <row r="280" ht="12.75" customHeight="1">
      <c r="A280" s="161"/>
      <c r="B280" s="165"/>
      <c r="C280" s="161"/>
      <c r="D280" s="161"/>
      <c r="E280" s="157"/>
      <c r="F280" s="157"/>
      <c r="G280" s="157"/>
      <c r="H280" s="157"/>
      <c r="I280" s="157"/>
      <c r="J280" s="157"/>
      <c r="K280" s="157"/>
      <c r="L280" s="157"/>
      <c r="M280" s="157"/>
      <c r="N280" s="157"/>
      <c r="O280" s="157"/>
      <c r="P280" s="157"/>
      <c r="Q280" s="157"/>
      <c r="R280" s="157"/>
      <c r="S280" s="157"/>
      <c r="T280" s="157"/>
      <c r="U280" s="157"/>
      <c r="V280" s="157"/>
      <c r="W280" s="157"/>
      <c r="X280" s="157"/>
    </row>
    <row r="281" ht="12.75" customHeight="1">
      <c r="A281" s="161"/>
      <c r="B281" s="165"/>
      <c r="C281" s="161"/>
      <c r="D281" s="161"/>
      <c r="E281" s="157"/>
      <c r="F281" s="157"/>
      <c r="G281" s="157"/>
      <c r="H281" s="157"/>
      <c r="I281" s="157"/>
      <c r="J281" s="157"/>
      <c r="K281" s="157"/>
      <c r="L281" s="157"/>
      <c r="M281" s="157"/>
      <c r="N281" s="157"/>
      <c r="O281" s="157"/>
      <c r="P281" s="157"/>
      <c r="Q281" s="157"/>
      <c r="R281" s="157"/>
      <c r="S281" s="157"/>
      <c r="T281" s="157"/>
      <c r="U281" s="157"/>
      <c r="V281" s="157"/>
      <c r="W281" s="157"/>
      <c r="X281" s="157"/>
    </row>
    <row r="282" ht="12.75" customHeight="1">
      <c r="A282" s="161"/>
      <c r="B282" s="165"/>
      <c r="C282" s="161"/>
      <c r="D282" s="161"/>
      <c r="E282" s="157"/>
      <c r="F282" s="157"/>
      <c r="G282" s="157"/>
      <c r="H282" s="157"/>
      <c r="I282" s="157"/>
      <c r="J282" s="157"/>
      <c r="K282" s="157"/>
      <c r="L282" s="157"/>
      <c r="M282" s="157"/>
      <c r="N282" s="157"/>
      <c r="O282" s="157"/>
      <c r="P282" s="157"/>
      <c r="Q282" s="157"/>
      <c r="R282" s="157"/>
      <c r="S282" s="157"/>
      <c r="T282" s="157"/>
      <c r="U282" s="157"/>
      <c r="V282" s="157"/>
      <c r="W282" s="157"/>
      <c r="X282" s="157"/>
    </row>
    <row r="283" ht="12.75" customHeight="1">
      <c r="A283" s="161"/>
      <c r="B283" s="165"/>
      <c r="C283" s="161"/>
      <c r="D283" s="161"/>
      <c r="E283" s="157"/>
      <c r="F283" s="157"/>
      <c r="G283" s="157"/>
      <c r="H283" s="157"/>
      <c r="I283" s="157"/>
      <c r="J283" s="157"/>
      <c r="K283" s="157"/>
      <c r="L283" s="157"/>
      <c r="M283" s="157"/>
      <c r="N283" s="157"/>
      <c r="O283" s="157"/>
      <c r="P283" s="157"/>
      <c r="Q283" s="157"/>
      <c r="R283" s="157"/>
      <c r="S283" s="157"/>
      <c r="T283" s="157"/>
      <c r="U283" s="157"/>
      <c r="V283" s="157"/>
      <c r="W283" s="157"/>
      <c r="X283" s="157"/>
    </row>
    <row r="284" ht="12.75" customHeight="1">
      <c r="A284" s="161"/>
      <c r="B284" s="165"/>
      <c r="C284" s="161"/>
      <c r="D284" s="161"/>
      <c r="E284" s="157"/>
      <c r="F284" s="157"/>
      <c r="G284" s="157"/>
      <c r="H284" s="157"/>
      <c r="I284" s="157"/>
      <c r="J284" s="157"/>
      <c r="K284" s="157"/>
      <c r="L284" s="157"/>
      <c r="M284" s="157"/>
      <c r="N284" s="157"/>
      <c r="O284" s="157"/>
      <c r="P284" s="157"/>
      <c r="Q284" s="157"/>
      <c r="R284" s="157"/>
      <c r="S284" s="157"/>
      <c r="T284" s="157"/>
      <c r="U284" s="157"/>
      <c r="V284" s="157"/>
      <c r="W284" s="157"/>
      <c r="X284" s="157"/>
    </row>
    <row r="285" ht="12.75" customHeight="1">
      <c r="A285" s="161"/>
      <c r="B285" s="165"/>
      <c r="C285" s="161"/>
      <c r="D285" s="161"/>
      <c r="E285" s="157"/>
      <c r="F285" s="157"/>
      <c r="G285" s="157"/>
      <c r="H285" s="157"/>
      <c r="I285" s="157"/>
      <c r="J285" s="157"/>
      <c r="K285" s="157"/>
      <c r="L285" s="157"/>
      <c r="M285" s="157"/>
      <c r="N285" s="157"/>
      <c r="O285" s="157"/>
      <c r="P285" s="157"/>
      <c r="Q285" s="157"/>
      <c r="R285" s="157"/>
      <c r="S285" s="157"/>
      <c r="T285" s="157"/>
      <c r="U285" s="157"/>
      <c r="V285" s="157"/>
      <c r="W285" s="157"/>
      <c r="X285" s="157"/>
    </row>
    <row r="286" ht="12.75" customHeight="1">
      <c r="A286" s="161"/>
      <c r="B286" s="165"/>
      <c r="C286" s="161"/>
      <c r="D286" s="161"/>
      <c r="E286" s="157"/>
      <c r="F286" s="157"/>
      <c r="G286" s="157"/>
      <c r="H286" s="157"/>
      <c r="I286" s="157"/>
      <c r="J286" s="157"/>
      <c r="K286" s="157"/>
      <c r="L286" s="157"/>
      <c r="M286" s="157"/>
      <c r="N286" s="157"/>
      <c r="O286" s="157"/>
      <c r="P286" s="157"/>
      <c r="Q286" s="157"/>
      <c r="R286" s="157"/>
      <c r="S286" s="157"/>
      <c r="T286" s="157"/>
      <c r="U286" s="157"/>
      <c r="V286" s="157"/>
      <c r="W286" s="157"/>
      <c r="X286" s="157"/>
    </row>
    <row r="287" ht="12.75" customHeight="1">
      <c r="A287" s="161"/>
      <c r="B287" s="165"/>
      <c r="C287" s="161"/>
      <c r="D287" s="161"/>
      <c r="E287" s="157"/>
      <c r="F287" s="157"/>
      <c r="G287" s="157"/>
      <c r="H287" s="157"/>
      <c r="I287" s="157"/>
      <c r="J287" s="157"/>
      <c r="K287" s="157"/>
      <c r="L287" s="157"/>
      <c r="M287" s="157"/>
      <c r="N287" s="157"/>
      <c r="O287" s="157"/>
      <c r="P287" s="157"/>
      <c r="Q287" s="157"/>
      <c r="R287" s="157"/>
      <c r="S287" s="157"/>
      <c r="T287" s="157"/>
      <c r="U287" s="157"/>
      <c r="V287" s="157"/>
      <c r="W287" s="157"/>
      <c r="X287" s="157"/>
    </row>
    <row r="288" ht="12.75" customHeight="1">
      <c r="A288" s="161"/>
      <c r="B288" s="165"/>
      <c r="C288" s="161"/>
      <c r="D288" s="161"/>
      <c r="E288" s="157"/>
      <c r="F288" s="157"/>
      <c r="G288" s="157"/>
      <c r="H288" s="157"/>
      <c r="I288" s="157"/>
      <c r="J288" s="157"/>
      <c r="K288" s="157"/>
      <c r="L288" s="157"/>
      <c r="M288" s="157"/>
      <c r="N288" s="157"/>
      <c r="O288" s="157"/>
      <c r="P288" s="157"/>
      <c r="Q288" s="157"/>
      <c r="R288" s="157"/>
      <c r="S288" s="157"/>
      <c r="T288" s="157"/>
      <c r="U288" s="157"/>
      <c r="V288" s="157"/>
      <c r="W288" s="157"/>
      <c r="X288" s="157"/>
    </row>
    <row r="289" ht="12.75" customHeight="1">
      <c r="A289" s="161"/>
      <c r="B289" s="165"/>
      <c r="C289" s="161"/>
      <c r="D289" s="161"/>
      <c r="E289" s="157"/>
      <c r="F289" s="157"/>
      <c r="G289" s="157"/>
      <c r="H289" s="157"/>
      <c r="I289" s="157"/>
      <c r="J289" s="157"/>
      <c r="K289" s="157"/>
      <c r="L289" s="157"/>
      <c r="M289" s="157"/>
      <c r="N289" s="157"/>
      <c r="O289" s="157"/>
      <c r="P289" s="157"/>
      <c r="Q289" s="157"/>
      <c r="R289" s="157"/>
      <c r="S289" s="157"/>
      <c r="T289" s="157"/>
      <c r="U289" s="157"/>
      <c r="V289" s="157"/>
      <c r="W289" s="157"/>
      <c r="X289" s="157"/>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4:D4"/>
  </mergeCells>
  <hyperlinks>
    <hyperlink r:id="rId1" ref="B21"/>
    <hyperlink r:id="rId2" ref="B23"/>
    <hyperlink r:id="rId3" ref="B58"/>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71"/>
    <col customWidth="1" min="2" max="2" width="10.29"/>
    <col customWidth="1" min="3" max="3" width="11.29"/>
    <col customWidth="1" min="4" max="4" width="17.86"/>
    <col customWidth="1" min="5" max="5" width="36.14"/>
    <col customWidth="1" min="6" max="6" width="11.86"/>
    <col customWidth="1" min="7" max="7" width="14.0"/>
    <col customWidth="1" min="8" max="8" width="13.43"/>
    <col customWidth="1" min="9" max="9" width="13.14"/>
    <col customWidth="1" min="10" max="10" width="12.57"/>
    <col customWidth="1" min="11" max="11" width="35.0"/>
  </cols>
  <sheetData>
    <row r="1" ht="12.75" customHeight="1">
      <c r="A1" s="180" t="s">
        <v>1023</v>
      </c>
      <c r="B1" s="181"/>
      <c r="C1" s="180"/>
      <c r="D1" s="180"/>
      <c r="E1" s="182" t="s">
        <v>1674</v>
      </c>
      <c r="F1" s="183" t="s">
        <v>4</v>
      </c>
      <c r="G1" s="182" t="s">
        <v>2106</v>
      </c>
      <c r="H1" s="184" t="s">
        <v>2107</v>
      </c>
      <c r="I1" s="164"/>
      <c r="J1" s="164"/>
      <c r="K1" s="182"/>
      <c r="L1" s="156"/>
      <c r="M1" s="156"/>
      <c r="N1" s="156"/>
      <c r="O1" s="156"/>
      <c r="P1" s="156"/>
      <c r="Q1" s="156"/>
      <c r="R1" s="156"/>
      <c r="S1" s="156"/>
      <c r="T1" s="156"/>
      <c r="U1" s="156"/>
      <c r="V1" s="156"/>
      <c r="W1" s="156"/>
      <c r="X1" s="156"/>
      <c r="Y1" s="156"/>
      <c r="Z1" s="156"/>
      <c r="AA1" s="156"/>
      <c r="AB1" s="156"/>
    </row>
    <row r="2" ht="12.75" customHeight="1">
      <c r="A2" s="185" t="s">
        <v>2108</v>
      </c>
      <c r="B2" s="185" t="s">
        <v>2109</v>
      </c>
      <c r="C2" s="185" t="s">
        <v>2110</v>
      </c>
      <c r="D2" s="185" t="s">
        <v>10</v>
      </c>
      <c r="E2" s="185" t="s">
        <v>11</v>
      </c>
      <c r="F2" s="186" t="s">
        <v>12</v>
      </c>
      <c r="G2" s="187" t="s">
        <v>12</v>
      </c>
      <c r="H2" s="187" t="s">
        <v>12</v>
      </c>
      <c r="I2" s="188" t="s">
        <v>2111</v>
      </c>
      <c r="J2" s="188" t="s">
        <v>2112</v>
      </c>
      <c r="K2" s="185" t="s">
        <v>2113</v>
      </c>
      <c r="L2" s="189"/>
      <c r="M2" s="189"/>
      <c r="N2" s="189"/>
      <c r="O2" s="189"/>
      <c r="P2" s="189"/>
      <c r="Q2" s="189"/>
      <c r="R2" s="189"/>
      <c r="S2" s="189"/>
      <c r="T2" s="189"/>
      <c r="U2" s="189"/>
      <c r="V2" s="189"/>
      <c r="W2" s="189"/>
      <c r="X2" s="189"/>
      <c r="Y2" s="189"/>
      <c r="Z2" s="189"/>
      <c r="AA2" s="189"/>
      <c r="AB2" s="189"/>
    </row>
    <row r="3" ht="32.25" customHeight="1">
      <c r="A3" s="190" t="str">
        <f>HYPERLINK("https://drive.google.com/open?id=0B6Vr5nVC58V5Ul9iekxHN1BXbHo1WjJ1aE5CN01RNFZlLXpj","8500000083")</f>
        <v>8500000083</v>
      </c>
      <c r="B3" s="191" t="s">
        <v>14</v>
      </c>
      <c r="C3" s="165" t="s">
        <v>2114</v>
      </c>
      <c r="D3" s="165" t="s">
        <v>2115</v>
      </c>
      <c r="E3" s="192" t="s">
        <v>2116</v>
      </c>
      <c r="F3" s="193">
        <v>43819.0</v>
      </c>
      <c r="G3" s="194">
        <v>43818.0</v>
      </c>
      <c r="H3" s="194">
        <v>43826.0</v>
      </c>
      <c r="I3" s="195" t="s">
        <v>2117</v>
      </c>
      <c r="J3" s="196" t="s">
        <v>2117</v>
      </c>
      <c r="K3" s="197" t="s">
        <v>2118</v>
      </c>
      <c r="L3" s="198"/>
      <c r="M3" s="198"/>
      <c r="N3" s="198"/>
      <c r="O3" s="198"/>
      <c r="P3" s="198"/>
      <c r="Q3" s="198"/>
      <c r="R3" s="198"/>
      <c r="S3" s="198"/>
      <c r="T3" s="198"/>
      <c r="U3" s="198"/>
      <c r="V3" s="198"/>
      <c r="W3" s="198"/>
      <c r="X3" s="198"/>
      <c r="Y3" s="198"/>
      <c r="Z3" s="198"/>
      <c r="AA3" s="198"/>
      <c r="AB3" s="198"/>
    </row>
    <row r="4" ht="32.25" customHeight="1">
      <c r="A4" s="190" t="str">
        <f>HYPERLINK("https://drive.google.com/open?id=0B6Vr5nVC58V5eEFqU3JLanRhMnJDaGdMT1BPMXRrVkQxNzhv","8600000876")</f>
        <v>8600000876</v>
      </c>
      <c r="B4" s="191" t="s">
        <v>14</v>
      </c>
      <c r="C4" s="165" t="s">
        <v>2119</v>
      </c>
      <c r="D4" s="191" t="s">
        <v>2120</v>
      </c>
      <c r="E4" s="199" t="s">
        <v>2121</v>
      </c>
      <c r="F4" s="200">
        <v>43819.0</v>
      </c>
      <c r="G4" s="170">
        <v>43818.0</v>
      </c>
      <c r="H4" s="170">
        <v>43829.0</v>
      </c>
      <c r="I4" s="195" t="s">
        <v>2117</v>
      </c>
      <c r="J4" s="195" t="s">
        <v>2117</v>
      </c>
      <c r="K4" s="201" t="s">
        <v>2122</v>
      </c>
      <c r="L4" s="198"/>
      <c r="M4" s="198"/>
      <c r="N4" s="198"/>
      <c r="O4" s="198"/>
      <c r="P4" s="198"/>
      <c r="Q4" s="198"/>
      <c r="R4" s="198"/>
      <c r="S4" s="198"/>
      <c r="T4" s="198"/>
      <c r="U4" s="198"/>
      <c r="V4" s="198"/>
      <c r="W4" s="198"/>
      <c r="X4" s="198"/>
      <c r="Y4" s="198"/>
      <c r="Z4" s="198"/>
      <c r="AA4" s="198"/>
      <c r="AB4" s="198"/>
    </row>
    <row r="5" ht="32.25" customHeight="1">
      <c r="A5" s="190" t="str">
        <f>HYPERLINK("https://drive.google.com/open?id=0B6Vr5nVC58V5ZElfZ3RGLS0tMkNHUHgtajVxOHdHajc2WTZJ","8600000869")</f>
        <v>8600000869</v>
      </c>
      <c r="B5" s="191" t="s">
        <v>14</v>
      </c>
      <c r="C5" s="165" t="s">
        <v>2123</v>
      </c>
      <c r="D5" s="165" t="s">
        <v>2124</v>
      </c>
      <c r="E5" s="197" t="s">
        <v>2125</v>
      </c>
      <c r="F5" s="193">
        <v>43817.0</v>
      </c>
      <c r="G5" s="194">
        <v>43812.0</v>
      </c>
      <c r="H5" s="194">
        <v>43819.0</v>
      </c>
      <c r="I5" s="195" t="s">
        <v>2117</v>
      </c>
      <c r="J5" s="195" t="s">
        <v>2117</v>
      </c>
      <c r="K5" s="197" t="s">
        <v>2126</v>
      </c>
      <c r="L5" s="198"/>
      <c r="M5" s="198"/>
      <c r="N5" s="198"/>
      <c r="O5" s="198"/>
      <c r="P5" s="198"/>
      <c r="Q5" s="198"/>
      <c r="R5" s="198"/>
      <c r="S5" s="198"/>
      <c r="T5" s="198"/>
      <c r="U5" s="198"/>
      <c r="V5" s="198"/>
      <c r="W5" s="198"/>
      <c r="X5" s="198"/>
      <c r="Y5" s="198"/>
      <c r="Z5" s="198"/>
      <c r="AA5" s="198"/>
      <c r="AB5" s="198"/>
    </row>
    <row r="6" ht="32.25" customHeight="1">
      <c r="A6" s="190" t="str">
        <f>HYPERLINK("https://drive.google.com/open?id=0B6Vr5nVC58V5Tm1ZMEhkVTNZTE5QQTBuSlkxNjhmSXRMSnRr","8600000870")</f>
        <v>8600000870</v>
      </c>
      <c r="B6" s="191" t="s">
        <v>25</v>
      </c>
      <c r="C6" s="165" t="s">
        <v>2127</v>
      </c>
      <c r="D6" s="192" t="s">
        <v>2128</v>
      </c>
      <c r="E6" s="197" t="s">
        <v>2129</v>
      </c>
      <c r="F6" s="193">
        <v>43817.0</v>
      </c>
      <c r="G6" s="194">
        <v>43812.0</v>
      </c>
      <c r="H6" s="194">
        <v>43819.0</v>
      </c>
      <c r="I6" s="195" t="s">
        <v>2117</v>
      </c>
      <c r="J6" s="195" t="s">
        <v>2117</v>
      </c>
      <c r="K6" s="201" t="s">
        <v>2130</v>
      </c>
      <c r="L6" s="198"/>
      <c r="M6" s="198"/>
      <c r="N6" s="198"/>
      <c r="O6" s="198"/>
      <c r="P6" s="198"/>
      <c r="Q6" s="198"/>
      <c r="R6" s="198"/>
      <c r="S6" s="198"/>
      <c r="T6" s="198"/>
      <c r="U6" s="198"/>
      <c r="V6" s="198"/>
      <c r="W6" s="198"/>
      <c r="X6" s="198"/>
      <c r="Y6" s="198"/>
      <c r="Z6" s="198"/>
      <c r="AA6" s="198"/>
      <c r="AB6" s="198"/>
    </row>
    <row r="7" ht="32.25" customHeight="1">
      <c r="A7" s="190" t="str">
        <f>HYPERLINK("https://drive.google.com/open?id=0B6Vr5nVC58V5MmJreV9INzhLaDNIcmVSRWR5TmtaUXI3cEd3","8500000082")</f>
        <v>8500000082</v>
      </c>
      <c r="B7" s="191" t="s">
        <v>14</v>
      </c>
      <c r="C7" s="165" t="s">
        <v>2131</v>
      </c>
      <c r="D7" s="191" t="s">
        <v>2132</v>
      </c>
      <c r="E7" s="202" t="s">
        <v>2133</v>
      </c>
      <c r="F7" s="170">
        <v>43812.0</v>
      </c>
      <c r="G7" s="170">
        <v>43818.0</v>
      </c>
      <c r="H7" s="170">
        <v>43818.0</v>
      </c>
      <c r="I7" s="195" t="s">
        <v>2117</v>
      </c>
      <c r="J7" s="195" t="s">
        <v>2117</v>
      </c>
      <c r="K7" s="197" t="s">
        <v>2134</v>
      </c>
      <c r="L7" s="198"/>
      <c r="M7" s="198"/>
      <c r="N7" s="198"/>
      <c r="O7" s="198"/>
      <c r="P7" s="198"/>
      <c r="Q7" s="198"/>
      <c r="R7" s="198"/>
      <c r="S7" s="198"/>
      <c r="T7" s="198"/>
      <c r="U7" s="198"/>
      <c r="V7" s="198"/>
      <c r="W7" s="198"/>
      <c r="X7" s="198"/>
      <c r="Y7" s="198"/>
      <c r="Z7" s="198"/>
      <c r="AA7" s="198"/>
      <c r="AB7" s="198"/>
    </row>
    <row r="8" ht="32.25" customHeight="1">
      <c r="A8" s="190" t="str">
        <f>HYPERLINK("https://drive.google.com/open?id=0B6Vr5nVC58V5eUlKb2duc0piYXdfLVpLN0FRWTB0S0NwU2pz","8600000854")</f>
        <v>8600000854</v>
      </c>
      <c r="B8" s="191" t="s">
        <v>14</v>
      </c>
      <c r="C8" s="165" t="s">
        <v>2135</v>
      </c>
      <c r="D8" s="165" t="s">
        <v>2136</v>
      </c>
      <c r="E8" s="199" t="s">
        <v>2137</v>
      </c>
      <c r="F8" s="193">
        <v>43805.0</v>
      </c>
      <c r="G8" s="194">
        <v>43802.0</v>
      </c>
      <c r="H8" s="191" t="s">
        <v>2138</v>
      </c>
      <c r="I8" s="195" t="s">
        <v>2117</v>
      </c>
      <c r="J8" s="195" t="s">
        <v>2117</v>
      </c>
      <c r="K8" s="201" t="s">
        <v>2139</v>
      </c>
      <c r="L8" s="198"/>
      <c r="M8" s="198"/>
      <c r="N8" s="198"/>
      <c r="O8" s="198"/>
      <c r="P8" s="198"/>
      <c r="Q8" s="198"/>
      <c r="R8" s="198"/>
      <c r="S8" s="198"/>
      <c r="T8" s="198"/>
      <c r="U8" s="198"/>
      <c r="V8" s="198"/>
      <c r="W8" s="198"/>
      <c r="X8" s="198"/>
      <c r="Y8" s="198"/>
      <c r="Z8" s="198"/>
      <c r="AA8" s="198"/>
      <c r="AB8" s="198"/>
    </row>
    <row r="9" ht="32.25" customHeight="1">
      <c r="A9" s="190" t="str">
        <f>HYPERLINK("https://drive.google.com/open?id=0B6Vr5nVC58V5RU5Qb0hIWlBDNkpwdkVOckJTTlFtVnN2VUh3","8600000855")</f>
        <v>8600000855</v>
      </c>
      <c r="B9" s="191" t="s">
        <v>14</v>
      </c>
      <c r="C9" s="165" t="s">
        <v>2140</v>
      </c>
      <c r="D9" s="191" t="s">
        <v>2141</v>
      </c>
      <c r="E9" s="197" t="s">
        <v>2142</v>
      </c>
      <c r="F9" s="193">
        <v>43805.0</v>
      </c>
      <c r="G9" s="194">
        <v>43794.0</v>
      </c>
      <c r="H9" s="191" t="s">
        <v>2143</v>
      </c>
      <c r="I9" s="195" t="s">
        <v>2117</v>
      </c>
      <c r="J9" s="195" t="s">
        <v>2117</v>
      </c>
      <c r="K9" s="201" t="s">
        <v>2144</v>
      </c>
      <c r="L9" s="198"/>
      <c r="M9" s="198"/>
      <c r="N9" s="198"/>
      <c r="O9" s="198"/>
      <c r="P9" s="198"/>
      <c r="Q9" s="198"/>
      <c r="R9" s="198"/>
      <c r="S9" s="198"/>
      <c r="T9" s="198"/>
      <c r="U9" s="198"/>
      <c r="V9" s="198"/>
      <c r="W9" s="198"/>
      <c r="X9" s="198"/>
      <c r="Y9" s="198"/>
      <c r="Z9" s="198"/>
      <c r="AA9" s="198"/>
      <c r="AB9" s="198"/>
    </row>
    <row r="10" ht="32.25" customHeight="1">
      <c r="A10" s="190" t="str">
        <f>HYPERLINK("https://drive.google.com/open?id=0B6Vr5nVC58V5ZWo5T09hQ1oxU0M2NjN2Z0RoVnFFSkdvbTBz","8600000871")</f>
        <v>8600000871</v>
      </c>
      <c r="B10" s="191" t="s">
        <v>25</v>
      </c>
      <c r="C10" s="165" t="s">
        <v>2145</v>
      </c>
      <c r="D10" s="165" t="s">
        <v>2146</v>
      </c>
      <c r="E10" s="203" t="s">
        <v>2147</v>
      </c>
      <c r="F10" s="193">
        <v>43804.0</v>
      </c>
      <c r="G10" s="194">
        <v>43802.0</v>
      </c>
      <c r="H10" s="194">
        <v>43808.0</v>
      </c>
      <c r="I10" s="195" t="s">
        <v>2117</v>
      </c>
      <c r="J10" s="195" t="s">
        <v>2117</v>
      </c>
      <c r="K10" s="197" t="s">
        <v>2148</v>
      </c>
      <c r="L10" s="198"/>
      <c r="M10" s="198"/>
      <c r="N10" s="198"/>
      <c r="O10" s="198"/>
      <c r="P10" s="198"/>
      <c r="Q10" s="198"/>
      <c r="R10" s="198"/>
      <c r="S10" s="198"/>
      <c r="T10" s="198"/>
      <c r="U10" s="198"/>
      <c r="V10" s="198"/>
      <c r="W10" s="198"/>
      <c r="X10" s="198"/>
      <c r="Y10" s="198"/>
      <c r="Z10" s="198"/>
      <c r="AA10" s="198"/>
      <c r="AB10" s="198"/>
    </row>
    <row r="11" ht="32.25" customHeight="1">
      <c r="A11" s="190" t="str">
        <f>HYPERLINK("https://drive.google.com/open?id=0B6Vr5nVC58V5eGc3SzMxd29kM2dEOFlWY3pXdDJlWjJIQUZV","8600000849")</f>
        <v>8600000849</v>
      </c>
      <c r="B11" s="191" t="s">
        <v>21</v>
      </c>
      <c r="C11" s="165" t="s">
        <v>2149</v>
      </c>
      <c r="D11" s="191" t="s">
        <v>2150</v>
      </c>
      <c r="E11" s="197" t="s">
        <v>2151</v>
      </c>
      <c r="F11" s="193">
        <v>43797.0</v>
      </c>
      <c r="G11" s="194">
        <v>43801.0</v>
      </c>
      <c r="H11" s="191" t="s">
        <v>2152</v>
      </c>
      <c r="I11" s="165" t="s">
        <v>2153</v>
      </c>
      <c r="J11" s="165" t="s">
        <v>2154</v>
      </c>
      <c r="K11" s="201" t="s">
        <v>2155</v>
      </c>
      <c r="L11" s="198"/>
      <c r="M11" s="198"/>
      <c r="N11" s="198"/>
      <c r="O11" s="198"/>
      <c r="P11" s="198"/>
      <c r="Q11" s="198"/>
      <c r="R11" s="198"/>
      <c r="S11" s="198"/>
      <c r="T11" s="198"/>
      <c r="U11" s="198"/>
      <c r="V11" s="198"/>
      <c r="W11" s="198"/>
      <c r="X11" s="198"/>
      <c r="Y11" s="198"/>
      <c r="Z11" s="198"/>
      <c r="AA11" s="198"/>
      <c r="AB11" s="198"/>
    </row>
    <row r="12" ht="32.25" customHeight="1">
      <c r="A12" s="190" t="str">
        <f>HYPERLINK("https://drive.google.com/open?id=0B6Vr5nVC58V5R3FVZFZIWE51RWFkWGlmQ3BKejFBbUlCX3ZN","8600000845")</f>
        <v>8600000845</v>
      </c>
      <c r="B12" s="191" t="s">
        <v>14</v>
      </c>
      <c r="C12" s="165" t="s">
        <v>2156</v>
      </c>
      <c r="D12" s="165" t="s">
        <v>2157</v>
      </c>
      <c r="E12" s="199" t="s">
        <v>2158</v>
      </c>
      <c r="F12" s="193">
        <v>43790.0</v>
      </c>
      <c r="G12" s="194">
        <v>43787.0</v>
      </c>
      <c r="H12" s="194">
        <v>43798.0</v>
      </c>
      <c r="I12" s="195" t="s">
        <v>2117</v>
      </c>
      <c r="J12" s="195" t="s">
        <v>2117</v>
      </c>
      <c r="K12" s="201" t="s">
        <v>2159</v>
      </c>
      <c r="L12" s="198"/>
      <c r="M12" s="198"/>
      <c r="N12" s="198"/>
      <c r="O12" s="198"/>
      <c r="P12" s="198"/>
      <c r="Q12" s="198"/>
      <c r="R12" s="198"/>
      <c r="S12" s="198"/>
      <c r="T12" s="198"/>
      <c r="U12" s="198"/>
      <c r="V12" s="198"/>
      <c r="W12" s="198"/>
      <c r="X12" s="198"/>
      <c r="Y12" s="198"/>
      <c r="Z12" s="198"/>
      <c r="AA12" s="198"/>
      <c r="AB12" s="198"/>
    </row>
    <row r="13" ht="32.25" customHeight="1">
      <c r="A13" s="190" t="str">
        <f>HYPERLINK("https://drive.google.com/open?id=0B6Vr5nVC58V5M0ZSWko0R1llLUF4U1lnaUwwMnVDWU53bjdv","8600000841")</f>
        <v>8600000841</v>
      </c>
      <c r="B13" s="191" t="s">
        <v>25</v>
      </c>
      <c r="C13" s="165" t="s">
        <v>2160</v>
      </c>
      <c r="D13" s="165" t="s">
        <v>2161</v>
      </c>
      <c r="E13" s="192" t="s">
        <v>2162</v>
      </c>
      <c r="F13" s="193">
        <v>43790.0</v>
      </c>
      <c r="G13" s="194">
        <v>43789.0</v>
      </c>
      <c r="H13" s="194">
        <v>43798.0</v>
      </c>
      <c r="I13" s="195" t="s">
        <v>2117</v>
      </c>
      <c r="J13" s="195" t="s">
        <v>2117</v>
      </c>
      <c r="K13" s="201" t="s">
        <v>2163</v>
      </c>
      <c r="L13" s="198"/>
      <c r="M13" s="198"/>
      <c r="N13" s="198"/>
      <c r="O13" s="198"/>
      <c r="P13" s="198"/>
      <c r="Q13" s="198"/>
      <c r="R13" s="198"/>
      <c r="S13" s="198"/>
      <c r="T13" s="198"/>
      <c r="U13" s="198"/>
      <c r="V13" s="198"/>
      <c r="W13" s="198"/>
      <c r="X13" s="198"/>
      <c r="Y13" s="198"/>
      <c r="Z13" s="198"/>
      <c r="AA13" s="198"/>
      <c r="AB13" s="198"/>
    </row>
    <row r="14" ht="32.25" customHeight="1">
      <c r="A14" s="190" t="str">
        <f>HYPERLINK("https://drive.google.com/open?id=0B6Vr5nVC58V5ZVBJdUlCejZwcV9qRmhVa3ZyUGhWbkJZWkU4","8600000846")</f>
        <v>8600000846</v>
      </c>
      <c r="B14" s="191" t="s">
        <v>21</v>
      </c>
      <c r="C14" s="165" t="s">
        <v>2164</v>
      </c>
      <c r="D14" s="191" t="s">
        <v>2165</v>
      </c>
      <c r="E14" s="197" t="s">
        <v>2166</v>
      </c>
      <c r="F14" s="193">
        <v>43789.0</v>
      </c>
      <c r="G14" s="170">
        <v>43805.0</v>
      </c>
      <c r="H14" s="170">
        <v>43805.0</v>
      </c>
      <c r="I14" s="165" t="s">
        <v>2153</v>
      </c>
      <c r="J14" s="165" t="s">
        <v>2154</v>
      </c>
      <c r="K14" s="201" t="s">
        <v>2167</v>
      </c>
      <c r="L14" s="198"/>
      <c r="M14" s="198"/>
      <c r="N14" s="198"/>
      <c r="O14" s="198"/>
      <c r="P14" s="198"/>
      <c r="Q14" s="198"/>
      <c r="R14" s="198"/>
      <c r="S14" s="198"/>
      <c r="T14" s="198"/>
      <c r="U14" s="198"/>
      <c r="V14" s="198"/>
      <c r="W14" s="198"/>
      <c r="X14" s="198"/>
      <c r="Y14" s="198"/>
      <c r="Z14" s="198"/>
      <c r="AA14" s="198"/>
      <c r="AB14" s="198"/>
    </row>
    <row r="15" ht="32.25" customHeight="1">
      <c r="A15" s="190" t="str">
        <f>HYPERLINK("https://drive.google.com/open?id=0B6Vr5nVC58V5YVR2NENkYTJ6b3JMZVo2WHJFR2FFSDRJVENz","8500000080")</f>
        <v>8500000080</v>
      </c>
      <c r="B15" s="191" t="s">
        <v>21</v>
      </c>
      <c r="C15" s="165" t="s">
        <v>2168</v>
      </c>
      <c r="D15" s="191" t="s">
        <v>2169</v>
      </c>
      <c r="E15" s="197" t="s">
        <v>2170</v>
      </c>
      <c r="F15" s="193">
        <v>43787.0</v>
      </c>
      <c r="G15" s="194">
        <v>43783.0</v>
      </c>
      <c r="H15" s="194">
        <v>43789.0</v>
      </c>
      <c r="I15" s="204" t="s">
        <v>2171</v>
      </c>
      <c r="J15" s="165" t="s">
        <v>2154</v>
      </c>
      <c r="K15" s="201" t="s">
        <v>2172</v>
      </c>
      <c r="L15" s="198"/>
      <c r="M15" s="198"/>
      <c r="N15" s="198"/>
      <c r="O15" s="198"/>
      <c r="P15" s="198"/>
      <c r="Q15" s="198"/>
      <c r="R15" s="198"/>
      <c r="S15" s="198"/>
      <c r="T15" s="198"/>
      <c r="U15" s="198"/>
      <c r="V15" s="198"/>
      <c r="W15" s="198"/>
      <c r="X15" s="198"/>
      <c r="Y15" s="198"/>
      <c r="Z15" s="198"/>
      <c r="AA15" s="198"/>
      <c r="AB15" s="198"/>
    </row>
    <row r="16" ht="32.25" customHeight="1">
      <c r="A16" s="190" t="str">
        <f>HYPERLINK("https://drive.google.com/open?id=0B6Vr5nVC58V5UzV2elhCdXdlM0hkX0JoSWRXZTFIMjBOZmIw","8600000851")</f>
        <v>8600000851</v>
      </c>
      <c r="B16" s="191" t="s">
        <v>25</v>
      </c>
      <c r="C16" s="165" t="s">
        <v>2168</v>
      </c>
      <c r="D16" s="191" t="s">
        <v>2173</v>
      </c>
      <c r="E16" s="197" t="s">
        <v>2174</v>
      </c>
      <c r="F16" s="193">
        <v>43783.0</v>
      </c>
      <c r="G16" s="194">
        <v>43783.0</v>
      </c>
      <c r="H16" s="194">
        <v>43789.0</v>
      </c>
      <c r="I16" s="195" t="s">
        <v>2117</v>
      </c>
      <c r="J16" s="195" t="s">
        <v>2117</v>
      </c>
      <c r="K16" s="201" t="s">
        <v>2175</v>
      </c>
      <c r="L16" s="198"/>
      <c r="M16" s="198"/>
      <c r="N16" s="198"/>
      <c r="O16" s="198"/>
      <c r="P16" s="198"/>
      <c r="Q16" s="198"/>
      <c r="R16" s="198"/>
      <c r="S16" s="198"/>
      <c r="T16" s="198"/>
      <c r="U16" s="198"/>
      <c r="V16" s="198"/>
      <c r="W16" s="198"/>
      <c r="X16" s="198"/>
      <c r="Y16" s="198"/>
      <c r="Z16" s="198"/>
      <c r="AA16" s="198"/>
      <c r="AB16" s="198"/>
    </row>
    <row r="17" ht="32.25" customHeight="1">
      <c r="A17" s="190" t="str">
        <f>HYPERLINK("https://drive.google.com/open?id=0B6Vr5nVC58V5VURRZm9zaWU1SklrajNQcTFtWTdwVFVGQVpJ","8600000837")</f>
        <v>8600000837</v>
      </c>
      <c r="B17" s="191" t="s">
        <v>21</v>
      </c>
      <c r="C17" s="165" t="s">
        <v>2176</v>
      </c>
      <c r="D17" s="165" t="s">
        <v>2177</v>
      </c>
      <c r="E17" s="192" t="s">
        <v>2178</v>
      </c>
      <c r="F17" s="200">
        <v>43781.0</v>
      </c>
      <c r="G17" s="194">
        <v>43782.0</v>
      </c>
      <c r="H17" s="194">
        <v>43783.0</v>
      </c>
      <c r="I17" s="165" t="s">
        <v>2179</v>
      </c>
      <c r="J17" s="165" t="s">
        <v>2154</v>
      </c>
      <c r="K17" s="201" t="s">
        <v>2180</v>
      </c>
      <c r="L17" s="198"/>
      <c r="M17" s="198"/>
      <c r="N17" s="198"/>
      <c r="O17" s="198"/>
      <c r="P17" s="198"/>
      <c r="Q17" s="198"/>
      <c r="R17" s="198"/>
      <c r="S17" s="198"/>
      <c r="T17" s="198"/>
      <c r="U17" s="198"/>
      <c r="V17" s="198"/>
      <c r="W17" s="198"/>
      <c r="X17" s="198"/>
      <c r="Y17" s="198"/>
      <c r="Z17" s="198"/>
      <c r="AA17" s="198"/>
      <c r="AB17" s="198"/>
    </row>
    <row r="18" ht="32.25" customHeight="1">
      <c r="A18" s="190" t="str">
        <f>HYPERLINK("https://drive.google.com/open?id=0B6Vr5nVC58V5cXUtSWpJWFhQUE1ta1M4SFM4R1pGZ05hTjZr","8500000077")</f>
        <v>8500000077</v>
      </c>
      <c r="B18" s="191" t="s">
        <v>14</v>
      </c>
      <c r="C18" s="165" t="s">
        <v>2114</v>
      </c>
      <c r="D18" s="191" t="s">
        <v>2181</v>
      </c>
      <c r="E18" s="197" t="s">
        <v>2182</v>
      </c>
      <c r="F18" s="200">
        <v>43777.0</v>
      </c>
      <c r="G18" s="194">
        <v>43775.0</v>
      </c>
      <c r="H18" s="194">
        <v>43782.0</v>
      </c>
      <c r="I18" s="195" t="s">
        <v>2117</v>
      </c>
      <c r="J18" s="195" t="s">
        <v>2117</v>
      </c>
      <c r="K18" s="201" t="s">
        <v>2183</v>
      </c>
      <c r="L18" s="198"/>
      <c r="M18" s="198"/>
      <c r="N18" s="198"/>
      <c r="O18" s="198"/>
      <c r="P18" s="198"/>
      <c r="Q18" s="198"/>
      <c r="R18" s="198"/>
      <c r="S18" s="198"/>
      <c r="T18" s="198"/>
      <c r="U18" s="198"/>
      <c r="V18" s="198"/>
      <c r="W18" s="198"/>
      <c r="X18" s="198"/>
      <c r="Y18" s="198"/>
      <c r="Z18" s="198"/>
      <c r="AA18" s="198"/>
      <c r="AB18" s="198"/>
    </row>
    <row r="19" ht="32.25" customHeight="1">
      <c r="A19" s="190" t="str">
        <f>HYPERLINK("https://drive.google.com/open?id=0B6Vr5nVC58V5UTQ1QV91LVFRdzZIdEZfOVJJYlZfRXEwdU5J","8600000819")</f>
        <v>8600000819</v>
      </c>
      <c r="B19" s="191" t="s">
        <v>21</v>
      </c>
      <c r="C19" s="165" t="s">
        <v>2114</v>
      </c>
      <c r="D19" s="165" t="s">
        <v>2184</v>
      </c>
      <c r="E19" s="192" t="s">
        <v>2185</v>
      </c>
      <c r="F19" s="200">
        <v>43774.0</v>
      </c>
      <c r="G19" s="194">
        <v>43770.0</v>
      </c>
      <c r="H19" s="194">
        <v>43776.0</v>
      </c>
      <c r="I19" s="165" t="s">
        <v>2186</v>
      </c>
      <c r="J19" s="165" t="s">
        <v>2154</v>
      </c>
      <c r="K19" s="201" t="s">
        <v>2187</v>
      </c>
      <c r="L19" s="198"/>
      <c r="M19" s="198"/>
      <c r="N19" s="198"/>
      <c r="O19" s="198"/>
      <c r="P19" s="198"/>
      <c r="Q19" s="198"/>
      <c r="R19" s="198"/>
      <c r="S19" s="198"/>
      <c r="T19" s="198"/>
      <c r="U19" s="198"/>
      <c r="V19" s="198"/>
      <c r="W19" s="198"/>
      <c r="X19" s="198"/>
      <c r="Y19" s="198"/>
      <c r="Z19" s="198"/>
      <c r="AA19" s="198"/>
      <c r="AB19" s="198"/>
    </row>
    <row r="20" ht="32.25" customHeight="1">
      <c r="A20" s="190" t="str">
        <f>HYPERLINK("https://drive.google.com/open?id=0B6Vr5nVC58V5YU13ZjAyREw1VTVDRjhUT29xRnpNOGwzcm9r","8600000817")</f>
        <v>8600000817</v>
      </c>
      <c r="B20" s="191" t="s">
        <v>21</v>
      </c>
      <c r="C20" s="165" t="s">
        <v>2188</v>
      </c>
      <c r="D20" s="165" t="s">
        <v>2189</v>
      </c>
      <c r="E20" s="197" t="s">
        <v>2190</v>
      </c>
      <c r="F20" s="200">
        <v>43769.0</v>
      </c>
      <c r="G20" s="194">
        <v>43769.0</v>
      </c>
      <c r="H20" s="194">
        <v>43774.0</v>
      </c>
      <c r="I20" s="165" t="s">
        <v>2191</v>
      </c>
      <c r="J20" s="165" t="s">
        <v>2154</v>
      </c>
      <c r="K20" s="201" t="s">
        <v>2192</v>
      </c>
      <c r="L20" s="198"/>
      <c r="M20" s="198"/>
      <c r="N20" s="198"/>
      <c r="O20" s="198"/>
      <c r="P20" s="198"/>
      <c r="Q20" s="198"/>
      <c r="R20" s="198"/>
      <c r="S20" s="198"/>
      <c r="T20" s="198"/>
      <c r="U20" s="198"/>
      <c r="V20" s="198"/>
      <c r="W20" s="198"/>
      <c r="X20" s="198"/>
      <c r="Y20" s="198"/>
      <c r="Z20" s="198"/>
      <c r="AA20" s="198"/>
      <c r="AB20" s="198"/>
    </row>
    <row r="21" ht="32.25" customHeight="1">
      <c r="A21" s="190" t="str">
        <f>HYPERLINK("https://drive.google.com/open?id=0B6Vr5nVC58V5Tjg5OHBPWVYyVHM2bVA2cmFDOUJVeTh5dm9J","8600000816")</f>
        <v>8600000816</v>
      </c>
      <c r="B21" s="191" t="s">
        <v>14</v>
      </c>
      <c r="C21" s="165" t="s">
        <v>2193</v>
      </c>
      <c r="D21" s="191" t="s">
        <v>2194</v>
      </c>
      <c r="E21" s="203" t="s">
        <v>2195</v>
      </c>
      <c r="F21" s="200">
        <v>43763.0</v>
      </c>
      <c r="G21" s="200">
        <v>43761.0</v>
      </c>
      <c r="H21" s="200">
        <v>43768.0</v>
      </c>
      <c r="I21" s="195" t="s">
        <v>2117</v>
      </c>
      <c r="J21" s="195" t="s">
        <v>2117</v>
      </c>
      <c r="K21" s="201" t="s">
        <v>2196</v>
      </c>
      <c r="L21" s="198"/>
      <c r="M21" s="198"/>
      <c r="N21" s="198"/>
      <c r="O21" s="198"/>
      <c r="P21" s="198"/>
      <c r="Q21" s="198"/>
      <c r="R21" s="198"/>
      <c r="S21" s="198"/>
      <c r="T21" s="198"/>
      <c r="U21" s="198"/>
      <c r="V21" s="198"/>
      <c r="W21" s="198"/>
      <c r="X21" s="198"/>
      <c r="Y21" s="198"/>
      <c r="Z21" s="198"/>
      <c r="AA21" s="198"/>
      <c r="AB21" s="198"/>
    </row>
    <row r="22" ht="32.25" customHeight="1">
      <c r="A22" s="190" t="str">
        <f>HYPERLINK("https://drive.google.com/open?id=0B6Vr5nVC58V5NEwwUFNkNUVCc1hTeFFBMFRBQVdwQzc4OTY4","8600000811")</f>
        <v>8600000811</v>
      </c>
      <c r="B22" s="191" t="s">
        <v>14</v>
      </c>
      <c r="C22" s="165" t="s">
        <v>2197</v>
      </c>
      <c r="D22" s="165" t="s">
        <v>2198</v>
      </c>
      <c r="E22" s="199" t="s">
        <v>2199</v>
      </c>
      <c r="F22" s="200">
        <v>43763.0</v>
      </c>
      <c r="G22" s="200">
        <v>43759.0</v>
      </c>
      <c r="H22" s="200">
        <v>43767.0</v>
      </c>
      <c r="I22" s="195" t="s">
        <v>2117</v>
      </c>
      <c r="J22" s="195" t="s">
        <v>2117</v>
      </c>
      <c r="K22" s="197" t="s">
        <v>2200</v>
      </c>
      <c r="L22" s="198"/>
      <c r="M22" s="198"/>
      <c r="N22" s="198"/>
      <c r="O22" s="198"/>
      <c r="P22" s="198"/>
      <c r="Q22" s="198"/>
      <c r="R22" s="198"/>
      <c r="S22" s="198"/>
      <c r="T22" s="198"/>
      <c r="U22" s="198"/>
      <c r="V22" s="198"/>
      <c r="W22" s="198"/>
      <c r="X22" s="198"/>
      <c r="Y22" s="198"/>
      <c r="Z22" s="198"/>
      <c r="AA22" s="198"/>
      <c r="AB22" s="198"/>
    </row>
    <row r="23" ht="32.25" customHeight="1">
      <c r="A23" s="190" t="str">
        <f>HYPERLINK("https://drive.google.com/open?id=0B6Vr5nVC58V5RUw4U3paSTRILWZVa2JWZ0hZSkc2enh1eHhV","8600000804")</f>
        <v>8600000804</v>
      </c>
      <c r="B23" s="191" t="s">
        <v>14</v>
      </c>
      <c r="C23" s="165" t="s">
        <v>2201</v>
      </c>
      <c r="D23" s="165" t="s">
        <v>2202</v>
      </c>
      <c r="E23" s="203" t="s">
        <v>2203</v>
      </c>
      <c r="F23" s="200">
        <v>43763.0</v>
      </c>
      <c r="G23" s="200">
        <v>43759.0</v>
      </c>
      <c r="H23" s="200">
        <v>43768.0</v>
      </c>
      <c r="I23" s="195" t="s">
        <v>2117</v>
      </c>
      <c r="J23" s="195" t="s">
        <v>2117</v>
      </c>
      <c r="K23" s="201" t="s">
        <v>2204</v>
      </c>
      <c r="L23" s="198"/>
      <c r="M23" s="198"/>
      <c r="N23" s="198"/>
      <c r="O23" s="198"/>
      <c r="P23" s="198"/>
      <c r="Q23" s="198"/>
      <c r="R23" s="198"/>
      <c r="S23" s="198"/>
      <c r="T23" s="198"/>
      <c r="U23" s="198"/>
      <c r="V23" s="198"/>
      <c r="W23" s="198"/>
      <c r="X23" s="198"/>
      <c r="Y23" s="198"/>
      <c r="Z23" s="198"/>
      <c r="AA23" s="198"/>
      <c r="AB23" s="198"/>
    </row>
    <row r="24" ht="32.25" customHeight="1">
      <c r="A24" s="205" t="str">
        <f>HYPERLINK("https://drive.google.com/open?id=0B6Vr5nVC58V5UC1vRWc5MzVaUGtvNi1sakFTN3dOVC1OLTIw","8600000810")</f>
        <v>8600000810</v>
      </c>
      <c r="B24" s="191" t="s">
        <v>25</v>
      </c>
      <c r="C24" s="165" t="s">
        <v>2205</v>
      </c>
      <c r="D24" s="165" t="s">
        <v>2206</v>
      </c>
      <c r="E24" s="197" t="s">
        <v>2207</v>
      </c>
      <c r="F24" s="200">
        <v>43762.0</v>
      </c>
      <c r="G24" s="194">
        <v>43760.0</v>
      </c>
      <c r="H24" s="194">
        <v>43770.0</v>
      </c>
      <c r="I24" s="195" t="s">
        <v>2117</v>
      </c>
      <c r="J24" s="195" t="s">
        <v>2117</v>
      </c>
      <c r="K24" s="201" t="s">
        <v>2208</v>
      </c>
      <c r="L24" s="198"/>
      <c r="M24" s="198"/>
      <c r="N24" s="198"/>
      <c r="O24" s="198"/>
      <c r="P24" s="198"/>
      <c r="Q24" s="198"/>
      <c r="R24" s="198"/>
      <c r="S24" s="198"/>
      <c r="T24" s="198"/>
      <c r="U24" s="198"/>
      <c r="V24" s="198"/>
      <c r="W24" s="198"/>
      <c r="X24" s="198"/>
      <c r="Y24" s="198"/>
      <c r="Z24" s="198"/>
      <c r="AA24" s="198"/>
      <c r="AB24" s="198"/>
    </row>
    <row r="25" ht="32.25" customHeight="1">
      <c r="A25" s="190" t="str">
        <f>HYPERLINK("https://drive.google.com/open?id=0B6Vr5nVC58V5MjRqRmtYeXdPY1RNUlVGYlIxS2dKQ2dkQjQw","8600000815")</f>
        <v>8600000815</v>
      </c>
      <c r="B25" s="191" t="s">
        <v>25</v>
      </c>
      <c r="C25" s="165" t="s">
        <v>2168</v>
      </c>
      <c r="D25" s="191" t="s">
        <v>2209</v>
      </c>
      <c r="E25" s="197" t="s">
        <v>2210</v>
      </c>
      <c r="F25" s="200">
        <v>43761.0</v>
      </c>
      <c r="G25" s="194">
        <v>43762.0</v>
      </c>
      <c r="H25" s="194">
        <v>43770.0</v>
      </c>
      <c r="I25" s="195" t="s">
        <v>2117</v>
      </c>
      <c r="J25" s="195" t="s">
        <v>2117</v>
      </c>
      <c r="K25" s="201" t="s">
        <v>2211</v>
      </c>
      <c r="L25" s="198"/>
      <c r="M25" s="198"/>
      <c r="N25" s="198"/>
      <c r="O25" s="198"/>
      <c r="P25" s="198"/>
      <c r="Q25" s="198"/>
      <c r="R25" s="198"/>
      <c r="S25" s="198"/>
      <c r="T25" s="198"/>
      <c r="U25" s="198"/>
      <c r="V25" s="198"/>
      <c r="W25" s="198"/>
      <c r="X25" s="198"/>
      <c r="Y25" s="198"/>
      <c r="Z25" s="198"/>
      <c r="AA25" s="198"/>
      <c r="AB25" s="198"/>
    </row>
    <row r="26" ht="32.25" customHeight="1">
      <c r="A26" s="190" t="str">
        <f>HYPERLINK("https://drive.google.com/open?id=0B6Vr5nVC58V5TUlnM1VoU3hOQzFGV1hwYmx6eFF3RVBpektz","8600000808")</f>
        <v>8600000808</v>
      </c>
      <c r="B26" s="191" t="s">
        <v>21</v>
      </c>
      <c r="C26" s="165" t="s">
        <v>2212</v>
      </c>
      <c r="D26" s="165" t="s">
        <v>2213</v>
      </c>
      <c r="E26" s="192" t="s">
        <v>2214</v>
      </c>
      <c r="F26" s="200">
        <v>43749.0</v>
      </c>
      <c r="G26" s="194">
        <v>43746.0</v>
      </c>
      <c r="H26" s="194">
        <v>43755.0</v>
      </c>
      <c r="I26" s="204" t="s">
        <v>2215</v>
      </c>
      <c r="J26" s="165" t="s">
        <v>2154</v>
      </c>
      <c r="K26" s="201" t="s">
        <v>2216</v>
      </c>
      <c r="L26" s="198"/>
      <c r="M26" s="198"/>
      <c r="N26" s="198"/>
      <c r="O26" s="198"/>
      <c r="P26" s="198"/>
      <c r="Q26" s="198"/>
      <c r="R26" s="198"/>
      <c r="S26" s="198"/>
      <c r="T26" s="198"/>
      <c r="U26" s="198"/>
      <c r="V26" s="198"/>
      <c r="W26" s="198"/>
      <c r="X26" s="198"/>
      <c r="Y26" s="198"/>
      <c r="Z26" s="198"/>
      <c r="AA26" s="198"/>
      <c r="AB26" s="198"/>
    </row>
    <row r="27" ht="32.25" customHeight="1">
      <c r="A27" s="190" t="str">
        <f>HYPERLINK("https://drive.google.com/open?id=0B6Vr5nVC58V5VHZKSEZvaTVkY2JBVU94VFRScmkzQk9kMndr","8600000807")</f>
        <v>8600000807</v>
      </c>
      <c r="B27" s="191" t="s">
        <v>25</v>
      </c>
      <c r="C27" s="165" t="s">
        <v>2145</v>
      </c>
      <c r="D27" s="165" t="s">
        <v>2217</v>
      </c>
      <c r="E27" s="197" t="s">
        <v>2218</v>
      </c>
      <c r="F27" s="200">
        <v>43743.0</v>
      </c>
      <c r="G27" s="194">
        <v>43740.0</v>
      </c>
      <c r="H27" s="194">
        <v>43748.0</v>
      </c>
      <c r="I27" s="195" t="s">
        <v>2117</v>
      </c>
      <c r="J27" s="195" t="s">
        <v>2117</v>
      </c>
      <c r="K27" s="201" t="s">
        <v>2219</v>
      </c>
      <c r="L27" s="198"/>
      <c r="M27" s="198"/>
      <c r="N27" s="198"/>
      <c r="O27" s="198"/>
      <c r="P27" s="198"/>
      <c r="Q27" s="198"/>
      <c r="R27" s="198"/>
      <c r="S27" s="198"/>
      <c r="T27" s="198"/>
      <c r="U27" s="198"/>
      <c r="V27" s="198"/>
      <c r="W27" s="198"/>
      <c r="X27" s="198"/>
      <c r="Y27" s="198"/>
      <c r="Z27" s="198"/>
      <c r="AA27" s="198"/>
      <c r="AB27" s="198"/>
    </row>
    <row r="28" ht="32.25" customHeight="1">
      <c r="A28" s="190" t="str">
        <f>HYPERLINK("https://drive.google.com/open?id=0B6Vr5nVC58V5ejlrWVJWYm1nMmdSeUN1NTJZMmJhWXlhVnZJ","8600000775")</f>
        <v>8600000775</v>
      </c>
      <c r="B28" s="191" t="s">
        <v>21</v>
      </c>
      <c r="C28" s="165" t="s">
        <v>2220</v>
      </c>
      <c r="D28" s="165" t="s">
        <v>2221</v>
      </c>
      <c r="E28" s="192" t="s">
        <v>2222</v>
      </c>
      <c r="F28" s="200">
        <v>43740.0</v>
      </c>
      <c r="G28" s="194">
        <v>43740.0</v>
      </c>
      <c r="H28" s="194">
        <v>43745.0</v>
      </c>
      <c r="I28" s="165" t="s">
        <v>2223</v>
      </c>
      <c r="J28" s="165" t="s">
        <v>2154</v>
      </c>
      <c r="K28" s="201" t="s">
        <v>2224</v>
      </c>
      <c r="L28" s="198"/>
      <c r="M28" s="198"/>
      <c r="N28" s="198"/>
      <c r="O28" s="198"/>
      <c r="P28" s="198"/>
      <c r="Q28" s="198"/>
      <c r="R28" s="198"/>
      <c r="S28" s="198"/>
      <c r="T28" s="198"/>
      <c r="U28" s="198"/>
      <c r="V28" s="198"/>
      <c r="W28" s="198"/>
      <c r="X28" s="198"/>
      <c r="Y28" s="198"/>
      <c r="Z28" s="198"/>
      <c r="AA28" s="198"/>
      <c r="AB28" s="198"/>
    </row>
    <row r="29" ht="32.25" customHeight="1">
      <c r="A29" s="190" t="str">
        <f>HYPERLINK("https://drive.google.com/open?id=0B6Vr5nVC58V5c1VzR29zdVcwUTdEWjN2eG5CVWd0ZW9QUTVR","8600000777")</f>
        <v>8600000777</v>
      </c>
      <c r="B29" s="191" t="s">
        <v>25</v>
      </c>
      <c r="C29" s="165" t="s">
        <v>2225</v>
      </c>
      <c r="D29" s="161" t="s">
        <v>2226</v>
      </c>
      <c r="E29" s="199" t="s">
        <v>2227</v>
      </c>
      <c r="F29" s="200">
        <v>43738.0</v>
      </c>
      <c r="G29" s="170">
        <v>43749.0</v>
      </c>
      <c r="H29" s="170">
        <v>43739.0</v>
      </c>
      <c r="I29" s="195" t="s">
        <v>2117</v>
      </c>
      <c r="J29" s="195" t="s">
        <v>2117</v>
      </c>
      <c r="K29" s="201" t="s">
        <v>2228</v>
      </c>
      <c r="L29" s="198"/>
      <c r="M29" s="198"/>
      <c r="N29" s="198"/>
      <c r="O29" s="198"/>
      <c r="P29" s="198"/>
      <c r="Q29" s="198"/>
      <c r="R29" s="198"/>
      <c r="S29" s="198"/>
      <c r="T29" s="198"/>
      <c r="U29" s="198"/>
      <c r="V29" s="198"/>
      <c r="W29" s="198"/>
      <c r="X29" s="198"/>
      <c r="Y29" s="198"/>
      <c r="Z29" s="198"/>
      <c r="AA29" s="198"/>
      <c r="AB29" s="198"/>
    </row>
    <row r="30" ht="32.25" customHeight="1">
      <c r="A30" s="190" t="str">
        <f>HYPERLINK("https://drive.google.com/open?id=0B6Vr5nVC58V5RThWNk5ibFg0dkFWSU1Mb2kyRnRnWlpwU0Rn","8600000782")</f>
        <v>8600000782</v>
      </c>
      <c r="B30" s="191" t="s">
        <v>14</v>
      </c>
      <c r="C30" s="165" t="s">
        <v>2212</v>
      </c>
      <c r="D30" s="165" t="s">
        <v>2229</v>
      </c>
      <c r="E30" s="199" t="s">
        <v>2230</v>
      </c>
      <c r="F30" s="200">
        <v>43736.0</v>
      </c>
      <c r="G30" s="194">
        <v>43732.0</v>
      </c>
      <c r="H30" s="170">
        <v>43739.0</v>
      </c>
      <c r="I30" s="195" t="s">
        <v>2117</v>
      </c>
      <c r="J30" s="195" t="s">
        <v>2117</v>
      </c>
      <c r="K30" s="201" t="s">
        <v>2231</v>
      </c>
      <c r="L30" s="198"/>
      <c r="M30" s="198"/>
      <c r="N30" s="198"/>
      <c r="O30" s="198"/>
      <c r="P30" s="198"/>
      <c r="Q30" s="198"/>
      <c r="R30" s="198"/>
      <c r="S30" s="198"/>
      <c r="T30" s="198"/>
      <c r="U30" s="198"/>
      <c r="V30" s="198"/>
      <c r="W30" s="198"/>
      <c r="X30" s="198"/>
      <c r="Y30" s="198"/>
      <c r="Z30" s="198"/>
      <c r="AA30" s="198"/>
      <c r="AB30" s="198"/>
    </row>
    <row r="31" ht="32.25" customHeight="1">
      <c r="A31" s="190" t="str">
        <f>HYPERLINK("https://drive.google.com/open?id=0B6Vr5nVC58V5M296LUlhVG5wQTVUQk5KSks2M09VTXhFb1Q0","8600000778")</f>
        <v>8600000778</v>
      </c>
      <c r="B31" s="191" t="s">
        <v>14</v>
      </c>
      <c r="C31" s="165" t="s">
        <v>2232</v>
      </c>
      <c r="D31" s="165" t="s">
        <v>2233</v>
      </c>
      <c r="E31" s="192" t="s">
        <v>2234</v>
      </c>
      <c r="F31" s="200">
        <v>43734.0</v>
      </c>
      <c r="G31" s="194">
        <v>43732.0</v>
      </c>
      <c r="H31" s="191" t="s">
        <v>2235</v>
      </c>
      <c r="I31" s="195" t="s">
        <v>2117</v>
      </c>
      <c r="J31" s="195" t="s">
        <v>2117</v>
      </c>
      <c r="K31" s="201" t="s">
        <v>2236</v>
      </c>
      <c r="L31" s="198"/>
      <c r="M31" s="198"/>
      <c r="N31" s="198"/>
      <c r="O31" s="198"/>
      <c r="P31" s="198"/>
      <c r="Q31" s="198"/>
      <c r="R31" s="198"/>
      <c r="S31" s="198"/>
      <c r="T31" s="198"/>
      <c r="U31" s="198"/>
      <c r="V31" s="198"/>
      <c r="W31" s="198"/>
      <c r="X31" s="198"/>
      <c r="Y31" s="198"/>
      <c r="Z31" s="198"/>
      <c r="AA31" s="198"/>
      <c r="AB31" s="198"/>
    </row>
    <row r="32" ht="32.25" customHeight="1">
      <c r="A32" s="190" t="str">
        <f>HYPERLINK("https://drive.google.com/open?id=0B6Vr5nVC58V5S1RUZFlVR0J6N0lqdFQ4UUhEcDFWVll5Zjdr","8600000779")</f>
        <v>8600000779</v>
      </c>
      <c r="B32" s="191" t="s">
        <v>25</v>
      </c>
      <c r="C32" s="165" t="s">
        <v>2237</v>
      </c>
      <c r="D32" s="197" t="s">
        <v>2238</v>
      </c>
      <c r="E32" s="197" t="s">
        <v>2239</v>
      </c>
      <c r="F32" s="200">
        <v>43733.0</v>
      </c>
      <c r="G32" s="194">
        <v>43738.0</v>
      </c>
      <c r="H32" s="194">
        <v>43742.0</v>
      </c>
      <c r="I32" s="195" t="s">
        <v>2117</v>
      </c>
      <c r="J32" s="195" t="s">
        <v>2117</v>
      </c>
      <c r="K32" s="201" t="s">
        <v>2240</v>
      </c>
      <c r="L32" s="198"/>
      <c r="M32" s="198"/>
      <c r="N32" s="198"/>
      <c r="O32" s="198"/>
      <c r="P32" s="198"/>
      <c r="Q32" s="198"/>
      <c r="R32" s="198"/>
      <c r="S32" s="198"/>
      <c r="T32" s="198"/>
      <c r="U32" s="198"/>
      <c r="V32" s="198"/>
      <c r="W32" s="198"/>
      <c r="X32" s="198"/>
      <c r="Y32" s="198"/>
      <c r="Z32" s="198"/>
      <c r="AA32" s="198"/>
      <c r="AB32" s="198"/>
    </row>
    <row r="33" ht="32.25" customHeight="1">
      <c r="A33" s="190" t="str">
        <f>HYPERLINK("https://drive.google.com/open?id=0B6Vr5nVC58V5RC1VMTN1SHp5eENLbW1uMFFBeGt2SjFabXFZ","8600000773")</f>
        <v>8600000773</v>
      </c>
      <c r="B33" s="191" t="s">
        <v>14</v>
      </c>
      <c r="C33" s="165" t="s">
        <v>2241</v>
      </c>
      <c r="D33" s="165" t="s">
        <v>2242</v>
      </c>
      <c r="E33" s="192" t="s">
        <v>2243</v>
      </c>
      <c r="F33" s="200">
        <v>43729.0</v>
      </c>
      <c r="G33" s="194">
        <v>43739.0</v>
      </c>
      <c r="H33" s="191" t="s">
        <v>2244</v>
      </c>
      <c r="I33" s="195" t="s">
        <v>2117</v>
      </c>
      <c r="J33" s="195" t="s">
        <v>2117</v>
      </c>
      <c r="K33" s="201" t="s">
        <v>2245</v>
      </c>
      <c r="L33" s="198"/>
      <c r="M33" s="198"/>
      <c r="N33" s="198"/>
      <c r="O33" s="198"/>
      <c r="P33" s="198"/>
      <c r="Q33" s="198"/>
      <c r="R33" s="198"/>
      <c r="S33" s="198"/>
      <c r="T33" s="198"/>
      <c r="U33" s="198"/>
      <c r="V33" s="198"/>
      <c r="W33" s="198"/>
      <c r="X33" s="198"/>
      <c r="Y33" s="198"/>
      <c r="Z33" s="198"/>
      <c r="AA33" s="198"/>
      <c r="AB33" s="198"/>
    </row>
    <row r="34" ht="32.25" customHeight="1">
      <c r="A34" s="190" t="str">
        <f>HYPERLINK("https://drive.google.com/open?id=0B6Vr5nVC58V5ZEFuSExpcVFtbnN0bS01dW9wakMyaktCZUlV","8600000780")</f>
        <v>8600000780</v>
      </c>
      <c r="B34" s="191" t="s">
        <v>21</v>
      </c>
      <c r="C34" s="165" t="s">
        <v>2127</v>
      </c>
      <c r="D34" s="206" t="s">
        <v>2238</v>
      </c>
      <c r="E34" s="199" t="s">
        <v>2246</v>
      </c>
      <c r="F34" s="200">
        <v>43725.0</v>
      </c>
      <c r="G34" s="170">
        <v>43746.0</v>
      </c>
      <c r="H34" s="170">
        <v>43747.0</v>
      </c>
      <c r="I34" s="204" t="s">
        <v>2247</v>
      </c>
      <c r="J34" s="165" t="s">
        <v>2154</v>
      </c>
      <c r="K34" s="201" t="s">
        <v>2248</v>
      </c>
      <c r="L34" s="198"/>
      <c r="M34" s="198"/>
      <c r="N34" s="198"/>
      <c r="O34" s="198"/>
      <c r="P34" s="198"/>
      <c r="Q34" s="198"/>
      <c r="R34" s="198"/>
      <c r="S34" s="198"/>
      <c r="T34" s="198"/>
      <c r="U34" s="198"/>
      <c r="V34" s="198"/>
      <c r="W34" s="198"/>
      <c r="X34" s="198"/>
      <c r="Y34" s="198"/>
      <c r="Z34" s="198"/>
      <c r="AA34" s="198"/>
      <c r="AB34" s="198"/>
    </row>
    <row r="35" ht="32.25" customHeight="1">
      <c r="A35" s="190" t="str">
        <f>HYPERLINK("https://drive.google.com/open?id=0B6Vr5nVC58V5aTRxUWoyYmI3YlhOVG1JVF9abHN4em5sX3Zz","8500000075")</f>
        <v>8500000075</v>
      </c>
      <c r="B35" s="191" t="s">
        <v>21</v>
      </c>
      <c r="C35" s="165" t="s">
        <v>2114</v>
      </c>
      <c r="D35" s="165" t="s">
        <v>2249</v>
      </c>
      <c r="E35" s="197" t="s">
        <v>2250</v>
      </c>
      <c r="F35" s="200">
        <v>43723.0</v>
      </c>
      <c r="G35" s="170">
        <v>43720.0</v>
      </c>
      <c r="H35" s="170">
        <v>43732.0</v>
      </c>
      <c r="I35" s="165" t="s">
        <v>2251</v>
      </c>
      <c r="J35" s="165" t="s">
        <v>2154</v>
      </c>
      <c r="K35" s="201" t="s">
        <v>2252</v>
      </c>
      <c r="L35" s="198"/>
      <c r="M35" s="198"/>
      <c r="N35" s="198"/>
      <c r="O35" s="198"/>
      <c r="P35" s="198"/>
      <c r="Q35" s="198"/>
      <c r="R35" s="198"/>
      <c r="S35" s="198"/>
      <c r="T35" s="198"/>
      <c r="U35" s="198"/>
      <c r="V35" s="198"/>
      <c r="W35" s="198"/>
      <c r="X35" s="198"/>
      <c r="Y35" s="198"/>
      <c r="Z35" s="198"/>
      <c r="AA35" s="198"/>
      <c r="AB35" s="198"/>
    </row>
    <row r="36" ht="32.25" customHeight="1">
      <c r="A36" s="190" t="str">
        <f>HYPERLINK("https://drive.google.com/open?id=0B6Vr5nVC58V5cTlLeXZJSFpRUXNrcHdyaVFRaFpWNG8tUmdR","8600000771")</f>
        <v>8600000771</v>
      </c>
      <c r="B36" s="191" t="s">
        <v>21</v>
      </c>
      <c r="C36" s="165" t="s">
        <v>2253</v>
      </c>
      <c r="D36" s="165" t="s">
        <v>2254</v>
      </c>
      <c r="E36" s="197" t="s">
        <v>2255</v>
      </c>
      <c r="F36" s="200">
        <v>43721.0</v>
      </c>
      <c r="G36" s="194">
        <v>43720.0</v>
      </c>
      <c r="H36" s="194">
        <v>43726.0</v>
      </c>
      <c r="I36" s="165" t="s">
        <v>2256</v>
      </c>
      <c r="J36" s="165" t="s">
        <v>2154</v>
      </c>
      <c r="K36" s="201" t="s">
        <v>2257</v>
      </c>
      <c r="L36" s="198"/>
      <c r="M36" s="198"/>
      <c r="N36" s="198"/>
      <c r="O36" s="198"/>
      <c r="P36" s="198"/>
      <c r="Q36" s="198"/>
      <c r="R36" s="198"/>
      <c r="S36" s="198"/>
      <c r="T36" s="198"/>
      <c r="U36" s="198"/>
      <c r="V36" s="198"/>
      <c r="W36" s="198"/>
      <c r="X36" s="198"/>
      <c r="Y36" s="198"/>
      <c r="Z36" s="198"/>
      <c r="AA36" s="198"/>
      <c r="AB36" s="198"/>
    </row>
    <row r="37" ht="32.25" customHeight="1">
      <c r="A37" s="190" t="str">
        <f>HYPERLINK("https://drive.google.com/open?id=0B6Vr5nVC58V5LU90VmlnaDFPVGNKREZYcnI3Z0VfcktUQ3NJ","8600000772")</f>
        <v>8600000772</v>
      </c>
      <c r="B37" s="191" t="s">
        <v>25</v>
      </c>
      <c r="C37" s="165" t="s">
        <v>2145</v>
      </c>
      <c r="D37" s="165" t="s">
        <v>2258</v>
      </c>
      <c r="E37" s="197" t="s">
        <v>2243</v>
      </c>
      <c r="F37" s="200">
        <v>43720.0</v>
      </c>
      <c r="G37" s="194">
        <v>43720.0</v>
      </c>
      <c r="H37" s="194">
        <v>43726.0</v>
      </c>
      <c r="I37" s="195" t="s">
        <v>2117</v>
      </c>
      <c r="J37" s="195" t="s">
        <v>2117</v>
      </c>
      <c r="K37" s="201" t="s">
        <v>2259</v>
      </c>
      <c r="L37" s="198"/>
      <c r="M37" s="198"/>
      <c r="N37" s="198"/>
      <c r="O37" s="198"/>
      <c r="P37" s="198"/>
      <c r="Q37" s="198"/>
      <c r="R37" s="198"/>
      <c r="S37" s="198"/>
      <c r="T37" s="198"/>
      <c r="U37" s="198"/>
      <c r="V37" s="198"/>
      <c r="W37" s="198"/>
      <c r="X37" s="198"/>
      <c r="Y37" s="198"/>
      <c r="Z37" s="198"/>
      <c r="AA37" s="198"/>
      <c r="AB37" s="198"/>
    </row>
    <row r="38" ht="32.25" customHeight="1">
      <c r="A38" s="190" t="str">
        <f>HYPERLINK("https://drive.google.com/open?id=0B6Vr5nVC58V5U3NjVGZkM0ZwZThnNjRBWEU1Q0NWWUVyeVo0","8600000739")</f>
        <v>8600000739</v>
      </c>
      <c r="B38" s="191" t="s">
        <v>14</v>
      </c>
      <c r="C38" s="165" t="s">
        <v>2119</v>
      </c>
      <c r="D38" s="165" t="s">
        <v>2260</v>
      </c>
      <c r="E38" s="199" t="s">
        <v>2261</v>
      </c>
      <c r="F38" s="200">
        <v>43714.0</v>
      </c>
      <c r="G38" s="194">
        <v>43717.0</v>
      </c>
      <c r="H38" s="194">
        <v>43720.0</v>
      </c>
      <c r="I38" s="195" t="s">
        <v>2117</v>
      </c>
      <c r="J38" s="195" t="s">
        <v>2117</v>
      </c>
      <c r="K38" s="201" t="s">
        <v>2262</v>
      </c>
      <c r="L38" s="198"/>
      <c r="M38" s="198"/>
      <c r="N38" s="198"/>
      <c r="O38" s="198"/>
      <c r="P38" s="198"/>
      <c r="Q38" s="198"/>
      <c r="R38" s="198"/>
      <c r="S38" s="198"/>
      <c r="T38" s="198"/>
      <c r="U38" s="198"/>
      <c r="V38" s="198"/>
      <c r="W38" s="198"/>
      <c r="X38" s="198"/>
      <c r="Y38" s="198"/>
      <c r="Z38" s="198"/>
      <c r="AA38" s="198"/>
      <c r="AB38" s="198"/>
    </row>
    <row r="39" ht="32.25" customHeight="1">
      <c r="A39" s="190" t="str">
        <f>HYPERLINK("https://drive.google.com/open?id=0B6Vr5nVC58V5N0FCMUhId241MzBHYzdpOUJMeWpqVFFJdlNV","8500000071")</f>
        <v>8500000071</v>
      </c>
      <c r="B39" s="191" t="s">
        <v>14</v>
      </c>
      <c r="C39" s="165" t="s">
        <v>2176</v>
      </c>
      <c r="D39" s="165" t="s">
        <v>2263</v>
      </c>
      <c r="E39" s="197" t="s">
        <v>2250</v>
      </c>
      <c r="F39" s="200">
        <v>43700.0</v>
      </c>
      <c r="G39" s="170">
        <v>43699.0</v>
      </c>
      <c r="H39" s="170">
        <v>43705.0</v>
      </c>
      <c r="I39" s="195" t="s">
        <v>2117</v>
      </c>
      <c r="J39" s="195" t="s">
        <v>2117</v>
      </c>
      <c r="K39" s="201" t="s">
        <v>2264</v>
      </c>
      <c r="L39" s="198"/>
      <c r="M39" s="198"/>
      <c r="N39" s="198"/>
      <c r="O39" s="198"/>
      <c r="P39" s="198"/>
      <c r="Q39" s="198"/>
      <c r="R39" s="198"/>
      <c r="S39" s="198"/>
      <c r="T39" s="198"/>
      <c r="U39" s="198"/>
      <c r="V39" s="198"/>
      <c r="W39" s="198"/>
      <c r="X39" s="198"/>
      <c r="Y39" s="198"/>
      <c r="Z39" s="198"/>
      <c r="AA39" s="198"/>
      <c r="AB39" s="198"/>
    </row>
    <row r="40" ht="32.25" customHeight="1">
      <c r="A40" s="190" t="str">
        <f>HYPERLINK("https://drive.google.com/open?id=0B6Vr5nVC58V5cnNXNk51UHhpR3hHNmxBeUYtUUtpZjA5blNB","8600000737")</f>
        <v>8600000737</v>
      </c>
      <c r="B40" s="191" t="s">
        <v>14</v>
      </c>
      <c r="C40" s="165" t="s">
        <v>2265</v>
      </c>
      <c r="D40" s="165" t="s">
        <v>2266</v>
      </c>
      <c r="E40" s="192" t="s">
        <v>2267</v>
      </c>
      <c r="F40" s="200">
        <v>43700.0</v>
      </c>
      <c r="G40" s="194">
        <v>43696.0</v>
      </c>
      <c r="H40" s="191" t="s">
        <v>2268</v>
      </c>
      <c r="I40" s="195" t="s">
        <v>2117</v>
      </c>
      <c r="J40" s="195" t="s">
        <v>2117</v>
      </c>
      <c r="K40" s="197" t="s">
        <v>2269</v>
      </c>
      <c r="L40" s="198"/>
      <c r="M40" s="198"/>
      <c r="N40" s="198"/>
      <c r="O40" s="198"/>
      <c r="P40" s="198"/>
      <c r="Q40" s="198"/>
      <c r="R40" s="198"/>
      <c r="S40" s="198"/>
      <c r="T40" s="198"/>
      <c r="U40" s="198"/>
      <c r="V40" s="198"/>
      <c r="W40" s="198"/>
      <c r="X40" s="198"/>
      <c r="Y40" s="198"/>
      <c r="Z40" s="198"/>
      <c r="AA40" s="198"/>
      <c r="AB40" s="198"/>
    </row>
    <row r="41" ht="32.25" customHeight="1">
      <c r="A41" s="190" t="str">
        <f>HYPERLINK("https://drive.google.com/open?id=0B6Vr5nVC58V5NlZ1eUdHUGJyTUJoOVFrWmkyUVVzZ3BJMGJZ","8600000734")</f>
        <v>8600000734</v>
      </c>
      <c r="B41" s="191" t="s">
        <v>25</v>
      </c>
      <c r="C41" s="165" t="s">
        <v>2270</v>
      </c>
      <c r="D41" s="165" t="s">
        <v>2271</v>
      </c>
      <c r="E41" s="199" t="s">
        <v>2272</v>
      </c>
      <c r="F41" s="200">
        <v>43699.0</v>
      </c>
      <c r="G41" s="170">
        <v>43706.0</v>
      </c>
      <c r="H41" s="165" t="s">
        <v>2268</v>
      </c>
      <c r="I41" s="195" t="s">
        <v>2117</v>
      </c>
      <c r="J41" s="195" t="s">
        <v>2117</v>
      </c>
      <c r="K41" s="197" t="s">
        <v>2273</v>
      </c>
      <c r="L41" s="198"/>
      <c r="M41" s="198"/>
      <c r="N41" s="198"/>
      <c r="O41" s="198"/>
      <c r="P41" s="198"/>
      <c r="Q41" s="198"/>
      <c r="R41" s="198"/>
      <c r="S41" s="198"/>
      <c r="T41" s="198"/>
      <c r="U41" s="198"/>
      <c r="V41" s="198"/>
      <c r="W41" s="198"/>
      <c r="X41" s="198"/>
      <c r="Y41" s="198"/>
      <c r="Z41" s="198"/>
      <c r="AA41" s="198"/>
      <c r="AB41" s="198"/>
    </row>
    <row r="42" ht="32.25" customHeight="1">
      <c r="A42" s="190" t="str">
        <f>HYPERLINK("https://drive.google.com/open?id=0B6Vr5nVC58V5X25KbnVsT1pySnNlR3ZYZEI4bHVNNGRkbWRJ","8600000723")</f>
        <v>8600000723</v>
      </c>
      <c r="B42" s="191" t="s">
        <v>21</v>
      </c>
      <c r="C42" s="165" t="s">
        <v>2274</v>
      </c>
      <c r="D42" s="165" t="s">
        <v>2275</v>
      </c>
      <c r="E42" s="192" t="s">
        <v>2276</v>
      </c>
      <c r="F42" s="200">
        <v>43699.0</v>
      </c>
      <c r="G42" s="194">
        <v>43696.0</v>
      </c>
      <c r="H42" s="194">
        <v>43703.0</v>
      </c>
      <c r="I42" s="165" t="s">
        <v>2277</v>
      </c>
      <c r="J42" s="165" t="s">
        <v>2154</v>
      </c>
      <c r="K42" s="207" t="s">
        <v>2278</v>
      </c>
      <c r="L42" s="198"/>
      <c r="M42" s="198"/>
      <c r="N42" s="198"/>
      <c r="O42" s="198"/>
      <c r="P42" s="198"/>
      <c r="Q42" s="198"/>
      <c r="R42" s="198"/>
      <c r="S42" s="198"/>
      <c r="T42" s="198"/>
      <c r="U42" s="198"/>
      <c r="V42" s="198"/>
      <c r="W42" s="198"/>
      <c r="X42" s="198"/>
      <c r="Y42" s="198"/>
      <c r="Z42" s="198"/>
      <c r="AA42" s="198"/>
      <c r="AB42" s="198"/>
    </row>
    <row r="43" ht="32.25" customHeight="1">
      <c r="A43" s="190" t="str">
        <f>HYPERLINK("https://drive.google.com/open?id=0B6Vr5nVC58V5UGMwa25heWMwSE9meWNsb1E3U1QxVnQ4MHU4","8600000742")</f>
        <v>8600000742</v>
      </c>
      <c r="B43" s="191" t="s">
        <v>21</v>
      </c>
      <c r="C43" s="165" t="s">
        <v>2145</v>
      </c>
      <c r="D43" s="165" t="s">
        <v>2279</v>
      </c>
      <c r="E43" s="197" t="s">
        <v>2280</v>
      </c>
      <c r="F43" s="200">
        <v>43693.0</v>
      </c>
      <c r="G43" s="194">
        <v>43689.0</v>
      </c>
      <c r="H43" s="208" t="s">
        <v>2281</v>
      </c>
      <c r="I43" s="165" t="s">
        <v>2282</v>
      </c>
      <c r="J43" s="165" t="s">
        <v>2154</v>
      </c>
      <c r="K43" s="201" t="s">
        <v>2283</v>
      </c>
      <c r="L43" s="198"/>
      <c r="M43" s="198"/>
      <c r="N43" s="198"/>
      <c r="O43" s="198"/>
      <c r="P43" s="198"/>
      <c r="Q43" s="198"/>
      <c r="R43" s="198"/>
      <c r="S43" s="198"/>
      <c r="T43" s="198"/>
      <c r="U43" s="198"/>
      <c r="V43" s="198"/>
      <c r="W43" s="198"/>
      <c r="X43" s="198"/>
      <c r="Y43" s="198"/>
      <c r="Z43" s="198"/>
      <c r="AA43" s="198"/>
      <c r="AB43" s="198"/>
    </row>
    <row r="44" ht="32.25" customHeight="1">
      <c r="A44" s="190" t="str">
        <f>HYPERLINK("https://drive.google.com/open?id=0B6Vr5nVC58V5VTlpRFFuclIybXdvQk94N3JTWUlwYUlhajYw","8600000740")</f>
        <v>8600000740</v>
      </c>
      <c r="B44" s="191" t="s">
        <v>25</v>
      </c>
      <c r="C44" s="165" t="s">
        <v>2145</v>
      </c>
      <c r="D44" s="165" t="s">
        <v>2284</v>
      </c>
      <c r="E44" s="192" t="s">
        <v>2280</v>
      </c>
      <c r="F44" s="200">
        <v>43692.0</v>
      </c>
      <c r="G44" s="194">
        <v>43691.0</v>
      </c>
      <c r="H44" s="194">
        <v>43698.0</v>
      </c>
      <c r="I44" s="195" t="s">
        <v>2117</v>
      </c>
      <c r="J44" s="195" t="s">
        <v>2117</v>
      </c>
      <c r="K44" s="201" t="s">
        <v>2285</v>
      </c>
      <c r="L44" s="198"/>
      <c r="M44" s="198"/>
      <c r="N44" s="198"/>
      <c r="O44" s="198"/>
      <c r="P44" s="198"/>
      <c r="Q44" s="198"/>
      <c r="R44" s="198"/>
      <c r="S44" s="198"/>
      <c r="T44" s="198"/>
      <c r="U44" s="198"/>
      <c r="V44" s="198"/>
      <c r="W44" s="198"/>
      <c r="X44" s="198"/>
      <c r="Y44" s="198"/>
      <c r="Z44" s="198"/>
      <c r="AA44" s="198"/>
      <c r="AB44" s="198"/>
    </row>
    <row r="45" ht="32.25" customHeight="1">
      <c r="A45" s="190" t="str">
        <f>HYPERLINK("https://drive.google.com/open?id=0B6Vr5nVC58V5bEhCb3ZMZTdjaE82a2ozWmRQV2hIZmZ3cC1Z","8600000704")</f>
        <v>8600000704</v>
      </c>
      <c r="B45" s="191" t="s">
        <v>14</v>
      </c>
      <c r="C45" s="165" t="s">
        <v>2286</v>
      </c>
      <c r="D45" s="165" t="s">
        <v>2287</v>
      </c>
      <c r="E45" s="197" t="s">
        <v>2243</v>
      </c>
      <c r="F45" s="200">
        <v>43679.0</v>
      </c>
      <c r="G45" s="170">
        <v>43678.0</v>
      </c>
      <c r="H45" s="209">
        <v>43685.0</v>
      </c>
      <c r="I45" s="195" t="s">
        <v>2117</v>
      </c>
      <c r="J45" s="195" t="s">
        <v>2117</v>
      </c>
      <c r="K45" s="210" t="s">
        <v>2288</v>
      </c>
      <c r="L45" s="198"/>
      <c r="M45" s="198"/>
      <c r="N45" s="198"/>
      <c r="O45" s="198"/>
      <c r="P45" s="198"/>
      <c r="Q45" s="198"/>
      <c r="R45" s="198"/>
      <c r="S45" s="198"/>
      <c r="T45" s="198"/>
      <c r="U45" s="198"/>
      <c r="V45" s="198"/>
      <c r="W45" s="198"/>
      <c r="X45" s="198"/>
      <c r="Y45" s="198"/>
      <c r="Z45" s="198"/>
      <c r="AA45" s="198"/>
      <c r="AB45" s="198"/>
    </row>
    <row r="46" ht="32.25" customHeight="1">
      <c r="A46" s="190" t="str">
        <f>HYPERLINK("https://drive.google.com/open?id=0B6Vr5nVC58V5VlEyajFvVTRHdG1nLWNkNnBsaDFEdzhFb004","8600000694")</f>
        <v>8600000694</v>
      </c>
      <c r="B46" s="191" t="s">
        <v>21</v>
      </c>
      <c r="C46" s="165" t="s">
        <v>2193</v>
      </c>
      <c r="D46" s="165" t="s">
        <v>2289</v>
      </c>
      <c r="E46" s="199" t="s">
        <v>2290</v>
      </c>
      <c r="F46" s="200">
        <v>43677.0</v>
      </c>
      <c r="G46" s="170">
        <v>43675.0</v>
      </c>
      <c r="H46" s="170">
        <v>43682.0</v>
      </c>
      <c r="I46" s="165" t="s">
        <v>2291</v>
      </c>
      <c r="J46" s="165" t="s">
        <v>2154</v>
      </c>
      <c r="K46" s="207" t="s">
        <v>2292</v>
      </c>
      <c r="L46" s="198"/>
      <c r="M46" s="198"/>
      <c r="N46" s="198"/>
      <c r="O46" s="198"/>
      <c r="P46" s="198"/>
      <c r="Q46" s="198"/>
      <c r="R46" s="198"/>
      <c r="S46" s="198"/>
      <c r="T46" s="198"/>
      <c r="U46" s="198"/>
      <c r="V46" s="198"/>
      <c r="W46" s="198"/>
      <c r="X46" s="198"/>
      <c r="Y46" s="198"/>
      <c r="Z46" s="198"/>
      <c r="AA46" s="198"/>
      <c r="AB46" s="198"/>
    </row>
    <row r="47" ht="32.25" customHeight="1">
      <c r="A47" s="190" t="str">
        <f>HYPERLINK("https://drive.google.com/open?id=0B6Vr5nVC58V5WGQtVTJGbFR3VlZMNUIyUXlxdDBUSElTbGQw","8600000703")</f>
        <v>8600000703</v>
      </c>
      <c r="B47" s="191" t="s">
        <v>14</v>
      </c>
      <c r="C47" s="165" t="s">
        <v>2293</v>
      </c>
      <c r="D47" s="165" t="s">
        <v>2294</v>
      </c>
      <c r="E47" s="199" t="s">
        <v>2295</v>
      </c>
      <c r="F47" s="200">
        <v>43672.0</v>
      </c>
      <c r="G47" s="170">
        <v>43676.0</v>
      </c>
      <c r="H47" s="165" t="s">
        <v>2296</v>
      </c>
      <c r="I47" s="195" t="s">
        <v>2117</v>
      </c>
      <c r="J47" s="195" t="s">
        <v>2117</v>
      </c>
      <c r="K47" s="207" t="s">
        <v>2297</v>
      </c>
      <c r="L47" s="198"/>
      <c r="M47" s="198"/>
      <c r="N47" s="198"/>
      <c r="O47" s="198"/>
      <c r="P47" s="198"/>
      <c r="Q47" s="198"/>
      <c r="R47" s="198"/>
      <c r="S47" s="198"/>
      <c r="T47" s="198"/>
      <c r="U47" s="198"/>
      <c r="V47" s="198"/>
      <c r="W47" s="198"/>
      <c r="X47" s="198"/>
      <c r="Y47" s="198"/>
      <c r="Z47" s="198"/>
      <c r="AA47" s="198"/>
      <c r="AB47" s="198"/>
    </row>
    <row r="48" ht="32.25" customHeight="1">
      <c r="A48" s="190" t="str">
        <f>HYPERLINK("https://drive.google.com/open?id=0B6Vr5nVC58V5OHJ6LVo3SmxmZmNYZnhHOGFiVktpVmVMTUsw","8500000067")</f>
        <v>8500000067</v>
      </c>
      <c r="B48" s="191" t="s">
        <v>14</v>
      </c>
      <c r="C48" s="165" t="s">
        <v>2168</v>
      </c>
      <c r="D48" s="165" t="s">
        <v>2298</v>
      </c>
      <c r="E48" s="198" t="s">
        <v>2299</v>
      </c>
      <c r="F48" s="200">
        <v>43672.0</v>
      </c>
      <c r="G48" s="194">
        <v>43669.0</v>
      </c>
      <c r="H48" s="194">
        <v>43678.0</v>
      </c>
      <c r="I48" s="195" t="s">
        <v>2117</v>
      </c>
      <c r="J48" s="195" t="s">
        <v>2117</v>
      </c>
      <c r="K48" s="207" t="s">
        <v>2300</v>
      </c>
      <c r="L48" s="198"/>
      <c r="M48" s="198"/>
      <c r="N48" s="198"/>
      <c r="O48" s="198"/>
      <c r="P48" s="198"/>
      <c r="Q48" s="198"/>
      <c r="R48" s="198"/>
      <c r="S48" s="198"/>
      <c r="T48" s="198"/>
      <c r="U48" s="198"/>
      <c r="V48" s="198"/>
      <c r="W48" s="198"/>
      <c r="X48" s="198"/>
      <c r="Y48" s="198"/>
      <c r="Z48" s="198"/>
      <c r="AA48" s="198"/>
      <c r="AB48" s="198"/>
    </row>
    <row r="49" ht="32.25" customHeight="1">
      <c r="A49" s="190" t="str">
        <f>HYPERLINK("https://drive.google.com/open?id=0B6Vr5nVC58V5ZjFRVTVuVmMtU0FHaEo3SV9IczRhS0dXZUJV","8600000697")</f>
        <v>8600000697</v>
      </c>
      <c r="B49" s="191" t="s">
        <v>25</v>
      </c>
      <c r="C49" s="165" t="s">
        <v>2301</v>
      </c>
      <c r="D49" s="165" t="s">
        <v>2302</v>
      </c>
      <c r="E49" s="199" t="s">
        <v>2303</v>
      </c>
      <c r="F49" s="200">
        <v>43671.0</v>
      </c>
      <c r="G49" s="194">
        <v>43668.0</v>
      </c>
      <c r="H49" s="194">
        <v>43677.0</v>
      </c>
      <c r="I49" s="195" t="s">
        <v>2117</v>
      </c>
      <c r="J49" s="195" t="s">
        <v>2117</v>
      </c>
      <c r="K49" s="197" t="s">
        <v>2304</v>
      </c>
      <c r="L49" s="198"/>
      <c r="M49" s="198"/>
      <c r="N49" s="198"/>
      <c r="O49" s="198"/>
      <c r="P49" s="198"/>
      <c r="Q49" s="198"/>
      <c r="R49" s="198"/>
      <c r="S49" s="198"/>
      <c r="T49" s="198"/>
      <c r="U49" s="198"/>
      <c r="V49" s="198"/>
      <c r="W49" s="198"/>
      <c r="X49" s="198"/>
      <c r="Y49" s="198"/>
      <c r="Z49" s="198"/>
      <c r="AA49" s="198"/>
      <c r="AB49" s="198"/>
    </row>
    <row r="50" ht="32.25" customHeight="1">
      <c r="A50" s="190" t="str">
        <f>HYPERLINK("https://drive.google.com/open?id=0B6Vr5nVC58V5Z01HdXJBLU9POEs2VjJNeDRkRWxuY0paZ1Nn","8600000700")</f>
        <v>8600000700</v>
      </c>
      <c r="B50" s="191" t="s">
        <v>25</v>
      </c>
      <c r="C50" s="165" t="s">
        <v>2237</v>
      </c>
      <c r="D50" s="211" t="s">
        <v>2305</v>
      </c>
      <c r="E50" s="197" t="s">
        <v>2306</v>
      </c>
      <c r="F50" s="200">
        <v>43669.0</v>
      </c>
      <c r="G50" s="170">
        <v>43671.0</v>
      </c>
      <c r="H50" s="209">
        <v>43683.0</v>
      </c>
      <c r="I50" s="195" t="s">
        <v>2117</v>
      </c>
      <c r="J50" s="195" t="s">
        <v>2117</v>
      </c>
      <c r="K50" s="207" t="s">
        <v>2307</v>
      </c>
      <c r="L50" s="198"/>
      <c r="M50" s="198"/>
      <c r="N50" s="198"/>
      <c r="O50" s="198"/>
      <c r="P50" s="198"/>
      <c r="Q50" s="198"/>
      <c r="R50" s="198"/>
      <c r="S50" s="198"/>
      <c r="T50" s="198"/>
      <c r="U50" s="198"/>
      <c r="V50" s="198"/>
      <c r="W50" s="198"/>
      <c r="X50" s="198"/>
      <c r="Y50" s="198"/>
      <c r="Z50" s="198"/>
      <c r="AA50" s="198"/>
      <c r="AB50" s="198"/>
    </row>
    <row r="51" ht="32.25" customHeight="1">
      <c r="A51" s="190" t="str">
        <f>HYPERLINK("https://drive.google.com/open?id=0B6Vr5nVC58V5akYxS0x1QVJUelRjOHg3N09OUkRyalRJOXhv","8600000701")</f>
        <v>8600000701</v>
      </c>
      <c r="B51" s="191" t="s">
        <v>21</v>
      </c>
      <c r="C51" s="165" t="s">
        <v>2145</v>
      </c>
      <c r="D51" s="191" t="s">
        <v>2305</v>
      </c>
      <c r="E51" s="197" t="s">
        <v>2308</v>
      </c>
      <c r="F51" s="200">
        <v>43669.0</v>
      </c>
      <c r="G51" s="170">
        <v>43690.0</v>
      </c>
      <c r="H51" s="209">
        <v>43689.0</v>
      </c>
      <c r="I51" s="165" t="s">
        <v>2309</v>
      </c>
      <c r="J51" s="165" t="s">
        <v>2154</v>
      </c>
      <c r="K51" s="197" t="s">
        <v>2310</v>
      </c>
      <c r="L51" s="198"/>
      <c r="M51" s="198"/>
      <c r="N51" s="198"/>
      <c r="O51" s="198"/>
      <c r="P51" s="198"/>
      <c r="Q51" s="198"/>
      <c r="R51" s="198"/>
      <c r="S51" s="198"/>
      <c r="T51" s="198"/>
      <c r="U51" s="198"/>
      <c r="V51" s="198"/>
      <c r="W51" s="198"/>
      <c r="X51" s="198"/>
      <c r="Y51" s="198"/>
      <c r="Z51" s="198"/>
      <c r="AA51" s="198"/>
      <c r="AB51" s="198"/>
    </row>
    <row r="52" ht="32.25" customHeight="1">
      <c r="A52" s="190" t="str">
        <f>HYPERLINK("https://drive.google.com/open?id=0B6Vr5nVC58V5YVROSGR5NVBiUkY2UDR1MXdWeUhEeEJWUU1j","8600000702")</f>
        <v>8600000702</v>
      </c>
      <c r="B52" s="191" t="s">
        <v>14</v>
      </c>
      <c r="C52" s="165" t="s">
        <v>2311</v>
      </c>
      <c r="D52" s="191" t="s">
        <v>2312</v>
      </c>
      <c r="E52" s="203" t="s">
        <v>2313</v>
      </c>
      <c r="F52" s="200">
        <v>43669.0</v>
      </c>
      <c r="G52" s="170">
        <v>43690.0</v>
      </c>
      <c r="H52" s="209">
        <v>43691.0</v>
      </c>
      <c r="I52" s="195" t="s">
        <v>2117</v>
      </c>
      <c r="J52" s="195" t="s">
        <v>2117</v>
      </c>
      <c r="K52" s="197" t="s">
        <v>2314</v>
      </c>
      <c r="L52" s="198"/>
      <c r="M52" s="198"/>
      <c r="N52" s="198"/>
      <c r="O52" s="198"/>
      <c r="P52" s="198"/>
      <c r="Q52" s="198"/>
      <c r="R52" s="198"/>
      <c r="S52" s="198"/>
      <c r="T52" s="198"/>
      <c r="U52" s="198"/>
      <c r="V52" s="198"/>
      <c r="W52" s="198"/>
      <c r="X52" s="198"/>
      <c r="Y52" s="198"/>
      <c r="Z52" s="198"/>
      <c r="AA52" s="198"/>
      <c r="AB52" s="198"/>
    </row>
    <row r="53" ht="32.25" customHeight="1">
      <c r="A53" s="190" t="str">
        <f>HYPERLINK("https://drive.google.com/open?id=0B6Vr5nVC58V5NEZ4RXJLVUdoYklJUlRIRXZhT09VTVp3X1hj","8600000696")</f>
        <v>8600000696</v>
      </c>
      <c r="B53" s="191" t="s">
        <v>21</v>
      </c>
      <c r="C53" s="165" t="s">
        <v>2193</v>
      </c>
      <c r="D53" s="165" t="s">
        <v>2315</v>
      </c>
      <c r="E53" s="197" t="s">
        <v>2243</v>
      </c>
      <c r="F53" s="200">
        <v>43665.0</v>
      </c>
      <c r="G53" s="170">
        <v>43662.0</v>
      </c>
      <c r="H53" s="209">
        <v>43671.0</v>
      </c>
      <c r="I53" s="195" t="s">
        <v>2117</v>
      </c>
      <c r="J53" s="195" t="s">
        <v>2117</v>
      </c>
      <c r="K53" s="207" t="s">
        <v>2316</v>
      </c>
      <c r="L53" s="198"/>
      <c r="M53" s="198"/>
      <c r="N53" s="198"/>
      <c r="O53" s="198"/>
      <c r="P53" s="198"/>
      <c r="Q53" s="198"/>
      <c r="R53" s="198"/>
      <c r="S53" s="198"/>
      <c r="T53" s="198"/>
      <c r="U53" s="198"/>
      <c r="V53" s="198"/>
      <c r="W53" s="198"/>
      <c r="X53" s="198"/>
      <c r="Y53" s="198"/>
      <c r="Z53" s="198"/>
      <c r="AA53" s="198"/>
      <c r="AB53" s="198"/>
    </row>
    <row r="54" ht="32.25" customHeight="1">
      <c r="A54" s="190" t="str">
        <f>HYPERLINK("https://drive.google.com/open?id=0B6Vr5nVC58V5bjdpU0N2M3BBRXRmeHZMekoweDN0U0lKbXZ3","8600000657")</f>
        <v>8600000657</v>
      </c>
      <c r="B54" s="191" t="s">
        <v>21</v>
      </c>
      <c r="C54" s="165" t="s">
        <v>2225</v>
      </c>
      <c r="D54" s="165" t="s">
        <v>2317</v>
      </c>
      <c r="E54" s="212" t="s">
        <v>2318</v>
      </c>
      <c r="F54" s="200">
        <v>43658.0</v>
      </c>
      <c r="G54" s="170">
        <v>43654.0</v>
      </c>
      <c r="H54" s="209">
        <v>43662.0</v>
      </c>
      <c r="I54" s="195" t="s">
        <v>2117</v>
      </c>
      <c r="J54" s="195" t="s">
        <v>2117</v>
      </c>
      <c r="K54" s="207" t="s">
        <v>2319</v>
      </c>
      <c r="L54" s="198"/>
      <c r="M54" s="198"/>
      <c r="N54" s="198"/>
      <c r="O54" s="198"/>
      <c r="P54" s="198"/>
      <c r="Q54" s="198"/>
      <c r="R54" s="198"/>
      <c r="S54" s="198"/>
      <c r="T54" s="198"/>
      <c r="U54" s="198"/>
      <c r="V54" s="198"/>
      <c r="W54" s="198"/>
      <c r="X54" s="198"/>
      <c r="Y54" s="198"/>
      <c r="Z54" s="198"/>
      <c r="AA54" s="198"/>
      <c r="AB54" s="198"/>
    </row>
    <row r="55" ht="32.25" customHeight="1">
      <c r="A55" s="190" t="str">
        <f>HYPERLINK("https://drive.google.com/open?id=0B6Vr5nVC58V5c0NHa0xqa0ptZElvMV96NEFsOGxLQkVsNzJN","8600000695")</f>
        <v>8600000695</v>
      </c>
      <c r="B55" s="191" t="s">
        <v>25</v>
      </c>
      <c r="C55" s="165" t="s">
        <v>2237</v>
      </c>
      <c r="D55" s="165" t="s">
        <v>2320</v>
      </c>
      <c r="E55" s="197" t="s">
        <v>2243</v>
      </c>
      <c r="F55" s="200">
        <v>43655.0</v>
      </c>
      <c r="G55" s="200">
        <v>43658.0</v>
      </c>
      <c r="H55" s="209">
        <v>43664.0</v>
      </c>
      <c r="I55" s="195" t="s">
        <v>2117</v>
      </c>
      <c r="J55" s="195" t="s">
        <v>2117</v>
      </c>
      <c r="K55" s="207" t="s">
        <v>2321</v>
      </c>
      <c r="L55" s="198"/>
      <c r="M55" s="198"/>
      <c r="N55" s="198"/>
      <c r="O55" s="198"/>
      <c r="P55" s="198"/>
      <c r="Q55" s="198"/>
      <c r="R55" s="198"/>
      <c r="S55" s="198"/>
      <c r="T55" s="198"/>
      <c r="U55" s="198"/>
      <c r="V55" s="198"/>
      <c r="W55" s="198"/>
      <c r="X55" s="198"/>
      <c r="Y55" s="198"/>
      <c r="Z55" s="198"/>
      <c r="AA55" s="198"/>
      <c r="AB55" s="198"/>
    </row>
    <row r="56" ht="32.25" customHeight="1">
      <c r="A56" s="190" t="str">
        <f>HYPERLINK("https://drive.google.com/open?id=0B6Vr5nVC58V5T09HT285dGxFVnVTZGdiNWJ6enI2OVhXaGtz","8500000064")</f>
        <v>8500000064</v>
      </c>
      <c r="B56" s="191" t="s">
        <v>14</v>
      </c>
      <c r="C56" s="165" t="s">
        <v>2322</v>
      </c>
      <c r="D56" s="165" t="s">
        <v>2323</v>
      </c>
      <c r="E56" s="213" t="s">
        <v>2324</v>
      </c>
      <c r="F56" s="170">
        <v>43651.0</v>
      </c>
      <c r="G56" s="170">
        <v>43647.0</v>
      </c>
      <c r="H56" s="209">
        <v>43657.0</v>
      </c>
      <c r="I56" s="195" t="s">
        <v>2117</v>
      </c>
      <c r="J56" s="195" t="s">
        <v>2117</v>
      </c>
      <c r="K56" s="207" t="s">
        <v>2325</v>
      </c>
      <c r="L56" s="198"/>
      <c r="M56" s="198"/>
      <c r="N56" s="198"/>
      <c r="O56" s="198"/>
      <c r="P56" s="198"/>
      <c r="Q56" s="198"/>
      <c r="R56" s="198"/>
      <c r="S56" s="198"/>
      <c r="T56" s="198"/>
      <c r="U56" s="198"/>
      <c r="V56" s="198"/>
      <c r="W56" s="198"/>
      <c r="X56" s="198"/>
      <c r="Y56" s="198"/>
      <c r="Z56" s="198"/>
      <c r="AA56" s="198"/>
      <c r="AB56" s="198"/>
    </row>
    <row r="57" ht="32.25" customHeight="1">
      <c r="A57" s="190" t="str">
        <f>HYPERLINK("https://drive.google.com/open?id=0B6Vr5nVC58V5MTJhSVNJakxOYlZ1MEhfMlpsdjd2YkFKWlg4","8600000656")</f>
        <v>8600000656</v>
      </c>
      <c r="B57" s="191" t="s">
        <v>14</v>
      </c>
      <c r="C57" s="165" t="s">
        <v>2326</v>
      </c>
      <c r="D57" s="165" t="s">
        <v>2327</v>
      </c>
      <c r="E57" s="207" t="s">
        <v>2328</v>
      </c>
      <c r="F57" s="200">
        <v>43646.0</v>
      </c>
      <c r="G57" s="170">
        <v>43655.0</v>
      </c>
      <c r="H57" s="209">
        <v>43661.0</v>
      </c>
      <c r="I57" s="195" t="s">
        <v>2117</v>
      </c>
      <c r="J57" s="195" t="s">
        <v>2117</v>
      </c>
      <c r="K57" s="207" t="s">
        <v>2329</v>
      </c>
      <c r="L57" s="198"/>
      <c r="M57" s="198"/>
      <c r="N57" s="198"/>
      <c r="O57" s="198"/>
      <c r="P57" s="198"/>
      <c r="Q57" s="198"/>
      <c r="R57" s="198"/>
      <c r="S57" s="198"/>
      <c r="T57" s="198"/>
      <c r="U57" s="198"/>
      <c r="V57" s="198"/>
      <c r="W57" s="198"/>
      <c r="X57" s="198"/>
      <c r="Y57" s="198"/>
      <c r="Z57" s="198"/>
      <c r="AA57" s="198"/>
      <c r="AB57" s="198"/>
    </row>
    <row r="58" ht="32.25" customHeight="1">
      <c r="A58" s="190" t="str">
        <f>HYPERLINK("https://drive.google.com/open?id=0B6Vr5nVC58V5MkVDWml1S2RKb0N3RjVpYTRNcTdVV2xRTXBN","8600000658")</f>
        <v>8600000658</v>
      </c>
      <c r="B58" s="191" t="s">
        <v>14</v>
      </c>
      <c r="C58" s="165" t="s">
        <v>2145</v>
      </c>
      <c r="D58" s="165" t="s">
        <v>2330</v>
      </c>
      <c r="E58" s="213" t="s">
        <v>2331</v>
      </c>
      <c r="F58" s="200">
        <v>43645.0</v>
      </c>
      <c r="G58" s="170">
        <v>43648.0</v>
      </c>
      <c r="H58" s="209">
        <v>43654.0</v>
      </c>
      <c r="I58" s="195" t="s">
        <v>2117</v>
      </c>
      <c r="J58" s="195" t="s">
        <v>2117</v>
      </c>
      <c r="K58" s="207" t="s">
        <v>2332</v>
      </c>
      <c r="L58" s="198"/>
      <c r="M58" s="198"/>
      <c r="N58" s="198"/>
      <c r="O58" s="198"/>
      <c r="P58" s="198"/>
      <c r="Q58" s="198"/>
      <c r="R58" s="198"/>
      <c r="S58" s="198"/>
      <c r="T58" s="198"/>
      <c r="U58" s="198"/>
      <c r="V58" s="198"/>
      <c r="W58" s="198"/>
      <c r="X58" s="198"/>
      <c r="Y58" s="198"/>
      <c r="Z58" s="198"/>
      <c r="AA58" s="198"/>
      <c r="AB58" s="198"/>
    </row>
    <row r="59" ht="32.25" customHeight="1">
      <c r="A59" s="190" t="str">
        <f>HYPERLINK("https://drive.google.com/open?id=0B6Vr5nVC58V5Rlp4S0ljMjhfQndnWFFQeDVjMndCUWV2c0lV","8600000655")</f>
        <v>8600000655</v>
      </c>
      <c r="B59" s="191" t="s">
        <v>14</v>
      </c>
      <c r="C59" s="165" t="s">
        <v>2333</v>
      </c>
      <c r="D59" s="165" t="s">
        <v>2334</v>
      </c>
      <c r="E59" s="213" t="s">
        <v>2335</v>
      </c>
      <c r="F59" s="170">
        <v>43644.0</v>
      </c>
      <c r="G59" s="170">
        <v>43640.0</v>
      </c>
      <c r="H59" s="165" t="s">
        <v>2336</v>
      </c>
      <c r="I59" s="195" t="s">
        <v>2117</v>
      </c>
      <c r="J59" s="195" t="s">
        <v>2117</v>
      </c>
      <c r="K59" s="207" t="s">
        <v>2337</v>
      </c>
      <c r="L59" s="198"/>
      <c r="M59" s="198"/>
      <c r="N59" s="198"/>
      <c r="O59" s="198"/>
      <c r="P59" s="198"/>
      <c r="Q59" s="198"/>
      <c r="R59" s="198"/>
      <c r="S59" s="198"/>
      <c r="T59" s="198"/>
      <c r="U59" s="198"/>
      <c r="V59" s="198"/>
      <c r="W59" s="198"/>
      <c r="X59" s="198"/>
      <c r="Y59" s="198"/>
      <c r="Z59" s="198"/>
      <c r="AA59" s="198"/>
      <c r="AB59" s="198"/>
    </row>
    <row r="60" ht="32.25" customHeight="1">
      <c r="A60" s="190" t="str">
        <f>HYPERLINK("https://drive.google.com/open?id=0B6Vr5nVC58V5OEQzM0E2NlNHTDdaNmRvV0lYel9XYlh6a3Nv","8600000651")</f>
        <v>8600000651</v>
      </c>
      <c r="B60" s="191" t="s">
        <v>14</v>
      </c>
      <c r="C60" s="165" t="s">
        <v>2338</v>
      </c>
      <c r="D60" s="165" t="s">
        <v>2339</v>
      </c>
      <c r="E60" s="207" t="s">
        <v>2340</v>
      </c>
      <c r="F60" s="200">
        <v>43644.0</v>
      </c>
      <c r="G60" s="170">
        <v>43641.0</v>
      </c>
      <c r="H60" s="165" t="s">
        <v>2341</v>
      </c>
      <c r="I60" s="195" t="s">
        <v>2117</v>
      </c>
      <c r="J60" s="195" t="s">
        <v>2117</v>
      </c>
      <c r="K60" s="207" t="s">
        <v>2342</v>
      </c>
      <c r="L60" s="198"/>
      <c r="M60" s="198"/>
      <c r="N60" s="198"/>
      <c r="O60" s="198"/>
      <c r="P60" s="198"/>
      <c r="Q60" s="198"/>
      <c r="R60" s="198"/>
      <c r="S60" s="198"/>
      <c r="T60" s="198"/>
      <c r="U60" s="198"/>
      <c r="V60" s="198"/>
      <c r="W60" s="198"/>
      <c r="X60" s="198"/>
      <c r="Y60" s="198"/>
      <c r="Z60" s="198"/>
      <c r="AA60" s="198"/>
      <c r="AB60" s="198"/>
    </row>
    <row r="61" ht="32.25" customHeight="1">
      <c r="A61" s="190" t="str">
        <f>HYPERLINK("https://drive.google.com/open?id=0B6Vr5nVC58V5WkY2LW5QOEdHMV90c0pXT0NaX3hqaEZ1d29r","8600000640")</f>
        <v>8600000640</v>
      </c>
      <c r="B61" s="191" t="s">
        <v>21</v>
      </c>
      <c r="C61" s="165" t="s">
        <v>2343</v>
      </c>
      <c r="D61" s="165" t="s">
        <v>2344</v>
      </c>
      <c r="E61" s="157" t="s">
        <v>2345</v>
      </c>
      <c r="F61" s="170">
        <v>43644.0</v>
      </c>
      <c r="G61" s="170">
        <v>43640.0</v>
      </c>
      <c r="H61" s="170">
        <v>43648.0</v>
      </c>
      <c r="I61" s="195" t="s">
        <v>2117</v>
      </c>
      <c r="J61" s="195" t="s">
        <v>2117</v>
      </c>
      <c r="K61" s="207" t="s">
        <v>2346</v>
      </c>
      <c r="L61" s="198"/>
      <c r="M61" s="198"/>
      <c r="N61" s="198"/>
      <c r="O61" s="198"/>
      <c r="P61" s="198"/>
      <c r="Q61" s="198"/>
      <c r="R61" s="198"/>
      <c r="S61" s="198"/>
      <c r="T61" s="198"/>
      <c r="U61" s="198"/>
      <c r="V61" s="198"/>
      <c r="W61" s="198"/>
      <c r="X61" s="198"/>
      <c r="Y61" s="198"/>
      <c r="Z61" s="198"/>
      <c r="AA61" s="198"/>
      <c r="AB61" s="198"/>
    </row>
    <row r="62" ht="32.25" customHeight="1">
      <c r="A62" s="190" t="str">
        <f>HYPERLINK("https://drive.google.com/open?id=0B6Vr5nVC58V5MG9vS3NmaDRqeHRtd3FSNnZZNDk4Y1kzS2dj","8600000641")</f>
        <v>8600000641</v>
      </c>
      <c r="B62" s="191" t="s">
        <v>25</v>
      </c>
      <c r="C62" s="165" t="s">
        <v>2286</v>
      </c>
      <c r="D62" s="165" t="s">
        <v>2347</v>
      </c>
      <c r="E62" s="214" t="s">
        <v>2348</v>
      </c>
      <c r="F62" s="170">
        <v>43636.0</v>
      </c>
      <c r="G62" s="170">
        <v>43644.0</v>
      </c>
      <c r="H62" s="170">
        <v>43647.0</v>
      </c>
      <c r="I62" s="195" t="s">
        <v>2117</v>
      </c>
      <c r="J62" s="195" t="s">
        <v>2117</v>
      </c>
      <c r="K62" s="207" t="s">
        <v>2349</v>
      </c>
      <c r="L62" s="198"/>
      <c r="M62" s="198"/>
      <c r="N62" s="198"/>
      <c r="O62" s="198"/>
      <c r="P62" s="198"/>
      <c r="Q62" s="198"/>
      <c r="R62" s="198"/>
      <c r="S62" s="198"/>
      <c r="T62" s="198"/>
      <c r="U62" s="198"/>
      <c r="V62" s="198"/>
      <c r="W62" s="198"/>
      <c r="X62" s="198"/>
      <c r="Y62" s="198"/>
      <c r="Z62" s="198"/>
      <c r="AA62" s="198"/>
      <c r="AB62" s="198"/>
    </row>
    <row r="63" ht="32.25" customHeight="1">
      <c r="A63" s="190" t="str">
        <f>HYPERLINK("https://drive.google.com/open?id=0B6Vr5nVC58V5aE9ONDU5enZOam1SOGcwVmVZeC1sNDY3b0I4","8600000622")</f>
        <v>8600000622</v>
      </c>
      <c r="B63" s="191" t="s">
        <v>14</v>
      </c>
      <c r="C63" s="165" t="s">
        <v>2350</v>
      </c>
      <c r="D63" s="165" t="s">
        <v>2351</v>
      </c>
      <c r="E63" s="198" t="s">
        <v>2352</v>
      </c>
      <c r="F63" s="193">
        <v>43623.0</v>
      </c>
      <c r="G63" s="170">
        <v>43620.0</v>
      </c>
      <c r="H63" s="165" t="s">
        <v>2353</v>
      </c>
      <c r="I63" s="195" t="s">
        <v>2117</v>
      </c>
      <c r="J63" s="195" t="s">
        <v>2117</v>
      </c>
      <c r="K63" s="207" t="s">
        <v>2354</v>
      </c>
      <c r="L63" s="198"/>
      <c r="M63" s="198"/>
      <c r="N63" s="198"/>
      <c r="O63" s="198"/>
      <c r="P63" s="198"/>
      <c r="Q63" s="198"/>
      <c r="R63" s="198"/>
      <c r="S63" s="198"/>
      <c r="T63" s="198"/>
      <c r="U63" s="198"/>
      <c r="V63" s="198"/>
      <c r="W63" s="198"/>
      <c r="X63" s="198"/>
      <c r="Y63" s="198"/>
      <c r="Z63" s="198"/>
      <c r="AA63" s="198"/>
      <c r="AB63" s="198"/>
    </row>
    <row r="64" ht="32.25" customHeight="1">
      <c r="A64" s="190" t="str">
        <f>HYPERLINK("https://drive.google.com/open?id=0B6Vr5nVC58V5dEZ4SnZHbmlzV3lyN1dKZU1ZZVEtZUJYSjZN","8600000637")</f>
        <v>8600000637</v>
      </c>
      <c r="B64" s="191" t="s">
        <v>25</v>
      </c>
      <c r="C64" s="165" t="s">
        <v>2311</v>
      </c>
      <c r="D64" s="165" t="s">
        <v>2355</v>
      </c>
      <c r="E64" s="207" t="s">
        <v>2356</v>
      </c>
      <c r="F64" s="200">
        <v>43617.0</v>
      </c>
      <c r="G64" s="200">
        <v>43616.0</v>
      </c>
      <c r="H64" s="209">
        <v>43622.0</v>
      </c>
      <c r="I64" s="195" t="s">
        <v>2117</v>
      </c>
      <c r="J64" s="195" t="s">
        <v>2117</v>
      </c>
      <c r="K64" s="207" t="s">
        <v>2357</v>
      </c>
      <c r="L64" s="198"/>
      <c r="M64" s="198"/>
      <c r="N64" s="198"/>
      <c r="O64" s="198"/>
      <c r="P64" s="198"/>
      <c r="Q64" s="198"/>
      <c r="R64" s="198"/>
      <c r="S64" s="198"/>
      <c r="T64" s="198"/>
      <c r="U64" s="198"/>
      <c r="V64" s="198"/>
      <c r="W64" s="198"/>
      <c r="X64" s="198"/>
      <c r="Y64" s="198"/>
      <c r="Z64" s="198"/>
      <c r="AA64" s="198"/>
      <c r="AB64" s="198"/>
    </row>
    <row r="65" ht="32.25" customHeight="1">
      <c r="A65" s="190" t="str">
        <f>HYPERLINK("https://drive.google.com/open?id=0B6Vr5nVC58V5NXhjMnZ3NnYwQ3NTVnV3RDI4U1hvSy1pXy00","8600000638")</f>
        <v>8600000638</v>
      </c>
      <c r="B65" s="191" t="s">
        <v>21</v>
      </c>
      <c r="C65" s="165" t="s">
        <v>2237</v>
      </c>
      <c r="D65" s="165" t="s">
        <v>2358</v>
      </c>
      <c r="E65" s="207" t="s">
        <v>2359</v>
      </c>
      <c r="F65" s="200">
        <v>43617.0</v>
      </c>
      <c r="G65" s="170">
        <v>43634.0</v>
      </c>
      <c r="H65" s="209">
        <v>43634.0</v>
      </c>
      <c r="I65" s="195" t="s">
        <v>2117</v>
      </c>
      <c r="J65" s="195" t="s">
        <v>2117</v>
      </c>
      <c r="K65" s="207" t="s">
        <v>2360</v>
      </c>
      <c r="L65" s="198"/>
      <c r="M65" s="198"/>
      <c r="N65" s="198"/>
      <c r="O65" s="198"/>
      <c r="P65" s="198"/>
      <c r="Q65" s="198"/>
      <c r="R65" s="198"/>
      <c r="S65" s="198"/>
      <c r="T65" s="198"/>
      <c r="U65" s="198"/>
      <c r="V65" s="198"/>
      <c r="W65" s="198"/>
      <c r="X65" s="198"/>
      <c r="Y65" s="198"/>
      <c r="Z65" s="198"/>
      <c r="AA65" s="198"/>
      <c r="AB65" s="198"/>
    </row>
    <row r="66" ht="32.25" customHeight="1">
      <c r="A66" s="190" t="str">
        <f>HYPERLINK("https://drive.google.com/open?id=0B6Vr5nVC58V5ZGZtSmNlSW52MWhjMEU2WTFHTWx0RXNxSkZZ","8600000615")</f>
        <v>8600000615</v>
      </c>
      <c r="B66" s="191" t="s">
        <v>21</v>
      </c>
      <c r="C66" s="165">
        <v>1771.0</v>
      </c>
      <c r="D66" s="165" t="s">
        <v>2361</v>
      </c>
      <c r="E66" s="157" t="s">
        <v>2362</v>
      </c>
      <c r="F66" s="200">
        <v>43612.0</v>
      </c>
      <c r="G66" s="170">
        <v>43609.0</v>
      </c>
      <c r="H66" s="165" t="s">
        <v>2363</v>
      </c>
      <c r="I66" s="195" t="s">
        <v>2117</v>
      </c>
      <c r="J66" s="195" t="s">
        <v>2117</v>
      </c>
      <c r="K66" s="207" t="s">
        <v>2364</v>
      </c>
      <c r="L66" s="198"/>
      <c r="M66" s="198"/>
      <c r="N66" s="198"/>
      <c r="O66" s="198"/>
      <c r="P66" s="198"/>
      <c r="Q66" s="198"/>
      <c r="R66" s="198"/>
      <c r="S66" s="198"/>
      <c r="T66" s="198"/>
      <c r="U66" s="198"/>
      <c r="V66" s="198"/>
      <c r="W66" s="198"/>
      <c r="X66" s="198"/>
      <c r="Y66" s="198"/>
      <c r="Z66" s="198"/>
      <c r="AA66" s="198"/>
      <c r="AB66" s="198"/>
    </row>
    <row r="67" ht="32.25" customHeight="1">
      <c r="A67" s="190" t="str">
        <f>HYPERLINK("https://drive.google.com/open?id=0B6Vr5nVC58V5UUZwMWNReE9femN1SlJxc3UyNkVVTWpYQlRn","8600000618")</f>
        <v>8600000618</v>
      </c>
      <c r="B67" s="191" t="s">
        <v>14</v>
      </c>
      <c r="C67" s="165" t="s">
        <v>2123</v>
      </c>
      <c r="D67" s="165" t="s">
        <v>2365</v>
      </c>
      <c r="E67" s="207" t="s">
        <v>2366</v>
      </c>
      <c r="F67" s="200">
        <v>43609.0</v>
      </c>
      <c r="G67" s="170">
        <v>43614.0</v>
      </c>
      <c r="H67" s="209">
        <v>43619.0</v>
      </c>
      <c r="I67" s="195" t="s">
        <v>2117</v>
      </c>
      <c r="J67" s="195" t="s">
        <v>2117</v>
      </c>
      <c r="K67" s="207" t="s">
        <v>2367</v>
      </c>
      <c r="L67" s="198"/>
      <c r="M67" s="198"/>
      <c r="N67" s="198"/>
      <c r="O67" s="198"/>
      <c r="P67" s="198"/>
      <c r="Q67" s="198"/>
      <c r="R67" s="198"/>
      <c r="S67" s="198"/>
      <c r="T67" s="198"/>
      <c r="U67" s="198"/>
      <c r="V67" s="198"/>
      <c r="W67" s="198"/>
      <c r="X67" s="198"/>
      <c r="Y67" s="198"/>
      <c r="Z67" s="198"/>
      <c r="AA67" s="198"/>
      <c r="AB67" s="198"/>
    </row>
    <row r="68" ht="32.25" customHeight="1">
      <c r="A68" s="190" t="str">
        <f>HYPERLINK("https://drive.google.com/open?id=0B6Vr5nVC58V5OXY3YklSSE1nTmdGMlBrZEkzcjhRY0pGdDM4","8600000614")</f>
        <v>8600000614</v>
      </c>
      <c r="B68" s="191" t="s">
        <v>14</v>
      </c>
      <c r="C68" s="165">
        <v>2821.0</v>
      </c>
      <c r="D68" s="165" t="s">
        <v>2368</v>
      </c>
      <c r="E68" s="198" t="s">
        <v>2369</v>
      </c>
      <c r="F68" s="200">
        <v>43608.0</v>
      </c>
      <c r="G68" s="200">
        <v>43614.0</v>
      </c>
      <c r="H68" s="209">
        <v>43613.0</v>
      </c>
      <c r="I68" s="195" t="s">
        <v>2117</v>
      </c>
      <c r="J68" s="195" t="s">
        <v>2117</v>
      </c>
      <c r="K68" s="207" t="s">
        <v>2370</v>
      </c>
      <c r="L68" s="198"/>
      <c r="M68" s="198"/>
      <c r="N68" s="198"/>
      <c r="O68" s="198"/>
      <c r="P68" s="198"/>
      <c r="Q68" s="198"/>
      <c r="R68" s="198"/>
      <c r="S68" s="198"/>
      <c r="T68" s="198"/>
      <c r="U68" s="198"/>
      <c r="V68" s="198"/>
      <c r="W68" s="198"/>
      <c r="X68" s="198"/>
      <c r="Y68" s="198"/>
      <c r="Z68" s="198"/>
      <c r="AA68" s="198"/>
      <c r="AB68" s="198"/>
    </row>
    <row r="69" ht="32.25" customHeight="1">
      <c r="A69" s="190" t="str">
        <f>HYPERLINK("https://drive.google.com/open?id=0B6Vr5nVC58V5dzJLTWtud0tDbTk4Ym1rWXZuWFRtQUJHRFpZ","8600000613")</f>
        <v>8600000613</v>
      </c>
      <c r="B69" s="191" t="s">
        <v>25</v>
      </c>
      <c r="C69" s="165">
        <v>1000.0</v>
      </c>
      <c r="D69" s="165" t="s">
        <v>2371</v>
      </c>
      <c r="E69" s="213" t="s">
        <v>2372</v>
      </c>
      <c r="F69" s="200">
        <v>43607.0</v>
      </c>
      <c r="G69" s="200">
        <v>43634.0</v>
      </c>
      <c r="H69" s="209">
        <v>43615.0</v>
      </c>
      <c r="I69" s="195" t="s">
        <v>2117</v>
      </c>
      <c r="J69" s="195" t="s">
        <v>2117</v>
      </c>
      <c r="K69" s="207" t="s">
        <v>2373</v>
      </c>
      <c r="L69" s="198"/>
      <c r="M69" s="198"/>
      <c r="N69" s="198"/>
      <c r="O69" s="198"/>
      <c r="P69" s="198"/>
      <c r="Q69" s="198"/>
      <c r="R69" s="198"/>
      <c r="S69" s="198"/>
      <c r="T69" s="198"/>
      <c r="U69" s="198"/>
      <c r="V69" s="198"/>
      <c r="W69" s="198"/>
      <c r="X69" s="198"/>
      <c r="Y69" s="198"/>
      <c r="Z69" s="198"/>
      <c r="AA69" s="198"/>
      <c r="AB69" s="198"/>
    </row>
    <row r="70" ht="32.25" customHeight="1">
      <c r="A70" s="190" t="str">
        <f>HYPERLINK("https://drive.google.com/open?id=0B6Vr5nVC58V5X0NGTnhmcUl5OERKSzhLM1lwUnpwZTVDRG9z","8600000620")</f>
        <v>8600000620</v>
      </c>
      <c r="B70" s="191" t="s">
        <v>25</v>
      </c>
      <c r="C70" s="165" t="s">
        <v>2237</v>
      </c>
      <c r="D70" s="215" t="s">
        <v>2374</v>
      </c>
      <c r="E70" s="213" t="s">
        <v>2375</v>
      </c>
      <c r="F70" s="200">
        <v>43607.0</v>
      </c>
      <c r="G70" s="193">
        <v>43608.0</v>
      </c>
      <c r="H70" s="209">
        <v>43629.0</v>
      </c>
      <c r="I70" s="195" t="s">
        <v>2117</v>
      </c>
      <c r="J70" s="195" t="s">
        <v>2117</v>
      </c>
      <c r="K70" s="207" t="s">
        <v>2376</v>
      </c>
      <c r="L70" s="198"/>
      <c r="M70" s="198"/>
      <c r="N70" s="198"/>
      <c r="O70" s="198"/>
      <c r="P70" s="198"/>
      <c r="Q70" s="198"/>
      <c r="R70" s="198"/>
      <c r="S70" s="198"/>
      <c r="T70" s="198"/>
      <c r="U70" s="198"/>
      <c r="V70" s="198"/>
      <c r="W70" s="198"/>
      <c r="X70" s="198"/>
      <c r="Y70" s="198"/>
      <c r="Z70" s="198"/>
      <c r="AA70" s="198"/>
      <c r="AB70" s="198"/>
    </row>
    <row r="71" ht="32.25" customHeight="1">
      <c r="A71" s="190" t="str">
        <f>HYPERLINK("https://drive.google.com/open?id=0B6Vr5nVC58V5RnJuZkczVGhEUnNrSzVldGp1UDZYaVluODZJ","8600000619")</f>
        <v>8600000619</v>
      </c>
      <c r="B71" s="191" t="s">
        <v>21</v>
      </c>
      <c r="C71" s="165" t="s">
        <v>2123</v>
      </c>
      <c r="D71" s="215" t="s">
        <v>2374</v>
      </c>
      <c r="E71" s="212" t="s">
        <v>2377</v>
      </c>
      <c r="F71" s="200">
        <v>43607.0</v>
      </c>
      <c r="G71" s="170">
        <v>43634.0</v>
      </c>
      <c r="H71" s="209">
        <v>43634.0</v>
      </c>
      <c r="I71" s="195" t="s">
        <v>2117</v>
      </c>
      <c r="J71" s="195" t="s">
        <v>2117</v>
      </c>
      <c r="K71" s="207" t="s">
        <v>2378</v>
      </c>
      <c r="L71" s="198"/>
      <c r="M71" s="198"/>
      <c r="N71" s="198"/>
      <c r="O71" s="198"/>
      <c r="P71" s="198"/>
      <c r="Q71" s="198"/>
      <c r="R71" s="198"/>
      <c r="S71" s="198"/>
      <c r="T71" s="198"/>
      <c r="U71" s="198"/>
      <c r="V71" s="198"/>
      <c r="W71" s="198"/>
      <c r="X71" s="198"/>
      <c r="Y71" s="198"/>
      <c r="Z71" s="198"/>
      <c r="AA71" s="198"/>
      <c r="AB71" s="198"/>
    </row>
    <row r="72" ht="32.25" customHeight="1">
      <c r="A72" s="190" t="str">
        <f>HYPERLINK("https://drive.google.com/open?id=0B6Vr5nVC58V5djdkWDVLclhpQ294RDBESjdHYWpmdDBNNS1n","8600000621")</f>
        <v>8600000621</v>
      </c>
      <c r="B72" s="191" t="s">
        <v>21</v>
      </c>
      <c r="C72" s="165" t="s">
        <v>2379</v>
      </c>
      <c r="D72" s="165" t="s">
        <v>2380</v>
      </c>
      <c r="E72" s="207" t="s">
        <v>2340</v>
      </c>
      <c r="F72" s="200">
        <v>43607.0</v>
      </c>
      <c r="G72" s="170">
        <v>43606.0</v>
      </c>
      <c r="H72" s="209">
        <v>43614.0</v>
      </c>
      <c r="I72" s="195" t="s">
        <v>2117</v>
      </c>
      <c r="J72" s="195" t="s">
        <v>2117</v>
      </c>
      <c r="K72" s="207" t="s">
        <v>2381</v>
      </c>
      <c r="L72" s="198"/>
      <c r="M72" s="198"/>
      <c r="N72" s="198"/>
      <c r="O72" s="198"/>
      <c r="P72" s="198"/>
      <c r="Q72" s="198"/>
      <c r="R72" s="198"/>
      <c r="S72" s="198"/>
      <c r="T72" s="198"/>
      <c r="U72" s="198"/>
      <c r="V72" s="198"/>
      <c r="W72" s="198"/>
      <c r="X72" s="198"/>
      <c r="Y72" s="198"/>
      <c r="Z72" s="198"/>
      <c r="AA72" s="198"/>
      <c r="AB72" s="198"/>
    </row>
    <row r="73" ht="32.25" customHeight="1">
      <c r="A73" s="190" t="str">
        <f>HYPERLINK("https://drive.google.com/open?id=0B6Vr5nVC58V5OThwWEgzRWp3T011SHhyUVdOWjlLQlZXOFQw","8600000612")</f>
        <v>8600000612</v>
      </c>
      <c r="B73" s="191" t="s">
        <v>25</v>
      </c>
      <c r="C73" s="165" t="s">
        <v>2145</v>
      </c>
      <c r="D73" s="165" t="s">
        <v>2382</v>
      </c>
      <c r="E73" s="212" t="s">
        <v>2383</v>
      </c>
      <c r="F73" s="200">
        <v>43594.0</v>
      </c>
      <c r="G73" s="170">
        <v>43599.0</v>
      </c>
      <c r="H73" s="209">
        <v>43599.0</v>
      </c>
      <c r="I73" s="195" t="s">
        <v>2117</v>
      </c>
      <c r="J73" s="195" t="s">
        <v>2117</v>
      </c>
      <c r="K73" s="207" t="s">
        <v>2384</v>
      </c>
      <c r="L73" s="198"/>
      <c r="M73" s="198"/>
      <c r="N73" s="198"/>
      <c r="O73" s="198"/>
      <c r="P73" s="198"/>
      <c r="Q73" s="198"/>
      <c r="R73" s="198"/>
      <c r="S73" s="198"/>
      <c r="T73" s="198"/>
      <c r="U73" s="198"/>
      <c r="V73" s="198"/>
      <c r="W73" s="198"/>
      <c r="X73" s="198"/>
      <c r="Y73" s="198"/>
      <c r="Z73" s="198"/>
      <c r="AA73" s="198"/>
      <c r="AB73" s="198"/>
    </row>
    <row r="74" ht="32.25" customHeight="1">
      <c r="A74" s="190" t="str">
        <f>HYPERLINK("https://drive.google.com/open?id=0B6Vr5nVC58V5Q1ZBTjJweE85NzVZYVJ3eHlVRUx3d2MxbHE0","8600000585")</f>
        <v>8600000585</v>
      </c>
      <c r="B74" s="191" t="s">
        <v>14</v>
      </c>
      <c r="C74" s="165">
        <v>222.0</v>
      </c>
      <c r="D74" s="165" t="s">
        <v>2385</v>
      </c>
      <c r="E74" s="213" t="s">
        <v>2386</v>
      </c>
      <c r="F74" s="200">
        <v>43584.0</v>
      </c>
      <c r="G74" s="170">
        <v>43584.0</v>
      </c>
      <c r="H74" s="209">
        <v>43587.0</v>
      </c>
      <c r="I74" s="195" t="s">
        <v>2117</v>
      </c>
      <c r="J74" s="195" t="s">
        <v>2117</v>
      </c>
      <c r="K74" s="207" t="s">
        <v>2387</v>
      </c>
      <c r="L74" s="198"/>
      <c r="M74" s="198"/>
      <c r="N74" s="198"/>
      <c r="O74" s="198"/>
      <c r="P74" s="198"/>
      <c r="Q74" s="198"/>
      <c r="R74" s="198"/>
      <c r="S74" s="198"/>
      <c r="T74" s="198"/>
      <c r="U74" s="198"/>
      <c r="V74" s="198"/>
      <c r="W74" s="198"/>
      <c r="X74" s="198"/>
      <c r="Y74" s="198"/>
      <c r="Z74" s="198"/>
      <c r="AA74" s="198"/>
      <c r="AB74" s="198"/>
    </row>
    <row r="75" ht="32.25" customHeight="1">
      <c r="A75" s="190" t="str">
        <f>HYPERLINK("https://drive.google.com/open?id=0B6Vr5nVC58V5bXZIRlplLVRUSXpCVjlsUDBvVTlRLVlmb3hB","8600000582")</f>
        <v>8600000582</v>
      </c>
      <c r="B75" s="191" t="s">
        <v>14</v>
      </c>
      <c r="C75" s="165" t="s">
        <v>2388</v>
      </c>
      <c r="D75" s="165" t="s">
        <v>2389</v>
      </c>
      <c r="E75" s="213" t="s">
        <v>2390</v>
      </c>
      <c r="F75" s="200">
        <v>43581.0</v>
      </c>
      <c r="G75" s="170">
        <v>43578.0</v>
      </c>
      <c r="H75" s="209">
        <v>43586.0</v>
      </c>
      <c r="I75" s="195" t="s">
        <v>2117</v>
      </c>
      <c r="J75" s="195" t="s">
        <v>2117</v>
      </c>
      <c r="K75" s="207" t="s">
        <v>2391</v>
      </c>
      <c r="L75" s="198"/>
      <c r="M75" s="198"/>
      <c r="N75" s="198"/>
      <c r="O75" s="198"/>
      <c r="P75" s="198"/>
      <c r="Q75" s="198"/>
      <c r="R75" s="198"/>
      <c r="S75" s="198"/>
      <c r="T75" s="198"/>
      <c r="U75" s="198"/>
      <c r="V75" s="198"/>
      <c r="W75" s="198"/>
      <c r="X75" s="198"/>
      <c r="Y75" s="198"/>
      <c r="Z75" s="198"/>
      <c r="AA75" s="198"/>
      <c r="AB75" s="198"/>
    </row>
    <row r="76" ht="32.25" customHeight="1">
      <c r="A76" s="190" t="str">
        <f>HYPERLINK("https://drive.google.com/open?id=0B6Vr5nVC58V5MUZDczcyTnQxMGpGcm1qd3NEaVJldWRrTTh3","8500000061")</f>
        <v>8500000061</v>
      </c>
      <c r="B76" s="191" t="s">
        <v>21</v>
      </c>
      <c r="C76" s="165">
        <v>133.0</v>
      </c>
      <c r="D76" s="215" t="s">
        <v>2392</v>
      </c>
      <c r="E76" s="212" t="s">
        <v>2299</v>
      </c>
      <c r="F76" s="200">
        <v>43581.0</v>
      </c>
      <c r="G76" s="170">
        <v>43579.0</v>
      </c>
      <c r="H76" s="209">
        <v>43588.0</v>
      </c>
      <c r="I76" s="195" t="s">
        <v>2117</v>
      </c>
      <c r="J76" s="195" t="s">
        <v>2117</v>
      </c>
      <c r="K76" s="207" t="s">
        <v>2393</v>
      </c>
      <c r="L76" s="198"/>
      <c r="M76" s="198"/>
      <c r="N76" s="198"/>
      <c r="O76" s="198"/>
      <c r="P76" s="198"/>
      <c r="Q76" s="198"/>
      <c r="R76" s="198"/>
      <c r="S76" s="198"/>
      <c r="T76" s="198"/>
      <c r="U76" s="198"/>
      <c r="V76" s="198"/>
      <c r="W76" s="198"/>
      <c r="X76" s="198"/>
      <c r="Y76" s="198"/>
      <c r="Z76" s="198"/>
      <c r="AA76" s="198"/>
      <c r="AB76" s="198"/>
    </row>
    <row r="77" ht="32.25" customHeight="1">
      <c r="A77" s="190" t="str">
        <f>HYPERLINK("https://drive.google.com/open?id=0B6Vr5nVC58V5Q3k0UVplNzdNUktmZmZnLXVUSzlRaVVMSGdZ","8600000587")</f>
        <v>8600000587</v>
      </c>
      <c r="B77" s="191" t="s">
        <v>14</v>
      </c>
      <c r="C77" s="165">
        <v>2001.0</v>
      </c>
      <c r="D77" s="165" t="s">
        <v>2394</v>
      </c>
      <c r="E77" s="207" t="s">
        <v>2182</v>
      </c>
      <c r="F77" s="200">
        <v>43580.0</v>
      </c>
      <c r="G77" s="170">
        <v>43580.0</v>
      </c>
      <c r="H77" s="209">
        <v>43587.0</v>
      </c>
      <c r="I77" s="195" t="s">
        <v>2117</v>
      </c>
      <c r="J77" s="195" t="s">
        <v>2117</v>
      </c>
      <c r="K77" s="207" t="s">
        <v>2395</v>
      </c>
      <c r="L77" s="198"/>
      <c r="M77" s="198"/>
      <c r="N77" s="198"/>
      <c r="O77" s="198"/>
      <c r="P77" s="198"/>
      <c r="Q77" s="198"/>
      <c r="R77" s="198"/>
      <c r="S77" s="198"/>
      <c r="T77" s="198"/>
      <c r="U77" s="198"/>
      <c r="V77" s="198"/>
      <c r="W77" s="198"/>
      <c r="X77" s="198"/>
      <c r="Y77" s="198"/>
      <c r="Z77" s="198"/>
      <c r="AA77" s="198"/>
      <c r="AB77" s="198"/>
    </row>
    <row r="78" ht="32.25" customHeight="1">
      <c r="A78" s="190" t="str">
        <f>HYPERLINK("https://drive.google.com/open?id=0B6Vr5nVC58V5X2xjdkNlbW9Rd09UOFdzbGxTQ2g3V3JTT2tF","8600000572")</f>
        <v>8600000572</v>
      </c>
      <c r="B78" s="191" t="s">
        <v>21</v>
      </c>
      <c r="C78" s="165">
        <v>1567.0</v>
      </c>
      <c r="D78" s="165" t="s">
        <v>2396</v>
      </c>
      <c r="E78" s="212" t="s">
        <v>2397</v>
      </c>
      <c r="F78" s="200">
        <v>43577.0</v>
      </c>
      <c r="G78" s="170">
        <v>43573.0</v>
      </c>
      <c r="H78" s="209">
        <v>43585.0</v>
      </c>
      <c r="I78" s="195" t="s">
        <v>2117</v>
      </c>
      <c r="J78" s="195" t="s">
        <v>2117</v>
      </c>
      <c r="K78" s="207" t="s">
        <v>2398</v>
      </c>
      <c r="L78" s="198"/>
      <c r="M78" s="198"/>
      <c r="N78" s="198"/>
      <c r="O78" s="198"/>
      <c r="P78" s="198"/>
      <c r="Q78" s="198"/>
      <c r="R78" s="198"/>
      <c r="S78" s="198"/>
      <c r="T78" s="198"/>
      <c r="U78" s="198"/>
      <c r="V78" s="198"/>
      <c r="W78" s="198"/>
      <c r="X78" s="198"/>
      <c r="Y78" s="198"/>
      <c r="Z78" s="198"/>
      <c r="AA78" s="198"/>
      <c r="AB78" s="198"/>
    </row>
    <row r="79" ht="32.25" customHeight="1">
      <c r="A79" s="190" t="str">
        <f>HYPERLINK("https://drive.google.com/open?id=0B6Vr5nVC58V5M1BtdGMwaHBDVzQ0cFdycWJLSzVXMmtrWWZr","8600000573")</f>
        <v>8600000573</v>
      </c>
      <c r="B79" s="191" t="s">
        <v>25</v>
      </c>
      <c r="C79" s="165">
        <v>961.0</v>
      </c>
      <c r="D79" s="165" t="s">
        <v>2399</v>
      </c>
      <c r="E79" s="207" t="s">
        <v>2400</v>
      </c>
      <c r="F79" s="200">
        <v>43572.0</v>
      </c>
      <c r="G79" s="170">
        <v>43570.0</v>
      </c>
      <c r="H79" s="209">
        <v>43579.0</v>
      </c>
      <c r="I79" s="195" t="s">
        <v>2117</v>
      </c>
      <c r="J79" s="195" t="s">
        <v>2117</v>
      </c>
      <c r="K79" s="207" t="s">
        <v>2401</v>
      </c>
      <c r="L79" s="198"/>
      <c r="M79" s="198"/>
      <c r="N79" s="198"/>
      <c r="O79" s="198"/>
      <c r="P79" s="198"/>
      <c r="Q79" s="198"/>
      <c r="R79" s="198"/>
      <c r="S79" s="198"/>
      <c r="T79" s="198"/>
      <c r="U79" s="198"/>
      <c r="V79" s="198"/>
      <c r="W79" s="198"/>
      <c r="X79" s="198"/>
      <c r="Y79" s="198"/>
      <c r="Z79" s="198"/>
      <c r="AA79" s="198"/>
      <c r="AB79" s="198"/>
    </row>
    <row r="80" ht="32.25" customHeight="1">
      <c r="A80" s="190" t="str">
        <f>HYPERLINK("https://drive.google.com/open?id=0B6Vr5nVC58V5ZjZpcFdnRy1iemQ2VWtOUXRKSXVjaHBCYkhN","8600000577")</f>
        <v>8600000577</v>
      </c>
      <c r="B80" s="191" t="s">
        <v>21</v>
      </c>
      <c r="C80" s="165">
        <v>128.0</v>
      </c>
      <c r="D80" s="165" t="s">
        <v>2402</v>
      </c>
      <c r="E80" s="212" t="s">
        <v>2331</v>
      </c>
      <c r="F80" s="200">
        <v>43571.0</v>
      </c>
      <c r="G80" s="216">
        <v>43587.0</v>
      </c>
      <c r="H80" s="209">
        <v>43588.0</v>
      </c>
      <c r="I80" s="195" t="s">
        <v>2117</v>
      </c>
      <c r="J80" s="195" t="s">
        <v>2117</v>
      </c>
      <c r="K80" s="210" t="s">
        <v>2403</v>
      </c>
      <c r="L80" s="198"/>
      <c r="M80" s="198"/>
      <c r="N80" s="198"/>
      <c r="O80" s="198"/>
      <c r="P80" s="198"/>
      <c r="Q80" s="198"/>
      <c r="R80" s="198"/>
      <c r="S80" s="198"/>
      <c r="T80" s="198"/>
      <c r="U80" s="198"/>
      <c r="V80" s="198"/>
      <c r="W80" s="198"/>
      <c r="X80" s="198"/>
      <c r="Y80" s="198"/>
      <c r="Z80" s="198"/>
      <c r="AA80" s="198"/>
      <c r="AB80" s="198"/>
    </row>
    <row r="81" ht="32.25" customHeight="1">
      <c r="A81" s="190" t="str">
        <f>HYPERLINK("https://drive.google.com/open?id=0B6Vr5nVC58V5bDA4cFlsajE1MDI3MERsYTNtRU1iTkYweVVN","8600000576")</f>
        <v>8600000576</v>
      </c>
      <c r="B81" s="191" t="s">
        <v>25</v>
      </c>
      <c r="C81" s="165">
        <v>113.0</v>
      </c>
      <c r="D81" s="165" t="s">
        <v>2402</v>
      </c>
      <c r="E81" s="213" t="s">
        <v>2331</v>
      </c>
      <c r="F81" s="200">
        <v>43571.0</v>
      </c>
      <c r="G81" s="170">
        <v>43570.0</v>
      </c>
      <c r="H81" s="209">
        <v>43584.0</v>
      </c>
      <c r="I81" s="195" t="s">
        <v>2117</v>
      </c>
      <c r="J81" s="195" t="s">
        <v>2117</v>
      </c>
      <c r="K81" s="210" t="s">
        <v>2404</v>
      </c>
      <c r="L81" s="198"/>
      <c r="M81" s="198"/>
      <c r="N81" s="198"/>
      <c r="O81" s="198"/>
      <c r="P81" s="198"/>
      <c r="Q81" s="198"/>
      <c r="R81" s="198"/>
      <c r="S81" s="198"/>
      <c r="T81" s="198"/>
      <c r="U81" s="198"/>
      <c r="V81" s="198"/>
      <c r="W81" s="198"/>
      <c r="X81" s="198"/>
      <c r="Y81" s="198"/>
      <c r="Z81" s="198"/>
      <c r="AA81" s="198"/>
      <c r="AB81" s="198"/>
    </row>
    <row r="82" ht="32.25" customHeight="1">
      <c r="A82" s="190" t="str">
        <f>HYPERLINK("https://drive.google.com/open?id=0B6Vr5nVC58V5OW9RWFp5YkhjMHVhaUFvT1k3MVpBSDA4RUlB","8600000588")</f>
        <v>8600000588</v>
      </c>
      <c r="B82" s="191" t="s">
        <v>21</v>
      </c>
      <c r="C82" s="165">
        <v>381.0</v>
      </c>
      <c r="D82" s="165" t="s">
        <v>2405</v>
      </c>
      <c r="E82" s="213" t="s">
        <v>2406</v>
      </c>
      <c r="F82" s="200">
        <v>43567.0</v>
      </c>
      <c r="G82" s="170">
        <v>43564.0</v>
      </c>
      <c r="H82" s="209">
        <v>43577.0</v>
      </c>
      <c r="I82" s="195" t="s">
        <v>2117</v>
      </c>
      <c r="J82" s="195" t="s">
        <v>2117</v>
      </c>
      <c r="K82" s="210" t="s">
        <v>2407</v>
      </c>
      <c r="L82" s="198"/>
      <c r="M82" s="198"/>
      <c r="N82" s="198"/>
      <c r="O82" s="198"/>
      <c r="P82" s="198"/>
      <c r="Q82" s="198"/>
      <c r="R82" s="198"/>
      <c r="S82" s="198"/>
      <c r="T82" s="198"/>
      <c r="U82" s="198"/>
      <c r="V82" s="198"/>
      <c r="W82" s="198"/>
      <c r="X82" s="198"/>
      <c r="Y82" s="198"/>
      <c r="Z82" s="198"/>
      <c r="AA82" s="198"/>
      <c r="AB82" s="198"/>
    </row>
    <row r="83" ht="32.25" customHeight="1">
      <c r="A83" s="190" t="str">
        <f>HYPERLINK("https://drive.google.com/open?id=0B6Vr5nVC58V5WFkxeXRzN0VfZWhLanRvVlhURjFvRk5BYzFr","8600000556")</f>
        <v>8600000556</v>
      </c>
      <c r="B83" s="191" t="s">
        <v>14</v>
      </c>
      <c r="C83" s="165">
        <v>1073.0</v>
      </c>
      <c r="D83" s="165" t="s">
        <v>2408</v>
      </c>
      <c r="E83" s="207" t="s">
        <v>2409</v>
      </c>
      <c r="F83" s="200">
        <v>43566.0</v>
      </c>
      <c r="G83" s="170">
        <v>43565.0</v>
      </c>
      <c r="H83" s="209">
        <v>43573.0</v>
      </c>
      <c r="I83" s="195" t="s">
        <v>2117</v>
      </c>
      <c r="J83" s="195" t="s">
        <v>2117</v>
      </c>
      <c r="K83" s="207" t="s">
        <v>2410</v>
      </c>
      <c r="L83" s="198"/>
      <c r="M83" s="198"/>
      <c r="N83" s="198"/>
      <c r="O83" s="198"/>
      <c r="P83" s="198"/>
      <c r="Q83" s="198"/>
      <c r="R83" s="198"/>
      <c r="S83" s="198"/>
      <c r="T83" s="198"/>
      <c r="U83" s="198"/>
      <c r="V83" s="198"/>
      <c r="W83" s="198"/>
      <c r="X83" s="198"/>
      <c r="Y83" s="198"/>
      <c r="Z83" s="198"/>
      <c r="AA83" s="198"/>
      <c r="AB83" s="198"/>
    </row>
    <row r="84" ht="32.25" customHeight="1">
      <c r="A84" s="190" t="str">
        <f>HYPERLINK("https://drive.google.com/open?id=0B6Vr5nVC58V5V0JvYnlVNmlVRjJoZzVXMUZLZzVGbFFEUDBJ","8600000550")</f>
        <v>8600000550</v>
      </c>
      <c r="B84" s="191" t="s">
        <v>21</v>
      </c>
      <c r="C84" s="165">
        <v>801.0</v>
      </c>
      <c r="D84" s="165" t="s">
        <v>2411</v>
      </c>
      <c r="E84" s="212" t="s">
        <v>2409</v>
      </c>
      <c r="F84" s="200">
        <v>43563.0</v>
      </c>
      <c r="G84" s="170">
        <v>43559.0</v>
      </c>
      <c r="H84" s="209">
        <v>43571.0</v>
      </c>
      <c r="I84" s="195" t="s">
        <v>2117</v>
      </c>
      <c r="J84" s="195" t="s">
        <v>2117</v>
      </c>
      <c r="K84" s="207" t="s">
        <v>2412</v>
      </c>
      <c r="L84" s="198"/>
      <c r="M84" s="198"/>
      <c r="N84" s="198"/>
      <c r="O84" s="198"/>
      <c r="P84" s="198"/>
      <c r="Q84" s="198"/>
      <c r="R84" s="198"/>
      <c r="S84" s="198"/>
      <c r="T84" s="198"/>
      <c r="U84" s="198"/>
      <c r="V84" s="198"/>
      <c r="W84" s="198"/>
      <c r="X84" s="198"/>
      <c r="Y84" s="198"/>
      <c r="Z84" s="198"/>
      <c r="AA84" s="198"/>
      <c r="AB84" s="198"/>
    </row>
    <row r="85" ht="32.25" customHeight="1">
      <c r="A85" s="190" t="str">
        <f>HYPERLINK("https://drive.google.com/open?id=0B6Vr5nVC58V5MUJvcXgzMHljVzFOd0JkLVQ1RzBibTZwRkZF","8600000538")</f>
        <v>8600000538</v>
      </c>
      <c r="B85" s="191" t="s">
        <v>21</v>
      </c>
      <c r="C85" s="165">
        <v>225.0</v>
      </c>
      <c r="D85" s="165" t="s">
        <v>2413</v>
      </c>
      <c r="E85" s="207" t="s">
        <v>2414</v>
      </c>
      <c r="F85" s="200">
        <v>43555.0</v>
      </c>
      <c r="G85" s="170">
        <v>43553.0</v>
      </c>
      <c r="H85" s="209">
        <v>43559.0</v>
      </c>
      <c r="I85" s="195" t="s">
        <v>2117</v>
      </c>
      <c r="J85" s="195" t="s">
        <v>2117</v>
      </c>
      <c r="K85" s="207" t="s">
        <v>2415</v>
      </c>
      <c r="L85" s="198"/>
      <c r="M85" s="198"/>
      <c r="N85" s="198"/>
      <c r="O85" s="198"/>
      <c r="P85" s="198"/>
      <c r="Q85" s="198"/>
      <c r="R85" s="198"/>
      <c r="S85" s="198"/>
      <c r="T85" s="198"/>
      <c r="U85" s="198"/>
      <c r="V85" s="198"/>
      <c r="W85" s="198"/>
      <c r="X85" s="198"/>
      <c r="Y85" s="198"/>
      <c r="Z85" s="198"/>
      <c r="AA85" s="198"/>
      <c r="AB85" s="198"/>
    </row>
    <row r="86" ht="32.25" customHeight="1">
      <c r="A86" s="190" t="str">
        <f>HYPERLINK("https://drive.google.com/open?id=0B6Vr5nVC58V5SzJLYXFsRjBIekluS0JxRlkzMEl3a3JyVmxB","8600000537")</f>
        <v>8600000537</v>
      </c>
      <c r="B86" s="191" t="s">
        <v>14</v>
      </c>
      <c r="C86" s="165">
        <v>187.0</v>
      </c>
      <c r="D86" s="215" t="s">
        <v>2416</v>
      </c>
      <c r="E86" s="213" t="s">
        <v>2417</v>
      </c>
      <c r="F86" s="200">
        <v>43554.0</v>
      </c>
      <c r="G86" s="170">
        <v>43558.0</v>
      </c>
      <c r="H86" s="217">
        <v>43565.0</v>
      </c>
      <c r="I86" s="195" t="s">
        <v>2117</v>
      </c>
      <c r="J86" s="195" t="s">
        <v>2117</v>
      </c>
      <c r="K86" s="207" t="s">
        <v>2418</v>
      </c>
      <c r="L86" s="198"/>
      <c r="M86" s="198"/>
      <c r="N86" s="198"/>
      <c r="O86" s="198"/>
      <c r="P86" s="198"/>
      <c r="Q86" s="198"/>
      <c r="R86" s="198"/>
      <c r="S86" s="198"/>
      <c r="T86" s="198"/>
      <c r="U86" s="198"/>
      <c r="V86" s="198"/>
      <c r="W86" s="198"/>
      <c r="X86" s="198"/>
      <c r="Y86" s="198"/>
      <c r="Z86" s="198"/>
      <c r="AA86" s="198"/>
      <c r="AB86" s="198"/>
    </row>
    <row r="87" ht="32.25" customHeight="1">
      <c r="A87" s="190" t="str">
        <f>HYPERLINK("https://drive.google.com/open?id=0B6Vr5nVC58V5cFNNM2tIZU1QRXFUcWlOS0dpUkZjMk4teFUw","8600000566")</f>
        <v>8600000566</v>
      </c>
      <c r="B87" s="191" t="s">
        <v>25</v>
      </c>
      <c r="C87" s="165" t="s">
        <v>2419</v>
      </c>
      <c r="D87" s="165" t="s">
        <v>2420</v>
      </c>
      <c r="E87" s="212" t="s">
        <v>2421</v>
      </c>
      <c r="F87" s="200">
        <v>43554.0</v>
      </c>
      <c r="G87" s="170">
        <v>43550.0</v>
      </c>
      <c r="H87" s="209">
        <v>43558.0</v>
      </c>
      <c r="I87" s="195" t="s">
        <v>2117</v>
      </c>
      <c r="J87" s="195" t="s">
        <v>2117</v>
      </c>
      <c r="K87" s="210" t="s">
        <v>2422</v>
      </c>
      <c r="L87" s="198"/>
      <c r="M87" s="198"/>
      <c r="N87" s="198"/>
      <c r="O87" s="198"/>
      <c r="P87" s="198"/>
      <c r="Q87" s="198"/>
      <c r="R87" s="198"/>
      <c r="S87" s="198"/>
      <c r="T87" s="198"/>
      <c r="U87" s="198"/>
      <c r="V87" s="198"/>
      <c r="W87" s="198"/>
      <c r="X87" s="198"/>
      <c r="Y87" s="198"/>
      <c r="Z87" s="198"/>
      <c r="AA87" s="198"/>
      <c r="AB87" s="198"/>
    </row>
    <row r="88" ht="32.25" customHeight="1">
      <c r="A88" s="190" t="str">
        <f>HYPERLINK("https://drive.google.com/open?id=0B6Vr5nVC58V5SGVBb2t0ZktZdVpZRGNXek9yZ2xMMmY4SGs4","8600000529")</f>
        <v>8600000529</v>
      </c>
      <c r="B88" s="191" t="s">
        <v>14</v>
      </c>
      <c r="C88" s="165" t="s">
        <v>2423</v>
      </c>
      <c r="D88" s="165" t="s">
        <v>2424</v>
      </c>
      <c r="E88" s="214" t="s">
        <v>2425</v>
      </c>
      <c r="F88" s="200">
        <v>43553.0</v>
      </c>
      <c r="G88" s="170">
        <v>43553.0</v>
      </c>
      <c r="H88" s="209">
        <v>43559.0</v>
      </c>
      <c r="I88" s="195" t="s">
        <v>2117</v>
      </c>
      <c r="J88" s="195" t="s">
        <v>2117</v>
      </c>
      <c r="K88" s="207" t="s">
        <v>2426</v>
      </c>
      <c r="L88" s="198"/>
      <c r="M88" s="198"/>
      <c r="N88" s="198"/>
      <c r="O88" s="198"/>
      <c r="P88" s="198"/>
      <c r="Q88" s="198"/>
      <c r="R88" s="198"/>
      <c r="S88" s="198"/>
      <c r="T88" s="198"/>
      <c r="U88" s="198"/>
      <c r="V88" s="198"/>
      <c r="W88" s="198"/>
      <c r="X88" s="198"/>
      <c r="Y88" s="198"/>
      <c r="Z88" s="198"/>
      <c r="AA88" s="198"/>
      <c r="AB88" s="198"/>
    </row>
    <row r="89" ht="32.25" customHeight="1">
      <c r="A89" s="190" t="str">
        <f>HYPERLINK("https://drive.google.com/open?id=0B6Vr5nVC58V5aE0tMXVsWU9vVFpsZmRPbDVCRi1mVW4ydlVZ","8600000545")</f>
        <v>8600000545</v>
      </c>
      <c r="B89" s="191" t="s">
        <v>25</v>
      </c>
      <c r="C89" s="165">
        <v>69.0</v>
      </c>
      <c r="D89" s="161" t="s">
        <v>2427</v>
      </c>
      <c r="E89" s="214" t="s">
        <v>2428</v>
      </c>
      <c r="F89" s="200">
        <v>43550.0</v>
      </c>
      <c r="G89" s="170">
        <v>43559.0</v>
      </c>
      <c r="H89" s="209">
        <v>43560.0</v>
      </c>
      <c r="I89" s="195" t="s">
        <v>2117</v>
      </c>
      <c r="J89" s="195" t="s">
        <v>2117</v>
      </c>
      <c r="K89" s="207" t="s">
        <v>2429</v>
      </c>
      <c r="L89" s="198"/>
      <c r="M89" s="198"/>
      <c r="N89" s="198"/>
      <c r="O89" s="198"/>
      <c r="P89" s="198"/>
      <c r="Q89" s="198"/>
      <c r="R89" s="198"/>
      <c r="S89" s="198"/>
      <c r="T89" s="198"/>
      <c r="U89" s="198"/>
      <c r="V89" s="198"/>
      <c r="W89" s="198"/>
      <c r="X89" s="198"/>
      <c r="Y89" s="198"/>
      <c r="Z89" s="198"/>
      <c r="AA89" s="198"/>
      <c r="AB89" s="198"/>
    </row>
    <row r="90" ht="32.25" customHeight="1">
      <c r="A90" s="190" t="str">
        <f>HYPERLINK("https://drive.google.com/open?id=0B6Vr5nVC58V5QW5NMU9rbGVuT1N0QW9GMzJLTTh6dThzQ3hR","8600000531")</f>
        <v>8600000531</v>
      </c>
      <c r="B90" s="191" t="s">
        <v>14</v>
      </c>
      <c r="C90" s="165" t="s">
        <v>2123</v>
      </c>
      <c r="D90" s="165" t="s">
        <v>2430</v>
      </c>
      <c r="E90" s="210" t="s">
        <v>2359</v>
      </c>
      <c r="F90" s="200">
        <v>43549.0</v>
      </c>
      <c r="G90" s="170">
        <v>43557.0</v>
      </c>
      <c r="H90" s="209">
        <v>43559.0</v>
      </c>
      <c r="I90" s="195" t="s">
        <v>2117</v>
      </c>
      <c r="J90" s="195" t="s">
        <v>2117</v>
      </c>
      <c r="K90" s="210" t="s">
        <v>2431</v>
      </c>
      <c r="L90" s="198"/>
      <c r="M90" s="198"/>
      <c r="N90" s="198"/>
      <c r="O90" s="198"/>
      <c r="P90" s="198"/>
      <c r="Q90" s="198"/>
      <c r="R90" s="198"/>
      <c r="S90" s="198"/>
      <c r="T90" s="198"/>
      <c r="U90" s="198"/>
      <c r="V90" s="198"/>
      <c r="W90" s="198"/>
      <c r="X90" s="198"/>
      <c r="Y90" s="198"/>
      <c r="Z90" s="198"/>
      <c r="AA90" s="198"/>
      <c r="AB90" s="198"/>
    </row>
    <row r="91" ht="32.25" customHeight="1">
      <c r="A91" s="190" t="str">
        <f>HYPERLINK("https://drive.google.com/open?id=0B6Vr5nVC58V5T0ZWbjVqYnlMRkV2OXlLNVZKcTlzN1ZjTGln","8600000522")</f>
        <v>8600000522</v>
      </c>
      <c r="B91" s="191" t="s">
        <v>21</v>
      </c>
      <c r="C91" s="165">
        <v>1340.0</v>
      </c>
      <c r="D91" s="165" t="s">
        <v>2432</v>
      </c>
      <c r="E91" s="198" t="s">
        <v>2433</v>
      </c>
      <c r="F91" s="200">
        <v>43549.0</v>
      </c>
      <c r="G91" s="170">
        <v>43553.0</v>
      </c>
      <c r="H91" s="209">
        <v>43559.0</v>
      </c>
      <c r="I91" s="195" t="s">
        <v>2117</v>
      </c>
      <c r="J91" s="195" t="s">
        <v>2117</v>
      </c>
      <c r="K91" s="207" t="s">
        <v>2434</v>
      </c>
      <c r="L91" s="198"/>
      <c r="M91" s="198"/>
      <c r="N91" s="198"/>
      <c r="O91" s="198"/>
      <c r="P91" s="198"/>
      <c r="Q91" s="198"/>
      <c r="R91" s="198"/>
      <c r="S91" s="198"/>
      <c r="T91" s="198"/>
      <c r="U91" s="198"/>
      <c r="V91" s="198"/>
      <c r="W91" s="198"/>
      <c r="X91" s="198"/>
      <c r="Y91" s="198"/>
      <c r="Z91" s="198"/>
      <c r="AA91" s="198"/>
      <c r="AB91" s="198"/>
    </row>
    <row r="92" ht="32.25" customHeight="1">
      <c r="A92" s="190" t="str">
        <f>HYPERLINK("https://drive.google.com/open?id=0B6Vr5nVC58V5MWlmSjhleUlKYXpSYlBpSHJTQ2VDN1JvQ05j","8600000521")</f>
        <v>8600000521</v>
      </c>
      <c r="B92" s="191" t="s">
        <v>25</v>
      </c>
      <c r="C92" s="165">
        <v>1265.0</v>
      </c>
      <c r="D92" s="165" t="s">
        <v>2435</v>
      </c>
      <c r="E92" s="213" t="s">
        <v>2436</v>
      </c>
      <c r="F92" s="170">
        <v>43547.0</v>
      </c>
      <c r="G92" s="170">
        <v>43543.0</v>
      </c>
      <c r="H92" s="209">
        <v>43550.0</v>
      </c>
      <c r="I92" s="195" t="s">
        <v>2117</v>
      </c>
      <c r="J92" s="195" t="s">
        <v>2117</v>
      </c>
      <c r="K92" s="207" t="s">
        <v>2437</v>
      </c>
      <c r="L92" s="198"/>
      <c r="M92" s="198"/>
      <c r="N92" s="198"/>
      <c r="O92" s="198"/>
      <c r="P92" s="198"/>
      <c r="Q92" s="198"/>
      <c r="R92" s="198"/>
      <c r="S92" s="198"/>
      <c r="T92" s="198"/>
      <c r="U92" s="198"/>
      <c r="V92" s="198"/>
      <c r="W92" s="198"/>
      <c r="X92" s="198"/>
      <c r="Y92" s="198"/>
      <c r="Z92" s="198"/>
      <c r="AA92" s="198"/>
      <c r="AB92" s="198"/>
    </row>
    <row r="93" ht="32.25" customHeight="1">
      <c r="A93" s="190" t="str">
        <f>HYPERLINK("https://drive.google.com/open?id=0B6Vr5nVC58V5TGRZRV80bW1hZEFQc2NVWDJQQ1BqSjRQSEZJ","8600000520")</f>
        <v>8600000520</v>
      </c>
      <c r="B93" s="191" t="s">
        <v>14</v>
      </c>
      <c r="C93" s="165">
        <v>2790.0</v>
      </c>
      <c r="D93" s="165" t="s">
        <v>2438</v>
      </c>
      <c r="E93" s="213" t="s">
        <v>2439</v>
      </c>
      <c r="F93" s="170">
        <v>43546.0</v>
      </c>
      <c r="G93" s="170">
        <v>43543.0</v>
      </c>
      <c r="H93" s="209">
        <v>43550.0</v>
      </c>
      <c r="I93" s="195" t="s">
        <v>2117</v>
      </c>
      <c r="J93" s="195" t="s">
        <v>2117</v>
      </c>
      <c r="K93" s="207" t="s">
        <v>2440</v>
      </c>
      <c r="L93" s="198"/>
      <c r="M93" s="198"/>
      <c r="N93" s="198"/>
      <c r="O93" s="198"/>
      <c r="P93" s="198"/>
      <c r="Q93" s="198"/>
      <c r="R93" s="198"/>
      <c r="S93" s="198"/>
      <c r="T93" s="198"/>
      <c r="U93" s="198"/>
      <c r="V93" s="198"/>
      <c r="W93" s="198"/>
      <c r="X93" s="198"/>
      <c r="Y93" s="198"/>
      <c r="Z93" s="198"/>
      <c r="AA93" s="198"/>
      <c r="AB93" s="198"/>
    </row>
    <row r="94" ht="32.25" customHeight="1">
      <c r="A94" s="190" t="str">
        <f>HYPERLINK("https://drive.google.com/open?id=0B6Vr5nVC58V5RV9GVlJfSE41RTJQT1NId25tME0zYXZZZWtJ","8600000541")</f>
        <v>8600000541</v>
      </c>
      <c r="B94" s="191" t="s">
        <v>25</v>
      </c>
      <c r="C94" s="165" t="s">
        <v>2419</v>
      </c>
      <c r="D94" s="165" t="s">
        <v>2441</v>
      </c>
      <c r="E94" s="207" t="s">
        <v>2421</v>
      </c>
      <c r="F94" s="200">
        <v>43541.0</v>
      </c>
      <c r="G94" s="170">
        <v>43535.0</v>
      </c>
      <c r="H94" s="209">
        <v>43550.0</v>
      </c>
      <c r="I94" s="195" t="s">
        <v>2117</v>
      </c>
      <c r="J94" s="195" t="s">
        <v>2117</v>
      </c>
      <c r="K94" s="210" t="s">
        <v>2442</v>
      </c>
      <c r="L94" s="198"/>
      <c r="M94" s="198"/>
      <c r="N94" s="198"/>
      <c r="O94" s="198"/>
      <c r="P94" s="198"/>
      <c r="Q94" s="198"/>
      <c r="R94" s="198"/>
      <c r="S94" s="198"/>
      <c r="T94" s="198"/>
      <c r="U94" s="198"/>
      <c r="V94" s="198"/>
      <c r="W94" s="198"/>
      <c r="X94" s="198"/>
      <c r="Y94" s="198"/>
      <c r="Z94" s="198"/>
      <c r="AA94" s="198"/>
      <c r="AB94" s="198"/>
    </row>
    <row r="95" ht="32.25" customHeight="1">
      <c r="A95" s="190" t="str">
        <f>HYPERLINK("https://drive.google.com/open?id=0B6Vr5nVC58V5RUs2UzZxYWRuckJ1NWQ5WVhTOS1CVnBYVjdj","8600000540")</f>
        <v>8600000540</v>
      </c>
      <c r="B95" s="191" t="s">
        <v>21</v>
      </c>
      <c r="C95" s="165" t="s">
        <v>2388</v>
      </c>
      <c r="D95" s="165" t="s">
        <v>2443</v>
      </c>
      <c r="E95" s="213" t="s">
        <v>2444</v>
      </c>
      <c r="F95" s="200">
        <v>43539.0</v>
      </c>
      <c r="G95" s="170">
        <v>43539.0</v>
      </c>
      <c r="H95" s="209" t="s">
        <v>2445</v>
      </c>
      <c r="I95" s="195" t="s">
        <v>2117</v>
      </c>
      <c r="J95" s="195" t="s">
        <v>2117</v>
      </c>
      <c r="K95" s="210" t="s">
        <v>2446</v>
      </c>
      <c r="L95" s="198"/>
      <c r="M95" s="198"/>
      <c r="N95" s="198"/>
      <c r="O95" s="198"/>
      <c r="P95" s="198"/>
      <c r="Q95" s="198"/>
      <c r="R95" s="198"/>
      <c r="S95" s="198"/>
      <c r="T95" s="198"/>
      <c r="U95" s="198"/>
      <c r="V95" s="198"/>
      <c r="W95" s="198"/>
      <c r="X95" s="198"/>
      <c r="Y95" s="198"/>
      <c r="Z95" s="198"/>
      <c r="AA95" s="198"/>
      <c r="AB95" s="198"/>
    </row>
    <row r="96" ht="32.25" customHeight="1">
      <c r="A96" s="190" t="str">
        <f>HYPERLINK("https://drive.google.com/open?id=0B6Vr5nVC58V5Y0JKTktfTXBmV0dpME5DWXRxYkFDbHZ6NWNn","8600000497")</f>
        <v>8600000497</v>
      </c>
      <c r="B96" s="191" t="s">
        <v>21</v>
      </c>
      <c r="C96" s="165">
        <v>173.0</v>
      </c>
      <c r="D96" s="165" t="s">
        <v>2447</v>
      </c>
      <c r="E96" s="214" t="s">
        <v>2448</v>
      </c>
      <c r="F96" s="170">
        <v>43526.0</v>
      </c>
      <c r="G96" s="170">
        <v>43522.0</v>
      </c>
      <c r="H96" s="209">
        <v>43535.0</v>
      </c>
      <c r="I96" s="195" t="s">
        <v>2117</v>
      </c>
      <c r="J96" s="195" t="s">
        <v>2117</v>
      </c>
      <c r="K96" s="214" t="s">
        <v>2449</v>
      </c>
      <c r="L96" s="198"/>
      <c r="M96" s="198"/>
      <c r="N96" s="198"/>
      <c r="O96" s="198"/>
      <c r="P96" s="198"/>
      <c r="Q96" s="198"/>
      <c r="R96" s="198"/>
      <c r="S96" s="198"/>
      <c r="T96" s="198"/>
      <c r="U96" s="198"/>
      <c r="V96" s="198"/>
      <c r="W96" s="198"/>
      <c r="X96" s="198"/>
      <c r="Y96" s="198"/>
      <c r="Z96" s="198"/>
      <c r="AA96" s="198"/>
      <c r="AB96" s="198"/>
    </row>
    <row r="97" ht="32.25" customHeight="1">
      <c r="A97" s="190" t="str">
        <f>HYPERLINK("https://drive.google.com/open?id=0B6Vr5nVC58V5Rm1sLTF6aWJHQzFjTVIzUDBmckplU2YxNGZR","8600000512")</f>
        <v>8600000512</v>
      </c>
      <c r="B97" s="191" t="s">
        <v>14</v>
      </c>
      <c r="C97" s="165">
        <v>939.0</v>
      </c>
      <c r="D97" s="165" t="s">
        <v>2450</v>
      </c>
      <c r="E97" s="213" t="s">
        <v>2451</v>
      </c>
      <c r="F97" s="170">
        <v>43526.0</v>
      </c>
      <c r="G97" s="170">
        <v>43522.0</v>
      </c>
      <c r="H97" s="209">
        <v>43535.0</v>
      </c>
      <c r="I97" s="195" t="s">
        <v>2117</v>
      </c>
      <c r="J97" s="195" t="s">
        <v>2117</v>
      </c>
      <c r="K97" s="207" t="s">
        <v>2452</v>
      </c>
      <c r="L97" s="198"/>
      <c r="M97" s="198"/>
      <c r="N97" s="198"/>
      <c r="O97" s="198"/>
      <c r="P97" s="198"/>
      <c r="Q97" s="198"/>
      <c r="R97" s="198"/>
      <c r="S97" s="198"/>
      <c r="T97" s="198"/>
      <c r="U97" s="198"/>
      <c r="V97" s="198"/>
      <c r="W97" s="198"/>
      <c r="X97" s="198"/>
      <c r="Y97" s="198"/>
      <c r="Z97" s="198"/>
      <c r="AA97" s="198"/>
      <c r="AB97" s="198"/>
    </row>
    <row r="98" ht="32.25" customHeight="1">
      <c r="A98" s="190" t="str">
        <f>HYPERLINK("https://drive.google.com/open?id=0B6Vr5nVC58V5SGNGcEsxOFVZTEdpWUlIWWtDMHlhV0RySEhn","8500000055")</f>
        <v>8500000055</v>
      </c>
      <c r="B98" s="191" t="s">
        <v>21</v>
      </c>
      <c r="C98" s="165">
        <v>932.0</v>
      </c>
      <c r="D98" s="165" t="s">
        <v>2453</v>
      </c>
      <c r="E98" s="213" t="s">
        <v>2454</v>
      </c>
      <c r="F98" s="170">
        <v>43522.0</v>
      </c>
      <c r="G98" s="170">
        <v>43518.0</v>
      </c>
      <c r="H98" s="209">
        <v>43531.0</v>
      </c>
      <c r="I98" s="195" t="s">
        <v>2117</v>
      </c>
      <c r="J98" s="195" t="s">
        <v>2117</v>
      </c>
      <c r="K98" s="218" t="s">
        <v>2455</v>
      </c>
      <c r="L98" s="198"/>
      <c r="M98" s="198"/>
      <c r="N98" s="198"/>
      <c r="O98" s="198"/>
      <c r="P98" s="198"/>
      <c r="Q98" s="198"/>
      <c r="R98" s="198"/>
      <c r="S98" s="198"/>
      <c r="T98" s="198"/>
      <c r="U98" s="198"/>
      <c r="V98" s="198"/>
      <c r="W98" s="198"/>
      <c r="X98" s="198"/>
      <c r="Y98" s="198"/>
      <c r="Z98" s="198"/>
      <c r="AA98" s="198"/>
      <c r="AB98" s="198"/>
    </row>
    <row r="99" ht="32.25" customHeight="1">
      <c r="A99" s="190" t="str">
        <f>HYPERLINK("https://drive.google.com/open?id=0B6Vr5nVC58V5MFV5Y29GaVRDbFpzVnZUblNaTmlNa3hoeWRR","8600000496")</f>
        <v>8600000496</v>
      </c>
      <c r="B99" s="191" t="s">
        <v>25</v>
      </c>
      <c r="C99" s="165">
        <v>66.0</v>
      </c>
      <c r="D99" s="165" t="s">
        <v>2456</v>
      </c>
      <c r="E99" s="213" t="s">
        <v>2457</v>
      </c>
      <c r="F99" s="170">
        <v>43518.0</v>
      </c>
      <c r="G99" s="170">
        <v>43529.0</v>
      </c>
      <c r="H99" s="209">
        <v>43529.0</v>
      </c>
      <c r="I99" s="195" t="s">
        <v>2117</v>
      </c>
      <c r="J99" s="195" t="s">
        <v>2117</v>
      </c>
      <c r="K99" s="214" t="s">
        <v>2458</v>
      </c>
      <c r="L99" s="198"/>
      <c r="M99" s="198"/>
      <c r="N99" s="198"/>
      <c r="O99" s="198"/>
      <c r="P99" s="198"/>
      <c r="Q99" s="198"/>
      <c r="R99" s="198"/>
      <c r="S99" s="198"/>
      <c r="T99" s="198"/>
      <c r="U99" s="198"/>
      <c r="V99" s="198"/>
      <c r="W99" s="198"/>
      <c r="X99" s="198"/>
      <c r="Y99" s="198"/>
      <c r="Z99" s="198"/>
      <c r="AA99" s="198"/>
      <c r="AB99" s="198"/>
    </row>
    <row r="100" ht="32.25" customHeight="1">
      <c r="A100" s="190" t="str">
        <f>HYPERLINK("https://drive.google.com/open?id=0B6Vr5nVC58V5d1RVcndPWG5oaE85cndPYUNaTVJfVEtSUjBJ","8600000502")</f>
        <v>8600000502</v>
      </c>
      <c r="B100" s="191" t="s">
        <v>25</v>
      </c>
      <c r="C100" s="219">
        <v>1311.0</v>
      </c>
      <c r="D100" s="191" t="s">
        <v>2459</v>
      </c>
      <c r="E100" s="213" t="s">
        <v>2460</v>
      </c>
      <c r="F100" s="170">
        <v>43518.0</v>
      </c>
      <c r="G100" s="170">
        <v>43515.0</v>
      </c>
      <c r="H100" s="209">
        <v>43522.0</v>
      </c>
      <c r="I100" s="195" t="s">
        <v>2117</v>
      </c>
      <c r="J100" s="195" t="s">
        <v>2117</v>
      </c>
      <c r="K100" s="210" t="s">
        <v>2461</v>
      </c>
      <c r="L100" s="198"/>
      <c r="M100" s="198"/>
      <c r="N100" s="198"/>
      <c r="O100" s="198"/>
      <c r="P100" s="198"/>
      <c r="Q100" s="198"/>
      <c r="R100" s="198"/>
      <c r="S100" s="198"/>
      <c r="T100" s="198"/>
      <c r="U100" s="198"/>
      <c r="V100" s="198"/>
      <c r="W100" s="198"/>
      <c r="X100" s="198"/>
      <c r="Y100" s="198"/>
      <c r="Z100" s="198"/>
      <c r="AA100" s="198"/>
      <c r="AB100" s="198"/>
    </row>
    <row r="101" ht="32.25" customHeight="1">
      <c r="A101" s="190" t="str">
        <f>HYPERLINK("https://drive.google.com/open?id=0B6Vr5nVC58V5NXZkNWZ1WTlNT1lDd09oMUZEdHg4NnFDaGFB","8500000054")</f>
        <v>8500000054</v>
      </c>
      <c r="B101" s="191" t="s">
        <v>21</v>
      </c>
      <c r="C101" s="191">
        <v>96.0</v>
      </c>
      <c r="D101" s="191" t="s">
        <v>2462</v>
      </c>
      <c r="E101" s="198" t="s">
        <v>2463</v>
      </c>
      <c r="F101" s="194">
        <v>43515.0</v>
      </c>
      <c r="G101" s="200">
        <v>43516.0</v>
      </c>
      <c r="H101" s="220">
        <v>43524.0</v>
      </c>
      <c r="I101" s="195" t="s">
        <v>2117</v>
      </c>
      <c r="J101" s="195" t="s">
        <v>2117</v>
      </c>
      <c r="K101" s="213" t="s">
        <v>2464</v>
      </c>
      <c r="L101" s="198"/>
      <c r="M101" s="198"/>
      <c r="N101" s="198"/>
      <c r="O101" s="198"/>
      <c r="P101" s="198"/>
      <c r="Q101" s="198"/>
      <c r="R101" s="198"/>
      <c r="S101" s="198"/>
      <c r="T101" s="198"/>
      <c r="U101" s="198"/>
      <c r="V101" s="198"/>
      <c r="W101" s="198"/>
      <c r="X101" s="198"/>
      <c r="Y101" s="198"/>
      <c r="Z101" s="198"/>
      <c r="AA101" s="198"/>
      <c r="AB101" s="198"/>
    </row>
    <row r="102" ht="32.25" customHeight="1">
      <c r="A102" s="190" t="str">
        <f>HYPERLINK("https://drive.google.com/open?id=0B6Vr5nVC58V5SlRuSkxtV0dKNlpEbFF5ei1STDk0WC0td0VZ","8600000486")</f>
        <v>8600000486</v>
      </c>
      <c r="B102" s="191" t="s">
        <v>21</v>
      </c>
      <c r="C102" s="191">
        <v>2671.0</v>
      </c>
      <c r="D102" s="191" t="s">
        <v>2465</v>
      </c>
      <c r="E102" s="213" t="s">
        <v>2466</v>
      </c>
      <c r="F102" s="170">
        <v>43515.0</v>
      </c>
      <c r="G102" s="170">
        <v>43516.0</v>
      </c>
      <c r="H102" s="209" t="s">
        <v>2467</v>
      </c>
      <c r="I102" s="195" t="s">
        <v>2117</v>
      </c>
      <c r="J102" s="195" t="s">
        <v>2117</v>
      </c>
      <c r="K102" s="214" t="s">
        <v>2468</v>
      </c>
      <c r="L102" s="198"/>
      <c r="M102" s="198"/>
      <c r="N102" s="198"/>
      <c r="O102" s="198"/>
      <c r="P102" s="198"/>
      <c r="Q102" s="198"/>
      <c r="R102" s="198"/>
      <c r="S102" s="198"/>
      <c r="T102" s="198"/>
      <c r="U102" s="198"/>
      <c r="V102" s="198"/>
      <c r="W102" s="198"/>
      <c r="X102" s="198"/>
      <c r="Y102" s="198"/>
      <c r="Z102" s="198"/>
      <c r="AA102" s="198"/>
      <c r="AB102" s="198"/>
    </row>
    <row r="103" ht="32.25" customHeight="1">
      <c r="A103" s="190" t="str">
        <f>HYPERLINK("https://drive.google.com/open?id=0B6Vr5nVC58V5YzVFSkw5ZFFvblFVOUpTcUxfTFdkX0h4R2dJ","8600000490")</f>
        <v>8600000490</v>
      </c>
      <c r="B103" s="191" t="s">
        <v>21</v>
      </c>
      <c r="C103" s="191">
        <v>642.0</v>
      </c>
      <c r="D103" s="191" t="s">
        <v>2469</v>
      </c>
      <c r="E103" s="213" t="s">
        <v>2470</v>
      </c>
      <c r="F103" s="194">
        <v>43514.0</v>
      </c>
      <c r="G103" s="220">
        <v>43511.0</v>
      </c>
      <c r="H103" s="220" t="s">
        <v>2471</v>
      </c>
      <c r="I103" s="195" t="s">
        <v>2117</v>
      </c>
      <c r="J103" s="195" t="s">
        <v>2117</v>
      </c>
      <c r="K103" s="214" t="s">
        <v>2472</v>
      </c>
      <c r="L103" s="198"/>
      <c r="M103" s="198"/>
      <c r="N103" s="198"/>
      <c r="O103" s="198"/>
      <c r="P103" s="198"/>
      <c r="Q103" s="198"/>
      <c r="R103" s="198"/>
      <c r="S103" s="198"/>
      <c r="T103" s="198"/>
      <c r="U103" s="198"/>
      <c r="V103" s="198"/>
      <c r="W103" s="198"/>
      <c r="X103" s="198"/>
      <c r="Y103" s="198"/>
      <c r="Z103" s="198"/>
      <c r="AA103" s="198"/>
      <c r="AB103" s="198"/>
    </row>
    <row r="104" ht="32.25" customHeight="1">
      <c r="A104" s="190" t="str">
        <f>HYPERLINK("https://drive.google.com/open?id=0B6Vr5nVC58V5ZWJPUUFFWW9OMFBkVkROTFNXUGZaRFV4WUFv","8600000488")</f>
        <v>8600000488</v>
      </c>
      <c r="B104" s="191" t="s">
        <v>14</v>
      </c>
      <c r="C104" s="191">
        <v>234.0</v>
      </c>
      <c r="D104" s="191" t="s">
        <v>2473</v>
      </c>
      <c r="E104" s="213" t="s">
        <v>2474</v>
      </c>
      <c r="F104" s="194">
        <v>43511.0</v>
      </c>
      <c r="G104" s="220">
        <v>43508.0</v>
      </c>
      <c r="H104" s="220">
        <v>43516.0</v>
      </c>
      <c r="I104" s="195" t="s">
        <v>2117</v>
      </c>
      <c r="J104" s="195" t="s">
        <v>2117</v>
      </c>
      <c r="K104" s="213" t="s">
        <v>2475</v>
      </c>
      <c r="L104" s="198"/>
      <c r="M104" s="198"/>
      <c r="N104" s="198"/>
      <c r="O104" s="198"/>
      <c r="P104" s="198"/>
      <c r="Q104" s="198"/>
      <c r="R104" s="198"/>
      <c r="S104" s="198"/>
      <c r="T104" s="198"/>
      <c r="U104" s="198"/>
      <c r="V104" s="198"/>
      <c r="W104" s="198"/>
      <c r="X104" s="198"/>
      <c r="Y104" s="198"/>
      <c r="Z104" s="198"/>
      <c r="AA104" s="198"/>
      <c r="AB104" s="198"/>
    </row>
    <row r="105" ht="32.25" customHeight="1">
      <c r="A105" s="190" t="str">
        <f>HYPERLINK("https://drive.google.com/open?id=0B6Vr5nVC58V5YV9teXZmTl9SenozdTFEYzg0TmVwYm12c0pz","8600000478")</f>
        <v>8600000478</v>
      </c>
      <c r="B105" s="165" t="s">
        <v>14</v>
      </c>
      <c r="C105" s="165">
        <v>1166.0</v>
      </c>
      <c r="D105" s="165" t="s">
        <v>2476</v>
      </c>
      <c r="E105" s="213" t="s">
        <v>2477</v>
      </c>
      <c r="F105" s="170">
        <v>43511.0</v>
      </c>
      <c r="G105" s="170">
        <v>43516.0</v>
      </c>
      <c r="H105" s="209">
        <v>43523.0</v>
      </c>
      <c r="I105" s="195" t="s">
        <v>2117</v>
      </c>
      <c r="J105" s="195" t="s">
        <v>2117</v>
      </c>
      <c r="K105" s="213" t="s">
        <v>2478</v>
      </c>
      <c r="L105" s="157"/>
      <c r="M105" s="157"/>
      <c r="N105" s="157"/>
      <c r="O105" s="157"/>
      <c r="P105" s="157"/>
      <c r="Q105" s="157"/>
      <c r="R105" s="157"/>
      <c r="S105" s="157"/>
      <c r="T105" s="157"/>
      <c r="U105" s="157"/>
      <c r="V105" s="157"/>
      <c r="W105" s="157"/>
      <c r="X105" s="157"/>
      <c r="Y105" s="157"/>
      <c r="Z105" s="157"/>
      <c r="AA105" s="157"/>
      <c r="AB105" s="157"/>
    </row>
    <row r="106" ht="32.25" customHeight="1">
      <c r="A106" s="190" t="str">
        <f>HYPERLINK("https://drive.google.com/open?id=0B6Vr5nVC58V5VGdKOTZTWmZUWnZfMElSbGJVVDNVRTgxOWVN","8600000482")</f>
        <v>8600000482</v>
      </c>
      <c r="B106" s="191" t="s">
        <v>14</v>
      </c>
      <c r="C106" s="191">
        <v>4437.0</v>
      </c>
      <c r="D106" s="191" t="s">
        <v>2479</v>
      </c>
      <c r="E106" s="213" t="s">
        <v>2480</v>
      </c>
      <c r="F106" s="170">
        <v>43510.0</v>
      </c>
      <c r="G106" s="170">
        <v>43508.0</v>
      </c>
      <c r="H106" s="209" t="s">
        <v>2481</v>
      </c>
      <c r="I106" s="195" t="s">
        <v>2117</v>
      </c>
      <c r="J106" s="195" t="s">
        <v>2117</v>
      </c>
      <c r="K106" s="213" t="s">
        <v>2482</v>
      </c>
      <c r="L106" s="198"/>
      <c r="M106" s="198"/>
      <c r="N106" s="198"/>
      <c r="O106" s="198"/>
      <c r="P106" s="198"/>
      <c r="Q106" s="198"/>
      <c r="R106" s="198"/>
      <c r="S106" s="198"/>
      <c r="T106" s="198"/>
      <c r="U106" s="198"/>
      <c r="V106" s="198"/>
      <c r="W106" s="198"/>
      <c r="X106" s="198"/>
      <c r="Y106" s="198"/>
      <c r="Z106" s="198"/>
      <c r="AA106" s="198"/>
      <c r="AB106" s="198"/>
    </row>
    <row r="107" ht="32.25" customHeight="1">
      <c r="A107" s="190" t="str">
        <f>HYPERLINK("https://drive.google.com/open?id=0B6Vr5nVC58V5R2Vub1JDcEFaRWVWRlh0enZ6Rkg0a3dvODFR","8500000052")</f>
        <v>8500000052</v>
      </c>
      <c r="B107" s="165" t="s">
        <v>14</v>
      </c>
      <c r="C107" s="165">
        <v>925.0</v>
      </c>
      <c r="D107" s="165" t="s">
        <v>2483</v>
      </c>
      <c r="E107" s="213" t="s">
        <v>2484</v>
      </c>
      <c r="F107" s="170">
        <v>43510.0</v>
      </c>
      <c r="G107" s="209">
        <v>43508.0</v>
      </c>
      <c r="H107" s="209">
        <v>43518.0</v>
      </c>
      <c r="I107" s="195" t="s">
        <v>2117</v>
      </c>
      <c r="J107" s="195" t="s">
        <v>2117</v>
      </c>
      <c r="K107" s="213" t="s">
        <v>2485</v>
      </c>
      <c r="L107" s="157"/>
      <c r="M107" s="157"/>
      <c r="N107" s="157"/>
      <c r="O107" s="157"/>
      <c r="P107" s="157"/>
      <c r="Q107" s="157"/>
      <c r="R107" s="157"/>
      <c r="S107" s="157"/>
      <c r="T107" s="157"/>
      <c r="U107" s="157"/>
      <c r="V107" s="157"/>
      <c r="W107" s="157"/>
      <c r="X107" s="157"/>
      <c r="Y107" s="157"/>
      <c r="Z107" s="157"/>
      <c r="AA107" s="157"/>
      <c r="AB107" s="157"/>
    </row>
    <row r="108" ht="32.25" customHeight="1">
      <c r="A108" s="190" t="str">
        <f>HYPERLINK("https://drive.google.com/open?id=0B6Vr5nVC58V5ell4ZjNEZWlfU3Q4Y1p2bU41czBxRlhuWkRR","8600000489")</f>
        <v>8600000489</v>
      </c>
      <c r="B108" s="191" t="s">
        <v>25</v>
      </c>
      <c r="C108" s="191">
        <v>472.0</v>
      </c>
      <c r="D108" s="191" t="s">
        <v>2486</v>
      </c>
      <c r="E108" s="213" t="s">
        <v>2487</v>
      </c>
      <c r="F108" s="194">
        <v>43507.0</v>
      </c>
      <c r="G108" s="209">
        <v>43503.0</v>
      </c>
      <c r="H108" s="209">
        <v>43510.0</v>
      </c>
      <c r="I108" s="195" t="s">
        <v>2117</v>
      </c>
      <c r="J108" s="195" t="s">
        <v>2117</v>
      </c>
      <c r="K108" s="213" t="s">
        <v>2488</v>
      </c>
      <c r="L108" s="198"/>
      <c r="M108" s="198"/>
      <c r="N108" s="198"/>
      <c r="O108" s="198"/>
      <c r="P108" s="198"/>
      <c r="Q108" s="198"/>
      <c r="R108" s="198"/>
      <c r="S108" s="198"/>
      <c r="T108" s="198"/>
      <c r="U108" s="198"/>
      <c r="V108" s="198"/>
      <c r="W108" s="198"/>
      <c r="X108" s="198"/>
      <c r="Y108" s="198"/>
      <c r="Z108" s="198"/>
      <c r="AA108" s="198"/>
      <c r="AB108" s="198"/>
    </row>
    <row r="109" ht="32.25" customHeight="1">
      <c r="A109" s="190" t="str">
        <f>HYPERLINK("https://drive.google.com/open?id=0B6Vr5nVC58V5OHJzZG5iREtrSGhYN0lFZTNHN0JUc09Mblg4","8600000505")</f>
        <v>8600000505</v>
      </c>
      <c r="B109" s="191" t="s">
        <v>2489</v>
      </c>
      <c r="C109" s="215" t="s">
        <v>2490</v>
      </c>
      <c r="D109" s="165" t="s">
        <v>2491</v>
      </c>
      <c r="E109" s="213" t="s">
        <v>2492</v>
      </c>
      <c r="F109" s="170">
        <v>43499.0</v>
      </c>
      <c r="G109" s="170">
        <v>43500.0</v>
      </c>
      <c r="H109" s="209">
        <v>43500.0</v>
      </c>
      <c r="I109" s="195" t="s">
        <v>2117</v>
      </c>
      <c r="J109" s="195" t="s">
        <v>2117</v>
      </c>
      <c r="K109" s="214" t="s">
        <v>2493</v>
      </c>
      <c r="L109" s="198"/>
      <c r="M109" s="198"/>
      <c r="N109" s="198"/>
      <c r="O109" s="198"/>
      <c r="P109" s="198"/>
      <c r="Q109" s="198"/>
      <c r="R109" s="198"/>
      <c r="S109" s="198"/>
      <c r="T109" s="198"/>
      <c r="U109" s="198"/>
      <c r="V109" s="198"/>
      <c r="W109" s="198"/>
      <c r="X109" s="198"/>
      <c r="Y109" s="198"/>
      <c r="Z109" s="198"/>
      <c r="AA109" s="198"/>
      <c r="AB109" s="198"/>
    </row>
    <row r="110" ht="32.25" customHeight="1">
      <c r="A110" s="190" t="str">
        <f>HYPERLINK("https://drive.google.com/open?id=0B6Vr5nVC58V5ZUlpWUVib1oxQWJRT0Z6Z3hTSG5JR29qS3NJ","8600000470")</f>
        <v>8600000470</v>
      </c>
      <c r="B110" s="165" t="s">
        <v>14</v>
      </c>
      <c r="C110" s="165">
        <v>976.0</v>
      </c>
      <c r="D110" s="165" t="s">
        <v>2494</v>
      </c>
      <c r="E110" s="213" t="s">
        <v>2495</v>
      </c>
      <c r="F110" s="170">
        <v>43497.0</v>
      </c>
      <c r="G110" s="209">
        <v>43500.0</v>
      </c>
      <c r="H110" s="209">
        <v>43509.0</v>
      </c>
      <c r="I110" s="195" t="s">
        <v>2117</v>
      </c>
      <c r="J110" s="195" t="s">
        <v>2117</v>
      </c>
      <c r="K110" s="213" t="s">
        <v>2496</v>
      </c>
      <c r="L110" s="157"/>
      <c r="M110" s="157"/>
      <c r="N110" s="157"/>
      <c r="O110" s="157"/>
      <c r="P110" s="157"/>
      <c r="Q110" s="157"/>
      <c r="R110" s="157"/>
      <c r="S110" s="157"/>
      <c r="T110" s="157"/>
      <c r="U110" s="157"/>
      <c r="V110" s="157"/>
      <c r="W110" s="157"/>
      <c r="X110" s="157"/>
      <c r="Y110" s="157"/>
      <c r="Z110" s="157"/>
      <c r="AA110" s="157"/>
      <c r="AB110" s="157"/>
    </row>
    <row r="111" ht="32.25" customHeight="1">
      <c r="A111" s="190" t="str">
        <f>HYPERLINK("https://drive.google.com/open?id=0B6Vr5nVC58V5MVJ5djctN25NNWU0Q3lLc2llTlp1MFoycFFB","8500000050")</f>
        <v>8500000050</v>
      </c>
      <c r="B111" s="165" t="s">
        <v>21</v>
      </c>
      <c r="C111" s="165">
        <v>96.0</v>
      </c>
      <c r="D111" s="165" t="s">
        <v>2497</v>
      </c>
      <c r="E111" s="213" t="s">
        <v>2463</v>
      </c>
      <c r="F111" s="170">
        <v>43492.0</v>
      </c>
      <c r="G111" s="170">
        <v>43494.0</v>
      </c>
      <c r="H111" s="209">
        <v>43507.0</v>
      </c>
      <c r="I111" s="195" t="s">
        <v>2117</v>
      </c>
      <c r="J111" s="195" t="s">
        <v>2117</v>
      </c>
      <c r="K111" s="213" t="s">
        <v>2498</v>
      </c>
      <c r="L111" s="157"/>
      <c r="M111" s="157"/>
      <c r="N111" s="157"/>
      <c r="O111" s="157"/>
      <c r="P111" s="157"/>
      <c r="Q111" s="157"/>
      <c r="R111" s="157"/>
      <c r="S111" s="157"/>
      <c r="T111" s="157"/>
      <c r="U111" s="157"/>
      <c r="V111" s="157"/>
      <c r="W111" s="157"/>
      <c r="X111" s="157"/>
      <c r="Y111" s="157"/>
      <c r="Z111" s="157"/>
      <c r="AA111" s="157"/>
      <c r="AB111" s="157"/>
    </row>
    <row r="112" ht="32.25" customHeight="1">
      <c r="A112" s="205" t="str">
        <f>HYPERLINK("https://drive.google.com/open?id=0B6Vr5nVC58V5X01vYWFMWGJsOHhISG5jYldOWjVOMl9lM3h3","8600000460")</f>
        <v>8600000460</v>
      </c>
      <c r="B112" s="165" t="s">
        <v>21</v>
      </c>
      <c r="C112" s="165">
        <v>1021.0</v>
      </c>
      <c r="D112" s="191" t="s">
        <v>2499</v>
      </c>
      <c r="E112" s="213" t="s">
        <v>2500</v>
      </c>
      <c r="F112" s="170">
        <v>43490.0</v>
      </c>
      <c r="G112" s="170">
        <v>43490.0</v>
      </c>
      <c r="H112" s="209">
        <v>43497.0</v>
      </c>
      <c r="I112" s="195" t="s">
        <v>2117</v>
      </c>
      <c r="J112" s="195" t="s">
        <v>2117</v>
      </c>
      <c r="K112" s="213" t="s">
        <v>2501</v>
      </c>
      <c r="L112" s="157"/>
      <c r="M112" s="157"/>
      <c r="N112" s="157"/>
      <c r="O112" s="157"/>
      <c r="P112" s="157"/>
      <c r="Q112" s="157"/>
      <c r="R112" s="157"/>
      <c r="S112" s="157"/>
      <c r="T112" s="157"/>
      <c r="U112" s="157"/>
      <c r="V112" s="157"/>
      <c r="W112" s="157"/>
      <c r="X112" s="157"/>
      <c r="Y112" s="157"/>
      <c r="Z112" s="157"/>
      <c r="AA112" s="157"/>
      <c r="AB112" s="157"/>
    </row>
    <row r="113" ht="32.25" customHeight="1">
      <c r="A113" s="205" t="str">
        <f>HYPERLINK("https://drive.google.com/open?id=0B6Vr5nVC58V5NVpaOFNSdzlMU0pkRDVsSGI3OENLOEZoSDdJ","8600000458")</f>
        <v>8600000458</v>
      </c>
      <c r="B113" s="165" t="s">
        <v>21</v>
      </c>
      <c r="C113" s="165">
        <v>188.0</v>
      </c>
      <c r="D113" s="165" t="s">
        <v>2502</v>
      </c>
      <c r="E113" s="213" t="s">
        <v>2503</v>
      </c>
      <c r="F113" s="170">
        <v>43485.0</v>
      </c>
      <c r="G113" s="170">
        <v>43479.0</v>
      </c>
      <c r="H113" s="209">
        <v>43488.0</v>
      </c>
      <c r="I113" s="195" t="s">
        <v>2117</v>
      </c>
      <c r="J113" s="195" t="s">
        <v>2117</v>
      </c>
      <c r="K113" s="214" t="s">
        <v>2504</v>
      </c>
      <c r="L113" s="157"/>
      <c r="M113" s="157"/>
      <c r="N113" s="157"/>
      <c r="O113" s="157"/>
      <c r="P113" s="157"/>
      <c r="Q113" s="157"/>
      <c r="R113" s="157"/>
      <c r="S113" s="157"/>
      <c r="T113" s="157"/>
      <c r="U113" s="157"/>
      <c r="V113" s="157"/>
      <c r="W113" s="157"/>
      <c r="X113" s="157"/>
      <c r="Y113" s="157"/>
      <c r="Z113" s="157"/>
      <c r="AA113" s="157"/>
      <c r="AB113" s="157"/>
    </row>
    <row r="114" ht="32.25" customHeight="1">
      <c r="A114" s="205" t="str">
        <f>HYPERLINK("https://drive.google.com/open?id=0B6Vr5nVC58V5a0dkbWJ1VjlhbGVNWG92UkVmaGpJOVJTdlc4","8600000459")</f>
        <v>8600000459</v>
      </c>
      <c r="B114" s="165" t="s">
        <v>14</v>
      </c>
      <c r="C114" s="165">
        <v>271.0</v>
      </c>
      <c r="D114" s="165" t="s">
        <v>2505</v>
      </c>
      <c r="E114" s="213" t="s">
        <v>2506</v>
      </c>
      <c r="F114" s="194">
        <v>43484.0</v>
      </c>
      <c r="G114" s="209">
        <v>43483.0</v>
      </c>
      <c r="H114" s="209">
        <v>43490.0</v>
      </c>
      <c r="I114" s="195" t="s">
        <v>2117</v>
      </c>
      <c r="J114" s="195" t="s">
        <v>2117</v>
      </c>
      <c r="K114" s="214" t="s">
        <v>2507</v>
      </c>
      <c r="L114" s="157"/>
      <c r="M114" s="157"/>
      <c r="N114" s="157"/>
      <c r="O114" s="157"/>
      <c r="P114" s="157"/>
      <c r="Q114" s="157"/>
      <c r="R114" s="157"/>
      <c r="S114" s="157"/>
      <c r="T114" s="157"/>
      <c r="U114" s="157"/>
      <c r="V114" s="157"/>
      <c r="W114" s="157"/>
      <c r="X114" s="157"/>
      <c r="Y114" s="157"/>
      <c r="Z114" s="157"/>
      <c r="AA114" s="157"/>
      <c r="AB114" s="157"/>
    </row>
    <row r="115" ht="32.25" customHeight="1">
      <c r="A115" s="221" t="str">
        <f>HYPERLINK("https://drive.google.com/open?id=0B6Vr5nVC58V5Znp4T2doWGh3RTNMa2N5Vi1FY3Nnbi1KNFpr","8600000456")</f>
        <v>8600000456</v>
      </c>
      <c r="B115" s="165" t="s">
        <v>25</v>
      </c>
      <c r="C115" s="165">
        <v>611.0</v>
      </c>
      <c r="D115" s="191" t="s">
        <v>2508</v>
      </c>
      <c r="E115" s="213" t="s">
        <v>2509</v>
      </c>
      <c r="F115" s="170">
        <v>43481.0</v>
      </c>
      <c r="G115" s="209">
        <v>43479.0</v>
      </c>
      <c r="H115" s="209">
        <v>43487.0</v>
      </c>
      <c r="I115" s="195" t="s">
        <v>2117</v>
      </c>
      <c r="J115" s="195" t="s">
        <v>2117</v>
      </c>
      <c r="K115" s="214" t="s">
        <v>2510</v>
      </c>
      <c r="L115" s="157"/>
      <c r="M115" s="157"/>
      <c r="N115" s="157"/>
      <c r="O115" s="157"/>
      <c r="P115" s="157"/>
      <c r="Q115" s="157"/>
      <c r="R115" s="157"/>
      <c r="S115" s="157"/>
      <c r="T115" s="157"/>
      <c r="U115" s="157"/>
      <c r="V115" s="157"/>
      <c r="W115" s="157"/>
      <c r="X115" s="157"/>
      <c r="Y115" s="157"/>
      <c r="Z115" s="157"/>
      <c r="AA115" s="157"/>
      <c r="AB115" s="157"/>
    </row>
    <row r="116" ht="32.25" customHeight="1">
      <c r="A116" s="205" t="str">
        <f>HYPERLINK("https://drive.google.com/open?id=0B6Vr5nVC58V5QWdQRFFKS0NOZWI0YTJYUWVmRWZOZGpxXzJz","8600000465")</f>
        <v>8600000465</v>
      </c>
      <c r="B116" s="165" t="s">
        <v>21</v>
      </c>
      <c r="C116" s="165">
        <v>477.0</v>
      </c>
      <c r="D116" s="191" t="s">
        <v>2511</v>
      </c>
      <c r="E116" s="213" t="s">
        <v>2512</v>
      </c>
      <c r="F116" s="170">
        <v>43479.0</v>
      </c>
      <c r="G116" s="209">
        <v>43479.0</v>
      </c>
      <c r="H116" s="209">
        <v>43489.0</v>
      </c>
      <c r="I116" s="195" t="s">
        <v>2117</v>
      </c>
      <c r="J116" s="195" t="s">
        <v>2117</v>
      </c>
      <c r="K116" s="214" t="s">
        <v>2513</v>
      </c>
      <c r="L116" s="157"/>
      <c r="M116" s="157"/>
      <c r="N116" s="157"/>
      <c r="O116" s="157"/>
      <c r="P116" s="157"/>
      <c r="Q116" s="157"/>
      <c r="R116" s="157"/>
      <c r="S116" s="157"/>
      <c r="T116" s="157"/>
      <c r="U116" s="157"/>
      <c r="V116" s="157"/>
      <c r="W116" s="157"/>
      <c r="X116" s="157"/>
      <c r="Y116" s="157"/>
      <c r="Z116" s="157"/>
      <c r="AA116" s="157"/>
      <c r="AB116" s="157"/>
    </row>
    <row r="117" ht="32.25" customHeight="1">
      <c r="A117" s="205" t="str">
        <f>HYPERLINK("https://drive.google.com/open?id=0B6Vr5nVC58V5cDJhWlQzWVBQNnMxSjZsdG1iRS1TeUZVZXdJ","8600000454")</f>
        <v>8600000454</v>
      </c>
      <c r="B117" s="165" t="s">
        <v>14</v>
      </c>
      <c r="C117" s="165">
        <v>2142.0</v>
      </c>
      <c r="D117" s="165" t="s">
        <v>2514</v>
      </c>
      <c r="E117" s="213" t="s">
        <v>2515</v>
      </c>
      <c r="F117" s="170">
        <v>43479.0</v>
      </c>
      <c r="G117" s="209">
        <v>43476.0</v>
      </c>
      <c r="H117" s="209" t="s">
        <v>2516</v>
      </c>
      <c r="I117" s="195" t="s">
        <v>2117</v>
      </c>
      <c r="J117" s="195" t="s">
        <v>2117</v>
      </c>
      <c r="K117" s="213" t="s">
        <v>2517</v>
      </c>
      <c r="L117" s="157"/>
      <c r="M117" s="157"/>
      <c r="N117" s="157"/>
      <c r="O117" s="157"/>
      <c r="P117" s="157"/>
      <c r="Q117" s="157"/>
      <c r="R117" s="157"/>
      <c r="S117" s="157"/>
      <c r="T117" s="157"/>
      <c r="U117" s="157"/>
      <c r="V117" s="157"/>
      <c r="W117" s="157"/>
      <c r="X117" s="157"/>
      <c r="Y117" s="157"/>
      <c r="Z117" s="157"/>
      <c r="AA117" s="157"/>
      <c r="AB117" s="157"/>
    </row>
    <row r="118" ht="32.25" customHeight="1">
      <c r="A118" s="205" t="str">
        <f>HYPERLINK("https://drive.google.com/open?id=0B6Vr5nVC58V5OVlDcUhhOHlRdzA2VE82ZHNodWtMUEsxSmlF","8600000449")</f>
        <v>8600000449</v>
      </c>
      <c r="B118" s="165" t="s">
        <v>25</v>
      </c>
      <c r="C118" s="165" t="s">
        <v>2518</v>
      </c>
      <c r="D118" s="165" t="s">
        <v>2519</v>
      </c>
      <c r="E118" s="207" t="s">
        <v>2520</v>
      </c>
      <c r="F118" s="170">
        <v>43467.0</v>
      </c>
      <c r="G118" s="170">
        <v>43473.0</v>
      </c>
      <c r="H118" s="220">
        <v>43476.0</v>
      </c>
      <c r="I118" s="195" t="s">
        <v>2117</v>
      </c>
      <c r="J118" s="195" t="s">
        <v>2117</v>
      </c>
      <c r="K118" s="214" t="s">
        <v>2521</v>
      </c>
      <c r="L118" s="157"/>
      <c r="M118" s="157"/>
      <c r="N118" s="157"/>
      <c r="O118" s="157"/>
      <c r="P118" s="157"/>
      <c r="Q118" s="157"/>
      <c r="R118" s="157"/>
      <c r="S118" s="157"/>
      <c r="T118" s="157"/>
      <c r="U118" s="157"/>
      <c r="V118" s="157"/>
      <c r="W118" s="157"/>
      <c r="X118" s="157"/>
      <c r="Y118" s="157"/>
      <c r="Z118" s="157"/>
      <c r="AA118" s="157"/>
      <c r="AB118" s="157"/>
    </row>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B$118">
    <sortState ref="A2:AB118">
      <sortCondition descending="1" ref="F2:F118"/>
      <sortCondition descending="1" ref="E2:E118"/>
    </sortState>
  </autoFilter>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43"/>
    <col customWidth="1" min="2" max="2" width="10.14"/>
    <col customWidth="1" min="3" max="3" width="9.86"/>
    <col customWidth="1" min="4" max="4" width="16.43"/>
    <col customWidth="1" min="5" max="5" width="33.86"/>
    <col customWidth="1" min="6" max="6" width="11.0"/>
    <col customWidth="1" min="7" max="7" width="14.57"/>
    <col customWidth="1" min="8" max="8" width="15.57"/>
    <col customWidth="1" min="9" max="9" width="16.71"/>
    <col customWidth="1" min="10" max="10" width="13.14"/>
    <col customWidth="1" min="11" max="11" width="12.43"/>
    <col customWidth="1" min="12" max="12" width="29.86"/>
  </cols>
  <sheetData>
    <row r="1" ht="39.75" customHeight="1">
      <c r="A1" s="214"/>
      <c r="B1" s="180"/>
      <c r="C1" s="180"/>
      <c r="D1" s="164"/>
      <c r="E1" s="182" t="s">
        <v>3</v>
      </c>
      <c r="F1" s="184" t="s">
        <v>4</v>
      </c>
      <c r="G1" s="222" t="s">
        <v>2106</v>
      </c>
      <c r="H1" s="222" t="s">
        <v>2522</v>
      </c>
      <c r="I1" s="223" t="s">
        <v>2107</v>
      </c>
      <c r="J1" s="164"/>
      <c r="K1" s="164"/>
      <c r="L1" s="224"/>
      <c r="M1" s="164"/>
      <c r="N1" s="164"/>
      <c r="O1" s="225"/>
      <c r="P1" s="164"/>
      <c r="Q1" s="164"/>
      <c r="R1" s="164"/>
      <c r="S1" s="164"/>
      <c r="T1" s="164"/>
      <c r="U1" s="164"/>
      <c r="V1" s="164"/>
      <c r="W1" s="164"/>
      <c r="X1" s="164"/>
      <c r="Y1" s="164"/>
      <c r="Z1" s="164"/>
      <c r="AA1" s="164"/>
    </row>
    <row r="2" ht="12.75" customHeight="1">
      <c r="A2" s="226" t="s">
        <v>2019</v>
      </c>
      <c r="B2" s="226" t="s">
        <v>2109</v>
      </c>
      <c r="C2" s="226" t="s">
        <v>2110</v>
      </c>
      <c r="D2" s="226" t="s">
        <v>10</v>
      </c>
      <c r="E2" s="226" t="s">
        <v>11</v>
      </c>
      <c r="F2" s="227" t="s">
        <v>12</v>
      </c>
      <c r="G2" s="228" t="s">
        <v>12</v>
      </c>
      <c r="H2" s="228" t="s">
        <v>12</v>
      </c>
      <c r="I2" s="229" t="s">
        <v>12</v>
      </c>
      <c r="J2" s="188" t="s">
        <v>2111</v>
      </c>
      <c r="K2" s="188" t="s">
        <v>2112</v>
      </c>
      <c r="L2" s="226" t="s">
        <v>2113</v>
      </c>
      <c r="M2" s="226" t="s">
        <v>493</v>
      </c>
      <c r="N2" s="185" t="s">
        <v>1025</v>
      </c>
      <c r="O2" s="230" t="s">
        <v>2523</v>
      </c>
      <c r="P2" s="214"/>
      <c r="Q2" s="214"/>
      <c r="R2" s="214"/>
      <c r="S2" s="214"/>
      <c r="T2" s="214"/>
      <c r="U2" s="214"/>
      <c r="V2" s="214"/>
      <c r="W2" s="214"/>
      <c r="X2" s="214"/>
      <c r="Y2" s="214"/>
      <c r="Z2" s="214"/>
      <c r="AA2" s="214"/>
    </row>
    <row r="3" ht="33.75" customHeight="1">
      <c r="A3" s="190" t="str">
        <f>HYPERLINK("https://drive.google.com/open?id=0B6Vr5nVC58V5R3Z5Sklwanc2OHBvZW5fY1dfTGZmR2RwZUFZ","33877")</f>
        <v>33877</v>
      </c>
      <c r="B3" s="204" t="s">
        <v>21</v>
      </c>
      <c r="C3" s="165">
        <v>1145.0</v>
      </c>
      <c r="D3" s="215" t="s">
        <v>2524</v>
      </c>
      <c r="E3" s="214" t="s">
        <v>2525</v>
      </c>
      <c r="F3" s="216">
        <v>43822.0</v>
      </c>
      <c r="G3" s="170">
        <v>43825.0</v>
      </c>
      <c r="H3" s="204" t="s">
        <v>1747</v>
      </c>
      <c r="I3" s="231">
        <v>43829.0</v>
      </c>
      <c r="J3" s="215" t="s">
        <v>2153</v>
      </c>
      <c r="K3" s="215" t="s">
        <v>2526</v>
      </c>
      <c r="L3" s="212" t="s">
        <v>2527</v>
      </c>
      <c r="M3" s="215"/>
      <c r="N3" s="165"/>
      <c r="O3" s="232"/>
      <c r="P3" s="214"/>
      <c r="Q3" s="214"/>
      <c r="R3" s="214"/>
      <c r="S3" s="214"/>
      <c r="T3" s="214"/>
      <c r="U3" s="214"/>
      <c r="V3" s="214"/>
      <c r="W3" s="214"/>
      <c r="X3" s="214"/>
      <c r="Y3" s="214"/>
      <c r="Z3" s="214"/>
      <c r="AA3" s="214"/>
    </row>
    <row r="4" ht="33.75" customHeight="1">
      <c r="A4" s="205" t="str">
        <f>HYPERLINK("https://drive.google.com/open?id=0B6Vr5nVC58V5VlJmSDJZcW40M20waWVlTVl6bnFySFRCNHNB","33441")</f>
        <v>33441</v>
      </c>
      <c r="B4" s="215" t="s">
        <v>21</v>
      </c>
      <c r="C4" s="191" t="s">
        <v>2528</v>
      </c>
      <c r="D4" s="191" t="s">
        <v>2529</v>
      </c>
      <c r="E4" s="207" t="s">
        <v>2530</v>
      </c>
      <c r="F4" s="233">
        <v>43819.0</v>
      </c>
      <c r="G4" s="220">
        <v>43825.0</v>
      </c>
      <c r="H4" s="191" t="s">
        <v>1747</v>
      </c>
      <c r="I4" s="234">
        <v>43825.0</v>
      </c>
      <c r="J4" s="204" t="s">
        <v>2153</v>
      </c>
      <c r="K4" s="204" t="s">
        <v>2531</v>
      </c>
      <c r="L4" s="235" t="s">
        <v>2532</v>
      </c>
      <c r="M4" s="215"/>
      <c r="N4" s="165"/>
      <c r="O4" s="232"/>
      <c r="P4" s="214"/>
      <c r="Q4" s="214"/>
      <c r="R4" s="214"/>
      <c r="S4" s="214"/>
      <c r="T4" s="214"/>
      <c r="U4" s="214"/>
      <c r="V4" s="214"/>
      <c r="W4" s="214"/>
      <c r="X4" s="214"/>
      <c r="Y4" s="214"/>
      <c r="Z4" s="214"/>
      <c r="AA4" s="214"/>
    </row>
    <row r="5" ht="33.75" customHeight="1">
      <c r="A5" s="190" t="str">
        <f>HYPERLINK("https://drive.google.com/open?id=0B6Vr5nVC58V5SHlqNXpmR2FMNmRFWnBBbzJlcWZOTHpWSUY0","33850")</f>
        <v>33850</v>
      </c>
      <c r="B5" s="204" t="s">
        <v>25</v>
      </c>
      <c r="C5" s="165">
        <v>150.0</v>
      </c>
      <c r="D5" s="215" t="s">
        <v>2533</v>
      </c>
      <c r="E5" s="210" t="s">
        <v>2534</v>
      </c>
      <c r="F5" s="220">
        <v>43817.0</v>
      </c>
      <c r="G5" s="165" t="s">
        <v>28</v>
      </c>
      <c r="H5" s="165" t="s">
        <v>1747</v>
      </c>
      <c r="I5" s="231">
        <v>43826.0</v>
      </c>
      <c r="J5" s="215" t="s">
        <v>2535</v>
      </c>
      <c r="K5" s="215" t="s">
        <v>2535</v>
      </c>
      <c r="L5" s="207" t="s">
        <v>2536</v>
      </c>
      <c r="M5" s="215" t="s">
        <v>2537</v>
      </c>
      <c r="N5" s="165" t="s">
        <v>2538</v>
      </c>
      <c r="O5" s="232">
        <v>34320.0</v>
      </c>
      <c r="P5" s="214"/>
      <c r="Q5" s="214"/>
      <c r="R5" s="214"/>
      <c r="S5" s="214"/>
      <c r="T5" s="214"/>
      <c r="U5" s="214"/>
      <c r="V5" s="214"/>
      <c r="W5" s="214"/>
      <c r="X5" s="214"/>
      <c r="Y5" s="214"/>
      <c r="Z5" s="214"/>
      <c r="AA5" s="214"/>
    </row>
    <row r="6" ht="33.75" customHeight="1">
      <c r="A6" s="190" t="str">
        <f>HYPERLINK("https://drive.google.com/open?id=0B6Vr5nVC58V5YVR1eXc0SG90Z2E5WWs0QS1JMUxVazg3YldF","33875")</f>
        <v>33875</v>
      </c>
      <c r="B6" s="204" t="s">
        <v>14</v>
      </c>
      <c r="C6" s="165">
        <v>930.0</v>
      </c>
      <c r="D6" s="215" t="s">
        <v>2539</v>
      </c>
      <c r="E6" s="207" t="s">
        <v>2540</v>
      </c>
      <c r="F6" s="216">
        <v>43816.0</v>
      </c>
      <c r="G6" s="220">
        <v>43819.0</v>
      </c>
      <c r="H6" s="215" t="s">
        <v>1747</v>
      </c>
      <c r="I6" s="234">
        <v>43822.0</v>
      </c>
      <c r="J6" s="215" t="s">
        <v>2535</v>
      </c>
      <c r="K6" s="236" t="s">
        <v>2535</v>
      </c>
      <c r="L6" s="207" t="s">
        <v>2541</v>
      </c>
      <c r="M6" s="215"/>
      <c r="N6" s="165"/>
      <c r="O6" s="232"/>
      <c r="P6" s="214"/>
      <c r="Q6" s="214"/>
      <c r="R6" s="214"/>
      <c r="S6" s="214"/>
      <c r="T6" s="214"/>
      <c r="U6" s="214"/>
      <c r="V6" s="214"/>
      <c r="W6" s="214"/>
      <c r="X6" s="214"/>
      <c r="Y6" s="214"/>
      <c r="Z6" s="214"/>
      <c r="AA6" s="214"/>
    </row>
    <row r="7" ht="39.75" customHeight="1">
      <c r="A7" s="205" t="str">
        <f>HYPERLINK("https://drive.google.com/open?id=0B6Vr5nVC58V5RTliaXRkSFk1VlNTR0hqaGFBUHhZYkZKa1pF","33504")</f>
        <v>33504</v>
      </c>
      <c r="B7" s="204" t="s">
        <v>21</v>
      </c>
      <c r="C7" s="165">
        <v>900.0</v>
      </c>
      <c r="D7" s="215" t="s">
        <v>2542</v>
      </c>
      <c r="E7" s="207" t="s">
        <v>2543</v>
      </c>
      <c r="F7" s="216">
        <v>43815.0</v>
      </c>
      <c r="G7" s="209">
        <v>43812.0</v>
      </c>
      <c r="H7" s="165" t="s">
        <v>1747</v>
      </c>
      <c r="I7" s="231">
        <v>43818.0</v>
      </c>
      <c r="J7" s="215" t="s">
        <v>2535</v>
      </c>
      <c r="K7" s="236" t="s">
        <v>2535</v>
      </c>
      <c r="L7" s="207" t="s">
        <v>2544</v>
      </c>
      <c r="M7" s="215" t="s">
        <v>2545</v>
      </c>
      <c r="N7" s="165" t="s">
        <v>2546</v>
      </c>
      <c r="O7" s="232">
        <v>51882.4</v>
      </c>
      <c r="P7" s="214"/>
      <c r="Q7" s="214"/>
      <c r="R7" s="214"/>
      <c r="S7" s="214"/>
      <c r="T7" s="214"/>
      <c r="U7" s="214"/>
      <c r="V7" s="214"/>
      <c r="W7" s="214"/>
      <c r="X7" s="214"/>
      <c r="Y7" s="214"/>
      <c r="Z7" s="214"/>
      <c r="AA7" s="214"/>
    </row>
    <row r="8" ht="33.75" customHeight="1">
      <c r="A8" s="205" t="str">
        <f>HYPERLINK("https://drive.google.com/open?id=0B6Vr5nVC58V5LXdvQmVfMUZfUnVPa3pUSVEwVFlHLU03dXBj","33691")</f>
        <v>33691</v>
      </c>
      <c r="B8" s="204" t="s">
        <v>14</v>
      </c>
      <c r="C8" s="165">
        <v>1160.0</v>
      </c>
      <c r="D8" s="215" t="s">
        <v>2547</v>
      </c>
      <c r="E8" s="207" t="s">
        <v>2548</v>
      </c>
      <c r="F8" s="216">
        <v>43815.0</v>
      </c>
      <c r="G8" s="170">
        <v>43810.0</v>
      </c>
      <c r="H8" s="165" t="s">
        <v>1747</v>
      </c>
      <c r="I8" s="231">
        <v>43822.0</v>
      </c>
      <c r="J8" s="215" t="s">
        <v>2535</v>
      </c>
      <c r="K8" s="236" t="s">
        <v>2535</v>
      </c>
      <c r="L8" s="212" t="s">
        <v>2549</v>
      </c>
      <c r="M8" s="215" t="s">
        <v>497</v>
      </c>
      <c r="N8" s="165" t="s">
        <v>2550</v>
      </c>
      <c r="O8" s="232">
        <v>31865.2</v>
      </c>
      <c r="P8" s="214"/>
      <c r="Q8" s="214"/>
      <c r="R8" s="214"/>
      <c r="S8" s="214"/>
      <c r="T8" s="214"/>
      <c r="U8" s="214"/>
      <c r="V8" s="214"/>
      <c r="W8" s="214"/>
      <c r="X8" s="214"/>
      <c r="Y8" s="214"/>
      <c r="Z8" s="214"/>
      <c r="AA8" s="214"/>
    </row>
    <row r="9" ht="33.75" customHeight="1">
      <c r="A9" s="190" t="str">
        <f>HYPERLINK("https://drive.google.com/open?id=0B6Vr5nVC58V5Q3lsNG1yVW1YSjJuSU56UmV6UFVBekFRU3BB","33682")</f>
        <v>33682</v>
      </c>
      <c r="B9" s="215" t="s">
        <v>21</v>
      </c>
      <c r="C9" s="191">
        <v>1290.0</v>
      </c>
      <c r="D9" s="215" t="s">
        <v>2551</v>
      </c>
      <c r="E9" s="207" t="s">
        <v>2552</v>
      </c>
      <c r="F9" s="216">
        <v>43814.0</v>
      </c>
      <c r="G9" s="209">
        <v>43812.0</v>
      </c>
      <c r="H9" s="165" t="s">
        <v>1747</v>
      </c>
      <c r="I9" s="231">
        <v>43817.0</v>
      </c>
      <c r="J9" s="215" t="s">
        <v>2153</v>
      </c>
      <c r="K9" s="236" t="s">
        <v>2526</v>
      </c>
      <c r="L9" s="207" t="s">
        <v>2553</v>
      </c>
      <c r="M9" s="215" t="s">
        <v>497</v>
      </c>
      <c r="N9" s="165" t="s">
        <v>2554</v>
      </c>
      <c r="O9" s="232">
        <v>46739.18</v>
      </c>
      <c r="P9" s="214"/>
      <c r="Q9" s="214"/>
      <c r="R9" s="214"/>
      <c r="S9" s="214"/>
      <c r="T9" s="214"/>
      <c r="U9" s="214"/>
      <c r="V9" s="214"/>
      <c r="W9" s="214"/>
      <c r="X9" s="214"/>
      <c r="Y9" s="214"/>
      <c r="Z9" s="214"/>
      <c r="AA9" s="214"/>
    </row>
    <row r="10" ht="33.75" customHeight="1">
      <c r="A10" s="190" t="str">
        <f>HYPERLINK("https://drive.google.com/open?id=0B6Vr5nVC58V5LXJoZHRaTGhfaXIwUkNIY202UEFUdmhyb1NN","33829")</f>
        <v>33829</v>
      </c>
      <c r="B10" s="204" t="s">
        <v>14</v>
      </c>
      <c r="C10" s="165">
        <v>220.0</v>
      </c>
      <c r="D10" s="215" t="s">
        <v>2555</v>
      </c>
      <c r="E10" s="207" t="s">
        <v>2556</v>
      </c>
      <c r="F10" s="216">
        <v>43812.0</v>
      </c>
      <c r="G10" s="209">
        <v>43809.0</v>
      </c>
      <c r="H10" s="204" t="s">
        <v>1747</v>
      </c>
      <c r="I10" s="231">
        <v>43818.0</v>
      </c>
      <c r="J10" s="215" t="s">
        <v>2535</v>
      </c>
      <c r="K10" s="215" t="s">
        <v>2535</v>
      </c>
      <c r="L10" s="207" t="s">
        <v>2557</v>
      </c>
      <c r="M10" s="215"/>
      <c r="N10" s="165"/>
      <c r="O10" s="232"/>
      <c r="P10" s="214"/>
      <c r="Q10" s="214"/>
      <c r="R10" s="214"/>
      <c r="S10" s="214"/>
      <c r="T10" s="214"/>
      <c r="U10" s="214"/>
      <c r="V10" s="214"/>
      <c r="W10" s="214"/>
      <c r="X10" s="214"/>
      <c r="Y10" s="214"/>
      <c r="Z10" s="214"/>
      <c r="AA10" s="214"/>
    </row>
    <row r="11" ht="33.75" customHeight="1">
      <c r="A11" s="190" t="str">
        <f>HYPERLINK("https://drive.google.com/open?id=0B6Vr5nVC58V5ZWN6QlItOTFDUlMzajl4M3lBalNwRWk3ZlVZ","33828")</f>
        <v>33828</v>
      </c>
      <c r="B11" s="204" t="s">
        <v>14</v>
      </c>
      <c r="C11" s="165">
        <v>930.0</v>
      </c>
      <c r="D11" s="215" t="s">
        <v>2558</v>
      </c>
      <c r="E11" s="207" t="s">
        <v>2559</v>
      </c>
      <c r="F11" s="216">
        <v>43804.0</v>
      </c>
      <c r="G11" s="209">
        <v>43804.0</v>
      </c>
      <c r="H11" s="204" t="s">
        <v>1747</v>
      </c>
      <c r="I11" s="231">
        <v>43809.0</v>
      </c>
      <c r="J11" s="215" t="s">
        <v>2535</v>
      </c>
      <c r="K11" s="215" t="s">
        <v>2535</v>
      </c>
      <c r="L11" s="207" t="s">
        <v>2560</v>
      </c>
      <c r="M11" s="215"/>
      <c r="N11" s="165"/>
      <c r="O11" s="232"/>
      <c r="P11" s="214"/>
      <c r="Q11" s="214"/>
      <c r="R11" s="214"/>
      <c r="S11" s="214"/>
      <c r="T11" s="214"/>
      <c r="U11" s="214"/>
      <c r="V11" s="214"/>
      <c r="W11" s="214"/>
      <c r="X11" s="214"/>
      <c r="Y11" s="214"/>
      <c r="Z11" s="214"/>
      <c r="AA11" s="214"/>
    </row>
    <row r="12" ht="37.5" customHeight="1">
      <c r="A12" s="190" t="str">
        <f>HYPERLINK("https://drive.google.com/open?id=0B6Vr5nVC58V5aEQyQnNEV0o0ZHlLRmpNNVlwLU1rRW9MMnRn","33805")</f>
        <v>33805</v>
      </c>
      <c r="B12" s="204" t="s">
        <v>25</v>
      </c>
      <c r="C12" s="165">
        <v>96.0</v>
      </c>
      <c r="D12" s="215" t="s">
        <v>2561</v>
      </c>
      <c r="E12" s="210" t="s">
        <v>2534</v>
      </c>
      <c r="F12" s="216">
        <v>43803.0</v>
      </c>
      <c r="G12" s="191" t="s">
        <v>28</v>
      </c>
      <c r="H12" s="191" t="s">
        <v>28</v>
      </c>
      <c r="I12" s="234">
        <v>43811.0</v>
      </c>
      <c r="J12" s="215" t="s">
        <v>2535</v>
      </c>
      <c r="K12" s="236" t="s">
        <v>2535</v>
      </c>
      <c r="L12" s="207" t="s">
        <v>2562</v>
      </c>
      <c r="M12" s="215" t="s">
        <v>497</v>
      </c>
      <c r="N12" s="165" t="s">
        <v>2538</v>
      </c>
      <c r="O12" s="232">
        <v>26880.0</v>
      </c>
      <c r="P12" s="214"/>
      <c r="Q12" s="214"/>
      <c r="R12" s="214"/>
      <c r="S12" s="214"/>
      <c r="T12" s="214"/>
      <c r="U12" s="214"/>
      <c r="V12" s="214"/>
      <c r="W12" s="214"/>
      <c r="X12" s="214"/>
      <c r="Y12" s="214"/>
      <c r="Z12" s="214"/>
      <c r="AA12" s="214"/>
    </row>
    <row r="13" ht="37.5" customHeight="1">
      <c r="A13" s="190" t="str">
        <f>HYPERLINK("https://drive.google.com/open?id=0B6Vr5nVC58V5dy01VWViQ2pSN2N4ZDNYSWtiSWJGRzhmQ2dJ","33827")</f>
        <v>33827</v>
      </c>
      <c r="B13" s="204" t="s">
        <v>21</v>
      </c>
      <c r="C13" s="165">
        <v>1010.0</v>
      </c>
      <c r="D13" s="191" t="s">
        <v>2563</v>
      </c>
      <c r="E13" s="207" t="s">
        <v>2564</v>
      </c>
      <c r="F13" s="216">
        <v>43801.0</v>
      </c>
      <c r="G13" s="209">
        <v>43801.0</v>
      </c>
      <c r="H13" s="204" t="s">
        <v>1747</v>
      </c>
      <c r="I13" s="231">
        <v>43810.0</v>
      </c>
      <c r="J13" s="215" t="s">
        <v>2153</v>
      </c>
      <c r="K13" s="236" t="s">
        <v>2526</v>
      </c>
      <c r="L13" s="207" t="s">
        <v>2565</v>
      </c>
      <c r="M13" s="215"/>
      <c r="N13" s="165"/>
      <c r="O13" s="232"/>
      <c r="P13" s="214"/>
      <c r="Q13" s="214"/>
      <c r="R13" s="214"/>
      <c r="S13" s="214"/>
      <c r="T13" s="214"/>
      <c r="U13" s="214"/>
      <c r="V13" s="214"/>
      <c r="W13" s="214"/>
      <c r="X13" s="214"/>
      <c r="Y13" s="214"/>
      <c r="Z13" s="214"/>
      <c r="AA13" s="214"/>
    </row>
    <row r="14" ht="37.5" customHeight="1">
      <c r="A14" s="205" t="str">
        <f>HYPERLINK("https://drive.google.com/open?id=0B6Vr5nVC58V5WFhGUGFQSW50NjJYMUlKVzhhU0NKR0dTTWxn","33604")</f>
        <v>33604</v>
      </c>
      <c r="B14" s="204" t="s">
        <v>14</v>
      </c>
      <c r="C14" s="165">
        <v>2100.0</v>
      </c>
      <c r="D14" s="215" t="s">
        <v>2566</v>
      </c>
      <c r="E14" s="207" t="s">
        <v>2567</v>
      </c>
      <c r="F14" s="216">
        <v>43801.0</v>
      </c>
      <c r="G14" s="170">
        <v>43801.0</v>
      </c>
      <c r="H14" s="165" t="s">
        <v>1747</v>
      </c>
      <c r="I14" s="231">
        <v>43805.0</v>
      </c>
      <c r="J14" s="215" t="s">
        <v>2535</v>
      </c>
      <c r="K14" s="236" t="s">
        <v>2535</v>
      </c>
      <c r="L14" s="207" t="s">
        <v>2568</v>
      </c>
      <c r="M14" s="215" t="s">
        <v>497</v>
      </c>
      <c r="N14" s="165" t="s">
        <v>2554</v>
      </c>
      <c r="O14" s="232">
        <v>28812.0</v>
      </c>
      <c r="P14" s="214"/>
      <c r="Q14" s="214"/>
      <c r="R14" s="214"/>
      <c r="S14" s="214"/>
      <c r="T14" s="214"/>
      <c r="U14" s="214"/>
      <c r="V14" s="214"/>
      <c r="W14" s="214"/>
      <c r="X14" s="214"/>
      <c r="Y14" s="214"/>
      <c r="Z14" s="214"/>
      <c r="AA14" s="214"/>
    </row>
    <row r="15" ht="33.75" customHeight="1">
      <c r="A15" s="205" t="str">
        <f>HYPERLINK("https://drive.google.com/open?id=0B6Vr5nVC58V5Yks1Wm5WVmppTk5UclFzd2prNDg3VDRsWkl3","33605")</f>
        <v>33605</v>
      </c>
      <c r="B15" s="204" t="s">
        <v>14</v>
      </c>
      <c r="C15" s="165">
        <v>1160.0</v>
      </c>
      <c r="D15" s="215" t="s">
        <v>2569</v>
      </c>
      <c r="E15" s="207" t="s">
        <v>2570</v>
      </c>
      <c r="F15" s="216">
        <v>43801.0</v>
      </c>
      <c r="G15" s="170">
        <v>43801.0</v>
      </c>
      <c r="H15" s="165" t="s">
        <v>1747</v>
      </c>
      <c r="I15" s="231">
        <v>43808.0</v>
      </c>
      <c r="J15" s="215" t="s">
        <v>2535</v>
      </c>
      <c r="K15" s="236" t="s">
        <v>2535</v>
      </c>
      <c r="L15" s="212" t="s">
        <v>2571</v>
      </c>
      <c r="M15" s="215" t="s">
        <v>497</v>
      </c>
      <c r="N15" s="165" t="s">
        <v>2554</v>
      </c>
      <c r="O15" s="232">
        <v>31865.2</v>
      </c>
      <c r="P15" s="214"/>
      <c r="Q15" s="214"/>
      <c r="R15" s="214"/>
      <c r="S15" s="214"/>
      <c r="T15" s="214"/>
      <c r="U15" s="214"/>
      <c r="V15" s="214"/>
      <c r="W15" s="214"/>
      <c r="X15" s="214"/>
      <c r="Y15" s="214"/>
      <c r="Z15" s="214"/>
      <c r="AA15" s="214"/>
    </row>
    <row r="16" ht="42.0" customHeight="1">
      <c r="A16" s="190" t="str">
        <f>HYPERLINK("https://drive.google.com/open?id=0B6Vr5nVC58V5RDM5U19fMkJSUWRMS1dXOURpNVpfMkhBYXJr","33767")</f>
        <v>33767</v>
      </c>
      <c r="B16" s="215" t="s">
        <v>2572</v>
      </c>
      <c r="C16" s="191">
        <v>500.0</v>
      </c>
      <c r="D16" s="215" t="s">
        <v>2573</v>
      </c>
      <c r="E16" s="207" t="s">
        <v>2552</v>
      </c>
      <c r="F16" s="216">
        <v>43797.0</v>
      </c>
      <c r="G16" s="209">
        <v>43801.0</v>
      </c>
      <c r="H16" s="165" t="s">
        <v>1747</v>
      </c>
      <c r="I16" s="231">
        <v>43805.0</v>
      </c>
      <c r="J16" s="215" t="s">
        <v>2535</v>
      </c>
      <c r="K16" s="236" t="s">
        <v>2535</v>
      </c>
      <c r="L16" s="197" t="s">
        <v>2574</v>
      </c>
      <c r="M16" s="215" t="s">
        <v>497</v>
      </c>
      <c r="N16" s="165" t="s">
        <v>2554</v>
      </c>
      <c r="O16" s="232">
        <v>17908.75</v>
      </c>
      <c r="P16" s="214"/>
      <c r="Q16" s="214"/>
      <c r="R16" s="214"/>
      <c r="S16" s="214"/>
      <c r="T16" s="214"/>
      <c r="U16" s="214"/>
      <c r="V16" s="214"/>
      <c r="W16" s="214"/>
      <c r="X16" s="214"/>
      <c r="Y16" s="214"/>
      <c r="Z16" s="214"/>
      <c r="AA16" s="214"/>
    </row>
    <row r="17" ht="39.75" customHeight="1">
      <c r="A17" s="237">
        <v>33768.0</v>
      </c>
      <c r="B17" s="215" t="s">
        <v>2572</v>
      </c>
      <c r="C17" s="165">
        <v>650.0</v>
      </c>
      <c r="D17" s="215" t="s">
        <v>2573</v>
      </c>
      <c r="E17" s="212" t="s">
        <v>2575</v>
      </c>
      <c r="F17" s="216">
        <v>43797.0</v>
      </c>
      <c r="G17" s="209">
        <v>43801.0</v>
      </c>
      <c r="H17" s="165" t="s">
        <v>1747</v>
      </c>
      <c r="I17" s="231">
        <v>43805.0</v>
      </c>
      <c r="J17" s="215" t="s">
        <v>2535</v>
      </c>
      <c r="K17" s="215" t="s">
        <v>2535</v>
      </c>
      <c r="L17" s="212" t="s">
        <v>2576</v>
      </c>
      <c r="M17" s="215" t="s">
        <v>497</v>
      </c>
      <c r="N17" s="165" t="s">
        <v>2554</v>
      </c>
      <c r="O17" s="232">
        <v>17855.5</v>
      </c>
      <c r="P17" s="214"/>
      <c r="Q17" s="214"/>
      <c r="R17" s="214"/>
      <c r="S17" s="214"/>
      <c r="T17" s="214"/>
      <c r="U17" s="214"/>
      <c r="V17" s="214"/>
      <c r="W17" s="214"/>
      <c r="X17" s="214"/>
      <c r="Y17" s="214"/>
      <c r="Z17" s="214"/>
      <c r="AA17" s="214"/>
    </row>
    <row r="18" ht="39.75" customHeight="1">
      <c r="A18" s="190" t="str">
        <f>HYPERLINK("https://drive.google.com/open?id=0B6Vr5nVC58V5NWozLWZaTkd0MklzZTh6NF9LbXpWdGNWTFpZ","33797")</f>
        <v>33797</v>
      </c>
      <c r="B18" s="204" t="s">
        <v>25</v>
      </c>
      <c r="C18" s="165" t="s">
        <v>2577</v>
      </c>
      <c r="D18" s="215" t="s">
        <v>2578</v>
      </c>
      <c r="E18" s="207" t="s">
        <v>2579</v>
      </c>
      <c r="F18" s="200">
        <v>43796.0</v>
      </c>
      <c r="G18" s="165" t="s">
        <v>28</v>
      </c>
      <c r="H18" s="165" t="s">
        <v>1747</v>
      </c>
      <c r="I18" s="231">
        <v>43794.0</v>
      </c>
      <c r="J18" s="215" t="s">
        <v>2535</v>
      </c>
      <c r="K18" s="236" t="s">
        <v>2535</v>
      </c>
      <c r="L18" s="207" t="s">
        <v>2580</v>
      </c>
      <c r="M18" s="215" t="s">
        <v>497</v>
      </c>
      <c r="N18" s="165" t="s">
        <v>2581</v>
      </c>
      <c r="O18" s="232">
        <v>879.9</v>
      </c>
      <c r="P18" s="214"/>
      <c r="Q18" s="214"/>
      <c r="R18" s="214"/>
      <c r="S18" s="214"/>
      <c r="T18" s="214"/>
      <c r="U18" s="214"/>
      <c r="V18" s="214"/>
      <c r="W18" s="214"/>
      <c r="X18" s="214"/>
      <c r="Y18" s="214"/>
      <c r="Z18" s="214"/>
      <c r="AA18" s="214"/>
    </row>
    <row r="19" ht="33.75" customHeight="1">
      <c r="A19" s="205" t="str">
        <f>HYPERLINK("https://drive.google.com/open?id=0B6Vr5nVC58V5ZWswQkxKLW13SURyakRrQTQ2TVhLZ2JndnZj","33553")</f>
        <v>33553</v>
      </c>
      <c r="B19" s="204" t="s">
        <v>21</v>
      </c>
      <c r="C19" s="165">
        <v>829.0</v>
      </c>
      <c r="D19" s="215" t="s">
        <v>2582</v>
      </c>
      <c r="E19" s="207" t="s">
        <v>2583</v>
      </c>
      <c r="F19" s="216">
        <v>43793.0</v>
      </c>
      <c r="G19" s="170">
        <v>43793.0</v>
      </c>
      <c r="H19" s="165" t="s">
        <v>1747</v>
      </c>
      <c r="I19" s="231">
        <v>43805.0</v>
      </c>
      <c r="J19" s="204" t="s">
        <v>2153</v>
      </c>
      <c r="K19" s="238" t="s">
        <v>2531</v>
      </c>
      <c r="L19" s="207" t="s">
        <v>2584</v>
      </c>
      <c r="M19" s="215" t="s">
        <v>497</v>
      </c>
      <c r="N19" s="165" t="s">
        <v>2538</v>
      </c>
      <c r="O19" s="232" t="s">
        <v>2585</v>
      </c>
      <c r="P19" s="214"/>
      <c r="Q19" s="214"/>
      <c r="R19" s="214"/>
      <c r="S19" s="214"/>
      <c r="T19" s="214"/>
      <c r="U19" s="214"/>
      <c r="V19" s="214"/>
      <c r="W19" s="214"/>
      <c r="X19" s="214"/>
      <c r="Y19" s="214"/>
      <c r="Z19" s="214"/>
      <c r="AA19" s="214"/>
    </row>
    <row r="20" ht="33.75" customHeight="1">
      <c r="A20" s="205" t="str">
        <f>HYPERLINK("https://drive.google.com/open?id=0B6Vr5nVC58V5TnF0U21HNS1Lc0c4aC1sWnYwLUJRMXRsU2Y4","33756")</f>
        <v>33756</v>
      </c>
      <c r="B20" s="204" t="s">
        <v>21</v>
      </c>
      <c r="C20" s="191">
        <v>1.0</v>
      </c>
      <c r="D20" s="215" t="s">
        <v>2586</v>
      </c>
      <c r="E20" s="212" t="s">
        <v>2587</v>
      </c>
      <c r="F20" s="216">
        <v>43793.0</v>
      </c>
      <c r="G20" s="220">
        <v>43793.0</v>
      </c>
      <c r="H20" s="191" t="s">
        <v>1747</v>
      </c>
      <c r="I20" s="234">
        <v>43805.0</v>
      </c>
      <c r="J20" s="215" t="s">
        <v>2535</v>
      </c>
      <c r="K20" s="236" t="s">
        <v>2535</v>
      </c>
      <c r="L20" s="207" t="s">
        <v>2588</v>
      </c>
      <c r="M20" s="215"/>
      <c r="N20" s="165"/>
      <c r="O20" s="232"/>
      <c r="P20" s="214"/>
      <c r="Q20" s="214"/>
      <c r="R20" s="214"/>
      <c r="S20" s="214"/>
      <c r="T20" s="214"/>
      <c r="U20" s="214"/>
      <c r="V20" s="214"/>
      <c r="W20" s="214"/>
      <c r="X20" s="214"/>
      <c r="Y20" s="214"/>
      <c r="Z20" s="214"/>
      <c r="AA20" s="214"/>
    </row>
    <row r="21" ht="33.75" customHeight="1">
      <c r="A21" s="190" t="str">
        <f>HYPERLINK("https://drive.google.com/open?id=0B6Vr5nVC58V5cmZaeUY1YVdDeEtZQV9rclI0NVhxNWdKN0tR","33607")</f>
        <v>33607</v>
      </c>
      <c r="B21" s="204" t="s">
        <v>21</v>
      </c>
      <c r="C21" s="165">
        <v>1542.0</v>
      </c>
      <c r="D21" s="215" t="s">
        <v>2589</v>
      </c>
      <c r="E21" s="207" t="s">
        <v>2590</v>
      </c>
      <c r="F21" s="216">
        <v>43793.0</v>
      </c>
      <c r="G21" s="209">
        <v>43790.0</v>
      </c>
      <c r="H21" s="165" t="s">
        <v>1747</v>
      </c>
      <c r="I21" s="231">
        <v>43801.0</v>
      </c>
      <c r="J21" s="215" t="s">
        <v>2153</v>
      </c>
      <c r="K21" s="236" t="s">
        <v>2526</v>
      </c>
      <c r="L21" s="207" t="s">
        <v>2591</v>
      </c>
      <c r="M21" s="215" t="s">
        <v>497</v>
      </c>
      <c r="N21" s="165" t="s">
        <v>2554</v>
      </c>
      <c r="O21" s="232">
        <v>42993.64</v>
      </c>
      <c r="P21" s="214"/>
      <c r="Q21" s="214"/>
      <c r="R21" s="214"/>
      <c r="S21" s="214"/>
      <c r="T21" s="214"/>
      <c r="U21" s="214"/>
      <c r="V21" s="214"/>
      <c r="W21" s="214"/>
      <c r="X21" s="214"/>
      <c r="Y21" s="214"/>
      <c r="Z21" s="214"/>
      <c r="AA21" s="214"/>
    </row>
    <row r="22" ht="33.75" customHeight="1">
      <c r="A22" s="205" t="str">
        <f>HYPERLINK("https://drive.google.com/open?id=0B6Vr5nVC58V5THZYLUJNMENlcTcySkF5TFJBVi1sUmQtVHJN","33847")</f>
        <v>33847</v>
      </c>
      <c r="B22" s="204" t="s">
        <v>25</v>
      </c>
      <c r="C22" s="165">
        <v>6.0</v>
      </c>
      <c r="D22" s="215" t="s">
        <v>2592</v>
      </c>
      <c r="E22" s="207" t="s">
        <v>2593</v>
      </c>
      <c r="F22" s="216">
        <v>43791.0</v>
      </c>
      <c r="G22" s="165" t="s">
        <v>28</v>
      </c>
      <c r="H22" s="165" t="s">
        <v>1747</v>
      </c>
      <c r="I22" s="231">
        <v>43791.0</v>
      </c>
      <c r="J22" s="215" t="s">
        <v>2535</v>
      </c>
      <c r="K22" s="236" t="s">
        <v>2535</v>
      </c>
      <c r="L22" s="207" t="s">
        <v>2594</v>
      </c>
      <c r="M22" s="215" t="s">
        <v>497</v>
      </c>
      <c r="N22" s="165" t="s">
        <v>2538</v>
      </c>
      <c r="O22" s="232">
        <v>1440.0</v>
      </c>
      <c r="P22" s="214"/>
      <c r="Q22" s="214"/>
      <c r="R22" s="214"/>
      <c r="S22" s="214"/>
      <c r="T22" s="214"/>
      <c r="U22" s="214"/>
      <c r="V22" s="214"/>
      <c r="W22" s="214"/>
      <c r="X22" s="214"/>
      <c r="Y22" s="214"/>
      <c r="Z22" s="214"/>
      <c r="AA22" s="214"/>
    </row>
    <row r="23" ht="33.75" customHeight="1">
      <c r="A23" s="205" t="str">
        <f>HYPERLINK("https://drive.google.com/open?id=0B6Vr5nVC58V5V1NTRE5uZW42c2VhRFVhTTZ1MWI0eU4yTFlF","33503")</f>
        <v>33503</v>
      </c>
      <c r="B23" s="204" t="s">
        <v>25</v>
      </c>
      <c r="C23" s="165">
        <v>1920.0</v>
      </c>
      <c r="D23" s="239" t="s">
        <v>2595</v>
      </c>
      <c r="E23" s="207" t="s">
        <v>2543</v>
      </c>
      <c r="F23" s="216">
        <v>43791.0</v>
      </c>
      <c r="G23" s="170">
        <v>43788.0</v>
      </c>
      <c r="H23" s="165" t="s">
        <v>1747</v>
      </c>
      <c r="I23" s="231">
        <v>43798.0</v>
      </c>
      <c r="J23" s="215" t="s">
        <v>2535</v>
      </c>
      <c r="K23" s="236" t="s">
        <v>2535</v>
      </c>
      <c r="L23" s="207" t="s">
        <v>2596</v>
      </c>
      <c r="M23" s="215" t="s">
        <v>2545</v>
      </c>
      <c r="N23" s="165" t="s">
        <v>2546</v>
      </c>
      <c r="O23" s="232">
        <v>93214.68</v>
      </c>
      <c r="P23" s="214"/>
      <c r="Q23" s="214"/>
      <c r="R23" s="214"/>
      <c r="S23" s="214"/>
      <c r="T23" s="214"/>
      <c r="U23" s="214"/>
      <c r="V23" s="214"/>
      <c r="W23" s="214"/>
      <c r="X23" s="214"/>
      <c r="Y23" s="214"/>
      <c r="Z23" s="214"/>
      <c r="AA23" s="214"/>
    </row>
    <row r="24" ht="33.75" customHeight="1">
      <c r="A24" s="190" t="str">
        <f>HYPERLINK("https://drive.google.com/open?id=0B6Vr5nVC58V5T3VDQ25ZN1dnNGZpQVhSLXprN29LSDRNQzVz","33826")</f>
        <v>33826</v>
      </c>
      <c r="B24" s="204" t="s">
        <v>21</v>
      </c>
      <c r="C24" s="165">
        <v>1100.0</v>
      </c>
      <c r="D24" s="215" t="s">
        <v>2597</v>
      </c>
      <c r="E24" s="207" t="s">
        <v>2598</v>
      </c>
      <c r="F24" s="216">
        <v>43790.0</v>
      </c>
      <c r="G24" s="209">
        <v>43784.0</v>
      </c>
      <c r="H24" s="165" t="s">
        <v>1747</v>
      </c>
      <c r="I24" s="240">
        <v>43791.0</v>
      </c>
      <c r="J24" s="204" t="s">
        <v>2599</v>
      </c>
      <c r="K24" s="215" t="s">
        <v>2526</v>
      </c>
      <c r="L24" s="207" t="s">
        <v>2600</v>
      </c>
      <c r="M24" s="215"/>
      <c r="N24" s="165"/>
      <c r="O24" s="232"/>
      <c r="P24" s="214"/>
      <c r="Q24" s="214"/>
      <c r="R24" s="214"/>
      <c r="S24" s="214"/>
      <c r="T24" s="214"/>
      <c r="U24" s="214"/>
      <c r="V24" s="214"/>
      <c r="W24" s="214"/>
      <c r="X24" s="214"/>
      <c r="Y24" s="214"/>
      <c r="Z24" s="214"/>
      <c r="AA24" s="214"/>
    </row>
    <row r="25" ht="33.75" customHeight="1">
      <c r="A25" s="190" t="str">
        <f>HYPERLINK("https://drive.google.com/open?id=0B6Vr5nVC58V5WHRlUXRvcW9faUFUOEVMNFB3bF9ta1VKZHgw","33679")</f>
        <v>33679</v>
      </c>
      <c r="B25" s="204" t="s">
        <v>25</v>
      </c>
      <c r="C25" s="165">
        <v>1145.0</v>
      </c>
      <c r="D25" s="165" t="s">
        <v>2601</v>
      </c>
      <c r="E25" s="157" t="s">
        <v>2602</v>
      </c>
      <c r="F25" s="216">
        <v>43789.0</v>
      </c>
      <c r="G25" s="209">
        <v>43787.0</v>
      </c>
      <c r="H25" s="165" t="s">
        <v>1747</v>
      </c>
      <c r="I25" s="231">
        <v>43801.0</v>
      </c>
      <c r="J25" s="204" t="s">
        <v>2535</v>
      </c>
      <c r="K25" s="215" t="s">
        <v>2535</v>
      </c>
      <c r="L25" s="212" t="s">
        <v>2603</v>
      </c>
      <c r="M25" s="215" t="s">
        <v>497</v>
      </c>
      <c r="N25" s="165" t="s">
        <v>2604</v>
      </c>
      <c r="O25" s="232">
        <v>17973.2</v>
      </c>
      <c r="P25" s="214"/>
      <c r="Q25" s="214"/>
      <c r="R25" s="214"/>
      <c r="S25" s="214"/>
      <c r="T25" s="214"/>
      <c r="U25" s="214"/>
      <c r="V25" s="214"/>
      <c r="W25" s="214"/>
      <c r="X25" s="214"/>
      <c r="Y25" s="214"/>
      <c r="Z25" s="214"/>
      <c r="AA25" s="214"/>
    </row>
    <row r="26" ht="33.75" customHeight="1">
      <c r="A26" s="190" t="str">
        <f>HYPERLINK("https://drive.google.com/open?id=0B6Vr5nVC58V5X3pqbTNGd1FKbnpoUjhxNnpjZklLQUhXNEdz","33603")</f>
        <v>33603</v>
      </c>
      <c r="B26" s="204" t="s">
        <v>25</v>
      </c>
      <c r="C26" s="165">
        <v>1160.0</v>
      </c>
      <c r="D26" s="215" t="s">
        <v>2605</v>
      </c>
      <c r="E26" s="207" t="s">
        <v>2606</v>
      </c>
      <c r="F26" s="216">
        <v>43788.0</v>
      </c>
      <c r="G26" s="193">
        <v>43810.0</v>
      </c>
      <c r="H26" s="165" t="s">
        <v>1747</v>
      </c>
      <c r="I26" s="231">
        <v>43796.0</v>
      </c>
      <c r="J26" s="204" t="s">
        <v>2535</v>
      </c>
      <c r="K26" s="215" t="s">
        <v>2535</v>
      </c>
      <c r="L26" s="207" t="s">
        <v>2607</v>
      </c>
      <c r="M26" s="215" t="s">
        <v>497</v>
      </c>
      <c r="N26" s="165" t="s">
        <v>2554</v>
      </c>
      <c r="O26" s="232">
        <v>31865.2</v>
      </c>
      <c r="P26" s="214"/>
      <c r="Q26" s="214"/>
      <c r="R26" s="214"/>
      <c r="S26" s="214"/>
      <c r="T26" s="214"/>
      <c r="U26" s="214"/>
      <c r="V26" s="214"/>
      <c r="W26" s="214"/>
      <c r="X26" s="214"/>
      <c r="Y26" s="214"/>
      <c r="Z26" s="214"/>
      <c r="AA26" s="214"/>
    </row>
    <row r="27" ht="33.75" customHeight="1">
      <c r="A27" s="190" t="str">
        <f>HYPERLINK("https://drive.google.com/open?id=0B6Vr5nVC58V5R3NfX2sxZVZKSHlUcy1VRVZkaW9NSmM3alFZ","33825")</f>
        <v>33825</v>
      </c>
      <c r="B27" s="204" t="s">
        <v>14</v>
      </c>
      <c r="C27" s="165">
        <v>1010.0</v>
      </c>
      <c r="D27" s="215" t="s">
        <v>2608</v>
      </c>
      <c r="E27" s="207" t="s">
        <v>2609</v>
      </c>
      <c r="F27" s="216">
        <v>43788.0</v>
      </c>
      <c r="G27" s="209">
        <v>43788.0</v>
      </c>
      <c r="H27" s="165" t="s">
        <v>1747</v>
      </c>
      <c r="I27" s="231">
        <v>43795.0</v>
      </c>
      <c r="J27" s="204" t="s">
        <v>2535</v>
      </c>
      <c r="K27" s="215" t="s">
        <v>2535</v>
      </c>
      <c r="L27" s="212" t="s">
        <v>2610</v>
      </c>
      <c r="M27" s="215"/>
      <c r="N27" s="165"/>
      <c r="O27" s="232"/>
      <c r="P27" s="214"/>
      <c r="Q27" s="214"/>
      <c r="R27" s="214"/>
      <c r="S27" s="214"/>
      <c r="T27" s="214"/>
      <c r="U27" s="214"/>
      <c r="V27" s="214"/>
      <c r="W27" s="214"/>
      <c r="X27" s="214"/>
      <c r="Y27" s="214"/>
      <c r="Z27" s="214"/>
      <c r="AA27" s="214"/>
    </row>
    <row r="28" ht="33.75" customHeight="1">
      <c r="A28" s="190" t="str">
        <f>HYPERLINK("https://drive.google.com/open?id=0B6Vr5nVC58V5TXdvOGhkS0xrNEtIaC11MXlXS2xCQUVxRlhF","33824")</f>
        <v>33824</v>
      </c>
      <c r="B28" s="204" t="s">
        <v>14</v>
      </c>
      <c r="C28" s="165">
        <v>1185.0</v>
      </c>
      <c r="D28" s="215" t="s">
        <v>2611</v>
      </c>
      <c r="E28" s="207" t="s">
        <v>2612</v>
      </c>
      <c r="F28" s="216">
        <v>43788.0</v>
      </c>
      <c r="G28" s="170">
        <v>43801.0</v>
      </c>
      <c r="H28" s="165" t="s">
        <v>1747</v>
      </c>
      <c r="I28" s="231">
        <v>43801.0</v>
      </c>
      <c r="J28" s="204" t="s">
        <v>2535</v>
      </c>
      <c r="K28" s="215" t="s">
        <v>2535</v>
      </c>
      <c r="L28" s="207" t="s">
        <v>2613</v>
      </c>
      <c r="M28" s="215"/>
      <c r="N28" s="165"/>
      <c r="O28" s="232"/>
      <c r="P28" s="214"/>
      <c r="Q28" s="214"/>
      <c r="R28" s="214"/>
      <c r="S28" s="214"/>
      <c r="T28" s="214"/>
      <c r="U28" s="214"/>
      <c r="V28" s="214"/>
      <c r="W28" s="214"/>
      <c r="X28" s="214"/>
      <c r="Y28" s="214"/>
      <c r="Z28" s="214"/>
      <c r="AA28" s="214"/>
    </row>
    <row r="29" ht="33.75" customHeight="1">
      <c r="A29" s="190" t="str">
        <f>HYPERLINK("https://drive.google.com/open?id=0B6Vr5nVC58V5NG41bDU2WDMxMUpDa212dmtQdzEwcXJ0YU5z","33819")</f>
        <v>33819</v>
      </c>
      <c r="B29" s="204" t="s">
        <v>21</v>
      </c>
      <c r="C29" s="165">
        <v>578.0</v>
      </c>
      <c r="D29" s="191" t="s">
        <v>2614</v>
      </c>
      <c r="E29" s="207" t="s">
        <v>2615</v>
      </c>
      <c r="F29" s="216">
        <v>43785.0</v>
      </c>
      <c r="G29" s="220">
        <v>43784.0</v>
      </c>
      <c r="H29" s="191" t="s">
        <v>1747</v>
      </c>
      <c r="I29" s="234">
        <v>43790.0</v>
      </c>
      <c r="J29" s="204" t="s">
        <v>2616</v>
      </c>
      <c r="K29" s="215" t="s">
        <v>2526</v>
      </c>
      <c r="L29" s="207" t="s">
        <v>2617</v>
      </c>
      <c r="M29" s="215"/>
      <c r="N29" s="165"/>
      <c r="O29" s="232"/>
      <c r="P29" s="214"/>
      <c r="Q29" s="214"/>
      <c r="R29" s="214"/>
      <c r="S29" s="214"/>
      <c r="T29" s="214"/>
      <c r="U29" s="214"/>
      <c r="V29" s="214"/>
      <c r="W29" s="214"/>
      <c r="X29" s="214"/>
      <c r="Y29" s="214"/>
      <c r="Z29" s="214"/>
      <c r="AA29" s="214"/>
    </row>
    <row r="30" ht="33.75" customHeight="1">
      <c r="A30" s="190" t="str">
        <f>HYPERLINK("https://drive.google.com/open?id=0B6Vr5nVC58V5ZU4tWWY2T1F2N2Y2WHlpTkxsTnAzZndaZk1V","33818")</f>
        <v>33818</v>
      </c>
      <c r="B30" s="204" t="s">
        <v>25</v>
      </c>
      <c r="C30" s="165">
        <v>1182.0</v>
      </c>
      <c r="D30" s="215" t="s">
        <v>2618</v>
      </c>
      <c r="E30" s="207" t="s">
        <v>2619</v>
      </c>
      <c r="F30" s="216">
        <v>43782.0</v>
      </c>
      <c r="G30" s="194">
        <v>43794.0</v>
      </c>
      <c r="H30" s="165" t="s">
        <v>1747</v>
      </c>
      <c r="I30" s="231">
        <v>43791.0</v>
      </c>
      <c r="J30" s="204" t="s">
        <v>2535</v>
      </c>
      <c r="K30" s="215" t="s">
        <v>2535</v>
      </c>
      <c r="L30" s="207" t="s">
        <v>2620</v>
      </c>
      <c r="M30" s="215" t="s">
        <v>497</v>
      </c>
      <c r="N30" s="165" t="s">
        <v>2621</v>
      </c>
      <c r="O30" s="232">
        <v>42706.37</v>
      </c>
      <c r="P30" s="214"/>
      <c r="Q30" s="214"/>
      <c r="R30" s="214"/>
      <c r="S30" s="214"/>
      <c r="T30" s="214"/>
      <c r="U30" s="214"/>
      <c r="V30" s="214"/>
      <c r="W30" s="214"/>
      <c r="X30" s="214"/>
      <c r="Y30" s="214"/>
      <c r="Z30" s="214"/>
      <c r="AA30" s="214"/>
    </row>
    <row r="31" ht="38.25" customHeight="1">
      <c r="A31" s="190" t="str">
        <f>HYPERLINK("https://drive.google.com/open?id=0B6Vr5nVC58V5QXJJMjI5TnlsVXo0cWx0ZDdyRVlJQVR5OU9J","33807")</f>
        <v>33807</v>
      </c>
      <c r="B31" s="204" t="s">
        <v>14</v>
      </c>
      <c r="C31" s="165">
        <v>1690.0</v>
      </c>
      <c r="D31" s="215" t="s">
        <v>2622</v>
      </c>
      <c r="E31" s="207" t="s">
        <v>2559</v>
      </c>
      <c r="F31" s="216">
        <v>43781.0</v>
      </c>
      <c r="G31" s="209">
        <v>43787.0</v>
      </c>
      <c r="H31" s="165" t="s">
        <v>1747</v>
      </c>
      <c r="I31" s="231">
        <v>43796.0</v>
      </c>
      <c r="J31" s="204" t="s">
        <v>2535</v>
      </c>
      <c r="K31" s="215" t="s">
        <v>2535</v>
      </c>
      <c r="L31" s="207" t="s">
        <v>2623</v>
      </c>
      <c r="M31" s="215"/>
      <c r="N31" s="165"/>
      <c r="O31" s="232"/>
      <c r="P31" s="214"/>
      <c r="Q31" s="214"/>
      <c r="R31" s="214"/>
      <c r="S31" s="214"/>
      <c r="T31" s="214"/>
      <c r="U31" s="214"/>
      <c r="V31" s="214"/>
      <c r="W31" s="214"/>
      <c r="X31" s="214"/>
      <c r="Y31" s="214"/>
      <c r="Z31" s="214"/>
      <c r="AA31" s="214"/>
    </row>
    <row r="32" ht="33.75" customHeight="1">
      <c r="A32" s="190" t="str">
        <f>HYPERLINK("https://drive.google.com/open?id=0B6Vr5nVC58V5SmVscFBpVVdVSlZSTVZtVGpmYWVULUUyN21n","33623")</f>
        <v>33623</v>
      </c>
      <c r="B32" s="204" t="s">
        <v>21</v>
      </c>
      <c r="C32" s="165">
        <v>120.0</v>
      </c>
      <c r="D32" s="215" t="s">
        <v>2624</v>
      </c>
      <c r="E32" s="207" t="s">
        <v>2625</v>
      </c>
      <c r="F32" s="216">
        <v>43781.0</v>
      </c>
      <c r="G32" s="209">
        <v>43788.0</v>
      </c>
      <c r="H32" s="165" t="s">
        <v>1747</v>
      </c>
      <c r="I32" s="231">
        <v>43788.0</v>
      </c>
      <c r="J32" s="204" t="s">
        <v>2626</v>
      </c>
      <c r="K32" s="215" t="s">
        <v>2531</v>
      </c>
      <c r="L32" s="212" t="s">
        <v>2627</v>
      </c>
      <c r="M32" s="215" t="s">
        <v>497</v>
      </c>
      <c r="N32" s="165" t="s">
        <v>2628</v>
      </c>
      <c r="O32" s="232" t="s">
        <v>2629</v>
      </c>
      <c r="P32" s="214"/>
      <c r="Q32" s="214"/>
      <c r="R32" s="214"/>
      <c r="S32" s="214"/>
      <c r="T32" s="214"/>
      <c r="U32" s="214"/>
      <c r="V32" s="214"/>
      <c r="W32" s="214"/>
      <c r="X32" s="214"/>
      <c r="Y32" s="214"/>
      <c r="Z32" s="214"/>
      <c r="AA32" s="214"/>
    </row>
    <row r="33" ht="33.75" customHeight="1">
      <c r="A33" s="190" t="str">
        <f>HYPERLINK("https://drive.google.com/open?id=0B6Vr5nVC58V5MmMwaDFQeUtxelJvZC1oSHRBVmJmeTc2ZXk4","33806")</f>
        <v>33806</v>
      </c>
      <c r="B33" s="204" t="s">
        <v>21</v>
      </c>
      <c r="C33" s="165">
        <v>220.0</v>
      </c>
      <c r="D33" s="215" t="s">
        <v>2630</v>
      </c>
      <c r="E33" s="207" t="s">
        <v>2631</v>
      </c>
      <c r="F33" s="216">
        <v>43780.0</v>
      </c>
      <c r="G33" s="209">
        <v>43776.0</v>
      </c>
      <c r="H33" s="165" t="s">
        <v>1747</v>
      </c>
      <c r="I33" s="231">
        <v>43788.0</v>
      </c>
      <c r="J33" s="204" t="s">
        <v>2632</v>
      </c>
      <c r="K33" s="215" t="s">
        <v>2526</v>
      </c>
      <c r="L33" s="207" t="s">
        <v>2633</v>
      </c>
      <c r="M33" s="215"/>
      <c r="N33" s="165"/>
      <c r="O33" s="232"/>
      <c r="P33" s="214"/>
      <c r="Q33" s="214"/>
      <c r="R33" s="214"/>
      <c r="S33" s="214"/>
      <c r="T33" s="214"/>
      <c r="U33" s="214"/>
      <c r="V33" s="214"/>
      <c r="W33" s="214"/>
      <c r="X33" s="214"/>
      <c r="Y33" s="214"/>
      <c r="Z33" s="214"/>
      <c r="AA33" s="214"/>
    </row>
    <row r="34" ht="33.75" customHeight="1">
      <c r="A34" s="190" t="str">
        <f>HYPERLINK("https://drive.google.com/open?id=0B6Vr5nVC58V5eTNoQVZuYXlEMVhzZnBRRm1jcUFTalBTQjNV","33602")</f>
        <v>33602</v>
      </c>
      <c r="B34" s="204" t="s">
        <v>14</v>
      </c>
      <c r="C34" s="165">
        <v>1160.0</v>
      </c>
      <c r="D34" s="215" t="s">
        <v>2634</v>
      </c>
      <c r="E34" s="207" t="s">
        <v>2606</v>
      </c>
      <c r="F34" s="216">
        <v>43780.0</v>
      </c>
      <c r="G34" s="209">
        <v>43776.0</v>
      </c>
      <c r="H34" s="165" t="s">
        <v>1747</v>
      </c>
      <c r="I34" s="231">
        <v>43784.0</v>
      </c>
      <c r="J34" s="215" t="s">
        <v>2535</v>
      </c>
      <c r="K34" s="215" t="s">
        <v>2535</v>
      </c>
      <c r="L34" s="207" t="s">
        <v>2635</v>
      </c>
      <c r="M34" s="215" t="s">
        <v>497</v>
      </c>
      <c r="N34" s="165" t="s">
        <v>2554</v>
      </c>
      <c r="O34" s="232">
        <v>31865.2</v>
      </c>
      <c r="P34" s="214"/>
      <c r="Q34" s="214"/>
      <c r="R34" s="214"/>
      <c r="S34" s="214"/>
      <c r="T34" s="214"/>
      <c r="U34" s="214"/>
      <c r="V34" s="214"/>
      <c r="W34" s="214"/>
      <c r="X34" s="214"/>
      <c r="Y34" s="214"/>
      <c r="Z34" s="214"/>
      <c r="AA34" s="214"/>
    </row>
    <row r="35" ht="33.75" customHeight="1">
      <c r="A35" s="190" t="str">
        <f>HYPERLINK("https://drive.google.com/open?id=0B6Vr5nVC58V5QXVTbVBzOUM0ejhReVJzUjc4NEZwU1RiZEdj","33502")</f>
        <v>33502</v>
      </c>
      <c r="B35" s="204" t="s">
        <v>21</v>
      </c>
      <c r="C35" s="165">
        <v>1950.0</v>
      </c>
      <c r="D35" s="215" t="s">
        <v>2636</v>
      </c>
      <c r="E35" s="207" t="s">
        <v>2543</v>
      </c>
      <c r="F35" s="216">
        <v>43779.0</v>
      </c>
      <c r="G35" s="209">
        <v>43776.0</v>
      </c>
      <c r="H35" s="165" t="s">
        <v>1747</v>
      </c>
      <c r="I35" s="231">
        <v>43783.0</v>
      </c>
      <c r="J35" s="215" t="s">
        <v>2535</v>
      </c>
      <c r="K35" s="215" t="s">
        <v>2535</v>
      </c>
      <c r="L35" s="207" t="s">
        <v>2637</v>
      </c>
      <c r="M35" s="215" t="s">
        <v>2545</v>
      </c>
      <c r="N35" s="165" t="s">
        <v>2546</v>
      </c>
      <c r="O35" s="232">
        <v>93572.6</v>
      </c>
      <c r="P35" s="214"/>
      <c r="Q35" s="214"/>
      <c r="R35" s="214"/>
      <c r="S35" s="214"/>
      <c r="T35" s="214"/>
      <c r="U35" s="214"/>
      <c r="V35" s="214"/>
      <c r="W35" s="214"/>
      <c r="X35" s="214"/>
      <c r="Y35" s="214"/>
      <c r="Z35" s="214"/>
      <c r="AA35" s="214"/>
    </row>
    <row r="36" ht="33.75" customHeight="1">
      <c r="A36" s="205" t="str">
        <f>HYPERLINK("https://drive.google.com/open?id=0B6Vr5nVC58V5VFZjczZpZHg1U0s0MmhrVmVxX2hzWDI4Qk1z","33509")</f>
        <v>33509</v>
      </c>
      <c r="B36" s="204" t="s">
        <v>14</v>
      </c>
      <c r="C36" s="165">
        <v>1250.0</v>
      </c>
      <c r="D36" s="215" t="s">
        <v>2638</v>
      </c>
      <c r="E36" s="207" t="s">
        <v>2639</v>
      </c>
      <c r="F36" s="216">
        <v>43777.0</v>
      </c>
      <c r="G36" s="209">
        <v>43773.0</v>
      </c>
      <c r="H36" s="165" t="s">
        <v>1747</v>
      </c>
      <c r="I36" s="231">
        <v>43783.0</v>
      </c>
      <c r="J36" s="215" t="s">
        <v>2535</v>
      </c>
      <c r="K36" s="215" t="s">
        <v>2535</v>
      </c>
      <c r="L36" s="207" t="s">
        <v>2640</v>
      </c>
      <c r="M36" s="215" t="s">
        <v>497</v>
      </c>
      <c r="N36" s="165" t="s">
        <v>2554</v>
      </c>
      <c r="O36" s="232">
        <v>44771.88</v>
      </c>
      <c r="P36" s="214"/>
      <c r="Q36" s="214"/>
      <c r="R36" s="214"/>
      <c r="S36" s="214"/>
      <c r="T36" s="214"/>
      <c r="U36" s="214"/>
      <c r="V36" s="214"/>
      <c r="W36" s="214"/>
      <c r="X36" s="214"/>
      <c r="Y36" s="214"/>
      <c r="Z36" s="214"/>
      <c r="AA36" s="214"/>
    </row>
    <row r="37" ht="33.75" customHeight="1">
      <c r="A37" s="190" t="str">
        <f>HYPERLINK("https://drive.google.com/open?id=0B6Vr5nVC58V5NEx0LXhrbElidVZrVWNUeE96eTNnWmFNRTI4","33497")</f>
        <v>33497</v>
      </c>
      <c r="B37" s="204" t="s">
        <v>14</v>
      </c>
      <c r="C37" s="165">
        <v>1160.0</v>
      </c>
      <c r="D37" s="215" t="s">
        <v>2641</v>
      </c>
      <c r="E37" s="207" t="s">
        <v>2575</v>
      </c>
      <c r="F37" s="216">
        <v>43777.0</v>
      </c>
      <c r="G37" s="209">
        <v>43773.0</v>
      </c>
      <c r="H37" s="165" t="s">
        <v>1747</v>
      </c>
      <c r="I37" s="231">
        <v>43782.0</v>
      </c>
      <c r="J37" s="215" t="s">
        <v>2535</v>
      </c>
      <c r="K37" s="215" t="s">
        <v>2535</v>
      </c>
      <c r="L37" s="207" t="s">
        <v>2642</v>
      </c>
      <c r="M37" s="215" t="s">
        <v>497</v>
      </c>
      <c r="N37" s="165" t="s">
        <v>2554</v>
      </c>
      <c r="O37" s="232">
        <v>31865.2</v>
      </c>
      <c r="P37" s="214"/>
      <c r="Q37" s="214"/>
      <c r="R37" s="214"/>
      <c r="S37" s="214"/>
      <c r="T37" s="214"/>
      <c r="U37" s="214"/>
      <c r="V37" s="214"/>
      <c r="W37" s="214"/>
      <c r="X37" s="214"/>
      <c r="Y37" s="214"/>
      <c r="Z37" s="214"/>
      <c r="AA37" s="214"/>
    </row>
    <row r="38" ht="33.75" customHeight="1">
      <c r="A38" s="190" t="str">
        <f>HYPERLINK("https://drive.google.com/open?id=0B6Vr5nVC58V5ZmJoUDFqVEhydGQ4SWdqaFUta2VGTXRTeHdV","33738")</f>
        <v>33738</v>
      </c>
      <c r="B38" s="204" t="s">
        <v>25</v>
      </c>
      <c r="C38" s="165">
        <v>145.0</v>
      </c>
      <c r="D38" s="215" t="s">
        <v>2643</v>
      </c>
      <c r="E38" s="207" t="s">
        <v>2644</v>
      </c>
      <c r="F38" s="216">
        <v>43776.0</v>
      </c>
      <c r="G38" s="209">
        <v>43768.0</v>
      </c>
      <c r="H38" s="165" t="s">
        <v>1747</v>
      </c>
      <c r="I38" s="231">
        <v>43781.0</v>
      </c>
      <c r="J38" s="215" t="s">
        <v>2535</v>
      </c>
      <c r="K38" s="215" t="s">
        <v>2535</v>
      </c>
      <c r="L38" s="207" t="s">
        <v>2645</v>
      </c>
      <c r="M38" s="215" t="s">
        <v>497</v>
      </c>
      <c r="N38" s="165" t="s">
        <v>2538</v>
      </c>
      <c r="O38" s="232">
        <v>33640.0</v>
      </c>
      <c r="P38" s="214"/>
      <c r="Q38" s="214"/>
      <c r="R38" s="214"/>
      <c r="S38" s="214"/>
      <c r="T38" s="214"/>
      <c r="U38" s="214"/>
      <c r="V38" s="214"/>
      <c r="W38" s="214"/>
      <c r="X38" s="214"/>
      <c r="Y38" s="214"/>
      <c r="Z38" s="214"/>
      <c r="AA38" s="214"/>
    </row>
    <row r="39" ht="33.75" customHeight="1">
      <c r="A39" s="190" t="str">
        <f>HYPERLINK("https://drive.google.com/open?id=0B6Vr5nVC58V5UGhhY0NJTDY1MlB5dTFjcDltV3JBWlpXQm9z","33500")</f>
        <v>33500</v>
      </c>
      <c r="B39" s="204" t="s">
        <v>14</v>
      </c>
      <c r="C39" s="165">
        <v>1701.0</v>
      </c>
      <c r="D39" s="215" t="s">
        <v>2646</v>
      </c>
      <c r="E39" s="207" t="s">
        <v>2647</v>
      </c>
      <c r="F39" s="216">
        <v>43773.0</v>
      </c>
      <c r="G39" s="209">
        <v>43770.0</v>
      </c>
      <c r="H39" s="165" t="s">
        <v>1747</v>
      </c>
      <c r="I39" s="231">
        <v>43780.0</v>
      </c>
      <c r="J39" s="215" t="s">
        <v>2535</v>
      </c>
      <c r="K39" s="215" t="s">
        <v>2535</v>
      </c>
      <c r="L39" s="207" t="s">
        <v>2648</v>
      </c>
      <c r="M39" s="215" t="s">
        <v>497</v>
      </c>
      <c r="N39" s="165" t="s">
        <v>2554</v>
      </c>
      <c r="O39" s="232">
        <v>43610.57</v>
      </c>
      <c r="P39" s="214"/>
      <c r="Q39" s="214"/>
      <c r="R39" s="214"/>
      <c r="S39" s="214"/>
      <c r="T39" s="214"/>
      <c r="U39" s="214"/>
      <c r="V39" s="214"/>
      <c r="W39" s="214"/>
      <c r="X39" s="214"/>
      <c r="Y39" s="214"/>
      <c r="Z39" s="214"/>
      <c r="AA39" s="214"/>
    </row>
    <row r="40" ht="33.75" customHeight="1">
      <c r="A40" s="190" t="str">
        <f>HYPERLINK("https://drive.google.com/open?id=0B6Vr5nVC58V5UHB3UmpTWTBvbjNoRFpFUnJ6UlJ3ckRBeGdj","33606")</f>
        <v>33606</v>
      </c>
      <c r="B40" s="204" t="s">
        <v>14</v>
      </c>
      <c r="C40" s="165">
        <v>2100.0</v>
      </c>
      <c r="D40" s="215" t="s">
        <v>2649</v>
      </c>
      <c r="E40" s="212" t="s">
        <v>2650</v>
      </c>
      <c r="F40" s="216">
        <v>43773.0</v>
      </c>
      <c r="G40" s="209">
        <v>43770.0</v>
      </c>
      <c r="H40" s="165" t="s">
        <v>1747</v>
      </c>
      <c r="I40" s="231">
        <v>43781.0</v>
      </c>
      <c r="J40" s="215" t="s">
        <v>2535</v>
      </c>
      <c r="K40" s="215" t="s">
        <v>2535</v>
      </c>
      <c r="L40" s="207" t="s">
        <v>2651</v>
      </c>
      <c r="M40" s="215" t="s">
        <v>497</v>
      </c>
      <c r="N40" s="165" t="s">
        <v>2554</v>
      </c>
      <c r="O40" s="232">
        <v>39080.25</v>
      </c>
      <c r="P40" s="214"/>
      <c r="Q40" s="214"/>
      <c r="R40" s="214"/>
      <c r="S40" s="214"/>
      <c r="T40" s="214"/>
      <c r="U40" s="214"/>
      <c r="V40" s="214"/>
      <c r="W40" s="214"/>
      <c r="X40" s="214"/>
      <c r="Y40" s="214"/>
      <c r="Z40" s="214"/>
      <c r="AA40" s="214"/>
    </row>
    <row r="41" ht="33.75" customHeight="1">
      <c r="A41" s="190" t="str">
        <f>HYPERLINK("https://drive.google.com/open?id=0B6Vr5nVC58V5Rmhvdl9GUkFpcXdJUmtSbVBGNTRDNVlMRDJF","33492")</f>
        <v>33492</v>
      </c>
      <c r="B41" s="204" t="s">
        <v>14</v>
      </c>
      <c r="C41" s="165">
        <v>2720.0</v>
      </c>
      <c r="D41" s="215" t="s">
        <v>2652</v>
      </c>
      <c r="E41" s="207" t="s">
        <v>2653</v>
      </c>
      <c r="F41" s="216">
        <v>43769.0</v>
      </c>
      <c r="G41" s="170">
        <v>43767.0</v>
      </c>
      <c r="H41" s="165" t="s">
        <v>1747</v>
      </c>
      <c r="I41" s="231">
        <v>43773.0</v>
      </c>
      <c r="J41" s="215" t="s">
        <v>2535</v>
      </c>
      <c r="K41" s="215" t="s">
        <v>2535</v>
      </c>
      <c r="L41" s="207" t="s">
        <v>2654</v>
      </c>
      <c r="M41" s="215" t="s">
        <v>497</v>
      </c>
      <c r="N41" s="165" t="s">
        <v>2554</v>
      </c>
      <c r="O41" s="232">
        <v>19230.4</v>
      </c>
      <c r="P41" s="214"/>
      <c r="Q41" s="214"/>
      <c r="R41" s="214"/>
      <c r="S41" s="214"/>
      <c r="T41" s="214"/>
      <c r="U41" s="214"/>
      <c r="V41" s="214"/>
      <c r="W41" s="214"/>
      <c r="X41" s="214"/>
      <c r="Y41" s="214"/>
      <c r="Z41" s="214"/>
      <c r="AA41" s="214"/>
    </row>
    <row r="42" ht="33.75" customHeight="1">
      <c r="A42" s="205" t="str">
        <f>HYPERLINK("https://drive.google.com/open?id=0B6Vr5nVC58V5Z3FiNHNsbk9VN1FkNHZlcnpMci1IM2dnazN3","33557")</f>
        <v>33557</v>
      </c>
      <c r="B42" s="204" t="s">
        <v>14</v>
      </c>
      <c r="C42" s="165">
        <v>1800.0</v>
      </c>
      <c r="D42" s="165" t="s">
        <v>2655</v>
      </c>
      <c r="E42" s="207" t="s">
        <v>2656</v>
      </c>
      <c r="F42" s="216">
        <v>43766.0</v>
      </c>
      <c r="G42" s="220">
        <v>43762.0</v>
      </c>
      <c r="H42" s="191" t="s">
        <v>1747</v>
      </c>
      <c r="I42" s="234">
        <v>43769.0</v>
      </c>
      <c r="J42" s="215" t="s">
        <v>2535</v>
      </c>
      <c r="K42" s="215" t="s">
        <v>2535</v>
      </c>
      <c r="L42" s="235" t="s">
        <v>2657</v>
      </c>
      <c r="M42" s="215"/>
      <c r="N42" s="165"/>
      <c r="O42" s="232"/>
      <c r="P42" s="214"/>
      <c r="Q42" s="214"/>
      <c r="R42" s="214"/>
      <c r="S42" s="214"/>
      <c r="T42" s="214"/>
      <c r="U42" s="214"/>
      <c r="V42" s="214"/>
      <c r="W42" s="214"/>
      <c r="X42" s="214"/>
      <c r="Y42" s="214"/>
      <c r="Z42" s="214"/>
      <c r="AA42" s="214"/>
    </row>
    <row r="43" ht="33.75" customHeight="1">
      <c r="A43" s="190" t="str">
        <f>HYPERLINK("https://drive.google.com/open?id=0B6Vr5nVC58V5UnJhSzNJMlJXLVVSeUZjSUFNV3ZjdDNNRGFn","33798")</f>
        <v>33798</v>
      </c>
      <c r="B43" s="204" t="s">
        <v>25</v>
      </c>
      <c r="C43" s="165">
        <v>1182.0</v>
      </c>
      <c r="D43" s="215" t="s">
        <v>2658</v>
      </c>
      <c r="E43" s="207" t="s">
        <v>2559</v>
      </c>
      <c r="F43" s="216">
        <v>43765.0</v>
      </c>
      <c r="G43" s="209">
        <v>43760.0</v>
      </c>
      <c r="H43" s="204" t="s">
        <v>1747</v>
      </c>
      <c r="I43" s="231">
        <v>43777.0</v>
      </c>
      <c r="J43" s="215" t="s">
        <v>2535</v>
      </c>
      <c r="K43" s="215" t="s">
        <v>2535</v>
      </c>
      <c r="L43" s="212" t="s">
        <v>2659</v>
      </c>
      <c r="M43" s="215"/>
      <c r="N43" s="165"/>
      <c r="O43" s="232"/>
      <c r="P43" s="214"/>
      <c r="Q43" s="214"/>
      <c r="R43" s="214"/>
      <c r="S43" s="214"/>
      <c r="T43" s="214"/>
      <c r="U43" s="214"/>
      <c r="V43" s="214"/>
      <c r="W43" s="214"/>
      <c r="X43" s="214"/>
      <c r="Y43" s="214"/>
      <c r="Z43" s="214"/>
      <c r="AA43" s="214"/>
    </row>
    <row r="44" ht="41.25" customHeight="1">
      <c r="A44" s="190" t="str">
        <f>HYPERLINK("https://drive.google.com/open?id=0B6Vr5nVC58V5U21scUtXMjdPdlBzODFlbkRLeDgycVltZHNz","33601")</f>
        <v>33601</v>
      </c>
      <c r="B44" s="204" t="s">
        <v>21</v>
      </c>
      <c r="C44" s="165">
        <v>1160.0</v>
      </c>
      <c r="D44" s="215" t="s">
        <v>2660</v>
      </c>
      <c r="E44" s="207" t="s">
        <v>2661</v>
      </c>
      <c r="F44" s="216">
        <v>43765.0</v>
      </c>
      <c r="G44" s="209">
        <v>43761.0</v>
      </c>
      <c r="H44" s="165" t="s">
        <v>1747</v>
      </c>
      <c r="I44" s="231">
        <v>43767.0</v>
      </c>
      <c r="J44" s="204" t="s">
        <v>2662</v>
      </c>
      <c r="K44" s="215" t="s">
        <v>2526</v>
      </c>
      <c r="L44" s="207" t="s">
        <v>2663</v>
      </c>
      <c r="M44" s="215" t="s">
        <v>497</v>
      </c>
      <c r="N44" s="165" t="s">
        <v>2554</v>
      </c>
      <c r="O44" s="232">
        <v>31865.2</v>
      </c>
      <c r="P44" s="214"/>
      <c r="Q44" s="214"/>
      <c r="R44" s="214"/>
      <c r="S44" s="214"/>
      <c r="T44" s="214"/>
      <c r="U44" s="214"/>
      <c r="V44" s="214"/>
      <c r="W44" s="214"/>
      <c r="X44" s="214"/>
      <c r="Y44" s="214"/>
      <c r="Z44" s="214"/>
      <c r="AA44" s="214"/>
    </row>
    <row r="45" ht="39.75" customHeight="1">
      <c r="A45" s="205" t="str">
        <f>HYPERLINK("https://drive.google.com/open?id=0B6Vr5nVC58V5eS1Zd2VBV296VDh2ZWZQMnJQanZmd183X3FN","33393")</f>
        <v>33393</v>
      </c>
      <c r="B45" s="215" t="s">
        <v>25</v>
      </c>
      <c r="C45" s="165">
        <v>377.0</v>
      </c>
      <c r="D45" s="191" t="s">
        <v>2664</v>
      </c>
      <c r="E45" s="207" t="s">
        <v>2665</v>
      </c>
      <c r="F45" s="233">
        <v>43765.0</v>
      </c>
      <c r="G45" s="209">
        <v>43761.0</v>
      </c>
      <c r="H45" s="165" t="s">
        <v>1747</v>
      </c>
      <c r="I45" s="231">
        <v>43769.0</v>
      </c>
      <c r="J45" s="215" t="s">
        <v>2535</v>
      </c>
      <c r="K45" s="215" t="s">
        <v>2535</v>
      </c>
      <c r="L45" s="235" t="s">
        <v>2666</v>
      </c>
      <c r="M45" s="215" t="s">
        <v>497</v>
      </c>
      <c r="N45" s="165" t="s">
        <v>2667</v>
      </c>
      <c r="O45" s="232">
        <v>17067.32</v>
      </c>
      <c r="P45" s="214"/>
      <c r="Q45" s="214"/>
      <c r="R45" s="214"/>
      <c r="S45" s="214"/>
      <c r="T45" s="214"/>
      <c r="U45" s="214"/>
      <c r="V45" s="214"/>
      <c r="W45" s="214"/>
      <c r="X45" s="214"/>
      <c r="Y45" s="214"/>
      <c r="Z45" s="214"/>
      <c r="AA45" s="214"/>
    </row>
    <row r="46" ht="33.75" customHeight="1">
      <c r="A46" s="190" t="str">
        <f>HYPERLINK("https://drive.google.com/open?id=0B6Vr5nVC58V5SDhvNnpJNG9QQTFWVEtpUXdoajQ1OFZqV3hz","33728")</f>
        <v>33728</v>
      </c>
      <c r="B46" s="204" t="s">
        <v>14</v>
      </c>
      <c r="C46" s="165">
        <v>1010.0</v>
      </c>
      <c r="D46" s="191" t="s">
        <v>2668</v>
      </c>
      <c r="E46" s="207" t="s">
        <v>2669</v>
      </c>
      <c r="F46" s="216">
        <v>43764.0</v>
      </c>
      <c r="G46" s="220">
        <v>43756.0</v>
      </c>
      <c r="H46" s="215" t="s">
        <v>1747</v>
      </c>
      <c r="I46" s="234">
        <v>43766.0</v>
      </c>
      <c r="J46" s="215" t="s">
        <v>2535</v>
      </c>
      <c r="K46" s="215" t="s">
        <v>2535</v>
      </c>
      <c r="L46" s="207" t="s">
        <v>2670</v>
      </c>
      <c r="M46" s="215"/>
      <c r="N46" s="165"/>
      <c r="O46" s="232"/>
      <c r="P46" s="214"/>
      <c r="Q46" s="214"/>
      <c r="R46" s="214"/>
      <c r="S46" s="214"/>
      <c r="T46" s="214"/>
      <c r="U46" s="214"/>
      <c r="V46" s="214"/>
      <c r="W46" s="214"/>
      <c r="X46" s="214"/>
      <c r="Y46" s="214"/>
      <c r="Z46" s="214"/>
      <c r="AA46" s="214"/>
    </row>
    <row r="47" ht="33.75" customHeight="1">
      <c r="A47" s="190" t="str">
        <f>HYPERLINK("https://drive.google.com/open?id=0B6Vr5nVC58V5ZjdSR25Wa2Y0NFU5ejdOSnVZbVk5TUswbXpn","33729")</f>
        <v>33729</v>
      </c>
      <c r="B47" s="204" t="s">
        <v>14</v>
      </c>
      <c r="C47" s="165">
        <v>1150.0</v>
      </c>
      <c r="D47" s="215" t="s">
        <v>2671</v>
      </c>
      <c r="E47" s="198" t="s">
        <v>2672</v>
      </c>
      <c r="F47" s="216">
        <v>43763.0</v>
      </c>
      <c r="G47" s="209">
        <v>43760.0</v>
      </c>
      <c r="H47" s="165" t="s">
        <v>1747</v>
      </c>
      <c r="I47" s="231">
        <v>43769.0</v>
      </c>
      <c r="J47" s="215" t="s">
        <v>2535</v>
      </c>
      <c r="K47" s="215" t="s">
        <v>2535</v>
      </c>
      <c r="L47" s="212" t="s">
        <v>2673</v>
      </c>
      <c r="M47" s="215"/>
      <c r="N47" s="165"/>
      <c r="O47" s="232"/>
      <c r="P47" s="214"/>
      <c r="Q47" s="214"/>
      <c r="R47" s="214"/>
      <c r="S47" s="214"/>
      <c r="T47" s="214"/>
      <c r="U47" s="214"/>
      <c r="V47" s="214"/>
      <c r="W47" s="214"/>
      <c r="X47" s="214"/>
      <c r="Y47" s="214"/>
      <c r="Z47" s="214"/>
      <c r="AA47" s="214"/>
    </row>
    <row r="48" ht="33.75" customHeight="1">
      <c r="A48" s="190" t="str">
        <f>HYPERLINK("https://drive.google.com/open?id=0B6Vr5nVC58V5bVZaUkpjZUxoSzZIOTFudko2ZE5SOUNuNnNF","33727")</f>
        <v>33727</v>
      </c>
      <c r="B48" s="204" t="s">
        <v>14</v>
      </c>
      <c r="C48" s="165">
        <v>930.0</v>
      </c>
      <c r="D48" s="191" t="s">
        <v>2674</v>
      </c>
      <c r="E48" s="207" t="s">
        <v>2559</v>
      </c>
      <c r="F48" s="216">
        <v>43762.0</v>
      </c>
      <c r="G48" s="220">
        <v>43756.0</v>
      </c>
      <c r="H48" s="215" t="s">
        <v>1747</v>
      </c>
      <c r="I48" s="234">
        <v>43768.0</v>
      </c>
      <c r="J48" s="215" t="s">
        <v>2535</v>
      </c>
      <c r="K48" s="215" t="s">
        <v>2535</v>
      </c>
      <c r="L48" s="207" t="s">
        <v>2675</v>
      </c>
      <c r="M48" s="215"/>
      <c r="N48" s="165"/>
      <c r="O48" s="232"/>
      <c r="P48" s="214"/>
      <c r="Q48" s="214"/>
      <c r="R48" s="214"/>
      <c r="S48" s="214"/>
      <c r="T48" s="214"/>
      <c r="U48" s="214"/>
      <c r="V48" s="214"/>
      <c r="W48" s="214"/>
      <c r="X48" s="214"/>
      <c r="Y48" s="214"/>
      <c r="Z48" s="214"/>
      <c r="AA48" s="214"/>
    </row>
    <row r="49" ht="33.75" customHeight="1">
      <c r="A49" s="190" t="str">
        <f>HYPERLINK("https://drive.google.com/open?id=0B6Vr5nVC58V5MHI0cm1uNzE3cDJtbjJtVnloSzhuNi1ybEEw","33499")</f>
        <v>33499</v>
      </c>
      <c r="B49" s="204" t="s">
        <v>25</v>
      </c>
      <c r="C49" s="165">
        <v>1701.0</v>
      </c>
      <c r="D49" s="191" t="s">
        <v>2676</v>
      </c>
      <c r="E49" s="207" t="s">
        <v>2677</v>
      </c>
      <c r="F49" s="216">
        <v>43761.0</v>
      </c>
      <c r="G49" s="220">
        <v>43760.0</v>
      </c>
      <c r="H49" s="215" t="s">
        <v>1747</v>
      </c>
      <c r="I49" s="234">
        <v>43767.0</v>
      </c>
      <c r="J49" s="215" t="s">
        <v>2535</v>
      </c>
      <c r="K49" s="215" t="s">
        <v>2535</v>
      </c>
      <c r="L49" s="207" t="s">
        <v>2678</v>
      </c>
      <c r="M49" s="215" t="s">
        <v>497</v>
      </c>
      <c r="N49" s="165" t="s">
        <v>2554</v>
      </c>
      <c r="O49" s="232">
        <v>43610.57</v>
      </c>
      <c r="P49" s="214"/>
      <c r="Q49" s="214"/>
      <c r="R49" s="214"/>
      <c r="S49" s="214"/>
      <c r="T49" s="214"/>
      <c r="U49" s="214"/>
      <c r="V49" s="214"/>
      <c r="W49" s="214"/>
      <c r="X49" s="214"/>
      <c r="Y49" s="214"/>
      <c r="Z49" s="214"/>
      <c r="AA49" s="214"/>
    </row>
    <row r="50" ht="33.75" customHeight="1">
      <c r="A50" s="205" t="str">
        <f>HYPERLINK("https://drive.google.com/open?id=0B6Vr5nVC58V5MmRNVno2UnF6RUR1Q240dy1FVUtvQkdScEZz","33418")</f>
        <v>33418</v>
      </c>
      <c r="B50" s="204" t="s">
        <v>21</v>
      </c>
      <c r="C50" s="165">
        <v>652.0</v>
      </c>
      <c r="D50" s="215" t="s">
        <v>2679</v>
      </c>
      <c r="E50" s="212" t="s">
        <v>2543</v>
      </c>
      <c r="F50" s="216">
        <v>43760.0</v>
      </c>
      <c r="G50" s="209">
        <v>43756.0</v>
      </c>
      <c r="H50" s="165" t="s">
        <v>1747</v>
      </c>
      <c r="I50" s="231">
        <v>43761.0</v>
      </c>
      <c r="J50" s="204" t="s">
        <v>2680</v>
      </c>
      <c r="K50" s="215" t="s">
        <v>2531</v>
      </c>
      <c r="L50" s="207" t="s">
        <v>2681</v>
      </c>
      <c r="M50" s="215" t="s">
        <v>2545</v>
      </c>
      <c r="N50" s="165" t="s">
        <v>2546</v>
      </c>
      <c r="O50" s="232">
        <v>36944.3</v>
      </c>
      <c r="P50" s="214"/>
      <c r="Q50" s="214"/>
      <c r="R50" s="214"/>
      <c r="S50" s="214"/>
      <c r="T50" s="214"/>
      <c r="U50" s="214"/>
      <c r="V50" s="214"/>
      <c r="W50" s="214"/>
      <c r="X50" s="214"/>
      <c r="Y50" s="214"/>
      <c r="Z50" s="214"/>
      <c r="AA50" s="214"/>
    </row>
    <row r="51" ht="33.75" customHeight="1">
      <c r="A51" s="205" t="str">
        <f>HYPERLINK("https://drive.google.com/open?id=0B6Vr5nVC58V5WjZ5Q19rLTVvbEhMSFJGeEViNEZBTzUzbjQ0","33501")</f>
        <v>33501</v>
      </c>
      <c r="B51" s="204" t="s">
        <v>25</v>
      </c>
      <c r="C51" s="165">
        <v>1980.0</v>
      </c>
      <c r="D51" s="215" t="s">
        <v>2682</v>
      </c>
      <c r="E51" s="207" t="s">
        <v>2543</v>
      </c>
      <c r="F51" s="216">
        <v>43758.0</v>
      </c>
      <c r="G51" s="209">
        <v>43753.0</v>
      </c>
      <c r="H51" s="165" t="s">
        <v>1747</v>
      </c>
      <c r="I51" s="231">
        <v>43762.0</v>
      </c>
      <c r="J51" s="215" t="s">
        <v>2535</v>
      </c>
      <c r="K51" s="215" t="s">
        <v>2535</v>
      </c>
      <c r="L51" s="207" t="s">
        <v>2683</v>
      </c>
      <c r="M51" s="215" t="s">
        <v>2545</v>
      </c>
      <c r="N51" s="165" t="s">
        <v>2546</v>
      </c>
      <c r="O51" s="232">
        <v>97042.68</v>
      </c>
      <c r="P51" s="214"/>
      <c r="Q51" s="214"/>
      <c r="R51" s="214"/>
      <c r="S51" s="214"/>
      <c r="T51" s="214"/>
      <c r="U51" s="214"/>
      <c r="V51" s="214"/>
      <c r="W51" s="214"/>
      <c r="X51" s="214"/>
      <c r="Y51" s="214"/>
      <c r="Z51" s="214"/>
      <c r="AA51" s="214"/>
    </row>
    <row r="52" ht="33.75" customHeight="1">
      <c r="A52" s="241" t="str">
        <f>HYPERLINK("https://drive.google.com/open?id=0B6Vr5nVC58V5RHdkS2RtQjJCdzk2MUliM2JGV2cwMThKQ1JJ","33726")</f>
        <v>33726</v>
      </c>
      <c r="B52" s="204" t="s">
        <v>21</v>
      </c>
      <c r="C52" s="165">
        <v>1535.0</v>
      </c>
      <c r="D52" s="191" t="s">
        <v>2684</v>
      </c>
      <c r="E52" s="207" t="s">
        <v>2685</v>
      </c>
      <c r="F52" s="216">
        <v>43758.0</v>
      </c>
      <c r="G52" s="209">
        <v>43753.0</v>
      </c>
      <c r="H52" s="165" t="s">
        <v>1747</v>
      </c>
      <c r="I52" s="231">
        <v>43766.0</v>
      </c>
      <c r="J52" s="204" t="s">
        <v>2686</v>
      </c>
      <c r="K52" s="215" t="s">
        <v>2526</v>
      </c>
      <c r="L52" s="207" t="s">
        <v>2687</v>
      </c>
      <c r="M52" s="215"/>
      <c r="N52" s="165"/>
      <c r="O52" s="232"/>
      <c r="P52" s="214"/>
      <c r="Q52" s="214"/>
      <c r="R52" s="214"/>
      <c r="S52" s="214"/>
      <c r="T52" s="214"/>
      <c r="U52" s="214"/>
      <c r="V52" s="214"/>
      <c r="W52" s="214"/>
      <c r="X52" s="214"/>
      <c r="Y52" s="214"/>
      <c r="Z52" s="214"/>
      <c r="AA52" s="214"/>
    </row>
    <row r="53" ht="33.75" customHeight="1">
      <c r="A53" s="190" t="str">
        <f>HYPERLINK("https://drive.google.com/open?id=0B6Vr5nVC58V5NVdLRGlZN0FTekhtU01NZ0MtcEtmQW9aQXhN","33685")</f>
        <v>33685</v>
      </c>
      <c r="B53" s="204" t="s">
        <v>14</v>
      </c>
      <c r="C53" s="165">
        <v>225.0</v>
      </c>
      <c r="D53" s="165" t="s">
        <v>2688</v>
      </c>
      <c r="E53" s="207" t="s">
        <v>2689</v>
      </c>
      <c r="F53" s="216">
        <v>43756.0</v>
      </c>
      <c r="G53" s="220">
        <v>43754.0</v>
      </c>
      <c r="H53" s="215" t="s">
        <v>1747</v>
      </c>
      <c r="I53" s="234">
        <v>43761.0</v>
      </c>
      <c r="J53" s="215" t="s">
        <v>2535</v>
      </c>
      <c r="K53" s="215" t="s">
        <v>2535</v>
      </c>
      <c r="L53" s="207" t="s">
        <v>2690</v>
      </c>
      <c r="M53" s="215"/>
      <c r="N53" s="165"/>
      <c r="O53" s="232"/>
      <c r="P53" s="214"/>
      <c r="Q53" s="214"/>
      <c r="R53" s="214"/>
      <c r="S53" s="214"/>
      <c r="T53" s="214"/>
      <c r="U53" s="214"/>
      <c r="V53" s="214"/>
      <c r="W53" s="214"/>
      <c r="X53" s="214"/>
      <c r="Y53" s="214"/>
      <c r="Z53" s="214"/>
      <c r="AA53" s="214"/>
    </row>
    <row r="54" ht="33.75" customHeight="1">
      <c r="A54" s="190" t="str">
        <f>HYPERLINK("https://drive.google.com/open?id=0B6Vr5nVC58V5QTBZWExNeVFuaHF5c3gwMzRKOXpFMUFHdjcw","33745")</f>
        <v>33745</v>
      </c>
      <c r="B54" s="215" t="s">
        <v>21</v>
      </c>
      <c r="C54" s="191">
        <v>930.0</v>
      </c>
      <c r="D54" s="191" t="s">
        <v>2691</v>
      </c>
      <c r="E54" s="207" t="s">
        <v>331</v>
      </c>
      <c r="F54" s="233">
        <v>43754.0</v>
      </c>
      <c r="G54" s="220">
        <v>43753.0</v>
      </c>
      <c r="H54" s="191" t="s">
        <v>1747</v>
      </c>
      <c r="I54" s="234">
        <v>43759.0</v>
      </c>
      <c r="J54" s="204" t="s">
        <v>2692</v>
      </c>
      <c r="K54" s="215" t="s">
        <v>2526</v>
      </c>
      <c r="L54" s="235" t="s">
        <v>2693</v>
      </c>
      <c r="M54" s="215"/>
      <c r="N54" s="165"/>
      <c r="O54" s="232"/>
      <c r="P54" s="214"/>
      <c r="Q54" s="214"/>
      <c r="R54" s="214"/>
      <c r="S54" s="214"/>
      <c r="T54" s="214"/>
      <c r="U54" s="214"/>
      <c r="V54" s="214"/>
      <c r="W54" s="214"/>
      <c r="X54" s="214"/>
      <c r="Y54" s="214"/>
      <c r="Z54" s="214"/>
      <c r="AA54" s="214"/>
    </row>
    <row r="55" ht="33.75" customHeight="1">
      <c r="A55" s="190" t="str">
        <f>HYPERLINK("https://drive.google.com/open?id=0B6Vr5nVC58V5RHB3bjFMVS04a2ZpMThlZG8wS0QwdjdJblpZ","33496")</f>
        <v>33496</v>
      </c>
      <c r="B55" s="204" t="s">
        <v>25</v>
      </c>
      <c r="C55" s="165">
        <v>2100.0</v>
      </c>
      <c r="D55" s="215" t="s">
        <v>2694</v>
      </c>
      <c r="E55" s="207" t="s">
        <v>2695</v>
      </c>
      <c r="F55" s="200">
        <v>43754.0</v>
      </c>
      <c r="G55" s="209">
        <v>43749.0</v>
      </c>
      <c r="H55" s="165" t="s">
        <v>1747</v>
      </c>
      <c r="I55" s="231">
        <v>43759.0</v>
      </c>
      <c r="J55" s="215" t="s">
        <v>2535</v>
      </c>
      <c r="K55" s="215" t="s">
        <v>2535</v>
      </c>
      <c r="L55" s="207" t="s">
        <v>2696</v>
      </c>
      <c r="M55" s="215" t="s">
        <v>497</v>
      </c>
      <c r="N55" s="165" t="s">
        <v>2554</v>
      </c>
      <c r="O55" s="232">
        <v>28812.0</v>
      </c>
      <c r="P55" s="214"/>
      <c r="Q55" s="214"/>
      <c r="R55" s="214"/>
      <c r="S55" s="214"/>
      <c r="T55" s="214"/>
      <c r="U55" s="214"/>
      <c r="V55" s="214"/>
      <c r="W55" s="214"/>
      <c r="X55" s="214"/>
      <c r="Y55" s="214"/>
      <c r="Z55" s="214"/>
      <c r="AA55" s="214"/>
    </row>
    <row r="56" ht="33.75" customHeight="1">
      <c r="A56" s="190" t="str">
        <f>HYPERLINK("https://drive.google.com/open?id=0B6Vr5nVC58V5cEx2TzdIaWNFcXBJYmNCRWhBRTJzRXdOSmpn","33744")</f>
        <v>33744</v>
      </c>
      <c r="B56" s="215" t="s">
        <v>14</v>
      </c>
      <c r="C56" s="191">
        <v>1700.0</v>
      </c>
      <c r="D56" s="191" t="s">
        <v>2697</v>
      </c>
      <c r="E56" s="207" t="s">
        <v>2698</v>
      </c>
      <c r="F56" s="233">
        <v>43753.0</v>
      </c>
      <c r="G56" s="209">
        <v>43748.0</v>
      </c>
      <c r="H56" s="165" t="s">
        <v>1747</v>
      </c>
      <c r="I56" s="231">
        <v>43761.0</v>
      </c>
      <c r="J56" s="215" t="s">
        <v>2535</v>
      </c>
      <c r="K56" s="215" t="s">
        <v>2535</v>
      </c>
      <c r="L56" s="235" t="s">
        <v>2699</v>
      </c>
      <c r="M56" s="215"/>
      <c r="N56" s="165"/>
      <c r="O56" s="232"/>
      <c r="P56" s="214"/>
      <c r="Q56" s="214"/>
      <c r="R56" s="214"/>
      <c r="S56" s="214"/>
      <c r="T56" s="214"/>
      <c r="U56" s="214"/>
      <c r="V56" s="214"/>
      <c r="W56" s="214"/>
      <c r="X56" s="214"/>
      <c r="Y56" s="214"/>
      <c r="Z56" s="214"/>
      <c r="AA56" s="214"/>
    </row>
    <row r="57" ht="33.75" customHeight="1">
      <c r="A57" s="190" t="str">
        <f>HYPERLINK("https://drive.google.com/open?id=0B6Vr5nVC58V5QWNHT20xY2Q4SWdVZVREVm01Z0tjYTdmLXg0","33724")</f>
        <v>33724</v>
      </c>
      <c r="B57" s="215" t="s">
        <v>14</v>
      </c>
      <c r="C57" s="191">
        <v>930.0</v>
      </c>
      <c r="D57" s="191" t="s">
        <v>2700</v>
      </c>
      <c r="E57" s="212" t="s">
        <v>331</v>
      </c>
      <c r="F57" s="193">
        <v>43753.0</v>
      </c>
      <c r="G57" s="209">
        <v>43749.0</v>
      </c>
      <c r="H57" s="165" t="s">
        <v>1747</v>
      </c>
      <c r="I57" s="231">
        <v>43760.0</v>
      </c>
      <c r="J57" s="215" t="s">
        <v>2535</v>
      </c>
      <c r="K57" s="215" t="s">
        <v>2535</v>
      </c>
      <c r="L57" s="235" t="s">
        <v>2701</v>
      </c>
      <c r="M57" s="215"/>
      <c r="N57" s="165"/>
      <c r="O57" s="232"/>
      <c r="P57" s="214"/>
      <c r="Q57" s="214"/>
      <c r="R57" s="214"/>
      <c r="S57" s="214"/>
      <c r="T57" s="214"/>
      <c r="U57" s="214"/>
      <c r="V57" s="214"/>
      <c r="W57" s="214"/>
      <c r="X57" s="214"/>
      <c r="Y57" s="214"/>
      <c r="Z57" s="214"/>
      <c r="AA57" s="214"/>
    </row>
    <row r="58" ht="33.75" customHeight="1">
      <c r="A58" s="205" t="str">
        <f>HYPERLINK("https://drive.google.com/open?id=0B6Vr5nVC58V5cmhzQ0JaZjkyZGFGX0M1bkh6Vlp2YU1vRFpR","33495")</f>
        <v>33495</v>
      </c>
      <c r="B58" s="204" t="s">
        <v>14</v>
      </c>
      <c r="C58" s="165">
        <v>2100.0</v>
      </c>
      <c r="D58" s="215" t="s">
        <v>2702</v>
      </c>
      <c r="E58" s="207" t="s">
        <v>2703</v>
      </c>
      <c r="F58" s="216">
        <v>43752.0</v>
      </c>
      <c r="G58" s="209">
        <v>43747.0</v>
      </c>
      <c r="H58" s="165" t="s">
        <v>1747</v>
      </c>
      <c r="I58" s="231">
        <v>43760.0</v>
      </c>
      <c r="J58" s="215" t="s">
        <v>2535</v>
      </c>
      <c r="K58" s="215" t="s">
        <v>2535</v>
      </c>
      <c r="L58" s="207" t="s">
        <v>2704</v>
      </c>
      <c r="M58" s="215" t="s">
        <v>497</v>
      </c>
      <c r="N58" s="165" t="s">
        <v>2554</v>
      </c>
      <c r="O58" s="232">
        <v>28812.0</v>
      </c>
      <c r="P58" s="214"/>
      <c r="Q58" s="214"/>
      <c r="R58" s="214"/>
      <c r="S58" s="214"/>
      <c r="T58" s="214"/>
      <c r="U58" s="214"/>
      <c r="V58" s="214"/>
      <c r="W58" s="214"/>
      <c r="X58" s="214"/>
      <c r="Y58" s="214"/>
      <c r="Z58" s="214"/>
      <c r="AA58" s="214"/>
    </row>
    <row r="59" ht="33.75" customHeight="1">
      <c r="A59" s="205" t="str">
        <f>HYPERLINK("https://drive.google.com/open?id=0B6Vr5nVC58V5aDNiWDYzTjFrbWd3YVp2WFV1NEItLU9oZ05r","33469")</f>
        <v>33469</v>
      </c>
      <c r="B59" s="204" t="s">
        <v>14</v>
      </c>
      <c r="C59" s="165">
        <v>1290.0</v>
      </c>
      <c r="D59" s="215" t="s">
        <v>2705</v>
      </c>
      <c r="E59" s="207" t="s">
        <v>2706</v>
      </c>
      <c r="F59" s="216">
        <v>43752.0</v>
      </c>
      <c r="G59" s="209">
        <v>43747.0</v>
      </c>
      <c r="H59" s="165" t="s">
        <v>1747</v>
      </c>
      <c r="I59" s="231">
        <v>43759.0</v>
      </c>
      <c r="J59" s="215" t="s">
        <v>2535</v>
      </c>
      <c r="K59" s="215" t="s">
        <v>2535</v>
      </c>
      <c r="L59" s="207" t="s">
        <v>2707</v>
      </c>
      <c r="M59" s="215" t="s">
        <v>497</v>
      </c>
      <c r="N59" s="165" t="s">
        <v>2554</v>
      </c>
      <c r="O59" s="232">
        <v>46204.58</v>
      </c>
      <c r="P59" s="214"/>
      <c r="Q59" s="214"/>
      <c r="R59" s="214"/>
      <c r="S59" s="214"/>
      <c r="T59" s="214"/>
      <c r="U59" s="214"/>
      <c r="V59" s="214"/>
      <c r="W59" s="214"/>
      <c r="X59" s="214"/>
      <c r="Y59" s="214"/>
      <c r="Z59" s="214"/>
      <c r="AA59" s="214"/>
    </row>
    <row r="60" ht="33.75" customHeight="1">
      <c r="A60" s="205" t="str">
        <f>HYPERLINK("https://drive.google.com/open?id=0B6Vr5nVC58V5empyT1VKNXB3U2hhTExOUC1LbmQ0am5uWWFv","33494")</f>
        <v>33494</v>
      </c>
      <c r="B60" s="204" t="s">
        <v>21</v>
      </c>
      <c r="C60" s="165">
        <v>2100.0</v>
      </c>
      <c r="D60" s="215" t="s">
        <v>2708</v>
      </c>
      <c r="E60" s="207" t="s">
        <v>2709</v>
      </c>
      <c r="F60" s="216">
        <v>43751.0</v>
      </c>
      <c r="G60" s="209">
        <v>43746.0</v>
      </c>
      <c r="H60" s="165" t="s">
        <v>1747</v>
      </c>
      <c r="I60" s="231">
        <v>43755.0</v>
      </c>
      <c r="J60" s="204" t="s">
        <v>2710</v>
      </c>
      <c r="K60" s="215" t="s">
        <v>2526</v>
      </c>
      <c r="L60" s="212" t="s">
        <v>2711</v>
      </c>
      <c r="M60" s="215" t="s">
        <v>497</v>
      </c>
      <c r="N60" s="165" t="s">
        <v>2554</v>
      </c>
      <c r="O60" s="232">
        <v>28812.0</v>
      </c>
      <c r="P60" s="214"/>
      <c r="Q60" s="214"/>
      <c r="R60" s="214"/>
      <c r="S60" s="214"/>
      <c r="T60" s="214"/>
      <c r="U60" s="214"/>
      <c r="V60" s="214"/>
      <c r="W60" s="214"/>
      <c r="X60" s="214"/>
      <c r="Y60" s="214"/>
      <c r="Z60" s="214"/>
      <c r="AA60" s="214"/>
    </row>
    <row r="61" ht="33.75" customHeight="1">
      <c r="A61" s="205" t="str">
        <f>HYPERLINK("https://drive.google.com/open?id=0B6Vr5nVC58V5TVpIYWJwTnRnbGpLQ1dkYzIxZmNMbnBSMjdz","33498")</f>
        <v>33498</v>
      </c>
      <c r="B61" s="204" t="s">
        <v>21</v>
      </c>
      <c r="C61" s="165">
        <v>2100.0</v>
      </c>
      <c r="D61" s="215" t="s">
        <v>2712</v>
      </c>
      <c r="E61" s="207" t="s">
        <v>2713</v>
      </c>
      <c r="F61" s="216">
        <v>43751.0</v>
      </c>
      <c r="G61" s="209">
        <v>43747.0</v>
      </c>
      <c r="H61" s="165" t="s">
        <v>1747</v>
      </c>
      <c r="I61" s="231">
        <v>43755.0</v>
      </c>
      <c r="J61" s="204" t="s">
        <v>2714</v>
      </c>
      <c r="K61" s="215" t="s">
        <v>2526</v>
      </c>
      <c r="L61" s="207" t="s">
        <v>2715</v>
      </c>
      <c r="M61" s="215" t="s">
        <v>497</v>
      </c>
      <c r="N61" s="165" t="s">
        <v>2554</v>
      </c>
      <c r="O61" s="232">
        <v>39155.25</v>
      </c>
      <c r="P61" s="214"/>
      <c r="Q61" s="214"/>
      <c r="R61" s="214"/>
      <c r="S61" s="214"/>
      <c r="T61" s="214"/>
      <c r="U61" s="214"/>
      <c r="V61" s="214"/>
      <c r="W61" s="214"/>
      <c r="X61" s="214"/>
      <c r="Y61" s="214"/>
      <c r="Z61" s="214"/>
      <c r="AA61" s="214"/>
    </row>
    <row r="62" ht="33.75" customHeight="1">
      <c r="A62" s="204">
        <v>33452.0</v>
      </c>
      <c r="B62" s="204" t="s">
        <v>21</v>
      </c>
      <c r="C62" s="191">
        <v>1875.0</v>
      </c>
      <c r="D62" s="215" t="s">
        <v>2716</v>
      </c>
      <c r="E62" s="207" t="s">
        <v>2717</v>
      </c>
      <c r="F62" s="216">
        <v>43749.0</v>
      </c>
      <c r="G62" s="209">
        <v>43748.0</v>
      </c>
      <c r="H62" s="165" t="s">
        <v>1747</v>
      </c>
      <c r="I62" s="231">
        <v>43752.0</v>
      </c>
      <c r="J62" s="204" t="s">
        <v>2718</v>
      </c>
      <c r="K62" s="215" t="s">
        <v>2531</v>
      </c>
      <c r="L62" s="207" t="s">
        <v>2719</v>
      </c>
      <c r="M62" s="215"/>
      <c r="N62" s="165"/>
      <c r="O62" s="232"/>
      <c r="P62" s="214"/>
      <c r="Q62" s="214"/>
      <c r="R62" s="214"/>
      <c r="S62" s="214"/>
      <c r="T62" s="214"/>
      <c r="U62" s="214"/>
      <c r="V62" s="214"/>
      <c r="W62" s="214"/>
      <c r="X62" s="214"/>
      <c r="Y62" s="214"/>
      <c r="Z62" s="214"/>
      <c r="AA62" s="214"/>
    </row>
    <row r="63" ht="33.75" customHeight="1">
      <c r="A63" s="205" t="str">
        <f>HYPERLINK("https://drive.google.com/open?id=0B6Vr5nVC58V5NmVoYTd1WlNteW5jX3ZLTGtWX1Qyc3pjN0d3","33459")</f>
        <v>33459</v>
      </c>
      <c r="B63" s="204" t="s">
        <v>14</v>
      </c>
      <c r="C63" s="165">
        <v>1160.0</v>
      </c>
      <c r="D63" s="215" t="s">
        <v>2720</v>
      </c>
      <c r="E63" s="212" t="s">
        <v>2721</v>
      </c>
      <c r="F63" s="216">
        <v>43749.0</v>
      </c>
      <c r="G63" s="209">
        <v>43745.0</v>
      </c>
      <c r="H63" s="165" t="s">
        <v>1747</v>
      </c>
      <c r="I63" s="231">
        <v>43755.0</v>
      </c>
      <c r="J63" s="215" t="s">
        <v>2535</v>
      </c>
      <c r="K63" s="215" t="s">
        <v>2535</v>
      </c>
      <c r="L63" s="207" t="s">
        <v>2722</v>
      </c>
      <c r="M63" s="215" t="s">
        <v>497</v>
      </c>
      <c r="N63" s="165" t="s">
        <v>2554</v>
      </c>
      <c r="O63" s="232">
        <v>31865.2</v>
      </c>
      <c r="P63" s="214"/>
      <c r="Q63" s="214"/>
      <c r="R63" s="214"/>
      <c r="S63" s="214"/>
      <c r="T63" s="214"/>
      <c r="U63" s="214"/>
      <c r="V63" s="214"/>
      <c r="W63" s="214"/>
      <c r="X63" s="214"/>
      <c r="Y63" s="214"/>
      <c r="Z63" s="214"/>
      <c r="AA63" s="214"/>
    </row>
    <row r="64" ht="33.75" customHeight="1">
      <c r="A64" s="205" t="str">
        <f>HYPERLINK("https://drive.google.com/open?id=0B6Vr5nVC58V5aUxyckpWU1hydEtXZTl1VUc3bGlCTkpuclZN","33456")</f>
        <v>33456</v>
      </c>
      <c r="B64" s="204" t="s">
        <v>14</v>
      </c>
      <c r="C64" s="165">
        <v>2100.0</v>
      </c>
      <c r="D64" s="215" t="s">
        <v>2723</v>
      </c>
      <c r="E64" s="207" t="s">
        <v>2724</v>
      </c>
      <c r="F64" s="216">
        <v>43749.0</v>
      </c>
      <c r="G64" s="209">
        <v>43745.0</v>
      </c>
      <c r="H64" s="165" t="s">
        <v>1747</v>
      </c>
      <c r="I64" s="231">
        <v>43756.0</v>
      </c>
      <c r="J64" s="215" t="s">
        <v>2535</v>
      </c>
      <c r="K64" s="215" t="s">
        <v>2535</v>
      </c>
      <c r="L64" s="207" t="s">
        <v>2725</v>
      </c>
      <c r="M64" s="215" t="s">
        <v>497</v>
      </c>
      <c r="N64" s="165" t="s">
        <v>2554</v>
      </c>
      <c r="O64" s="232">
        <v>28812.0</v>
      </c>
      <c r="P64" s="214"/>
      <c r="Q64" s="214"/>
      <c r="R64" s="214"/>
      <c r="S64" s="214"/>
      <c r="T64" s="214"/>
      <c r="U64" s="214"/>
      <c r="V64" s="214"/>
      <c r="W64" s="214"/>
      <c r="X64" s="214"/>
      <c r="Y64" s="214"/>
      <c r="Z64" s="214"/>
      <c r="AA64" s="214"/>
    </row>
    <row r="65" ht="33.75" customHeight="1">
      <c r="A65" s="205" t="str">
        <f>HYPERLINK("https://drive.google.com/open?id=0B6Vr5nVC58V5d2EtUVluNWxnYlVWYmZQZmNJdzQ0TjBfQnJ3","33523")</f>
        <v>33523</v>
      </c>
      <c r="B65" s="204" t="s">
        <v>14</v>
      </c>
      <c r="C65" s="191">
        <v>320.0</v>
      </c>
      <c r="D65" s="165" t="s">
        <v>2726</v>
      </c>
      <c r="E65" s="207" t="s">
        <v>2727</v>
      </c>
      <c r="F65" s="216">
        <v>43747.0</v>
      </c>
      <c r="G65" s="220">
        <v>43745.0</v>
      </c>
      <c r="H65" s="165" t="s">
        <v>1747</v>
      </c>
      <c r="I65" s="234">
        <v>43754.0</v>
      </c>
      <c r="J65" s="215" t="s">
        <v>2535</v>
      </c>
      <c r="K65" s="215" t="s">
        <v>2535</v>
      </c>
      <c r="L65" s="242" t="s">
        <v>2728</v>
      </c>
      <c r="M65" s="215"/>
      <c r="N65" s="165"/>
      <c r="O65" s="232"/>
      <c r="P65" s="214"/>
      <c r="Q65" s="214"/>
      <c r="R65" s="214"/>
      <c r="S65" s="214"/>
      <c r="T65" s="214"/>
      <c r="U65" s="214"/>
      <c r="V65" s="214"/>
      <c r="W65" s="214"/>
      <c r="X65" s="214"/>
      <c r="Y65" s="214"/>
      <c r="Z65" s="214"/>
      <c r="AA65" s="214"/>
    </row>
    <row r="66" ht="33.75" customHeight="1">
      <c r="A66" s="205" t="str">
        <f>HYPERLINK("https://drive.google.com/open?id=0B6Vr5nVC58V5cDQ5emlZVmxRUUlXa0xQTDBtYnB2QXlFLVM4","33493")</f>
        <v>33493</v>
      </c>
      <c r="B66" s="204" t="s">
        <v>14</v>
      </c>
      <c r="C66" s="165">
        <v>1160.0</v>
      </c>
      <c r="D66" s="215" t="s">
        <v>2729</v>
      </c>
      <c r="E66" s="212" t="s">
        <v>2730</v>
      </c>
      <c r="F66" s="216">
        <v>43746.0</v>
      </c>
      <c r="G66" s="209">
        <v>43745.0</v>
      </c>
      <c r="H66" s="165" t="s">
        <v>1747</v>
      </c>
      <c r="I66" s="231">
        <v>43753.0</v>
      </c>
      <c r="J66" s="215" t="s">
        <v>2535</v>
      </c>
      <c r="K66" s="215" t="s">
        <v>2535</v>
      </c>
      <c r="L66" s="207" t="s">
        <v>2731</v>
      </c>
      <c r="M66" s="215" t="s">
        <v>497</v>
      </c>
      <c r="N66" s="165" t="s">
        <v>2554</v>
      </c>
      <c r="O66" s="232">
        <v>31865.2</v>
      </c>
      <c r="P66" s="214"/>
      <c r="Q66" s="214"/>
      <c r="R66" s="214"/>
      <c r="S66" s="214"/>
      <c r="T66" s="214"/>
      <c r="U66" s="214"/>
      <c r="V66" s="214"/>
      <c r="W66" s="214"/>
      <c r="X66" s="214"/>
      <c r="Y66" s="214"/>
      <c r="Z66" s="214"/>
      <c r="AA66" s="214"/>
    </row>
    <row r="67" ht="33.75" customHeight="1">
      <c r="A67" s="243" t="str">
        <f>HYPERLINK("https://drive.google.com/open?id=0B6Vr5nVC58V5anB0ZlR1d0JnMzJyNEJzLUkxaGdOQm1hd2dj","33668")</f>
        <v>33668</v>
      </c>
      <c r="B67" s="204" t="s">
        <v>21</v>
      </c>
      <c r="C67" s="165">
        <v>1074.0</v>
      </c>
      <c r="D67" s="215" t="s">
        <v>2732</v>
      </c>
      <c r="E67" s="207" t="s">
        <v>2733</v>
      </c>
      <c r="F67" s="216">
        <v>43745.0</v>
      </c>
      <c r="G67" s="220">
        <v>43741.0</v>
      </c>
      <c r="H67" s="165" t="s">
        <v>1747</v>
      </c>
      <c r="I67" s="231">
        <v>43753.0</v>
      </c>
      <c r="J67" s="204" t="s">
        <v>2734</v>
      </c>
      <c r="K67" s="215" t="s">
        <v>2526</v>
      </c>
      <c r="L67" s="212" t="s">
        <v>2735</v>
      </c>
      <c r="M67" s="215"/>
      <c r="N67" s="165"/>
      <c r="O67" s="232"/>
      <c r="P67" s="214"/>
      <c r="Q67" s="214"/>
      <c r="R67" s="214"/>
      <c r="S67" s="214"/>
      <c r="T67" s="214"/>
      <c r="U67" s="214"/>
      <c r="V67" s="214"/>
      <c r="W67" s="214"/>
      <c r="X67" s="214"/>
      <c r="Y67" s="214"/>
      <c r="Z67" s="214"/>
      <c r="AA67" s="214"/>
    </row>
    <row r="68" ht="33.75" customHeight="1">
      <c r="A68" s="190" t="str">
        <f>HYPERLINK("https://drive.google.com/open?id=0B6Vr5nVC58V5SkpQMExkZG80UmZHRkdlNW9reDJaVGJJUlVv","33677")</f>
        <v>33677</v>
      </c>
      <c r="B68" s="204" t="s">
        <v>21</v>
      </c>
      <c r="C68" s="165">
        <v>220.0</v>
      </c>
      <c r="D68" s="165" t="s">
        <v>2736</v>
      </c>
      <c r="E68" s="212" t="s">
        <v>2689</v>
      </c>
      <c r="F68" s="216">
        <v>43745.0</v>
      </c>
      <c r="G68" s="220">
        <v>43741.0</v>
      </c>
      <c r="H68" s="215" t="s">
        <v>1747</v>
      </c>
      <c r="I68" s="234">
        <v>43756.0</v>
      </c>
      <c r="J68" s="204" t="s">
        <v>2737</v>
      </c>
      <c r="K68" s="215" t="s">
        <v>2526</v>
      </c>
      <c r="L68" s="207" t="s">
        <v>2738</v>
      </c>
      <c r="M68" s="215"/>
      <c r="N68" s="165"/>
      <c r="O68" s="232"/>
      <c r="P68" s="214"/>
      <c r="Q68" s="214"/>
      <c r="R68" s="214"/>
      <c r="S68" s="214"/>
      <c r="T68" s="214"/>
      <c r="U68" s="214"/>
      <c r="V68" s="214"/>
      <c r="W68" s="214"/>
      <c r="X68" s="214"/>
      <c r="Y68" s="214"/>
      <c r="Z68" s="214"/>
      <c r="AA68" s="214"/>
    </row>
    <row r="69" ht="33.75" customHeight="1">
      <c r="A69" s="190" t="str">
        <f>HYPERLINK("https://drive.google.com/open?id=0B6Vr5nVC58V5LXJhWFJGUEtDZ0dpajZUTHJzbU4wM3d0QW1Z","33665")</f>
        <v>33665</v>
      </c>
      <c r="B69" s="204" t="s">
        <v>14</v>
      </c>
      <c r="C69" s="165">
        <v>1360.0</v>
      </c>
      <c r="D69" s="215" t="s">
        <v>2739</v>
      </c>
      <c r="E69" s="207" t="s">
        <v>2740</v>
      </c>
      <c r="F69" s="216">
        <v>43742.0</v>
      </c>
      <c r="G69" s="220">
        <v>43748.0</v>
      </c>
      <c r="H69" s="191" t="s">
        <v>1747</v>
      </c>
      <c r="I69" s="234">
        <v>43748.0</v>
      </c>
      <c r="J69" s="215" t="s">
        <v>2535</v>
      </c>
      <c r="K69" s="215" t="s">
        <v>2535</v>
      </c>
      <c r="L69" s="235" t="s">
        <v>2741</v>
      </c>
      <c r="M69" s="215"/>
      <c r="N69" s="165"/>
      <c r="O69" s="232"/>
      <c r="P69" s="214"/>
      <c r="Q69" s="214"/>
      <c r="R69" s="214"/>
      <c r="S69" s="214"/>
      <c r="T69" s="214"/>
      <c r="U69" s="214"/>
      <c r="V69" s="214"/>
      <c r="W69" s="214"/>
      <c r="X69" s="214"/>
      <c r="Y69" s="214"/>
      <c r="Z69" s="214"/>
      <c r="AA69" s="214"/>
    </row>
    <row r="70" ht="33.75" customHeight="1">
      <c r="A70" s="205" t="str">
        <f>HYPERLINK("https://drive.google.com/open?id=0B6Vr5nVC58V5cjFaeDFnc0xLUkxHV0sxUndseldtdmUxRU80","33088")</f>
        <v>33088</v>
      </c>
      <c r="B70" s="215" t="s">
        <v>14</v>
      </c>
      <c r="C70" s="191">
        <v>161.0</v>
      </c>
      <c r="D70" s="191" t="s">
        <v>2742</v>
      </c>
      <c r="E70" s="207" t="s">
        <v>2743</v>
      </c>
      <c r="F70" s="233">
        <v>43740.0</v>
      </c>
      <c r="G70" s="220">
        <v>43740.0</v>
      </c>
      <c r="H70" s="191" t="s">
        <v>1747</v>
      </c>
      <c r="I70" s="234">
        <v>43749.0</v>
      </c>
      <c r="J70" s="215" t="s">
        <v>2535</v>
      </c>
      <c r="K70" s="215" t="s">
        <v>2535</v>
      </c>
      <c r="L70" s="235" t="s">
        <v>2744</v>
      </c>
      <c r="M70" s="215"/>
      <c r="N70" s="165"/>
      <c r="O70" s="232"/>
      <c r="P70" s="214"/>
      <c r="Q70" s="214"/>
      <c r="R70" s="214"/>
      <c r="S70" s="214"/>
      <c r="T70" s="214"/>
      <c r="U70" s="214"/>
      <c r="V70" s="214"/>
      <c r="W70" s="214"/>
      <c r="X70" s="214"/>
      <c r="Y70" s="214"/>
      <c r="Z70" s="214"/>
      <c r="AA70" s="214"/>
    </row>
    <row r="71" ht="33.75" customHeight="1">
      <c r="A71" s="190" t="str">
        <f>HYPERLINK("https://drive.google.com/open?id=0B6Vr5nVC58V5Wmw1RmUtWmNzZG5aa3gycXJmZHl4MUJUME1B","NS2920")</f>
        <v>NS2920</v>
      </c>
      <c r="B71" s="204" t="s">
        <v>21</v>
      </c>
      <c r="C71" s="191">
        <v>162.0</v>
      </c>
      <c r="D71" s="215" t="s">
        <v>2745</v>
      </c>
      <c r="E71" s="207" t="s">
        <v>2746</v>
      </c>
      <c r="F71" s="216">
        <v>43740.0</v>
      </c>
      <c r="G71" s="209" t="s">
        <v>28</v>
      </c>
      <c r="H71" s="165" t="s">
        <v>1747</v>
      </c>
      <c r="I71" s="231">
        <v>43745.0</v>
      </c>
      <c r="J71" s="215" t="s">
        <v>2535</v>
      </c>
      <c r="K71" s="215" t="s">
        <v>2535</v>
      </c>
      <c r="L71" s="207" t="s">
        <v>2747</v>
      </c>
      <c r="M71" s="215" t="s">
        <v>497</v>
      </c>
      <c r="N71" s="165" t="s">
        <v>2667</v>
      </c>
      <c r="O71" s="232">
        <v>20094.9</v>
      </c>
      <c r="P71" s="214"/>
      <c r="Q71" s="214"/>
      <c r="R71" s="214"/>
      <c r="S71" s="214"/>
      <c r="T71" s="214"/>
      <c r="U71" s="214"/>
      <c r="V71" s="214"/>
      <c r="W71" s="214"/>
      <c r="X71" s="214"/>
      <c r="Y71" s="214"/>
      <c r="Z71" s="214"/>
      <c r="AA71" s="214"/>
    </row>
    <row r="72" ht="33.75" customHeight="1">
      <c r="A72" s="190" t="str">
        <f>HYPERLINK("https://drive.google.com/open?id=0B6Vr5nVC58V5RWRnRjFVNkpNNW55dmZQRk4yZy1HX1hCZ05F","33628")</f>
        <v>33628</v>
      </c>
      <c r="B72" s="204" t="s">
        <v>25</v>
      </c>
      <c r="C72" s="165">
        <v>180.0</v>
      </c>
      <c r="D72" s="215" t="s">
        <v>2748</v>
      </c>
      <c r="E72" s="207" t="s">
        <v>2644</v>
      </c>
      <c r="F72" s="216">
        <v>43740.0</v>
      </c>
      <c r="G72" s="209" t="s">
        <v>28</v>
      </c>
      <c r="H72" s="165" t="s">
        <v>1747</v>
      </c>
      <c r="I72" s="231">
        <v>43749.0</v>
      </c>
      <c r="J72" s="215" t="s">
        <v>2535</v>
      </c>
      <c r="K72" s="215" t="s">
        <v>2535</v>
      </c>
      <c r="L72" s="207" t="s">
        <v>2749</v>
      </c>
      <c r="M72" s="215" t="s">
        <v>2537</v>
      </c>
      <c r="N72" s="165" t="s">
        <v>2538</v>
      </c>
      <c r="O72" s="232">
        <v>50400.0</v>
      </c>
      <c r="P72" s="214"/>
      <c r="Q72" s="214"/>
      <c r="R72" s="214"/>
      <c r="S72" s="214"/>
      <c r="T72" s="214"/>
      <c r="U72" s="214"/>
      <c r="V72" s="214"/>
      <c r="W72" s="214"/>
      <c r="X72" s="214"/>
      <c r="Y72" s="214"/>
      <c r="Z72" s="214"/>
      <c r="AA72" s="214"/>
    </row>
    <row r="73" ht="33.75" customHeight="1">
      <c r="A73" s="205" t="str">
        <f>HYPERLINK("https://drive.google.com/open?id=0B6Vr5nVC58V5a001VjF3MjluNTI3bGtUM295bmMwaTlQVnUw","33395")</f>
        <v>33395</v>
      </c>
      <c r="B73" s="215" t="s">
        <v>14</v>
      </c>
      <c r="C73" s="165">
        <v>1056.0</v>
      </c>
      <c r="D73" s="191" t="s">
        <v>2750</v>
      </c>
      <c r="E73" s="207" t="s">
        <v>2751</v>
      </c>
      <c r="F73" s="233">
        <v>43739.0</v>
      </c>
      <c r="G73" s="233">
        <v>43732.0</v>
      </c>
      <c r="H73" s="215" t="s">
        <v>1747</v>
      </c>
      <c r="I73" s="231">
        <v>43742.0</v>
      </c>
      <c r="J73" s="215" t="s">
        <v>2535</v>
      </c>
      <c r="K73" s="215" t="s">
        <v>2535</v>
      </c>
      <c r="L73" s="235" t="s">
        <v>2752</v>
      </c>
      <c r="M73" s="215" t="s">
        <v>497</v>
      </c>
      <c r="N73" s="165" t="s">
        <v>2667</v>
      </c>
      <c r="O73" s="232">
        <v>43526.46</v>
      </c>
      <c r="P73" s="214"/>
      <c r="Q73" s="214"/>
      <c r="R73" s="214"/>
      <c r="S73" s="214"/>
      <c r="T73" s="214"/>
      <c r="U73" s="214"/>
      <c r="V73" s="214"/>
      <c r="W73" s="214"/>
      <c r="X73" s="214"/>
      <c r="Y73" s="214"/>
      <c r="Z73" s="214"/>
      <c r="AA73" s="214"/>
    </row>
    <row r="74" ht="33.75" customHeight="1">
      <c r="A74" s="190" t="str">
        <f>HYPERLINK("https://drive.google.com/open?id=0B6Vr5nVC58V5dFVxT1g0ZlVERjEtYU8tWEQzMkIybXlUU2Iw","33661")</f>
        <v>33661</v>
      </c>
      <c r="B74" s="204" t="s">
        <v>21</v>
      </c>
      <c r="C74" s="165">
        <v>1100.0</v>
      </c>
      <c r="D74" s="239" t="s">
        <v>2753</v>
      </c>
      <c r="E74" s="207" t="s">
        <v>2598</v>
      </c>
      <c r="F74" s="216">
        <v>43738.0</v>
      </c>
      <c r="G74" s="209">
        <v>43740.0</v>
      </c>
      <c r="H74" s="165" t="s">
        <v>1747</v>
      </c>
      <c r="I74" s="231">
        <v>43740.0</v>
      </c>
      <c r="J74" s="204" t="s">
        <v>2754</v>
      </c>
      <c r="K74" s="215" t="s">
        <v>2755</v>
      </c>
      <c r="L74" s="207" t="s">
        <v>2756</v>
      </c>
      <c r="M74" s="215"/>
      <c r="N74" s="165"/>
      <c r="O74" s="232"/>
      <c r="P74" s="214"/>
      <c r="Q74" s="214"/>
      <c r="R74" s="214"/>
      <c r="S74" s="214"/>
      <c r="T74" s="214"/>
      <c r="U74" s="214"/>
      <c r="V74" s="214"/>
      <c r="W74" s="214"/>
      <c r="X74" s="214"/>
      <c r="Y74" s="214"/>
      <c r="Z74" s="214"/>
      <c r="AA74" s="214"/>
    </row>
    <row r="75" ht="33.75" customHeight="1">
      <c r="A75" s="190" t="str">
        <f>HYPERLINK("https://drive.google.com/open?id=0B6Vr5nVC58V5NUd3azExVkVfX3NrU01GODRDOUgwOFFwdDJF","33468")</f>
        <v>33468</v>
      </c>
      <c r="B75" s="204" t="s">
        <v>21</v>
      </c>
      <c r="C75" s="165">
        <v>1290.0</v>
      </c>
      <c r="D75" s="215" t="s">
        <v>2757</v>
      </c>
      <c r="E75" s="207" t="s">
        <v>2758</v>
      </c>
      <c r="F75" s="216">
        <v>43737.0</v>
      </c>
      <c r="G75" s="209">
        <v>43732.0</v>
      </c>
      <c r="H75" s="165" t="s">
        <v>1747</v>
      </c>
      <c r="I75" s="231">
        <v>43741.0</v>
      </c>
      <c r="J75" s="204" t="s">
        <v>2759</v>
      </c>
      <c r="K75" s="215" t="s">
        <v>2526</v>
      </c>
      <c r="L75" s="212" t="s">
        <v>2760</v>
      </c>
      <c r="M75" s="215" t="s">
        <v>497</v>
      </c>
      <c r="N75" s="165" t="s">
        <v>2554</v>
      </c>
      <c r="O75" s="232">
        <v>46204.58</v>
      </c>
      <c r="P75" s="214"/>
      <c r="Q75" s="214"/>
      <c r="R75" s="214"/>
      <c r="S75" s="214"/>
      <c r="T75" s="214"/>
      <c r="U75" s="214"/>
      <c r="V75" s="214"/>
      <c r="W75" s="214"/>
      <c r="X75" s="214"/>
      <c r="Y75" s="214"/>
      <c r="Z75" s="214"/>
      <c r="AA75" s="214"/>
    </row>
    <row r="76" ht="33.75" customHeight="1">
      <c r="A76" s="190" t="str">
        <f>HYPERLINK("https://drive.google.com/open?id=0B6Vr5nVC58V5dzVsZnhCMTlhNW8xVGRQVGZuSkw3eG44YUEw","33667")</f>
        <v>33667</v>
      </c>
      <c r="B76" s="204" t="s">
        <v>21</v>
      </c>
      <c r="C76" s="165">
        <v>310.0</v>
      </c>
      <c r="D76" s="215" t="s">
        <v>2761</v>
      </c>
      <c r="E76" s="207" t="s">
        <v>2762</v>
      </c>
      <c r="F76" s="216">
        <v>43737.0</v>
      </c>
      <c r="G76" s="209">
        <v>43746.0</v>
      </c>
      <c r="H76" s="165" t="s">
        <v>1747</v>
      </c>
      <c r="I76" s="231">
        <v>43745.0</v>
      </c>
      <c r="J76" s="204" t="s">
        <v>2763</v>
      </c>
      <c r="K76" s="215" t="s">
        <v>2531</v>
      </c>
      <c r="L76" s="207" t="s">
        <v>2764</v>
      </c>
      <c r="M76" s="215"/>
      <c r="N76" s="165"/>
      <c r="O76" s="232"/>
      <c r="P76" s="214"/>
      <c r="Q76" s="214"/>
      <c r="R76" s="214"/>
      <c r="S76" s="214"/>
      <c r="T76" s="214"/>
      <c r="U76" s="214"/>
      <c r="V76" s="214"/>
      <c r="W76" s="214"/>
      <c r="X76" s="214"/>
      <c r="Y76" s="214"/>
      <c r="Z76" s="214"/>
      <c r="AA76" s="214"/>
    </row>
    <row r="77" ht="33.75" customHeight="1">
      <c r="A77" s="190" t="str">
        <f>HYPERLINK("https://drive.google.com/open?id=0B6Vr5nVC58V5bHlMR3RTeU5aMzdZaVBJbzdUZFU2TTFkYVFF","33416")</f>
        <v>33416</v>
      </c>
      <c r="B77" s="204" t="s">
        <v>25</v>
      </c>
      <c r="C77" s="165">
        <v>1728.0</v>
      </c>
      <c r="D77" s="215" t="s">
        <v>2765</v>
      </c>
      <c r="E77" s="207" t="s">
        <v>2543</v>
      </c>
      <c r="F77" s="216">
        <v>43735.0</v>
      </c>
      <c r="G77" s="209">
        <v>43739.0</v>
      </c>
      <c r="H77" s="191" t="s">
        <v>1747</v>
      </c>
      <c r="I77" s="231">
        <v>43739.0</v>
      </c>
      <c r="J77" s="215" t="s">
        <v>2535</v>
      </c>
      <c r="K77" s="215" t="s">
        <v>2535</v>
      </c>
      <c r="L77" s="207" t="s">
        <v>2766</v>
      </c>
      <c r="M77" s="215" t="s">
        <v>2545</v>
      </c>
      <c r="N77" s="165" t="s">
        <v>2546</v>
      </c>
      <c r="O77" s="232">
        <v>91792.81</v>
      </c>
      <c r="P77" s="214"/>
      <c r="Q77" s="214"/>
      <c r="R77" s="214"/>
      <c r="S77" s="214"/>
      <c r="T77" s="214"/>
      <c r="U77" s="214"/>
      <c r="V77" s="214"/>
      <c r="W77" s="214"/>
      <c r="X77" s="214"/>
      <c r="Y77" s="214"/>
      <c r="Z77" s="214"/>
      <c r="AA77" s="214"/>
    </row>
    <row r="78" ht="33.75" customHeight="1">
      <c r="A78" s="243" t="str">
        <f>HYPERLINK("https://drive.google.com/open?id=0B6Vr5nVC58V5ZkliRHJTTWE5dmtUQXN4WUFvQkF4YXc4dzlF","33660")</f>
        <v>33660</v>
      </c>
      <c r="B78" s="204" t="s">
        <v>14</v>
      </c>
      <c r="C78" s="165">
        <v>1074.0</v>
      </c>
      <c r="D78" s="191" t="s">
        <v>2767</v>
      </c>
      <c r="E78" s="212" t="s">
        <v>2669</v>
      </c>
      <c r="F78" s="216">
        <v>43733.0</v>
      </c>
      <c r="G78" s="220">
        <v>43731.0</v>
      </c>
      <c r="H78" s="191" t="s">
        <v>1747</v>
      </c>
      <c r="I78" s="234">
        <v>43738.0</v>
      </c>
      <c r="J78" s="215" t="s">
        <v>2535</v>
      </c>
      <c r="K78" s="215" t="s">
        <v>2535</v>
      </c>
      <c r="L78" s="242" t="s">
        <v>2768</v>
      </c>
      <c r="M78" s="215"/>
      <c r="N78" s="165"/>
      <c r="O78" s="232"/>
      <c r="P78" s="214"/>
      <c r="Q78" s="214"/>
      <c r="R78" s="214"/>
      <c r="S78" s="214"/>
      <c r="T78" s="214"/>
      <c r="U78" s="214"/>
      <c r="V78" s="214"/>
      <c r="W78" s="214"/>
      <c r="X78" s="214"/>
      <c r="Y78" s="214"/>
      <c r="Z78" s="214"/>
      <c r="AA78" s="214"/>
    </row>
    <row r="79" ht="33.75" customHeight="1">
      <c r="A79" s="190" t="str">
        <f>HYPERLINK("https://drive.google.com/open?id=0B6Vr5nVC58V5MmhYNU9mSWtXS0JjTEVyUlZiZzVsMExLd2NB","33628")</f>
        <v>33628</v>
      </c>
      <c r="B79" s="204" t="s">
        <v>25</v>
      </c>
      <c r="C79" s="165">
        <v>145.0</v>
      </c>
      <c r="D79" s="215" t="s">
        <v>2769</v>
      </c>
      <c r="E79" s="207" t="s">
        <v>2770</v>
      </c>
      <c r="F79" s="216">
        <v>43733.0</v>
      </c>
      <c r="G79" s="209" t="s">
        <v>28</v>
      </c>
      <c r="H79" s="191" t="s">
        <v>1747</v>
      </c>
      <c r="I79" s="231">
        <v>43741.0</v>
      </c>
      <c r="J79" s="215" t="s">
        <v>2535</v>
      </c>
      <c r="K79" s="215" t="s">
        <v>2535</v>
      </c>
      <c r="L79" s="207" t="s">
        <v>2771</v>
      </c>
      <c r="M79" s="215" t="s">
        <v>2537</v>
      </c>
      <c r="N79" s="165" t="s">
        <v>2538</v>
      </c>
      <c r="O79" s="232">
        <v>33640.0</v>
      </c>
      <c r="P79" s="214"/>
      <c r="Q79" s="214"/>
      <c r="R79" s="214"/>
      <c r="S79" s="214"/>
      <c r="T79" s="214"/>
      <c r="U79" s="214"/>
      <c r="V79" s="214"/>
      <c r="W79" s="214"/>
      <c r="X79" s="214"/>
      <c r="Y79" s="214"/>
      <c r="Z79" s="214"/>
      <c r="AA79" s="214"/>
    </row>
    <row r="80" ht="33.75" customHeight="1">
      <c r="A80" s="190" t="str">
        <f>HYPERLINK("https://drive.google.com/open?id=0B6Vr5nVC58V5VHZsVEw5M0lGM3NfREJqVUtIU041dEw2Zldj","33597")</f>
        <v>33597</v>
      </c>
      <c r="B80" s="204" t="s">
        <v>14</v>
      </c>
      <c r="C80" s="165">
        <v>930.0</v>
      </c>
      <c r="D80" s="215" t="s">
        <v>2772</v>
      </c>
      <c r="E80" s="212" t="s">
        <v>331</v>
      </c>
      <c r="F80" s="216">
        <v>43730.0</v>
      </c>
      <c r="G80" s="220">
        <v>43724.0</v>
      </c>
      <c r="H80" s="191" t="s">
        <v>1747</v>
      </c>
      <c r="I80" s="234">
        <v>43732.0</v>
      </c>
      <c r="J80" s="215" t="s">
        <v>2535</v>
      </c>
      <c r="K80" s="215" t="s">
        <v>2535</v>
      </c>
      <c r="L80" s="244" t="s">
        <v>2773</v>
      </c>
      <c r="M80" s="215"/>
      <c r="N80" s="165"/>
      <c r="O80" s="232"/>
      <c r="P80" s="214"/>
      <c r="Q80" s="214"/>
      <c r="R80" s="214"/>
      <c r="S80" s="214"/>
      <c r="T80" s="214"/>
      <c r="U80" s="214"/>
      <c r="V80" s="214"/>
      <c r="W80" s="214"/>
      <c r="X80" s="214"/>
      <c r="Y80" s="214"/>
      <c r="Z80" s="214"/>
      <c r="AA80" s="214"/>
    </row>
    <row r="81" ht="33.75" customHeight="1">
      <c r="A81" s="205" t="str">
        <f>HYPERLINK("https://drive.google.com/open?id=0B6Vr5nVC58V5Sjc0SDduRFhHaHZyZXc0RldSRC1McmRSMERV","33457")</f>
        <v>33457</v>
      </c>
      <c r="B81" s="204" t="s">
        <v>14</v>
      </c>
      <c r="C81" s="165">
        <v>1160.0</v>
      </c>
      <c r="D81" s="215" t="s">
        <v>2774</v>
      </c>
      <c r="E81" s="207" t="s">
        <v>2775</v>
      </c>
      <c r="F81" s="216">
        <v>43728.0</v>
      </c>
      <c r="G81" s="209">
        <v>43724.0</v>
      </c>
      <c r="H81" s="165" t="s">
        <v>1747</v>
      </c>
      <c r="I81" s="231">
        <v>43733.0</v>
      </c>
      <c r="J81" s="215" t="s">
        <v>2535</v>
      </c>
      <c r="K81" s="215" t="s">
        <v>2535</v>
      </c>
      <c r="L81" s="212" t="s">
        <v>2776</v>
      </c>
      <c r="M81" s="215" t="s">
        <v>497</v>
      </c>
      <c r="N81" s="165" t="s">
        <v>2554</v>
      </c>
      <c r="O81" s="232">
        <v>31865.2</v>
      </c>
      <c r="P81" s="214"/>
      <c r="Q81" s="214"/>
      <c r="R81" s="214"/>
      <c r="S81" s="214"/>
      <c r="T81" s="214"/>
      <c r="U81" s="214"/>
      <c r="V81" s="214"/>
      <c r="W81" s="214"/>
      <c r="X81" s="214"/>
      <c r="Y81" s="214"/>
      <c r="Z81" s="214"/>
      <c r="AA81" s="214"/>
    </row>
    <row r="82" ht="33.75" customHeight="1">
      <c r="A82" s="205" t="str">
        <f>HYPERLINK("https://drive.google.com/open?id=0B6Vr5nVC58V5UGdqS0hWQ1VYQjcxUnN6Y0Q2OWZWbWhZSkhz","33520")</f>
        <v>33520</v>
      </c>
      <c r="B82" s="204" t="s">
        <v>21</v>
      </c>
      <c r="C82" s="191">
        <v>487.0</v>
      </c>
      <c r="D82" s="215" t="s">
        <v>2777</v>
      </c>
      <c r="E82" s="207" t="s">
        <v>2778</v>
      </c>
      <c r="F82" s="216">
        <v>43726.0</v>
      </c>
      <c r="G82" s="209">
        <v>43724.0</v>
      </c>
      <c r="H82" s="165" t="s">
        <v>1747</v>
      </c>
      <c r="I82" s="231">
        <v>43731.0</v>
      </c>
      <c r="J82" s="204" t="s">
        <v>2779</v>
      </c>
      <c r="K82" s="215" t="s">
        <v>2531</v>
      </c>
      <c r="L82" s="207" t="s">
        <v>2780</v>
      </c>
      <c r="M82" s="215"/>
      <c r="N82" s="165"/>
      <c r="O82" s="232"/>
      <c r="P82" s="214"/>
      <c r="Q82" s="214"/>
      <c r="R82" s="214"/>
      <c r="S82" s="214"/>
      <c r="T82" s="214"/>
      <c r="U82" s="214"/>
      <c r="V82" s="214"/>
      <c r="W82" s="214"/>
      <c r="X82" s="214"/>
      <c r="Y82" s="214"/>
      <c r="Z82" s="214"/>
      <c r="AA82" s="214"/>
    </row>
    <row r="83" ht="33.75" customHeight="1">
      <c r="A83" s="190" t="str">
        <f>HYPERLINK("https://drive.google.com/open?id=0B6Vr5nVC58V5TEdyTktYZzJPY001ejE3U2N4WjBfRnZRQkxj","33109")</f>
        <v>33109</v>
      </c>
      <c r="B83" s="204" t="s">
        <v>21</v>
      </c>
      <c r="C83" s="165">
        <v>508.0</v>
      </c>
      <c r="D83" s="215" t="s">
        <v>2781</v>
      </c>
      <c r="E83" s="207" t="s">
        <v>2782</v>
      </c>
      <c r="F83" s="216">
        <v>43723.0</v>
      </c>
      <c r="G83" s="209">
        <v>43720.0</v>
      </c>
      <c r="H83" s="165" t="s">
        <v>1747</v>
      </c>
      <c r="I83" s="231">
        <v>43725.0</v>
      </c>
      <c r="J83" s="215" t="s">
        <v>2783</v>
      </c>
      <c r="K83" s="215" t="s">
        <v>2531</v>
      </c>
      <c r="L83" s="207" t="s">
        <v>2784</v>
      </c>
      <c r="M83" s="215" t="s">
        <v>497</v>
      </c>
      <c r="N83" s="165" t="s">
        <v>2604</v>
      </c>
      <c r="O83" s="232">
        <v>31310.0</v>
      </c>
      <c r="P83" s="214"/>
      <c r="Q83" s="214"/>
      <c r="R83" s="214"/>
      <c r="S83" s="214"/>
      <c r="T83" s="214"/>
      <c r="U83" s="214"/>
      <c r="V83" s="214"/>
      <c r="W83" s="214"/>
      <c r="X83" s="214"/>
      <c r="Y83" s="214"/>
      <c r="Z83" s="214"/>
      <c r="AA83" s="214"/>
    </row>
    <row r="84" ht="33.75" customHeight="1">
      <c r="A84" s="205" t="str">
        <f>HYPERLINK("https://drive.google.com/open?id=0B6Vr5nVC58V5aUp1UmUxYWRUN3FvQVpVa2psR0xiRnMyY25F","33409")</f>
        <v>33409</v>
      </c>
      <c r="B84" s="204" t="s">
        <v>21</v>
      </c>
      <c r="C84" s="165">
        <v>2720.0</v>
      </c>
      <c r="D84" s="215" t="s">
        <v>2785</v>
      </c>
      <c r="E84" s="207" t="s">
        <v>2786</v>
      </c>
      <c r="F84" s="216">
        <v>43723.0</v>
      </c>
      <c r="G84" s="209">
        <v>43719.0</v>
      </c>
      <c r="H84" s="165" t="s">
        <v>1747</v>
      </c>
      <c r="I84" s="231">
        <v>43726.0</v>
      </c>
      <c r="J84" s="204" t="s">
        <v>2787</v>
      </c>
      <c r="K84" s="215" t="s">
        <v>2755</v>
      </c>
      <c r="L84" s="207" t="s">
        <v>2788</v>
      </c>
      <c r="M84" s="215" t="s">
        <v>497</v>
      </c>
      <c r="N84" s="165" t="s">
        <v>2554</v>
      </c>
      <c r="O84" s="232">
        <v>18686.4</v>
      </c>
      <c r="P84" s="214"/>
      <c r="Q84" s="214"/>
      <c r="R84" s="214"/>
      <c r="S84" s="214"/>
      <c r="T84" s="214"/>
      <c r="U84" s="214"/>
      <c r="V84" s="214"/>
      <c r="W84" s="214"/>
      <c r="X84" s="214"/>
      <c r="Y84" s="214"/>
      <c r="Z84" s="214"/>
      <c r="AA84" s="214"/>
    </row>
    <row r="85" ht="33.75" customHeight="1">
      <c r="A85" s="190" t="str">
        <f>HYPERLINK("https://drive.google.com/open?id=0B6Vr5nVC58V5UDFZYlRWWkYyTG5sU1hHWEF0eFBkaVhjTGhJ","33634")</f>
        <v>33634</v>
      </c>
      <c r="B85" s="204" t="s">
        <v>25</v>
      </c>
      <c r="C85" s="165">
        <v>1182.0</v>
      </c>
      <c r="D85" s="239" t="s">
        <v>2789</v>
      </c>
      <c r="E85" s="207" t="s">
        <v>2790</v>
      </c>
      <c r="F85" s="216">
        <v>43721.0</v>
      </c>
      <c r="G85" s="220">
        <v>43725.0</v>
      </c>
      <c r="H85" s="191" t="s">
        <v>1747</v>
      </c>
      <c r="I85" s="234">
        <v>43727.0</v>
      </c>
      <c r="J85" s="215" t="s">
        <v>2535</v>
      </c>
      <c r="K85" s="215" t="s">
        <v>2535</v>
      </c>
      <c r="L85" s="235" t="s">
        <v>2791</v>
      </c>
      <c r="M85" s="215"/>
      <c r="N85" s="165"/>
      <c r="O85" s="232"/>
      <c r="P85" s="214"/>
      <c r="Q85" s="214"/>
      <c r="R85" s="214"/>
      <c r="S85" s="214"/>
      <c r="T85" s="214"/>
      <c r="U85" s="214"/>
      <c r="V85" s="214"/>
      <c r="W85" s="214"/>
      <c r="X85" s="214"/>
      <c r="Y85" s="214"/>
      <c r="Z85" s="214"/>
      <c r="AA85" s="214"/>
    </row>
    <row r="86" ht="33.75" customHeight="1">
      <c r="A86" s="190" t="str">
        <f>HYPERLINK("https://drive.google.com/open?id=0B6Vr5nVC58V5VTltdFpGcTZQaW9FUTA1NUhhVFhHbk5Od1ZJ","33401")</f>
        <v>33401</v>
      </c>
      <c r="B86" s="204" t="s">
        <v>14</v>
      </c>
      <c r="C86" s="165">
        <v>2100.0</v>
      </c>
      <c r="D86" s="215" t="s">
        <v>2792</v>
      </c>
      <c r="E86" s="207" t="s">
        <v>2793</v>
      </c>
      <c r="F86" s="216">
        <v>43720.0</v>
      </c>
      <c r="G86" s="209">
        <v>43717.0</v>
      </c>
      <c r="H86" s="165" t="s">
        <v>1747</v>
      </c>
      <c r="I86" s="231">
        <v>43727.0</v>
      </c>
      <c r="J86" s="215" t="s">
        <v>2535</v>
      </c>
      <c r="K86" s="215" t="s">
        <v>2535</v>
      </c>
      <c r="L86" s="207" t="s">
        <v>2794</v>
      </c>
      <c r="M86" s="215" t="s">
        <v>497</v>
      </c>
      <c r="N86" s="165" t="s">
        <v>2554</v>
      </c>
      <c r="O86" s="232">
        <v>39005.25</v>
      </c>
      <c r="P86" s="214"/>
      <c r="Q86" s="214"/>
      <c r="R86" s="214"/>
      <c r="S86" s="214"/>
      <c r="T86" s="214"/>
      <c r="U86" s="214"/>
      <c r="V86" s="214"/>
      <c r="W86" s="214"/>
      <c r="X86" s="214"/>
      <c r="Y86" s="214"/>
      <c r="Z86" s="214"/>
      <c r="AA86" s="214"/>
    </row>
    <row r="87" ht="33.75" customHeight="1">
      <c r="A87" s="190" t="str">
        <f>HYPERLINK("https://drive.google.com/open?id=0B6Vr5nVC58V5MEd5R1k0QlY5RHN4RlFVNnY3RFlKY1c1WXBR","33402")</f>
        <v>33402</v>
      </c>
      <c r="B87" s="204" t="s">
        <v>25</v>
      </c>
      <c r="C87" s="165">
        <v>1290.0</v>
      </c>
      <c r="D87" s="215" t="s">
        <v>2795</v>
      </c>
      <c r="E87" s="207" t="s">
        <v>2758</v>
      </c>
      <c r="F87" s="216">
        <v>43720.0</v>
      </c>
      <c r="G87" s="209">
        <v>43720.0</v>
      </c>
      <c r="H87" s="165" t="s">
        <v>1747</v>
      </c>
      <c r="I87" s="231">
        <v>43725.0</v>
      </c>
      <c r="J87" s="215" t="s">
        <v>2535</v>
      </c>
      <c r="K87" s="215" t="s">
        <v>2535</v>
      </c>
      <c r="L87" s="207" t="s">
        <v>2796</v>
      </c>
      <c r="M87" s="215" t="s">
        <v>497</v>
      </c>
      <c r="N87" s="165" t="s">
        <v>2554</v>
      </c>
      <c r="O87" s="232">
        <v>45667.31</v>
      </c>
      <c r="P87" s="214"/>
      <c r="Q87" s="214"/>
      <c r="R87" s="214"/>
      <c r="S87" s="214"/>
      <c r="T87" s="214"/>
      <c r="U87" s="214"/>
      <c r="V87" s="214"/>
      <c r="W87" s="214"/>
      <c r="X87" s="214"/>
      <c r="Y87" s="214"/>
      <c r="Z87" s="214"/>
      <c r="AA87" s="214"/>
    </row>
    <row r="88" ht="33.75" customHeight="1">
      <c r="A88" s="190" t="str">
        <f>HYPERLINK("https://drive.google.com/open?id=0B6Vr5nVC58V5MGtGUV96Sm13X3RYMk90ekZpbzVmVGUxM19Z","33403")</f>
        <v>33403</v>
      </c>
      <c r="B88" s="204" t="s">
        <v>14</v>
      </c>
      <c r="C88" s="165">
        <v>1290.0</v>
      </c>
      <c r="D88" s="215" t="s">
        <v>2797</v>
      </c>
      <c r="E88" s="207" t="s">
        <v>2758</v>
      </c>
      <c r="F88" s="216">
        <v>43720.0</v>
      </c>
      <c r="G88" s="209">
        <v>43714.0</v>
      </c>
      <c r="H88" s="165" t="s">
        <v>1747</v>
      </c>
      <c r="I88" s="231">
        <v>43725.0</v>
      </c>
      <c r="J88" s="215" t="s">
        <v>2535</v>
      </c>
      <c r="K88" s="215" t="s">
        <v>2535</v>
      </c>
      <c r="L88" s="207" t="s">
        <v>2798</v>
      </c>
      <c r="M88" s="215" t="s">
        <v>497</v>
      </c>
      <c r="N88" s="165" t="s">
        <v>2554</v>
      </c>
      <c r="O88" s="232">
        <v>46204.58</v>
      </c>
      <c r="P88" s="214"/>
      <c r="Q88" s="214"/>
      <c r="R88" s="214"/>
      <c r="S88" s="214"/>
      <c r="T88" s="214"/>
      <c r="U88" s="214"/>
      <c r="V88" s="214"/>
      <c r="W88" s="214"/>
      <c r="X88" s="214"/>
      <c r="Y88" s="214"/>
      <c r="Z88" s="214"/>
      <c r="AA88" s="214"/>
    </row>
    <row r="89" ht="33.75" customHeight="1">
      <c r="A89" s="205" t="str">
        <f>HYPERLINK("https://drive.google.com/open?id=0B6Vr5nVC58V5NzAxR3lTb21MbENKQXVfRllKZVFpeXp4TDNN","33467")</f>
        <v>33467</v>
      </c>
      <c r="B89" s="204" t="s">
        <v>25</v>
      </c>
      <c r="C89" s="165">
        <v>2101.0</v>
      </c>
      <c r="D89" s="215" t="s">
        <v>2799</v>
      </c>
      <c r="E89" s="212" t="s">
        <v>2713</v>
      </c>
      <c r="F89" s="216">
        <v>43720.0</v>
      </c>
      <c r="G89" s="220">
        <v>43720.0</v>
      </c>
      <c r="H89" s="191" t="s">
        <v>1747</v>
      </c>
      <c r="I89" s="234">
        <v>43727.0</v>
      </c>
      <c r="J89" s="215" t="s">
        <v>2535</v>
      </c>
      <c r="K89" s="215" t="s">
        <v>2535</v>
      </c>
      <c r="L89" s="212" t="s">
        <v>2800</v>
      </c>
      <c r="M89" s="215" t="s">
        <v>497</v>
      </c>
      <c r="N89" s="165" t="s">
        <v>2554</v>
      </c>
      <c r="O89" s="232">
        <v>39325.25</v>
      </c>
      <c r="P89" s="214"/>
      <c r="Q89" s="214"/>
      <c r="R89" s="214"/>
      <c r="S89" s="214"/>
      <c r="T89" s="214"/>
      <c r="U89" s="214"/>
      <c r="V89" s="214"/>
      <c r="W89" s="214"/>
      <c r="X89" s="214"/>
      <c r="Y89" s="214"/>
      <c r="Z89" s="214"/>
      <c r="AA89" s="214"/>
    </row>
    <row r="90" ht="33.75" customHeight="1">
      <c r="A90" s="205" t="str">
        <f>HYPERLINK("https://drive.google.com/open?id=0B6Vr5nVC58V5T2JtajJDMWJ2QXJJNEppUUItWXNYZGlJZ253","33458")</f>
        <v>33458</v>
      </c>
      <c r="B90" s="204" t="s">
        <v>25</v>
      </c>
      <c r="C90" s="165">
        <v>2100.0</v>
      </c>
      <c r="D90" s="215" t="s">
        <v>2801</v>
      </c>
      <c r="E90" s="207" t="s">
        <v>2802</v>
      </c>
      <c r="F90" s="216">
        <v>43720.0</v>
      </c>
      <c r="G90" s="209">
        <v>43720.0</v>
      </c>
      <c r="H90" s="165" t="s">
        <v>1747</v>
      </c>
      <c r="I90" s="231">
        <v>43726.0</v>
      </c>
      <c r="J90" s="215" t="s">
        <v>2535</v>
      </c>
      <c r="K90" s="215" t="s">
        <v>2535</v>
      </c>
      <c r="L90" s="207" t="s">
        <v>2803</v>
      </c>
      <c r="M90" s="215" t="s">
        <v>497</v>
      </c>
      <c r="N90" s="165" t="s">
        <v>2554</v>
      </c>
      <c r="O90" s="232">
        <v>28812.0</v>
      </c>
      <c r="P90" s="214"/>
      <c r="Q90" s="214"/>
      <c r="R90" s="214"/>
      <c r="S90" s="214"/>
      <c r="T90" s="214"/>
      <c r="U90" s="214"/>
      <c r="V90" s="214"/>
      <c r="W90" s="214"/>
      <c r="X90" s="214"/>
      <c r="Y90" s="214"/>
      <c r="Z90" s="214"/>
      <c r="AA90" s="214"/>
    </row>
    <row r="91" ht="33.75" customHeight="1">
      <c r="A91" s="205" t="str">
        <f>HYPERLINK("https://drive.google.com/open?id=0B6Vr5nVC58V5R3RXUzdKZ1Y1NEhuU3VTVTU3a2FlSGdLeHYw","33417")</f>
        <v>33417</v>
      </c>
      <c r="B91" s="204" t="s">
        <v>14</v>
      </c>
      <c r="C91" s="165">
        <v>1772.0</v>
      </c>
      <c r="D91" s="215" t="s">
        <v>2804</v>
      </c>
      <c r="E91" s="207" t="s">
        <v>2543</v>
      </c>
      <c r="F91" s="216">
        <v>43717.0</v>
      </c>
      <c r="G91" s="209">
        <v>43714.0</v>
      </c>
      <c r="H91" s="165" t="s">
        <v>1747</v>
      </c>
      <c r="I91" s="231">
        <v>43720.0</v>
      </c>
      <c r="J91" s="215" t="s">
        <v>2535</v>
      </c>
      <c r="K91" s="215" t="s">
        <v>2535</v>
      </c>
      <c r="L91" s="207" t="s">
        <v>2805</v>
      </c>
      <c r="M91" s="215" t="s">
        <v>2545</v>
      </c>
      <c r="N91" s="165" t="s">
        <v>2546</v>
      </c>
      <c r="O91" s="232">
        <v>95701.6</v>
      </c>
      <c r="P91" s="214"/>
      <c r="Q91" s="214"/>
      <c r="R91" s="214"/>
      <c r="S91" s="214"/>
      <c r="T91" s="214"/>
      <c r="U91" s="214"/>
      <c r="V91" s="214"/>
      <c r="W91" s="214"/>
      <c r="X91" s="214"/>
      <c r="Y91" s="214"/>
      <c r="Z91" s="214"/>
      <c r="AA91" s="214"/>
    </row>
    <row r="92" ht="33.75" customHeight="1">
      <c r="A92" s="205" t="str">
        <f>HYPERLINK("https://drive.google.com/open?id=0B6Vr5nVC58V5RWlSZTRrbUh1VG04a2E5U01LemVCSTdINEdJ","33337")</f>
        <v>33337</v>
      </c>
      <c r="B92" s="204" t="s">
        <v>14</v>
      </c>
      <c r="C92" s="165">
        <v>2100.0</v>
      </c>
      <c r="D92" s="215" t="s">
        <v>2806</v>
      </c>
      <c r="E92" s="207" t="s">
        <v>2807</v>
      </c>
      <c r="F92" s="216">
        <v>43717.0</v>
      </c>
      <c r="G92" s="209">
        <v>43711.0</v>
      </c>
      <c r="H92" s="165" t="s">
        <v>1747</v>
      </c>
      <c r="I92" s="231">
        <v>43721.0</v>
      </c>
      <c r="J92" s="215" t="s">
        <v>2535</v>
      </c>
      <c r="K92" s="215" t="s">
        <v>2535</v>
      </c>
      <c r="L92" s="207" t="s">
        <v>2808</v>
      </c>
      <c r="M92" s="215" t="s">
        <v>497</v>
      </c>
      <c r="N92" s="165" t="s">
        <v>2554</v>
      </c>
      <c r="O92" s="232">
        <v>28812.0</v>
      </c>
      <c r="P92" s="214"/>
      <c r="Q92" s="214"/>
      <c r="R92" s="214"/>
      <c r="S92" s="214"/>
      <c r="T92" s="214"/>
      <c r="U92" s="214"/>
      <c r="V92" s="214"/>
      <c r="W92" s="214"/>
      <c r="X92" s="214"/>
      <c r="Y92" s="214"/>
      <c r="Z92" s="214"/>
      <c r="AA92" s="214"/>
    </row>
    <row r="93" ht="33.75" customHeight="1">
      <c r="A93" s="205" t="str">
        <f>HYPERLINK("https://drive.google.com/open?id=0B6Vr5nVC58V5UXBqM254YWI2TVYxTU51dGVsYjB4QnNTLUJN","33454")</f>
        <v>33454</v>
      </c>
      <c r="B93" s="204" t="s">
        <v>21</v>
      </c>
      <c r="C93" s="165">
        <v>1160.0</v>
      </c>
      <c r="D93" s="239" t="s">
        <v>2809</v>
      </c>
      <c r="E93" s="207" t="s">
        <v>2775</v>
      </c>
      <c r="F93" s="216">
        <v>43715.0</v>
      </c>
      <c r="G93" s="209">
        <v>43713.0</v>
      </c>
      <c r="H93" s="165" t="s">
        <v>1747</v>
      </c>
      <c r="I93" s="231">
        <v>43720.0</v>
      </c>
      <c r="J93" s="204" t="s">
        <v>2810</v>
      </c>
      <c r="K93" s="215" t="s">
        <v>2755</v>
      </c>
      <c r="L93" s="207" t="s">
        <v>2811</v>
      </c>
      <c r="M93" s="215" t="s">
        <v>497</v>
      </c>
      <c r="N93" s="165" t="s">
        <v>2554</v>
      </c>
      <c r="O93" s="232">
        <v>31865.2</v>
      </c>
      <c r="P93" s="214"/>
      <c r="Q93" s="214"/>
      <c r="R93" s="214"/>
      <c r="S93" s="214"/>
      <c r="T93" s="214"/>
      <c r="U93" s="214"/>
      <c r="V93" s="214"/>
      <c r="W93" s="214"/>
      <c r="X93" s="214"/>
      <c r="Y93" s="214"/>
      <c r="Z93" s="214"/>
      <c r="AA93" s="214"/>
    </row>
    <row r="94" ht="33.75" customHeight="1">
      <c r="A94" s="205" t="str">
        <f>HYPERLINK("https://drive.google.com/open?id=0B6Vr5nVC58V5QTgyeThrTjV1Z2p2d0hhOF90LXRLTkJ1dUJN","33415")</f>
        <v>33415</v>
      </c>
      <c r="B94" s="204" t="s">
        <v>25</v>
      </c>
      <c r="C94" s="165">
        <v>1530.0</v>
      </c>
      <c r="D94" s="215" t="s">
        <v>2812</v>
      </c>
      <c r="E94" s="212" t="s">
        <v>2543</v>
      </c>
      <c r="F94" s="216">
        <v>43714.0</v>
      </c>
      <c r="G94" s="209">
        <v>43717.0</v>
      </c>
      <c r="H94" s="165" t="s">
        <v>1747</v>
      </c>
      <c r="I94" s="231">
        <v>43720.0</v>
      </c>
      <c r="J94" s="215" t="s">
        <v>2535</v>
      </c>
      <c r="K94" s="215" t="s">
        <v>2535</v>
      </c>
      <c r="L94" s="207" t="s">
        <v>2813</v>
      </c>
      <c r="M94" s="215" t="s">
        <v>2545</v>
      </c>
      <c r="N94" s="165" t="s">
        <v>2546</v>
      </c>
      <c r="O94" s="232">
        <v>85980.3</v>
      </c>
      <c r="P94" s="214"/>
      <c r="Q94" s="214"/>
      <c r="R94" s="214"/>
      <c r="S94" s="214"/>
      <c r="T94" s="214"/>
      <c r="U94" s="214"/>
      <c r="V94" s="214"/>
      <c r="W94" s="214"/>
      <c r="X94" s="214"/>
      <c r="Y94" s="214"/>
      <c r="Z94" s="214"/>
      <c r="AA94" s="214"/>
    </row>
    <row r="95" ht="33.75" customHeight="1">
      <c r="A95" s="205" t="str">
        <f>HYPERLINK("https://drive.google.com/open?id=0B6Vr5nVC58V5UGZHMzBVeE4yYk9SaV93ajVJNmdKRTkzOEpR","33335")</f>
        <v>33335</v>
      </c>
      <c r="B95" s="204" t="s">
        <v>14</v>
      </c>
      <c r="C95" s="165">
        <v>2100.0</v>
      </c>
      <c r="D95" s="215" t="s">
        <v>2814</v>
      </c>
      <c r="E95" s="207" t="s">
        <v>2807</v>
      </c>
      <c r="F95" s="216">
        <v>43714.0</v>
      </c>
      <c r="G95" s="209">
        <v>43711.0</v>
      </c>
      <c r="H95" s="165" t="s">
        <v>1747</v>
      </c>
      <c r="I95" s="231">
        <v>43720.0</v>
      </c>
      <c r="J95" s="215" t="s">
        <v>2535</v>
      </c>
      <c r="K95" s="215" t="s">
        <v>2535</v>
      </c>
      <c r="L95" s="207" t="s">
        <v>2815</v>
      </c>
      <c r="M95" s="215" t="s">
        <v>497</v>
      </c>
      <c r="N95" s="165" t="s">
        <v>2554</v>
      </c>
      <c r="O95" s="232">
        <v>28812.0</v>
      </c>
      <c r="P95" s="214"/>
      <c r="Q95" s="214"/>
      <c r="R95" s="214"/>
      <c r="S95" s="214"/>
      <c r="T95" s="214"/>
      <c r="U95" s="214"/>
      <c r="V95" s="214"/>
      <c r="W95" s="214"/>
      <c r="X95" s="214"/>
      <c r="Y95" s="214"/>
      <c r="Z95" s="214"/>
      <c r="AA95" s="214"/>
    </row>
    <row r="96" ht="33.75" customHeight="1">
      <c r="A96" s="205" t="str">
        <f>HYPERLINK("https://drive.google.com/open?id=0B6Vr5nVC58V5b3g3aDBHREloU2N5cjNoZ08yVzZncExOM0hn","33157")</f>
        <v>33157</v>
      </c>
      <c r="B96" s="204" t="s">
        <v>14</v>
      </c>
      <c r="C96" s="165">
        <v>1160.0</v>
      </c>
      <c r="D96" s="215" t="s">
        <v>2816</v>
      </c>
      <c r="E96" s="207" t="s">
        <v>2817</v>
      </c>
      <c r="F96" s="216">
        <v>43714.0</v>
      </c>
      <c r="G96" s="209">
        <v>43712.0</v>
      </c>
      <c r="H96" s="165" t="s">
        <v>1747</v>
      </c>
      <c r="I96" s="234">
        <v>43718.0</v>
      </c>
      <c r="J96" s="215" t="s">
        <v>2535</v>
      </c>
      <c r="K96" s="215" t="s">
        <v>2535</v>
      </c>
      <c r="L96" s="207" t="s">
        <v>2818</v>
      </c>
      <c r="M96" s="215" t="s">
        <v>497</v>
      </c>
      <c r="N96" s="165" t="s">
        <v>2554</v>
      </c>
      <c r="O96" s="232">
        <v>31865.2</v>
      </c>
      <c r="P96" s="214"/>
      <c r="Q96" s="214"/>
      <c r="R96" s="214"/>
      <c r="S96" s="214"/>
      <c r="T96" s="214"/>
      <c r="U96" s="214"/>
      <c r="V96" s="214"/>
      <c r="W96" s="214"/>
      <c r="X96" s="214"/>
      <c r="Y96" s="214"/>
      <c r="Z96" s="214"/>
      <c r="AA96" s="214"/>
    </row>
    <row r="97" ht="33.75" customHeight="1">
      <c r="A97" s="205" t="str">
        <f>HYPERLINK("https://drive.google.com/open?id=0B6Vr5nVC58V5VXVLTThGcU1pamVIUDdrRTZGMHdRaTlZVERJ","33155")</f>
        <v>33155</v>
      </c>
      <c r="B97" s="204" t="s">
        <v>14</v>
      </c>
      <c r="C97" s="165">
        <v>2100.0</v>
      </c>
      <c r="D97" s="215" t="s">
        <v>2819</v>
      </c>
      <c r="E97" s="207" t="s">
        <v>2802</v>
      </c>
      <c r="F97" s="216">
        <v>43714.0</v>
      </c>
      <c r="G97" s="209">
        <v>43711.0</v>
      </c>
      <c r="H97" s="165" t="s">
        <v>1747</v>
      </c>
      <c r="I97" s="231">
        <v>43719.0</v>
      </c>
      <c r="J97" s="215" t="s">
        <v>2535</v>
      </c>
      <c r="K97" s="215" t="s">
        <v>2535</v>
      </c>
      <c r="L97" s="207" t="s">
        <v>2820</v>
      </c>
      <c r="M97" s="215" t="s">
        <v>497</v>
      </c>
      <c r="N97" s="165" t="s">
        <v>2554</v>
      </c>
      <c r="O97" s="232">
        <v>28812.0</v>
      </c>
      <c r="P97" s="214"/>
      <c r="Q97" s="214"/>
      <c r="R97" s="214"/>
      <c r="S97" s="214"/>
      <c r="T97" s="214"/>
      <c r="U97" s="214"/>
      <c r="V97" s="214"/>
      <c r="W97" s="214"/>
      <c r="X97" s="214"/>
      <c r="Y97" s="214"/>
      <c r="Z97" s="214"/>
      <c r="AA97" s="214"/>
    </row>
    <row r="98" ht="33.75" customHeight="1">
      <c r="A98" s="190" t="str">
        <f>HYPERLINK("https://drive.google.com/open?id=0B6Vr5nVC58V5NUp5N20tV2JUQS1MOEhycDl0OWx5VHJYOVRR","33598")</f>
        <v>33598</v>
      </c>
      <c r="B98" s="204" t="s">
        <v>25</v>
      </c>
      <c r="C98" s="165">
        <v>989.0</v>
      </c>
      <c r="D98" s="215" t="s">
        <v>2821</v>
      </c>
      <c r="E98" s="207" t="s">
        <v>2669</v>
      </c>
      <c r="F98" s="216">
        <v>43711.0</v>
      </c>
      <c r="G98" s="209">
        <v>43707.0</v>
      </c>
      <c r="H98" s="165" t="s">
        <v>1747</v>
      </c>
      <c r="I98" s="231">
        <v>43714.0</v>
      </c>
      <c r="J98" s="215" t="s">
        <v>2535</v>
      </c>
      <c r="K98" s="215" t="s">
        <v>2535</v>
      </c>
      <c r="L98" s="207" t="s">
        <v>2822</v>
      </c>
      <c r="M98" s="215"/>
      <c r="N98" s="165"/>
      <c r="O98" s="232"/>
      <c r="P98" s="214"/>
      <c r="Q98" s="214"/>
      <c r="R98" s="214"/>
      <c r="S98" s="214"/>
      <c r="T98" s="214"/>
      <c r="U98" s="214"/>
      <c r="V98" s="214"/>
      <c r="W98" s="214"/>
      <c r="X98" s="214"/>
      <c r="Y98" s="214"/>
      <c r="Z98" s="214"/>
      <c r="AA98" s="214"/>
    </row>
    <row r="99" ht="28.5" customHeight="1">
      <c r="A99" s="190" t="str">
        <f>HYPERLINK("https://drive.google.com/open?id=0B6Vr5nVC58V5QTlYdmFBdERiMVlXV3J1V3owRnkwSkNGdW44","33571")</f>
        <v>33571</v>
      </c>
      <c r="B99" s="204" t="s">
        <v>21</v>
      </c>
      <c r="C99" s="165">
        <v>1420.0</v>
      </c>
      <c r="D99" s="215" t="s">
        <v>2823</v>
      </c>
      <c r="E99" s="212" t="s">
        <v>2824</v>
      </c>
      <c r="F99" s="216">
        <v>43711.0</v>
      </c>
      <c r="G99" s="220">
        <v>43706.0</v>
      </c>
      <c r="H99" s="191" t="s">
        <v>1747</v>
      </c>
      <c r="I99" s="234">
        <v>43718.0</v>
      </c>
      <c r="J99" s="204" t="s">
        <v>2825</v>
      </c>
      <c r="K99" s="215" t="s">
        <v>2755</v>
      </c>
      <c r="L99" s="235" t="s">
        <v>2826</v>
      </c>
      <c r="M99" s="215"/>
      <c r="N99" s="165"/>
      <c r="O99" s="232"/>
      <c r="P99" s="214"/>
      <c r="Q99" s="214"/>
      <c r="R99" s="214"/>
      <c r="S99" s="214"/>
      <c r="T99" s="214"/>
      <c r="U99" s="214"/>
      <c r="V99" s="214"/>
      <c r="W99" s="214"/>
      <c r="X99" s="214"/>
      <c r="Y99" s="214"/>
      <c r="Z99" s="214"/>
      <c r="AA99" s="214"/>
    </row>
    <row r="100" ht="28.5" customHeight="1">
      <c r="A100" s="190" t="str">
        <f>HYPERLINK("https://drive.google.com/open?id=0B6Vr5nVC58V5eDYyTXZheDlmVnQwZEFzNXVWRkgwSDNKQ1FR","33351")</f>
        <v>33351</v>
      </c>
      <c r="B100" s="204" t="s">
        <v>21</v>
      </c>
      <c r="C100" s="165">
        <v>1302.0</v>
      </c>
      <c r="D100" s="215" t="s">
        <v>2827</v>
      </c>
      <c r="E100" s="207" t="s">
        <v>2828</v>
      </c>
      <c r="F100" s="216">
        <v>43711.0</v>
      </c>
      <c r="G100" s="209">
        <v>43706.0</v>
      </c>
      <c r="H100" s="165" t="s">
        <v>1747</v>
      </c>
      <c r="I100" s="231">
        <v>43713.0</v>
      </c>
      <c r="J100" s="204" t="s">
        <v>2829</v>
      </c>
      <c r="K100" s="215" t="s">
        <v>2531</v>
      </c>
      <c r="L100" s="207" t="s">
        <v>2830</v>
      </c>
      <c r="M100" s="215"/>
      <c r="N100" s="165"/>
      <c r="O100" s="232"/>
      <c r="P100" s="214"/>
      <c r="Q100" s="214"/>
      <c r="R100" s="214"/>
      <c r="S100" s="214"/>
      <c r="T100" s="214"/>
      <c r="U100" s="214"/>
      <c r="V100" s="214"/>
      <c r="W100" s="214"/>
      <c r="X100" s="214"/>
      <c r="Y100" s="214"/>
      <c r="Z100" s="214"/>
      <c r="AA100" s="214"/>
    </row>
    <row r="101" ht="41.25" customHeight="1">
      <c r="A101" s="245" t="str">
        <f>HYPERLINK("https://drive.google.com/open?id=0B6Vr5nVC58V5X2J1LVFBNFNGSDZROUFRTHlFNHl1R1Q3cHNr","33522")</f>
        <v>33522</v>
      </c>
      <c r="B101" s="204" t="s">
        <v>21</v>
      </c>
      <c r="C101" s="165">
        <v>320.0</v>
      </c>
      <c r="D101" s="165" t="s">
        <v>2831</v>
      </c>
      <c r="E101" s="207" t="s">
        <v>2832</v>
      </c>
      <c r="F101" s="216">
        <v>43708.0</v>
      </c>
      <c r="G101" s="220">
        <v>43705.0</v>
      </c>
      <c r="H101" s="191" t="s">
        <v>1747</v>
      </c>
      <c r="I101" s="234">
        <v>43717.0</v>
      </c>
      <c r="J101" s="204" t="s">
        <v>2833</v>
      </c>
      <c r="K101" s="215" t="s">
        <v>2531</v>
      </c>
      <c r="L101" s="242" t="s">
        <v>2834</v>
      </c>
      <c r="M101" s="215"/>
      <c r="N101" s="165"/>
      <c r="O101" s="232"/>
      <c r="P101" s="214"/>
      <c r="Q101" s="214"/>
      <c r="R101" s="214"/>
      <c r="S101" s="214"/>
      <c r="T101" s="214"/>
      <c r="U101" s="214"/>
      <c r="V101" s="214"/>
      <c r="W101" s="214"/>
      <c r="X101" s="214"/>
      <c r="Y101" s="214"/>
      <c r="Z101" s="214"/>
      <c r="AA101" s="214"/>
    </row>
    <row r="102" ht="41.25" customHeight="1">
      <c r="A102" s="190" t="str">
        <f>HYPERLINK("https://drive.google.com/open?id=0B6Vr5nVC58V5eGlOY05SMTdvLXNYcFlrTnpfd1pjb29nVTZN","33352")</f>
        <v>33352</v>
      </c>
      <c r="B102" s="204" t="s">
        <v>25</v>
      </c>
      <c r="C102" s="165">
        <v>1268.0</v>
      </c>
      <c r="D102" s="215" t="s">
        <v>2835</v>
      </c>
      <c r="E102" s="212" t="s">
        <v>2836</v>
      </c>
      <c r="F102" s="216">
        <v>43708.0</v>
      </c>
      <c r="G102" s="209">
        <v>43704.0</v>
      </c>
      <c r="H102" s="165" t="s">
        <v>1747</v>
      </c>
      <c r="I102" s="231">
        <v>43712.0</v>
      </c>
      <c r="J102" s="215" t="s">
        <v>2535</v>
      </c>
      <c r="K102" s="215" t="s">
        <v>2535</v>
      </c>
      <c r="L102" s="207" t="s">
        <v>2837</v>
      </c>
      <c r="M102" s="215"/>
      <c r="N102" s="165"/>
      <c r="O102" s="232"/>
      <c r="P102" s="214"/>
      <c r="Q102" s="214"/>
      <c r="R102" s="214"/>
      <c r="S102" s="214"/>
      <c r="T102" s="214"/>
      <c r="U102" s="214"/>
      <c r="V102" s="214"/>
      <c r="W102" s="214"/>
      <c r="X102" s="214"/>
      <c r="Y102" s="214"/>
      <c r="Z102" s="214"/>
      <c r="AA102" s="214"/>
    </row>
    <row r="103" ht="41.25" customHeight="1">
      <c r="A103" s="190" t="str">
        <f>HYPERLINK("https://drive.google.com/open?id=0B6Vr5nVC58V5UmVDTTc1T0JJN1V0UlZ4YmcwMDQxZW0zc200","33353")</f>
        <v>33353</v>
      </c>
      <c r="B103" s="204" t="s">
        <v>25</v>
      </c>
      <c r="C103" s="165">
        <v>1340.0</v>
      </c>
      <c r="D103" s="215" t="s">
        <v>2838</v>
      </c>
      <c r="E103" s="207" t="s">
        <v>2839</v>
      </c>
      <c r="F103" s="216">
        <v>43708.0</v>
      </c>
      <c r="G103" s="209">
        <v>43704.0</v>
      </c>
      <c r="H103" s="165" t="s">
        <v>1747</v>
      </c>
      <c r="I103" s="231">
        <v>43713.0</v>
      </c>
      <c r="J103" s="215" t="s">
        <v>2535</v>
      </c>
      <c r="K103" s="215" t="s">
        <v>2535</v>
      </c>
      <c r="L103" s="207" t="s">
        <v>2840</v>
      </c>
      <c r="M103" s="215"/>
      <c r="N103" s="165"/>
      <c r="O103" s="232"/>
      <c r="P103" s="214"/>
      <c r="Q103" s="214"/>
      <c r="R103" s="214"/>
      <c r="S103" s="214"/>
      <c r="T103" s="214"/>
      <c r="U103" s="214"/>
      <c r="V103" s="214"/>
      <c r="W103" s="214"/>
      <c r="X103" s="214"/>
      <c r="Y103" s="214"/>
      <c r="Z103" s="214"/>
      <c r="AA103" s="214"/>
    </row>
    <row r="104" ht="41.25" customHeight="1">
      <c r="A104" s="190" t="str">
        <f>HYPERLINK("https://drive.google.com/open?id=0B6Vr5nVC58V5dHBsUTJpTTdHUG5ieUVrekw4dk5RVEVjbm00","33545")</f>
        <v>33545</v>
      </c>
      <c r="B104" s="204" t="s">
        <v>14</v>
      </c>
      <c r="C104" s="165">
        <v>944.0</v>
      </c>
      <c r="D104" s="215" t="s">
        <v>2841</v>
      </c>
      <c r="E104" s="212" t="s">
        <v>2733</v>
      </c>
      <c r="F104" s="216">
        <v>43707.0</v>
      </c>
      <c r="G104" s="209">
        <v>43704.0</v>
      </c>
      <c r="H104" s="165" t="s">
        <v>1747</v>
      </c>
      <c r="I104" s="231">
        <v>43713.0</v>
      </c>
      <c r="J104" s="215" t="s">
        <v>2535</v>
      </c>
      <c r="K104" s="215" t="s">
        <v>2535</v>
      </c>
      <c r="L104" s="207" t="s">
        <v>2842</v>
      </c>
      <c r="M104" s="215"/>
      <c r="N104" s="165"/>
      <c r="O104" s="232"/>
      <c r="P104" s="214"/>
      <c r="Q104" s="214"/>
      <c r="R104" s="214"/>
      <c r="S104" s="214"/>
      <c r="T104" s="214"/>
      <c r="U104" s="214"/>
      <c r="V104" s="214"/>
      <c r="W104" s="214"/>
      <c r="X104" s="214"/>
      <c r="Y104" s="214"/>
      <c r="Z104" s="214"/>
      <c r="AA104" s="214"/>
    </row>
    <row r="105" ht="41.25" customHeight="1">
      <c r="A105" s="190" t="str">
        <f>HYPERLINK("https://drive.google.com/open?id=0B6Vr5nVC58V5WFJ5enFBRmpfbkVIaVlnMkZMRE9sZFdxcVBZ","33530")</f>
        <v>33530</v>
      </c>
      <c r="B105" s="204" t="s">
        <v>14</v>
      </c>
      <c r="C105" s="165">
        <v>1100.0</v>
      </c>
      <c r="D105" s="215" t="s">
        <v>2843</v>
      </c>
      <c r="E105" s="207" t="s">
        <v>2844</v>
      </c>
      <c r="F105" s="216">
        <v>43705.0</v>
      </c>
      <c r="G105" s="233">
        <v>43706.0</v>
      </c>
      <c r="H105" s="191" t="s">
        <v>1747</v>
      </c>
      <c r="I105" s="234">
        <v>43712.0</v>
      </c>
      <c r="J105" s="215" t="s">
        <v>2535</v>
      </c>
      <c r="K105" s="215" t="s">
        <v>2535</v>
      </c>
      <c r="L105" s="212" t="s">
        <v>2845</v>
      </c>
      <c r="M105" s="215"/>
      <c r="N105" s="165"/>
      <c r="O105" s="232"/>
      <c r="P105" s="214"/>
      <c r="Q105" s="214"/>
      <c r="R105" s="214"/>
      <c r="S105" s="214"/>
      <c r="T105" s="214"/>
      <c r="U105" s="214"/>
      <c r="V105" s="214"/>
      <c r="W105" s="214"/>
      <c r="X105" s="214"/>
      <c r="Y105" s="214"/>
      <c r="Z105" s="214"/>
      <c r="AA105" s="214"/>
    </row>
    <row r="106" ht="41.25" customHeight="1">
      <c r="A106" s="205" t="str">
        <f>HYPERLINK("https://drive.google.com/open?id=0B6Vr5nVC58V5WEU4MTJvUWdwLUxDUnYxY2lzRm9QUFhFVlVF","33336")</f>
        <v>33336</v>
      </c>
      <c r="B106" s="204" t="s">
        <v>25</v>
      </c>
      <c r="C106" s="165">
        <v>1160.0</v>
      </c>
      <c r="D106" s="215" t="s">
        <v>2846</v>
      </c>
      <c r="E106" s="207" t="s">
        <v>2817</v>
      </c>
      <c r="F106" s="216">
        <v>43705.0</v>
      </c>
      <c r="G106" s="209">
        <v>43704.0</v>
      </c>
      <c r="H106" s="165" t="s">
        <v>1747</v>
      </c>
      <c r="I106" s="231">
        <v>43713.0</v>
      </c>
      <c r="J106" s="215" t="s">
        <v>2535</v>
      </c>
      <c r="K106" s="215" t="s">
        <v>2535</v>
      </c>
      <c r="L106" s="207" t="s">
        <v>2847</v>
      </c>
      <c r="M106" s="215" t="s">
        <v>497</v>
      </c>
      <c r="N106" s="165" t="s">
        <v>2554</v>
      </c>
      <c r="O106" s="232">
        <v>31865.2</v>
      </c>
      <c r="P106" s="214"/>
      <c r="Q106" s="214"/>
      <c r="R106" s="214"/>
      <c r="S106" s="214"/>
      <c r="T106" s="214"/>
      <c r="U106" s="214"/>
      <c r="V106" s="214"/>
      <c r="W106" s="214"/>
      <c r="X106" s="214"/>
      <c r="Y106" s="214"/>
      <c r="Z106" s="214"/>
      <c r="AA106" s="214"/>
    </row>
    <row r="107" ht="41.25" customHeight="1">
      <c r="A107" s="190" t="str">
        <f>HYPERLINK("https://drive.google.com/open?id=0B6Vr5nVC58V5RGo2RW85V2RnTmdSTUFzZjJEU3QwcXhLdFA0","33570")</f>
        <v>33570</v>
      </c>
      <c r="B107" s="204" t="s">
        <v>25</v>
      </c>
      <c r="C107" s="165">
        <v>930.0</v>
      </c>
      <c r="D107" s="215" t="s">
        <v>2848</v>
      </c>
      <c r="E107" s="212" t="s">
        <v>2849</v>
      </c>
      <c r="F107" s="216">
        <v>43705.0</v>
      </c>
      <c r="G107" s="233">
        <v>43725.0</v>
      </c>
      <c r="H107" s="191" t="s">
        <v>1747</v>
      </c>
      <c r="I107" s="234">
        <v>43713.0</v>
      </c>
      <c r="J107" s="215" t="s">
        <v>2535</v>
      </c>
      <c r="K107" s="215" t="s">
        <v>2535</v>
      </c>
      <c r="L107" s="244" t="s">
        <v>2850</v>
      </c>
      <c r="M107" s="215"/>
      <c r="N107" s="165"/>
      <c r="O107" s="232"/>
      <c r="P107" s="214"/>
      <c r="Q107" s="214"/>
      <c r="R107" s="214"/>
      <c r="S107" s="214"/>
      <c r="T107" s="214"/>
      <c r="U107" s="214"/>
      <c r="V107" s="214"/>
      <c r="W107" s="214"/>
      <c r="X107" s="214"/>
      <c r="Y107" s="214"/>
      <c r="Z107" s="214"/>
      <c r="AA107" s="214"/>
    </row>
    <row r="108" ht="41.25" customHeight="1">
      <c r="A108" s="190" t="str">
        <f>HYPERLINK("https://drive.google.com/open?id=0B6Vr5nVC58V5Wno2ZUl0NFFzNDRTOWkxc1hzV2MyVFh5VEFF","33556")</f>
        <v>33556</v>
      </c>
      <c r="B108" s="204" t="s">
        <v>14</v>
      </c>
      <c r="C108" s="165">
        <v>1182.0</v>
      </c>
      <c r="D108" s="215" t="s">
        <v>2851</v>
      </c>
      <c r="E108" s="207" t="s">
        <v>2852</v>
      </c>
      <c r="F108" s="216">
        <v>43705.0</v>
      </c>
      <c r="G108" s="209">
        <v>43712.0</v>
      </c>
      <c r="H108" s="165" t="s">
        <v>1747</v>
      </c>
      <c r="I108" s="231">
        <v>43714.0</v>
      </c>
      <c r="J108" s="215" t="s">
        <v>2535</v>
      </c>
      <c r="K108" s="215" t="s">
        <v>2535</v>
      </c>
      <c r="L108" s="207" t="s">
        <v>2853</v>
      </c>
      <c r="M108" s="215"/>
      <c r="N108" s="165"/>
      <c r="O108" s="232"/>
      <c r="P108" s="214"/>
      <c r="Q108" s="214"/>
      <c r="R108" s="214"/>
      <c r="S108" s="214"/>
      <c r="T108" s="214"/>
      <c r="U108" s="214"/>
      <c r="V108" s="214"/>
      <c r="W108" s="214"/>
      <c r="X108" s="214"/>
      <c r="Y108" s="214"/>
      <c r="Z108" s="214"/>
      <c r="AA108" s="214"/>
    </row>
    <row r="109" ht="41.25" customHeight="1">
      <c r="A109" s="205" t="str">
        <f>HYPERLINK("https://drive.google.com/open?id=0B6Vr5nVC58V5RzY5RkRmLTBydXVJc2hsRTNNTWVTT3laeVJN","33142")</f>
        <v>33142</v>
      </c>
      <c r="B109" s="204" t="s">
        <v>14</v>
      </c>
      <c r="C109" s="165">
        <v>1160.0</v>
      </c>
      <c r="D109" s="215" t="s">
        <v>2854</v>
      </c>
      <c r="E109" s="207" t="s">
        <v>2775</v>
      </c>
      <c r="F109" s="216">
        <v>43704.0</v>
      </c>
      <c r="G109" s="209">
        <v>43703.0</v>
      </c>
      <c r="H109" s="165" t="s">
        <v>1747</v>
      </c>
      <c r="I109" s="231">
        <v>43711.0</v>
      </c>
      <c r="J109" s="215" t="s">
        <v>2535</v>
      </c>
      <c r="K109" s="215" t="s">
        <v>2535</v>
      </c>
      <c r="L109" s="207" t="s">
        <v>2855</v>
      </c>
      <c r="M109" s="215" t="s">
        <v>497</v>
      </c>
      <c r="N109" s="165" t="s">
        <v>2554</v>
      </c>
      <c r="O109" s="232">
        <v>31865.2</v>
      </c>
      <c r="P109" s="214"/>
      <c r="Q109" s="214"/>
      <c r="R109" s="214"/>
      <c r="S109" s="214"/>
      <c r="T109" s="214"/>
      <c r="U109" s="214"/>
      <c r="V109" s="214"/>
      <c r="W109" s="214"/>
      <c r="X109" s="214"/>
      <c r="Y109" s="214"/>
      <c r="Z109" s="214"/>
      <c r="AA109" s="214"/>
    </row>
    <row r="110" ht="41.25" customHeight="1">
      <c r="A110" s="190" t="str">
        <f>HYPERLINK("https://drive.google.com/open?id=0B6Vr5nVC58V5aWNmYXFIbmxxRjUzQ1h3UHVNRWFoOVNmd080","33350")</f>
        <v>33350</v>
      </c>
      <c r="B110" s="204" t="s">
        <v>14</v>
      </c>
      <c r="C110" s="165">
        <v>1384.0</v>
      </c>
      <c r="D110" s="215" t="s">
        <v>2856</v>
      </c>
      <c r="E110" s="207" t="s">
        <v>2857</v>
      </c>
      <c r="F110" s="216">
        <v>43704.0</v>
      </c>
      <c r="G110" s="209">
        <v>43704.0</v>
      </c>
      <c r="H110" s="165" t="s">
        <v>1747</v>
      </c>
      <c r="I110" s="231">
        <v>43706.0</v>
      </c>
      <c r="J110" s="215" t="s">
        <v>2535</v>
      </c>
      <c r="K110" s="215" t="s">
        <v>2535</v>
      </c>
      <c r="L110" s="212" t="s">
        <v>2858</v>
      </c>
      <c r="M110" s="215"/>
      <c r="N110" s="165"/>
      <c r="O110" s="232"/>
      <c r="P110" s="214"/>
      <c r="Q110" s="214"/>
      <c r="R110" s="214"/>
      <c r="S110" s="214"/>
      <c r="T110" s="214"/>
      <c r="U110" s="214"/>
      <c r="V110" s="214"/>
      <c r="W110" s="214"/>
      <c r="X110" s="214"/>
      <c r="Y110" s="214"/>
      <c r="Z110" s="214"/>
      <c r="AA110" s="214"/>
    </row>
    <row r="111" ht="41.25" customHeight="1">
      <c r="A111" s="205" t="str">
        <f>HYPERLINK("https://drive.google.com/open?id=0B6Vr5nVC58V5SG04ZWVlYmVBc2I2dndZSWlPMTFudGM2dTlZ","33529")</f>
        <v>33529</v>
      </c>
      <c r="B111" s="204" t="s">
        <v>14</v>
      </c>
      <c r="C111" s="165">
        <v>220.0</v>
      </c>
      <c r="D111" s="165" t="s">
        <v>2859</v>
      </c>
      <c r="E111" s="207" t="s">
        <v>2689</v>
      </c>
      <c r="F111" s="216">
        <v>43704.0</v>
      </c>
      <c r="G111" s="220">
        <v>43706.0</v>
      </c>
      <c r="H111" s="215" t="s">
        <v>1747</v>
      </c>
      <c r="I111" s="234">
        <v>43712.0</v>
      </c>
      <c r="J111" s="215" t="s">
        <v>2535</v>
      </c>
      <c r="K111" s="215" t="s">
        <v>2535</v>
      </c>
      <c r="L111" s="207" t="s">
        <v>2860</v>
      </c>
      <c r="M111" s="215"/>
      <c r="N111" s="165"/>
      <c r="O111" s="232"/>
      <c r="P111" s="214"/>
      <c r="Q111" s="214"/>
      <c r="R111" s="214"/>
      <c r="S111" s="214"/>
      <c r="T111" s="214"/>
      <c r="U111" s="214"/>
      <c r="V111" s="214"/>
      <c r="W111" s="214"/>
      <c r="X111" s="214"/>
      <c r="Y111" s="214"/>
      <c r="Z111" s="214"/>
      <c r="AA111" s="214"/>
    </row>
    <row r="112" ht="41.25" customHeight="1">
      <c r="A112" s="190" t="str">
        <f>HYPERLINK("https://drive.google.com/open?id=0B6Vr5nVC58V5amh2SWxDWWhVNTRuZk1oSTNjQTlvNU80RFNr","33307")</f>
        <v>33307</v>
      </c>
      <c r="B112" s="204" t="s">
        <v>14</v>
      </c>
      <c r="C112" s="165">
        <v>1700.0</v>
      </c>
      <c r="D112" s="215" t="s">
        <v>2861</v>
      </c>
      <c r="E112" s="212" t="s">
        <v>2862</v>
      </c>
      <c r="F112" s="216">
        <v>43703.0</v>
      </c>
      <c r="G112" s="209">
        <v>43699.0</v>
      </c>
      <c r="H112" s="165" t="s">
        <v>1747</v>
      </c>
      <c r="I112" s="234">
        <v>43711.0</v>
      </c>
      <c r="J112" s="215" t="s">
        <v>2535</v>
      </c>
      <c r="K112" s="215" t="s">
        <v>2535</v>
      </c>
      <c r="L112" s="212" t="s">
        <v>2863</v>
      </c>
      <c r="M112" s="215" t="s">
        <v>497</v>
      </c>
      <c r="N112" s="165" t="s">
        <v>2554</v>
      </c>
      <c r="O112" s="232">
        <v>43789.6</v>
      </c>
      <c r="P112" s="214"/>
      <c r="Q112" s="214"/>
      <c r="R112" s="214"/>
      <c r="S112" s="214"/>
      <c r="T112" s="214"/>
      <c r="U112" s="214"/>
      <c r="V112" s="214"/>
      <c r="W112" s="214"/>
      <c r="X112" s="214"/>
      <c r="Y112" s="214"/>
      <c r="Z112" s="214"/>
      <c r="AA112" s="214"/>
    </row>
    <row r="113" ht="41.25" customHeight="1">
      <c r="A113" s="205" t="str">
        <f>HYPERLINK("https://drive.google.com/open?id=0B6Vr5nVC58V5eTZPVE4zd19GM2pKNVZ3QVdiWi1UUWc4b1Rv","33158")</f>
        <v>33158</v>
      </c>
      <c r="B113" s="204" t="s">
        <v>21</v>
      </c>
      <c r="C113" s="165">
        <v>1160.0</v>
      </c>
      <c r="D113" s="215" t="s">
        <v>2864</v>
      </c>
      <c r="E113" s="207" t="s">
        <v>2817</v>
      </c>
      <c r="F113" s="216">
        <v>43702.0</v>
      </c>
      <c r="G113" s="209">
        <v>43698.0</v>
      </c>
      <c r="H113" s="165" t="s">
        <v>1747</v>
      </c>
      <c r="I113" s="231">
        <v>43704.0</v>
      </c>
      <c r="J113" s="204" t="s">
        <v>2865</v>
      </c>
      <c r="K113" s="215" t="s">
        <v>2755</v>
      </c>
      <c r="L113" s="207" t="s">
        <v>2866</v>
      </c>
      <c r="M113" s="215" t="s">
        <v>497</v>
      </c>
      <c r="N113" s="165" t="s">
        <v>2554</v>
      </c>
      <c r="O113" s="232">
        <v>31865.2</v>
      </c>
      <c r="P113" s="214"/>
      <c r="Q113" s="214"/>
      <c r="R113" s="214"/>
      <c r="S113" s="214"/>
      <c r="T113" s="214"/>
      <c r="U113" s="214"/>
      <c r="V113" s="214"/>
      <c r="W113" s="214"/>
      <c r="X113" s="214"/>
      <c r="Y113" s="214"/>
      <c r="Z113" s="214"/>
      <c r="AA113" s="214"/>
    </row>
    <row r="114" ht="33.75" customHeight="1">
      <c r="A114" s="205" t="str">
        <f>HYPERLINK("https://drive.google.com/open?id=0B6Vr5nVC58V5cUREV3dsdUZVbmxnX2s0RFYzaTlwM25zMTlB","33400")</f>
        <v>33400</v>
      </c>
      <c r="B114" s="204" t="s">
        <v>21</v>
      </c>
      <c r="C114" s="165">
        <v>1290.0</v>
      </c>
      <c r="D114" s="215" t="s">
        <v>2867</v>
      </c>
      <c r="E114" s="207" t="s">
        <v>2868</v>
      </c>
      <c r="F114" s="216">
        <v>43702.0</v>
      </c>
      <c r="G114" s="209">
        <v>43698.0</v>
      </c>
      <c r="H114" s="165" t="s">
        <v>1747</v>
      </c>
      <c r="I114" s="231">
        <v>43704.0</v>
      </c>
      <c r="J114" s="204" t="s">
        <v>2869</v>
      </c>
      <c r="K114" s="215" t="s">
        <v>2755</v>
      </c>
      <c r="L114" s="207" t="s">
        <v>2870</v>
      </c>
      <c r="M114" s="215" t="s">
        <v>497</v>
      </c>
      <c r="N114" s="165" t="s">
        <v>2554</v>
      </c>
      <c r="O114" s="232">
        <v>46411.38</v>
      </c>
      <c r="P114" s="214"/>
      <c r="Q114" s="214"/>
      <c r="R114" s="214"/>
      <c r="S114" s="214"/>
      <c r="T114" s="214"/>
      <c r="U114" s="214"/>
      <c r="V114" s="214"/>
      <c r="W114" s="214"/>
      <c r="X114" s="214"/>
      <c r="Y114" s="214"/>
      <c r="Z114" s="214"/>
      <c r="AA114" s="214"/>
    </row>
    <row r="115" ht="33.75" customHeight="1">
      <c r="A115" s="190" t="str">
        <f>HYPERLINK("https://drive.google.com/open?id=0B6Vr5nVC58V5SkEydlpiX2lLT1FHblhXaWhMdjBaZFBuRldV","33549")</f>
        <v>33549</v>
      </c>
      <c r="B115" s="204" t="s">
        <v>21</v>
      </c>
      <c r="C115" s="165" t="s">
        <v>2871</v>
      </c>
      <c r="D115" s="207" t="s">
        <v>2872</v>
      </c>
      <c r="E115" s="212" t="s">
        <v>2733</v>
      </c>
      <c r="F115" s="216">
        <v>43701.0</v>
      </c>
      <c r="G115" s="209">
        <v>43698.0</v>
      </c>
      <c r="H115" s="165" t="s">
        <v>1747</v>
      </c>
      <c r="I115" s="231">
        <v>43711.0</v>
      </c>
      <c r="J115" s="204" t="s">
        <v>2873</v>
      </c>
      <c r="K115" s="215" t="s">
        <v>2755</v>
      </c>
      <c r="L115" s="212" t="s">
        <v>2874</v>
      </c>
      <c r="M115" s="215"/>
      <c r="N115" s="165"/>
      <c r="O115" s="232"/>
      <c r="P115" s="214"/>
      <c r="Q115" s="214"/>
      <c r="R115" s="214"/>
      <c r="S115" s="214"/>
      <c r="T115" s="214"/>
      <c r="U115" s="214"/>
      <c r="V115" s="214"/>
      <c r="W115" s="214"/>
      <c r="X115" s="214"/>
      <c r="Y115" s="214"/>
      <c r="Z115" s="214"/>
      <c r="AA115" s="214"/>
    </row>
    <row r="116" ht="33.75" customHeight="1">
      <c r="A116" s="205" t="str">
        <f>HYPERLINK("https://drive.google.com/open?id=0B6Vr5nVC58V5QzRWbXRPYno0WXpFbXY5eU1vNHVjbzB6N2NF","33160")</f>
        <v>33160</v>
      </c>
      <c r="B116" s="204" t="s">
        <v>21</v>
      </c>
      <c r="C116" s="165">
        <v>900.0</v>
      </c>
      <c r="D116" s="215" t="s">
        <v>2875</v>
      </c>
      <c r="E116" s="207" t="s">
        <v>2876</v>
      </c>
      <c r="F116" s="216">
        <v>43700.0</v>
      </c>
      <c r="G116" s="209">
        <v>43706.0</v>
      </c>
      <c r="H116" s="165" t="s">
        <v>1747</v>
      </c>
      <c r="I116" s="231">
        <v>43706.0</v>
      </c>
      <c r="J116" s="215" t="s">
        <v>2535</v>
      </c>
      <c r="K116" s="215" t="s">
        <v>2535</v>
      </c>
      <c r="L116" s="207" t="s">
        <v>2877</v>
      </c>
      <c r="M116" s="215"/>
      <c r="N116" s="165"/>
      <c r="O116" s="232"/>
      <c r="P116" s="214"/>
      <c r="Q116" s="214"/>
      <c r="R116" s="214"/>
      <c r="S116" s="214"/>
      <c r="T116" s="214"/>
      <c r="U116" s="214"/>
      <c r="V116" s="214"/>
      <c r="W116" s="214"/>
      <c r="X116" s="214"/>
      <c r="Y116" s="214"/>
      <c r="Z116" s="214"/>
      <c r="AA116" s="214"/>
    </row>
    <row r="117" ht="33.75" customHeight="1">
      <c r="A117" s="205" t="str">
        <f>HYPERLINK("https://drive.google.com/open?id=0B6Vr5nVC58V5cVh5TDhYRUptbzJPYmxicHpKMVVVN0dHazZN","33473")</f>
        <v>33473</v>
      </c>
      <c r="B117" s="204" t="s">
        <v>21</v>
      </c>
      <c r="C117" s="165">
        <v>122.0</v>
      </c>
      <c r="D117" s="215" t="s">
        <v>2878</v>
      </c>
      <c r="E117" s="207" t="s">
        <v>2879</v>
      </c>
      <c r="F117" s="216">
        <v>43698.0</v>
      </c>
      <c r="G117" s="209">
        <v>43699.0</v>
      </c>
      <c r="H117" s="165" t="s">
        <v>1747</v>
      </c>
      <c r="I117" s="231">
        <v>43706.0</v>
      </c>
      <c r="J117" s="204" t="s">
        <v>2880</v>
      </c>
      <c r="K117" s="215" t="s">
        <v>2531</v>
      </c>
      <c r="L117" s="207" t="s">
        <v>2881</v>
      </c>
      <c r="M117" s="215" t="s">
        <v>497</v>
      </c>
      <c r="N117" s="165" t="s">
        <v>2628</v>
      </c>
      <c r="O117" s="232">
        <v>12501.0</v>
      </c>
      <c r="P117" s="214"/>
      <c r="Q117" s="214"/>
      <c r="R117" s="214"/>
      <c r="S117" s="214"/>
      <c r="T117" s="214"/>
      <c r="U117" s="214"/>
      <c r="V117" s="214"/>
      <c r="W117" s="214"/>
      <c r="X117" s="214"/>
      <c r="Y117" s="214"/>
      <c r="Z117" s="214"/>
      <c r="AA117" s="214"/>
    </row>
    <row r="118" ht="33.75" customHeight="1">
      <c r="A118" s="205" t="str">
        <f>HYPERLINK("https://drive.google.com/open?id=0B6Vr5nVC58V5MHRhQkhFNS0wX0ZKQ0xyVDgzSWE2elhPYnRr","33134")</f>
        <v>33134</v>
      </c>
      <c r="B118" s="204" t="s">
        <v>14</v>
      </c>
      <c r="C118" s="165">
        <v>2100.0</v>
      </c>
      <c r="D118" s="215" t="s">
        <v>2882</v>
      </c>
      <c r="E118" s="212" t="s">
        <v>2807</v>
      </c>
      <c r="F118" s="216">
        <v>43697.0</v>
      </c>
      <c r="G118" s="209">
        <v>43693.0</v>
      </c>
      <c r="H118" s="165" t="s">
        <v>1747</v>
      </c>
      <c r="I118" s="231">
        <v>43703.0</v>
      </c>
      <c r="J118" s="215" t="s">
        <v>2535</v>
      </c>
      <c r="K118" s="215" t="s">
        <v>2535</v>
      </c>
      <c r="L118" s="212" t="s">
        <v>2883</v>
      </c>
      <c r="M118" s="215" t="s">
        <v>497</v>
      </c>
      <c r="N118" s="165" t="s">
        <v>2554</v>
      </c>
      <c r="O118" s="232">
        <v>28812.0</v>
      </c>
      <c r="P118" s="214"/>
      <c r="Q118" s="214"/>
      <c r="R118" s="214"/>
      <c r="S118" s="214"/>
      <c r="T118" s="214"/>
      <c r="U118" s="214"/>
      <c r="V118" s="214"/>
      <c r="W118" s="214"/>
      <c r="X118" s="214"/>
      <c r="Y118" s="214"/>
      <c r="Z118" s="214"/>
      <c r="AA118" s="214"/>
    </row>
    <row r="119" ht="33.75" customHeight="1">
      <c r="A119" s="205" t="str">
        <f>HYPERLINK("https://drive.google.com/open?id=0B6Vr5nVC58V5c3J2MERGb1BLWmxOMVEwc0owN2VjOENRZ2JN","33132")</f>
        <v>33132</v>
      </c>
      <c r="B119" s="204" t="s">
        <v>14</v>
      </c>
      <c r="C119" s="165">
        <v>1160.0</v>
      </c>
      <c r="D119" s="215" t="s">
        <v>2884</v>
      </c>
      <c r="E119" s="207" t="s">
        <v>2775</v>
      </c>
      <c r="F119" s="216">
        <v>43697.0</v>
      </c>
      <c r="G119" s="209">
        <v>43696.0</v>
      </c>
      <c r="H119" s="165" t="s">
        <v>1747</v>
      </c>
      <c r="I119" s="231">
        <v>43700.0</v>
      </c>
      <c r="J119" s="215" t="s">
        <v>2535</v>
      </c>
      <c r="K119" s="215" t="s">
        <v>2535</v>
      </c>
      <c r="L119" s="207" t="s">
        <v>2885</v>
      </c>
      <c r="M119" s="215" t="s">
        <v>497</v>
      </c>
      <c r="N119" s="165" t="s">
        <v>2554</v>
      </c>
      <c r="O119" s="232">
        <v>31865.2</v>
      </c>
      <c r="P119" s="214"/>
      <c r="Q119" s="214"/>
      <c r="R119" s="214"/>
      <c r="S119" s="214"/>
      <c r="T119" s="214"/>
      <c r="U119" s="214"/>
      <c r="V119" s="214"/>
      <c r="W119" s="214"/>
      <c r="X119" s="214"/>
      <c r="Y119" s="214"/>
      <c r="Z119" s="214"/>
      <c r="AA119" s="214"/>
    </row>
    <row r="120" ht="33.75" customHeight="1">
      <c r="A120" s="205" t="str">
        <f>HYPERLINK("https://drive.google.com/open?id=0B6Vr5nVC58V5SG1ERUMtbTJSTFNPX2w0M2E0S2VqNTBlUC1r","33208")</f>
        <v>33208</v>
      </c>
      <c r="B120" s="204" t="s">
        <v>14</v>
      </c>
      <c r="C120" s="165">
        <v>900.0</v>
      </c>
      <c r="D120" s="215" t="s">
        <v>2886</v>
      </c>
      <c r="E120" s="212" t="s">
        <v>2876</v>
      </c>
      <c r="F120" s="216">
        <v>43696.0</v>
      </c>
      <c r="G120" s="209">
        <v>43693.0</v>
      </c>
      <c r="H120" s="165" t="s">
        <v>1747</v>
      </c>
      <c r="I120" s="231">
        <v>43704.0</v>
      </c>
      <c r="J120" s="215" t="s">
        <v>2535</v>
      </c>
      <c r="K120" s="215" t="s">
        <v>2535</v>
      </c>
      <c r="L120" s="213" t="s">
        <v>2887</v>
      </c>
      <c r="M120" s="215"/>
      <c r="N120" s="165"/>
      <c r="O120" s="232"/>
      <c r="P120" s="214"/>
      <c r="Q120" s="214"/>
      <c r="R120" s="214"/>
      <c r="S120" s="214"/>
      <c r="T120" s="214"/>
      <c r="U120" s="214"/>
      <c r="V120" s="214"/>
      <c r="W120" s="214"/>
      <c r="X120" s="214"/>
      <c r="Y120" s="214"/>
      <c r="Z120" s="214"/>
      <c r="AA120" s="214"/>
    </row>
    <row r="121" ht="33.75" customHeight="1">
      <c r="A121" s="205" t="str">
        <f>HYPERLINK("https://drive.google.com/open?id=0B6Vr5nVC58V5aldIbFdrWTJzWk1sY190LXFYeUVtTXRJaDY0","33144")</f>
        <v>33144</v>
      </c>
      <c r="B121" s="204" t="s">
        <v>14</v>
      </c>
      <c r="C121" s="165">
        <v>2100.0</v>
      </c>
      <c r="D121" s="215" t="s">
        <v>2888</v>
      </c>
      <c r="E121" s="207" t="s">
        <v>2807</v>
      </c>
      <c r="F121" s="216">
        <v>43696.0</v>
      </c>
      <c r="G121" s="209">
        <v>43692.0</v>
      </c>
      <c r="H121" s="165" t="s">
        <v>1747</v>
      </c>
      <c r="I121" s="231">
        <v>43699.0</v>
      </c>
      <c r="J121" s="215" t="s">
        <v>2535</v>
      </c>
      <c r="K121" s="215" t="s">
        <v>2535</v>
      </c>
      <c r="L121" s="207" t="s">
        <v>2889</v>
      </c>
      <c r="M121" s="215" t="s">
        <v>497</v>
      </c>
      <c r="N121" s="165" t="s">
        <v>2554</v>
      </c>
      <c r="O121" s="232">
        <v>28812.0</v>
      </c>
      <c r="P121" s="214"/>
      <c r="Q121" s="214"/>
      <c r="R121" s="214"/>
      <c r="S121" s="214"/>
      <c r="T121" s="214"/>
      <c r="U121" s="214"/>
      <c r="V121" s="214"/>
      <c r="W121" s="214"/>
      <c r="X121" s="214"/>
      <c r="Y121" s="214"/>
      <c r="Z121" s="214"/>
      <c r="AA121" s="214"/>
    </row>
    <row r="122" ht="33.75" customHeight="1">
      <c r="A122" s="205" t="str">
        <f>HYPERLINK("https://drive.google.com/open?id=0B6Vr5nVC58V5WHB6c0JncVNrd1o5YVh2ZGdHYUNHeFRMaHRr","33156")</f>
        <v>33156</v>
      </c>
      <c r="B122" s="204" t="s">
        <v>21</v>
      </c>
      <c r="C122" s="165">
        <v>2100.0</v>
      </c>
      <c r="D122" s="215" t="s">
        <v>2890</v>
      </c>
      <c r="E122" s="207" t="s">
        <v>2802</v>
      </c>
      <c r="F122" s="216">
        <v>43695.0</v>
      </c>
      <c r="G122" s="209">
        <v>43692.0</v>
      </c>
      <c r="H122" s="165" t="s">
        <v>1747</v>
      </c>
      <c r="I122" s="231">
        <v>43699.0</v>
      </c>
      <c r="J122" s="204" t="s">
        <v>2891</v>
      </c>
      <c r="K122" s="215" t="s">
        <v>2755</v>
      </c>
      <c r="L122" s="207" t="s">
        <v>2892</v>
      </c>
      <c r="M122" s="215" t="s">
        <v>497</v>
      </c>
      <c r="N122" s="165" t="s">
        <v>2554</v>
      </c>
      <c r="O122" s="232">
        <v>28812.0</v>
      </c>
      <c r="P122" s="214"/>
      <c r="Q122" s="214"/>
      <c r="R122" s="214"/>
      <c r="S122" s="214"/>
      <c r="T122" s="214"/>
      <c r="U122" s="214"/>
      <c r="V122" s="214"/>
      <c r="W122" s="214"/>
      <c r="X122" s="214"/>
      <c r="Y122" s="214"/>
      <c r="Z122" s="214"/>
      <c r="AA122" s="214"/>
    </row>
    <row r="123" ht="33.75" customHeight="1">
      <c r="A123" s="205" t="str">
        <f>HYPERLINK("https://drive.google.com/open?id=0B6Vr5nVC58V5MkJmbGZvWU5vSjdCWUVBcEphcVdRUG9NaDlv","33306")</f>
        <v>33306</v>
      </c>
      <c r="B123" s="204" t="s">
        <v>21</v>
      </c>
      <c r="C123" s="165">
        <v>1690.0</v>
      </c>
      <c r="D123" s="215" t="s">
        <v>2893</v>
      </c>
      <c r="E123" s="207" t="s">
        <v>2894</v>
      </c>
      <c r="F123" s="216">
        <v>43695.0</v>
      </c>
      <c r="G123" s="209">
        <v>43691.0</v>
      </c>
      <c r="H123" s="165" t="s">
        <v>1747</v>
      </c>
      <c r="I123" s="231">
        <v>43697.0</v>
      </c>
      <c r="J123" s="204" t="s">
        <v>2895</v>
      </c>
      <c r="K123" s="215" t="s">
        <v>2755</v>
      </c>
      <c r="L123" s="207" t="s">
        <v>2896</v>
      </c>
      <c r="M123" s="215" t="s">
        <v>497</v>
      </c>
      <c r="N123" s="165" t="s">
        <v>2554</v>
      </c>
      <c r="O123" s="232">
        <v>43216.58</v>
      </c>
      <c r="P123" s="214"/>
      <c r="Q123" s="214"/>
      <c r="R123" s="214"/>
      <c r="S123" s="214"/>
      <c r="T123" s="214"/>
      <c r="U123" s="214"/>
      <c r="V123" s="214"/>
      <c r="W123" s="214"/>
      <c r="X123" s="214"/>
      <c r="Y123" s="214"/>
      <c r="Z123" s="214"/>
      <c r="AA123" s="214"/>
    </row>
    <row r="124" ht="41.25" customHeight="1">
      <c r="A124" s="190" t="str">
        <f>HYPERLINK("https://drive.google.com/open?id=0B6Vr5nVC58V5LTFGVy1NNXdoc1RYX0dSbkJqZThTY0dSSXY4","33544")</f>
        <v>33544</v>
      </c>
      <c r="B124" s="204" t="s">
        <v>21</v>
      </c>
      <c r="C124" s="165">
        <v>930.0</v>
      </c>
      <c r="D124" s="215" t="s">
        <v>2897</v>
      </c>
      <c r="E124" s="207" t="s">
        <v>2898</v>
      </c>
      <c r="F124" s="193">
        <v>43693.0</v>
      </c>
      <c r="G124" s="220">
        <v>43690.0</v>
      </c>
      <c r="H124" s="191" t="s">
        <v>1747</v>
      </c>
      <c r="I124" s="234">
        <v>43698.0</v>
      </c>
      <c r="J124" s="204" t="s">
        <v>2899</v>
      </c>
      <c r="K124" s="215" t="s">
        <v>2755</v>
      </c>
      <c r="L124" s="207" t="s">
        <v>2900</v>
      </c>
      <c r="M124" s="215"/>
      <c r="N124" s="165"/>
      <c r="O124" s="232"/>
      <c r="P124" s="214"/>
      <c r="Q124" s="214"/>
      <c r="R124" s="214"/>
      <c r="S124" s="214"/>
      <c r="T124" s="214"/>
      <c r="U124" s="214"/>
      <c r="V124" s="214"/>
      <c r="W124" s="214"/>
      <c r="X124" s="214"/>
      <c r="Y124" s="214"/>
      <c r="Z124" s="214"/>
      <c r="AA124" s="214"/>
    </row>
    <row r="125" ht="40.5" customHeight="1">
      <c r="A125" s="205" t="str">
        <f>HYPERLINK("https://drive.google.com/open?id=0B6Vr5nVC58V5SXEyZFZCU3hDZkNaVEJUdXBGckJEcWRwdXVF","33149")</f>
        <v>33149</v>
      </c>
      <c r="B125" s="204" t="s">
        <v>14</v>
      </c>
      <c r="C125" s="165">
        <v>1160.0</v>
      </c>
      <c r="D125" s="215" t="s">
        <v>2901</v>
      </c>
      <c r="E125" s="207" t="s">
        <v>2775</v>
      </c>
      <c r="F125" s="216">
        <v>43689.0</v>
      </c>
      <c r="G125" s="209">
        <v>43692.0</v>
      </c>
      <c r="H125" s="165" t="s">
        <v>1747</v>
      </c>
      <c r="I125" s="231">
        <v>43700.0</v>
      </c>
      <c r="J125" s="215" t="s">
        <v>2535</v>
      </c>
      <c r="K125" s="215" t="s">
        <v>2535</v>
      </c>
      <c r="L125" s="207" t="s">
        <v>2902</v>
      </c>
      <c r="M125" s="215" t="s">
        <v>497</v>
      </c>
      <c r="N125" s="165" t="s">
        <v>2554</v>
      </c>
      <c r="O125" s="232">
        <v>31865.2</v>
      </c>
      <c r="P125" s="214"/>
      <c r="Q125" s="214"/>
      <c r="R125" s="214"/>
      <c r="S125" s="214"/>
      <c r="T125" s="214"/>
      <c r="U125" s="214"/>
      <c r="V125" s="214"/>
      <c r="W125" s="214"/>
      <c r="X125" s="214"/>
      <c r="Y125" s="214"/>
      <c r="Z125" s="214"/>
      <c r="AA125" s="214"/>
    </row>
    <row r="126" ht="33.75" customHeight="1">
      <c r="A126" s="205" t="str">
        <f>HYPERLINK("https://drive.google.com/open?id=0B6Vr5nVC58V5aldIbFdrWTJzWk1sY190LXFYeUVtTXRJaDY0","33150")</f>
        <v>33150</v>
      </c>
      <c r="B126" s="204" t="s">
        <v>21</v>
      </c>
      <c r="C126" s="165">
        <v>2100.0</v>
      </c>
      <c r="D126" s="215" t="s">
        <v>2903</v>
      </c>
      <c r="E126" s="212" t="s">
        <v>2807</v>
      </c>
      <c r="F126" s="216">
        <v>43688.0</v>
      </c>
      <c r="G126" s="209">
        <v>43684.0</v>
      </c>
      <c r="H126" s="165" t="s">
        <v>1747</v>
      </c>
      <c r="I126" s="231">
        <v>43691.0</v>
      </c>
      <c r="J126" s="204" t="s">
        <v>2904</v>
      </c>
      <c r="K126" s="215" t="s">
        <v>2755</v>
      </c>
      <c r="L126" s="207" t="s">
        <v>2905</v>
      </c>
      <c r="M126" s="215" t="s">
        <v>497</v>
      </c>
      <c r="N126" s="165" t="s">
        <v>2554</v>
      </c>
      <c r="O126" s="232">
        <v>28812.0</v>
      </c>
      <c r="P126" s="214"/>
      <c r="Q126" s="214"/>
      <c r="R126" s="214"/>
      <c r="S126" s="214"/>
      <c r="T126" s="214"/>
      <c r="U126" s="214"/>
      <c r="V126" s="214"/>
      <c r="W126" s="214"/>
      <c r="X126" s="214"/>
      <c r="Y126" s="214"/>
      <c r="Z126" s="214"/>
      <c r="AA126" s="214"/>
    </row>
    <row r="127" ht="33.75" customHeight="1">
      <c r="A127" s="205" t="str">
        <f>HYPERLINK("https://drive.google.com/open?id=0B6Vr5nVC58V5Mmg2eVgwSDVhc3BXY0JRZTJudllMb0JCOUV3","33152")</f>
        <v>33152</v>
      </c>
      <c r="B127" s="204" t="s">
        <v>21</v>
      </c>
      <c r="C127" s="165">
        <v>1160.0</v>
      </c>
      <c r="D127" s="215" t="s">
        <v>2906</v>
      </c>
      <c r="E127" s="207" t="s">
        <v>2775</v>
      </c>
      <c r="F127" s="216">
        <v>43688.0</v>
      </c>
      <c r="G127" s="209">
        <v>43684.0</v>
      </c>
      <c r="H127" s="165" t="s">
        <v>1747</v>
      </c>
      <c r="I127" s="231">
        <v>43690.0</v>
      </c>
      <c r="J127" s="204" t="s">
        <v>2907</v>
      </c>
      <c r="K127" s="215" t="s">
        <v>2755</v>
      </c>
      <c r="L127" s="207" t="s">
        <v>2908</v>
      </c>
      <c r="M127" s="215" t="s">
        <v>497</v>
      </c>
      <c r="N127" s="165" t="s">
        <v>2554</v>
      </c>
      <c r="O127" s="232">
        <v>31865.2</v>
      </c>
      <c r="P127" s="214"/>
      <c r="Q127" s="214"/>
      <c r="R127" s="214"/>
      <c r="S127" s="214"/>
      <c r="T127" s="214"/>
      <c r="U127" s="214"/>
      <c r="V127" s="214"/>
      <c r="W127" s="214"/>
      <c r="X127" s="214"/>
      <c r="Y127" s="214"/>
      <c r="Z127" s="214"/>
      <c r="AA127" s="214"/>
    </row>
    <row r="128" ht="31.5" customHeight="1">
      <c r="A128" s="190" t="str">
        <f>HYPERLINK("https://drive.google.com/open?id=0B6Vr5nVC58V5d21YREJkUDQ5RmhUZm9WbkRkcWRTQ3g2dnpB","33543")</f>
        <v>33543</v>
      </c>
      <c r="B128" s="204" t="s">
        <v>25</v>
      </c>
      <c r="C128" s="165">
        <v>930.0</v>
      </c>
      <c r="D128" s="215" t="s">
        <v>2909</v>
      </c>
      <c r="E128" s="207" t="s">
        <v>2849</v>
      </c>
      <c r="F128" s="193">
        <v>43688.0</v>
      </c>
      <c r="G128" s="220">
        <v>43691.0</v>
      </c>
      <c r="H128" s="191" t="s">
        <v>1747</v>
      </c>
      <c r="I128" s="234">
        <v>43691.0</v>
      </c>
      <c r="J128" s="215" t="s">
        <v>2535</v>
      </c>
      <c r="K128" s="215" t="s">
        <v>2535</v>
      </c>
      <c r="L128" s="207" t="s">
        <v>2910</v>
      </c>
      <c r="M128" s="215"/>
      <c r="N128" s="165"/>
      <c r="O128" s="232"/>
      <c r="P128" s="214"/>
      <c r="Q128" s="214"/>
      <c r="R128" s="214"/>
      <c r="S128" s="214"/>
      <c r="T128" s="214"/>
      <c r="U128" s="214"/>
      <c r="V128" s="214"/>
      <c r="W128" s="214"/>
      <c r="X128" s="214"/>
      <c r="Y128" s="214"/>
      <c r="Z128" s="214"/>
      <c r="AA128" s="214"/>
    </row>
    <row r="129" ht="31.5" customHeight="1">
      <c r="A129" s="205" t="str">
        <f>HYPERLINK("https://drive.google.com/open?id=0B6Vr5nVC58V5Qjdfd1JOT3dwTzAzMjdwa1Fkcm8zOG1YV1BN","33396")</f>
        <v>33396</v>
      </c>
      <c r="B129" s="215" t="s">
        <v>21</v>
      </c>
      <c r="C129" s="165">
        <v>983.0</v>
      </c>
      <c r="D129" s="191" t="s">
        <v>2911</v>
      </c>
      <c r="E129" s="212" t="s">
        <v>2665</v>
      </c>
      <c r="F129" s="233">
        <v>43688.0</v>
      </c>
      <c r="G129" s="209">
        <v>43696.0</v>
      </c>
      <c r="H129" s="165" t="s">
        <v>1747</v>
      </c>
      <c r="I129" s="231">
        <v>43703.0</v>
      </c>
      <c r="J129" s="204" t="s">
        <v>2912</v>
      </c>
      <c r="K129" s="215" t="s">
        <v>2531</v>
      </c>
      <c r="L129" s="235" t="s">
        <v>2913</v>
      </c>
      <c r="M129" s="215" t="s">
        <v>497</v>
      </c>
      <c r="N129" s="165" t="s">
        <v>2628</v>
      </c>
      <c r="O129" s="232">
        <v>43235.21</v>
      </c>
      <c r="P129" s="214"/>
      <c r="Q129" s="214"/>
      <c r="R129" s="214"/>
      <c r="S129" s="214"/>
      <c r="T129" s="214"/>
      <c r="U129" s="214"/>
      <c r="V129" s="214"/>
      <c r="W129" s="214"/>
      <c r="X129" s="214"/>
      <c r="Y129" s="214"/>
      <c r="Z129" s="214"/>
      <c r="AA129" s="214"/>
    </row>
    <row r="130" ht="31.5" customHeight="1">
      <c r="A130" s="205" t="str">
        <f>HYPERLINK("https://drive.google.com/open?id=0B6Vr5nVC58V5SVBIamJBWGtjSHF3T0h4RHV6RHJMM2d1SVl3","33340")</f>
        <v>33340</v>
      </c>
      <c r="B130" s="204" t="s">
        <v>2572</v>
      </c>
      <c r="C130" s="165">
        <v>650.0</v>
      </c>
      <c r="D130" s="215" t="s">
        <v>2914</v>
      </c>
      <c r="E130" s="207" t="s">
        <v>2575</v>
      </c>
      <c r="F130" s="216">
        <v>43686.0</v>
      </c>
      <c r="G130" s="193">
        <v>43711.0</v>
      </c>
      <c r="H130" s="191" t="s">
        <v>1747</v>
      </c>
      <c r="I130" s="234">
        <v>43693.0</v>
      </c>
      <c r="J130" s="215" t="s">
        <v>2535</v>
      </c>
      <c r="K130" s="215" t="s">
        <v>2535</v>
      </c>
      <c r="L130" s="212" t="s">
        <v>2915</v>
      </c>
      <c r="M130" s="215" t="s">
        <v>2537</v>
      </c>
      <c r="N130" s="207" t="s">
        <v>2554</v>
      </c>
      <c r="O130" s="232">
        <v>23391.38</v>
      </c>
      <c r="P130" s="214"/>
      <c r="Q130" s="214"/>
      <c r="R130" s="214"/>
      <c r="S130" s="214"/>
      <c r="T130" s="214"/>
      <c r="U130" s="214"/>
      <c r="V130" s="214"/>
      <c r="W130" s="214"/>
      <c r="X130" s="214"/>
      <c r="Y130" s="214"/>
      <c r="Z130" s="214"/>
      <c r="AA130" s="214"/>
    </row>
    <row r="131" ht="31.5" customHeight="1">
      <c r="A131" s="205" t="str">
        <f>HYPERLINK("https://drive.google.com/open?id=0B6Vr5nVC58V5SVBIamJBWGtjSHF3T0h4RHV6RHJMM2d1SVl3","33341")</f>
        <v>33341</v>
      </c>
      <c r="B131" s="204" t="s">
        <v>2572</v>
      </c>
      <c r="C131" s="165">
        <v>500.0</v>
      </c>
      <c r="D131" s="215" t="s">
        <v>2914</v>
      </c>
      <c r="E131" s="212" t="s">
        <v>2575</v>
      </c>
      <c r="F131" s="216">
        <v>43686.0</v>
      </c>
      <c r="G131" s="194">
        <v>43711.0</v>
      </c>
      <c r="H131" s="191" t="s">
        <v>1747</v>
      </c>
      <c r="I131" s="234">
        <v>43693.0</v>
      </c>
      <c r="J131" s="215" t="s">
        <v>2535</v>
      </c>
      <c r="K131" s="215" t="s">
        <v>2535</v>
      </c>
      <c r="L131" s="207" t="s">
        <v>2916</v>
      </c>
      <c r="M131" s="215" t="s">
        <v>2537</v>
      </c>
      <c r="N131" s="207" t="s">
        <v>2554</v>
      </c>
      <c r="O131" s="232">
        <v>13735.0</v>
      </c>
      <c r="P131" s="214"/>
      <c r="Q131" s="214"/>
      <c r="R131" s="214"/>
      <c r="S131" s="214"/>
      <c r="T131" s="214"/>
      <c r="U131" s="214"/>
      <c r="V131" s="214"/>
      <c r="W131" s="214"/>
      <c r="X131" s="214"/>
      <c r="Y131" s="214"/>
      <c r="Z131" s="214"/>
      <c r="AA131" s="214"/>
    </row>
    <row r="132" ht="30.75" customHeight="1">
      <c r="A132" s="190" t="str">
        <f>HYPERLINK("https://drive.google.com/open?id=0B6Vr5nVC58V5NEFqcnp3V29CZVhnQklDU09ZNnIycEpHZ29r","1327R")</f>
        <v>1327R</v>
      </c>
      <c r="B132" s="204" t="s">
        <v>21</v>
      </c>
      <c r="C132" s="165">
        <v>42.0</v>
      </c>
      <c r="D132" s="215" t="s">
        <v>2917</v>
      </c>
      <c r="E132" s="207" t="s">
        <v>2918</v>
      </c>
      <c r="F132" s="216">
        <v>43685.0</v>
      </c>
      <c r="G132" s="209">
        <v>43697.0</v>
      </c>
      <c r="H132" s="165" t="s">
        <v>1747</v>
      </c>
      <c r="I132" s="231">
        <v>43697.0</v>
      </c>
      <c r="J132" s="215" t="s">
        <v>2535</v>
      </c>
      <c r="K132" s="215" t="s">
        <v>2535</v>
      </c>
      <c r="L132" s="207" t="s">
        <v>2919</v>
      </c>
      <c r="M132" s="215"/>
      <c r="N132" s="165"/>
      <c r="O132" s="232"/>
      <c r="P132" s="214"/>
      <c r="Q132" s="214"/>
      <c r="R132" s="214"/>
      <c r="S132" s="214"/>
      <c r="T132" s="214"/>
      <c r="U132" s="214"/>
      <c r="V132" s="214"/>
      <c r="W132" s="214"/>
      <c r="X132" s="214"/>
      <c r="Y132" s="214"/>
      <c r="Z132" s="214"/>
      <c r="AA132" s="214"/>
    </row>
    <row r="133" ht="31.5" customHeight="1">
      <c r="A133" s="205" t="str">
        <f>HYPERLINK("https://drive.google.com/open?id=0B6Vr5nVC58V5VFpVdjBqcWpwTHVlUHl6Y3cwRVUxaFJ6RDV3","33476")</f>
        <v>33476</v>
      </c>
      <c r="B133" s="204" t="s">
        <v>14</v>
      </c>
      <c r="C133" s="165">
        <v>1105.0</v>
      </c>
      <c r="D133" s="215" t="s">
        <v>2920</v>
      </c>
      <c r="E133" s="207" t="s">
        <v>2733</v>
      </c>
      <c r="F133" s="216">
        <v>43685.0</v>
      </c>
      <c r="G133" s="209">
        <v>43682.0</v>
      </c>
      <c r="H133" s="165" t="s">
        <v>1747</v>
      </c>
      <c r="I133" s="231">
        <v>43691.0</v>
      </c>
      <c r="J133" s="215" t="s">
        <v>2535</v>
      </c>
      <c r="K133" s="215" t="s">
        <v>2535</v>
      </c>
      <c r="L133" s="207" t="s">
        <v>2921</v>
      </c>
      <c r="M133" s="215"/>
      <c r="N133" s="165"/>
      <c r="O133" s="232"/>
      <c r="P133" s="214"/>
      <c r="Q133" s="214"/>
      <c r="R133" s="214"/>
      <c r="S133" s="214"/>
      <c r="T133" s="214"/>
      <c r="U133" s="214"/>
      <c r="V133" s="214"/>
      <c r="W133" s="214"/>
      <c r="X133" s="214"/>
      <c r="Y133" s="214"/>
      <c r="Z133" s="214"/>
      <c r="AA133" s="214"/>
    </row>
    <row r="134" ht="31.5" customHeight="1">
      <c r="A134" s="190" t="str">
        <f>HYPERLINK("https://drive.google.com/open?id=0B6Vr5nVC58V5QzF6ZjlZamRnbFE4RGFPTW1QQlFQY0lHUmlV","33489")</f>
        <v>33489</v>
      </c>
      <c r="B134" s="204" t="s">
        <v>14</v>
      </c>
      <c r="C134" s="165">
        <v>1420.0</v>
      </c>
      <c r="D134" s="215" t="s">
        <v>2922</v>
      </c>
      <c r="E134" s="207" t="s">
        <v>2559</v>
      </c>
      <c r="F134" s="193">
        <v>43683.0</v>
      </c>
      <c r="G134" s="220">
        <v>43682.0</v>
      </c>
      <c r="H134" s="191" t="s">
        <v>1747</v>
      </c>
      <c r="I134" s="234">
        <v>43689.0</v>
      </c>
      <c r="J134" s="215" t="s">
        <v>2535</v>
      </c>
      <c r="K134" s="215" t="s">
        <v>2535</v>
      </c>
      <c r="L134" s="207" t="s">
        <v>2923</v>
      </c>
      <c r="M134" s="215"/>
      <c r="N134" s="165"/>
      <c r="O134" s="232"/>
      <c r="P134" s="214"/>
      <c r="Q134" s="214"/>
      <c r="R134" s="214"/>
      <c r="S134" s="214"/>
      <c r="T134" s="214"/>
      <c r="U134" s="214"/>
      <c r="V134" s="214"/>
      <c r="W134" s="214"/>
      <c r="X134" s="214"/>
      <c r="Y134" s="214"/>
      <c r="Z134" s="214"/>
      <c r="AA134" s="214"/>
    </row>
    <row r="135" ht="36.0" customHeight="1">
      <c r="A135" s="205" t="str">
        <f>HYPERLINK("https://drive.google.com/open?id=0B6Vr5nVC58V5RlVWTi03U0ZCSkZFa3BkMjBvV3VoNzJHUUZ3","33141")</f>
        <v>33141</v>
      </c>
      <c r="B135" s="204" t="s">
        <v>21</v>
      </c>
      <c r="C135" s="165">
        <v>1160.0</v>
      </c>
      <c r="D135" s="239" t="s">
        <v>2924</v>
      </c>
      <c r="E135" s="207" t="s">
        <v>2925</v>
      </c>
      <c r="F135" s="216">
        <v>43681.0</v>
      </c>
      <c r="G135" s="209">
        <v>43677.0</v>
      </c>
      <c r="H135" s="165" t="s">
        <v>1747</v>
      </c>
      <c r="I135" s="231">
        <v>43685.0</v>
      </c>
      <c r="J135" s="204" t="s">
        <v>2926</v>
      </c>
      <c r="K135" s="215" t="s">
        <v>2927</v>
      </c>
      <c r="L135" s="207" t="s">
        <v>2928</v>
      </c>
      <c r="M135" s="215" t="s">
        <v>497</v>
      </c>
      <c r="N135" s="165" t="s">
        <v>2554</v>
      </c>
      <c r="O135" s="232">
        <v>31865.2</v>
      </c>
      <c r="P135" s="214"/>
      <c r="Q135" s="214"/>
      <c r="R135" s="214"/>
      <c r="S135" s="214"/>
      <c r="T135" s="214"/>
      <c r="U135" s="214"/>
      <c r="V135" s="214"/>
      <c r="W135" s="214"/>
      <c r="X135" s="214"/>
      <c r="Y135" s="214"/>
      <c r="Z135" s="214"/>
      <c r="AA135" s="214"/>
    </row>
    <row r="136" ht="36.0" customHeight="1">
      <c r="A136" s="190" t="str">
        <f>HYPERLINK("https://drive.google.com/open?id=0B6Vr5nVC58V5UGpld05zMm1MMFJ4TjVGNmZnQjEwU1UwU3gw","33532")</f>
        <v>33532</v>
      </c>
      <c r="B136" s="204" t="s">
        <v>21</v>
      </c>
      <c r="C136" s="165" t="s">
        <v>2929</v>
      </c>
      <c r="D136" s="215" t="s">
        <v>2930</v>
      </c>
      <c r="E136" s="207" t="s">
        <v>2931</v>
      </c>
      <c r="F136" s="193">
        <v>43680.0</v>
      </c>
      <c r="G136" s="209">
        <v>43676.0</v>
      </c>
      <c r="H136" s="165" t="s">
        <v>1747</v>
      </c>
      <c r="I136" s="231">
        <v>43684.0</v>
      </c>
      <c r="J136" s="204" t="s">
        <v>2932</v>
      </c>
      <c r="K136" s="215" t="s">
        <v>2927</v>
      </c>
      <c r="L136" s="207" t="s">
        <v>2933</v>
      </c>
      <c r="M136" s="215"/>
      <c r="N136" s="165"/>
      <c r="O136" s="232"/>
      <c r="P136" s="214"/>
      <c r="Q136" s="214"/>
      <c r="R136" s="214"/>
      <c r="S136" s="214"/>
      <c r="T136" s="214"/>
      <c r="U136" s="214"/>
      <c r="V136" s="214"/>
      <c r="W136" s="214"/>
      <c r="X136" s="214"/>
      <c r="Y136" s="214"/>
      <c r="Z136" s="214"/>
      <c r="AA136" s="214"/>
    </row>
    <row r="137" ht="36.0" customHeight="1">
      <c r="A137" s="205" t="str">
        <f>HYPERLINK("https://drive.google.com/open?id=0B6Vr5nVC58V5d0NXZl8wVkQwRGo5YWc1TGxpRXJ3VlpHZXg4","33472")</f>
        <v>33472</v>
      </c>
      <c r="B137" s="204" t="s">
        <v>21</v>
      </c>
      <c r="C137" s="165">
        <v>220.0</v>
      </c>
      <c r="D137" s="239" t="s">
        <v>2934</v>
      </c>
      <c r="E137" s="207" t="s">
        <v>2689</v>
      </c>
      <c r="F137" s="193">
        <v>43680.0</v>
      </c>
      <c r="G137" s="220">
        <v>43678.0</v>
      </c>
      <c r="H137" s="191" t="s">
        <v>1747</v>
      </c>
      <c r="I137" s="234">
        <v>43689.0</v>
      </c>
      <c r="J137" s="204" t="s">
        <v>2935</v>
      </c>
      <c r="K137" s="215" t="s">
        <v>2927</v>
      </c>
      <c r="L137" s="207" t="s">
        <v>2936</v>
      </c>
      <c r="M137" s="215"/>
      <c r="N137" s="165"/>
      <c r="O137" s="232"/>
      <c r="P137" s="214"/>
      <c r="Q137" s="214"/>
      <c r="R137" s="214"/>
      <c r="S137" s="214"/>
      <c r="T137" s="214"/>
      <c r="U137" s="214"/>
      <c r="V137" s="214"/>
      <c r="W137" s="214"/>
      <c r="X137" s="214"/>
      <c r="Y137" s="214"/>
      <c r="Z137" s="214"/>
      <c r="AA137" s="214"/>
    </row>
    <row r="138" ht="35.25" customHeight="1">
      <c r="A138" s="190" t="str">
        <f>HYPERLINK("https://drive.google.com/open?id=0B6Vr5nVC58V5RVNLX3IyLTllZzVRNkRVcWpkXzhyaDBqLXJJ","33463")</f>
        <v>33463</v>
      </c>
      <c r="B138" s="204" t="s">
        <v>14</v>
      </c>
      <c r="C138" s="165">
        <v>225.0</v>
      </c>
      <c r="D138" s="215" t="s">
        <v>2937</v>
      </c>
      <c r="E138" s="207" t="s">
        <v>2938</v>
      </c>
      <c r="F138" s="216">
        <v>43679.0</v>
      </c>
      <c r="G138" s="220">
        <v>43675.0</v>
      </c>
      <c r="H138" s="191" t="s">
        <v>1747</v>
      </c>
      <c r="I138" s="234">
        <v>43684.0</v>
      </c>
      <c r="J138" s="215" t="s">
        <v>2535</v>
      </c>
      <c r="K138" s="215" t="s">
        <v>2535</v>
      </c>
      <c r="L138" s="244" t="s">
        <v>2939</v>
      </c>
      <c r="M138" s="215"/>
      <c r="N138" s="165"/>
      <c r="O138" s="232"/>
      <c r="P138" s="214"/>
      <c r="Q138" s="214"/>
      <c r="R138" s="214"/>
      <c r="S138" s="214"/>
      <c r="T138" s="214"/>
      <c r="U138" s="214"/>
      <c r="V138" s="214"/>
      <c r="W138" s="214"/>
      <c r="X138" s="214"/>
      <c r="Y138" s="214"/>
      <c r="Z138" s="214"/>
      <c r="AA138" s="214"/>
    </row>
    <row r="139" ht="36.75" customHeight="1">
      <c r="A139" s="190" t="str">
        <f>HYPERLINK("https://drive.google.com/open?id=0B6Vr5nVC58V5YWZaSmE5UFRJM2pmUEw3ZVIxZWhyWTNmZGRv","33444")</f>
        <v>33444</v>
      </c>
      <c r="B139" s="204" t="s">
        <v>14</v>
      </c>
      <c r="C139" s="165">
        <v>944.0</v>
      </c>
      <c r="D139" s="215" t="s">
        <v>2940</v>
      </c>
      <c r="E139" s="212" t="s">
        <v>2941</v>
      </c>
      <c r="F139" s="200">
        <v>43677.0</v>
      </c>
      <c r="G139" s="209">
        <v>43675.0</v>
      </c>
      <c r="H139" s="165" t="s">
        <v>1747</v>
      </c>
      <c r="I139" s="231">
        <v>43683.0</v>
      </c>
      <c r="J139" s="215" t="s">
        <v>2535</v>
      </c>
      <c r="K139" s="215" t="s">
        <v>2535</v>
      </c>
      <c r="L139" s="207" t="s">
        <v>2942</v>
      </c>
      <c r="M139" s="215"/>
      <c r="N139" s="165"/>
      <c r="O139" s="232"/>
      <c r="P139" s="214"/>
      <c r="Q139" s="214"/>
      <c r="R139" s="214"/>
      <c r="S139" s="214"/>
      <c r="T139" s="214"/>
      <c r="U139" s="214"/>
      <c r="V139" s="214"/>
      <c r="W139" s="214"/>
      <c r="X139" s="214"/>
      <c r="Y139" s="214"/>
      <c r="Z139" s="214"/>
      <c r="AA139" s="214"/>
    </row>
    <row r="140" ht="40.5" customHeight="1">
      <c r="A140" s="190" t="str">
        <f>HYPERLINK("https://drive.google.com/open?id=0B6Vr5nVC58V5bTUxMlpfbFppdktKU3liUHVpLWtnUVRwcWcw","33171")</f>
        <v>33171</v>
      </c>
      <c r="B140" s="204" t="s">
        <v>21</v>
      </c>
      <c r="C140" s="165">
        <v>193.0</v>
      </c>
      <c r="D140" s="215" t="s">
        <v>2943</v>
      </c>
      <c r="E140" s="207" t="s">
        <v>2944</v>
      </c>
      <c r="F140" s="216">
        <v>43676.0</v>
      </c>
      <c r="G140" s="209">
        <v>43671.0</v>
      </c>
      <c r="H140" s="165" t="s">
        <v>1747</v>
      </c>
      <c r="I140" s="231">
        <v>43684.0</v>
      </c>
      <c r="J140" s="204" t="s">
        <v>2945</v>
      </c>
      <c r="K140" s="215" t="s">
        <v>2531</v>
      </c>
      <c r="L140" s="207" t="s">
        <v>2946</v>
      </c>
      <c r="M140" s="215" t="s">
        <v>497</v>
      </c>
      <c r="N140" s="165" t="s">
        <v>2628</v>
      </c>
      <c r="O140" s="232">
        <v>25102.47</v>
      </c>
      <c r="P140" s="214"/>
      <c r="Q140" s="214"/>
      <c r="R140" s="214"/>
      <c r="S140" s="214"/>
      <c r="T140" s="214"/>
      <c r="U140" s="214"/>
      <c r="V140" s="214"/>
      <c r="W140" s="214"/>
      <c r="X140" s="214"/>
      <c r="Y140" s="214"/>
      <c r="Z140" s="214"/>
      <c r="AA140" s="214"/>
    </row>
    <row r="141" ht="28.5" customHeight="1">
      <c r="A141" s="190" t="str">
        <f>HYPERLINK("https://drive.google.com/open?id=0B6Vr5nVC58V5Ml9sRm84N1EwQjRUTkdZUHhFMElOU2YtSTRB","33464")</f>
        <v>33464</v>
      </c>
      <c r="B141" s="204" t="s">
        <v>21</v>
      </c>
      <c r="C141" s="165">
        <v>1100.0</v>
      </c>
      <c r="D141" s="215" t="s">
        <v>2947</v>
      </c>
      <c r="E141" s="207" t="s">
        <v>2948</v>
      </c>
      <c r="F141" s="216">
        <v>43674.0</v>
      </c>
      <c r="G141" s="216">
        <v>43670.0</v>
      </c>
      <c r="H141" s="165" t="s">
        <v>1747</v>
      </c>
      <c r="I141" s="231">
        <v>43682.0</v>
      </c>
      <c r="J141" s="204" t="s">
        <v>2949</v>
      </c>
      <c r="K141" s="215" t="s">
        <v>2755</v>
      </c>
      <c r="L141" s="218" t="s">
        <v>2950</v>
      </c>
      <c r="M141" s="215"/>
      <c r="N141" s="165"/>
      <c r="O141" s="232"/>
      <c r="P141" s="214"/>
      <c r="Q141" s="214"/>
      <c r="R141" s="214"/>
      <c r="S141" s="214"/>
      <c r="T141" s="214"/>
      <c r="U141" s="214"/>
      <c r="V141" s="214"/>
      <c r="W141" s="214"/>
      <c r="X141" s="214"/>
      <c r="Y141" s="214"/>
      <c r="Z141" s="214"/>
      <c r="AA141" s="214"/>
    </row>
    <row r="142" ht="28.5" customHeight="1">
      <c r="A142" s="190" t="str">
        <f>HYPERLINK("https://drive.google.com/open?id=0B6Vr5nVC58V5T0NoLW5XSnhXazdxWXg2ZlBUa2ZiYU1iREJZ","33373")</f>
        <v>33373</v>
      </c>
      <c r="B142" s="215" t="s">
        <v>21</v>
      </c>
      <c r="C142" s="191">
        <v>15.0</v>
      </c>
      <c r="D142" s="215" t="s">
        <v>2951</v>
      </c>
      <c r="E142" s="207" t="s">
        <v>2952</v>
      </c>
      <c r="F142" s="216">
        <v>43672.0</v>
      </c>
      <c r="G142" s="209">
        <v>43670.0</v>
      </c>
      <c r="H142" s="165" t="s">
        <v>1747</v>
      </c>
      <c r="I142" s="231">
        <v>43684.0</v>
      </c>
      <c r="J142" s="215" t="s">
        <v>2535</v>
      </c>
      <c r="K142" s="215" t="s">
        <v>2535</v>
      </c>
      <c r="L142" s="207" t="s">
        <v>2953</v>
      </c>
      <c r="M142" s="215"/>
      <c r="N142" s="165"/>
      <c r="O142" s="232"/>
      <c r="P142" s="214"/>
      <c r="Q142" s="214"/>
      <c r="R142" s="214"/>
      <c r="S142" s="214"/>
      <c r="T142" s="214"/>
      <c r="U142" s="214"/>
      <c r="V142" s="214"/>
      <c r="W142" s="214"/>
      <c r="X142" s="214"/>
      <c r="Y142" s="214"/>
      <c r="Z142" s="214"/>
      <c r="AA142" s="214"/>
    </row>
    <row r="143" ht="28.5" customHeight="1">
      <c r="A143" s="190" t="str">
        <f>HYPERLINK("https://drive.google.com/open?id=0B6Vr5nVC58V5OGphWUlTM3NFZGVub2xwR2VvNWZEN2l5Y3Uw","33197")</f>
        <v>33197</v>
      </c>
      <c r="B143" s="204" t="s">
        <v>14</v>
      </c>
      <c r="C143" s="165">
        <v>446.0</v>
      </c>
      <c r="D143" s="215" t="s">
        <v>2954</v>
      </c>
      <c r="E143" s="212" t="s">
        <v>2955</v>
      </c>
      <c r="F143" s="216">
        <v>43671.0</v>
      </c>
      <c r="G143" s="220">
        <v>43672.0</v>
      </c>
      <c r="H143" s="191" t="s">
        <v>1747</v>
      </c>
      <c r="I143" s="234">
        <v>43678.0</v>
      </c>
      <c r="J143" s="215" t="s">
        <v>2535</v>
      </c>
      <c r="K143" s="215" t="s">
        <v>2535</v>
      </c>
      <c r="L143" s="212" t="s">
        <v>2956</v>
      </c>
      <c r="M143" s="215"/>
      <c r="N143" s="165"/>
      <c r="O143" s="232"/>
      <c r="P143" s="214"/>
      <c r="Q143" s="214"/>
      <c r="R143" s="214"/>
      <c r="S143" s="214"/>
      <c r="T143" s="214"/>
      <c r="U143" s="214"/>
      <c r="V143" s="214"/>
      <c r="W143" s="214"/>
      <c r="X143" s="214"/>
      <c r="Y143" s="214"/>
      <c r="Z143" s="214"/>
      <c r="AA143" s="214"/>
    </row>
    <row r="144" ht="28.5" customHeight="1">
      <c r="A144" s="190" t="str">
        <f>HYPERLINK("https://drive.google.com/open?id=0B6Vr5nVC58V5Z0RKNTlMV2tnQ09DdGtsRkNoTFBwUXpIM2R3","33440")</f>
        <v>33440</v>
      </c>
      <c r="B144" s="204" t="s">
        <v>21</v>
      </c>
      <c r="C144" s="165">
        <v>1412.0</v>
      </c>
      <c r="D144" s="215" t="s">
        <v>2957</v>
      </c>
      <c r="E144" s="207" t="s">
        <v>2958</v>
      </c>
      <c r="F144" s="216">
        <v>43670.0</v>
      </c>
      <c r="G144" s="220">
        <v>43668.0</v>
      </c>
      <c r="H144" s="191" t="s">
        <v>1747</v>
      </c>
      <c r="I144" s="234">
        <v>43677.0</v>
      </c>
      <c r="J144" s="204" t="s">
        <v>2959</v>
      </c>
      <c r="K144" s="215" t="s">
        <v>2755</v>
      </c>
      <c r="L144" s="235" t="s">
        <v>2960</v>
      </c>
      <c r="M144" s="215"/>
      <c r="N144" s="165"/>
      <c r="O144" s="232"/>
      <c r="P144" s="214"/>
      <c r="Q144" s="214"/>
      <c r="R144" s="214"/>
      <c r="S144" s="214"/>
      <c r="T144" s="214"/>
      <c r="U144" s="214"/>
      <c r="V144" s="214"/>
      <c r="W144" s="214"/>
      <c r="X144" s="214"/>
      <c r="Y144" s="214"/>
      <c r="Z144" s="214"/>
      <c r="AA144" s="214"/>
    </row>
    <row r="145" ht="28.5" customHeight="1">
      <c r="A145" s="205" t="str">
        <f>HYPERLINK("https://drive.google.com/open?id=0B6Vr5nVC58V5bnhuM05DQTVqcEhVU183VERNbEJITmNhWVhR","33293")</f>
        <v>33293</v>
      </c>
      <c r="B145" s="204" t="s">
        <v>21</v>
      </c>
      <c r="C145" s="165">
        <v>2728.0</v>
      </c>
      <c r="D145" s="215" t="s">
        <v>2961</v>
      </c>
      <c r="E145" s="207" t="s">
        <v>2962</v>
      </c>
      <c r="F145" s="216">
        <v>43667.0</v>
      </c>
      <c r="G145" s="209">
        <v>43663.0</v>
      </c>
      <c r="H145" s="165" t="s">
        <v>1747</v>
      </c>
      <c r="I145" s="231">
        <v>43669.0</v>
      </c>
      <c r="J145" s="204" t="s">
        <v>2963</v>
      </c>
      <c r="K145" s="215" t="s">
        <v>2531</v>
      </c>
      <c r="L145" s="207" t="s">
        <v>2964</v>
      </c>
      <c r="M145" s="215" t="s">
        <v>497</v>
      </c>
      <c r="N145" s="165" t="s">
        <v>2554</v>
      </c>
      <c r="O145" s="232">
        <v>19286.96</v>
      </c>
      <c r="P145" s="214"/>
      <c r="Q145" s="214"/>
      <c r="R145" s="214"/>
      <c r="S145" s="214"/>
      <c r="T145" s="214"/>
      <c r="U145" s="214"/>
      <c r="V145" s="214"/>
      <c r="W145" s="214"/>
      <c r="X145" s="214"/>
      <c r="Y145" s="214"/>
      <c r="Z145" s="214"/>
      <c r="AA145" s="214"/>
    </row>
    <row r="146" ht="28.5" customHeight="1">
      <c r="A146" s="190" t="str">
        <f>HYPERLINK("https://drive.google.com/open?id=0B6Vr5nVC58V5bk5NYUtFbjBCNWN4UFFKb3NsdFJTdVB6bm53","33470")</f>
        <v>33470</v>
      </c>
      <c r="B146" s="204" t="s">
        <v>25</v>
      </c>
      <c r="C146" s="165">
        <v>930.0</v>
      </c>
      <c r="D146" s="215" t="s">
        <v>2965</v>
      </c>
      <c r="E146" s="212" t="s">
        <v>2849</v>
      </c>
      <c r="F146" s="216">
        <v>43667.0</v>
      </c>
      <c r="G146" s="220">
        <v>43663.0</v>
      </c>
      <c r="H146" s="191" t="s">
        <v>1747</v>
      </c>
      <c r="I146" s="234">
        <v>43670.0</v>
      </c>
      <c r="J146" s="215" t="s">
        <v>2535</v>
      </c>
      <c r="K146" s="215" t="s">
        <v>2535</v>
      </c>
      <c r="L146" s="207" t="s">
        <v>2966</v>
      </c>
      <c r="M146" s="215"/>
      <c r="N146" s="165"/>
      <c r="O146" s="232"/>
      <c r="P146" s="214"/>
      <c r="Q146" s="214"/>
      <c r="R146" s="214"/>
      <c r="S146" s="214"/>
      <c r="T146" s="214"/>
      <c r="U146" s="214"/>
      <c r="V146" s="214"/>
      <c r="W146" s="214"/>
      <c r="X146" s="214"/>
      <c r="Y146" s="214"/>
      <c r="Z146" s="214"/>
      <c r="AA146" s="214"/>
    </row>
    <row r="147" ht="28.5" customHeight="1">
      <c r="A147" s="190" t="str">
        <f>HYPERLINK("https://drive.google.com/open?id=0B6Vr5nVC58V5el8xNDhqYXVuSmVBYVpmcVo0YVNyT2pQS25n","33471")</f>
        <v>33471</v>
      </c>
      <c r="B147" s="204" t="s">
        <v>21</v>
      </c>
      <c r="C147" s="165">
        <v>930.0</v>
      </c>
      <c r="D147" s="215" t="s">
        <v>2967</v>
      </c>
      <c r="E147" s="207" t="s">
        <v>2849</v>
      </c>
      <c r="F147" s="216">
        <v>43667.0</v>
      </c>
      <c r="G147" s="220">
        <v>43668.0</v>
      </c>
      <c r="H147" s="191" t="s">
        <v>1747</v>
      </c>
      <c r="I147" s="234">
        <v>43676.0</v>
      </c>
      <c r="J147" s="204" t="s">
        <v>2968</v>
      </c>
      <c r="K147" s="215" t="s">
        <v>2755</v>
      </c>
      <c r="L147" s="207" t="s">
        <v>2969</v>
      </c>
      <c r="M147" s="215"/>
      <c r="N147" s="165"/>
      <c r="O147" s="232"/>
      <c r="P147" s="214"/>
      <c r="Q147" s="214"/>
      <c r="R147" s="214"/>
      <c r="S147" s="214"/>
      <c r="T147" s="214"/>
      <c r="U147" s="214"/>
      <c r="V147" s="214"/>
      <c r="W147" s="214"/>
      <c r="X147" s="214"/>
      <c r="Y147" s="214"/>
      <c r="Z147" s="214"/>
      <c r="AA147" s="214"/>
    </row>
    <row r="148" ht="28.5" customHeight="1">
      <c r="A148" s="205" t="str">
        <f>HYPERLINK("https://drive.google.com/open?id=0B6Vr5nVC58V5STlUZWhMdHZrdDNvd2FMdGZoLUtZYlE0Y2tZ","33131")</f>
        <v>33131</v>
      </c>
      <c r="B148" s="204" t="s">
        <v>21</v>
      </c>
      <c r="C148" s="165">
        <v>1160.0</v>
      </c>
      <c r="D148" s="215" t="s">
        <v>2970</v>
      </c>
      <c r="E148" s="212" t="s">
        <v>2971</v>
      </c>
      <c r="F148" s="216">
        <v>43667.0</v>
      </c>
      <c r="G148" s="209">
        <v>43663.0</v>
      </c>
      <c r="H148" s="165" t="s">
        <v>1747</v>
      </c>
      <c r="I148" s="231">
        <v>43670.0</v>
      </c>
      <c r="J148" s="204" t="s">
        <v>2972</v>
      </c>
      <c r="K148" s="215" t="s">
        <v>2531</v>
      </c>
      <c r="L148" s="207" t="s">
        <v>2973</v>
      </c>
      <c r="M148" s="215" t="s">
        <v>497</v>
      </c>
      <c r="N148" s="165" t="s">
        <v>2554</v>
      </c>
      <c r="O148" s="232">
        <v>31865.2</v>
      </c>
      <c r="P148" s="214"/>
      <c r="Q148" s="214"/>
      <c r="R148" s="214"/>
      <c r="S148" s="214"/>
      <c r="T148" s="214"/>
      <c r="U148" s="214"/>
      <c r="V148" s="214"/>
      <c r="W148" s="214"/>
      <c r="X148" s="214"/>
      <c r="Y148" s="214"/>
      <c r="Z148" s="214"/>
      <c r="AA148" s="214"/>
    </row>
    <row r="149" ht="28.5" customHeight="1">
      <c r="A149" s="205" t="str">
        <f>HYPERLINK("https://drive.google.com/open?id=0B6Vr5nVC58V5bHl3YUVYbTRKVThPOVF3UHhUS2xBZll5bTJz","33130")</f>
        <v>33130</v>
      </c>
      <c r="B149" s="204" t="s">
        <v>25</v>
      </c>
      <c r="C149" s="165">
        <v>1261.0</v>
      </c>
      <c r="D149" s="215" t="s">
        <v>2974</v>
      </c>
      <c r="E149" s="207" t="s">
        <v>2975</v>
      </c>
      <c r="F149" s="216">
        <v>43663.0</v>
      </c>
      <c r="G149" s="209">
        <v>43661.0</v>
      </c>
      <c r="H149" s="165" t="s">
        <v>1747</v>
      </c>
      <c r="I149" s="231">
        <v>43665.0</v>
      </c>
      <c r="J149" s="215" t="s">
        <v>2535</v>
      </c>
      <c r="K149" s="215" t="s">
        <v>2535</v>
      </c>
      <c r="L149" s="207" t="s">
        <v>2976</v>
      </c>
      <c r="M149" s="215" t="s">
        <v>497</v>
      </c>
      <c r="N149" s="165" t="s">
        <v>2554</v>
      </c>
      <c r="O149" s="232">
        <v>45757.67</v>
      </c>
      <c r="P149" s="214"/>
      <c r="Q149" s="214"/>
      <c r="R149" s="214"/>
      <c r="S149" s="214"/>
      <c r="T149" s="214"/>
      <c r="U149" s="214"/>
      <c r="V149" s="214"/>
      <c r="W149" s="214"/>
      <c r="X149" s="214"/>
      <c r="Y149" s="214"/>
      <c r="Z149" s="214"/>
      <c r="AA149" s="214"/>
    </row>
    <row r="150" ht="28.5" customHeight="1">
      <c r="A150" s="190" t="str">
        <f>HYPERLINK("https://drive.google.com/open?id=0B6Vr5nVC58V5OHpjLU1BZWpURjF3ckRMOW5uZTNhZ0hGTVdj","33438")</f>
        <v>33438</v>
      </c>
      <c r="B150" s="204" t="s">
        <v>14</v>
      </c>
      <c r="C150" s="165">
        <v>930.0</v>
      </c>
      <c r="D150" s="215" t="s">
        <v>2977</v>
      </c>
      <c r="E150" s="212" t="s">
        <v>2849</v>
      </c>
      <c r="F150" s="216">
        <v>43661.0</v>
      </c>
      <c r="G150" s="220">
        <v>43664.0</v>
      </c>
      <c r="H150" s="191" t="s">
        <v>1747</v>
      </c>
      <c r="I150" s="234">
        <v>43669.0</v>
      </c>
      <c r="J150" s="215" t="s">
        <v>2535</v>
      </c>
      <c r="K150" s="215" t="s">
        <v>2535</v>
      </c>
      <c r="L150" s="212" t="s">
        <v>2978</v>
      </c>
      <c r="M150" s="215"/>
      <c r="N150" s="165"/>
      <c r="O150" s="232"/>
      <c r="P150" s="214"/>
      <c r="Q150" s="214"/>
      <c r="R150" s="214"/>
      <c r="S150" s="214"/>
      <c r="T150" s="214"/>
      <c r="U150" s="214"/>
      <c r="V150" s="214"/>
      <c r="W150" s="214"/>
      <c r="X150" s="214"/>
      <c r="Y150" s="214"/>
      <c r="Z150" s="214"/>
      <c r="AA150" s="214"/>
    </row>
    <row r="151" ht="28.5" customHeight="1">
      <c r="A151" s="190" t="str">
        <f>HYPERLINK("https://drive.google.com/open?id=0B6Vr5nVC58V5bWJjdnpiZjd4dHZtelJ5bDRSWnJsdzcyRzZN","33439")</f>
        <v>33439</v>
      </c>
      <c r="B151" s="204" t="s">
        <v>14</v>
      </c>
      <c r="C151" s="165">
        <v>1220.0</v>
      </c>
      <c r="D151" s="215" t="s">
        <v>2979</v>
      </c>
      <c r="E151" s="207" t="s">
        <v>2980</v>
      </c>
      <c r="F151" s="216">
        <v>43661.0</v>
      </c>
      <c r="G151" s="220">
        <v>43658.0</v>
      </c>
      <c r="H151" s="191" t="s">
        <v>1747</v>
      </c>
      <c r="I151" s="234">
        <v>43668.0</v>
      </c>
      <c r="J151" s="215" t="s">
        <v>2535</v>
      </c>
      <c r="K151" s="215" t="s">
        <v>2535</v>
      </c>
      <c r="L151" s="207" t="s">
        <v>2981</v>
      </c>
      <c r="M151" s="215"/>
      <c r="N151" s="165"/>
      <c r="O151" s="232"/>
      <c r="P151" s="214"/>
      <c r="Q151" s="214"/>
      <c r="R151" s="214"/>
      <c r="S151" s="214"/>
      <c r="T151" s="214"/>
      <c r="U151" s="214"/>
      <c r="V151" s="214"/>
      <c r="W151" s="214"/>
      <c r="X151" s="214"/>
      <c r="Y151" s="214"/>
      <c r="Z151" s="214"/>
      <c r="AA151" s="214"/>
    </row>
    <row r="152" ht="28.5" customHeight="1">
      <c r="A152" s="190" t="str">
        <f>HYPERLINK("https://drive.google.com/open?id=0B6Vr5nVC58V5ci12aTJSbUQwU0M2MEhFVzVsbW9fZU44WGpR","33196")</f>
        <v>33196</v>
      </c>
      <c r="B152" s="204" t="s">
        <v>21</v>
      </c>
      <c r="C152" s="165">
        <v>532.0</v>
      </c>
      <c r="D152" s="215" t="s">
        <v>2982</v>
      </c>
      <c r="E152" s="207" t="s">
        <v>2955</v>
      </c>
      <c r="F152" s="216">
        <v>43660.0</v>
      </c>
      <c r="G152" s="209">
        <v>43662.0</v>
      </c>
      <c r="H152" s="165" t="s">
        <v>1747</v>
      </c>
      <c r="I152" s="231">
        <v>43672.0</v>
      </c>
      <c r="J152" s="204" t="s">
        <v>2983</v>
      </c>
      <c r="K152" s="215" t="s">
        <v>2531</v>
      </c>
      <c r="L152" s="207" t="s">
        <v>2984</v>
      </c>
      <c r="M152" s="215"/>
      <c r="N152" s="165"/>
      <c r="O152" s="232"/>
      <c r="P152" s="214"/>
      <c r="Q152" s="214"/>
      <c r="R152" s="214"/>
      <c r="S152" s="214"/>
      <c r="T152" s="214"/>
      <c r="U152" s="214"/>
      <c r="V152" s="214"/>
      <c r="W152" s="214"/>
      <c r="X152" s="214"/>
      <c r="Y152" s="214"/>
      <c r="Z152" s="214"/>
      <c r="AA152" s="214"/>
    </row>
    <row r="153" ht="28.5" customHeight="1">
      <c r="A153" s="205" t="str">
        <f>HYPERLINK("https://drive.google.com/open?id=0B6Vr5nVC58V5MzVTamV5WUkxd1lOUG9wY1UyNml6MUQyaTl3","33087")</f>
        <v>33087</v>
      </c>
      <c r="B153" s="204" t="s">
        <v>21</v>
      </c>
      <c r="C153" s="165">
        <v>348.0</v>
      </c>
      <c r="D153" s="165" t="s">
        <v>2985</v>
      </c>
      <c r="E153" s="207" t="s">
        <v>2986</v>
      </c>
      <c r="F153" s="216">
        <v>43658.0</v>
      </c>
      <c r="G153" s="216">
        <v>43668.0</v>
      </c>
      <c r="H153" s="204" t="s">
        <v>1747</v>
      </c>
      <c r="I153" s="246">
        <v>43668.0</v>
      </c>
      <c r="J153" s="204" t="s">
        <v>2987</v>
      </c>
      <c r="K153" s="215" t="s">
        <v>2531</v>
      </c>
      <c r="L153" s="212" t="s">
        <v>2988</v>
      </c>
      <c r="M153" s="215"/>
      <c r="N153" s="165"/>
      <c r="O153" s="232"/>
      <c r="P153" s="214"/>
      <c r="Q153" s="214"/>
      <c r="R153" s="214"/>
      <c r="S153" s="214"/>
      <c r="T153" s="214"/>
      <c r="U153" s="214"/>
      <c r="V153" s="214"/>
      <c r="W153" s="214"/>
      <c r="X153" s="214"/>
      <c r="Y153" s="214"/>
      <c r="Z153" s="214"/>
      <c r="AA153" s="214"/>
    </row>
    <row r="154" ht="28.5" customHeight="1">
      <c r="A154" s="205" t="str">
        <f>HYPERLINK("https://drive.google.com/open?id=0B6Vr5nVC58V5cDFnLW5zamJPM25tclp6U3J3VXhKSHhkdE9V","33159")</f>
        <v>33159</v>
      </c>
      <c r="B154" s="204" t="s">
        <v>25</v>
      </c>
      <c r="C154" s="165">
        <v>900.0</v>
      </c>
      <c r="D154" s="165" t="s">
        <v>2989</v>
      </c>
      <c r="E154" s="207" t="s">
        <v>2876</v>
      </c>
      <c r="F154" s="216">
        <v>43658.0</v>
      </c>
      <c r="G154" s="233">
        <v>43656.0</v>
      </c>
      <c r="H154" s="165" t="s">
        <v>1747</v>
      </c>
      <c r="I154" s="231">
        <v>43663.0</v>
      </c>
      <c r="J154" s="215" t="s">
        <v>2535</v>
      </c>
      <c r="K154" s="215" t="s">
        <v>2535</v>
      </c>
      <c r="L154" s="207" t="s">
        <v>2990</v>
      </c>
      <c r="M154" s="215"/>
      <c r="N154" s="165"/>
      <c r="O154" s="232"/>
      <c r="P154" s="214"/>
      <c r="Q154" s="214"/>
      <c r="R154" s="214"/>
      <c r="S154" s="214"/>
      <c r="T154" s="214"/>
      <c r="U154" s="214"/>
      <c r="V154" s="214"/>
      <c r="W154" s="214"/>
      <c r="X154" s="214"/>
      <c r="Y154" s="214"/>
      <c r="Z154" s="214"/>
      <c r="AA154" s="214"/>
    </row>
    <row r="155" ht="28.5" customHeight="1">
      <c r="A155" s="205" t="str">
        <f>HYPERLINK("https://drive.google.com/open?id=0B6Vr5nVC58V5cXhwREN3VWk5bzRBMzJ1R2txTlRqUXkycVJj","33376")</f>
        <v>33376</v>
      </c>
      <c r="B155" s="204" t="s">
        <v>14</v>
      </c>
      <c r="C155" s="165">
        <v>228.0</v>
      </c>
      <c r="D155" s="165" t="s">
        <v>2991</v>
      </c>
      <c r="E155" s="212" t="s">
        <v>2689</v>
      </c>
      <c r="F155" s="216">
        <v>43657.0</v>
      </c>
      <c r="G155" s="220">
        <v>43654.0</v>
      </c>
      <c r="H155" s="191" t="s">
        <v>1747</v>
      </c>
      <c r="I155" s="234">
        <v>43664.0</v>
      </c>
      <c r="J155" s="215" t="s">
        <v>2535</v>
      </c>
      <c r="K155" s="215" t="s">
        <v>2535</v>
      </c>
      <c r="L155" s="212" t="s">
        <v>2992</v>
      </c>
      <c r="M155" s="215"/>
      <c r="N155" s="165"/>
      <c r="O155" s="232"/>
      <c r="P155" s="214"/>
      <c r="Q155" s="214"/>
      <c r="R155" s="214"/>
      <c r="S155" s="214"/>
      <c r="T155" s="214"/>
      <c r="U155" s="214"/>
      <c r="V155" s="214"/>
      <c r="W155" s="214"/>
      <c r="X155" s="214"/>
      <c r="Y155" s="214"/>
      <c r="Z155" s="214"/>
      <c r="AA155" s="214"/>
    </row>
    <row r="156" ht="28.5" customHeight="1">
      <c r="A156" s="190" t="str">
        <f>HYPERLINK("https://drive.google.com/open?id=0B6Vr5nVC58V5YkpUaVFjOG8yc3NWc0hDbVA4dFl0VHRMQXBJ","33198")</f>
        <v>33198</v>
      </c>
      <c r="B156" s="204" t="s">
        <v>25</v>
      </c>
      <c r="C156" s="165">
        <v>306.0</v>
      </c>
      <c r="D156" s="215" t="s">
        <v>2993</v>
      </c>
      <c r="E156" s="207" t="s">
        <v>2955</v>
      </c>
      <c r="F156" s="233">
        <v>43656.0</v>
      </c>
      <c r="G156" s="216">
        <v>43663.0</v>
      </c>
      <c r="H156" s="204" t="s">
        <v>1747</v>
      </c>
      <c r="I156" s="231">
        <v>43658.0</v>
      </c>
      <c r="J156" s="215" t="s">
        <v>2535</v>
      </c>
      <c r="K156" s="215" t="s">
        <v>2535</v>
      </c>
      <c r="L156" s="207" t="s">
        <v>2994</v>
      </c>
      <c r="M156" s="215"/>
      <c r="N156" s="165"/>
      <c r="O156" s="232"/>
      <c r="P156" s="214"/>
      <c r="Q156" s="214"/>
      <c r="R156" s="214"/>
      <c r="S156" s="214"/>
      <c r="T156" s="214"/>
      <c r="U156" s="214"/>
      <c r="V156" s="214"/>
      <c r="W156" s="214"/>
      <c r="X156" s="214"/>
      <c r="Y156" s="214"/>
      <c r="Z156" s="214"/>
      <c r="AA156" s="214"/>
    </row>
    <row r="157" ht="28.5" customHeight="1">
      <c r="A157" s="190" t="str">
        <f>HYPERLINK("https://drive.google.com/open?id=0B6Vr5nVC58V5N0h4TVNpelFES2xjYVVuaDhkdGNEQmZpbF80","33319")</f>
        <v>33319</v>
      </c>
      <c r="B157" s="204" t="s">
        <v>25</v>
      </c>
      <c r="C157" s="165">
        <v>72.0</v>
      </c>
      <c r="D157" s="215" t="s">
        <v>2995</v>
      </c>
      <c r="E157" s="210" t="s">
        <v>2996</v>
      </c>
      <c r="F157" s="216">
        <v>43656.0</v>
      </c>
      <c r="G157" s="209">
        <v>43664.0</v>
      </c>
      <c r="H157" s="165" t="s">
        <v>1747</v>
      </c>
      <c r="I157" s="231">
        <v>43664.0</v>
      </c>
      <c r="J157" s="215" t="s">
        <v>2535</v>
      </c>
      <c r="K157" s="215" t="s">
        <v>2535</v>
      </c>
      <c r="L157" s="207" t="s">
        <v>2997</v>
      </c>
      <c r="M157" s="215" t="s">
        <v>2537</v>
      </c>
      <c r="N157" s="165" t="s">
        <v>2538</v>
      </c>
      <c r="O157" s="232">
        <v>20250.0</v>
      </c>
      <c r="P157" s="214"/>
      <c r="Q157" s="214"/>
      <c r="R157" s="214"/>
      <c r="S157" s="214"/>
      <c r="T157" s="214"/>
      <c r="U157" s="214"/>
      <c r="V157" s="214"/>
      <c r="W157" s="214"/>
      <c r="X157" s="214"/>
      <c r="Y157" s="214"/>
      <c r="Z157" s="214"/>
      <c r="AA157" s="214"/>
    </row>
    <row r="158" ht="28.5" customHeight="1">
      <c r="A158" s="205" t="str">
        <f>HYPERLINK("https://drive.google.com/open?id=0B6Vr5nVC58V5Rk5CSENJbWFwOWhONGg1aDhlTVRlZVdSWndj","33250")</f>
        <v>33250</v>
      </c>
      <c r="B158" s="204" t="s">
        <v>21</v>
      </c>
      <c r="C158" s="191">
        <v>1250.0</v>
      </c>
      <c r="D158" s="215" t="s">
        <v>2998</v>
      </c>
      <c r="E158" s="212" t="s">
        <v>2999</v>
      </c>
      <c r="F158" s="216">
        <v>43655.0</v>
      </c>
      <c r="G158" s="209">
        <v>43651.0</v>
      </c>
      <c r="H158" s="165" t="s">
        <v>1747</v>
      </c>
      <c r="I158" s="231">
        <v>43657.0</v>
      </c>
      <c r="J158" s="204" t="s">
        <v>3000</v>
      </c>
      <c r="K158" s="215" t="s">
        <v>2531</v>
      </c>
      <c r="L158" s="207" t="s">
        <v>3001</v>
      </c>
      <c r="M158" s="215" t="s">
        <v>497</v>
      </c>
      <c r="N158" s="207" t="s">
        <v>2550</v>
      </c>
      <c r="O158" s="232">
        <v>44771.88</v>
      </c>
      <c r="P158" s="214"/>
      <c r="Q158" s="214"/>
      <c r="R158" s="214"/>
      <c r="S158" s="214"/>
      <c r="T158" s="214"/>
      <c r="U158" s="214"/>
      <c r="V158" s="214"/>
      <c r="W158" s="214"/>
      <c r="X158" s="214"/>
      <c r="Y158" s="214"/>
      <c r="Z158" s="214"/>
      <c r="AA158" s="214"/>
    </row>
    <row r="159" ht="28.5" customHeight="1">
      <c r="A159" s="190" t="str">
        <f>HYPERLINK("https://drive.google.com/open?id=0B6Vr5nVC58V5ZHd0ZXM1NFJzUks0LWEtY01mLTNVaWFROW5J","33465")</f>
        <v>33465</v>
      </c>
      <c r="B159" s="204" t="s">
        <v>21</v>
      </c>
      <c r="C159" s="165" t="s">
        <v>3002</v>
      </c>
      <c r="D159" s="215" t="s">
        <v>3003</v>
      </c>
      <c r="E159" s="207" t="s">
        <v>3004</v>
      </c>
      <c r="F159" s="216">
        <v>43654.0</v>
      </c>
      <c r="G159" s="209">
        <v>43654.0</v>
      </c>
      <c r="H159" s="165" t="s">
        <v>1747</v>
      </c>
      <c r="I159" s="231">
        <v>43661.0</v>
      </c>
      <c r="J159" s="204" t="s">
        <v>3005</v>
      </c>
      <c r="K159" s="215" t="s">
        <v>2755</v>
      </c>
      <c r="L159" s="207" t="s">
        <v>3006</v>
      </c>
      <c r="M159" s="215"/>
      <c r="N159" s="165"/>
      <c r="O159" s="232"/>
      <c r="P159" s="214"/>
      <c r="Q159" s="214"/>
      <c r="R159" s="214"/>
      <c r="S159" s="214"/>
      <c r="T159" s="214"/>
      <c r="U159" s="214"/>
      <c r="V159" s="214"/>
      <c r="W159" s="214"/>
      <c r="X159" s="214"/>
      <c r="Y159" s="214"/>
      <c r="Z159" s="214"/>
      <c r="AA159" s="214"/>
    </row>
    <row r="160" ht="28.5" customHeight="1">
      <c r="A160" s="190" t="str">
        <f>HYPERLINK("https://drive.google.com/open?id=0B6Vr5nVC58V5N19tby1YdDJNT0w3SHo3YkVyYUx4S1ptRUhn","33437")</f>
        <v>33437</v>
      </c>
      <c r="B160" s="204" t="s">
        <v>21</v>
      </c>
      <c r="C160" s="165">
        <v>944.0</v>
      </c>
      <c r="D160" s="215" t="s">
        <v>3007</v>
      </c>
      <c r="E160" s="207" t="s">
        <v>2733</v>
      </c>
      <c r="F160" s="200">
        <v>43654.0</v>
      </c>
      <c r="G160" s="209">
        <v>43651.0</v>
      </c>
      <c r="H160" s="165" t="s">
        <v>1747</v>
      </c>
      <c r="I160" s="231">
        <v>43662.0</v>
      </c>
      <c r="J160" s="204" t="s">
        <v>3008</v>
      </c>
      <c r="K160" s="215" t="s">
        <v>2755</v>
      </c>
      <c r="L160" s="212" t="s">
        <v>3009</v>
      </c>
      <c r="M160" s="215"/>
      <c r="N160" s="165"/>
      <c r="O160" s="232"/>
      <c r="P160" s="214"/>
      <c r="Q160" s="214"/>
      <c r="R160" s="214"/>
      <c r="S160" s="214"/>
      <c r="T160" s="214"/>
      <c r="U160" s="214"/>
      <c r="V160" s="214"/>
      <c r="W160" s="214"/>
      <c r="X160" s="214"/>
      <c r="Y160" s="214"/>
      <c r="Z160" s="214"/>
      <c r="AA160" s="214"/>
    </row>
    <row r="161" ht="28.5" customHeight="1">
      <c r="A161" s="190" t="str">
        <f>HYPERLINK("https://drive.google.com/open?id=0B6Vr5nVC58V5c01WN3YyQ01LOFFHa0NTRG1SdWxJMjBVblBZ","33445")</f>
        <v>33445</v>
      </c>
      <c r="B161" s="204" t="s">
        <v>14</v>
      </c>
      <c r="C161" s="165">
        <v>1182.0</v>
      </c>
      <c r="D161" s="215" t="s">
        <v>3010</v>
      </c>
      <c r="E161" s="207" t="s">
        <v>2849</v>
      </c>
      <c r="F161" s="216">
        <v>43654.0</v>
      </c>
      <c r="G161" s="220">
        <v>43651.0</v>
      </c>
      <c r="H161" s="191" t="s">
        <v>1747</v>
      </c>
      <c r="I161" s="234">
        <v>43662.0</v>
      </c>
      <c r="J161" s="215" t="s">
        <v>2535</v>
      </c>
      <c r="K161" s="215" t="s">
        <v>2535</v>
      </c>
      <c r="L161" s="207" t="s">
        <v>3011</v>
      </c>
      <c r="M161" s="215"/>
      <c r="N161" s="165"/>
      <c r="O161" s="232"/>
      <c r="P161" s="214"/>
      <c r="Q161" s="214"/>
      <c r="R161" s="214"/>
      <c r="S161" s="214"/>
      <c r="T161" s="214"/>
      <c r="U161" s="214"/>
      <c r="V161" s="214"/>
      <c r="W161" s="214"/>
      <c r="X161" s="214"/>
      <c r="Y161" s="214"/>
      <c r="Z161" s="214"/>
      <c r="AA161" s="214"/>
    </row>
    <row r="162" ht="28.5" customHeight="1">
      <c r="A162" s="190" t="str">
        <f>HYPERLINK("https://drive.google.com/open?id=0B6Vr5nVC58V5UUd4bTh3QWRCc3NGbUluMWxTUlVncEFDU2d3","33362")</f>
        <v>33362</v>
      </c>
      <c r="B162" s="204" t="s">
        <v>14</v>
      </c>
      <c r="C162" s="191">
        <v>546.0</v>
      </c>
      <c r="D162" s="215" t="s">
        <v>3012</v>
      </c>
      <c r="E162" s="212" t="s">
        <v>3013</v>
      </c>
      <c r="F162" s="216">
        <v>43649.0</v>
      </c>
      <c r="G162" s="209">
        <v>43647.0</v>
      </c>
      <c r="H162" s="165" t="s">
        <v>1747</v>
      </c>
      <c r="I162" s="231">
        <v>43658.0</v>
      </c>
      <c r="J162" s="215" t="s">
        <v>2535</v>
      </c>
      <c r="K162" s="215" t="s">
        <v>2535</v>
      </c>
      <c r="L162" s="247" t="s">
        <v>3014</v>
      </c>
      <c r="M162" s="215"/>
      <c r="N162" s="165"/>
      <c r="O162" s="232"/>
      <c r="P162" s="214"/>
      <c r="Q162" s="214"/>
      <c r="R162" s="214"/>
      <c r="S162" s="214"/>
      <c r="T162" s="214"/>
      <c r="U162" s="214"/>
      <c r="V162" s="214"/>
      <c r="W162" s="214"/>
      <c r="X162" s="214"/>
      <c r="Y162" s="214"/>
      <c r="Z162" s="214"/>
      <c r="AA162" s="214"/>
    </row>
    <row r="163" ht="28.5" customHeight="1">
      <c r="A163" s="190" t="str">
        <f>HYPERLINK("https://drive.google.com/open?id=0B6Vr5nVC58V5b1N4XzVNZHhweFFRbi1id052MEc5OFVma0pF","33236")</f>
        <v>33236</v>
      </c>
      <c r="B163" s="204" t="s">
        <v>25</v>
      </c>
      <c r="C163" s="165">
        <v>1140.0</v>
      </c>
      <c r="D163" s="165" t="s">
        <v>3015</v>
      </c>
      <c r="E163" s="213" t="s">
        <v>2602</v>
      </c>
      <c r="F163" s="216">
        <v>43649.0</v>
      </c>
      <c r="G163" s="220">
        <v>43648.0</v>
      </c>
      <c r="H163" s="191" t="s">
        <v>1747</v>
      </c>
      <c r="I163" s="234">
        <v>43656.0</v>
      </c>
      <c r="J163" s="215" t="s">
        <v>2535</v>
      </c>
      <c r="K163" s="215" t="s">
        <v>2535</v>
      </c>
      <c r="L163" s="207" t="s">
        <v>3016</v>
      </c>
      <c r="M163" s="215" t="s">
        <v>497</v>
      </c>
      <c r="N163" s="165" t="s">
        <v>2604</v>
      </c>
      <c r="O163" s="232">
        <v>20116.8</v>
      </c>
      <c r="P163" s="214"/>
      <c r="Q163" s="214"/>
      <c r="R163" s="214"/>
      <c r="S163" s="214"/>
      <c r="T163" s="214"/>
      <c r="U163" s="214"/>
      <c r="V163" s="214"/>
      <c r="W163" s="214"/>
      <c r="X163" s="214"/>
      <c r="Y163" s="214"/>
      <c r="Z163" s="214"/>
      <c r="AA163" s="214"/>
    </row>
    <row r="164" ht="28.5" customHeight="1">
      <c r="A164" s="205" t="str">
        <f>HYPERLINK("https://drive.google.com/open?id=0B6Vr5nVC58V5U0d2WUt2c3pxWVg1b2EtUk1NTWl0T1NTb1BF","33235")</f>
        <v>33235</v>
      </c>
      <c r="B164" s="204" t="s">
        <v>14</v>
      </c>
      <c r="C164" s="165">
        <v>1140.0</v>
      </c>
      <c r="D164" s="215" t="s">
        <v>3017</v>
      </c>
      <c r="E164" s="213" t="s">
        <v>3018</v>
      </c>
      <c r="F164" s="216">
        <v>43648.0</v>
      </c>
      <c r="G164" s="209">
        <v>43647.0</v>
      </c>
      <c r="H164" s="165" t="s">
        <v>1747</v>
      </c>
      <c r="I164" s="231">
        <v>43656.0</v>
      </c>
      <c r="J164" s="215" t="s">
        <v>2535</v>
      </c>
      <c r="K164" s="215" t="s">
        <v>2535</v>
      </c>
      <c r="L164" s="207" t="s">
        <v>3019</v>
      </c>
      <c r="M164" s="215" t="s">
        <v>497</v>
      </c>
      <c r="N164" s="207" t="s">
        <v>2604</v>
      </c>
      <c r="O164" s="232">
        <v>20174.4</v>
      </c>
      <c r="P164" s="214"/>
      <c r="Q164" s="214"/>
      <c r="R164" s="214"/>
      <c r="S164" s="214"/>
      <c r="T164" s="214"/>
      <c r="U164" s="214"/>
      <c r="V164" s="214"/>
      <c r="W164" s="214"/>
      <c r="X164" s="214"/>
      <c r="Y164" s="214"/>
      <c r="Z164" s="214"/>
      <c r="AA164" s="214"/>
    </row>
    <row r="165" ht="28.5" customHeight="1">
      <c r="A165" s="205" t="str">
        <f>HYPERLINK("https://drive.google.com/open?id=0B6Vr5nVC58V5SDRTZXJYNEhJM3FUbEQ3dG1HaG5wX25ybVc4","33151")</f>
        <v>33151</v>
      </c>
      <c r="B165" s="204" t="s">
        <v>14</v>
      </c>
      <c r="C165" s="165">
        <v>1160.0</v>
      </c>
      <c r="D165" s="215" t="s">
        <v>3020</v>
      </c>
      <c r="E165" s="212" t="s">
        <v>3021</v>
      </c>
      <c r="F165" s="216">
        <v>43648.0</v>
      </c>
      <c r="G165" s="220">
        <v>43643.0</v>
      </c>
      <c r="H165" s="191" t="s">
        <v>1747</v>
      </c>
      <c r="I165" s="234">
        <v>43655.0</v>
      </c>
      <c r="J165" s="215" t="s">
        <v>2535</v>
      </c>
      <c r="K165" s="215" t="s">
        <v>2535</v>
      </c>
      <c r="L165" s="207" t="s">
        <v>3022</v>
      </c>
      <c r="M165" s="215" t="s">
        <v>497</v>
      </c>
      <c r="N165" s="207" t="s">
        <v>2554</v>
      </c>
      <c r="O165" s="232">
        <v>31865.2</v>
      </c>
      <c r="P165" s="214"/>
      <c r="Q165" s="214"/>
      <c r="R165" s="214"/>
      <c r="S165" s="214"/>
      <c r="T165" s="214"/>
      <c r="U165" s="214"/>
      <c r="V165" s="214"/>
      <c r="W165" s="214"/>
      <c r="X165" s="214"/>
      <c r="Y165" s="214"/>
      <c r="Z165" s="214"/>
      <c r="AA165" s="214"/>
    </row>
    <row r="166" ht="28.5" customHeight="1">
      <c r="A166" s="205" t="str">
        <f>HYPERLINK("https://drive.google.com/open?id=0B6Vr5nVC58V5d01WYTVQQlBpOUdtby1nOEE5OEZfZDc5MmVZ","33024")</f>
        <v>33024</v>
      </c>
      <c r="B166" s="204" t="s">
        <v>14</v>
      </c>
      <c r="C166" s="165">
        <v>1800.0</v>
      </c>
      <c r="D166" s="165" t="s">
        <v>3023</v>
      </c>
      <c r="E166" s="207" t="s">
        <v>2656</v>
      </c>
      <c r="F166" s="216">
        <v>43647.0</v>
      </c>
      <c r="G166" s="220">
        <v>43647.0</v>
      </c>
      <c r="H166" s="191" t="s">
        <v>1747</v>
      </c>
      <c r="I166" s="234">
        <v>43654.0</v>
      </c>
      <c r="J166" s="215" t="s">
        <v>2535</v>
      </c>
      <c r="K166" s="215" t="s">
        <v>2535</v>
      </c>
      <c r="L166" s="235" t="s">
        <v>3024</v>
      </c>
      <c r="M166" s="215"/>
      <c r="N166" s="165"/>
      <c r="O166" s="232"/>
      <c r="P166" s="214"/>
      <c r="Q166" s="214"/>
      <c r="R166" s="214"/>
      <c r="S166" s="214"/>
      <c r="T166" s="214"/>
      <c r="U166" s="214"/>
      <c r="V166" s="214"/>
      <c r="W166" s="214"/>
      <c r="X166" s="214"/>
      <c r="Y166" s="214"/>
      <c r="Z166" s="214"/>
      <c r="AA166" s="214"/>
    </row>
    <row r="167" ht="28.5" customHeight="1">
      <c r="A167" s="245" t="str">
        <f>HYPERLINK("https://drive.google.com/open?id=0B6Vr5nVC58V5bGdnYXV5VUxsWnNvWmJXU2ZHd2tfeVVXSEgw","33347")</f>
        <v>33347</v>
      </c>
      <c r="B167" s="204" t="s">
        <v>21</v>
      </c>
      <c r="C167" s="165">
        <v>1074.0</v>
      </c>
      <c r="D167" s="215" t="s">
        <v>3025</v>
      </c>
      <c r="E167" s="207" t="s">
        <v>2931</v>
      </c>
      <c r="F167" s="193">
        <v>43647.0</v>
      </c>
      <c r="G167" s="209">
        <v>43643.0</v>
      </c>
      <c r="H167" s="165" t="s">
        <v>1747</v>
      </c>
      <c r="I167" s="231">
        <v>43656.0</v>
      </c>
      <c r="J167" s="204" t="s">
        <v>3026</v>
      </c>
      <c r="K167" s="215" t="s">
        <v>2755</v>
      </c>
      <c r="L167" s="207" t="s">
        <v>3027</v>
      </c>
      <c r="M167" s="215"/>
      <c r="N167" s="165"/>
      <c r="O167" s="232"/>
      <c r="P167" s="214"/>
      <c r="Q167" s="214"/>
      <c r="R167" s="214"/>
      <c r="S167" s="214"/>
      <c r="T167" s="214"/>
      <c r="U167" s="214"/>
      <c r="V167" s="214"/>
      <c r="W167" s="214"/>
      <c r="X167" s="214"/>
      <c r="Y167" s="214"/>
      <c r="Z167" s="214"/>
      <c r="AA167" s="214"/>
    </row>
    <row r="168" ht="28.5" customHeight="1">
      <c r="A168" s="190" t="str">
        <f>HYPERLINK("https://drive.google.com/open?id=0B6Vr5nVC58V5Q01wQ3pQVkpYdUo0eTVVeVJxamFMSlZvMzlN","33251")</f>
        <v>33251</v>
      </c>
      <c r="B168" s="204" t="s">
        <v>14</v>
      </c>
      <c r="C168" s="165">
        <v>1295.0</v>
      </c>
      <c r="D168" s="215" t="s">
        <v>3028</v>
      </c>
      <c r="E168" s="207" t="s">
        <v>3029</v>
      </c>
      <c r="F168" s="216">
        <v>43647.0</v>
      </c>
      <c r="G168" s="209">
        <v>43651.0</v>
      </c>
      <c r="H168" s="165" t="s">
        <v>1747</v>
      </c>
      <c r="I168" s="231">
        <v>43662.0</v>
      </c>
      <c r="J168" s="215" t="s">
        <v>2535</v>
      </c>
      <c r="K168" s="215" t="s">
        <v>2535</v>
      </c>
      <c r="L168" s="235" t="s">
        <v>3030</v>
      </c>
      <c r="M168" s="215" t="s">
        <v>497</v>
      </c>
      <c r="N168" s="165" t="s">
        <v>2554</v>
      </c>
      <c r="O168" s="232">
        <v>46292.07</v>
      </c>
      <c r="P168" s="214"/>
      <c r="Q168" s="214"/>
      <c r="R168" s="214"/>
      <c r="S168" s="214"/>
      <c r="T168" s="214"/>
      <c r="U168" s="214"/>
      <c r="V168" s="214"/>
      <c r="W168" s="214"/>
      <c r="X168" s="214"/>
      <c r="Y168" s="214"/>
      <c r="Z168" s="214"/>
      <c r="AA168" s="214"/>
    </row>
    <row r="169" ht="28.5" customHeight="1">
      <c r="A169" s="190" t="str">
        <f>HYPERLINK("https://drive.google.com/open?id=0B6Vr5nVC58V5ZF8yblRvcnRGN01ZcXJCaHpTV0ZoRG9RRV8w","33363")</f>
        <v>33363</v>
      </c>
      <c r="B169" s="204" t="s">
        <v>21</v>
      </c>
      <c r="C169" s="191">
        <v>546.0</v>
      </c>
      <c r="D169" s="215" t="s">
        <v>3031</v>
      </c>
      <c r="E169" s="207" t="s">
        <v>3013</v>
      </c>
      <c r="F169" s="216">
        <v>43646.0</v>
      </c>
      <c r="G169" s="209">
        <v>43644.0</v>
      </c>
      <c r="H169" s="165" t="s">
        <v>1747</v>
      </c>
      <c r="I169" s="231">
        <v>43655.0</v>
      </c>
      <c r="J169" s="204" t="s">
        <v>3032</v>
      </c>
      <c r="K169" s="215" t="s">
        <v>2755</v>
      </c>
      <c r="L169" s="218" t="s">
        <v>3033</v>
      </c>
      <c r="M169" s="215"/>
      <c r="N169" s="165"/>
      <c r="O169" s="232"/>
      <c r="P169" s="214"/>
      <c r="Q169" s="214"/>
      <c r="R169" s="214"/>
      <c r="S169" s="214"/>
      <c r="T169" s="214"/>
      <c r="U169" s="214"/>
      <c r="V169" s="214"/>
      <c r="W169" s="214"/>
      <c r="X169" s="214"/>
      <c r="Y169" s="214"/>
      <c r="Z169" s="214"/>
      <c r="AA169" s="214"/>
    </row>
    <row r="170" ht="28.5" customHeight="1">
      <c r="A170" s="205" t="str">
        <f>HYPERLINK("https://drive.google.com/open?id=0B6Vr5nVC58V5OHFBS1d4Qi1tYWVPUXc2eEdubmVJRGZ2QkNz","NS2917")</f>
        <v>NS2917</v>
      </c>
      <c r="B170" s="204" t="s">
        <v>21</v>
      </c>
      <c r="C170" s="191">
        <v>252.0</v>
      </c>
      <c r="D170" s="215" t="s">
        <v>3034</v>
      </c>
      <c r="E170" s="212" t="s">
        <v>3035</v>
      </c>
      <c r="F170" s="216">
        <v>43646.0</v>
      </c>
      <c r="G170" s="209" t="s">
        <v>28</v>
      </c>
      <c r="H170" s="165" t="s">
        <v>1747</v>
      </c>
      <c r="I170" s="231">
        <v>43648.0</v>
      </c>
      <c r="J170" s="215" t="s">
        <v>2535</v>
      </c>
      <c r="K170" s="215" t="s">
        <v>2535</v>
      </c>
      <c r="L170" s="218" t="s">
        <v>3036</v>
      </c>
      <c r="M170" s="215"/>
      <c r="N170" s="165"/>
      <c r="O170" s="232"/>
      <c r="P170" s="214"/>
      <c r="Q170" s="214"/>
      <c r="R170" s="214"/>
      <c r="S170" s="214"/>
      <c r="T170" s="214"/>
      <c r="U170" s="214"/>
      <c r="V170" s="214"/>
      <c r="W170" s="214"/>
      <c r="X170" s="214"/>
      <c r="Y170" s="214"/>
      <c r="Z170" s="214"/>
      <c r="AA170" s="214"/>
    </row>
    <row r="171" ht="28.5" customHeight="1">
      <c r="A171" s="205" t="str">
        <f>HYPERLINK("https://drive.google.com/open?id=0B6Vr5nVC58V5MU5MRWYzcXhxN3hBZ2lOa01hdzIxWmhXVmk4","33377")</f>
        <v>33377</v>
      </c>
      <c r="B171" s="204" t="s">
        <v>21</v>
      </c>
      <c r="C171" s="165">
        <v>1430.0</v>
      </c>
      <c r="D171" s="215" t="s">
        <v>3037</v>
      </c>
      <c r="E171" s="207" t="s">
        <v>2824</v>
      </c>
      <c r="F171" s="216">
        <v>43645.0</v>
      </c>
      <c r="G171" s="233">
        <v>43643.0</v>
      </c>
      <c r="H171" s="215" t="s">
        <v>1747</v>
      </c>
      <c r="I171" s="240">
        <v>43654.0</v>
      </c>
      <c r="J171" s="204" t="s">
        <v>3038</v>
      </c>
      <c r="K171" s="215" t="s">
        <v>2755</v>
      </c>
      <c r="L171" s="207" t="s">
        <v>3039</v>
      </c>
      <c r="M171" s="215"/>
      <c r="N171" s="165"/>
      <c r="O171" s="232"/>
      <c r="P171" s="214"/>
      <c r="Q171" s="214"/>
      <c r="R171" s="214"/>
      <c r="S171" s="214"/>
      <c r="T171" s="214"/>
      <c r="U171" s="214"/>
      <c r="V171" s="214"/>
      <c r="W171" s="214"/>
      <c r="X171" s="214"/>
      <c r="Y171" s="214"/>
      <c r="Z171" s="214"/>
      <c r="AA171" s="214"/>
    </row>
    <row r="172" ht="28.5" customHeight="1">
      <c r="A172" s="190" t="str">
        <f>HYPERLINK("https://drive.google.com/open?id=0B6Vr5nVC58V5X1EzMmxfbFNJUGdvc2tRdVNRY29FQ2tDWGZv","33148")</f>
        <v>33148</v>
      </c>
      <c r="B172" s="204" t="s">
        <v>21</v>
      </c>
      <c r="C172" s="165">
        <v>2100.0</v>
      </c>
      <c r="D172" s="215" t="s">
        <v>3040</v>
      </c>
      <c r="E172" s="207" t="s">
        <v>2807</v>
      </c>
      <c r="F172" s="216">
        <v>43644.0</v>
      </c>
      <c r="G172" s="209">
        <v>43640.0</v>
      </c>
      <c r="H172" s="165" t="s">
        <v>1747</v>
      </c>
      <c r="I172" s="231">
        <v>43648.0</v>
      </c>
      <c r="J172" s="204" t="s">
        <v>3041</v>
      </c>
      <c r="K172" s="215" t="s">
        <v>2531</v>
      </c>
      <c r="L172" s="207" t="s">
        <v>3042</v>
      </c>
      <c r="M172" s="215" t="s">
        <v>497</v>
      </c>
      <c r="N172" s="165" t="s">
        <v>2554</v>
      </c>
      <c r="O172" s="232">
        <v>28812.0</v>
      </c>
      <c r="P172" s="214"/>
      <c r="Q172" s="214"/>
      <c r="R172" s="214"/>
      <c r="S172" s="214"/>
      <c r="T172" s="214"/>
      <c r="U172" s="214"/>
      <c r="V172" s="214"/>
      <c r="W172" s="214"/>
      <c r="X172" s="214"/>
      <c r="Y172" s="214"/>
      <c r="Z172" s="214"/>
      <c r="AA172" s="214"/>
    </row>
    <row r="173" ht="28.5" customHeight="1">
      <c r="A173" s="190" t="str">
        <f>HYPERLINK("https://drive.google.com/open?id=0B6Vr5nVC58V5bDRNdnBUanBBelcwdFpFLUVzWS12ZkJLa1Ew","33140")</f>
        <v>33140</v>
      </c>
      <c r="B173" s="204" t="s">
        <v>21</v>
      </c>
      <c r="C173" s="165">
        <v>2100.0</v>
      </c>
      <c r="D173" s="215" t="s">
        <v>3043</v>
      </c>
      <c r="E173" s="207" t="s">
        <v>3044</v>
      </c>
      <c r="F173" s="216">
        <v>43644.0</v>
      </c>
      <c r="G173" s="209">
        <v>43640.0</v>
      </c>
      <c r="H173" s="165" t="s">
        <v>1747</v>
      </c>
      <c r="I173" s="231">
        <v>43649.0</v>
      </c>
      <c r="J173" s="204" t="s">
        <v>3045</v>
      </c>
      <c r="K173" s="215" t="s">
        <v>2531</v>
      </c>
      <c r="L173" s="207" t="s">
        <v>3046</v>
      </c>
      <c r="M173" s="215" t="s">
        <v>497</v>
      </c>
      <c r="N173" s="165" t="s">
        <v>2554</v>
      </c>
      <c r="O173" s="232">
        <v>28812.0</v>
      </c>
      <c r="P173" s="214"/>
      <c r="Q173" s="214"/>
      <c r="R173" s="214"/>
      <c r="S173" s="214"/>
      <c r="T173" s="214"/>
      <c r="U173" s="214"/>
      <c r="V173" s="214"/>
      <c r="W173" s="214"/>
      <c r="X173" s="214"/>
      <c r="Y173" s="214"/>
      <c r="Z173" s="214"/>
      <c r="AA173" s="214"/>
    </row>
    <row r="174" ht="28.5" customHeight="1">
      <c r="A174" s="205" t="str">
        <f>HYPERLINK("https://drive.google.com/open?id=0B6Vr5nVC58V5d0FzR1NVTG5NUTBZWUJHY3pFSkVWYVd3Nzl3","33394")</f>
        <v>33394</v>
      </c>
      <c r="B174" s="204" t="s">
        <v>21</v>
      </c>
      <c r="C174" s="165">
        <v>147.0</v>
      </c>
      <c r="D174" s="215" t="s">
        <v>3047</v>
      </c>
      <c r="E174" s="207" t="s">
        <v>3048</v>
      </c>
      <c r="F174" s="217">
        <v>43642.0</v>
      </c>
      <c r="G174" s="209">
        <v>43648.0</v>
      </c>
      <c r="H174" s="165" t="s">
        <v>1747</v>
      </c>
      <c r="I174" s="234">
        <v>43648.0</v>
      </c>
      <c r="J174" s="204" t="s">
        <v>3049</v>
      </c>
      <c r="K174" s="204" t="s">
        <v>2531</v>
      </c>
      <c r="L174" s="248" t="s">
        <v>3050</v>
      </c>
      <c r="M174" s="215" t="s">
        <v>497</v>
      </c>
      <c r="N174" s="165" t="s">
        <v>2628</v>
      </c>
      <c r="O174" s="232">
        <v>36633.0</v>
      </c>
      <c r="P174" s="214"/>
      <c r="Q174" s="214"/>
      <c r="R174" s="214"/>
      <c r="S174" s="214"/>
      <c r="T174" s="214"/>
      <c r="U174" s="214"/>
      <c r="V174" s="214"/>
      <c r="W174" s="214"/>
      <c r="X174" s="214"/>
      <c r="Y174" s="214"/>
      <c r="Z174" s="214"/>
      <c r="AA174" s="214"/>
    </row>
    <row r="175" ht="28.5" customHeight="1">
      <c r="A175" s="190" t="str">
        <f>HYPERLINK("https://drive.google.com/open?id=0B6Vr5nVC58V5MDBWU0cybkF2LXdVaHJ1SGlLRlZHQ20wZ0ZR","33349")</f>
        <v>33349</v>
      </c>
      <c r="B175" s="204" t="s">
        <v>14</v>
      </c>
      <c r="C175" s="165">
        <v>220.0</v>
      </c>
      <c r="D175" s="165" t="s">
        <v>3051</v>
      </c>
      <c r="E175" s="212" t="s">
        <v>2762</v>
      </c>
      <c r="F175" s="216">
        <v>43641.0</v>
      </c>
      <c r="G175" s="220">
        <v>43648.0</v>
      </c>
      <c r="H175" s="191" t="s">
        <v>1747</v>
      </c>
      <c r="I175" s="234">
        <v>43654.0</v>
      </c>
      <c r="J175" s="215" t="s">
        <v>2535</v>
      </c>
      <c r="K175" s="215" t="s">
        <v>2535</v>
      </c>
      <c r="L175" s="242" t="s">
        <v>3052</v>
      </c>
      <c r="M175" s="215"/>
      <c r="N175" s="165"/>
      <c r="O175" s="232"/>
      <c r="P175" s="214"/>
      <c r="Q175" s="214"/>
      <c r="R175" s="214"/>
      <c r="S175" s="214"/>
      <c r="T175" s="214"/>
      <c r="U175" s="214"/>
      <c r="V175" s="214"/>
      <c r="W175" s="214"/>
      <c r="X175" s="214"/>
      <c r="Y175" s="214"/>
      <c r="Z175" s="214"/>
      <c r="AA175" s="214"/>
    </row>
    <row r="176" ht="28.5" customHeight="1">
      <c r="A176" s="205" t="str">
        <f>HYPERLINK("https://drive.google.com/open?id=0B6Vr5nVC58V5UWY0dEpTalhiZEhuQU84VUJPTDItWlBETVlr","33139")</f>
        <v>33139</v>
      </c>
      <c r="B176" s="204" t="s">
        <v>14</v>
      </c>
      <c r="C176" s="165">
        <v>1160.0</v>
      </c>
      <c r="D176" s="215" t="s">
        <v>3053</v>
      </c>
      <c r="E176" s="207" t="s">
        <v>3054</v>
      </c>
      <c r="F176" s="216">
        <v>43637.0</v>
      </c>
      <c r="G176" s="209">
        <v>43630.0</v>
      </c>
      <c r="H176" s="165" t="s">
        <v>1747</v>
      </c>
      <c r="I176" s="231">
        <v>43643.0</v>
      </c>
      <c r="J176" s="215" t="s">
        <v>2535</v>
      </c>
      <c r="K176" s="215" t="s">
        <v>2535</v>
      </c>
      <c r="L176" s="207" t="s">
        <v>3055</v>
      </c>
      <c r="M176" s="215" t="s">
        <v>497</v>
      </c>
      <c r="N176" s="165" t="s">
        <v>2554</v>
      </c>
      <c r="O176" s="232">
        <v>31865.2</v>
      </c>
      <c r="P176" s="214"/>
      <c r="Q176" s="214"/>
      <c r="R176" s="214"/>
      <c r="S176" s="214"/>
      <c r="T176" s="214"/>
      <c r="U176" s="214"/>
      <c r="V176" s="214"/>
      <c r="W176" s="214"/>
      <c r="X176" s="214"/>
      <c r="Y176" s="214"/>
      <c r="Z176" s="214"/>
      <c r="AA176" s="214"/>
    </row>
    <row r="177" ht="28.5" customHeight="1">
      <c r="A177" s="205" t="str">
        <f>HYPERLINK("https://drive.google.com/open?id=0B6Vr5nVC58V5aF80MEN5NGhyNTdudFFFdUt3NzFmMURIWTU4","33320")</f>
        <v>33320</v>
      </c>
      <c r="B177" s="204" t="s">
        <v>14</v>
      </c>
      <c r="C177" s="165">
        <v>1074.0</v>
      </c>
      <c r="D177" s="215" t="s">
        <v>3056</v>
      </c>
      <c r="E177" s="207" t="s">
        <v>2733</v>
      </c>
      <c r="F177" s="216">
        <v>43635.0</v>
      </c>
      <c r="G177" s="209">
        <v>43633.0</v>
      </c>
      <c r="H177" s="165" t="s">
        <v>1747</v>
      </c>
      <c r="I177" s="231">
        <v>43642.0</v>
      </c>
      <c r="J177" s="215" t="s">
        <v>2535</v>
      </c>
      <c r="K177" s="215" t="s">
        <v>2535</v>
      </c>
      <c r="L177" s="207" t="s">
        <v>3057</v>
      </c>
      <c r="M177" s="215"/>
      <c r="N177" s="165"/>
      <c r="O177" s="232"/>
      <c r="P177" s="214"/>
      <c r="Q177" s="214"/>
      <c r="R177" s="214"/>
      <c r="S177" s="214"/>
      <c r="T177" s="214"/>
      <c r="U177" s="214"/>
      <c r="V177" s="214"/>
      <c r="W177" s="214"/>
      <c r="X177" s="214"/>
      <c r="Y177" s="214"/>
      <c r="Z177" s="214"/>
      <c r="AA177" s="214"/>
    </row>
    <row r="178" ht="28.5" customHeight="1">
      <c r="A178" s="205" t="str">
        <f>HYPERLINK("https://drive.google.com/open?id=0B6Vr5nVC58V5eGRua0dQN3VwVGhPeTdTVXVxbXVHN0ZoVmQw","33323")</f>
        <v>33323</v>
      </c>
      <c r="B178" s="204" t="s">
        <v>14</v>
      </c>
      <c r="C178" s="165">
        <v>1350.0</v>
      </c>
      <c r="D178" s="215" t="s">
        <v>3058</v>
      </c>
      <c r="E178" s="207" t="s">
        <v>3059</v>
      </c>
      <c r="F178" s="216">
        <v>43634.0</v>
      </c>
      <c r="G178" s="220">
        <v>43633.0</v>
      </c>
      <c r="H178" s="191" t="s">
        <v>1747</v>
      </c>
      <c r="I178" s="234">
        <v>43641.0</v>
      </c>
      <c r="J178" s="215" t="s">
        <v>2535</v>
      </c>
      <c r="K178" s="215" t="s">
        <v>2535</v>
      </c>
      <c r="L178" s="235" t="s">
        <v>3060</v>
      </c>
      <c r="M178" s="215"/>
      <c r="N178" s="165"/>
      <c r="O178" s="232"/>
      <c r="P178" s="214"/>
      <c r="Q178" s="214"/>
      <c r="R178" s="214"/>
      <c r="S178" s="214"/>
      <c r="T178" s="214"/>
      <c r="U178" s="214"/>
      <c r="V178" s="214"/>
      <c r="W178" s="214"/>
      <c r="X178" s="214"/>
      <c r="Y178" s="214"/>
      <c r="Z178" s="214"/>
      <c r="AA178" s="214"/>
    </row>
    <row r="179" ht="28.5" customHeight="1">
      <c r="A179" s="190" t="str">
        <f>HYPERLINK("https://drive.google.com/open?id=0B6Vr5nVC58V5eHRuQmU4dThUZDA5T0dsbkEwT3hacXIwNjQ0","33322")</f>
        <v>33322</v>
      </c>
      <c r="B179" s="204" t="s">
        <v>14</v>
      </c>
      <c r="C179" s="165">
        <v>930.0</v>
      </c>
      <c r="D179" s="215" t="s">
        <v>3061</v>
      </c>
      <c r="E179" s="212" t="s">
        <v>2849</v>
      </c>
      <c r="F179" s="216">
        <v>43634.0</v>
      </c>
      <c r="G179" s="249">
        <v>43630.0</v>
      </c>
      <c r="H179" s="191" t="s">
        <v>1747</v>
      </c>
      <c r="I179" s="234">
        <v>43640.0</v>
      </c>
      <c r="J179" s="215" t="s">
        <v>2535</v>
      </c>
      <c r="K179" s="215" t="s">
        <v>2535</v>
      </c>
      <c r="L179" s="244" t="s">
        <v>3062</v>
      </c>
      <c r="M179" s="215"/>
      <c r="N179" s="165"/>
      <c r="O179" s="232"/>
      <c r="P179" s="214"/>
      <c r="Q179" s="214"/>
      <c r="R179" s="214"/>
      <c r="S179" s="214"/>
      <c r="T179" s="214"/>
      <c r="U179" s="214"/>
      <c r="V179" s="214"/>
      <c r="W179" s="214"/>
      <c r="X179" s="214"/>
      <c r="Y179" s="214"/>
      <c r="Z179" s="214"/>
      <c r="AA179" s="214"/>
    </row>
    <row r="180" ht="28.5" customHeight="1">
      <c r="A180" s="190" t="str">
        <f>HYPERLINK("https://drive.google.com/open?id=0B6Vr5nVC58V5aEZDLWdJSi1QOEtjRXk1cnplWGJhZkx5ejVF","33125")</f>
        <v>33125</v>
      </c>
      <c r="B180" s="204" t="s">
        <v>14</v>
      </c>
      <c r="C180" s="165">
        <v>2040.0</v>
      </c>
      <c r="D180" s="215" t="s">
        <v>3063</v>
      </c>
      <c r="E180" s="207" t="s">
        <v>3064</v>
      </c>
      <c r="F180" s="216">
        <v>43633.0</v>
      </c>
      <c r="G180" s="209">
        <v>43637.0</v>
      </c>
      <c r="H180" s="165" t="s">
        <v>1747</v>
      </c>
      <c r="I180" s="231">
        <v>43647.0</v>
      </c>
      <c r="J180" s="215" t="s">
        <v>2535</v>
      </c>
      <c r="K180" s="215" t="s">
        <v>2535</v>
      </c>
      <c r="L180" s="235" t="s">
        <v>3065</v>
      </c>
      <c r="M180" s="215" t="s">
        <v>497</v>
      </c>
      <c r="N180" s="165" t="s">
        <v>2554</v>
      </c>
      <c r="O180" s="232">
        <v>32191.2</v>
      </c>
      <c r="P180" s="214"/>
      <c r="Q180" s="214"/>
      <c r="R180" s="214"/>
      <c r="S180" s="214"/>
      <c r="T180" s="214"/>
      <c r="U180" s="214"/>
      <c r="V180" s="214"/>
      <c r="W180" s="214"/>
      <c r="X180" s="214"/>
      <c r="Y180" s="214"/>
      <c r="Z180" s="214"/>
      <c r="AA180" s="214"/>
    </row>
    <row r="181" ht="28.5" customHeight="1">
      <c r="A181" s="205" t="str">
        <f>HYPERLINK("https://drive.google.com/open?id=0B6Vr5nVC58V5VFZrMnRuNGRBVGcwd2thRHkyUS14WS1zdkpz","33129")</f>
        <v>33129</v>
      </c>
      <c r="B181" s="204" t="s">
        <v>14</v>
      </c>
      <c r="C181" s="165">
        <v>1295.0</v>
      </c>
      <c r="D181" s="215" t="s">
        <v>3066</v>
      </c>
      <c r="E181" s="212" t="s">
        <v>3067</v>
      </c>
      <c r="F181" s="216">
        <v>43633.0</v>
      </c>
      <c r="G181" s="209">
        <v>43637.0</v>
      </c>
      <c r="H181" s="165" t="s">
        <v>1747</v>
      </c>
      <c r="I181" s="231">
        <v>43648.0</v>
      </c>
      <c r="J181" s="215" t="s">
        <v>2535</v>
      </c>
      <c r="K181" s="215" t="s">
        <v>2535</v>
      </c>
      <c r="L181" s="207" t="s">
        <v>3068</v>
      </c>
      <c r="M181" s="215" t="s">
        <v>497</v>
      </c>
      <c r="N181" s="165" t="s">
        <v>2554</v>
      </c>
      <c r="O181" s="232">
        <v>46002.18</v>
      </c>
      <c r="P181" s="214"/>
      <c r="Q181" s="214"/>
      <c r="R181" s="214"/>
      <c r="S181" s="214"/>
      <c r="T181" s="214"/>
      <c r="U181" s="214"/>
      <c r="V181" s="214"/>
      <c r="W181" s="214"/>
      <c r="X181" s="214"/>
      <c r="Y181" s="214"/>
      <c r="Z181" s="214"/>
      <c r="AA181" s="214"/>
    </row>
    <row r="182" ht="28.5" customHeight="1">
      <c r="A182" s="205" t="str">
        <f>HYPERLINK("https://drive.google.com/open?id=0B6Vr5nVC58V5ckQwbWFvbjAxZ3N4S3hrcGpydDk2NVFaQXhn","33321")</f>
        <v>33321</v>
      </c>
      <c r="B182" s="204" t="s">
        <v>21</v>
      </c>
      <c r="C182" s="165">
        <v>226.0</v>
      </c>
      <c r="D182" s="215" t="s">
        <v>3069</v>
      </c>
      <c r="E182" s="207" t="s">
        <v>2689</v>
      </c>
      <c r="F182" s="193">
        <v>43633.0</v>
      </c>
      <c r="G182" s="220">
        <v>43629.0</v>
      </c>
      <c r="H182" s="191" t="s">
        <v>1747</v>
      </c>
      <c r="I182" s="234">
        <v>43640.0</v>
      </c>
      <c r="J182" s="204" t="s">
        <v>3070</v>
      </c>
      <c r="K182" s="215" t="s">
        <v>2755</v>
      </c>
      <c r="L182" s="207" t="s">
        <v>3071</v>
      </c>
      <c r="M182" s="215"/>
      <c r="N182" s="165"/>
      <c r="O182" s="232"/>
      <c r="P182" s="214"/>
      <c r="Q182" s="214"/>
      <c r="R182" s="214"/>
      <c r="S182" s="214"/>
      <c r="T182" s="214"/>
      <c r="U182" s="214"/>
      <c r="V182" s="214"/>
      <c r="W182" s="214"/>
      <c r="X182" s="214"/>
      <c r="Y182" s="214"/>
      <c r="Z182" s="214"/>
      <c r="AA182" s="214"/>
    </row>
    <row r="183" ht="28.5" customHeight="1">
      <c r="A183" s="190" t="str">
        <f>HYPERLINK("https://drive.google.com/open?id=0B6Vr5nVC58V5SzdVanBncEE1OGNUMHMycnFtMWNzQTJtVk5J","33124")</f>
        <v>33124</v>
      </c>
      <c r="B183" s="204" t="s">
        <v>21</v>
      </c>
      <c r="C183" s="165">
        <v>2040.0</v>
      </c>
      <c r="D183" s="215" t="s">
        <v>3072</v>
      </c>
      <c r="E183" s="207" t="s">
        <v>3073</v>
      </c>
      <c r="F183" s="216">
        <v>43632.0</v>
      </c>
      <c r="G183" s="220">
        <v>43628.0</v>
      </c>
      <c r="H183" s="191" t="s">
        <v>1747</v>
      </c>
      <c r="I183" s="234">
        <v>43636.0</v>
      </c>
      <c r="J183" s="204" t="s">
        <v>3074</v>
      </c>
      <c r="K183" s="215" t="s">
        <v>2531</v>
      </c>
      <c r="L183" s="235" t="s">
        <v>3075</v>
      </c>
      <c r="M183" s="215" t="s">
        <v>497</v>
      </c>
      <c r="N183" s="207" t="s">
        <v>2554</v>
      </c>
      <c r="O183" s="232">
        <v>32191.2</v>
      </c>
      <c r="P183" s="214"/>
      <c r="Q183" s="214"/>
      <c r="R183" s="214"/>
      <c r="S183" s="214"/>
      <c r="T183" s="214"/>
      <c r="U183" s="214"/>
      <c r="V183" s="214"/>
      <c r="W183" s="214"/>
      <c r="X183" s="214"/>
      <c r="Y183" s="214"/>
      <c r="Z183" s="214"/>
      <c r="AA183" s="214"/>
    </row>
    <row r="184" ht="28.5" customHeight="1">
      <c r="A184" s="190" t="str">
        <f>HYPERLINK("https://drive.google.com/open?id=0B6Vr5nVC58V5dVFjYjdsWnU0VHBKdkJPQnJSU2VVYkpGYjlv","33258
33259")</f>
        <v>33258
33259</v>
      </c>
      <c r="B184" s="204" t="s">
        <v>21</v>
      </c>
      <c r="C184" s="165">
        <v>1771.0</v>
      </c>
      <c r="D184" s="215" t="s">
        <v>3076</v>
      </c>
      <c r="E184" s="212" t="s">
        <v>3077</v>
      </c>
      <c r="F184" s="216">
        <v>43631.0</v>
      </c>
      <c r="G184" s="209">
        <v>43633.0</v>
      </c>
      <c r="H184" s="165" t="s">
        <v>1747</v>
      </c>
      <c r="I184" s="231" t="s">
        <v>3078</v>
      </c>
      <c r="J184" s="204" t="s">
        <v>3079</v>
      </c>
      <c r="K184" s="215" t="s">
        <v>2531</v>
      </c>
      <c r="L184" s="207" t="s">
        <v>3080</v>
      </c>
      <c r="M184" s="215" t="s">
        <v>497</v>
      </c>
      <c r="N184" s="165" t="s">
        <v>2628</v>
      </c>
      <c r="O184" s="232">
        <v>325330.0</v>
      </c>
      <c r="P184" s="214"/>
      <c r="Q184" s="214"/>
      <c r="R184" s="214"/>
      <c r="S184" s="214"/>
      <c r="T184" s="214"/>
      <c r="U184" s="214"/>
      <c r="V184" s="214"/>
      <c r="W184" s="214"/>
      <c r="X184" s="214"/>
      <c r="Y184" s="214"/>
      <c r="Z184" s="214"/>
      <c r="AA184" s="214"/>
    </row>
    <row r="185" ht="28.5" customHeight="1">
      <c r="A185" s="190" t="str">
        <f>HYPERLINK("https://drive.google.com/open?id=0B6Vr5nVC58V5QnpaaC1Lb3VJMkpCMUh5bW9BVDJuVFZkOGtN","33426")</f>
        <v>33426</v>
      </c>
      <c r="B185" s="204" t="s">
        <v>21</v>
      </c>
      <c r="C185" s="165">
        <v>5.0</v>
      </c>
      <c r="D185" s="215" t="s">
        <v>2878</v>
      </c>
      <c r="E185" s="207" t="s">
        <v>2862</v>
      </c>
      <c r="F185" s="216">
        <v>43631.0</v>
      </c>
      <c r="G185" s="209">
        <v>43634.0</v>
      </c>
      <c r="H185" s="165" t="s">
        <v>1747</v>
      </c>
      <c r="I185" s="234">
        <v>43635.0</v>
      </c>
      <c r="J185" s="215" t="s">
        <v>2535</v>
      </c>
      <c r="K185" s="215" t="s">
        <v>2535</v>
      </c>
      <c r="L185" s="207" t="s">
        <v>3081</v>
      </c>
      <c r="M185" s="215" t="s">
        <v>497</v>
      </c>
      <c r="N185" s="165" t="s">
        <v>2554</v>
      </c>
      <c r="O185" s="232">
        <v>161.7</v>
      </c>
      <c r="P185" s="214"/>
      <c r="Q185" s="214"/>
      <c r="R185" s="214"/>
      <c r="S185" s="214"/>
      <c r="T185" s="214"/>
      <c r="U185" s="214"/>
      <c r="V185" s="214"/>
      <c r="W185" s="214"/>
      <c r="X185" s="214"/>
      <c r="Y185" s="214"/>
      <c r="Z185" s="214"/>
      <c r="AA185" s="214"/>
    </row>
    <row r="186" ht="28.5" customHeight="1">
      <c r="A186" s="190" t="str">
        <f>HYPERLINK("https://drive.google.com/open?id=0B6Vr5nVC58V5VEVXTVQyZVBIU0FVbVVSaVlMU2oxUlI5ZkRr","33135")</f>
        <v>33135</v>
      </c>
      <c r="B186" s="204" t="s">
        <v>14</v>
      </c>
      <c r="C186" s="165">
        <v>1160.0</v>
      </c>
      <c r="D186" s="239" t="s">
        <v>3082</v>
      </c>
      <c r="E186" s="207" t="s">
        <v>3083</v>
      </c>
      <c r="F186" s="216">
        <v>43626.0</v>
      </c>
      <c r="G186" s="209">
        <v>43622.0</v>
      </c>
      <c r="H186" s="165" t="s">
        <v>1747</v>
      </c>
      <c r="I186" s="231">
        <v>43633.0</v>
      </c>
      <c r="J186" s="215" t="s">
        <v>2535</v>
      </c>
      <c r="K186" s="215" t="s">
        <v>2535</v>
      </c>
      <c r="L186" s="207" t="s">
        <v>3084</v>
      </c>
      <c r="M186" s="215" t="s">
        <v>497</v>
      </c>
      <c r="N186" s="165" t="s">
        <v>2554</v>
      </c>
      <c r="O186" s="232">
        <v>31865.2</v>
      </c>
      <c r="P186" s="214"/>
      <c r="Q186" s="214"/>
      <c r="R186" s="214"/>
      <c r="S186" s="214"/>
      <c r="T186" s="214"/>
      <c r="U186" s="214"/>
      <c r="V186" s="214"/>
      <c r="W186" s="214"/>
      <c r="X186" s="214"/>
      <c r="Y186" s="214"/>
      <c r="Z186" s="214"/>
      <c r="AA186" s="214"/>
    </row>
    <row r="187" ht="28.5" customHeight="1">
      <c r="A187" s="190" t="str">
        <f>HYPERLINK("https://drive.google.com/open?id=0B6Vr5nVC58V5N0t1LXRyZDV4MDZCb2dla1FLTWx3bmtmd3Mw","33039")</f>
        <v>33039</v>
      </c>
      <c r="B187" s="204" t="s">
        <v>14</v>
      </c>
      <c r="C187" s="165">
        <v>1250.0</v>
      </c>
      <c r="D187" s="215" t="s">
        <v>3085</v>
      </c>
      <c r="E187" s="207" t="s">
        <v>3086</v>
      </c>
      <c r="F187" s="216">
        <v>43626.0</v>
      </c>
      <c r="G187" s="209">
        <v>43622.0</v>
      </c>
      <c r="H187" s="165" t="s">
        <v>1747</v>
      </c>
      <c r="I187" s="231">
        <v>43633.0</v>
      </c>
      <c r="J187" s="215" t="s">
        <v>2535</v>
      </c>
      <c r="K187" s="215" t="s">
        <v>2535</v>
      </c>
      <c r="L187" s="235" t="s">
        <v>3087</v>
      </c>
      <c r="M187" s="215" t="s">
        <v>497</v>
      </c>
      <c r="N187" s="165" t="s">
        <v>2554</v>
      </c>
      <c r="O187" s="232">
        <v>44745.0</v>
      </c>
      <c r="P187" s="214"/>
      <c r="Q187" s="214"/>
      <c r="R187" s="214"/>
      <c r="S187" s="214"/>
      <c r="T187" s="214"/>
      <c r="U187" s="214"/>
      <c r="V187" s="214"/>
      <c r="W187" s="214"/>
      <c r="X187" s="214"/>
      <c r="Y187" s="214"/>
      <c r="Z187" s="214"/>
      <c r="AA187" s="214"/>
    </row>
    <row r="188" ht="28.5" customHeight="1">
      <c r="A188" s="205" t="str">
        <f>HYPERLINK("https://drive.google.com/open?id=0B6Vr5nVC58V5NmJidFlqRmtsRl9MZHhWMnVZNUE0a3pnYS1J","33071")</f>
        <v>33071</v>
      </c>
      <c r="B188" s="204" t="s">
        <v>14</v>
      </c>
      <c r="C188" s="191">
        <v>900.0</v>
      </c>
      <c r="D188" s="165" t="s">
        <v>3088</v>
      </c>
      <c r="E188" s="207" t="s">
        <v>2876</v>
      </c>
      <c r="F188" s="216">
        <v>43619.0</v>
      </c>
      <c r="G188" s="220">
        <v>43616.0</v>
      </c>
      <c r="H188" s="191" t="s">
        <v>1747</v>
      </c>
      <c r="I188" s="234">
        <v>43623.0</v>
      </c>
      <c r="J188" s="215" t="s">
        <v>2535</v>
      </c>
      <c r="K188" s="215" t="s">
        <v>2535</v>
      </c>
      <c r="L188" s="235" t="s">
        <v>3089</v>
      </c>
      <c r="M188" s="215"/>
      <c r="N188" s="165"/>
      <c r="O188" s="232"/>
      <c r="P188" s="214"/>
      <c r="Q188" s="214"/>
      <c r="R188" s="214"/>
      <c r="S188" s="214"/>
      <c r="T188" s="214"/>
      <c r="U188" s="214"/>
      <c r="V188" s="214"/>
      <c r="W188" s="214"/>
      <c r="X188" s="214"/>
      <c r="Y188" s="214"/>
      <c r="Z188" s="214"/>
      <c r="AA188" s="214"/>
    </row>
    <row r="189" ht="28.5" customHeight="1">
      <c r="A189" s="190" t="str">
        <f>HYPERLINK("https://drive.google.com/open?id=0B6Vr5nVC58V5VkZDalJsbmppV2RzSzdKTGR2d2g3TlNydlFB","33111")</f>
        <v>33111</v>
      </c>
      <c r="B189" s="204" t="s">
        <v>21</v>
      </c>
      <c r="C189" s="191">
        <v>1950.0</v>
      </c>
      <c r="D189" s="215" t="s">
        <v>3090</v>
      </c>
      <c r="E189" s="212" t="s">
        <v>3091</v>
      </c>
      <c r="F189" s="216">
        <v>43618.0</v>
      </c>
      <c r="G189" s="209">
        <v>43613.0</v>
      </c>
      <c r="H189" s="165" t="s">
        <v>1747</v>
      </c>
      <c r="I189" s="231">
        <v>43621.0</v>
      </c>
      <c r="J189" s="204" t="s">
        <v>3092</v>
      </c>
      <c r="K189" s="215" t="s">
        <v>2531</v>
      </c>
      <c r="L189" s="235" t="s">
        <v>3093</v>
      </c>
      <c r="M189" s="215" t="s">
        <v>497</v>
      </c>
      <c r="N189" s="165" t="s">
        <v>2554</v>
      </c>
      <c r="O189" s="232">
        <v>36300.0</v>
      </c>
      <c r="P189" s="214"/>
      <c r="Q189" s="214"/>
      <c r="R189" s="214"/>
      <c r="S189" s="214"/>
      <c r="T189" s="214"/>
      <c r="U189" s="214"/>
      <c r="V189" s="214"/>
      <c r="W189" s="214"/>
      <c r="X189" s="214"/>
      <c r="Y189" s="214"/>
      <c r="Z189" s="214"/>
      <c r="AA189" s="214"/>
    </row>
    <row r="190" ht="28.5" customHeight="1">
      <c r="A190" s="190" t="str">
        <f>HYPERLINK("https://drive.google.com/open?id=0B6Vr5nVC58V5d0h2R19jT1Z1XzExeDczUFVuNllNTTFYVEpZ","NS2839 &amp; NS2871")</f>
        <v>NS2839 &amp; NS2871</v>
      </c>
      <c r="B190" s="204" t="s">
        <v>21</v>
      </c>
      <c r="C190" s="165">
        <v>6.0</v>
      </c>
      <c r="D190" s="215" t="s">
        <v>3094</v>
      </c>
      <c r="E190" s="207" t="s">
        <v>3095</v>
      </c>
      <c r="F190" s="216">
        <v>43617.0</v>
      </c>
      <c r="G190" s="220">
        <v>43620.0</v>
      </c>
      <c r="H190" s="191" t="s">
        <v>1747</v>
      </c>
      <c r="I190" s="234">
        <v>43620.0</v>
      </c>
      <c r="J190" s="215" t="s">
        <v>2535</v>
      </c>
      <c r="K190" s="215" t="s">
        <v>2535</v>
      </c>
      <c r="L190" s="207" t="s">
        <v>3096</v>
      </c>
      <c r="M190" s="215" t="s">
        <v>497</v>
      </c>
      <c r="N190" s="165" t="s">
        <v>2667</v>
      </c>
      <c r="O190" s="232">
        <v>7881.7</v>
      </c>
      <c r="P190" s="214"/>
      <c r="Q190" s="214"/>
      <c r="R190" s="214"/>
      <c r="S190" s="214"/>
      <c r="T190" s="214"/>
      <c r="U190" s="214"/>
      <c r="V190" s="214"/>
      <c r="W190" s="214"/>
      <c r="X190" s="214"/>
      <c r="Y190" s="214"/>
      <c r="Z190" s="214"/>
      <c r="AA190" s="214"/>
    </row>
    <row r="191" ht="30.0" customHeight="1">
      <c r="A191" s="190" t="str">
        <f>HYPERLINK("https://drive.google.com/open?id=0B6Vr5nVC58V5ZDFGZmVQN0JtWUJ1dGRsNEQxcmdTbVlDMzg4","33054")</f>
        <v>33054</v>
      </c>
      <c r="B191" s="204" t="s">
        <v>21</v>
      </c>
      <c r="C191" s="165">
        <v>3066.0</v>
      </c>
      <c r="D191" s="215" t="s">
        <v>3097</v>
      </c>
      <c r="E191" s="207" t="s">
        <v>3098</v>
      </c>
      <c r="F191" s="216">
        <v>43615.0</v>
      </c>
      <c r="G191" s="216">
        <v>43633.0</v>
      </c>
      <c r="H191" s="165" t="s">
        <v>1747</v>
      </c>
      <c r="I191" s="231">
        <v>43620.0</v>
      </c>
      <c r="J191" s="204" t="s">
        <v>3099</v>
      </c>
      <c r="K191" s="215" t="s">
        <v>2531</v>
      </c>
      <c r="L191" s="244" t="s">
        <v>3100</v>
      </c>
      <c r="M191" s="215"/>
      <c r="N191" s="165"/>
      <c r="O191" s="232"/>
      <c r="P191" s="214"/>
      <c r="Q191" s="214"/>
      <c r="R191" s="214"/>
      <c r="S191" s="214"/>
      <c r="T191" s="214"/>
      <c r="U191" s="214"/>
      <c r="V191" s="214"/>
      <c r="W191" s="214"/>
      <c r="X191" s="214"/>
      <c r="Y191" s="214"/>
      <c r="Z191" s="214"/>
      <c r="AA191" s="214"/>
    </row>
    <row r="192" ht="30.75" customHeight="1">
      <c r="A192" s="190" t="str">
        <f>HYPERLINK("https://drive.google.com/open?id=0B6Vr5nVC58V5SlBBQjhMTlZIRFU0QmVLNlRHeS1qeTU4WUl3","33294")</f>
        <v>33294</v>
      </c>
      <c r="B192" s="204" t="s">
        <v>14</v>
      </c>
      <c r="C192" s="165">
        <v>1182.0</v>
      </c>
      <c r="D192" s="215" t="s">
        <v>3101</v>
      </c>
      <c r="E192" s="207" t="s">
        <v>3059</v>
      </c>
      <c r="F192" s="216">
        <v>43615.0</v>
      </c>
      <c r="G192" s="220">
        <v>43614.0</v>
      </c>
      <c r="H192" s="191" t="s">
        <v>1747</v>
      </c>
      <c r="I192" s="234">
        <v>43620.0</v>
      </c>
      <c r="J192" s="215" t="s">
        <v>2535</v>
      </c>
      <c r="K192" s="215" t="s">
        <v>2535</v>
      </c>
      <c r="L192" s="235" t="s">
        <v>3102</v>
      </c>
      <c r="M192" s="215"/>
      <c r="N192" s="165"/>
      <c r="O192" s="232"/>
      <c r="P192" s="214"/>
      <c r="Q192" s="214"/>
      <c r="R192" s="214"/>
      <c r="S192" s="214"/>
      <c r="T192" s="214"/>
      <c r="U192" s="214"/>
      <c r="V192" s="214"/>
      <c r="W192" s="214"/>
      <c r="X192" s="214"/>
      <c r="Y192" s="214"/>
      <c r="Z192" s="214"/>
      <c r="AA192" s="214"/>
    </row>
    <row r="193" ht="30.75" customHeight="1">
      <c r="A193" s="190" t="str">
        <f>HYPERLINK("https://drive.google.com/open?id=0B6Vr5nVC58V5MW9QZVJfVkF0ajUzMDhQNzZBZHBFdDkzZFRV","33292")</f>
        <v>33292</v>
      </c>
      <c r="B193" s="204" t="s">
        <v>14</v>
      </c>
      <c r="C193" s="165">
        <v>930.0</v>
      </c>
      <c r="D193" s="215" t="s">
        <v>3103</v>
      </c>
      <c r="E193" s="212" t="s">
        <v>2849</v>
      </c>
      <c r="F193" s="216">
        <v>43614.0</v>
      </c>
      <c r="G193" s="220">
        <v>43613.0</v>
      </c>
      <c r="H193" s="191" t="s">
        <v>1747</v>
      </c>
      <c r="I193" s="234">
        <v>43619.0</v>
      </c>
      <c r="J193" s="215" t="s">
        <v>2535</v>
      </c>
      <c r="K193" s="215" t="s">
        <v>2535</v>
      </c>
      <c r="L193" s="235" t="s">
        <v>3104</v>
      </c>
      <c r="M193" s="215"/>
      <c r="N193" s="165"/>
      <c r="O193" s="232"/>
      <c r="P193" s="214"/>
      <c r="Q193" s="214"/>
      <c r="R193" s="214"/>
      <c r="S193" s="214"/>
      <c r="T193" s="214"/>
      <c r="U193" s="214"/>
      <c r="V193" s="214"/>
      <c r="W193" s="214"/>
      <c r="X193" s="214"/>
      <c r="Y193" s="214"/>
      <c r="Z193" s="214"/>
      <c r="AA193" s="214"/>
    </row>
    <row r="194" ht="47.25" customHeight="1">
      <c r="A194" s="205" t="str">
        <f>HYPERLINK("https://drive.google.com/open?id=0B6Vr5nVC58V5d3l0bWhLVEYzUWl3eGVsaWJPTmozZnliNnNJ","32988")</f>
        <v>32988</v>
      </c>
      <c r="B194" s="204" t="s">
        <v>14</v>
      </c>
      <c r="C194" s="165">
        <v>986.0</v>
      </c>
      <c r="D194" s="165" t="s">
        <v>3105</v>
      </c>
      <c r="E194" s="207" t="s">
        <v>2665</v>
      </c>
      <c r="F194" s="233">
        <v>43614.0</v>
      </c>
      <c r="G194" s="249">
        <v>43613.0</v>
      </c>
      <c r="H194" s="191" t="s">
        <v>1747</v>
      </c>
      <c r="I194" s="234">
        <v>43622.0</v>
      </c>
      <c r="J194" s="215" t="s">
        <v>2535</v>
      </c>
      <c r="K194" s="215" t="s">
        <v>2535</v>
      </c>
      <c r="L194" s="235" t="s">
        <v>3106</v>
      </c>
      <c r="M194" s="215" t="s">
        <v>497</v>
      </c>
      <c r="N194" s="165" t="s">
        <v>2628</v>
      </c>
      <c r="O194" s="232">
        <v>45149.59</v>
      </c>
      <c r="P194" s="214"/>
      <c r="Q194" s="214"/>
      <c r="R194" s="214"/>
      <c r="S194" s="214"/>
      <c r="T194" s="214"/>
      <c r="U194" s="214"/>
      <c r="V194" s="214"/>
      <c r="W194" s="214"/>
      <c r="X194" s="214"/>
      <c r="Y194" s="214"/>
      <c r="Z194" s="214"/>
      <c r="AA194" s="214"/>
    </row>
    <row r="195" ht="28.5" customHeight="1">
      <c r="A195" s="190" t="str">
        <f>HYPERLINK("https://drive.google.com/open?id=0B6Vr5nVC58V5OEd1d2lsTXR1VFVzT0N0RHBCcTZ4WU9BQ3lN","33277")</f>
        <v>33277</v>
      </c>
      <c r="B195" s="204" t="s">
        <v>21</v>
      </c>
      <c r="C195" s="165">
        <v>1074.0</v>
      </c>
      <c r="D195" s="250" t="s">
        <v>3107</v>
      </c>
      <c r="E195" s="207" t="s">
        <v>2733</v>
      </c>
      <c r="F195" s="216">
        <v>43612.0</v>
      </c>
      <c r="G195" s="209">
        <v>43606.0</v>
      </c>
      <c r="H195" s="165" t="s">
        <v>1747</v>
      </c>
      <c r="I195" s="231">
        <v>43615.0</v>
      </c>
      <c r="J195" s="204" t="s">
        <v>3108</v>
      </c>
      <c r="K195" s="215" t="s">
        <v>2755</v>
      </c>
      <c r="L195" s="207" t="s">
        <v>3109</v>
      </c>
      <c r="M195" s="215"/>
      <c r="N195" s="165"/>
      <c r="O195" s="232"/>
      <c r="P195" s="214"/>
      <c r="Q195" s="214"/>
      <c r="R195" s="214"/>
      <c r="S195" s="214"/>
      <c r="T195" s="214"/>
      <c r="U195" s="214"/>
      <c r="V195" s="214"/>
      <c r="W195" s="214"/>
      <c r="X195" s="214"/>
      <c r="Y195" s="214"/>
      <c r="Z195" s="214"/>
      <c r="AA195" s="214"/>
    </row>
    <row r="196" ht="28.5" customHeight="1">
      <c r="A196" s="190" t="str">
        <f>HYPERLINK("https://drive.google.com/open?id=0B6Vr5nVC58V5Zk5Xa1VZTlNrTGpIY21RN3VENU5BQ1V4TTBJ","33291")</f>
        <v>33291</v>
      </c>
      <c r="B196" s="204" t="s">
        <v>21</v>
      </c>
      <c r="C196" s="165">
        <v>1120.0</v>
      </c>
      <c r="D196" s="215" t="s">
        <v>3110</v>
      </c>
      <c r="E196" s="210" t="s">
        <v>3111</v>
      </c>
      <c r="F196" s="216">
        <v>43612.0</v>
      </c>
      <c r="G196" s="209">
        <v>43613.0</v>
      </c>
      <c r="H196" s="165" t="s">
        <v>1747</v>
      </c>
      <c r="I196" s="231">
        <v>43622.0</v>
      </c>
      <c r="J196" s="204" t="s">
        <v>3112</v>
      </c>
      <c r="K196" s="215" t="s">
        <v>2755</v>
      </c>
      <c r="L196" s="235" t="s">
        <v>3113</v>
      </c>
      <c r="M196" s="215"/>
      <c r="N196" s="165"/>
      <c r="O196" s="232"/>
      <c r="P196" s="214"/>
      <c r="Q196" s="214"/>
      <c r="R196" s="214"/>
      <c r="S196" s="214"/>
      <c r="T196" s="214"/>
      <c r="U196" s="214"/>
      <c r="V196" s="214"/>
      <c r="W196" s="214"/>
      <c r="X196" s="214"/>
      <c r="Y196" s="214"/>
      <c r="Z196" s="214"/>
      <c r="AA196" s="214"/>
    </row>
    <row r="197" ht="28.5" customHeight="1">
      <c r="A197" s="205" t="str">
        <f>HYPERLINK("https://drive.google.com/open?id=0B6Vr5nVC58V5Q1ZSaGQwNG1jNkhNS0QzRTRweHk3X1M5T3VB","33282")</f>
        <v>33282</v>
      </c>
      <c r="B197" s="204" t="s">
        <v>21</v>
      </c>
      <c r="C197" s="165">
        <v>590.0</v>
      </c>
      <c r="D197" s="215" t="s">
        <v>3114</v>
      </c>
      <c r="E197" s="207" t="s">
        <v>3115</v>
      </c>
      <c r="F197" s="216">
        <v>43611.0</v>
      </c>
      <c r="G197" s="233">
        <v>43614.0</v>
      </c>
      <c r="H197" s="191" t="s">
        <v>1747</v>
      </c>
      <c r="I197" s="234">
        <v>43616.0</v>
      </c>
      <c r="J197" s="204" t="s">
        <v>3108</v>
      </c>
      <c r="K197" s="215" t="s">
        <v>2755</v>
      </c>
      <c r="L197" s="218" t="s">
        <v>3116</v>
      </c>
      <c r="M197" s="215"/>
      <c r="N197" s="165"/>
      <c r="O197" s="232"/>
      <c r="P197" s="214"/>
      <c r="Q197" s="214"/>
      <c r="R197" s="214"/>
      <c r="S197" s="214"/>
      <c r="T197" s="214"/>
      <c r="U197" s="214"/>
      <c r="V197" s="214"/>
      <c r="W197" s="214"/>
      <c r="X197" s="214"/>
      <c r="Y197" s="214"/>
      <c r="Z197" s="214"/>
      <c r="AA197" s="214"/>
    </row>
    <row r="198" ht="28.5" customHeight="1">
      <c r="A198" s="205" t="str">
        <f>HYPERLINK("https://drive.google.com/open?id=0B6Vr5nVC58V5SU5valNwZnBsZVhhaHlVb09iSVlSS3Q4ZXlF","33076")</f>
        <v>33076</v>
      </c>
      <c r="B198" s="204" t="s">
        <v>21</v>
      </c>
      <c r="C198" s="165">
        <v>682.0</v>
      </c>
      <c r="D198" s="165" t="s">
        <v>3117</v>
      </c>
      <c r="E198" s="207" t="s">
        <v>3118</v>
      </c>
      <c r="F198" s="216">
        <v>43611.0</v>
      </c>
      <c r="G198" s="209">
        <v>43609.0</v>
      </c>
      <c r="H198" s="165" t="s">
        <v>1747</v>
      </c>
      <c r="I198" s="231">
        <v>43619.0</v>
      </c>
      <c r="J198" s="204" t="s">
        <v>2535</v>
      </c>
      <c r="K198" s="215" t="s">
        <v>2535</v>
      </c>
      <c r="L198" s="235" t="s">
        <v>3119</v>
      </c>
      <c r="M198" s="215"/>
      <c r="N198" s="165"/>
      <c r="O198" s="232"/>
      <c r="P198" s="214"/>
      <c r="Q198" s="214"/>
      <c r="R198" s="214"/>
      <c r="S198" s="214"/>
      <c r="T198" s="214"/>
      <c r="U198" s="214"/>
      <c r="V198" s="214"/>
      <c r="W198" s="214"/>
      <c r="X198" s="214"/>
      <c r="Y198" s="214"/>
      <c r="Z198" s="214"/>
      <c r="AA198" s="214"/>
    </row>
    <row r="199" ht="28.5" customHeight="1">
      <c r="A199" s="205" t="str">
        <f>HYPERLINK("https://drive.google.com/open?id=0B6Vr5nVC58V5Z2xBc3pwVjBqOUpDRTdkOXBEM2xERVpJWFFV","33192")</f>
        <v>33192</v>
      </c>
      <c r="B199" s="204" t="s">
        <v>25</v>
      </c>
      <c r="C199" s="165">
        <v>1.0</v>
      </c>
      <c r="D199" s="215" t="s">
        <v>3120</v>
      </c>
      <c r="E199" s="212" t="s">
        <v>3121</v>
      </c>
      <c r="F199" s="233">
        <v>43609.0</v>
      </c>
      <c r="G199" s="220">
        <v>43615.0</v>
      </c>
      <c r="H199" s="191" t="s">
        <v>1747</v>
      </c>
      <c r="I199" s="240">
        <v>43615.0</v>
      </c>
      <c r="J199" s="204" t="s">
        <v>2535</v>
      </c>
      <c r="K199" s="215" t="s">
        <v>2535</v>
      </c>
      <c r="L199" s="244" t="s">
        <v>3122</v>
      </c>
      <c r="M199" s="215"/>
      <c r="N199" s="165"/>
      <c r="O199" s="232"/>
      <c r="P199" s="214"/>
      <c r="Q199" s="214"/>
      <c r="R199" s="214"/>
      <c r="S199" s="214"/>
      <c r="T199" s="214"/>
      <c r="U199" s="214"/>
      <c r="V199" s="214"/>
      <c r="W199" s="214"/>
      <c r="X199" s="214"/>
      <c r="Y199" s="214"/>
      <c r="Z199" s="214"/>
      <c r="AA199" s="214"/>
    </row>
    <row r="200" ht="28.5" customHeight="1">
      <c r="A200" s="205" t="str">
        <f>HYPERLINK("https://drive.google.com/open?id=0B6Vr5nVC58V5MGdPNnpuSVFtWmxKUFhhUDJRSFpQblgzeklR","33276")</f>
        <v>33276</v>
      </c>
      <c r="B200" s="204" t="s">
        <v>14</v>
      </c>
      <c r="C200" s="165">
        <v>226.0</v>
      </c>
      <c r="D200" s="165" t="s">
        <v>3123</v>
      </c>
      <c r="E200" s="207" t="s">
        <v>2689</v>
      </c>
      <c r="F200" s="216">
        <v>43608.0</v>
      </c>
      <c r="G200" s="220">
        <v>43609.0</v>
      </c>
      <c r="H200" s="191" t="s">
        <v>1747</v>
      </c>
      <c r="I200" s="234">
        <v>43616.0</v>
      </c>
      <c r="J200" s="204" t="s">
        <v>2535</v>
      </c>
      <c r="K200" s="215" t="s">
        <v>2535</v>
      </c>
      <c r="L200" s="235" t="s">
        <v>3124</v>
      </c>
      <c r="M200" s="215"/>
      <c r="N200" s="165"/>
      <c r="O200" s="232"/>
      <c r="P200" s="214"/>
      <c r="Q200" s="214"/>
      <c r="R200" s="214"/>
      <c r="S200" s="214"/>
      <c r="T200" s="214"/>
      <c r="U200" s="214"/>
      <c r="V200" s="214"/>
      <c r="W200" s="214"/>
      <c r="X200" s="214"/>
      <c r="Y200" s="214"/>
      <c r="Z200" s="214"/>
      <c r="AA200" s="214"/>
    </row>
    <row r="201" ht="28.5" customHeight="1">
      <c r="A201" s="190" t="str">
        <f>HYPERLINK("https://drive.google.com/open?id=0B6Vr5nVC58V5NkVxY3VQaUVRQmZ0LUtNODZzZ3pzOTc4OGZz","33264")</f>
        <v>33264</v>
      </c>
      <c r="B201" s="204" t="s">
        <v>14</v>
      </c>
      <c r="C201" s="165">
        <v>930.0</v>
      </c>
      <c r="D201" s="215" t="s">
        <v>3125</v>
      </c>
      <c r="E201" s="207" t="s">
        <v>3126</v>
      </c>
      <c r="F201" s="216">
        <v>43607.0</v>
      </c>
      <c r="G201" s="220">
        <v>43609.0</v>
      </c>
      <c r="H201" s="191" t="s">
        <v>1747</v>
      </c>
      <c r="I201" s="234">
        <v>43613.0</v>
      </c>
      <c r="J201" s="204" t="s">
        <v>2535</v>
      </c>
      <c r="K201" s="215" t="s">
        <v>2535</v>
      </c>
      <c r="L201" s="213" t="s">
        <v>3127</v>
      </c>
      <c r="M201" s="215"/>
      <c r="N201" s="165"/>
      <c r="O201" s="232"/>
      <c r="P201" s="214"/>
      <c r="Q201" s="214"/>
      <c r="R201" s="214"/>
      <c r="S201" s="214"/>
      <c r="T201" s="214"/>
      <c r="U201" s="214"/>
      <c r="V201" s="214"/>
      <c r="W201" s="214"/>
      <c r="X201" s="214"/>
      <c r="Y201" s="214"/>
      <c r="Z201" s="214"/>
      <c r="AA201" s="214"/>
    </row>
    <row r="202" ht="28.5" customHeight="1">
      <c r="A202" s="205" t="str">
        <f>HYPERLINK("https://drive.google.com/open?id=0B6Vr5nVC58V5ODQ5NURudU1fZnhzVHpBSy1zd3lyNXNWbWZN","32650")</f>
        <v>32650</v>
      </c>
      <c r="B202" s="204" t="s">
        <v>14</v>
      </c>
      <c r="C202" s="165">
        <v>1160.0</v>
      </c>
      <c r="D202" s="215" t="s">
        <v>3128</v>
      </c>
      <c r="E202" s="212" t="s">
        <v>3129</v>
      </c>
      <c r="F202" s="216">
        <v>43606.0</v>
      </c>
      <c r="G202" s="209">
        <v>43613.0</v>
      </c>
      <c r="H202" s="165" t="s">
        <v>1747</v>
      </c>
      <c r="I202" s="231">
        <v>43621.0</v>
      </c>
      <c r="J202" s="204" t="s">
        <v>2535</v>
      </c>
      <c r="K202" s="215" t="s">
        <v>2535</v>
      </c>
      <c r="L202" s="207" t="s">
        <v>3130</v>
      </c>
      <c r="M202" s="215" t="s">
        <v>497</v>
      </c>
      <c r="N202" s="207" t="s">
        <v>2554</v>
      </c>
      <c r="O202" s="232">
        <v>31865.2</v>
      </c>
      <c r="P202" s="214"/>
      <c r="Q202" s="214"/>
      <c r="R202" s="214"/>
      <c r="S202" s="214"/>
      <c r="T202" s="214"/>
      <c r="U202" s="214"/>
      <c r="V202" s="214"/>
      <c r="W202" s="214"/>
      <c r="X202" s="214"/>
      <c r="Y202" s="214"/>
      <c r="Z202" s="214"/>
      <c r="AA202" s="214"/>
    </row>
    <row r="203" ht="28.5" customHeight="1">
      <c r="A203" s="190" t="str">
        <f>HYPERLINK("https://drive.google.com/open?id=0B6Vr5nVC58V5Rkh1TTl1WnFSUVd6MHBBNl9HeWozY1dRTVBv","33133")</f>
        <v>33133</v>
      </c>
      <c r="B203" s="204" t="s">
        <v>21</v>
      </c>
      <c r="C203" s="165">
        <v>1219.0</v>
      </c>
      <c r="D203" s="215" t="s">
        <v>3131</v>
      </c>
      <c r="E203" s="207" t="s">
        <v>3132</v>
      </c>
      <c r="F203" s="216">
        <v>43603.0</v>
      </c>
      <c r="G203" s="209">
        <v>43607.0</v>
      </c>
      <c r="H203" s="165" t="s">
        <v>1747</v>
      </c>
      <c r="I203" s="231">
        <v>43619.0</v>
      </c>
      <c r="J203" s="204" t="s">
        <v>3133</v>
      </c>
      <c r="K203" s="215" t="s">
        <v>2531</v>
      </c>
      <c r="L203" s="235" t="s">
        <v>3134</v>
      </c>
      <c r="M203" s="215" t="s">
        <v>497</v>
      </c>
      <c r="N203" s="165" t="s">
        <v>2554</v>
      </c>
      <c r="O203" s="232">
        <v>32796.22</v>
      </c>
      <c r="P203" s="214"/>
      <c r="Q203" s="214"/>
      <c r="R203" s="214"/>
      <c r="S203" s="214"/>
      <c r="T203" s="214"/>
      <c r="U203" s="214"/>
      <c r="V203" s="214"/>
      <c r="W203" s="214"/>
      <c r="X203" s="214"/>
      <c r="Y203" s="214"/>
      <c r="Z203" s="214"/>
      <c r="AA203" s="214"/>
    </row>
    <row r="204" ht="28.5" customHeight="1">
      <c r="A204" s="205" t="str">
        <f>HYPERLINK("https://drive.google.com/open?id=0B6Vr5nVC58V5OWhnclZnUC1DTW45bFp3Qi1pZkRKLUcxWUZJ","33075")</f>
        <v>33075</v>
      </c>
      <c r="B204" s="204" t="s">
        <v>25</v>
      </c>
      <c r="C204" s="165">
        <v>900.0</v>
      </c>
      <c r="D204" s="165" t="s">
        <v>3135</v>
      </c>
      <c r="E204" s="207" t="s">
        <v>2876</v>
      </c>
      <c r="F204" s="216">
        <v>43602.0</v>
      </c>
      <c r="G204" s="233">
        <v>43626.0</v>
      </c>
      <c r="H204" s="165" t="s">
        <v>1747</v>
      </c>
      <c r="I204" s="231">
        <v>43607.0</v>
      </c>
      <c r="J204" s="204" t="s">
        <v>2535</v>
      </c>
      <c r="K204" s="215" t="s">
        <v>2535</v>
      </c>
      <c r="L204" s="207" t="s">
        <v>3136</v>
      </c>
      <c r="M204" s="215"/>
      <c r="N204" s="165"/>
      <c r="O204" s="232"/>
      <c r="P204" s="214"/>
      <c r="Q204" s="214"/>
      <c r="R204" s="214"/>
      <c r="S204" s="214"/>
      <c r="T204" s="214"/>
      <c r="U204" s="214"/>
      <c r="V204" s="214"/>
      <c r="W204" s="214"/>
      <c r="X204" s="214"/>
      <c r="Y204" s="214"/>
      <c r="Z204" s="214"/>
      <c r="AA204" s="214"/>
    </row>
    <row r="205" ht="28.5" customHeight="1">
      <c r="A205" s="205" t="str">
        <f>HYPERLINK("https://drive.google.com/open?id=0B6Vr5nVC58V5YUFGbC1zaVhLaExpVVZ3cmY0clhPSHQxZTRF","33108")</f>
        <v>33108</v>
      </c>
      <c r="B205" s="204" t="s">
        <v>21</v>
      </c>
      <c r="C205" s="165">
        <v>500.0</v>
      </c>
      <c r="D205" s="215" t="s">
        <v>3137</v>
      </c>
      <c r="E205" s="207" t="s">
        <v>3138</v>
      </c>
      <c r="F205" s="216">
        <v>43601.0</v>
      </c>
      <c r="G205" s="220">
        <v>43599.0</v>
      </c>
      <c r="H205" s="191" t="s">
        <v>1747</v>
      </c>
      <c r="I205" s="234">
        <v>43607.0</v>
      </c>
      <c r="J205" s="204" t="s">
        <v>3108</v>
      </c>
      <c r="K205" s="215" t="s">
        <v>2531</v>
      </c>
      <c r="L205" s="235" t="s">
        <v>3139</v>
      </c>
      <c r="M205" s="215"/>
      <c r="N205" s="165"/>
      <c r="O205" s="232"/>
      <c r="P205" s="214"/>
      <c r="Q205" s="214"/>
      <c r="R205" s="214"/>
      <c r="S205" s="214"/>
      <c r="T205" s="214"/>
      <c r="U205" s="214"/>
      <c r="V205" s="214"/>
      <c r="W205" s="214"/>
      <c r="X205" s="214"/>
      <c r="Y205" s="214"/>
      <c r="Z205" s="214"/>
      <c r="AA205" s="214"/>
    </row>
    <row r="206" ht="28.5" customHeight="1">
      <c r="A206" s="205" t="str">
        <f>HYPERLINK("https://drive.google.com/open?id=0B6Vr5nVC58V5VlNkT1k1Y1lDZTBXX2lqYW1TWkpHU3pjeEJz","33278")</f>
        <v>33278</v>
      </c>
      <c r="B206" s="204" t="s">
        <v>14</v>
      </c>
      <c r="C206" s="165">
        <v>1100.0</v>
      </c>
      <c r="D206" s="215" t="s">
        <v>3140</v>
      </c>
      <c r="E206" s="207" t="s">
        <v>3141</v>
      </c>
      <c r="F206" s="216">
        <v>43600.0</v>
      </c>
      <c r="G206" s="220">
        <v>43599.0</v>
      </c>
      <c r="H206" s="191" t="s">
        <v>1747</v>
      </c>
      <c r="I206" s="234">
        <v>43605.0</v>
      </c>
      <c r="J206" s="204" t="s">
        <v>2535</v>
      </c>
      <c r="K206" s="215" t="s">
        <v>2535</v>
      </c>
      <c r="L206" s="207" t="s">
        <v>3142</v>
      </c>
      <c r="M206" s="215"/>
      <c r="N206" s="165"/>
      <c r="O206" s="232"/>
      <c r="P206" s="214"/>
      <c r="Q206" s="214"/>
      <c r="R206" s="214"/>
      <c r="S206" s="214"/>
      <c r="T206" s="214"/>
      <c r="U206" s="214"/>
      <c r="V206" s="214"/>
      <c r="W206" s="214"/>
      <c r="X206" s="214"/>
      <c r="Y206" s="214"/>
      <c r="Z206" s="214"/>
      <c r="AA206" s="214"/>
    </row>
    <row r="207" ht="28.5" customHeight="1">
      <c r="A207" s="245" t="str">
        <f>HYPERLINK("https://drive.google.com/open?id=0B6Vr5nVC58V5ZmhFVVUyMHN3VkdBaXk4YnRFUjY1TXIzTURN","33221")</f>
        <v>33221</v>
      </c>
      <c r="B207" s="204" t="s">
        <v>21</v>
      </c>
      <c r="C207" s="165">
        <v>570.0</v>
      </c>
      <c r="D207" s="165" t="s">
        <v>3143</v>
      </c>
      <c r="E207" s="207" t="s">
        <v>2615</v>
      </c>
      <c r="F207" s="216">
        <v>43600.0</v>
      </c>
      <c r="G207" s="209">
        <v>43599.0</v>
      </c>
      <c r="H207" s="165" t="s">
        <v>1747</v>
      </c>
      <c r="I207" s="231">
        <v>43601.0</v>
      </c>
      <c r="J207" s="204" t="s">
        <v>3108</v>
      </c>
      <c r="K207" s="215" t="s">
        <v>2755</v>
      </c>
      <c r="L207" s="251" t="s">
        <v>3144</v>
      </c>
      <c r="M207" s="215"/>
      <c r="N207" s="165"/>
      <c r="O207" s="232"/>
      <c r="P207" s="214"/>
      <c r="Q207" s="214"/>
      <c r="R207" s="214"/>
      <c r="S207" s="214"/>
      <c r="T207" s="214"/>
      <c r="U207" s="214"/>
      <c r="V207" s="214"/>
      <c r="W207" s="214"/>
      <c r="X207" s="214"/>
      <c r="Y207" s="214"/>
      <c r="Z207" s="214"/>
      <c r="AA207" s="214"/>
    </row>
    <row r="208" ht="28.5" customHeight="1">
      <c r="A208" s="205" t="str">
        <f>HYPERLINK("https://drive.google.com/open?id=0B6Vr5nVC58V5eTBpMElPSXpTWEV5Y2FpMkpReDk0TDJMQ0VB","33038")</f>
        <v>33038</v>
      </c>
      <c r="B208" s="204" t="s">
        <v>25</v>
      </c>
      <c r="C208" s="191">
        <v>1250.0</v>
      </c>
      <c r="D208" s="215" t="s">
        <v>3145</v>
      </c>
      <c r="E208" s="207" t="s">
        <v>3146</v>
      </c>
      <c r="F208" s="216">
        <v>43600.0</v>
      </c>
      <c r="G208" s="220">
        <v>43595.0</v>
      </c>
      <c r="H208" s="191" t="s">
        <v>1747</v>
      </c>
      <c r="I208" s="231">
        <v>43606.0</v>
      </c>
      <c r="J208" s="204" t="s">
        <v>2535</v>
      </c>
      <c r="K208" s="215" t="s">
        <v>2535</v>
      </c>
      <c r="L208" s="207" t="s">
        <v>3147</v>
      </c>
      <c r="M208" s="215" t="s">
        <v>497</v>
      </c>
      <c r="N208" s="207" t="s">
        <v>2554</v>
      </c>
      <c r="O208" s="232">
        <v>45092.15</v>
      </c>
      <c r="P208" s="214"/>
      <c r="Q208" s="214"/>
      <c r="R208" s="214"/>
      <c r="S208" s="214"/>
      <c r="T208" s="214"/>
      <c r="U208" s="214"/>
      <c r="V208" s="214"/>
      <c r="W208" s="214"/>
      <c r="X208" s="214"/>
      <c r="Y208" s="214"/>
      <c r="Z208" s="214"/>
      <c r="AA208" s="214"/>
    </row>
    <row r="209" ht="28.5" customHeight="1">
      <c r="A209" s="205" t="str">
        <f>HYPERLINK("https://drive.google.com/open?id=0B6Vr5nVC58V5UVZydGxOS2xMUjdidV9sRmJtTmpJQjIzUkxz","33223")</f>
        <v>33223</v>
      </c>
      <c r="B209" s="204" t="s">
        <v>14</v>
      </c>
      <c r="C209" s="165">
        <v>944.0</v>
      </c>
      <c r="D209" s="215" t="s">
        <v>3148</v>
      </c>
      <c r="E209" s="207" t="s">
        <v>3149</v>
      </c>
      <c r="F209" s="216">
        <v>43595.0</v>
      </c>
      <c r="G209" s="209">
        <v>43591.0</v>
      </c>
      <c r="H209" s="165" t="s">
        <v>1747</v>
      </c>
      <c r="I209" s="231">
        <v>43600.0</v>
      </c>
      <c r="J209" s="204" t="s">
        <v>2535</v>
      </c>
      <c r="K209" s="215" t="s">
        <v>2535</v>
      </c>
      <c r="L209" s="207" t="s">
        <v>3150</v>
      </c>
      <c r="M209" s="215"/>
      <c r="N209" s="165"/>
      <c r="O209" s="232"/>
      <c r="P209" s="214"/>
      <c r="Q209" s="214"/>
      <c r="R209" s="214"/>
      <c r="S209" s="214"/>
      <c r="T209" s="214"/>
      <c r="U209" s="214"/>
      <c r="V209" s="214"/>
      <c r="W209" s="214"/>
      <c r="X209" s="214"/>
      <c r="Y209" s="214"/>
      <c r="Z209" s="214"/>
      <c r="AA209" s="214"/>
    </row>
    <row r="210" ht="28.5" customHeight="1">
      <c r="A210" s="190" t="str">
        <f>HYPERLINK("https://drive.google.com/open?id=0B6Vr5nVC58V5bVd3LXVjYzhsYk1qTl96WXV0MVByY3A3ZGtN","33243")</f>
        <v>33243</v>
      </c>
      <c r="B210" s="204" t="s">
        <v>21</v>
      </c>
      <c r="C210" s="165">
        <v>1070.0</v>
      </c>
      <c r="D210" s="215" t="s">
        <v>3151</v>
      </c>
      <c r="E210" s="212" t="s">
        <v>3152</v>
      </c>
      <c r="F210" s="216">
        <v>43595.0</v>
      </c>
      <c r="G210" s="209">
        <v>43592.0</v>
      </c>
      <c r="H210" s="165" t="s">
        <v>1747</v>
      </c>
      <c r="I210" s="231">
        <v>43600.0</v>
      </c>
      <c r="J210" s="204" t="s">
        <v>3108</v>
      </c>
      <c r="K210" s="215" t="s">
        <v>2755</v>
      </c>
      <c r="L210" s="207" t="s">
        <v>3153</v>
      </c>
      <c r="M210" s="215"/>
      <c r="N210" s="165"/>
      <c r="O210" s="232"/>
      <c r="P210" s="214"/>
      <c r="Q210" s="214"/>
      <c r="R210" s="214"/>
      <c r="S210" s="214"/>
      <c r="T210" s="214"/>
      <c r="U210" s="214"/>
      <c r="V210" s="214"/>
      <c r="W210" s="214"/>
      <c r="X210" s="214"/>
      <c r="Y210" s="214"/>
      <c r="Z210" s="214"/>
      <c r="AA210" s="214"/>
    </row>
    <row r="211" ht="28.5" customHeight="1">
      <c r="A211" s="205" t="str">
        <f>HYPERLINK("https://drive.google.com/open?id=0B6Vr5nVC58V5QmlKS3lMXzUxRnpkSVZ6Xy1vS0tFcEFaU1lN","33023")</f>
        <v>33023</v>
      </c>
      <c r="B211" s="204" t="s">
        <v>14</v>
      </c>
      <c r="C211" s="165">
        <v>1798.0</v>
      </c>
      <c r="D211" s="165" t="s">
        <v>3154</v>
      </c>
      <c r="E211" s="207" t="s">
        <v>2656</v>
      </c>
      <c r="F211" s="216">
        <v>43591.0</v>
      </c>
      <c r="G211" s="249">
        <v>43588.0</v>
      </c>
      <c r="H211" s="191" t="s">
        <v>1747</v>
      </c>
      <c r="I211" s="234">
        <v>43595.0</v>
      </c>
      <c r="J211" s="204" t="s">
        <v>2535</v>
      </c>
      <c r="K211" s="215" t="s">
        <v>2535</v>
      </c>
      <c r="L211" s="235" t="s">
        <v>3155</v>
      </c>
      <c r="M211" s="215"/>
      <c r="N211" s="165"/>
      <c r="O211" s="232"/>
      <c r="P211" s="214"/>
      <c r="Q211" s="214"/>
      <c r="R211" s="214"/>
      <c r="S211" s="214"/>
      <c r="T211" s="214"/>
      <c r="U211" s="214"/>
      <c r="V211" s="214"/>
      <c r="W211" s="214"/>
      <c r="X211" s="214"/>
      <c r="Y211" s="214"/>
      <c r="Z211" s="214"/>
      <c r="AA211" s="214"/>
    </row>
    <row r="212" ht="28.5" customHeight="1">
      <c r="A212" s="205" t="str">
        <f>HYPERLINK("https://drive.google.com/open?id=0B6Vr5nVC58V5bnByOWo5MjVpX2FTVV9USS1aeFJ3ajFMM0xj","33078")</f>
        <v>33078</v>
      </c>
      <c r="B212" s="204" t="s">
        <v>14</v>
      </c>
      <c r="C212" s="165">
        <v>900.0</v>
      </c>
      <c r="D212" s="165" t="s">
        <v>3156</v>
      </c>
      <c r="E212" s="207" t="s">
        <v>2876</v>
      </c>
      <c r="F212" s="216">
        <v>43591.0</v>
      </c>
      <c r="G212" s="209">
        <v>43588.0</v>
      </c>
      <c r="H212" s="165" t="s">
        <v>1747</v>
      </c>
      <c r="I212" s="231">
        <v>43599.0</v>
      </c>
      <c r="J212" s="204" t="s">
        <v>2535</v>
      </c>
      <c r="K212" s="215" t="s">
        <v>2535</v>
      </c>
      <c r="L212" s="207" t="s">
        <v>3157</v>
      </c>
      <c r="M212" s="215"/>
      <c r="N212" s="165"/>
      <c r="O212" s="232"/>
      <c r="P212" s="214"/>
      <c r="Q212" s="214"/>
      <c r="R212" s="214"/>
      <c r="S212" s="214"/>
      <c r="T212" s="214"/>
      <c r="U212" s="214"/>
      <c r="V212" s="214"/>
      <c r="W212" s="214"/>
      <c r="X212" s="214"/>
      <c r="Y212" s="214"/>
      <c r="Z212" s="214"/>
      <c r="AA212" s="214"/>
    </row>
    <row r="213" ht="28.5" customHeight="1">
      <c r="A213" s="205" t="str">
        <f>HYPERLINK("https://drive.google.com/open?id=0B6Vr5nVC58V5c1h2VndkTXhnTkx4N0N2cmREU0ZIMVFVUU9j","33072")</f>
        <v>33072</v>
      </c>
      <c r="B213" s="204" t="s">
        <v>21</v>
      </c>
      <c r="C213" s="165">
        <v>900.0</v>
      </c>
      <c r="D213" s="165" t="s">
        <v>3158</v>
      </c>
      <c r="E213" s="207" t="s">
        <v>2876</v>
      </c>
      <c r="F213" s="216">
        <v>43590.0</v>
      </c>
      <c r="G213" s="209">
        <v>43587.0</v>
      </c>
      <c r="H213" s="165" t="s">
        <v>1747</v>
      </c>
      <c r="I213" s="231">
        <v>43598.0</v>
      </c>
      <c r="J213" s="204" t="s">
        <v>3108</v>
      </c>
      <c r="K213" s="215" t="s">
        <v>2531</v>
      </c>
      <c r="L213" s="235" t="s">
        <v>3159</v>
      </c>
      <c r="M213" s="215"/>
      <c r="N213" s="165"/>
      <c r="O213" s="232"/>
      <c r="P213" s="214"/>
      <c r="Q213" s="214"/>
      <c r="R213" s="214"/>
      <c r="S213" s="214"/>
      <c r="T213" s="214"/>
      <c r="U213" s="214"/>
      <c r="V213" s="214"/>
      <c r="W213" s="214"/>
      <c r="X213" s="214"/>
      <c r="Y213" s="214"/>
      <c r="Z213" s="214"/>
      <c r="AA213" s="214"/>
    </row>
    <row r="214" ht="28.5" customHeight="1">
      <c r="A214" s="205" t="str">
        <f>HYPERLINK("https://drive.google.com/open?id=0B6Vr5nVC58V5V1l5Zkx2Q2tJbGdDaDhxMWowcC1IbE5HRkJB","33074")</f>
        <v>33074</v>
      </c>
      <c r="B214" s="204" t="s">
        <v>25</v>
      </c>
      <c r="C214" s="165">
        <v>900.0</v>
      </c>
      <c r="D214" s="165" t="s">
        <v>3160</v>
      </c>
      <c r="E214" s="207" t="s">
        <v>2876</v>
      </c>
      <c r="F214" s="216">
        <v>43590.0</v>
      </c>
      <c r="G214" s="209">
        <v>43585.0</v>
      </c>
      <c r="H214" s="165" t="s">
        <v>1747</v>
      </c>
      <c r="I214" s="231">
        <v>43594.0</v>
      </c>
      <c r="J214" s="204" t="s">
        <v>2535</v>
      </c>
      <c r="K214" s="215" t="s">
        <v>2535</v>
      </c>
      <c r="L214" s="207" t="s">
        <v>3161</v>
      </c>
      <c r="M214" s="215"/>
      <c r="N214" s="165"/>
      <c r="O214" s="232"/>
      <c r="P214" s="214"/>
      <c r="Q214" s="214"/>
      <c r="R214" s="214"/>
      <c r="S214" s="214"/>
      <c r="T214" s="214"/>
      <c r="U214" s="214"/>
      <c r="V214" s="214"/>
      <c r="W214" s="214"/>
      <c r="X214" s="214"/>
      <c r="Y214" s="214"/>
      <c r="Z214" s="214"/>
      <c r="AA214" s="214"/>
    </row>
    <row r="215" ht="28.5" customHeight="1">
      <c r="A215" s="190" t="str">
        <f>HYPERLINK("https://drive.google.com/open?id=0B6Vr5nVC58V5LUUzTkowWEZ6SDY0TG5VejFfYVE0My1PbzdR","32649")</f>
        <v>32649</v>
      </c>
      <c r="B215" s="204" t="s">
        <v>21</v>
      </c>
      <c r="C215" s="165">
        <v>1160.0</v>
      </c>
      <c r="D215" s="215" t="s">
        <v>3162</v>
      </c>
      <c r="E215" s="207" t="s">
        <v>3163</v>
      </c>
      <c r="F215" s="216">
        <v>43589.0</v>
      </c>
      <c r="G215" s="220">
        <v>43585.0</v>
      </c>
      <c r="H215" s="191" t="s">
        <v>1747</v>
      </c>
      <c r="I215" s="234">
        <v>43592.0</v>
      </c>
      <c r="J215" s="204" t="s">
        <v>3108</v>
      </c>
      <c r="K215" s="215" t="s">
        <v>2531</v>
      </c>
      <c r="L215" s="235" t="s">
        <v>3164</v>
      </c>
      <c r="M215" s="215" t="s">
        <v>497</v>
      </c>
      <c r="N215" s="165" t="s">
        <v>2554</v>
      </c>
      <c r="O215" s="232">
        <v>31865.2</v>
      </c>
      <c r="P215" s="214"/>
      <c r="Q215" s="214"/>
      <c r="R215" s="214"/>
      <c r="S215" s="214"/>
      <c r="T215" s="214"/>
      <c r="U215" s="214"/>
      <c r="V215" s="214"/>
      <c r="W215" s="214"/>
      <c r="X215" s="214"/>
      <c r="Y215" s="214"/>
      <c r="Z215" s="214"/>
      <c r="AA215" s="214"/>
    </row>
    <row r="216" ht="28.5" customHeight="1">
      <c r="A216" s="190" t="str">
        <f>HYPERLINK("https://drive.google.com/open?id=0B6Vr5nVC58V5TTIwQkg3aWJfVWpBWmRHLWcwRDdjT05CRWc4","32646")</f>
        <v>32646</v>
      </c>
      <c r="B216" s="204" t="s">
        <v>14</v>
      </c>
      <c r="C216" s="165">
        <v>1160.0</v>
      </c>
      <c r="D216" s="215" t="s">
        <v>3165</v>
      </c>
      <c r="E216" s="207" t="s">
        <v>3166</v>
      </c>
      <c r="F216" s="216">
        <v>43589.0</v>
      </c>
      <c r="G216" s="220">
        <v>43585.0</v>
      </c>
      <c r="H216" s="191" t="s">
        <v>1747</v>
      </c>
      <c r="I216" s="234">
        <v>43594.0</v>
      </c>
      <c r="J216" s="204" t="s">
        <v>2535</v>
      </c>
      <c r="K216" s="215" t="s">
        <v>2535</v>
      </c>
      <c r="L216" s="235" t="s">
        <v>3167</v>
      </c>
      <c r="M216" s="215" t="s">
        <v>497</v>
      </c>
      <c r="N216" s="165" t="s">
        <v>2554</v>
      </c>
      <c r="O216" s="232">
        <v>31865.2</v>
      </c>
      <c r="P216" s="214"/>
      <c r="Q216" s="214"/>
      <c r="R216" s="214"/>
      <c r="S216" s="214"/>
      <c r="T216" s="214"/>
      <c r="U216" s="214"/>
      <c r="V216" s="214"/>
      <c r="W216" s="214"/>
      <c r="X216" s="214"/>
      <c r="Y216" s="214"/>
      <c r="Z216" s="214"/>
      <c r="AA216" s="214"/>
    </row>
    <row r="217" ht="28.5" customHeight="1">
      <c r="A217" s="190" t="str">
        <f>HYPERLINK("https://drive.google.com/open?id=0B6Vr5nVC58V5RDFkZmdwNU11bHRqYXFEU2Z3NU4xUlFhNEsw","33092")</f>
        <v>33092</v>
      </c>
      <c r="B217" s="204" t="s">
        <v>21</v>
      </c>
      <c r="C217" s="165">
        <v>740.0</v>
      </c>
      <c r="D217" s="215" t="s">
        <v>3168</v>
      </c>
      <c r="E217" s="212" t="s">
        <v>3169</v>
      </c>
      <c r="F217" s="216">
        <v>43587.0</v>
      </c>
      <c r="G217" s="220">
        <v>43584.0</v>
      </c>
      <c r="H217" s="191" t="s">
        <v>1747</v>
      </c>
      <c r="I217" s="234">
        <v>43593.0</v>
      </c>
      <c r="J217" s="204" t="s">
        <v>3108</v>
      </c>
      <c r="K217" s="215" t="s">
        <v>2531</v>
      </c>
      <c r="L217" s="235" t="s">
        <v>3170</v>
      </c>
      <c r="M217" s="215" t="s">
        <v>497</v>
      </c>
      <c r="N217" s="161" t="s">
        <v>3171</v>
      </c>
      <c r="O217" s="232">
        <v>39717.0</v>
      </c>
      <c r="P217" s="214"/>
      <c r="Q217" s="214"/>
      <c r="R217" s="214"/>
      <c r="S217" s="214"/>
      <c r="T217" s="214"/>
      <c r="U217" s="214"/>
      <c r="V217" s="214"/>
      <c r="W217" s="214"/>
      <c r="X217" s="214"/>
      <c r="Y217" s="214"/>
      <c r="Z217" s="214"/>
      <c r="AA217" s="214"/>
    </row>
    <row r="218" ht="28.5" customHeight="1">
      <c r="A218" s="190" t="str">
        <f>HYPERLINK("https://drive.google.com/open?id=0B6Vr5nVC58V5N2xHcnVpUms3eWFnMXhUQjl1ZE90Sk9EY0Vj","33214")</f>
        <v>33214</v>
      </c>
      <c r="B218" s="204" t="s">
        <v>14</v>
      </c>
      <c r="C218" s="165">
        <v>930.0</v>
      </c>
      <c r="D218" s="239" t="s">
        <v>3172</v>
      </c>
      <c r="E218" s="207" t="s">
        <v>3173</v>
      </c>
      <c r="F218" s="216">
        <v>43587.0</v>
      </c>
      <c r="G218" s="220">
        <v>43585.0</v>
      </c>
      <c r="H218" s="191" t="s">
        <v>1747</v>
      </c>
      <c r="I218" s="234">
        <v>43591.0</v>
      </c>
      <c r="J218" s="204" t="s">
        <v>2535</v>
      </c>
      <c r="K218" s="215" t="s">
        <v>2535</v>
      </c>
      <c r="L218" s="235" t="s">
        <v>3174</v>
      </c>
      <c r="M218" s="215"/>
      <c r="N218" s="165"/>
      <c r="O218" s="232"/>
      <c r="P218" s="214"/>
      <c r="Q218" s="214"/>
      <c r="R218" s="214"/>
      <c r="S218" s="214"/>
      <c r="T218" s="214"/>
      <c r="U218" s="214"/>
      <c r="V218" s="214"/>
      <c r="W218" s="214"/>
      <c r="X218" s="214"/>
      <c r="Y218" s="214"/>
      <c r="Z218" s="214"/>
      <c r="AA218" s="214"/>
    </row>
    <row r="219" ht="28.5" customHeight="1">
      <c r="A219" s="205" t="str">
        <f>HYPERLINK("https://drive.google.com/open?id=0B6Vr5nVC58V5aWtJcGY2Q2hnNVRzWTh6RTJqa0FuYjRFNzVv","32984")</f>
        <v>32984</v>
      </c>
      <c r="B219" s="204" t="s">
        <v>21</v>
      </c>
      <c r="C219" s="165">
        <v>1011.0</v>
      </c>
      <c r="D219" s="215" t="s">
        <v>3175</v>
      </c>
      <c r="E219" s="212" t="s">
        <v>2751</v>
      </c>
      <c r="F219" s="216">
        <v>43587.0</v>
      </c>
      <c r="G219" s="220">
        <v>43584.0</v>
      </c>
      <c r="H219" s="191" t="s">
        <v>1747</v>
      </c>
      <c r="I219" s="234">
        <v>43594.0</v>
      </c>
      <c r="J219" s="204" t="s">
        <v>3108</v>
      </c>
      <c r="K219" s="215" t="s">
        <v>2531</v>
      </c>
      <c r="L219" s="244" t="s">
        <v>3176</v>
      </c>
      <c r="M219" s="215" t="s">
        <v>497</v>
      </c>
      <c r="N219" s="165" t="s">
        <v>3171</v>
      </c>
      <c r="O219" s="232">
        <v>45045.73</v>
      </c>
      <c r="P219" s="214"/>
      <c r="Q219" s="214"/>
      <c r="R219" s="214"/>
      <c r="S219" s="214"/>
      <c r="T219" s="214"/>
      <c r="U219" s="214"/>
      <c r="V219" s="214"/>
      <c r="W219" s="214"/>
      <c r="X219" s="214"/>
      <c r="Y219" s="214"/>
      <c r="Z219" s="214"/>
      <c r="AA219" s="214"/>
    </row>
    <row r="220" ht="28.5" customHeight="1">
      <c r="A220" s="190" t="str">
        <f>HYPERLINK("https://drive.google.com/open?id=0B6Vr5nVC58V5UjNvU3N0WTJJSzNlN2ZUdS13ZGNLOUM3QTJn","32647")</f>
        <v>32647</v>
      </c>
      <c r="B220" s="204" t="s">
        <v>25</v>
      </c>
      <c r="C220" s="165">
        <v>1591.0</v>
      </c>
      <c r="D220" s="215" t="s">
        <v>3177</v>
      </c>
      <c r="E220" s="207" t="s">
        <v>3178</v>
      </c>
      <c r="F220" s="216">
        <v>43586.0</v>
      </c>
      <c r="G220" s="220">
        <v>43584.0</v>
      </c>
      <c r="H220" s="191" t="s">
        <v>1747</v>
      </c>
      <c r="I220" s="234">
        <v>43591.0</v>
      </c>
      <c r="J220" s="204" t="s">
        <v>2535</v>
      </c>
      <c r="K220" s="215" t="s">
        <v>2535</v>
      </c>
      <c r="L220" s="235" t="s">
        <v>3179</v>
      </c>
      <c r="M220" s="215" t="s">
        <v>497</v>
      </c>
      <c r="N220" s="165" t="s">
        <v>2554</v>
      </c>
      <c r="O220" s="232">
        <v>33873.48</v>
      </c>
      <c r="P220" s="214"/>
      <c r="Q220" s="214"/>
      <c r="R220" s="214"/>
      <c r="S220" s="214"/>
      <c r="T220" s="214"/>
      <c r="U220" s="214"/>
      <c r="V220" s="214"/>
      <c r="W220" s="214"/>
      <c r="X220" s="214"/>
      <c r="Y220" s="214"/>
      <c r="Z220" s="214"/>
      <c r="AA220" s="214"/>
    </row>
    <row r="221" ht="28.5" customHeight="1">
      <c r="A221" s="190" t="str">
        <f>HYPERLINK("https://drive.google.com/open?id=0B6Vr5nVC58V5VUZNYjFvT3BOQURlRDdRUVVRNm1zQnpaY1Zr","33216")</f>
        <v>33216</v>
      </c>
      <c r="B221" s="204" t="s">
        <v>21</v>
      </c>
      <c r="C221" s="165">
        <v>1100.0</v>
      </c>
      <c r="D221" s="215" t="s">
        <v>3180</v>
      </c>
      <c r="E221" s="207" t="s">
        <v>3141</v>
      </c>
      <c r="F221" s="216">
        <v>43583.0</v>
      </c>
      <c r="G221" s="220">
        <v>43599.0</v>
      </c>
      <c r="H221" s="191" t="s">
        <v>1747</v>
      </c>
      <c r="I221" s="234">
        <v>43592.0</v>
      </c>
      <c r="J221" s="204" t="s">
        <v>3108</v>
      </c>
      <c r="K221" s="215" t="s">
        <v>2755</v>
      </c>
      <c r="L221" s="218" t="s">
        <v>3181</v>
      </c>
      <c r="M221" s="215"/>
      <c r="N221" s="165"/>
      <c r="O221" s="232"/>
      <c r="P221" s="214"/>
      <c r="Q221" s="214"/>
      <c r="R221" s="214"/>
      <c r="S221" s="214"/>
      <c r="T221" s="214"/>
      <c r="U221" s="214"/>
      <c r="V221" s="214"/>
      <c r="W221" s="214"/>
      <c r="X221" s="214"/>
      <c r="Y221" s="214"/>
      <c r="Z221" s="214"/>
      <c r="AA221" s="214"/>
    </row>
    <row r="222" ht="28.5" customHeight="1">
      <c r="A222" s="205" t="str">
        <f>HYPERLINK("https://drive.google.com/open?id=0B6Vr5nVC58V5U3lkQ0xGRGs5TjBpT0tpX2tRdlFPOGlvTHZz","33218")</f>
        <v>33218</v>
      </c>
      <c r="B222" s="204" t="s">
        <v>21</v>
      </c>
      <c r="C222" s="165">
        <v>226.0</v>
      </c>
      <c r="D222" s="215" t="s">
        <v>3182</v>
      </c>
      <c r="E222" s="207" t="s">
        <v>2689</v>
      </c>
      <c r="F222" s="193">
        <v>43583.0</v>
      </c>
      <c r="G222" s="220">
        <v>43598.0</v>
      </c>
      <c r="H222" s="191" t="s">
        <v>1747</v>
      </c>
      <c r="I222" s="234">
        <v>43591.0</v>
      </c>
      <c r="J222" s="204" t="s">
        <v>3108</v>
      </c>
      <c r="K222" s="215" t="s">
        <v>2755</v>
      </c>
      <c r="L222" s="207" t="s">
        <v>3183</v>
      </c>
      <c r="M222" s="215"/>
      <c r="N222" s="165"/>
      <c r="O222" s="232"/>
      <c r="P222" s="214"/>
      <c r="Q222" s="214"/>
      <c r="R222" s="214"/>
      <c r="S222" s="214"/>
      <c r="T222" s="214"/>
      <c r="U222" s="214"/>
      <c r="V222" s="214"/>
      <c r="W222" s="214"/>
      <c r="X222" s="214"/>
      <c r="Y222" s="214"/>
      <c r="Z222" s="214"/>
      <c r="AA222" s="214"/>
    </row>
    <row r="223" ht="28.5" customHeight="1">
      <c r="A223" s="205" t="str">
        <f>HYPERLINK("https://drive.google.com/open?id=0B6Vr5nVC58V5Qnp3b1pRRkVCaXg1NW1GX0dkd1NHNUVSR25z","33118")</f>
        <v>33118</v>
      </c>
      <c r="B223" s="204" t="s">
        <v>21</v>
      </c>
      <c r="C223" s="165">
        <v>1.0</v>
      </c>
      <c r="D223" s="215" t="s">
        <v>3184</v>
      </c>
      <c r="E223" s="207" t="s">
        <v>2952</v>
      </c>
      <c r="F223" s="216">
        <v>43581.0</v>
      </c>
      <c r="G223" s="220">
        <v>43599.0</v>
      </c>
      <c r="H223" s="191" t="s">
        <v>1747</v>
      </c>
      <c r="I223" s="234">
        <v>43599.0</v>
      </c>
      <c r="J223" s="204" t="s">
        <v>2535</v>
      </c>
      <c r="K223" s="215" t="s">
        <v>2535</v>
      </c>
      <c r="L223" s="207" t="s">
        <v>3185</v>
      </c>
      <c r="M223" s="215"/>
      <c r="N223" s="165"/>
      <c r="O223" s="232"/>
      <c r="P223" s="214"/>
      <c r="Q223" s="214"/>
      <c r="R223" s="214"/>
      <c r="S223" s="214"/>
      <c r="T223" s="214"/>
      <c r="U223" s="214"/>
      <c r="V223" s="214"/>
      <c r="W223" s="214"/>
      <c r="X223" s="214"/>
      <c r="Y223" s="214"/>
      <c r="Z223" s="214"/>
      <c r="AA223" s="214"/>
    </row>
    <row r="224" ht="28.5" customHeight="1">
      <c r="A224" s="245" t="str">
        <f>HYPERLINK("https://drive.google.com/open?id=0B6Vr5nVC58V5WGN6emFnUmZ5SEI1MU0zSl9DUEU0RTNqN2pr","33079 (33289)")</f>
        <v>33079 (33289)</v>
      </c>
      <c r="B224" s="204" t="s">
        <v>21</v>
      </c>
      <c r="C224" s="165">
        <v>320.0</v>
      </c>
      <c r="D224" s="165" t="s">
        <v>3186</v>
      </c>
      <c r="E224" s="207" t="s">
        <v>3187</v>
      </c>
      <c r="F224" s="216">
        <v>43581.0</v>
      </c>
      <c r="G224" s="220">
        <v>43579.0</v>
      </c>
      <c r="H224" s="191" t="s">
        <v>1747</v>
      </c>
      <c r="I224" s="234">
        <v>43587.0</v>
      </c>
      <c r="J224" s="204" t="s">
        <v>3108</v>
      </c>
      <c r="K224" s="215" t="s">
        <v>2531</v>
      </c>
      <c r="L224" s="242" t="s">
        <v>3188</v>
      </c>
      <c r="M224" s="215"/>
      <c r="N224" s="165"/>
      <c r="O224" s="232"/>
      <c r="P224" s="214"/>
      <c r="Q224" s="214"/>
      <c r="R224" s="214"/>
      <c r="S224" s="214"/>
      <c r="T224" s="214"/>
      <c r="U224" s="214"/>
      <c r="V224" s="214"/>
      <c r="W224" s="214"/>
      <c r="X224" s="214"/>
      <c r="Y224" s="214"/>
      <c r="Z224" s="214"/>
      <c r="AA224" s="214"/>
    </row>
    <row r="225" ht="28.5" customHeight="1">
      <c r="A225" s="190" t="str">
        <f>HYPERLINK("https://drive.google.com/open?id=0B6Vr5nVC58V5a1dIbUNkQ2J0RF9aT3hBYVI0d2M3eW9wSWRB","33217")</f>
        <v>33217</v>
      </c>
      <c r="B225" s="204" t="s">
        <v>14</v>
      </c>
      <c r="C225" s="165">
        <v>1182.0</v>
      </c>
      <c r="D225" s="215" t="s">
        <v>3189</v>
      </c>
      <c r="E225" s="207" t="s">
        <v>3173</v>
      </c>
      <c r="F225" s="216">
        <v>43580.0</v>
      </c>
      <c r="G225" s="233">
        <v>43577.0</v>
      </c>
      <c r="H225" s="191" t="s">
        <v>1747</v>
      </c>
      <c r="I225" s="234">
        <v>43581.0</v>
      </c>
      <c r="J225" s="204" t="s">
        <v>2535</v>
      </c>
      <c r="K225" s="215" t="s">
        <v>2535</v>
      </c>
      <c r="L225" s="235" t="s">
        <v>3190</v>
      </c>
      <c r="M225" s="215"/>
      <c r="N225" s="165"/>
      <c r="O225" s="232"/>
      <c r="P225" s="214"/>
      <c r="Q225" s="214"/>
      <c r="R225" s="214"/>
      <c r="S225" s="214"/>
      <c r="T225" s="214"/>
      <c r="U225" s="214"/>
      <c r="V225" s="214"/>
      <c r="W225" s="214"/>
      <c r="X225" s="214"/>
      <c r="Y225" s="214"/>
      <c r="Z225" s="214"/>
      <c r="AA225" s="214"/>
    </row>
    <row r="226" ht="28.5" customHeight="1">
      <c r="A226" s="190" t="str">
        <f>HYPERLINK("https://drive.google.com/open?id=0B6Vr5nVC58V5S3BHazM5dUdfYmFBZ09tempKQnY3ZGxrVDNJ","33123")</f>
        <v>33123</v>
      </c>
      <c r="B226" s="204" t="s">
        <v>14</v>
      </c>
      <c r="C226" s="165">
        <v>226.0</v>
      </c>
      <c r="D226" s="215" t="s">
        <v>3191</v>
      </c>
      <c r="E226" s="212" t="s">
        <v>2689</v>
      </c>
      <c r="F226" s="200">
        <v>43580.0</v>
      </c>
      <c r="G226" s="249">
        <v>43563.0</v>
      </c>
      <c r="H226" s="191" t="s">
        <v>1747</v>
      </c>
      <c r="I226" s="234">
        <v>43587.0</v>
      </c>
      <c r="J226" s="204" t="s">
        <v>2535</v>
      </c>
      <c r="K226" s="215" t="s">
        <v>2535</v>
      </c>
      <c r="L226" s="212" t="s">
        <v>3192</v>
      </c>
      <c r="M226" s="215"/>
      <c r="N226" s="165"/>
      <c r="O226" s="232"/>
      <c r="P226" s="214"/>
      <c r="Q226" s="214"/>
      <c r="R226" s="214"/>
      <c r="S226" s="214"/>
      <c r="T226" s="214"/>
      <c r="U226" s="214"/>
      <c r="V226" s="214"/>
      <c r="W226" s="214"/>
      <c r="X226" s="214"/>
      <c r="Y226" s="214"/>
      <c r="Z226" s="214"/>
      <c r="AA226" s="214"/>
    </row>
    <row r="227" ht="28.5" customHeight="1">
      <c r="A227" s="205" t="str">
        <f>HYPERLINK("https://drive.google.com/open?id=0B6Vr5nVC58V5NmI2SkdIVHdUcFR3Z0FrVG9MRzlKUlNRMHdN","33240")</f>
        <v>33240</v>
      </c>
      <c r="B227" s="204" t="s">
        <v>21</v>
      </c>
      <c r="C227" s="165">
        <v>30.0</v>
      </c>
      <c r="D227" s="215" t="s">
        <v>3193</v>
      </c>
      <c r="E227" s="207" t="s">
        <v>2762</v>
      </c>
      <c r="F227" s="233">
        <v>43575.0</v>
      </c>
      <c r="G227" s="220">
        <v>43574.0</v>
      </c>
      <c r="H227" s="191" t="s">
        <v>1747</v>
      </c>
      <c r="I227" s="234">
        <v>43581.0</v>
      </c>
      <c r="J227" s="204" t="s">
        <v>3194</v>
      </c>
      <c r="K227" s="215" t="s">
        <v>2531</v>
      </c>
      <c r="L227" s="235" t="s">
        <v>3195</v>
      </c>
      <c r="M227" s="215"/>
      <c r="N227" s="165"/>
      <c r="O227" s="232"/>
      <c r="P227" s="214"/>
      <c r="Q227" s="214"/>
      <c r="R227" s="214"/>
      <c r="S227" s="214"/>
      <c r="T227" s="214"/>
      <c r="U227" s="214"/>
      <c r="V227" s="214"/>
      <c r="W227" s="214"/>
      <c r="X227" s="214"/>
      <c r="Y227" s="214"/>
      <c r="Z227" s="214"/>
      <c r="AA227" s="214"/>
    </row>
    <row r="228" ht="28.5" customHeight="1">
      <c r="A228" s="190" t="str">
        <f>HYPERLINK("https://drive.google.com/open?id=0B6Vr5nVC58V5dk5LSkZTNjVncTQ2M3pwaGN0c1dUWDE0VnRB","33153")</f>
        <v>33153</v>
      </c>
      <c r="B228" s="204" t="s">
        <v>21</v>
      </c>
      <c r="C228" s="165">
        <v>1029.0</v>
      </c>
      <c r="D228" s="215" t="s">
        <v>3196</v>
      </c>
      <c r="E228" s="207" t="s">
        <v>2733</v>
      </c>
      <c r="F228" s="216">
        <v>43572.0</v>
      </c>
      <c r="G228" s="209">
        <v>43571.0</v>
      </c>
      <c r="H228" s="165" t="s">
        <v>1747</v>
      </c>
      <c r="I228" s="231">
        <v>43578.0</v>
      </c>
      <c r="J228" s="204" t="s">
        <v>3194</v>
      </c>
      <c r="K228" s="215" t="s">
        <v>3197</v>
      </c>
      <c r="L228" s="235" t="s">
        <v>3198</v>
      </c>
      <c r="M228" s="215"/>
      <c r="N228" s="165"/>
      <c r="O228" s="232"/>
      <c r="P228" s="214"/>
      <c r="Q228" s="214"/>
      <c r="R228" s="214"/>
      <c r="S228" s="214"/>
      <c r="T228" s="214"/>
      <c r="U228" s="214"/>
      <c r="V228" s="214"/>
      <c r="W228" s="214"/>
      <c r="X228" s="214"/>
      <c r="Y228" s="214"/>
      <c r="Z228" s="214"/>
      <c r="AA228" s="214"/>
    </row>
    <row r="229" ht="28.5" customHeight="1">
      <c r="A229" s="205" t="str">
        <f>HYPERLINK("https://drive.google.com/open?id=0B6Vr5nVC58V5SnlWd1E3YWUzUGZ4WlpRQVBMN3JqS2ZfNlZB","33073")</f>
        <v>33073</v>
      </c>
      <c r="B229" s="204" t="s">
        <v>14</v>
      </c>
      <c r="C229" s="165">
        <v>900.0</v>
      </c>
      <c r="D229" s="250" t="s">
        <v>3199</v>
      </c>
      <c r="E229" s="207" t="s">
        <v>2876</v>
      </c>
      <c r="F229" s="216">
        <v>43570.0</v>
      </c>
      <c r="G229" s="209">
        <v>43567.0</v>
      </c>
      <c r="H229" s="165" t="s">
        <v>1747</v>
      </c>
      <c r="I229" s="231">
        <v>43574.0</v>
      </c>
      <c r="J229" s="204" t="s">
        <v>2535</v>
      </c>
      <c r="K229" s="215" t="s">
        <v>2535</v>
      </c>
      <c r="L229" s="207" t="s">
        <v>3200</v>
      </c>
      <c r="M229" s="215"/>
      <c r="N229" s="165"/>
      <c r="O229" s="232"/>
      <c r="P229" s="214"/>
      <c r="Q229" s="214"/>
      <c r="R229" s="214"/>
      <c r="S229" s="214"/>
      <c r="T229" s="214"/>
      <c r="U229" s="214"/>
      <c r="V229" s="214"/>
      <c r="W229" s="214"/>
      <c r="X229" s="214"/>
      <c r="Y229" s="214"/>
      <c r="Z229" s="214"/>
      <c r="AA229" s="214"/>
    </row>
    <row r="230" ht="28.5" customHeight="1">
      <c r="A230" s="190" t="str">
        <f>HYPERLINK("https://drive.google.com/open?id=0B6Vr5nVC58V5WFNwS2RCNFFmQTJyNVpHWWdXeTBaQUhJU3Zv","32948")</f>
        <v>32948</v>
      </c>
      <c r="B230" s="204" t="s">
        <v>14</v>
      </c>
      <c r="C230" s="165">
        <v>1150.0</v>
      </c>
      <c r="D230" s="215" t="s">
        <v>3201</v>
      </c>
      <c r="E230" s="212" t="s">
        <v>3202</v>
      </c>
      <c r="F230" s="216">
        <v>43570.0</v>
      </c>
      <c r="G230" s="220">
        <v>43566.0</v>
      </c>
      <c r="H230" s="191" t="s">
        <v>1747</v>
      </c>
      <c r="I230" s="234">
        <v>43580.0</v>
      </c>
      <c r="J230" s="204" t="s">
        <v>2535</v>
      </c>
      <c r="K230" s="215" t="s">
        <v>2535</v>
      </c>
      <c r="L230" s="235" t="s">
        <v>3203</v>
      </c>
      <c r="M230" s="215" t="s">
        <v>497</v>
      </c>
      <c r="N230" s="207" t="s">
        <v>2554</v>
      </c>
      <c r="O230" s="232">
        <v>41636.63</v>
      </c>
      <c r="P230" s="214"/>
      <c r="Q230" s="214"/>
      <c r="R230" s="214"/>
      <c r="S230" s="214"/>
      <c r="T230" s="214"/>
      <c r="U230" s="214"/>
      <c r="V230" s="214"/>
      <c r="W230" s="214"/>
      <c r="X230" s="214"/>
      <c r="Y230" s="214"/>
      <c r="Z230" s="214"/>
      <c r="AA230" s="214"/>
    </row>
    <row r="231" ht="28.5" customHeight="1">
      <c r="A231" s="190" t="str">
        <f>HYPERLINK("https://drive.google.com/open?id=0B6Vr5nVC58V5WEFPcmpPLVk5Y3dZYmZvTUg3Y1NqclQ3MWRV","32834")</f>
        <v>32834</v>
      </c>
      <c r="B231" s="204" t="s">
        <v>21</v>
      </c>
      <c r="C231" s="165">
        <v>508.0</v>
      </c>
      <c r="D231" s="215" t="s">
        <v>3204</v>
      </c>
      <c r="E231" s="207" t="s">
        <v>2782</v>
      </c>
      <c r="F231" s="216">
        <v>43569.0</v>
      </c>
      <c r="G231" s="209">
        <v>43565.0</v>
      </c>
      <c r="H231" s="165" t="s">
        <v>1747</v>
      </c>
      <c r="I231" s="231">
        <v>43570.0</v>
      </c>
      <c r="J231" s="204" t="s">
        <v>3194</v>
      </c>
      <c r="K231" s="215" t="s">
        <v>2531</v>
      </c>
      <c r="L231" s="235" t="s">
        <v>3205</v>
      </c>
      <c r="M231" s="215" t="s">
        <v>497</v>
      </c>
      <c r="N231" s="207" t="s">
        <v>2604</v>
      </c>
      <c r="O231" s="232">
        <v>31310.0</v>
      </c>
      <c r="P231" s="214"/>
      <c r="Q231" s="214"/>
      <c r="R231" s="214"/>
      <c r="S231" s="214"/>
      <c r="T231" s="214"/>
      <c r="U231" s="214"/>
      <c r="V231" s="214"/>
      <c r="W231" s="214"/>
      <c r="X231" s="214"/>
      <c r="Y231" s="214"/>
      <c r="Z231" s="214"/>
      <c r="AA231" s="214"/>
    </row>
    <row r="232" ht="28.5" customHeight="1">
      <c r="A232" s="190" t="str">
        <f>HYPERLINK("https://drive.google.com/open?id=0B6Vr5nVC58V5M0NKZC1zTDJqWUN1a0xUTFlZZHFMYWlGLWZV","33122")</f>
        <v>33122</v>
      </c>
      <c r="B232" s="204" t="s">
        <v>14</v>
      </c>
      <c r="C232" s="165">
        <v>930.0</v>
      </c>
      <c r="D232" s="215" t="s">
        <v>3206</v>
      </c>
      <c r="E232" s="212" t="s">
        <v>2559</v>
      </c>
      <c r="F232" s="216">
        <v>43567.0</v>
      </c>
      <c r="G232" s="220">
        <v>43559.0</v>
      </c>
      <c r="H232" s="191" t="s">
        <v>1747</v>
      </c>
      <c r="I232" s="234">
        <v>43570.0</v>
      </c>
      <c r="J232" s="204" t="s">
        <v>2535</v>
      </c>
      <c r="K232" s="215" t="s">
        <v>2535</v>
      </c>
      <c r="L232" s="207" t="s">
        <v>3207</v>
      </c>
      <c r="M232" s="215"/>
      <c r="N232" s="165"/>
      <c r="O232" s="232"/>
      <c r="P232" s="214"/>
      <c r="Q232" s="214"/>
      <c r="R232" s="214"/>
      <c r="S232" s="214"/>
      <c r="T232" s="214"/>
      <c r="U232" s="214"/>
      <c r="V232" s="214"/>
      <c r="W232" s="214"/>
      <c r="X232" s="214"/>
      <c r="Y232" s="214"/>
      <c r="Z232" s="214"/>
      <c r="AA232" s="214"/>
    </row>
    <row r="233" ht="28.5" customHeight="1">
      <c r="A233" s="190" t="str">
        <f>HYPERLINK("https://drive.google.com/open?id=0B6Vr5nVC58V5VmdNdE1telpkRTRscGVha245ZG50LUlXMUtF","33213")</f>
        <v>33213</v>
      </c>
      <c r="B233" s="204" t="s">
        <v>14</v>
      </c>
      <c r="C233" s="165">
        <v>548.0</v>
      </c>
      <c r="D233" s="215" t="s">
        <v>3208</v>
      </c>
      <c r="E233" s="207" t="s">
        <v>3209</v>
      </c>
      <c r="F233" s="216">
        <v>43565.0</v>
      </c>
      <c r="G233" s="220">
        <v>43563.0</v>
      </c>
      <c r="H233" s="191" t="s">
        <v>1747</v>
      </c>
      <c r="I233" s="234">
        <v>43571.0</v>
      </c>
      <c r="J233" s="204" t="s">
        <v>2535</v>
      </c>
      <c r="K233" s="215" t="s">
        <v>2535</v>
      </c>
      <c r="L233" s="218" t="s">
        <v>3210</v>
      </c>
      <c r="M233" s="215"/>
      <c r="N233" s="165"/>
      <c r="O233" s="232"/>
      <c r="P233" s="214"/>
      <c r="Q233" s="214"/>
      <c r="R233" s="214"/>
      <c r="S233" s="214"/>
      <c r="T233" s="214"/>
      <c r="U233" s="214"/>
      <c r="V233" s="214"/>
      <c r="W233" s="214"/>
      <c r="X233" s="214"/>
      <c r="Y233" s="214"/>
      <c r="Z233" s="214"/>
      <c r="AA233" s="214"/>
    </row>
    <row r="234" ht="28.5" customHeight="1">
      <c r="A234" s="190" t="str">
        <f>HYPERLINK("https://drive.google.com/open?id=0B6Vr5nVC58V5U2t6TmtqVERRSEVGYndlQ2VkNk5QLU1ISUJN","33143")</f>
        <v>33143</v>
      </c>
      <c r="B234" s="204" t="s">
        <v>21</v>
      </c>
      <c r="C234" s="165">
        <v>1182.0</v>
      </c>
      <c r="D234" s="215" t="s">
        <v>3211</v>
      </c>
      <c r="E234" s="207" t="s">
        <v>2559</v>
      </c>
      <c r="F234" s="216">
        <v>43565.0</v>
      </c>
      <c r="G234" s="220">
        <v>43564.0</v>
      </c>
      <c r="H234" s="191" t="s">
        <v>1747</v>
      </c>
      <c r="I234" s="234">
        <v>43572.0</v>
      </c>
      <c r="J234" s="204" t="s">
        <v>3194</v>
      </c>
      <c r="K234" s="215" t="s">
        <v>3197</v>
      </c>
      <c r="L234" s="235" t="s">
        <v>3212</v>
      </c>
      <c r="M234" s="215"/>
      <c r="N234" s="165"/>
      <c r="O234" s="232"/>
      <c r="P234" s="214"/>
      <c r="Q234" s="214"/>
      <c r="R234" s="214"/>
      <c r="S234" s="214"/>
      <c r="T234" s="214"/>
      <c r="U234" s="214"/>
      <c r="V234" s="214"/>
      <c r="W234" s="214"/>
      <c r="X234" s="214"/>
      <c r="Y234" s="214"/>
      <c r="Z234" s="214"/>
      <c r="AA234" s="214"/>
    </row>
    <row r="235" ht="28.5" customHeight="1">
      <c r="A235" s="205" t="str">
        <f>HYPERLINK("https://drive.google.com/open?id=0B6Vr5nVC58V5NU1pTkJXTjN5R1lKZTJOdlpaTzRyZk9Wc1F3","32990")</f>
        <v>32990</v>
      </c>
      <c r="B235" s="204" t="s">
        <v>21</v>
      </c>
      <c r="C235" s="165">
        <v>1150.0</v>
      </c>
      <c r="D235" s="215" t="s">
        <v>3213</v>
      </c>
      <c r="E235" s="212" t="s">
        <v>3214</v>
      </c>
      <c r="F235" s="216">
        <v>43561.0</v>
      </c>
      <c r="G235" s="220">
        <v>43556.0</v>
      </c>
      <c r="H235" s="191" t="s">
        <v>1747</v>
      </c>
      <c r="I235" s="234">
        <v>43567.0</v>
      </c>
      <c r="J235" s="204" t="s">
        <v>3194</v>
      </c>
      <c r="K235" s="215" t="s">
        <v>3197</v>
      </c>
      <c r="L235" s="207" t="s">
        <v>3215</v>
      </c>
      <c r="M235" s="215" t="s">
        <v>497</v>
      </c>
      <c r="N235" s="207" t="s">
        <v>2554</v>
      </c>
      <c r="O235" s="232">
        <v>41484.25</v>
      </c>
      <c r="P235" s="214"/>
      <c r="Q235" s="214"/>
      <c r="R235" s="214"/>
      <c r="S235" s="214"/>
      <c r="T235" s="214"/>
      <c r="U235" s="214"/>
      <c r="V235" s="214"/>
      <c r="W235" s="214"/>
      <c r="X235" s="214"/>
      <c r="Y235" s="214"/>
      <c r="Z235" s="214"/>
      <c r="AA235" s="214"/>
    </row>
    <row r="236" ht="28.5" customHeight="1">
      <c r="A236" s="204">
        <v>32945.0</v>
      </c>
      <c r="B236" s="204" t="s">
        <v>25</v>
      </c>
      <c r="C236" s="165">
        <v>2876.0</v>
      </c>
      <c r="D236" s="165" t="s">
        <v>3216</v>
      </c>
      <c r="E236" s="207" t="s">
        <v>3217</v>
      </c>
      <c r="F236" s="216">
        <v>43560.0</v>
      </c>
      <c r="G236" s="220" t="s">
        <v>28</v>
      </c>
      <c r="H236" s="220" t="s">
        <v>28</v>
      </c>
      <c r="I236" s="234">
        <v>43564.0</v>
      </c>
      <c r="J236" s="204" t="s">
        <v>2535</v>
      </c>
      <c r="K236" s="215" t="s">
        <v>2535</v>
      </c>
      <c r="L236" s="207" t="s">
        <v>3218</v>
      </c>
      <c r="M236" s="215"/>
      <c r="N236" s="165"/>
      <c r="O236" s="232"/>
      <c r="P236" s="214"/>
      <c r="Q236" s="214"/>
      <c r="R236" s="214"/>
      <c r="S236" s="214"/>
      <c r="T236" s="214"/>
      <c r="U236" s="214"/>
      <c r="V236" s="214"/>
      <c r="W236" s="214"/>
      <c r="X236" s="214"/>
      <c r="Y236" s="214"/>
      <c r="Z236" s="214"/>
      <c r="AA236" s="214"/>
    </row>
    <row r="237" ht="28.5" customHeight="1">
      <c r="A237" s="205" t="str">
        <f>HYPERLINK("https://drive.google.com/open?id=0B6Vr5nVC58V5dGxqWmh6NVo0bHlCTDlucEpwTnlSOEFfa1FZ","32983")</f>
        <v>32983</v>
      </c>
      <c r="B237" s="204" t="s">
        <v>25</v>
      </c>
      <c r="C237" s="165">
        <v>796.0</v>
      </c>
      <c r="D237" s="165" t="s">
        <v>3219</v>
      </c>
      <c r="E237" s="207" t="s">
        <v>2665</v>
      </c>
      <c r="F237" s="216">
        <v>43560.0</v>
      </c>
      <c r="G237" s="220">
        <v>43556.0</v>
      </c>
      <c r="H237" s="191" t="s">
        <v>1747</v>
      </c>
      <c r="I237" s="234">
        <v>43571.0</v>
      </c>
      <c r="J237" s="204" t="s">
        <v>2535</v>
      </c>
      <c r="K237" s="215" t="s">
        <v>2535</v>
      </c>
      <c r="L237" s="235" t="s">
        <v>3220</v>
      </c>
      <c r="M237" s="215" t="s">
        <v>497</v>
      </c>
      <c r="N237" s="165" t="s">
        <v>3171</v>
      </c>
      <c r="O237" s="232">
        <v>39062.6</v>
      </c>
      <c r="P237" s="214"/>
      <c r="Q237" s="214"/>
      <c r="R237" s="214"/>
      <c r="S237" s="214"/>
      <c r="T237" s="214"/>
      <c r="U237" s="214"/>
      <c r="V237" s="214"/>
      <c r="W237" s="214"/>
      <c r="X237" s="214"/>
      <c r="Y237" s="214"/>
      <c r="Z237" s="214"/>
      <c r="AA237" s="214"/>
    </row>
    <row r="238" ht="28.5" customHeight="1">
      <c r="A238" s="190" t="str">
        <f>HYPERLINK("https://drive.google.com/open?id=0B6Vr5nVC58V5NWJudVoxdnZTbzk1NzNoRTRmUGpPMXpWTTVv","33120")</f>
        <v>33120</v>
      </c>
      <c r="B238" s="204" t="s">
        <v>14</v>
      </c>
      <c r="C238" s="165">
        <v>1182.0</v>
      </c>
      <c r="D238" s="215" t="s">
        <v>3221</v>
      </c>
      <c r="E238" s="207" t="s">
        <v>2559</v>
      </c>
      <c r="F238" s="216">
        <v>43558.0</v>
      </c>
      <c r="G238" s="220">
        <v>43560.0</v>
      </c>
      <c r="H238" s="191" t="s">
        <v>1747</v>
      </c>
      <c r="I238" s="234">
        <v>43564.0</v>
      </c>
      <c r="J238" s="204" t="s">
        <v>2535</v>
      </c>
      <c r="K238" s="215" t="s">
        <v>2535</v>
      </c>
      <c r="L238" s="235" t="s">
        <v>3222</v>
      </c>
      <c r="M238" s="215"/>
      <c r="N238" s="165"/>
      <c r="O238" s="232"/>
      <c r="P238" s="214"/>
      <c r="Q238" s="214"/>
      <c r="R238" s="214"/>
      <c r="S238" s="214"/>
      <c r="T238" s="214"/>
      <c r="U238" s="214"/>
      <c r="V238" s="214"/>
      <c r="W238" s="214"/>
      <c r="X238" s="214"/>
      <c r="Y238" s="214"/>
      <c r="Z238" s="214"/>
      <c r="AA238" s="214"/>
    </row>
    <row r="239" ht="28.5" customHeight="1">
      <c r="A239" s="190" t="str">
        <f>HYPERLINK("https://drive.google.com/open?id=0B6Vr5nVC58V5UWpQaW90dm85OURZWUs2dkxOLTlPRWVydnNv","33121")</f>
        <v>33121</v>
      </c>
      <c r="B239" s="204" t="s">
        <v>21</v>
      </c>
      <c r="C239" s="165">
        <v>226.0</v>
      </c>
      <c r="D239" s="165" t="s">
        <v>3223</v>
      </c>
      <c r="E239" s="207" t="s">
        <v>2689</v>
      </c>
      <c r="F239" s="216">
        <v>43557.0</v>
      </c>
      <c r="G239" s="220">
        <v>43553.0</v>
      </c>
      <c r="H239" s="191" t="s">
        <v>1747</v>
      </c>
      <c r="I239" s="234">
        <v>43563.0</v>
      </c>
      <c r="J239" s="204" t="s">
        <v>3194</v>
      </c>
      <c r="K239" s="215" t="s">
        <v>3197</v>
      </c>
      <c r="L239" s="235" t="s">
        <v>3224</v>
      </c>
      <c r="M239" s="215"/>
      <c r="N239" s="165"/>
      <c r="O239" s="232"/>
      <c r="P239" s="214"/>
      <c r="Q239" s="214"/>
      <c r="R239" s="214"/>
      <c r="S239" s="214"/>
      <c r="T239" s="214"/>
      <c r="U239" s="214"/>
      <c r="V239" s="214"/>
      <c r="W239" s="214"/>
      <c r="X239" s="214"/>
      <c r="Y239" s="214"/>
      <c r="Z239" s="214"/>
      <c r="AA239" s="214"/>
    </row>
    <row r="240" ht="28.5" customHeight="1">
      <c r="A240" s="190" t="str">
        <f>HYPERLINK("https://drive.google.com/open?id=0B6Vr5nVC58V5U2pZbmc0azVKTVFvOVV5N01Mck9sWWYtVGN3","33068")</f>
        <v>33068</v>
      </c>
      <c r="B240" s="204" t="s">
        <v>25</v>
      </c>
      <c r="C240" s="165">
        <v>223.0</v>
      </c>
      <c r="D240" s="215" t="s">
        <v>3225</v>
      </c>
      <c r="E240" s="252" t="s">
        <v>3226</v>
      </c>
      <c r="F240" s="216">
        <v>43557.0</v>
      </c>
      <c r="G240" s="220" t="s">
        <v>28</v>
      </c>
      <c r="H240" s="191" t="s">
        <v>28</v>
      </c>
      <c r="I240" s="234">
        <v>43574.0</v>
      </c>
      <c r="J240" s="204" t="s">
        <v>2535</v>
      </c>
      <c r="K240" s="215" t="s">
        <v>2535</v>
      </c>
      <c r="L240" s="207" t="s">
        <v>3227</v>
      </c>
      <c r="M240" s="215" t="s">
        <v>497</v>
      </c>
      <c r="N240" s="165" t="s">
        <v>2538</v>
      </c>
      <c r="O240" s="232">
        <v>51788.0</v>
      </c>
      <c r="P240" s="214"/>
      <c r="Q240" s="214"/>
      <c r="R240" s="214"/>
      <c r="S240" s="214"/>
      <c r="T240" s="214"/>
      <c r="U240" s="214"/>
      <c r="V240" s="214"/>
      <c r="W240" s="214"/>
      <c r="X240" s="214"/>
      <c r="Y240" s="214"/>
      <c r="Z240" s="214"/>
      <c r="AA240" s="214"/>
    </row>
    <row r="241" ht="28.5" customHeight="1">
      <c r="A241" s="190" t="str">
        <f>HYPERLINK("https://drive.google.com/open?id=0B6Vr5nVC58V5ZWk5NWdfNXcwWGZVcW1DMWtJVlY3WF84WEJR","32648")</f>
        <v>32648</v>
      </c>
      <c r="B241" s="204" t="s">
        <v>14</v>
      </c>
      <c r="C241" s="165">
        <v>2040.0</v>
      </c>
      <c r="D241" s="215" t="s">
        <v>3228</v>
      </c>
      <c r="E241" s="207" t="s">
        <v>3073</v>
      </c>
      <c r="F241" s="216">
        <v>43556.0</v>
      </c>
      <c r="G241" s="220">
        <v>43553.0</v>
      </c>
      <c r="H241" s="191" t="s">
        <v>1747</v>
      </c>
      <c r="I241" s="234">
        <v>43560.0</v>
      </c>
      <c r="J241" s="215" t="s">
        <v>2535</v>
      </c>
      <c r="K241" s="215" t="s">
        <v>2535</v>
      </c>
      <c r="L241" s="235" t="s">
        <v>3229</v>
      </c>
      <c r="M241" s="215" t="s">
        <v>497</v>
      </c>
      <c r="N241" s="165" t="s">
        <v>2554</v>
      </c>
      <c r="O241" s="232">
        <v>32159.64</v>
      </c>
      <c r="P241" s="214"/>
      <c r="Q241" s="214"/>
      <c r="R241" s="214"/>
      <c r="S241" s="214"/>
      <c r="T241" s="214"/>
      <c r="U241" s="214"/>
      <c r="V241" s="214"/>
      <c r="W241" s="214"/>
      <c r="X241" s="214"/>
      <c r="Y241" s="214"/>
      <c r="Z241" s="214"/>
      <c r="AA241" s="214"/>
    </row>
    <row r="242" ht="28.5" customHeight="1">
      <c r="A242" s="205" t="str">
        <f>HYPERLINK("https://drive.google.com/open?id=0B6Vr5nVC58V5ekczMUdzcGtKZzdoc0ZOQ19JYjVjVjIzNFVB","32982")</f>
        <v>32982</v>
      </c>
      <c r="B242" s="204" t="s">
        <v>14</v>
      </c>
      <c r="C242" s="165">
        <v>982.0</v>
      </c>
      <c r="D242" s="215" t="s">
        <v>3230</v>
      </c>
      <c r="E242" s="207" t="s">
        <v>2751</v>
      </c>
      <c r="F242" s="216">
        <v>43554.0</v>
      </c>
      <c r="G242" s="220">
        <v>43550.0</v>
      </c>
      <c r="H242" s="191" t="s">
        <v>1747</v>
      </c>
      <c r="I242" s="234">
        <v>43558.0</v>
      </c>
      <c r="J242" s="215" t="s">
        <v>2535</v>
      </c>
      <c r="K242" s="215" t="s">
        <v>2535</v>
      </c>
      <c r="L242" s="235" t="s">
        <v>3231</v>
      </c>
      <c r="M242" s="215" t="s">
        <v>497</v>
      </c>
      <c r="N242" s="165" t="s">
        <v>3171</v>
      </c>
      <c r="O242" s="232">
        <v>45665.54</v>
      </c>
      <c r="P242" s="214"/>
      <c r="Q242" s="214"/>
      <c r="R242" s="214"/>
      <c r="S242" s="214"/>
      <c r="T242" s="214"/>
      <c r="U242" s="214"/>
      <c r="V242" s="214"/>
      <c r="W242" s="214"/>
      <c r="X242" s="214"/>
      <c r="Y242" s="214"/>
      <c r="Z242" s="214"/>
      <c r="AA242" s="214"/>
    </row>
    <row r="243" ht="28.5" customHeight="1">
      <c r="A243" s="190" t="str">
        <f>HYPERLINK("https://drive.google.com/open?id=0B6Vr5nVC58V5cl92ekwyWTJCQW5MZ1hSS2VtYkdjT0JFeDFR","32644")</f>
        <v>32644</v>
      </c>
      <c r="B243" s="204" t="s">
        <v>14</v>
      </c>
      <c r="C243" s="165">
        <v>2100.0</v>
      </c>
      <c r="D243" s="215" t="s">
        <v>3232</v>
      </c>
      <c r="E243" s="207" t="s">
        <v>3233</v>
      </c>
      <c r="F243" s="216">
        <v>43551.0</v>
      </c>
      <c r="G243" s="209">
        <v>43546.0</v>
      </c>
      <c r="H243" s="165" t="s">
        <v>1747</v>
      </c>
      <c r="I243" s="231">
        <v>43552.0</v>
      </c>
      <c r="J243" s="215" t="s">
        <v>2535</v>
      </c>
      <c r="K243" s="215" t="s">
        <v>2535</v>
      </c>
      <c r="L243" s="235" t="s">
        <v>3234</v>
      </c>
      <c r="M243" s="215" t="s">
        <v>497</v>
      </c>
      <c r="N243" s="165" t="s">
        <v>2554</v>
      </c>
      <c r="O243" s="232">
        <v>30872.0</v>
      </c>
      <c r="P243" s="214"/>
      <c r="Q243" s="214"/>
      <c r="R243" s="214"/>
      <c r="S243" s="214"/>
      <c r="T243" s="214"/>
      <c r="U243" s="214"/>
      <c r="V243" s="214"/>
      <c r="W243" s="214"/>
      <c r="X243" s="214"/>
      <c r="Y243" s="214"/>
      <c r="Z243" s="214"/>
      <c r="AA243" s="214"/>
    </row>
    <row r="244" ht="28.5" customHeight="1">
      <c r="A244" s="190" t="str">
        <f>HYPERLINK("https://drive.google.com/open?id=0B6Vr5nVC58V5RnpwTUhJOWVKQXBlUjNrSWxUNFpnbzV4WjBJ","32672")</f>
        <v>32672</v>
      </c>
      <c r="B244" s="204" t="s">
        <v>21</v>
      </c>
      <c r="C244" s="165">
        <v>2720.0</v>
      </c>
      <c r="D244" s="215" t="s">
        <v>3235</v>
      </c>
      <c r="E244" s="212" t="s">
        <v>3236</v>
      </c>
      <c r="F244" s="216">
        <v>43550.0</v>
      </c>
      <c r="G244" s="209">
        <v>43551.0</v>
      </c>
      <c r="H244" s="165" t="s">
        <v>1747</v>
      </c>
      <c r="I244" s="231">
        <v>43557.0</v>
      </c>
      <c r="J244" s="204" t="s">
        <v>3194</v>
      </c>
      <c r="K244" s="215" t="s">
        <v>3197</v>
      </c>
      <c r="L244" s="235" t="s">
        <v>3237</v>
      </c>
      <c r="M244" s="215" t="s">
        <v>497</v>
      </c>
      <c r="N244" s="165" t="s">
        <v>2554</v>
      </c>
      <c r="O244" s="232">
        <v>18686.4</v>
      </c>
      <c r="P244" s="214"/>
      <c r="Q244" s="214"/>
      <c r="R244" s="214"/>
      <c r="S244" s="214"/>
      <c r="T244" s="214"/>
      <c r="U244" s="214"/>
      <c r="V244" s="214"/>
      <c r="W244" s="214"/>
      <c r="X244" s="214"/>
      <c r="Y244" s="214"/>
      <c r="Z244" s="214"/>
      <c r="AA244" s="214"/>
    </row>
    <row r="245" ht="28.5" customHeight="1">
      <c r="A245" s="205" t="str">
        <f>HYPERLINK("https://drive.google.com/open?id=0B6Vr5nVC58V5UG1RWG5naTdpb3ZrclJGWVFYMDE2UmdIQ3lr","33030")</f>
        <v>33030</v>
      </c>
      <c r="B245" s="204" t="s">
        <v>21</v>
      </c>
      <c r="C245" s="165">
        <v>6.0</v>
      </c>
      <c r="D245" s="215" t="s">
        <v>3238</v>
      </c>
      <c r="E245" s="207" t="s">
        <v>3239</v>
      </c>
      <c r="F245" s="216">
        <v>43550.0</v>
      </c>
      <c r="G245" s="209">
        <v>43552.0</v>
      </c>
      <c r="H245" s="165" t="s">
        <v>1747</v>
      </c>
      <c r="I245" s="231">
        <v>43557.0</v>
      </c>
      <c r="J245" s="215" t="s">
        <v>2535</v>
      </c>
      <c r="K245" s="215" t="s">
        <v>2535</v>
      </c>
      <c r="L245" s="235" t="s">
        <v>3240</v>
      </c>
      <c r="M245" s="215" t="s">
        <v>497</v>
      </c>
      <c r="N245" s="207" t="s">
        <v>3171</v>
      </c>
      <c r="O245" s="232">
        <v>5875.1</v>
      </c>
      <c r="P245" s="214"/>
      <c r="Q245" s="214"/>
      <c r="R245" s="214"/>
      <c r="S245" s="214"/>
      <c r="T245" s="214"/>
      <c r="U245" s="214"/>
      <c r="V245" s="214"/>
      <c r="W245" s="214"/>
      <c r="X245" s="214"/>
      <c r="Y245" s="214"/>
      <c r="Z245" s="214"/>
      <c r="AA245" s="214"/>
    </row>
    <row r="246" ht="28.5" customHeight="1">
      <c r="A246" s="205" t="str">
        <f>HYPERLINK("https://drive.google.com/open?id=0B6Vr5nVC58V5WnZDNEM1bzMyUG80ckRQY3oxZ3RCM0MyT2pr","33031")</f>
        <v>33031</v>
      </c>
      <c r="B246" s="204" t="s">
        <v>21</v>
      </c>
      <c r="C246" s="165">
        <v>1100.0</v>
      </c>
      <c r="D246" s="215" t="s">
        <v>3241</v>
      </c>
      <c r="E246" s="207" t="s">
        <v>3242</v>
      </c>
      <c r="F246" s="216">
        <v>43549.0</v>
      </c>
      <c r="G246" s="220">
        <v>43546.0</v>
      </c>
      <c r="H246" s="191" t="s">
        <v>1747</v>
      </c>
      <c r="I246" s="234">
        <v>43558.0</v>
      </c>
      <c r="J246" s="204" t="s">
        <v>3194</v>
      </c>
      <c r="K246" s="215" t="s">
        <v>3197</v>
      </c>
      <c r="L246" s="235" t="s">
        <v>3243</v>
      </c>
      <c r="M246" s="215"/>
      <c r="N246" s="165"/>
      <c r="O246" s="232"/>
      <c r="P246" s="214"/>
      <c r="Q246" s="214"/>
      <c r="R246" s="214"/>
      <c r="S246" s="214"/>
      <c r="T246" s="214"/>
      <c r="U246" s="214"/>
      <c r="V246" s="214"/>
      <c r="W246" s="214"/>
      <c r="X246" s="214"/>
      <c r="Y246" s="214"/>
      <c r="Z246" s="214"/>
      <c r="AA246" s="214"/>
    </row>
    <row r="247" ht="28.5" customHeight="1">
      <c r="A247" s="205" t="str">
        <f>HYPERLINK("https://drive.google.com/open?id=0B6Vr5nVC58V5UTg1ZldiZUR2bmhrME9iNDFndHAzbUhzalRr","33082")</f>
        <v>33082</v>
      </c>
      <c r="B247" s="204" t="s">
        <v>14</v>
      </c>
      <c r="C247" s="165">
        <v>930.0</v>
      </c>
      <c r="D247" s="215" t="s">
        <v>3244</v>
      </c>
      <c r="E247" s="207" t="s">
        <v>3173</v>
      </c>
      <c r="F247" s="216">
        <v>43548.0</v>
      </c>
      <c r="G247" s="220">
        <v>43545.0</v>
      </c>
      <c r="H247" s="219" t="s">
        <v>1747</v>
      </c>
      <c r="I247" s="234">
        <v>43556.0</v>
      </c>
      <c r="J247" s="215" t="s">
        <v>2535</v>
      </c>
      <c r="K247" s="215" t="s">
        <v>2535</v>
      </c>
      <c r="L247" s="235" t="s">
        <v>3245</v>
      </c>
      <c r="M247" s="215"/>
      <c r="N247" s="165"/>
      <c r="O247" s="232"/>
      <c r="P247" s="214"/>
      <c r="Q247" s="214"/>
      <c r="R247" s="214"/>
      <c r="S247" s="214"/>
      <c r="T247" s="214"/>
      <c r="U247" s="214"/>
      <c r="V247" s="214"/>
      <c r="W247" s="214"/>
      <c r="X247" s="214"/>
      <c r="Y247" s="214"/>
      <c r="Z247" s="214"/>
      <c r="AA247" s="214"/>
    </row>
    <row r="248" ht="28.5" customHeight="1">
      <c r="A248" s="205" t="str">
        <f>HYPERLINK("https://drive.google.com/open?id=0B6Vr5nVC58V5S0lQNHpSejIwNUhRemxEbEh5MVZyZDc1aDdR","33067")</f>
        <v>33067</v>
      </c>
      <c r="B248" s="204" t="s">
        <v>14</v>
      </c>
      <c r="C248" s="165">
        <v>1350.0</v>
      </c>
      <c r="D248" s="215" t="s">
        <v>3246</v>
      </c>
      <c r="E248" s="207" t="s">
        <v>3247</v>
      </c>
      <c r="F248" s="216">
        <v>43545.0</v>
      </c>
      <c r="G248" s="220">
        <v>43539.0</v>
      </c>
      <c r="H248" s="191" t="s">
        <v>1747</v>
      </c>
      <c r="I248" s="234">
        <v>43549.0</v>
      </c>
      <c r="J248" s="215" t="s">
        <v>2535</v>
      </c>
      <c r="K248" s="215" t="s">
        <v>2535</v>
      </c>
      <c r="L248" s="235" t="s">
        <v>3248</v>
      </c>
      <c r="M248" s="215"/>
      <c r="N248" s="165"/>
      <c r="O248" s="232"/>
      <c r="P248" s="214"/>
      <c r="Q248" s="214"/>
      <c r="R248" s="214"/>
      <c r="S248" s="214"/>
      <c r="T248" s="214"/>
      <c r="U248" s="214"/>
      <c r="V248" s="214"/>
      <c r="W248" s="214"/>
      <c r="X248" s="214"/>
      <c r="Y248" s="214"/>
      <c r="Z248" s="214"/>
      <c r="AA248" s="214"/>
    </row>
    <row r="249" ht="28.5" customHeight="1">
      <c r="A249" s="205" t="str">
        <f>HYPERLINK("https://drive.google.com/open?id=0B6Vr5nVC58V5QzIwOFR5WUhzLXVnQ2hUZXNsMmRSV194SURz","32746")</f>
        <v>32746</v>
      </c>
      <c r="B249" s="204" t="s">
        <v>21</v>
      </c>
      <c r="C249" s="165">
        <v>765.0</v>
      </c>
      <c r="D249" s="165" t="s">
        <v>3249</v>
      </c>
      <c r="E249" s="212" t="s">
        <v>2876</v>
      </c>
      <c r="F249" s="216">
        <v>43543.0</v>
      </c>
      <c r="G249" s="209">
        <v>43539.0</v>
      </c>
      <c r="H249" s="209" t="s">
        <v>1747</v>
      </c>
      <c r="I249" s="231">
        <v>43549.0</v>
      </c>
      <c r="J249" s="204" t="s">
        <v>3250</v>
      </c>
      <c r="K249" s="215" t="s">
        <v>2531</v>
      </c>
      <c r="L249" s="235" t="s">
        <v>3251</v>
      </c>
      <c r="M249" s="215"/>
      <c r="N249" s="165"/>
      <c r="O249" s="232"/>
      <c r="P249" s="214"/>
      <c r="Q249" s="214"/>
      <c r="R249" s="214"/>
      <c r="S249" s="214"/>
      <c r="T249" s="214"/>
      <c r="U249" s="214"/>
      <c r="V249" s="214"/>
      <c r="W249" s="214"/>
      <c r="X249" s="214"/>
      <c r="Y249" s="214"/>
      <c r="Z249" s="214"/>
      <c r="AA249" s="214"/>
    </row>
    <row r="250" ht="28.5" customHeight="1">
      <c r="A250" s="205" t="str">
        <f>HYPERLINK("https://drive.google.com/open?id=0B6Vr5nVC58V5UFlLWTh6NFBsM3dDZkhWRXAtam5Qdm9HMk1z","32830")</f>
        <v>32830</v>
      </c>
      <c r="B250" s="204" t="s">
        <v>21</v>
      </c>
      <c r="C250" s="165">
        <v>783.0</v>
      </c>
      <c r="D250" s="215" t="s">
        <v>3252</v>
      </c>
      <c r="E250" s="207" t="s">
        <v>3253</v>
      </c>
      <c r="F250" s="216">
        <v>43541.0</v>
      </c>
      <c r="G250" s="220">
        <v>43549.0</v>
      </c>
      <c r="H250" s="191" t="s">
        <v>1747</v>
      </c>
      <c r="I250" s="234">
        <v>43553.0</v>
      </c>
      <c r="J250" s="204" t="s">
        <v>3250</v>
      </c>
      <c r="K250" s="215" t="s">
        <v>2531</v>
      </c>
      <c r="L250" s="244" t="s">
        <v>3254</v>
      </c>
      <c r="M250" s="215" t="s">
        <v>497</v>
      </c>
      <c r="N250" s="165" t="s">
        <v>2538</v>
      </c>
      <c r="O250" s="232">
        <v>15410.0</v>
      </c>
      <c r="P250" s="214"/>
      <c r="Q250" s="214"/>
      <c r="R250" s="214"/>
      <c r="S250" s="214"/>
      <c r="T250" s="214"/>
      <c r="U250" s="214"/>
      <c r="V250" s="214"/>
      <c r="W250" s="214"/>
      <c r="X250" s="214"/>
      <c r="Y250" s="214"/>
      <c r="Z250" s="214"/>
      <c r="AA250" s="214"/>
    </row>
    <row r="251" ht="28.5" customHeight="1">
      <c r="A251" s="190" t="str">
        <f>HYPERLINK("https://drive.google.com/open?id=0B6Vr5nVC58V5T3hHblhNVkFSZVRmOURTMjBIU2dwWHdUeU84","32645")</f>
        <v>32645</v>
      </c>
      <c r="B251" s="204" t="s">
        <v>21</v>
      </c>
      <c r="C251" s="165">
        <v>2100.0</v>
      </c>
      <c r="D251" s="215" t="s">
        <v>3255</v>
      </c>
      <c r="E251" s="207" t="s">
        <v>3256</v>
      </c>
      <c r="F251" s="216">
        <v>43540.0</v>
      </c>
      <c r="G251" s="220">
        <v>43538.0</v>
      </c>
      <c r="H251" s="191" t="s">
        <v>1747</v>
      </c>
      <c r="I251" s="234">
        <v>43543.0</v>
      </c>
      <c r="J251" s="204" t="s">
        <v>3250</v>
      </c>
      <c r="K251" s="215" t="s">
        <v>3197</v>
      </c>
      <c r="L251" s="235" t="s">
        <v>3257</v>
      </c>
      <c r="M251" s="215" t="s">
        <v>497</v>
      </c>
      <c r="N251" s="165" t="s">
        <v>2554</v>
      </c>
      <c r="O251" s="232">
        <v>30872.0</v>
      </c>
      <c r="P251" s="214"/>
      <c r="Q251" s="214"/>
      <c r="R251" s="214"/>
      <c r="S251" s="214"/>
      <c r="T251" s="214"/>
      <c r="U251" s="214"/>
      <c r="V251" s="214"/>
      <c r="W251" s="214"/>
      <c r="X251" s="214"/>
      <c r="Y251" s="214"/>
      <c r="Z251" s="214"/>
      <c r="AA251" s="214"/>
    </row>
    <row r="252" ht="28.5" customHeight="1">
      <c r="A252" s="190" t="str">
        <f>HYPERLINK("https://drive.google.com/open?id=0B6Vr5nVC58V5RDAyNUpDWG9QNEVIUngtMWYxZTh3QjBJVmhF","33016")</f>
        <v>33016</v>
      </c>
      <c r="B252" s="204" t="s">
        <v>14</v>
      </c>
      <c r="C252" s="165">
        <v>944.0</v>
      </c>
      <c r="D252" s="215" t="s">
        <v>3258</v>
      </c>
      <c r="E252" s="210" t="s">
        <v>3259</v>
      </c>
      <c r="F252" s="216">
        <v>43537.0</v>
      </c>
      <c r="G252" s="209">
        <v>43170.0</v>
      </c>
      <c r="H252" s="209" t="s">
        <v>1747</v>
      </c>
      <c r="I252" s="231">
        <v>43542.0</v>
      </c>
      <c r="J252" s="215" t="s">
        <v>2535</v>
      </c>
      <c r="K252" s="215" t="s">
        <v>2535</v>
      </c>
      <c r="L252" s="235" t="s">
        <v>3260</v>
      </c>
      <c r="M252" s="215"/>
      <c r="N252" s="165"/>
      <c r="O252" s="232"/>
      <c r="P252" s="214"/>
      <c r="Q252" s="214"/>
      <c r="R252" s="214"/>
      <c r="S252" s="214"/>
      <c r="T252" s="214"/>
      <c r="U252" s="214"/>
      <c r="V252" s="214"/>
      <c r="W252" s="214"/>
      <c r="X252" s="214"/>
      <c r="Y252" s="214"/>
      <c r="Z252" s="214"/>
      <c r="AA252" s="214"/>
    </row>
    <row r="253" ht="28.5" customHeight="1">
      <c r="A253" s="205" t="str">
        <f>HYPERLINK("https://drive.google.com/open?id=0B6Vr5nVC58V5Q3NnbHY1ako2SjlLSU1hTkJ1TWp6Z1ZMekEw","33040")</f>
        <v>33040</v>
      </c>
      <c r="B253" s="204" t="s">
        <v>14</v>
      </c>
      <c r="C253" s="165">
        <v>226.0</v>
      </c>
      <c r="D253" s="161" t="s">
        <v>3261</v>
      </c>
      <c r="E253" s="207" t="s">
        <v>2689</v>
      </c>
      <c r="F253" s="216">
        <v>43531.0</v>
      </c>
      <c r="G253" s="220">
        <v>43528.0</v>
      </c>
      <c r="H253" s="220" t="s">
        <v>1747</v>
      </c>
      <c r="I253" s="234">
        <v>43536.0</v>
      </c>
      <c r="J253" s="215" t="s">
        <v>2535</v>
      </c>
      <c r="K253" s="215" t="s">
        <v>2535</v>
      </c>
      <c r="L253" s="235" t="s">
        <v>3262</v>
      </c>
      <c r="M253" s="215"/>
      <c r="N253" s="165"/>
      <c r="O253" s="232"/>
      <c r="P253" s="214"/>
      <c r="Q253" s="214"/>
      <c r="R253" s="214"/>
      <c r="S253" s="214"/>
      <c r="T253" s="214"/>
      <c r="U253" s="214"/>
      <c r="V253" s="214"/>
      <c r="W253" s="214"/>
      <c r="X253" s="214"/>
      <c r="Y253" s="214"/>
      <c r="Z253" s="214"/>
      <c r="AA253" s="214"/>
    </row>
    <row r="254" ht="28.5" customHeight="1">
      <c r="A254" s="205" t="str">
        <f>HYPERLINK("https://drive.google.com/open?id=0B6Vr5nVC58V5TkZkV2NkcktfTnRXTnYwbjZoTWxwcDIyMDhv","32958")</f>
        <v>32958</v>
      </c>
      <c r="B254" s="204" t="s">
        <v>21</v>
      </c>
      <c r="C254" s="165">
        <v>10.0</v>
      </c>
      <c r="D254" s="215" t="s">
        <v>3263</v>
      </c>
      <c r="E254" s="212" t="s">
        <v>2952</v>
      </c>
      <c r="F254" s="216">
        <v>43529.0</v>
      </c>
      <c r="G254" s="220">
        <v>43539.0</v>
      </c>
      <c r="H254" s="220" t="s">
        <v>1747</v>
      </c>
      <c r="I254" s="234">
        <v>43543.0</v>
      </c>
      <c r="J254" s="215" t="s">
        <v>2535</v>
      </c>
      <c r="K254" s="215" t="s">
        <v>2535</v>
      </c>
      <c r="L254" s="207" t="s">
        <v>3264</v>
      </c>
      <c r="M254" s="215"/>
      <c r="N254" s="165"/>
      <c r="O254" s="232"/>
      <c r="P254" s="214"/>
      <c r="Q254" s="214"/>
      <c r="R254" s="214"/>
      <c r="S254" s="214"/>
      <c r="T254" s="214"/>
      <c r="U254" s="214"/>
      <c r="V254" s="214"/>
      <c r="W254" s="214"/>
      <c r="X254" s="214"/>
      <c r="Y254" s="214"/>
      <c r="Z254" s="214"/>
      <c r="AA254" s="214"/>
    </row>
    <row r="255" ht="28.5" customHeight="1">
      <c r="A255" s="204">
        <v>32879.0</v>
      </c>
      <c r="B255" s="204" t="s">
        <v>14</v>
      </c>
      <c r="C255" s="165">
        <v>3033.0</v>
      </c>
      <c r="D255" s="165" t="s">
        <v>3265</v>
      </c>
      <c r="E255" s="207" t="s">
        <v>3217</v>
      </c>
      <c r="F255" s="216">
        <v>43527.0</v>
      </c>
      <c r="G255" s="220" t="s">
        <v>28</v>
      </c>
      <c r="H255" s="220" t="s">
        <v>28</v>
      </c>
      <c r="I255" s="234">
        <v>43535.0</v>
      </c>
      <c r="J255" s="215" t="s">
        <v>2535</v>
      </c>
      <c r="K255" s="215" t="s">
        <v>2535</v>
      </c>
      <c r="L255" s="235" t="s">
        <v>3266</v>
      </c>
      <c r="M255" s="215"/>
      <c r="N255" s="165"/>
      <c r="O255" s="232"/>
      <c r="P255" s="214"/>
      <c r="Q255" s="214"/>
      <c r="R255" s="214"/>
      <c r="S255" s="214"/>
      <c r="T255" s="214"/>
      <c r="U255" s="214"/>
      <c r="V255" s="214"/>
      <c r="W255" s="214"/>
      <c r="X255" s="214"/>
      <c r="Y255" s="214"/>
      <c r="Z255" s="214"/>
      <c r="AA255" s="214"/>
    </row>
    <row r="256" ht="28.5" customHeight="1">
      <c r="A256" s="204">
        <v>32866.0</v>
      </c>
      <c r="B256" s="204" t="s">
        <v>21</v>
      </c>
      <c r="C256" s="165">
        <v>2822.0</v>
      </c>
      <c r="D256" s="165" t="s">
        <v>3267</v>
      </c>
      <c r="E256" s="207" t="s">
        <v>3217</v>
      </c>
      <c r="F256" s="216">
        <v>43526.0</v>
      </c>
      <c r="G256" s="249" t="s">
        <v>28</v>
      </c>
      <c r="H256" s="220" t="s">
        <v>28</v>
      </c>
      <c r="I256" s="234">
        <v>43529.0</v>
      </c>
      <c r="J256" s="215" t="s">
        <v>2535</v>
      </c>
      <c r="K256" s="215" t="s">
        <v>2535</v>
      </c>
      <c r="L256" s="235" t="s">
        <v>3266</v>
      </c>
      <c r="M256" s="215"/>
      <c r="N256" s="165"/>
      <c r="O256" s="232"/>
      <c r="P256" s="214"/>
      <c r="Q256" s="214"/>
      <c r="R256" s="214"/>
      <c r="S256" s="214"/>
      <c r="T256" s="214"/>
      <c r="U256" s="214"/>
      <c r="V256" s="214"/>
      <c r="W256" s="214"/>
      <c r="X256" s="214"/>
      <c r="Y256" s="214"/>
      <c r="Z256" s="214"/>
      <c r="AA256" s="214"/>
    </row>
    <row r="257" ht="28.5" customHeight="1">
      <c r="A257" s="205" t="str">
        <f>HYPERLINK("https://drive.google.com/open?id=0B6Vr5nVC58V5UEVzV2lidkQ2MEMyY3E2cWlIWkxFR1ZYQ0dJ","32993")</f>
        <v>32993</v>
      </c>
      <c r="B257" s="204" t="s">
        <v>14</v>
      </c>
      <c r="C257" s="165">
        <v>1100.0</v>
      </c>
      <c r="D257" s="165" t="s">
        <v>3268</v>
      </c>
      <c r="E257" s="252" t="s">
        <v>3269</v>
      </c>
      <c r="F257" s="216">
        <v>43523.0</v>
      </c>
      <c r="G257" s="209">
        <v>43521.0</v>
      </c>
      <c r="H257" s="209" t="s">
        <v>1747</v>
      </c>
      <c r="I257" s="231">
        <v>43529.0</v>
      </c>
      <c r="J257" s="215" t="s">
        <v>2535</v>
      </c>
      <c r="K257" s="215" t="s">
        <v>2535</v>
      </c>
      <c r="L257" s="235" t="s">
        <v>3270</v>
      </c>
      <c r="M257" s="215"/>
      <c r="N257" s="165"/>
      <c r="O257" s="232"/>
      <c r="P257" s="214"/>
      <c r="Q257" s="214"/>
      <c r="R257" s="214"/>
      <c r="S257" s="214"/>
      <c r="T257" s="214"/>
      <c r="U257" s="214"/>
      <c r="V257" s="214"/>
      <c r="W257" s="214"/>
      <c r="X257" s="214"/>
      <c r="Y257" s="214"/>
      <c r="Z257" s="214"/>
      <c r="AA257" s="214"/>
    </row>
    <row r="258" ht="28.5" customHeight="1">
      <c r="A258" s="205" t="str">
        <f>HYPERLINK("https://drive.google.com/open?id=0B6Vr5nVC58V5dkVCYldkNFpjdUV3U2E3dE1fSGt4SURyZTlF","32828")</f>
        <v>32828</v>
      </c>
      <c r="B258" s="204" t="s">
        <v>14</v>
      </c>
      <c r="C258" s="165">
        <v>1800.0</v>
      </c>
      <c r="D258" s="165" t="s">
        <v>3271</v>
      </c>
      <c r="E258" s="207" t="s">
        <v>2656</v>
      </c>
      <c r="F258" s="216">
        <v>43521.0</v>
      </c>
      <c r="G258" s="220">
        <v>43521.0</v>
      </c>
      <c r="H258" s="220" t="s">
        <v>1747</v>
      </c>
      <c r="I258" s="234">
        <v>43529.0</v>
      </c>
      <c r="J258" s="204" t="s">
        <v>2535</v>
      </c>
      <c r="K258" s="215" t="s">
        <v>2535</v>
      </c>
      <c r="L258" s="235" t="s">
        <v>3272</v>
      </c>
      <c r="M258" s="215"/>
      <c r="N258" s="165"/>
      <c r="O258" s="232"/>
      <c r="P258" s="214"/>
      <c r="Q258" s="214"/>
      <c r="R258" s="214"/>
      <c r="S258" s="214"/>
      <c r="T258" s="214"/>
      <c r="U258" s="214"/>
      <c r="V258" s="214"/>
      <c r="W258" s="214"/>
      <c r="X258" s="214"/>
      <c r="Y258" s="214"/>
      <c r="Z258" s="214"/>
      <c r="AA258" s="214"/>
    </row>
    <row r="259" ht="28.5" customHeight="1">
      <c r="A259" s="190" t="str">
        <f>HYPERLINK("https://drive.google.com/open?id=0B6Vr5nVC58V5VDU5b2s2ZFAwMnpLSUZxZWRGNVF6RXdUNG1z","32916")</f>
        <v>32916</v>
      </c>
      <c r="B259" s="204" t="s">
        <v>21</v>
      </c>
      <c r="C259" s="165">
        <v>80.0</v>
      </c>
      <c r="D259" s="215" t="s">
        <v>3273</v>
      </c>
      <c r="E259" s="207" t="s">
        <v>3274</v>
      </c>
      <c r="F259" s="216">
        <v>43519.0</v>
      </c>
      <c r="G259" s="220">
        <v>43530.0</v>
      </c>
      <c r="H259" s="220" t="s">
        <v>1747</v>
      </c>
      <c r="I259" s="253">
        <v>43530.0</v>
      </c>
      <c r="J259" s="204" t="s">
        <v>3250</v>
      </c>
      <c r="K259" s="215" t="s">
        <v>2531</v>
      </c>
      <c r="L259" s="207" t="s">
        <v>3275</v>
      </c>
      <c r="M259" s="215" t="s">
        <v>497</v>
      </c>
      <c r="N259" s="165" t="s">
        <v>2667</v>
      </c>
      <c r="O259" s="232">
        <v>8317.13</v>
      </c>
      <c r="P259" s="214"/>
      <c r="Q259" s="214"/>
      <c r="R259" s="214"/>
      <c r="S259" s="214"/>
      <c r="T259" s="214"/>
      <c r="U259" s="214"/>
      <c r="V259" s="214"/>
      <c r="W259" s="214"/>
      <c r="X259" s="214"/>
      <c r="Y259" s="214"/>
      <c r="Z259" s="214"/>
      <c r="AA259" s="214"/>
    </row>
    <row r="260" ht="28.5" customHeight="1">
      <c r="A260" s="205" t="str">
        <f>HYPERLINK("https://drive.google.com/open?id=0B6Vr5nVC58V5b3A3bTNCSkNIY2VNMTFkckFDX3h1VkE3cnM0","33013")</f>
        <v>33013</v>
      </c>
      <c r="B260" s="204" t="s">
        <v>21</v>
      </c>
      <c r="C260" s="165">
        <v>237.0</v>
      </c>
      <c r="D260" s="161" t="s">
        <v>3276</v>
      </c>
      <c r="E260" s="207" t="s">
        <v>3277</v>
      </c>
      <c r="F260" s="216">
        <v>43519.0</v>
      </c>
      <c r="G260" s="209">
        <v>43518.0</v>
      </c>
      <c r="H260" s="209" t="s">
        <v>1747</v>
      </c>
      <c r="I260" s="231">
        <v>43529.0</v>
      </c>
      <c r="J260" s="204" t="s">
        <v>3250</v>
      </c>
      <c r="K260" s="215" t="s">
        <v>3197</v>
      </c>
      <c r="L260" s="235" t="s">
        <v>3278</v>
      </c>
      <c r="M260" s="215"/>
      <c r="N260" s="165"/>
      <c r="O260" s="232"/>
      <c r="P260" s="214"/>
      <c r="Q260" s="214"/>
      <c r="R260" s="214"/>
      <c r="S260" s="214"/>
      <c r="T260" s="214"/>
      <c r="U260" s="214"/>
      <c r="V260" s="214"/>
      <c r="W260" s="214"/>
      <c r="X260" s="214"/>
      <c r="Y260" s="214"/>
      <c r="Z260" s="214"/>
      <c r="AA260" s="214"/>
    </row>
    <row r="261" ht="28.5" customHeight="1">
      <c r="A261" s="205" t="str">
        <f>HYPERLINK("https://drive.google.com/open?id=0B6Vr5nVC58V5MEluVzRjTmZlbHJJVlY0S2lLYnFxczQ0c0gw","33012")</f>
        <v>33012</v>
      </c>
      <c r="B261" s="204" t="s">
        <v>21</v>
      </c>
      <c r="C261" s="165">
        <v>1182.0</v>
      </c>
      <c r="D261" s="215" t="s">
        <v>3279</v>
      </c>
      <c r="E261" s="207" t="s">
        <v>3280</v>
      </c>
      <c r="F261" s="216">
        <v>43518.0</v>
      </c>
      <c r="G261" s="209">
        <v>43517.0</v>
      </c>
      <c r="H261" s="209" t="s">
        <v>1747</v>
      </c>
      <c r="I261" s="231">
        <v>43523.0</v>
      </c>
      <c r="J261" s="204" t="s">
        <v>3281</v>
      </c>
      <c r="K261" s="215" t="s">
        <v>3197</v>
      </c>
      <c r="L261" s="235" t="s">
        <v>3282</v>
      </c>
      <c r="M261" s="215"/>
      <c r="N261" s="165"/>
      <c r="O261" s="232"/>
      <c r="P261" s="214"/>
      <c r="Q261" s="214"/>
      <c r="R261" s="214"/>
      <c r="S261" s="214"/>
      <c r="T261" s="214"/>
      <c r="U261" s="214"/>
      <c r="V261" s="214"/>
      <c r="W261" s="214"/>
      <c r="X261" s="214"/>
      <c r="Y261" s="214"/>
      <c r="Z261" s="214"/>
      <c r="AA261" s="214"/>
    </row>
    <row r="262" ht="28.5" customHeight="1">
      <c r="A262" s="205" t="str">
        <f>HYPERLINK("https://drive.google.com/open?id=0B6Vr5nVC58V5S0hUbXVIT2piX0UxdmJQR05vZ3NYUXJ2YmVV","32600")</f>
        <v>32600</v>
      </c>
      <c r="B262" s="204" t="s">
        <v>14</v>
      </c>
      <c r="C262" s="165">
        <v>2040.0</v>
      </c>
      <c r="D262" s="165" t="s">
        <v>3283</v>
      </c>
      <c r="E262" s="212" t="s">
        <v>3284</v>
      </c>
      <c r="F262" s="216">
        <v>43517.0</v>
      </c>
      <c r="G262" s="220">
        <v>43511.0</v>
      </c>
      <c r="H262" s="220" t="s">
        <v>1747</v>
      </c>
      <c r="I262" s="234">
        <v>43522.0</v>
      </c>
      <c r="J262" s="204" t="s">
        <v>2535</v>
      </c>
      <c r="K262" s="215" t="s">
        <v>2535</v>
      </c>
      <c r="L262" s="235" t="s">
        <v>3285</v>
      </c>
      <c r="M262" s="215" t="s">
        <v>497</v>
      </c>
      <c r="N262" s="165" t="s">
        <v>2554</v>
      </c>
      <c r="O262" s="232">
        <v>31494.4</v>
      </c>
      <c r="P262" s="214"/>
      <c r="Q262" s="214"/>
      <c r="R262" s="214"/>
      <c r="S262" s="214"/>
      <c r="T262" s="214"/>
      <c r="U262" s="214"/>
      <c r="V262" s="214"/>
      <c r="W262" s="214"/>
      <c r="X262" s="214"/>
      <c r="Y262" s="214"/>
      <c r="Z262" s="214"/>
      <c r="AA262" s="214"/>
    </row>
    <row r="263" ht="28.5" customHeight="1">
      <c r="A263" s="190" t="str">
        <f>HYPERLINK("https://drive.google.com/open?id=0B6Vr5nVC58V5dUtlUExGN3czVkI1ZXZ2WVBJQmxNeklFWnNF","32747")</f>
        <v>32747</v>
      </c>
      <c r="B263" s="204" t="s">
        <v>14</v>
      </c>
      <c r="C263" s="165">
        <v>900.0</v>
      </c>
      <c r="D263" s="215" t="s">
        <v>3286</v>
      </c>
      <c r="E263" s="207" t="s">
        <v>3287</v>
      </c>
      <c r="F263" s="216">
        <v>43515.0</v>
      </c>
      <c r="G263" s="220">
        <v>43515.0</v>
      </c>
      <c r="H263" s="220" t="s">
        <v>1747</v>
      </c>
      <c r="I263" s="234">
        <v>43521.0</v>
      </c>
      <c r="J263" s="204" t="s">
        <v>2535</v>
      </c>
      <c r="K263" s="215" t="s">
        <v>2535</v>
      </c>
      <c r="L263" s="235" t="s">
        <v>3288</v>
      </c>
      <c r="M263" s="215"/>
      <c r="N263" s="165"/>
      <c r="O263" s="232"/>
      <c r="P263" s="214"/>
      <c r="Q263" s="214"/>
      <c r="R263" s="214"/>
      <c r="S263" s="214"/>
      <c r="T263" s="214"/>
      <c r="U263" s="214"/>
      <c r="V263" s="214"/>
      <c r="W263" s="214"/>
      <c r="X263" s="214"/>
      <c r="Y263" s="214"/>
      <c r="Z263" s="214"/>
      <c r="AA263" s="214"/>
    </row>
    <row r="264" ht="28.5" customHeight="1">
      <c r="A264" s="205" t="str">
        <f>HYPERLINK("https://drive.google.com/open?id=0B6Vr5nVC58V5YjFOa2R4LXNTTzVQZDdTYzM5V19WWUt4VXpF","32970")</f>
        <v>32970</v>
      </c>
      <c r="B264" s="204" t="s">
        <v>21</v>
      </c>
      <c r="C264" s="165">
        <v>1074.0</v>
      </c>
      <c r="D264" s="161" t="s">
        <v>3289</v>
      </c>
      <c r="E264" s="207" t="s">
        <v>3259</v>
      </c>
      <c r="F264" s="216">
        <v>43510.0</v>
      </c>
      <c r="G264" s="220">
        <v>43510.0</v>
      </c>
      <c r="H264" s="220" t="s">
        <v>1747</v>
      </c>
      <c r="I264" s="234">
        <v>43522.0</v>
      </c>
      <c r="J264" s="204" t="s">
        <v>3281</v>
      </c>
      <c r="K264" s="215" t="s">
        <v>3197</v>
      </c>
      <c r="L264" s="235" t="s">
        <v>3290</v>
      </c>
      <c r="M264" s="215"/>
      <c r="N264" s="165"/>
      <c r="O264" s="232"/>
      <c r="P264" s="214"/>
      <c r="Q264" s="214"/>
      <c r="R264" s="214"/>
      <c r="S264" s="214"/>
      <c r="T264" s="214"/>
      <c r="U264" s="214"/>
      <c r="V264" s="214"/>
      <c r="W264" s="214"/>
      <c r="X264" s="214"/>
      <c r="Y264" s="214"/>
      <c r="Z264" s="214"/>
      <c r="AA264" s="214"/>
    </row>
    <row r="265" ht="28.5" customHeight="1">
      <c r="A265" s="190" t="str">
        <f>HYPERLINK("https://drive.google.com/open?id=0B6Vr5nVC58V5MER0SGxpUEg5OUlyTEROU0w5WjRnNkpnVWNB","32960")</f>
        <v>32960</v>
      </c>
      <c r="B265" s="204" t="s">
        <v>21</v>
      </c>
      <c r="C265" s="165">
        <v>900.0</v>
      </c>
      <c r="D265" s="165" t="s">
        <v>3291</v>
      </c>
      <c r="E265" s="210" t="s">
        <v>3292</v>
      </c>
      <c r="F265" s="216">
        <v>43510.0</v>
      </c>
      <c r="G265" s="254">
        <v>43510.0</v>
      </c>
      <c r="H265" s="209" t="s">
        <v>1747</v>
      </c>
      <c r="I265" s="231">
        <v>43522.0</v>
      </c>
      <c r="J265" s="204" t="s">
        <v>3281</v>
      </c>
      <c r="K265" s="215" t="s">
        <v>3197</v>
      </c>
      <c r="L265" s="235" t="s">
        <v>3293</v>
      </c>
      <c r="M265" s="215"/>
      <c r="N265" s="165"/>
      <c r="O265" s="232"/>
      <c r="P265" s="214"/>
      <c r="Q265" s="214"/>
      <c r="R265" s="214"/>
      <c r="S265" s="214"/>
      <c r="T265" s="214"/>
      <c r="U265" s="214"/>
      <c r="V265" s="214"/>
      <c r="W265" s="214"/>
      <c r="X265" s="214"/>
      <c r="Y265" s="214"/>
      <c r="Z265" s="214"/>
      <c r="AA265" s="214"/>
    </row>
    <row r="266" ht="28.5" customHeight="1">
      <c r="A266" s="205" t="str">
        <f>HYPERLINK("https://drive.google.com/open?id=0B6Vr5nVC58V5MTBoMVQ3eDVsSWJySXlMOWJDcFIxdE1CRXVr","32835")</f>
        <v>32835</v>
      </c>
      <c r="B266" s="204" t="s">
        <v>21</v>
      </c>
      <c r="C266" s="165">
        <v>500.0</v>
      </c>
      <c r="D266" s="215" t="s">
        <v>3294</v>
      </c>
      <c r="E266" s="212" t="s">
        <v>3138</v>
      </c>
      <c r="F266" s="216">
        <v>43509.0</v>
      </c>
      <c r="G266" s="220">
        <v>43510.0</v>
      </c>
      <c r="H266" s="220" t="s">
        <v>1747</v>
      </c>
      <c r="I266" s="234">
        <v>43516.0</v>
      </c>
      <c r="J266" s="204" t="s">
        <v>3281</v>
      </c>
      <c r="K266" s="215" t="s">
        <v>2531</v>
      </c>
      <c r="L266" s="235" t="s">
        <v>3295</v>
      </c>
      <c r="M266" s="215"/>
      <c r="N266" s="165"/>
      <c r="O266" s="232"/>
      <c r="P266" s="214"/>
      <c r="Q266" s="214"/>
      <c r="R266" s="214"/>
      <c r="S266" s="214"/>
      <c r="T266" s="214"/>
      <c r="U266" s="214"/>
      <c r="V266" s="214"/>
      <c r="W266" s="214"/>
      <c r="X266" s="214"/>
      <c r="Y266" s="214"/>
      <c r="Z266" s="214"/>
      <c r="AA266" s="214"/>
    </row>
    <row r="267" ht="28.5" customHeight="1">
      <c r="A267" s="205" t="str">
        <f>HYPERLINK("https://drive.google.com/open?id=0B6Vr5nVC58V5UWJ6ZUtUeU92NmlnOHNjdm1RUkVpTFhIVGpz","32959")</f>
        <v>32959</v>
      </c>
      <c r="B267" s="204" t="s">
        <v>14</v>
      </c>
      <c r="C267" s="165">
        <v>930.0</v>
      </c>
      <c r="D267" s="165" t="s">
        <v>3296</v>
      </c>
      <c r="E267" s="207" t="s">
        <v>3280</v>
      </c>
      <c r="F267" s="216">
        <v>43508.0</v>
      </c>
      <c r="G267" s="220">
        <v>43507.0</v>
      </c>
      <c r="H267" s="220" t="s">
        <v>1747</v>
      </c>
      <c r="I267" s="234">
        <v>43515.0</v>
      </c>
      <c r="J267" s="204" t="s">
        <v>2535</v>
      </c>
      <c r="K267" s="215" t="s">
        <v>2535</v>
      </c>
      <c r="L267" s="235" t="s">
        <v>3297</v>
      </c>
      <c r="M267" s="215"/>
      <c r="N267" s="165"/>
      <c r="O267" s="232"/>
      <c r="P267" s="214"/>
      <c r="Q267" s="214"/>
      <c r="R267" s="214"/>
      <c r="S267" s="214"/>
      <c r="T267" s="214"/>
      <c r="U267" s="214"/>
      <c r="V267" s="214"/>
      <c r="W267" s="214"/>
      <c r="X267" s="214"/>
      <c r="Y267" s="214"/>
      <c r="Z267" s="214"/>
      <c r="AA267" s="214"/>
    </row>
    <row r="268" ht="28.5" customHeight="1">
      <c r="A268" s="205" t="str">
        <f>HYPERLINK("https://drive.google.com/open?id=0B6Vr5nVC58V5NXRsdmljUXJ5T0c0SjVOU2YyaFV2YnpfdkQw","32825")</f>
        <v>32825</v>
      </c>
      <c r="B268" s="204" t="s">
        <v>14</v>
      </c>
      <c r="C268" s="165">
        <v>2876.0</v>
      </c>
      <c r="D268" s="165" t="s">
        <v>3298</v>
      </c>
      <c r="E268" s="212" t="s">
        <v>3299</v>
      </c>
      <c r="F268" s="216">
        <v>43503.0</v>
      </c>
      <c r="G268" s="209">
        <v>43508.0</v>
      </c>
      <c r="H268" s="209" t="s">
        <v>1747</v>
      </c>
      <c r="I268" s="231">
        <v>43510.0</v>
      </c>
      <c r="J268" s="204" t="s">
        <v>2535</v>
      </c>
      <c r="K268" s="215" t="s">
        <v>2535</v>
      </c>
      <c r="L268" s="242" t="s">
        <v>3300</v>
      </c>
      <c r="M268" s="215" t="s">
        <v>2537</v>
      </c>
      <c r="N268" s="165" t="s">
        <v>2554</v>
      </c>
      <c r="O268" s="232">
        <v>64206.7</v>
      </c>
      <c r="P268" s="214"/>
      <c r="Q268" s="214"/>
      <c r="R268" s="214"/>
      <c r="S268" s="214"/>
      <c r="T268" s="214"/>
      <c r="U268" s="214"/>
      <c r="V268" s="214"/>
      <c r="W268" s="214"/>
      <c r="X268" s="214"/>
      <c r="Y268" s="214"/>
      <c r="Z268" s="214"/>
      <c r="AA268" s="214"/>
    </row>
    <row r="269" ht="28.5" customHeight="1">
      <c r="A269" s="205" t="str">
        <f>HYPERLINK("https://drive.google.com/open?id=0B6Vr5nVC58V5dHlSTEhNd3M4cFN0bHBYenFDd3JwWXUzVFZB","32936")</f>
        <v>32936</v>
      </c>
      <c r="B269" s="204" t="s">
        <v>14</v>
      </c>
      <c r="C269" s="165">
        <v>226.0</v>
      </c>
      <c r="D269" s="215" t="s">
        <v>3301</v>
      </c>
      <c r="E269" s="207" t="s">
        <v>2689</v>
      </c>
      <c r="F269" s="216">
        <v>43503.0</v>
      </c>
      <c r="G269" s="220">
        <v>43500.0</v>
      </c>
      <c r="H269" s="220" t="s">
        <v>1747</v>
      </c>
      <c r="I269" s="234">
        <v>43508.0</v>
      </c>
      <c r="J269" s="204" t="s">
        <v>2535</v>
      </c>
      <c r="K269" s="215" t="s">
        <v>2535</v>
      </c>
      <c r="L269" s="207" t="s">
        <v>3302</v>
      </c>
      <c r="M269" s="215"/>
      <c r="N269" s="165"/>
      <c r="O269" s="232"/>
      <c r="P269" s="214"/>
      <c r="Q269" s="214"/>
      <c r="R269" s="214"/>
      <c r="S269" s="214"/>
      <c r="T269" s="214"/>
      <c r="U269" s="214"/>
      <c r="V269" s="214"/>
      <c r="W269" s="214"/>
      <c r="X269" s="214"/>
      <c r="Y269" s="214"/>
      <c r="Z269" s="214"/>
      <c r="AA269" s="214"/>
    </row>
    <row r="270" ht="28.5" customHeight="1">
      <c r="A270" s="205" t="str">
        <f>HYPERLINK("https://drive.google.com/open?id=0B6Vr5nVC58V5NmVTVzNWZzJvelZuVGJGdTlMUWpvNDJrdFhn","32599")</f>
        <v>32599</v>
      </c>
      <c r="B270" s="204" t="s">
        <v>21</v>
      </c>
      <c r="C270" s="165">
        <v>2040.0</v>
      </c>
      <c r="D270" s="165" t="s">
        <v>3303</v>
      </c>
      <c r="E270" s="207" t="s">
        <v>3304</v>
      </c>
      <c r="F270" s="216">
        <v>43501.0</v>
      </c>
      <c r="G270" s="209">
        <v>43501.0</v>
      </c>
      <c r="H270" s="209" t="s">
        <v>1747</v>
      </c>
      <c r="I270" s="231">
        <v>43515.0</v>
      </c>
      <c r="J270" s="204" t="s">
        <v>3281</v>
      </c>
      <c r="K270" s="215" t="s">
        <v>3197</v>
      </c>
      <c r="L270" s="242" t="s">
        <v>3305</v>
      </c>
      <c r="M270" s="215" t="s">
        <v>2537</v>
      </c>
      <c r="N270" s="165" t="s">
        <v>2554</v>
      </c>
      <c r="O270" s="232">
        <v>31494.4</v>
      </c>
      <c r="P270" s="214"/>
      <c r="Q270" s="214"/>
      <c r="R270" s="214"/>
      <c r="S270" s="214"/>
      <c r="T270" s="214"/>
      <c r="U270" s="214"/>
      <c r="V270" s="214"/>
      <c r="W270" s="214"/>
      <c r="X270" s="214"/>
      <c r="Y270" s="214"/>
      <c r="Z270" s="214"/>
      <c r="AA270" s="214"/>
    </row>
    <row r="271" ht="28.5" customHeight="1">
      <c r="A271" s="205" t="str">
        <f>HYPERLINK("https://drive.google.com/open?id=0B6Vr5nVC58V5aU1vVHBVNUVTLW85U2V2eW5ibTVVdUVVMFc0","32942")</f>
        <v>32942</v>
      </c>
      <c r="B271" s="204" t="s">
        <v>14</v>
      </c>
      <c r="C271" s="165">
        <v>930.0</v>
      </c>
      <c r="D271" s="165" t="s">
        <v>3306</v>
      </c>
      <c r="E271" s="207" t="s">
        <v>3280</v>
      </c>
      <c r="F271" s="216">
        <v>43501.0</v>
      </c>
      <c r="G271" s="220">
        <v>43497.0</v>
      </c>
      <c r="H271" s="220" t="s">
        <v>1747</v>
      </c>
      <c r="I271" s="234">
        <v>43507.0</v>
      </c>
      <c r="J271" s="204" t="s">
        <v>2535</v>
      </c>
      <c r="K271" s="215" t="s">
        <v>2535</v>
      </c>
      <c r="L271" s="242" t="s">
        <v>3307</v>
      </c>
      <c r="M271" s="215"/>
      <c r="N271" s="165"/>
      <c r="O271" s="232"/>
      <c r="P271" s="214"/>
      <c r="Q271" s="214"/>
      <c r="R271" s="214"/>
      <c r="S271" s="214"/>
      <c r="T271" s="214"/>
      <c r="U271" s="214"/>
      <c r="V271" s="214"/>
      <c r="W271" s="214"/>
      <c r="X271" s="214"/>
      <c r="Y271" s="214"/>
      <c r="Z271" s="214"/>
      <c r="AA271" s="214"/>
    </row>
    <row r="272" ht="28.5" customHeight="1">
      <c r="A272" s="205" t="str">
        <f>HYPERLINK("https://drive.google.com/open?id=0B6Vr5nVC58V5c3NqZmZaWGRORTBQTDY2SzJiSzFTZ1U4Qnpj","32824")</f>
        <v>32824</v>
      </c>
      <c r="B272" s="204" t="s">
        <v>21</v>
      </c>
      <c r="C272" s="165">
        <v>2900.0</v>
      </c>
      <c r="D272" s="161" t="s">
        <v>3308</v>
      </c>
      <c r="E272" s="207" t="s">
        <v>3309</v>
      </c>
      <c r="F272" s="216">
        <v>43501.0</v>
      </c>
      <c r="G272" s="209">
        <v>43497.0</v>
      </c>
      <c r="H272" s="209" t="s">
        <v>1747</v>
      </c>
      <c r="I272" s="231">
        <v>43515.0</v>
      </c>
      <c r="J272" s="204" t="s">
        <v>3281</v>
      </c>
      <c r="K272" s="215" t="s">
        <v>3197</v>
      </c>
      <c r="L272" s="242" t="s">
        <v>3310</v>
      </c>
      <c r="M272" s="215" t="s">
        <v>2537</v>
      </c>
      <c r="N272" s="165" t="s">
        <v>2554</v>
      </c>
      <c r="O272" s="232">
        <v>64742.5</v>
      </c>
      <c r="P272" s="214"/>
      <c r="Q272" s="214"/>
      <c r="R272" s="214"/>
      <c r="S272" s="214"/>
      <c r="T272" s="214"/>
      <c r="U272" s="214"/>
      <c r="V272" s="214"/>
      <c r="W272" s="214"/>
      <c r="X272" s="214"/>
      <c r="Y272" s="214"/>
      <c r="Z272" s="214"/>
      <c r="AA272" s="214"/>
    </row>
    <row r="273" ht="28.5" customHeight="1">
      <c r="A273" s="205" t="str">
        <f>HYPERLINK("https://drive.google.com/open?id=0B6Vr5nVC58V5TnBmc09RTDFpV3BJV2o2cl9pTHRvcWV1Tm1N","32906")</f>
        <v>32906</v>
      </c>
      <c r="B273" s="204" t="s">
        <v>21</v>
      </c>
      <c r="C273" s="165">
        <v>1100.0</v>
      </c>
      <c r="D273" s="165" t="s">
        <v>3311</v>
      </c>
      <c r="E273" s="157" t="s">
        <v>3312</v>
      </c>
      <c r="F273" s="209">
        <v>43497.0</v>
      </c>
      <c r="G273" s="209">
        <v>43494.0</v>
      </c>
      <c r="H273" s="209" t="s">
        <v>1747</v>
      </c>
      <c r="I273" s="231">
        <v>43503.0</v>
      </c>
      <c r="J273" s="204" t="s">
        <v>3281</v>
      </c>
      <c r="K273" s="215" t="s">
        <v>3197</v>
      </c>
      <c r="L273" s="248" t="s">
        <v>3313</v>
      </c>
      <c r="M273" s="215"/>
      <c r="N273" s="165"/>
      <c r="O273" s="232"/>
      <c r="P273" s="214"/>
      <c r="Q273" s="214"/>
      <c r="R273" s="214"/>
      <c r="S273" s="214"/>
      <c r="T273" s="214"/>
      <c r="U273" s="214"/>
      <c r="V273" s="214"/>
      <c r="W273" s="214"/>
      <c r="X273" s="214"/>
      <c r="Y273" s="214"/>
      <c r="Z273" s="214"/>
      <c r="AA273" s="214"/>
    </row>
    <row r="274" ht="28.5" customHeight="1">
      <c r="A274" s="205" t="str">
        <f>HYPERLINK("https://drive.google.com/open?id=0B6Vr5nVC58V5UHNZMktnMmpORXpLUWpQaVpjOHE2S24zS0VV","32914")</f>
        <v>32914</v>
      </c>
      <c r="B274" s="204" t="s">
        <v>21</v>
      </c>
      <c r="C274" s="165">
        <v>500.0</v>
      </c>
      <c r="D274" s="165" t="s">
        <v>3314</v>
      </c>
      <c r="E274" s="210" t="s">
        <v>3315</v>
      </c>
      <c r="F274" s="216">
        <v>43497.0</v>
      </c>
      <c r="G274" s="209">
        <v>43494.0</v>
      </c>
      <c r="H274" s="209" t="s">
        <v>1747</v>
      </c>
      <c r="I274" s="231">
        <v>43501.0</v>
      </c>
      <c r="J274" s="204" t="s">
        <v>3281</v>
      </c>
      <c r="K274" s="215" t="s">
        <v>3197</v>
      </c>
      <c r="L274" s="242" t="s">
        <v>3316</v>
      </c>
      <c r="M274" s="215"/>
      <c r="N274" s="165"/>
      <c r="O274" s="232"/>
      <c r="P274" s="214"/>
      <c r="Q274" s="214"/>
      <c r="R274" s="214"/>
      <c r="S274" s="214"/>
      <c r="T274" s="214"/>
      <c r="U274" s="214"/>
      <c r="V274" s="214"/>
      <c r="W274" s="214"/>
      <c r="X274" s="214"/>
      <c r="Y274" s="214"/>
      <c r="Z274" s="214"/>
      <c r="AA274" s="214"/>
    </row>
    <row r="275" ht="28.5" customHeight="1">
      <c r="A275" s="205" t="str">
        <f>HYPERLINK("https://drive.google.com/open?id=0B6Vr5nVC58V5ckhlaV9Ra253azBMR3p1MDlfbnI0azVGWk1r","32935")</f>
        <v>32935</v>
      </c>
      <c r="B275" s="204" t="s">
        <v>14</v>
      </c>
      <c r="C275" s="165">
        <v>1350.0</v>
      </c>
      <c r="D275" s="215" t="s">
        <v>3317</v>
      </c>
      <c r="E275" s="207" t="s">
        <v>3280</v>
      </c>
      <c r="F275" s="216">
        <v>43496.0</v>
      </c>
      <c r="G275" s="220">
        <v>43493.0</v>
      </c>
      <c r="H275" s="220" t="s">
        <v>1747</v>
      </c>
      <c r="I275" s="234">
        <v>43501.0</v>
      </c>
      <c r="J275" s="204" t="s">
        <v>2535</v>
      </c>
      <c r="K275" s="215" t="s">
        <v>2535</v>
      </c>
      <c r="L275" s="207" t="s">
        <v>3318</v>
      </c>
      <c r="M275" s="215"/>
      <c r="N275" s="165"/>
      <c r="O275" s="232"/>
      <c r="P275" s="214"/>
      <c r="Q275" s="214"/>
      <c r="R275" s="214"/>
      <c r="S275" s="214"/>
      <c r="T275" s="214"/>
      <c r="U275" s="214"/>
      <c r="V275" s="214"/>
      <c r="W275" s="214"/>
      <c r="X275" s="214"/>
      <c r="Y275" s="214"/>
      <c r="Z275" s="214"/>
      <c r="AA275" s="214"/>
    </row>
    <row r="276" ht="28.5" customHeight="1">
      <c r="A276" s="190" t="str">
        <f>HYPERLINK("https://drive.google.com/open?id=0B6Vr5nVC58V5R1ZyRENZanJRMFNLREEtSGd1NzRMekI2cHFR","32971")</f>
        <v>32971</v>
      </c>
      <c r="B276" s="204" t="s">
        <v>21</v>
      </c>
      <c r="C276" s="165" t="s">
        <v>3319</v>
      </c>
      <c r="D276" s="165" t="s">
        <v>3320</v>
      </c>
      <c r="E276" s="210" t="s">
        <v>3321</v>
      </c>
      <c r="F276" s="216">
        <v>43496.0</v>
      </c>
      <c r="G276" s="209">
        <v>43496.0</v>
      </c>
      <c r="H276" s="209" t="s">
        <v>1747</v>
      </c>
      <c r="I276" s="231">
        <v>43507.0</v>
      </c>
      <c r="J276" s="204" t="s">
        <v>2535</v>
      </c>
      <c r="K276" s="215" t="s">
        <v>2535</v>
      </c>
      <c r="L276" s="218" t="s">
        <v>3322</v>
      </c>
      <c r="M276" s="215"/>
      <c r="N276" s="165"/>
      <c r="O276" s="232"/>
      <c r="P276" s="214"/>
      <c r="Q276" s="214"/>
      <c r="R276" s="214"/>
      <c r="S276" s="214"/>
      <c r="T276" s="214"/>
      <c r="U276" s="214"/>
      <c r="V276" s="214"/>
      <c r="W276" s="214"/>
      <c r="X276" s="214"/>
      <c r="Y276" s="214"/>
      <c r="Z276" s="214"/>
      <c r="AA276" s="214"/>
    </row>
    <row r="277" ht="28.5" customHeight="1">
      <c r="A277" s="205" t="str">
        <f>HYPERLINK("https://drive.google.com/open?id=0B6Vr5nVC58V5N0FjMnNmR0wzQkViVm01UUtlakNRdXJyWDh3","32913")</f>
        <v>32913</v>
      </c>
      <c r="B277" s="204" t="s">
        <v>14</v>
      </c>
      <c r="C277" s="165">
        <v>1070.0</v>
      </c>
      <c r="D277" s="161" t="s">
        <v>3323</v>
      </c>
      <c r="E277" s="207" t="s">
        <v>3324</v>
      </c>
      <c r="F277" s="216">
        <v>43495.0</v>
      </c>
      <c r="G277" s="220">
        <v>43494.0</v>
      </c>
      <c r="H277" s="220" t="s">
        <v>1747</v>
      </c>
      <c r="I277" s="234">
        <v>43500.0</v>
      </c>
      <c r="J277" s="204" t="s">
        <v>2535</v>
      </c>
      <c r="K277" s="215" t="s">
        <v>2535</v>
      </c>
      <c r="L277" s="242" t="s">
        <v>3325</v>
      </c>
      <c r="M277" s="215"/>
      <c r="N277" s="165"/>
      <c r="O277" s="232"/>
      <c r="P277" s="214"/>
      <c r="Q277" s="214"/>
      <c r="R277" s="214"/>
      <c r="S277" s="214"/>
      <c r="T277" s="214"/>
      <c r="U277" s="214"/>
      <c r="V277" s="214"/>
      <c r="W277" s="214"/>
      <c r="X277" s="214"/>
      <c r="Y277" s="214"/>
      <c r="Z277" s="214"/>
      <c r="AA277" s="214"/>
    </row>
    <row r="278" ht="28.5" customHeight="1">
      <c r="A278" s="205" t="str">
        <f>HYPERLINK("https://drive.google.com/open?id=0B6Vr5nVC58V5MXlmLVNKVTNEeFV0UXpCMGVUc0M2MHg0V0xB","32601")</f>
        <v>32601</v>
      </c>
      <c r="B278" s="204" t="s">
        <v>25</v>
      </c>
      <c r="C278" s="165">
        <v>2040.0</v>
      </c>
      <c r="D278" s="165" t="s">
        <v>3326</v>
      </c>
      <c r="E278" s="207" t="s">
        <v>3327</v>
      </c>
      <c r="F278" s="216">
        <v>43495.0</v>
      </c>
      <c r="G278" s="209">
        <v>43494.0</v>
      </c>
      <c r="H278" s="209" t="s">
        <v>1747</v>
      </c>
      <c r="I278" s="231">
        <v>43500.0</v>
      </c>
      <c r="J278" s="204" t="s">
        <v>2535</v>
      </c>
      <c r="K278" s="215" t="s">
        <v>2535</v>
      </c>
      <c r="L278" s="242" t="s">
        <v>3328</v>
      </c>
      <c r="M278" s="215" t="s">
        <v>497</v>
      </c>
      <c r="N278" s="165" t="s">
        <v>2554</v>
      </c>
      <c r="O278" s="232">
        <v>31478.62</v>
      </c>
      <c r="P278" s="214"/>
      <c r="Q278" s="214"/>
      <c r="R278" s="214"/>
      <c r="S278" s="214"/>
      <c r="T278" s="214"/>
      <c r="U278" s="214"/>
      <c r="V278" s="214"/>
      <c r="W278" s="214"/>
      <c r="X278" s="214"/>
      <c r="Y278" s="214"/>
      <c r="Z278" s="214"/>
      <c r="AA278" s="214"/>
    </row>
    <row r="279" ht="28.5" customHeight="1">
      <c r="A279" s="205" t="str">
        <f>HYPERLINK("https://drive.google.com/open?id=0B6Vr5nVC58V5dEZWMVVseXU0Q09Yb2tmNzJpekhNQms1M1Uw","32910")</f>
        <v>32910</v>
      </c>
      <c r="B279" s="204" t="s">
        <v>21</v>
      </c>
      <c r="C279" s="165">
        <v>235.0</v>
      </c>
      <c r="D279" s="165" t="s">
        <v>3329</v>
      </c>
      <c r="E279" s="210" t="s">
        <v>3330</v>
      </c>
      <c r="F279" s="216">
        <v>43494.0</v>
      </c>
      <c r="G279" s="209">
        <v>43490.0</v>
      </c>
      <c r="H279" s="209" t="s">
        <v>1747</v>
      </c>
      <c r="I279" s="231">
        <v>43496.0</v>
      </c>
      <c r="J279" s="204" t="s">
        <v>3331</v>
      </c>
      <c r="K279" s="215" t="s">
        <v>3197</v>
      </c>
      <c r="L279" s="242" t="s">
        <v>3332</v>
      </c>
      <c r="M279" s="215"/>
      <c r="N279" s="165"/>
      <c r="O279" s="232"/>
      <c r="P279" s="214"/>
      <c r="Q279" s="214"/>
      <c r="R279" s="214"/>
      <c r="S279" s="214"/>
      <c r="T279" s="214"/>
      <c r="U279" s="214"/>
      <c r="V279" s="214"/>
      <c r="W279" s="214"/>
      <c r="X279" s="214"/>
      <c r="Y279" s="214"/>
      <c r="Z279" s="214"/>
      <c r="AA279" s="214"/>
    </row>
    <row r="280" ht="28.5" customHeight="1">
      <c r="A280" s="205" t="str">
        <f>HYPERLINK("https://drive.google.com/open?id=0B6Vr5nVC58V5alNuTDlnRzFLLWRUMkowbHBkQVJaalktbXgw","32763")</f>
        <v>32763</v>
      </c>
      <c r="B280" s="204" t="s">
        <v>21</v>
      </c>
      <c r="C280" s="165">
        <v>320.0</v>
      </c>
      <c r="D280" s="165" t="s">
        <v>3333</v>
      </c>
      <c r="E280" s="207" t="s">
        <v>3334</v>
      </c>
      <c r="F280" s="216">
        <v>43490.0</v>
      </c>
      <c r="G280" s="220">
        <v>43489.0</v>
      </c>
      <c r="H280" s="220" t="s">
        <v>1747</v>
      </c>
      <c r="I280" s="234">
        <v>43496.0</v>
      </c>
      <c r="J280" s="204" t="s">
        <v>3331</v>
      </c>
      <c r="K280" s="215" t="s">
        <v>2531</v>
      </c>
      <c r="L280" s="242" t="s">
        <v>3335</v>
      </c>
      <c r="M280" s="215"/>
      <c r="N280" s="165"/>
      <c r="O280" s="232"/>
      <c r="P280" s="214"/>
      <c r="Q280" s="214"/>
      <c r="R280" s="214"/>
      <c r="S280" s="214"/>
      <c r="T280" s="214"/>
      <c r="U280" s="214"/>
      <c r="V280" s="214"/>
      <c r="W280" s="214"/>
      <c r="X280" s="214"/>
      <c r="Y280" s="214"/>
      <c r="Z280" s="214"/>
      <c r="AA280" s="214"/>
    </row>
    <row r="281" ht="28.5" customHeight="1">
      <c r="A281" s="205" t="str">
        <f>HYPERLINK("https://drive.google.com/file/d/0B6Vr5nVC58V5UHAtRkxQbXZrVk4xdGFRTTdEZjR0SktPbUtB/view?usp=sharing","32912")</f>
        <v>32912</v>
      </c>
      <c r="B281" s="204" t="s">
        <v>21</v>
      </c>
      <c r="C281" s="165">
        <v>303.0</v>
      </c>
      <c r="D281" s="165" t="s">
        <v>3336</v>
      </c>
      <c r="E281" s="242" t="s">
        <v>3337</v>
      </c>
      <c r="F281" s="216">
        <v>43490.0</v>
      </c>
      <c r="G281" s="220">
        <v>43509.0</v>
      </c>
      <c r="H281" s="220" t="s">
        <v>1747</v>
      </c>
      <c r="I281" s="234">
        <v>43502.0</v>
      </c>
      <c r="J281" s="204" t="s">
        <v>3281</v>
      </c>
      <c r="K281" s="215" t="s">
        <v>2531</v>
      </c>
      <c r="L281" s="242" t="s">
        <v>3338</v>
      </c>
      <c r="M281" s="215"/>
      <c r="N281" s="165"/>
      <c r="O281" s="232"/>
      <c r="P281" s="214"/>
      <c r="Q281" s="214"/>
      <c r="R281" s="214"/>
      <c r="S281" s="214"/>
      <c r="T281" s="214"/>
      <c r="U281" s="214"/>
      <c r="V281" s="214"/>
      <c r="W281" s="214"/>
      <c r="X281" s="214"/>
      <c r="Y281" s="214"/>
      <c r="Z281" s="214"/>
      <c r="AA281" s="214"/>
    </row>
    <row r="282" ht="28.5" customHeight="1">
      <c r="A282" s="204">
        <v>32905.0</v>
      </c>
      <c r="B282" s="204" t="s">
        <v>14</v>
      </c>
      <c r="C282" s="165">
        <v>1170.0</v>
      </c>
      <c r="D282" s="165" t="s">
        <v>3339</v>
      </c>
      <c r="E282" s="207" t="s">
        <v>3340</v>
      </c>
      <c r="F282" s="216">
        <v>43489.0</v>
      </c>
      <c r="G282" s="220">
        <v>43483.0</v>
      </c>
      <c r="H282" s="220" t="s">
        <v>1747</v>
      </c>
      <c r="I282" s="234">
        <v>43494.0</v>
      </c>
      <c r="J282" s="204" t="s">
        <v>2535</v>
      </c>
      <c r="K282" s="215" t="s">
        <v>2535</v>
      </c>
      <c r="L282" s="242" t="s">
        <v>3341</v>
      </c>
      <c r="M282" s="215"/>
      <c r="N282" s="165"/>
      <c r="O282" s="232"/>
      <c r="P282" s="214"/>
      <c r="Q282" s="214"/>
      <c r="R282" s="214"/>
      <c r="S282" s="214"/>
      <c r="T282" s="214"/>
      <c r="U282" s="214"/>
      <c r="V282" s="214"/>
      <c r="W282" s="214"/>
      <c r="X282" s="214"/>
      <c r="Y282" s="214"/>
      <c r="Z282" s="214"/>
      <c r="AA282" s="214"/>
    </row>
    <row r="283" ht="28.5" customHeight="1">
      <c r="A283" s="205" t="str">
        <f>HYPERLINK("https://drive.google.com/open?id=0B6Vr5nVC58V5WHoxN19WUFp0aWdnVHZpZmFEM0xtVExpWkZF","32874")</f>
        <v>32874</v>
      </c>
      <c r="B283" s="204" t="s">
        <v>14</v>
      </c>
      <c r="C283" s="165">
        <v>1100.0</v>
      </c>
      <c r="D283" s="165" t="s">
        <v>3342</v>
      </c>
      <c r="E283" s="207" t="s">
        <v>3343</v>
      </c>
      <c r="F283" s="216">
        <v>43487.0</v>
      </c>
      <c r="G283" s="249">
        <v>43479.0</v>
      </c>
      <c r="H283" s="220" t="s">
        <v>1747</v>
      </c>
      <c r="I283" s="234">
        <v>43493.0</v>
      </c>
      <c r="J283" s="204" t="s">
        <v>2535</v>
      </c>
      <c r="K283" s="215" t="s">
        <v>2535</v>
      </c>
      <c r="L283" s="242" t="s">
        <v>3344</v>
      </c>
      <c r="M283" s="215"/>
      <c r="N283" s="165"/>
      <c r="O283" s="232"/>
      <c r="P283" s="214"/>
      <c r="Q283" s="214"/>
      <c r="R283" s="214"/>
      <c r="S283" s="214"/>
      <c r="T283" s="214"/>
      <c r="U283" s="214"/>
      <c r="V283" s="214"/>
      <c r="W283" s="214"/>
      <c r="X283" s="214"/>
      <c r="Y283" s="214"/>
      <c r="Z283" s="214"/>
      <c r="AA283" s="214"/>
    </row>
    <row r="284" ht="28.5" customHeight="1">
      <c r="A284" s="205" t="str">
        <f>HYPERLINK("https://drive.google.com/open?id=0B6Vr5nVC58V5OUlKVU9pU05VQms1dXFpYno1cFB1YlFEamZn","32871")</f>
        <v>32871</v>
      </c>
      <c r="B284" s="204" t="s">
        <v>14</v>
      </c>
      <c r="C284" s="165">
        <v>944.0</v>
      </c>
      <c r="D284" s="165" t="s">
        <v>3345</v>
      </c>
      <c r="E284" s="207" t="s">
        <v>3346</v>
      </c>
      <c r="F284" s="209">
        <v>43483.0</v>
      </c>
      <c r="G284" s="209">
        <v>43473.0</v>
      </c>
      <c r="H284" s="209" t="s">
        <v>1747</v>
      </c>
      <c r="I284" s="231">
        <v>43490.0</v>
      </c>
      <c r="J284" s="204" t="s">
        <v>2535</v>
      </c>
      <c r="K284" s="215" t="s">
        <v>2535</v>
      </c>
      <c r="L284" s="255" t="s">
        <v>3347</v>
      </c>
      <c r="M284" s="215"/>
      <c r="N284" s="165"/>
      <c r="O284" s="232"/>
      <c r="P284" s="214"/>
      <c r="Q284" s="214"/>
      <c r="R284" s="214"/>
      <c r="S284" s="214"/>
      <c r="T284" s="214"/>
      <c r="U284" s="214"/>
      <c r="V284" s="214"/>
      <c r="W284" s="214"/>
      <c r="X284" s="214"/>
      <c r="Y284" s="214"/>
      <c r="Z284" s="214"/>
      <c r="AA284" s="214"/>
    </row>
    <row r="285" ht="28.5" customHeight="1">
      <c r="A285" s="205" t="str">
        <f>HYPERLINK("https://drive.google.com/open?id=0B6Vr5nVC58V5eV9JQXNwMmhiT2UzZktpaERpTzZucHdNeWFr","32538")</f>
        <v>32538</v>
      </c>
      <c r="B285" s="204" t="s">
        <v>21</v>
      </c>
      <c r="C285" s="165">
        <v>185.0</v>
      </c>
      <c r="D285" s="165" t="s">
        <v>3348</v>
      </c>
      <c r="E285" s="207" t="s">
        <v>3349</v>
      </c>
      <c r="F285" s="216">
        <v>43481.0</v>
      </c>
      <c r="G285" s="220">
        <v>43483.0</v>
      </c>
      <c r="H285" s="220" t="s">
        <v>1747</v>
      </c>
      <c r="I285" s="234">
        <v>43483.0</v>
      </c>
      <c r="J285" s="204" t="s">
        <v>3331</v>
      </c>
      <c r="K285" s="215" t="s">
        <v>2531</v>
      </c>
      <c r="L285" s="242" t="s">
        <v>3350</v>
      </c>
      <c r="M285" s="215"/>
      <c r="N285" s="165"/>
      <c r="O285" s="232"/>
      <c r="P285" s="214"/>
      <c r="Q285" s="214"/>
      <c r="R285" s="214"/>
      <c r="S285" s="214"/>
      <c r="T285" s="214"/>
      <c r="U285" s="214"/>
      <c r="V285" s="214"/>
      <c r="W285" s="214"/>
      <c r="X285" s="214"/>
      <c r="Y285" s="214"/>
      <c r="Z285" s="214"/>
      <c r="AA285" s="214"/>
    </row>
    <row r="286" ht="28.5" customHeight="1">
      <c r="A286" s="245" t="str">
        <f>HYPERLINK("https://drive.google.com/open?id=0B6Vr5nVC58V5bWJQZW9ZYWhWbHFiSUdnblhpazNidnRvZzRj","32762")</f>
        <v>32762</v>
      </c>
      <c r="B286" s="204" t="s">
        <v>14</v>
      </c>
      <c r="C286" s="165">
        <v>320.0</v>
      </c>
      <c r="D286" s="165" t="s">
        <v>3351</v>
      </c>
      <c r="E286" s="207" t="s">
        <v>3352</v>
      </c>
      <c r="F286" s="216">
        <v>43481.0</v>
      </c>
      <c r="G286" s="220">
        <v>43114.0</v>
      </c>
      <c r="H286" s="220" t="s">
        <v>1747</v>
      </c>
      <c r="I286" s="234">
        <v>43494.0</v>
      </c>
      <c r="J286" s="204" t="s">
        <v>2535</v>
      </c>
      <c r="K286" s="215" t="s">
        <v>2535</v>
      </c>
      <c r="L286" s="242" t="s">
        <v>3353</v>
      </c>
      <c r="M286" s="215"/>
      <c r="N286" s="165"/>
      <c r="O286" s="232"/>
      <c r="P286" s="214"/>
      <c r="Q286" s="214"/>
      <c r="R286" s="214"/>
      <c r="S286" s="214"/>
      <c r="T286" s="214"/>
      <c r="U286" s="214"/>
      <c r="V286" s="214"/>
      <c r="W286" s="214"/>
      <c r="X286" s="214"/>
      <c r="Y286" s="214"/>
      <c r="Z286" s="214"/>
      <c r="AA286" s="214"/>
    </row>
    <row r="287" ht="28.5" customHeight="1">
      <c r="A287" s="204">
        <v>32889.0</v>
      </c>
      <c r="B287" s="204" t="s">
        <v>14</v>
      </c>
      <c r="C287" s="165">
        <v>930.0</v>
      </c>
      <c r="D287" s="165" t="s">
        <v>3354</v>
      </c>
      <c r="E287" s="207" t="s">
        <v>3280</v>
      </c>
      <c r="F287" s="216">
        <v>43480.0</v>
      </c>
      <c r="G287" s="220">
        <v>43479.0</v>
      </c>
      <c r="H287" s="220" t="s">
        <v>1747</v>
      </c>
      <c r="I287" s="234">
        <v>43486.0</v>
      </c>
      <c r="J287" s="204" t="s">
        <v>2535</v>
      </c>
      <c r="K287" s="215" t="s">
        <v>2535</v>
      </c>
      <c r="L287" s="255" t="s">
        <v>3355</v>
      </c>
      <c r="M287" s="215"/>
      <c r="N287" s="165"/>
      <c r="O287" s="232"/>
      <c r="P287" s="214"/>
      <c r="Q287" s="214"/>
      <c r="R287" s="214"/>
      <c r="S287" s="214"/>
      <c r="T287" s="214"/>
      <c r="U287" s="214"/>
      <c r="V287" s="214"/>
      <c r="W287" s="214"/>
      <c r="X287" s="214"/>
      <c r="Y287" s="214"/>
      <c r="Z287" s="214"/>
      <c r="AA287" s="214"/>
    </row>
    <row r="288" ht="28.5" customHeight="1">
      <c r="A288" s="205" t="str">
        <f>HYPERLINK("https://drive.google.com/open?id=0B6Vr5nVC58V5OGhWTkhFUmZLNklBOTlPalZRdDNqRVNhQzVB","32900")</f>
        <v>32900</v>
      </c>
      <c r="B288" s="204" t="s">
        <v>14</v>
      </c>
      <c r="C288" s="165">
        <v>930.0</v>
      </c>
      <c r="D288" s="165" t="s">
        <v>3356</v>
      </c>
      <c r="E288" s="207" t="s">
        <v>3280</v>
      </c>
      <c r="F288" s="216">
        <v>43480.0</v>
      </c>
      <c r="G288" s="220">
        <v>43479.0</v>
      </c>
      <c r="H288" s="220" t="s">
        <v>1747</v>
      </c>
      <c r="I288" s="234">
        <v>43487.0</v>
      </c>
      <c r="J288" s="204" t="s">
        <v>2535</v>
      </c>
      <c r="K288" s="215" t="s">
        <v>2535</v>
      </c>
      <c r="L288" s="242" t="s">
        <v>3357</v>
      </c>
      <c r="M288" s="215"/>
      <c r="N288" s="165"/>
      <c r="O288" s="232"/>
      <c r="P288" s="214"/>
      <c r="Q288" s="214"/>
      <c r="R288" s="214"/>
      <c r="S288" s="214"/>
      <c r="T288" s="214"/>
      <c r="U288" s="214"/>
      <c r="V288" s="214"/>
      <c r="W288" s="214"/>
      <c r="X288" s="214"/>
      <c r="Y288" s="214"/>
      <c r="Z288" s="214"/>
      <c r="AA288" s="214"/>
    </row>
    <row r="289" ht="28.5" customHeight="1">
      <c r="A289" s="205" t="str">
        <f>HYPERLINK("https://drive.google.com/open?id=0B6Vr5nVC58V5dXU2RzJqWVdFTTl4b1IwUF9sYnBkOFlXanpV","32598")</f>
        <v>32598</v>
      </c>
      <c r="B289" s="204" t="s">
        <v>14</v>
      </c>
      <c r="C289" s="165">
        <v>2040.0</v>
      </c>
      <c r="D289" s="161" t="s">
        <v>3358</v>
      </c>
      <c r="E289" s="207" t="s">
        <v>3359</v>
      </c>
      <c r="F289" s="216">
        <v>43480.0</v>
      </c>
      <c r="G289" s="220">
        <v>43476.0</v>
      </c>
      <c r="H289" s="220" t="s">
        <v>1747</v>
      </c>
      <c r="I289" s="234">
        <v>43489.0</v>
      </c>
      <c r="J289" s="204" t="s">
        <v>2535</v>
      </c>
      <c r="K289" s="215" t="s">
        <v>2535</v>
      </c>
      <c r="L289" s="255" t="s">
        <v>3360</v>
      </c>
      <c r="M289" s="215" t="s">
        <v>497</v>
      </c>
      <c r="N289" s="165" t="s">
        <v>2554</v>
      </c>
      <c r="O289" s="232">
        <v>31494.4</v>
      </c>
      <c r="P289" s="214"/>
      <c r="Q289" s="214"/>
      <c r="R289" s="214"/>
      <c r="S289" s="214"/>
      <c r="T289" s="214"/>
      <c r="U289" s="214"/>
      <c r="V289" s="214"/>
      <c r="W289" s="214"/>
      <c r="X289" s="214"/>
      <c r="Y289" s="214"/>
      <c r="Z289" s="214"/>
      <c r="AA289" s="214"/>
    </row>
    <row r="290" ht="28.5" customHeight="1">
      <c r="A290" s="205" t="str">
        <f>HYPERLINK("https://drive.google.com/open?id=0B6Vr5nVC58V5cDBRTUU5VDlBWldLUGJsMm4zeXlYVXE4eE9B","32898")</f>
        <v>32898</v>
      </c>
      <c r="B290" s="204" t="s">
        <v>21</v>
      </c>
      <c r="C290" s="165">
        <v>1139.0</v>
      </c>
      <c r="D290" s="165" t="s">
        <v>3361</v>
      </c>
      <c r="E290" s="207" t="s">
        <v>3362</v>
      </c>
      <c r="F290" s="209">
        <v>43478.0</v>
      </c>
      <c r="G290" s="209">
        <v>43475.0</v>
      </c>
      <c r="H290" s="209" t="s">
        <v>1747</v>
      </c>
      <c r="I290" s="231">
        <v>43483.0</v>
      </c>
      <c r="J290" s="204" t="s">
        <v>3331</v>
      </c>
      <c r="K290" s="215" t="s">
        <v>3197</v>
      </c>
      <c r="L290" s="255" t="s">
        <v>3363</v>
      </c>
      <c r="M290" s="215"/>
      <c r="N290" s="165"/>
      <c r="O290" s="232"/>
      <c r="P290" s="214"/>
      <c r="Q290" s="214"/>
      <c r="R290" s="214"/>
      <c r="S290" s="214"/>
      <c r="T290" s="214"/>
      <c r="U290" s="214"/>
      <c r="V290" s="214"/>
      <c r="W290" s="214"/>
      <c r="X290" s="214"/>
      <c r="Y290" s="214"/>
      <c r="Z290" s="214"/>
      <c r="AA290" s="214"/>
    </row>
    <row r="291" ht="28.5" customHeight="1">
      <c r="A291" s="204">
        <v>32875.0</v>
      </c>
      <c r="B291" s="204" t="s">
        <v>14</v>
      </c>
      <c r="C291" s="165">
        <v>230.0</v>
      </c>
      <c r="D291" s="165" t="s">
        <v>3364</v>
      </c>
      <c r="E291" s="207" t="s">
        <v>3365</v>
      </c>
      <c r="F291" s="216">
        <v>43466.0</v>
      </c>
      <c r="G291" s="220">
        <v>43462.0</v>
      </c>
      <c r="H291" s="220" t="s">
        <v>1747</v>
      </c>
      <c r="I291" s="234">
        <v>43474.0</v>
      </c>
      <c r="J291" s="204" t="s">
        <v>2535</v>
      </c>
      <c r="K291" s="215" t="s">
        <v>2535</v>
      </c>
      <c r="L291" s="255" t="s">
        <v>3366</v>
      </c>
      <c r="M291" s="215"/>
      <c r="N291" s="165"/>
      <c r="O291" s="232"/>
      <c r="P291" s="214"/>
      <c r="Q291" s="214"/>
      <c r="R291" s="214"/>
      <c r="S291" s="214"/>
      <c r="T291" s="214"/>
      <c r="U291" s="214"/>
      <c r="V291" s="214"/>
      <c r="W291" s="214"/>
      <c r="X291" s="214"/>
      <c r="Y291" s="214"/>
      <c r="Z291" s="214"/>
      <c r="AA291" s="214"/>
    </row>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O$291">
    <sortState ref="A2:O291">
      <sortCondition descending="1" ref="F2:F291"/>
      <sortCondition descending="1" ref="E2:E291"/>
      <sortCondition descending="1" ref="G2:G291"/>
      <sortCondition descending="1" ref="D2:D291"/>
    </sortState>
  </autoFilter>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43"/>
    <col customWidth="1" min="2" max="2" width="15.29"/>
    <col customWidth="1" min="3" max="3" width="11.29"/>
    <col customWidth="1" min="4" max="4" width="18.43"/>
    <col customWidth="1" min="5" max="5" width="47.29"/>
    <col customWidth="1" min="6" max="6" width="13.0"/>
    <col customWidth="1" min="7" max="7" width="15.43"/>
    <col customWidth="1" min="8" max="8" width="15.14"/>
    <col customWidth="1" min="9" max="9" width="13.29"/>
    <col customWidth="1" min="10" max="10" width="13.43"/>
    <col customWidth="1" min="11" max="11" width="43.86"/>
  </cols>
  <sheetData>
    <row r="1" ht="33.75" customHeight="1">
      <c r="A1" s="256"/>
      <c r="B1" s="189"/>
      <c r="C1" s="180"/>
      <c r="D1" s="180"/>
      <c r="E1" s="182" t="s">
        <v>1674</v>
      </c>
      <c r="F1" s="184" t="s">
        <v>4</v>
      </c>
      <c r="G1" s="184" t="s">
        <v>2106</v>
      </c>
      <c r="H1" s="184" t="s">
        <v>2107</v>
      </c>
      <c r="I1" s="164"/>
      <c r="J1" s="164"/>
      <c r="K1" s="182"/>
      <c r="L1" s="189"/>
      <c r="M1" s="189"/>
      <c r="N1" s="189"/>
      <c r="O1" s="189"/>
      <c r="P1" s="189"/>
      <c r="Q1" s="189"/>
      <c r="R1" s="189"/>
      <c r="S1" s="189"/>
      <c r="T1" s="189"/>
      <c r="U1" s="189"/>
      <c r="V1" s="189"/>
      <c r="W1" s="189"/>
      <c r="X1" s="189"/>
      <c r="Y1" s="189"/>
      <c r="Z1" s="189"/>
    </row>
    <row r="2" ht="12.75" customHeight="1">
      <c r="A2" s="185" t="s">
        <v>2108</v>
      </c>
      <c r="B2" s="185" t="s">
        <v>2109</v>
      </c>
      <c r="C2" s="185" t="s">
        <v>2110</v>
      </c>
      <c r="D2" s="185" t="s">
        <v>10</v>
      </c>
      <c r="E2" s="185" t="s">
        <v>11</v>
      </c>
      <c r="F2" s="187" t="s">
        <v>12</v>
      </c>
      <c r="G2" s="187" t="s">
        <v>12</v>
      </c>
      <c r="H2" s="187" t="s">
        <v>12</v>
      </c>
      <c r="I2" s="257" t="s">
        <v>2111</v>
      </c>
      <c r="J2" s="257" t="s">
        <v>2112</v>
      </c>
      <c r="K2" s="185" t="s">
        <v>2113</v>
      </c>
      <c r="L2" s="189"/>
      <c r="M2" s="189"/>
      <c r="N2" s="189"/>
      <c r="O2" s="189"/>
      <c r="P2" s="189"/>
      <c r="Q2" s="189"/>
      <c r="R2" s="189"/>
      <c r="S2" s="189"/>
      <c r="T2" s="189"/>
      <c r="U2" s="189"/>
      <c r="V2" s="189"/>
      <c r="W2" s="189"/>
      <c r="X2" s="189"/>
      <c r="Y2" s="189"/>
      <c r="Z2" s="189"/>
    </row>
    <row r="3" ht="40.5" customHeight="1">
      <c r="A3" s="258">
        <v>8.600001232E9</v>
      </c>
      <c r="B3" s="165" t="s">
        <v>21</v>
      </c>
      <c r="C3" s="215" t="s">
        <v>3367</v>
      </c>
      <c r="D3" s="215" t="s">
        <v>3368</v>
      </c>
      <c r="E3" s="207" t="s">
        <v>3369</v>
      </c>
      <c r="F3" s="233">
        <v>44187.0</v>
      </c>
      <c r="G3" s="220">
        <v>44174.0</v>
      </c>
      <c r="H3" s="259">
        <v>44194.0</v>
      </c>
      <c r="I3" s="220" t="s">
        <v>3370</v>
      </c>
      <c r="J3" s="260" t="s">
        <v>2154</v>
      </c>
      <c r="K3" s="210" t="s">
        <v>3371</v>
      </c>
      <c r="L3" s="198"/>
      <c r="M3" s="157"/>
      <c r="N3" s="157"/>
      <c r="O3" s="157"/>
      <c r="P3" s="157"/>
      <c r="Q3" s="157"/>
      <c r="R3" s="157"/>
      <c r="S3" s="157"/>
      <c r="T3" s="157"/>
      <c r="U3" s="157"/>
      <c r="V3" s="157"/>
      <c r="W3" s="157"/>
      <c r="X3" s="157"/>
      <c r="Y3" s="157"/>
      <c r="Z3" s="157"/>
    </row>
    <row r="4" ht="40.5" customHeight="1">
      <c r="A4" s="258">
        <v>8.60000121E9</v>
      </c>
      <c r="B4" s="165" t="s">
        <v>14</v>
      </c>
      <c r="C4" s="215" t="s">
        <v>3372</v>
      </c>
      <c r="D4" s="215" t="s">
        <v>3373</v>
      </c>
      <c r="E4" s="213" t="s">
        <v>3374</v>
      </c>
      <c r="F4" s="233">
        <v>44177.0</v>
      </c>
      <c r="G4" s="220">
        <v>44167.0</v>
      </c>
      <c r="H4" s="194">
        <v>44187.0</v>
      </c>
      <c r="I4" s="195" t="s">
        <v>2117</v>
      </c>
      <c r="J4" s="196" t="s">
        <v>2117</v>
      </c>
      <c r="K4" s="210" t="s">
        <v>3375</v>
      </c>
      <c r="L4" s="198"/>
      <c r="M4" s="157"/>
      <c r="N4" s="157"/>
      <c r="O4" s="157"/>
      <c r="P4" s="157"/>
      <c r="Q4" s="157"/>
      <c r="R4" s="157"/>
      <c r="S4" s="157"/>
      <c r="T4" s="157"/>
      <c r="U4" s="157"/>
      <c r="V4" s="157"/>
      <c r="W4" s="157"/>
      <c r="X4" s="157"/>
      <c r="Y4" s="157"/>
      <c r="Z4" s="157"/>
    </row>
    <row r="5" ht="40.5" customHeight="1">
      <c r="A5" s="258">
        <v>8.600001208E9</v>
      </c>
      <c r="B5" s="165" t="s">
        <v>21</v>
      </c>
      <c r="C5" s="215" t="s">
        <v>3376</v>
      </c>
      <c r="D5" s="215" t="s">
        <v>3377</v>
      </c>
      <c r="E5" s="213" t="s">
        <v>3378</v>
      </c>
      <c r="F5" s="233">
        <v>44173.0</v>
      </c>
      <c r="G5" s="220">
        <v>44167.0</v>
      </c>
      <c r="H5" s="220">
        <v>44182.0</v>
      </c>
      <c r="I5" s="220" t="s">
        <v>3370</v>
      </c>
      <c r="J5" s="260" t="s">
        <v>2154</v>
      </c>
      <c r="K5" s="210" t="s">
        <v>3379</v>
      </c>
      <c r="L5" s="198"/>
      <c r="M5" s="157"/>
      <c r="N5" s="157"/>
      <c r="O5" s="157"/>
      <c r="P5" s="157"/>
      <c r="Q5" s="157"/>
      <c r="R5" s="157"/>
      <c r="S5" s="157"/>
      <c r="T5" s="157"/>
      <c r="U5" s="157"/>
      <c r="V5" s="157"/>
      <c r="W5" s="157"/>
      <c r="X5" s="157"/>
      <c r="Y5" s="157"/>
      <c r="Z5" s="157"/>
    </row>
    <row r="6" ht="40.5" customHeight="1">
      <c r="A6" s="258">
        <v>8.600001231E9</v>
      </c>
      <c r="B6" s="165" t="s">
        <v>25</v>
      </c>
      <c r="C6" s="215" t="s">
        <v>3380</v>
      </c>
      <c r="D6" s="215" t="s">
        <v>3381</v>
      </c>
      <c r="E6" s="207" t="s">
        <v>3382</v>
      </c>
      <c r="F6" s="233">
        <v>44173.0</v>
      </c>
      <c r="G6" s="220">
        <v>44169.0</v>
      </c>
      <c r="H6" s="220">
        <v>44187.0</v>
      </c>
      <c r="I6" s="195" t="s">
        <v>2117</v>
      </c>
      <c r="J6" s="196" t="s">
        <v>2117</v>
      </c>
      <c r="K6" s="210" t="s">
        <v>3383</v>
      </c>
      <c r="L6" s="198"/>
      <c r="M6" s="157"/>
      <c r="N6" s="157"/>
      <c r="O6" s="157"/>
      <c r="P6" s="157"/>
      <c r="Q6" s="157"/>
      <c r="R6" s="157"/>
      <c r="S6" s="157"/>
      <c r="T6" s="157"/>
      <c r="U6" s="157"/>
      <c r="V6" s="157"/>
      <c r="W6" s="157"/>
      <c r="X6" s="157"/>
      <c r="Y6" s="157"/>
      <c r="Z6" s="157"/>
    </row>
    <row r="7" ht="40.5" customHeight="1">
      <c r="A7" s="258">
        <v>8.500000103E9</v>
      </c>
      <c r="B7" s="165" t="s">
        <v>14</v>
      </c>
      <c r="C7" s="215" t="s">
        <v>2114</v>
      </c>
      <c r="D7" s="215" t="s">
        <v>3384</v>
      </c>
      <c r="E7" s="213" t="s">
        <v>2116</v>
      </c>
      <c r="F7" s="233">
        <v>44169.0</v>
      </c>
      <c r="G7" s="220">
        <v>44167.0</v>
      </c>
      <c r="H7" s="194">
        <v>44175.0</v>
      </c>
      <c r="I7" s="195" t="s">
        <v>2117</v>
      </c>
      <c r="J7" s="195" t="s">
        <v>2117</v>
      </c>
      <c r="K7" s="210" t="s">
        <v>3385</v>
      </c>
      <c r="L7" s="198"/>
      <c r="M7" s="157"/>
      <c r="N7" s="157"/>
      <c r="O7" s="157"/>
      <c r="P7" s="157"/>
      <c r="Q7" s="157"/>
      <c r="R7" s="157"/>
      <c r="S7" s="157"/>
      <c r="T7" s="157"/>
      <c r="U7" s="157"/>
      <c r="V7" s="157"/>
      <c r="W7" s="157"/>
      <c r="X7" s="157"/>
      <c r="Y7" s="157"/>
      <c r="Z7" s="157"/>
    </row>
    <row r="8" ht="40.5" customHeight="1">
      <c r="A8" s="258">
        <v>8.600001207E9</v>
      </c>
      <c r="B8" s="165" t="s">
        <v>25</v>
      </c>
      <c r="C8" s="215" t="s">
        <v>3386</v>
      </c>
      <c r="D8" s="215" t="s">
        <v>3387</v>
      </c>
      <c r="E8" s="213" t="s">
        <v>3388</v>
      </c>
      <c r="F8" s="233">
        <v>44169.0</v>
      </c>
      <c r="G8" s="220">
        <v>44155.0</v>
      </c>
      <c r="H8" s="220">
        <v>44174.0</v>
      </c>
      <c r="I8" s="195" t="s">
        <v>2117</v>
      </c>
      <c r="J8" s="196" t="s">
        <v>2117</v>
      </c>
      <c r="K8" s="210" t="s">
        <v>3389</v>
      </c>
      <c r="L8" s="198"/>
      <c r="M8" s="157"/>
      <c r="N8" s="157"/>
      <c r="O8" s="157"/>
      <c r="P8" s="157"/>
      <c r="Q8" s="157"/>
      <c r="R8" s="157"/>
      <c r="S8" s="157"/>
      <c r="T8" s="157"/>
      <c r="U8" s="157"/>
      <c r="V8" s="157"/>
      <c r="W8" s="157"/>
      <c r="X8" s="157"/>
      <c r="Y8" s="157"/>
      <c r="Z8" s="157"/>
    </row>
    <row r="9" ht="40.5" customHeight="1">
      <c r="A9" s="258">
        <v>8.600001213E9</v>
      </c>
      <c r="B9" s="165" t="s">
        <v>25</v>
      </c>
      <c r="C9" s="215" t="s">
        <v>3390</v>
      </c>
      <c r="D9" s="215" t="s">
        <v>3391</v>
      </c>
      <c r="E9" s="213" t="s">
        <v>3392</v>
      </c>
      <c r="F9" s="233">
        <v>44167.0</v>
      </c>
      <c r="G9" s="220">
        <v>44147.0</v>
      </c>
      <c r="H9" s="220">
        <v>44174.0</v>
      </c>
      <c r="I9" s="195" t="s">
        <v>2117</v>
      </c>
      <c r="J9" s="196" t="s">
        <v>2117</v>
      </c>
      <c r="K9" s="210" t="s">
        <v>3393</v>
      </c>
      <c r="L9" s="198"/>
      <c r="M9" s="157"/>
      <c r="N9" s="157"/>
      <c r="O9" s="157"/>
      <c r="P9" s="157"/>
      <c r="Q9" s="157"/>
      <c r="R9" s="157"/>
      <c r="S9" s="157"/>
      <c r="T9" s="157"/>
      <c r="U9" s="157"/>
      <c r="V9" s="157"/>
      <c r="W9" s="157"/>
      <c r="X9" s="157"/>
      <c r="Y9" s="157"/>
      <c r="Z9" s="157"/>
    </row>
    <row r="10" ht="40.5" customHeight="1">
      <c r="A10" s="258">
        <v>8.600001206E9</v>
      </c>
      <c r="B10" s="165" t="s">
        <v>14</v>
      </c>
      <c r="C10" s="215" t="s">
        <v>3394</v>
      </c>
      <c r="D10" s="215" t="s">
        <v>3395</v>
      </c>
      <c r="E10" s="261" t="s">
        <v>3396</v>
      </c>
      <c r="F10" s="233">
        <v>44164.0</v>
      </c>
      <c r="G10" s="220">
        <v>44165.0</v>
      </c>
      <c r="H10" s="220">
        <v>44169.0</v>
      </c>
      <c r="I10" s="195" t="s">
        <v>2117</v>
      </c>
      <c r="J10" s="195" t="s">
        <v>2117</v>
      </c>
      <c r="K10" s="210" t="s">
        <v>3397</v>
      </c>
      <c r="L10" s="198"/>
      <c r="M10" s="157"/>
      <c r="N10" s="157"/>
      <c r="O10" s="157"/>
      <c r="P10" s="157"/>
      <c r="Q10" s="157"/>
      <c r="R10" s="157"/>
      <c r="S10" s="157"/>
      <c r="T10" s="157"/>
      <c r="U10" s="157"/>
      <c r="V10" s="157"/>
      <c r="W10" s="157"/>
      <c r="X10" s="157"/>
      <c r="Y10" s="157"/>
      <c r="Z10" s="157"/>
    </row>
    <row r="11" ht="40.5" customHeight="1">
      <c r="A11" s="258">
        <v>8.600001212E9</v>
      </c>
      <c r="B11" s="165" t="s">
        <v>21</v>
      </c>
      <c r="C11" s="215" t="s">
        <v>3380</v>
      </c>
      <c r="D11" s="215" t="s">
        <v>3398</v>
      </c>
      <c r="E11" s="213" t="s">
        <v>3399</v>
      </c>
      <c r="F11" s="233">
        <v>44164.0</v>
      </c>
      <c r="G11" s="220">
        <v>44165.0</v>
      </c>
      <c r="H11" s="220">
        <v>44168.0</v>
      </c>
      <c r="I11" s="220" t="s">
        <v>3370</v>
      </c>
      <c r="J11" s="260" t="s">
        <v>2154</v>
      </c>
      <c r="K11" s="210" t="s">
        <v>3400</v>
      </c>
      <c r="L11" s="198"/>
      <c r="M11" s="157"/>
      <c r="N11" s="262"/>
      <c r="O11" s="157"/>
      <c r="P11" s="157"/>
      <c r="Q11" s="157"/>
      <c r="R11" s="157"/>
      <c r="S11" s="157"/>
      <c r="T11" s="157"/>
      <c r="U11" s="157"/>
      <c r="V11" s="157"/>
      <c r="W11" s="157"/>
      <c r="X11" s="157"/>
      <c r="Y11" s="157"/>
      <c r="Z11" s="157"/>
    </row>
    <row r="12" ht="40.5" customHeight="1">
      <c r="A12" s="258">
        <v>8.600001187E9</v>
      </c>
      <c r="B12" s="165" t="s">
        <v>14</v>
      </c>
      <c r="C12" s="215" t="s">
        <v>3401</v>
      </c>
      <c r="D12" s="215" t="s">
        <v>3402</v>
      </c>
      <c r="E12" s="213" t="s">
        <v>3392</v>
      </c>
      <c r="F12" s="233">
        <v>44159.0</v>
      </c>
      <c r="G12" s="220">
        <v>44152.0</v>
      </c>
      <c r="H12" s="220">
        <v>44165.0</v>
      </c>
      <c r="I12" s="195" t="s">
        <v>2117</v>
      </c>
      <c r="J12" s="195" t="s">
        <v>2117</v>
      </c>
      <c r="K12" s="210" t="s">
        <v>3403</v>
      </c>
      <c r="L12" s="198"/>
      <c r="M12" s="157"/>
      <c r="N12" s="157"/>
      <c r="O12" s="157"/>
      <c r="P12" s="157"/>
      <c r="Q12" s="157"/>
      <c r="R12" s="157"/>
      <c r="S12" s="157"/>
      <c r="T12" s="157"/>
      <c r="U12" s="157"/>
      <c r="V12" s="157"/>
      <c r="W12" s="157"/>
      <c r="X12" s="157"/>
      <c r="Y12" s="157"/>
      <c r="Z12" s="157"/>
    </row>
    <row r="13" ht="40.5" customHeight="1">
      <c r="A13" s="258">
        <v>8.600001182E9</v>
      </c>
      <c r="B13" s="165" t="s">
        <v>14</v>
      </c>
      <c r="C13" s="215" t="s">
        <v>3404</v>
      </c>
      <c r="D13" s="215" t="s">
        <v>3405</v>
      </c>
      <c r="E13" s="213" t="s">
        <v>3406</v>
      </c>
      <c r="F13" s="233">
        <v>44134.0</v>
      </c>
      <c r="G13" s="220">
        <v>44132.0</v>
      </c>
      <c r="H13" s="194">
        <v>44139.0</v>
      </c>
      <c r="I13" s="195" t="s">
        <v>2117</v>
      </c>
      <c r="J13" s="195" t="s">
        <v>2117</v>
      </c>
      <c r="K13" s="210" t="s">
        <v>3407</v>
      </c>
      <c r="L13" s="198"/>
      <c r="M13" s="157"/>
      <c r="N13" s="157"/>
      <c r="O13" s="157"/>
      <c r="P13" s="157"/>
      <c r="Q13" s="157"/>
      <c r="R13" s="157"/>
      <c r="S13" s="157"/>
      <c r="T13" s="157"/>
      <c r="U13" s="157"/>
      <c r="V13" s="157"/>
      <c r="W13" s="157"/>
      <c r="X13" s="157"/>
      <c r="Y13" s="157"/>
      <c r="Z13" s="157"/>
    </row>
    <row r="14" ht="38.25" customHeight="1">
      <c r="A14" s="258">
        <v>8.600001179E9</v>
      </c>
      <c r="B14" s="165" t="s">
        <v>21</v>
      </c>
      <c r="C14" s="215" t="s">
        <v>3408</v>
      </c>
      <c r="D14" s="215" t="s">
        <v>3409</v>
      </c>
      <c r="E14" s="213" t="s">
        <v>3410</v>
      </c>
      <c r="F14" s="233">
        <v>44129.0</v>
      </c>
      <c r="G14" s="194">
        <v>44141.0</v>
      </c>
      <c r="H14" s="194">
        <v>44141.0</v>
      </c>
      <c r="I14" s="220" t="s">
        <v>3370</v>
      </c>
      <c r="J14" s="260" t="s">
        <v>2154</v>
      </c>
      <c r="K14" s="210" t="s">
        <v>3411</v>
      </c>
      <c r="L14" s="198"/>
      <c r="M14" s="157"/>
      <c r="N14" s="157"/>
      <c r="O14" s="157"/>
      <c r="P14" s="157"/>
      <c r="Q14" s="157"/>
      <c r="R14" s="157"/>
      <c r="S14" s="157"/>
      <c r="T14" s="157"/>
      <c r="U14" s="157"/>
      <c r="V14" s="157"/>
      <c r="W14" s="157"/>
      <c r="X14" s="157"/>
      <c r="Y14" s="157"/>
      <c r="Z14" s="157"/>
    </row>
    <row r="15" ht="40.5" customHeight="1">
      <c r="A15" s="258">
        <v>8.60000118E9</v>
      </c>
      <c r="B15" s="165" t="s">
        <v>14</v>
      </c>
      <c r="C15" s="215" t="s">
        <v>3412</v>
      </c>
      <c r="D15" s="215" t="s">
        <v>3413</v>
      </c>
      <c r="E15" s="213" t="s">
        <v>3414</v>
      </c>
      <c r="F15" s="233">
        <v>44123.0</v>
      </c>
      <c r="G15" s="220">
        <v>44127.0</v>
      </c>
      <c r="H15" s="194">
        <v>44139.0</v>
      </c>
      <c r="I15" s="195" t="s">
        <v>2117</v>
      </c>
      <c r="J15" s="195" t="s">
        <v>2117</v>
      </c>
      <c r="K15" s="210" t="s">
        <v>3415</v>
      </c>
      <c r="L15" s="198"/>
      <c r="M15" s="157"/>
      <c r="N15" s="157"/>
      <c r="O15" s="157"/>
      <c r="P15" s="157"/>
      <c r="Q15" s="157"/>
      <c r="R15" s="157"/>
      <c r="S15" s="157"/>
      <c r="T15" s="157"/>
      <c r="U15" s="157"/>
      <c r="V15" s="157"/>
      <c r="W15" s="157"/>
      <c r="X15" s="157"/>
      <c r="Y15" s="157"/>
      <c r="Z15" s="157"/>
    </row>
    <row r="16" ht="40.5" customHeight="1">
      <c r="A16" s="258">
        <v>8.600001175E9</v>
      </c>
      <c r="B16" s="165" t="s">
        <v>14</v>
      </c>
      <c r="C16" s="215" t="s">
        <v>3416</v>
      </c>
      <c r="D16" s="215" t="s">
        <v>3417</v>
      </c>
      <c r="E16" s="207" t="s">
        <v>3418</v>
      </c>
      <c r="F16" s="233">
        <v>44120.0</v>
      </c>
      <c r="G16" s="220">
        <v>44131.0</v>
      </c>
      <c r="H16" s="220">
        <v>44131.0</v>
      </c>
      <c r="I16" s="195" t="s">
        <v>2117</v>
      </c>
      <c r="J16" s="195" t="s">
        <v>2117</v>
      </c>
      <c r="K16" s="210" t="s">
        <v>3419</v>
      </c>
      <c r="L16" s="198"/>
      <c r="M16" s="157"/>
      <c r="N16" s="157"/>
      <c r="O16" s="157"/>
      <c r="P16" s="157"/>
      <c r="Q16" s="157"/>
      <c r="R16" s="157"/>
      <c r="S16" s="157"/>
      <c r="T16" s="157"/>
      <c r="U16" s="157"/>
      <c r="V16" s="157"/>
      <c r="W16" s="157"/>
      <c r="X16" s="157"/>
      <c r="Y16" s="157"/>
      <c r="Z16" s="157"/>
    </row>
    <row r="17" ht="40.5" customHeight="1">
      <c r="A17" s="258">
        <v>8.500000102E9</v>
      </c>
      <c r="B17" s="165" t="s">
        <v>14</v>
      </c>
      <c r="C17" s="215" t="s">
        <v>3420</v>
      </c>
      <c r="D17" s="215" t="s">
        <v>3421</v>
      </c>
      <c r="E17" s="263" t="s">
        <v>2116</v>
      </c>
      <c r="F17" s="233">
        <v>44120.0</v>
      </c>
      <c r="G17" s="220">
        <v>44118.0</v>
      </c>
      <c r="H17" s="194">
        <v>44126.0</v>
      </c>
      <c r="I17" s="195" t="s">
        <v>2117</v>
      </c>
      <c r="J17" s="195" t="s">
        <v>2117</v>
      </c>
      <c r="K17" s="210" t="s">
        <v>3422</v>
      </c>
      <c r="L17" s="198"/>
      <c r="M17" s="157"/>
      <c r="N17" s="157"/>
      <c r="O17" s="157"/>
      <c r="P17" s="157"/>
      <c r="Q17" s="157"/>
      <c r="R17" s="157"/>
      <c r="S17" s="157"/>
      <c r="T17" s="157"/>
      <c r="U17" s="157"/>
      <c r="V17" s="157"/>
      <c r="W17" s="157"/>
      <c r="X17" s="157"/>
      <c r="Y17" s="157"/>
      <c r="Z17" s="157"/>
    </row>
    <row r="18" ht="40.5" customHeight="1">
      <c r="A18" s="258">
        <v>8.600001174E9</v>
      </c>
      <c r="B18" s="165" t="s">
        <v>21</v>
      </c>
      <c r="C18" s="215" t="s">
        <v>3423</v>
      </c>
      <c r="D18" s="215" t="s">
        <v>3424</v>
      </c>
      <c r="E18" s="213" t="s">
        <v>3425</v>
      </c>
      <c r="F18" s="233">
        <v>44119.0</v>
      </c>
      <c r="G18" s="209">
        <v>44138.0</v>
      </c>
      <c r="H18" s="170">
        <v>44138.0</v>
      </c>
      <c r="I18" s="191" t="s">
        <v>3370</v>
      </c>
      <c r="J18" s="191" t="s">
        <v>2154</v>
      </c>
      <c r="K18" s="210" t="s">
        <v>3426</v>
      </c>
      <c r="L18" s="198"/>
      <c r="M18" s="157"/>
      <c r="N18" s="157"/>
      <c r="O18" s="157"/>
      <c r="P18" s="157"/>
      <c r="Q18" s="157"/>
      <c r="R18" s="157"/>
      <c r="S18" s="157"/>
      <c r="T18" s="157"/>
      <c r="U18" s="157"/>
      <c r="V18" s="157"/>
      <c r="W18" s="157"/>
      <c r="X18" s="157"/>
      <c r="Y18" s="157"/>
      <c r="Z18" s="157"/>
    </row>
    <row r="19" ht="40.5" customHeight="1">
      <c r="A19" s="258">
        <v>8.600001177E9</v>
      </c>
      <c r="B19" s="165" t="s">
        <v>25</v>
      </c>
      <c r="C19" s="215" t="s">
        <v>3420</v>
      </c>
      <c r="D19" s="215" t="s">
        <v>3427</v>
      </c>
      <c r="E19" s="213" t="s">
        <v>3428</v>
      </c>
      <c r="F19" s="233">
        <v>44118.0</v>
      </c>
      <c r="G19" s="220">
        <v>44117.0</v>
      </c>
      <c r="H19" s="194">
        <v>44130.0</v>
      </c>
      <c r="I19" s="195" t="s">
        <v>2117</v>
      </c>
      <c r="J19" s="195" t="s">
        <v>2117</v>
      </c>
      <c r="K19" s="210" t="s">
        <v>3429</v>
      </c>
      <c r="L19" s="198"/>
      <c r="M19" s="157"/>
      <c r="N19" s="157"/>
      <c r="O19" s="157"/>
      <c r="P19" s="157"/>
      <c r="Q19" s="157"/>
      <c r="R19" s="157"/>
      <c r="S19" s="157"/>
      <c r="T19" s="157"/>
      <c r="U19" s="157"/>
      <c r="V19" s="157"/>
      <c r="W19" s="157"/>
      <c r="X19" s="157"/>
      <c r="Y19" s="157"/>
      <c r="Z19" s="157"/>
    </row>
    <row r="20" ht="40.5" customHeight="1">
      <c r="A20" s="258">
        <v>8.600001183E9</v>
      </c>
      <c r="B20" s="165" t="s">
        <v>21</v>
      </c>
      <c r="C20" s="215" t="s">
        <v>3430</v>
      </c>
      <c r="D20" s="215" t="s">
        <v>3431</v>
      </c>
      <c r="E20" s="207" t="s">
        <v>3432</v>
      </c>
      <c r="F20" s="233">
        <v>44118.0</v>
      </c>
      <c r="G20" s="220">
        <v>44120.0</v>
      </c>
      <c r="H20" s="220">
        <v>44120.0</v>
      </c>
      <c r="I20" s="209" t="s">
        <v>2153</v>
      </c>
      <c r="J20" s="209" t="s">
        <v>2154</v>
      </c>
      <c r="K20" s="210" t="s">
        <v>3433</v>
      </c>
      <c r="L20" s="198"/>
      <c r="M20" s="157"/>
      <c r="N20" s="157"/>
      <c r="O20" s="157"/>
      <c r="P20" s="157"/>
      <c r="Q20" s="157"/>
      <c r="R20" s="157"/>
      <c r="S20" s="157"/>
      <c r="T20" s="157"/>
      <c r="U20" s="157"/>
      <c r="V20" s="157"/>
      <c r="W20" s="157"/>
      <c r="X20" s="157"/>
      <c r="Y20" s="157"/>
      <c r="Z20" s="157"/>
    </row>
    <row r="21" ht="40.5" customHeight="1">
      <c r="A21" s="258">
        <v>8.600001184E9</v>
      </c>
      <c r="B21" s="165" t="s">
        <v>25</v>
      </c>
      <c r="C21" s="215" t="s">
        <v>3416</v>
      </c>
      <c r="D21" s="215" t="s">
        <v>3431</v>
      </c>
      <c r="E21" s="213" t="s">
        <v>3434</v>
      </c>
      <c r="F21" s="233">
        <v>44114.0</v>
      </c>
      <c r="G21" s="220">
        <v>44119.0</v>
      </c>
      <c r="H21" s="220">
        <v>44118.0</v>
      </c>
      <c r="I21" s="195" t="s">
        <v>2117</v>
      </c>
      <c r="J21" s="195" t="s">
        <v>2117</v>
      </c>
      <c r="K21" s="210" t="s">
        <v>3435</v>
      </c>
      <c r="L21" s="198"/>
      <c r="M21" s="157"/>
      <c r="N21" s="157"/>
      <c r="O21" s="157"/>
      <c r="P21" s="157"/>
      <c r="Q21" s="157"/>
      <c r="R21" s="157"/>
      <c r="S21" s="157"/>
      <c r="T21" s="157"/>
      <c r="U21" s="157"/>
      <c r="V21" s="157"/>
      <c r="W21" s="157"/>
      <c r="X21" s="157"/>
      <c r="Y21" s="157"/>
      <c r="Z21" s="157"/>
    </row>
    <row r="22" ht="40.5" customHeight="1">
      <c r="A22" s="258">
        <v>8.600001157E9</v>
      </c>
      <c r="B22" s="165" t="s">
        <v>14</v>
      </c>
      <c r="C22" s="215" t="s">
        <v>3436</v>
      </c>
      <c r="D22" s="215" t="s">
        <v>3437</v>
      </c>
      <c r="E22" s="213" t="s">
        <v>3438</v>
      </c>
      <c r="F22" s="233">
        <v>44109.0</v>
      </c>
      <c r="G22" s="220">
        <v>44106.0</v>
      </c>
      <c r="H22" s="220">
        <v>44116.0</v>
      </c>
      <c r="I22" s="195" t="s">
        <v>2117</v>
      </c>
      <c r="J22" s="195" t="s">
        <v>2117</v>
      </c>
      <c r="K22" s="210" t="s">
        <v>3439</v>
      </c>
      <c r="L22" s="198"/>
      <c r="M22" s="157"/>
      <c r="N22" s="157"/>
      <c r="O22" s="157"/>
      <c r="P22" s="157"/>
      <c r="Q22" s="157"/>
      <c r="R22" s="157"/>
      <c r="S22" s="157"/>
      <c r="T22" s="157"/>
      <c r="U22" s="157"/>
      <c r="V22" s="157"/>
      <c r="W22" s="157"/>
      <c r="X22" s="157"/>
      <c r="Y22" s="157"/>
      <c r="Z22" s="157"/>
    </row>
    <row r="23" ht="40.5" customHeight="1">
      <c r="A23" s="258">
        <v>8.600001149E9</v>
      </c>
      <c r="B23" s="165" t="s">
        <v>21</v>
      </c>
      <c r="C23" s="215" t="s">
        <v>3423</v>
      </c>
      <c r="D23" s="215" t="s">
        <v>3440</v>
      </c>
      <c r="E23" s="213" t="s">
        <v>3441</v>
      </c>
      <c r="F23" s="233">
        <v>44103.0</v>
      </c>
      <c r="G23" s="220">
        <v>44109.0</v>
      </c>
      <c r="H23" s="220">
        <v>44106.0</v>
      </c>
      <c r="I23" s="209" t="s">
        <v>2153</v>
      </c>
      <c r="J23" s="209" t="s">
        <v>2154</v>
      </c>
      <c r="K23" s="210" t="s">
        <v>3442</v>
      </c>
      <c r="L23" s="198"/>
      <c r="M23" s="157"/>
      <c r="N23" s="157"/>
      <c r="O23" s="157"/>
      <c r="P23" s="157"/>
      <c r="Q23" s="157"/>
      <c r="R23" s="157"/>
      <c r="S23" s="157"/>
      <c r="T23" s="157"/>
      <c r="U23" s="157"/>
      <c r="V23" s="157"/>
      <c r="W23" s="157"/>
      <c r="X23" s="157"/>
      <c r="Y23" s="157"/>
      <c r="Z23" s="157"/>
    </row>
    <row r="24" ht="40.5" customHeight="1">
      <c r="A24" s="264">
        <v>8.60000115E9</v>
      </c>
      <c r="B24" s="165" t="s">
        <v>25</v>
      </c>
      <c r="C24" s="215" t="s">
        <v>3423</v>
      </c>
      <c r="D24" s="215" t="s">
        <v>3440</v>
      </c>
      <c r="E24" s="213" t="s">
        <v>3443</v>
      </c>
      <c r="F24" s="233">
        <v>44103.0</v>
      </c>
      <c r="G24" s="220">
        <v>44099.0</v>
      </c>
      <c r="H24" s="220">
        <v>44099.0</v>
      </c>
      <c r="I24" s="195" t="s">
        <v>2117</v>
      </c>
      <c r="J24" s="195" t="s">
        <v>2117</v>
      </c>
      <c r="K24" s="210" t="s">
        <v>3444</v>
      </c>
      <c r="L24" s="198"/>
      <c r="M24" s="157"/>
      <c r="N24" s="157"/>
      <c r="O24" s="157"/>
      <c r="P24" s="157"/>
      <c r="Q24" s="157"/>
      <c r="R24" s="157"/>
      <c r="S24" s="157"/>
      <c r="T24" s="157"/>
      <c r="U24" s="157"/>
      <c r="V24" s="157"/>
      <c r="W24" s="157"/>
      <c r="X24" s="157"/>
      <c r="Y24" s="157"/>
      <c r="Z24" s="157"/>
    </row>
    <row r="25" ht="40.5" customHeight="1">
      <c r="A25" s="258">
        <v>8.600001161E9</v>
      </c>
      <c r="B25" s="165" t="s">
        <v>14</v>
      </c>
      <c r="C25" s="215" t="s">
        <v>3445</v>
      </c>
      <c r="D25" s="215" t="s">
        <v>3446</v>
      </c>
      <c r="E25" s="207" t="s">
        <v>3447</v>
      </c>
      <c r="F25" s="233">
        <v>44102.0</v>
      </c>
      <c r="G25" s="220">
        <v>44104.0</v>
      </c>
      <c r="H25" s="220">
        <v>44109.0</v>
      </c>
      <c r="I25" s="195" t="s">
        <v>2117</v>
      </c>
      <c r="J25" s="195" t="s">
        <v>2117</v>
      </c>
      <c r="K25" s="210" t="s">
        <v>3448</v>
      </c>
      <c r="L25" s="198"/>
      <c r="M25" s="157"/>
      <c r="N25" s="157"/>
      <c r="O25" s="157"/>
      <c r="P25" s="157"/>
      <c r="Q25" s="157"/>
      <c r="R25" s="157"/>
      <c r="S25" s="157"/>
      <c r="T25" s="157"/>
      <c r="U25" s="157"/>
      <c r="V25" s="157"/>
      <c r="W25" s="157"/>
      <c r="X25" s="157"/>
      <c r="Y25" s="157"/>
      <c r="Z25" s="157"/>
    </row>
    <row r="26" ht="40.5" customHeight="1">
      <c r="A26" s="258">
        <v>8.600001162E9</v>
      </c>
      <c r="B26" s="165" t="s">
        <v>21</v>
      </c>
      <c r="C26" s="215" t="s">
        <v>3367</v>
      </c>
      <c r="D26" s="215" t="s">
        <v>3449</v>
      </c>
      <c r="E26" s="207" t="s">
        <v>3432</v>
      </c>
      <c r="F26" s="233">
        <v>44096.0</v>
      </c>
      <c r="G26" s="220">
        <v>44095.0</v>
      </c>
      <c r="H26" s="220">
        <v>44104.0</v>
      </c>
      <c r="I26" s="209" t="s">
        <v>2153</v>
      </c>
      <c r="J26" s="209" t="s">
        <v>2154</v>
      </c>
      <c r="K26" s="210" t="s">
        <v>3450</v>
      </c>
      <c r="L26" s="198"/>
      <c r="M26" s="157"/>
      <c r="N26" s="157"/>
      <c r="O26" s="157"/>
      <c r="P26" s="157"/>
      <c r="Q26" s="157"/>
      <c r="R26" s="157"/>
      <c r="S26" s="157"/>
      <c r="T26" s="157"/>
      <c r="U26" s="157"/>
      <c r="V26" s="157"/>
      <c r="W26" s="157"/>
      <c r="X26" s="157"/>
      <c r="Y26" s="157"/>
      <c r="Z26" s="157"/>
    </row>
    <row r="27" ht="40.5" customHeight="1">
      <c r="A27" s="258">
        <v>8.500000101E9</v>
      </c>
      <c r="B27" s="165" t="s">
        <v>14</v>
      </c>
      <c r="C27" s="215" t="s">
        <v>3380</v>
      </c>
      <c r="D27" s="215" t="s">
        <v>3451</v>
      </c>
      <c r="E27" s="213" t="s">
        <v>3452</v>
      </c>
      <c r="F27" s="233">
        <v>44095.0</v>
      </c>
      <c r="G27" s="220">
        <v>44092.0</v>
      </c>
      <c r="H27" s="220">
        <v>44102.0</v>
      </c>
      <c r="I27" s="195" t="s">
        <v>2117</v>
      </c>
      <c r="J27" s="195" t="s">
        <v>2117</v>
      </c>
      <c r="K27" s="210" t="s">
        <v>3453</v>
      </c>
      <c r="L27" s="198"/>
      <c r="M27" s="157"/>
      <c r="N27" s="157"/>
      <c r="O27" s="157"/>
      <c r="P27" s="157"/>
      <c r="Q27" s="157"/>
      <c r="R27" s="157"/>
      <c r="S27" s="157"/>
      <c r="T27" s="157"/>
      <c r="U27" s="157"/>
      <c r="V27" s="157"/>
      <c r="W27" s="157"/>
      <c r="X27" s="157"/>
      <c r="Y27" s="157"/>
      <c r="Z27" s="157"/>
    </row>
    <row r="28" ht="40.5" customHeight="1">
      <c r="A28" s="258">
        <v>8.600001155E9</v>
      </c>
      <c r="B28" s="165" t="s">
        <v>25</v>
      </c>
      <c r="C28" s="215" t="s">
        <v>3454</v>
      </c>
      <c r="D28" s="215" t="s">
        <v>3455</v>
      </c>
      <c r="E28" s="213" t="s">
        <v>3456</v>
      </c>
      <c r="F28" s="233">
        <v>44093.0</v>
      </c>
      <c r="G28" s="220">
        <v>44089.0</v>
      </c>
      <c r="H28" s="220">
        <v>44106.0</v>
      </c>
      <c r="I28" s="195" t="s">
        <v>2117</v>
      </c>
      <c r="J28" s="195" t="s">
        <v>2117</v>
      </c>
      <c r="K28" s="210" t="s">
        <v>3457</v>
      </c>
      <c r="L28" s="198"/>
      <c r="M28" s="157"/>
      <c r="N28" s="157"/>
      <c r="O28" s="157"/>
      <c r="P28" s="157"/>
      <c r="Q28" s="157"/>
      <c r="R28" s="157"/>
      <c r="S28" s="157"/>
      <c r="T28" s="157"/>
      <c r="U28" s="157"/>
      <c r="V28" s="157"/>
      <c r="W28" s="157"/>
      <c r="X28" s="157"/>
      <c r="Y28" s="157"/>
      <c r="Z28" s="157"/>
    </row>
    <row r="29" ht="40.5" customHeight="1">
      <c r="A29" s="258">
        <v>8.600001151E9</v>
      </c>
      <c r="B29" s="165" t="s">
        <v>14</v>
      </c>
      <c r="C29" s="215" t="s">
        <v>3430</v>
      </c>
      <c r="D29" s="215" t="s">
        <v>3458</v>
      </c>
      <c r="E29" s="207" t="s">
        <v>3459</v>
      </c>
      <c r="F29" s="233">
        <v>44093.0</v>
      </c>
      <c r="G29" s="220">
        <v>44091.0</v>
      </c>
      <c r="H29" s="220">
        <v>44105.0</v>
      </c>
      <c r="I29" s="195" t="s">
        <v>2117</v>
      </c>
      <c r="J29" s="195" t="s">
        <v>2117</v>
      </c>
      <c r="K29" s="210" t="s">
        <v>3460</v>
      </c>
      <c r="L29" s="198"/>
      <c r="M29" s="157"/>
      <c r="N29" s="157"/>
      <c r="O29" s="157"/>
      <c r="P29" s="157"/>
      <c r="Q29" s="157"/>
      <c r="R29" s="157"/>
      <c r="S29" s="157"/>
      <c r="T29" s="157"/>
      <c r="U29" s="157"/>
      <c r="V29" s="157"/>
      <c r="W29" s="157"/>
      <c r="X29" s="157"/>
      <c r="Y29" s="157"/>
      <c r="Z29" s="157"/>
    </row>
    <row r="30" ht="40.5" customHeight="1">
      <c r="A30" s="258">
        <v>8.600001163E9</v>
      </c>
      <c r="B30" s="165" t="s">
        <v>25</v>
      </c>
      <c r="C30" s="215" t="s">
        <v>3412</v>
      </c>
      <c r="D30" s="215" t="s">
        <v>3461</v>
      </c>
      <c r="E30" s="213" t="s">
        <v>3462</v>
      </c>
      <c r="F30" s="233">
        <v>44089.0</v>
      </c>
      <c r="G30" s="220">
        <v>44088.0</v>
      </c>
      <c r="H30" s="220">
        <v>44103.0</v>
      </c>
      <c r="I30" s="195" t="s">
        <v>2117</v>
      </c>
      <c r="J30" s="195" t="s">
        <v>2117</v>
      </c>
      <c r="K30" s="210" t="s">
        <v>3463</v>
      </c>
      <c r="L30" s="198"/>
      <c r="M30" s="157"/>
      <c r="N30" s="157"/>
      <c r="O30" s="157"/>
      <c r="P30" s="157"/>
      <c r="Q30" s="157"/>
      <c r="R30" s="157"/>
      <c r="S30" s="157"/>
      <c r="T30" s="157"/>
      <c r="U30" s="157"/>
      <c r="V30" s="157"/>
      <c r="W30" s="157"/>
      <c r="X30" s="157"/>
      <c r="Y30" s="157"/>
      <c r="Z30" s="157"/>
    </row>
    <row r="31" ht="40.5" customHeight="1">
      <c r="A31" s="258">
        <v>8.600001127E9</v>
      </c>
      <c r="B31" s="165" t="s">
        <v>14</v>
      </c>
      <c r="C31" s="215" t="s">
        <v>2205</v>
      </c>
      <c r="D31" s="215" t="s">
        <v>3464</v>
      </c>
      <c r="E31" s="207" t="s">
        <v>3465</v>
      </c>
      <c r="F31" s="233">
        <v>44077.0</v>
      </c>
      <c r="G31" s="220">
        <v>44075.0</v>
      </c>
      <c r="H31" s="220">
        <v>44088.0</v>
      </c>
      <c r="I31" s="195" t="s">
        <v>2117</v>
      </c>
      <c r="J31" s="195" t="s">
        <v>2117</v>
      </c>
      <c r="K31" s="210" t="s">
        <v>3466</v>
      </c>
      <c r="L31" s="198"/>
      <c r="M31" s="157"/>
      <c r="N31" s="157"/>
      <c r="O31" s="157"/>
      <c r="P31" s="157"/>
      <c r="Q31" s="157"/>
      <c r="R31" s="157"/>
      <c r="S31" s="157"/>
      <c r="T31" s="157"/>
      <c r="U31" s="157"/>
      <c r="V31" s="157"/>
      <c r="W31" s="157"/>
      <c r="X31" s="157"/>
      <c r="Y31" s="157"/>
      <c r="Z31" s="157"/>
    </row>
    <row r="32" ht="40.5" customHeight="1">
      <c r="A32" s="258">
        <v>8.600001131E9</v>
      </c>
      <c r="B32" s="165" t="s">
        <v>21</v>
      </c>
      <c r="C32" s="215" t="s">
        <v>3467</v>
      </c>
      <c r="D32" s="215" t="s">
        <v>3468</v>
      </c>
      <c r="E32" s="263" t="s">
        <v>3469</v>
      </c>
      <c r="F32" s="233">
        <v>44075.0</v>
      </c>
      <c r="G32" s="220">
        <v>44071.0</v>
      </c>
      <c r="H32" s="220">
        <v>44078.0</v>
      </c>
      <c r="I32" s="209" t="s">
        <v>2153</v>
      </c>
      <c r="J32" s="209" t="s">
        <v>2154</v>
      </c>
      <c r="K32" s="210" t="s">
        <v>3470</v>
      </c>
      <c r="L32" s="198"/>
      <c r="M32" s="157"/>
      <c r="N32" s="157"/>
      <c r="O32" s="157"/>
      <c r="P32" s="157"/>
      <c r="Q32" s="157"/>
      <c r="R32" s="157"/>
      <c r="S32" s="157"/>
      <c r="T32" s="157"/>
      <c r="U32" s="157"/>
      <c r="V32" s="157"/>
      <c r="W32" s="157"/>
      <c r="X32" s="157"/>
      <c r="Y32" s="157"/>
      <c r="Z32" s="157"/>
    </row>
    <row r="33" ht="40.5" customHeight="1">
      <c r="A33" s="258">
        <v>8.600001121E9</v>
      </c>
      <c r="B33" s="165" t="s">
        <v>14</v>
      </c>
      <c r="C33" s="215" t="s">
        <v>3471</v>
      </c>
      <c r="D33" s="215" t="s">
        <v>3472</v>
      </c>
      <c r="E33" s="213" t="s">
        <v>3473</v>
      </c>
      <c r="F33" s="233">
        <v>44070.0</v>
      </c>
      <c r="G33" s="220">
        <v>44068.0</v>
      </c>
      <c r="H33" s="220">
        <v>44085.0</v>
      </c>
      <c r="I33" s="195" t="s">
        <v>2117</v>
      </c>
      <c r="J33" s="196" t="s">
        <v>2117</v>
      </c>
      <c r="K33" s="210" t="s">
        <v>3474</v>
      </c>
      <c r="L33" s="198"/>
      <c r="M33" s="157"/>
      <c r="N33" s="157"/>
      <c r="O33" s="157"/>
      <c r="P33" s="157"/>
      <c r="Q33" s="157"/>
      <c r="R33" s="157"/>
      <c r="S33" s="157"/>
      <c r="T33" s="157"/>
      <c r="U33" s="157"/>
      <c r="V33" s="157"/>
      <c r="W33" s="157"/>
      <c r="X33" s="157"/>
      <c r="Y33" s="157"/>
      <c r="Z33" s="157"/>
    </row>
    <row r="34" ht="40.5" customHeight="1">
      <c r="A34" s="258">
        <v>8.600001126E9</v>
      </c>
      <c r="B34" s="165" t="s">
        <v>25</v>
      </c>
      <c r="C34" s="215" t="s">
        <v>3475</v>
      </c>
      <c r="D34" s="215" t="s">
        <v>3476</v>
      </c>
      <c r="E34" s="213" t="s">
        <v>3477</v>
      </c>
      <c r="F34" s="216">
        <v>44069.0</v>
      </c>
      <c r="G34" s="220">
        <v>44068.0</v>
      </c>
      <c r="H34" s="220">
        <v>44083.0</v>
      </c>
      <c r="I34" s="195" t="s">
        <v>2117</v>
      </c>
      <c r="J34" s="195" t="s">
        <v>2117</v>
      </c>
      <c r="K34" s="210" t="s">
        <v>3478</v>
      </c>
      <c r="L34" s="198"/>
      <c r="M34" s="157"/>
      <c r="N34" s="157"/>
      <c r="O34" s="157"/>
      <c r="P34" s="157"/>
      <c r="Q34" s="157"/>
      <c r="R34" s="157"/>
      <c r="S34" s="157"/>
      <c r="T34" s="157"/>
      <c r="U34" s="157"/>
      <c r="V34" s="157"/>
      <c r="W34" s="157"/>
      <c r="X34" s="157"/>
      <c r="Y34" s="157"/>
      <c r="Z34" s="157"/>
    </row>
    <row r="35" ht="40.5" customHeight="1">
      <c r="A35" s="258">
        <v>8.600001124E9</v>
      </c>
      <c r="B35" s="165" t="s">
        <v>14</v>
      </c>
      <c r="C35" s="215" t="s">
        <v>3479</v>
      </c>
      <c r="D35" s="215" t="s">
        <v>3480</v>
      </c>
      <c r="E35" s="263" t="s">
        <v>3481</v>
      </c>
      <c r="F35" s="233">
        <v>44069.0</v>
      </c>
      <c r="G35" s="220">
        <v>44068.0</v>
      </c>
      <c r="H35" s="220" t="s">
        <v>3482</v>
      </c>
      <c r="I35" s="195" t="s">
        <v>2117</v>
      </c>
      <c r="J35" s="195" t="s">
        <v>2117</v>
      </c>
      <c r="K35" s="210" t="s">
        <v>3483</v>
      </c>
      <c r="L35" s="198"/>
      <c r="M35" s="157"/>
      <c r="N35" s="157"/>
      <c r="O35" s="157"/>
      <c r="P35" s="157"/>
      <c r="Q35" s="157"/>
      <c r="R35" s="157"/>
      <c r="S35" s="157"/>
      <c r="T35" s="157"/>
      <c r="U35" s="157"/>
      <c r="V35" s="157"/>
      <c r="W35" s="157"/>
      <c r="X35" s="157"/>
      <c r="Y35" s="157"/>
      <c r="Z35" s="157"/>
    </row>
    <row r="36" ht="39.0" customHeight="1">
      <c r="A36" s="258">
        <v>8.600001118E9</v>
      </c>
      <c r="B36" s="165" t="s">
        <v>21</v>
      </c>
      <c r="C36" s="215" t="s">
        <v>3484</v>
      </c>
      <c r="D36" s="215" t="s">
        <v>3485</v>
      </c>
      <c r="E36" s="207" t="s">
        <v>3486</v>
      </c>
      <c r="F36" s="233">
        <v>44068.0</v>
      </c>
      <c r="G36" s="209">
        <v>44077.0</v>
      </c>
      <c r="H36" s="209">
        <v>44077.0</v>
      </c>
      <c r="I36" s="165" t="s">
        <v>3487</v>
      </c>
      <c r="J36" s="209" t="s">
        <v>2154</v>
      </c>
      <c r="K36" s="210" t="s">
        <v>3488</v>
      </c>
      <c r="L36" s="198"/>
      <c r="M36" s="157"/>
      <c r="N36" s="157"/>
      <c r="O36" s="157"/>
      <c r="P36" s="157"/>
      <c r="Q36" s="157"/>
      <c r="R36" s="157"/>
      <c r="S36" s="157"/>
      <c r="T36" s="157"/>
      <c r="U36" s="157"/>
      <c r="V36" s="157"/>
      <c r="W36" s="157"/>
      <c r="X36" s="157"/>
      <c r="Y36" s="157"/>
      <c r="Z36" s="157"/>
    </row>
    <row r="37" ht="40.5" customHeight="1">
      <c r="A37" s="258">
        <v>8.500000098E9</v>
      </c>
      <c r="B37" s="165" t="s">
        <v>14</v>
      </c>
      <c r="C37" s="215" t="s">
        <v>3420</v>
      </c>
      <c r="D37" s="215" t="s">
        <v>3489</v>
      </c>
      <c r="E37" s="207" t="s">
        <v>2116</v>
      </c>
      <c r="F37" s="233">
        <v>44063.0</v>
      </c>
      <c r="G37" s="220">
        <v>44061.0</v>
      </c>
      <c r="H37" s="220">
        <v>44069.0</v>
      </c>
      <c r="I37" s="195" t="s">
        <v>2117</v>
      </c>
      <c r="J37" s="195" t="s">
        <v>2117</v>
      </c>
      <c r="K37" s="210" t="s">
        <v>3490</v>
      </c>
      <c r="L37" s="198"/>
      <c r="M37" s="157"/>
      <c r="N37" s="157"/>
      <c r="O37" s="157"/>
      <c r="P37" s="157"/>
      <c r="Q37" s="157"/>
      <c r="R37" s="157"/>
      <c r="S37" s="157"/>
      <c r="T37" s="157"/>
      <c r="U37" s="157"/>
      <c r="V37" s="157"/>
      <c r="W37" s="157"/>
      <c r="X37" s="157"/>
      <c r="Y37" s="157"/>
      <c r="Z37" s="157"/>
    </row>
    <row r="38" ht="40.5" customHeight="1">
      <c r="A38" s="258">
        <v>8.600001122E9</v>
      </c>
      <c r="B38" s="165" t="s">
        <v>21</v>
      </c>
      <c r="C38" s="215" t="s">
        <v>3401</v>
      </c>
      <c r="D38" s="215" t="s">
        <v>3491</v>
      </c>
      <c r="E38" s="207" t="s">
        <v>3465</v>
      </c>
      <c r="F38" s="233">
        <v>44059.0</v>
      </c>
      <c r="G38" s="220">
        <v>44055.0</v>
      </c>
      <c r="H38" s="220">
        <v>44070.0</v>
      </c>
      <c r="I38" s="209" t="s">
        <v>2153</v>
      </c>
      <c r="J38" s="209" t="s">
        <v>2154</v>
      </c>
      <c r="K38" s="210" t="s">
        <v>3492</v>
      </c>
      <c r="L38" s="198"/>
      <c r="M38" s="157"/>
      <c r="N38" s="157"/>
      <c r="O38" s="157"/>
      <c r="P38" s="157"/>
      <c r="Q38" s="157"/>
      <c r="R38" s="157"/>
      <c r="S38" s="157"/>
      <c r="T38" s="157"/>
      <c r="U38" s="157"/>
      <c r="V38" s="157"/>
      <c r="W38" s="157"/>
      <c r="X38" s="157"/>
      <c r="Y38" s="157"/>
      <c r="Z38" s="157"/>
    </row>
    <row r="39" ht="40.5" customHeight="1">
      <c r="A39" s="258">
        <v>8.600001123E9</v>
      </c>
      <c r="B39" s="165" t="s">
        <v>25</v>
      </c>
      <c r="C39" s="215" t="s">
        <v>3416</v>
      </c>
      <c r="D39" s="215" t="s">
        <v>3493</v>
      </c>
      <c r="E39" s="207" t="s">
        <v>3465</v>
      </c>
      <c r="F39" s="233">
        <v>44054.0</v>
      </c>
      <c r="G39" s="220">
        <v>44050.0</v>
      </c>
      <c r="H39" s="220">
        <v>44061.0</v>
      </c>
      <c r="I39" s="195" t="s">
        <v>2117</v>
      </c>
      <c r="J39" s="196" t="s">
        <v>2117</v>
      </c>
      <c r="K39" s="210" t="s">
        <v>3494</v>
      </c>
      <c r="L39" s="198"/>
      <c r="M39" s="157"/>
      <c r="N39" s="157"/>
      <c r="O39" s="157"/>
      <c r="P39" s="157"/>
      <c r="Q39" s="157"/>
      <c r="R39" s="157"/>
      <c r="S39" s="157"/>
      <c r="T39" s="157"/>
      <c r="U39" s="157"/>
      <c r="V39" s="157"/>
      <c r="W39" s="157"/>
      <c r="X39" s="157"/>
      <c r="Y39" s="157"/>
      <c r="Z39" s="157"/>
    </row>
    <row r="40" ht="40.5" customHeight="1">
      <c r="A40" s="258">
        <v>8.500000097E9</v>
      </c>
      <c r="B40" s="165" t="s">
        <v>21</v>
      </c>
      <c r="C40" s="215" t="s">
        <v>3380</v>
      </c>
      <c r="D40" s="215" t="s">
        <v>3495</v>
      </c>
      <c r="E40" s="213" t="s">
        <v>3452</v>
      </c>
      <c r="F40" s="233">
        <v>44054.0</v>
      </c>
      <c r="G40" s="220">
        <v>44050.0</v>
      </c>
      <c r="H40" s="220">
        <v>44057.0</v>
      </c>
      <c r="I40" s="209" t="s">
        <v>2153</v>
      </c>
      <c r="J40" s="209" t="s">
        <v>2154</v>
      </c>
      <c r="K40" s="210" t="s">
        <v>3496</v>
      </c>
      <c r="L40" s="198"/>
      <c r="M40" s="157"/>
      <c r="N40" s="157"/>
      <c r="O40" s="157"/>
      <c r="P40" s="157"/>
      <c r="Q40" s="157"/>
      <c r="R40" s="157"/>
      <c r="S40" s="157"/>
      <c r="T40" s="157"/>
      <c r="U40" s="157"/>
      <c r="V40" s="157"/>
      <c r="W40" s="157"/>
      <c r="X40" s="157"/>
      <c r="Y40" s="157"/>
      <c r="Z40" s="157"/>
    </row>
    <row r="41" ht="40.5" customHeight="1">
      <c r="A41" s="258">
        <v>8.600001099E9</v>
      </c>
      <c r="B41" s="165" t="s">
        <v>14</v>
      </c>
      <c r="C41" s="215" t="s">
        <v>3497</v>
      </c>
      <c r="D41" s="215" t="s">
        <v>3498</v>
      </c>
      <c r="E41" s="263" t="s">
        <v>3465</v>
      </c>
      <c r="F41" s="233">
        <v>44049.0</v>
      </c>
      <c r="G41" s="220">
        <v>44048.0</v>
      </c>
      <c r="H41" s="220" t="s">
        <v>3499</v>
      </c>
      <c r="I41" s="195" t="s">
        <v>2117</v>
      </c>
      <c r="J41" s="196" t="s">
        <v>2117</v>
      </c>
      <c r="K41" s="210" t="s">
        <v>3500</v>
      </c>
      <c r="L41" s="198"/>
      <c r="M41" s="157"/>
      <c r="N41" s="157"/>
      <c r="O41" s="157"/>
      <c r="P41" s="157"/>
      <c r="Q41" s="157"/>
      <c r="R41" s="157"/>
      <c r="S41" s="157"/>
      <c r="T41" s="157"/>
      <c r="U41" s="157"/>
      <c r="V41" s="157"/>
      <c r="W41" s="157"/>
      <c r="X41" s="157"/>
      <c r="Y41" s="157"/>
      <c r="Z41" s="157"/>
    </row>
    <row r="42" ht="12.75" customHeight="1">
      <c r="A42" s="258">
        <v>8.600001095E9</v>
      </c>
      <c r="B42" s="165" t="s">
        <v>14</v>
      </c>
      <c r="C42" s="215" t="s">
        <v>2241</v>
      </c>
      <c r="D42" s="215" t="s">
        <v>3501</v>
      </c>
      <c r="E42" s="213" t="s">
        <v>3502</v>
      </c>
      <c r="F42" s="233">
        <v>44049.0</v>
      </c>
      <c r="G42" s="220">
        <v>44048.0</v>
      </c>
      <c r="H42" s="220">
        <v>44055.0</v>
      </c>
      <c r="I42" s="195" t="s">
        <v>2117</v>
      </c>
      <c r="J42" s="195" t="s">
        <v>2117</v>
      </c>
      <c r="K42" s="210" t="s">
        <v>3503</v>
      </c>
      <c r="L42" s="198"/>
      <c r="M42" s="157"/>
      <c r="N42" s="157"/>
      <c r="O42" s="157"/>
      <c r="P42" s="157"/>
      <c r="Q42" s="157"/>
      <c r="R42" s="157"/>
      <c r="S42" s="157"/>
      <c r="T42" s="157"/>
      <c r="U42" s="157"/>
      <c r="V42" s="157"/>
      <c r="W42" s="157"/>
      <c r="X42" s="157"/>
      <c r="Y42" s="157"/>
      <c r="Z42" s="157"/>
    </row>
    <row r="43" ht="33.75" customHeight="1">
      <c r="A43" s="258">
        <v>8.600001097E9</v>
      </c>
      <c r="B43" s="165" t="s">
        <v>21</v>
      </c>
      <c r="C43" s="215" t="s">
        <v>3504</v>
      </c>
      <c r="D43" s="215" t="s">
        <v>3505</v>
      </c>
      <c r="E43" s="213" t="s">
        <v>3506</v>
      </c>
      <c r="F43" s="233">
        <v>44047.0</v>
      </c>
      <c r="G43" s="220">
        <v>44043.0</v>
      </c>
      <c r="H43" s="220" t="s">
        <v>3507</v>
      </c>
      <c r="I43" s="165" t="s">
        <v>2153</v>
      </c>
      <c r="J43" s="165" t="s">
        <v>2154</v>
      </c>
      <c r="K43" s="210" t="s">
        <v>3508</v>
      </c>
      <c r="L43" s="198"/>
      <c r="M43" s="157"/>
      <c r="N43" s="157"/>
      <c r="O43" s="157"/>
      <c r="P43" s="157"/>
      <c r="Q43" s="157"/>
      <c r="R43" s="157"/>
      <c r="S43" s="157"/>
      <c r="T43" s="157"/>
      <c r="U43" s="157"/>
      <c r="V43" s="157"/>
      <c r="W43" s="157"/>
      <c r="X43" s="157"/>
      <c r="Y43" s="157"/>
      <c r="Z43" s="157"/>
    </row>
    <row r="44" ht="33.75" customHeight="1">
      <c r="A44" s="258">
        <v>8.600001096E9</v>
      </c>
      <c r="B44" s="165" t="s">
        <v>14</v>
      </c>
      <c r="C44" s="215" t="s">
        <v>3509</v>
      </c>
      <c r="D44" s="215" t="s">
        <v>3510</v>
      </c>
      <c r="E44" s="263" t="s">
        <v>3511</v>
      </c>
      <c r="F44" s="233">
        <v>44039.0</v>
      </c>
      <c r="G44" s="220">
        <v>44039.0</v>
      </c>
      <c r="H44" s="209" t="s">
        <v>3512</v>
      </c>
      <c r="I44" s="195" t="s">
        <v>2117</v>
      </c>
      <c r="J44" s="195" t="s">
        <v>2117</v>
      </c>
      <c r="K44" s="210" t="s">
        <v>3513</v>
      </c>
      <c r="L44" s="198"/>
      <c r="M44" s="157"/>
      <c r="N44" s="157"/>
      <c r="O44" s="157"/>
      <c r="P44" s="157"/>
      <c r="Q44" s="157"/>
      <c r="R44" s="157"/>
      <c r="S44" s="157"/>
      <c r="T44" s="157"/>
      <c r="U44" s="157"/>
      <c r="V44" s="157"/>
      <c r="W44" s="157"/>
      <c r="X44" s="157"/>
      <c r="Y44" s="157"/>
      <c r="Z44" s="157"/>
    </row>
    <row r="45" ht="77.25" customHeight="1">
      <c r="A45" s="258">
        <v>8.500000095E9</v>
      </c>
      <c r="B45" s="165" t="s">
        <v>14</v>
      </c>
      <c r="C45" s="215" t="s">
        <v>2114</v>
      </c>
      <c r="D45" s="215" t="s">
        <v>3514</v>
      </c>
      <c r="E45" s="263" t="s">
        <v>2116</v>
      </c>
      <c r="F45" s="233">
        <v>44035.0</v>
      </c>
      <c r="G45" s="220">
        <v>44035.0</v>
      </c>
      <c r="H45" s="220">
        <v>44040.0</v>
      </c>
      <c r="I45" s="195" t="s">
        <v>2117</v>
      </c>
      <c r="J45" s="195" t="s">
        <v>2117</v>
      </c>
      <c r="K45" s="210" t="s">
        <v>3515</v>
      </c>
      <c r="L45" s="198"/>
      <c r="M45" s="157"/>
      <c r="N45" s="157"/>
      <c r="O45" s="157"/>
      <c r="P45" s="157"/>
      <c r="Q45" s="157"/>
      <c r="R45" s="157"/>
      <c r="S45" s="157"/>
      <c r="T45" s="157"/>
      <c r="U45" s="157"/>
      <c r="V45" s="157"/>
      <c r="W45" s="157"/>
      <c r="X45" s="157"/>
      <c r="Y45" s="157"/>
      <c r="Z45" s="157"/>
    </row>
    <row r="46" ht="33.75" customHeight="1">
      <c r="A46" s="258">
        <v>8.600001089E9</v>
      </c>
      <c r="B46" s="165" t="s">
        <v>25</v>
      </c>
      <c r="C46" s="215" t="s">
        <v>3516</v>
      </c>
      <c r="D46" s="215" t="s">
        <v>3517</v>
      </c>
      <c r="E46" s="214" t="s">
        <v>3518</v>
      </c>
      <c r="F46" s="233">
        <v>44034.0</v>
      </c>
      <c r="G46" s="209">
        <v>44032.0</v>
      </c>
      <c r="H46" s="209" t="s">
        <v>3519</v>
      </c>
      <c r="I46" s="195" t="s">
        <v>2117</v>
      </c>
      <c r="J46" s="195" t="s">
        <v>2117</v>
      </c>
      <c r="K46" s="210" t="s">
        <v>3520</v>
      </c>
      <c r="L46" s="198"/>
      <c r="M46" s="157"/>
      <c r="N46" s="157"/>
      <c r="O46" s="157"/>
      <c r="P46" s="157"/>
      <c r="Q46" s="157"/>
      <c r="R46" s="157"/>
      <c r="S46" s="157"/>
      <c r="T46" s="157"/>
      <c r="U46" s="157"/>
      <c r="V46" s="157"/>
      <c r="W46" s="157"/>
      <c r="X46" s="157"/>
      <c r="Y46" s="157"/>
      <c r="Z46" s="157"/>
    </row>
    <row r="47" ht="33.75" customHeight="1">
      <c r="A47" s="258">
        <v>8.600001087E9</v>
      </c>
      <c r="B47" s="165" t="s">
        <v>25</v>
      </c>
      <c r="C47" s="215" t="s">
        <v>3521</v>
      </c>
      <c r="D47" s="215" t="s">
        <v>3522</v>
      </c>
      <c r="E47" s="213" t="s">
        <v>3523</v>
      </c>
      <c r="F47" s="233">
        <v>44034.0</v>
      </c>
      <c r="G47" s="220">
        <v>44032.0</v>
      </c>
      <c r="H47" s="220">
        <v>44046.0</v>
      </c>
      <c r="I47" s="195" t="s">
        <v>2117</v>
      </c>
      <c r="J47" s="195" t="s">
        <v>2117</v>
      </c>
      <c r="K47" s="210" t="s">
        <v>3524</v>
      </c>
      <c r="L47" s="198"/>
      <c r="M47" s="157"/>
      <c r="N47" s="157"/>
      <c r="O47" s="157"/>
      <c r="P47" s="157"/>
      <c r="Q47" s="157"/>
      <c r="R47" s="157"/>
      <c r="S47" s="157"/>
      <c r="T47" s="157"/>
      <c r="U47" s="157"/>
      <c r="V47" s="157"/>
      <c r="W47" s="157"/>
      <c r="X47" s="157"/>
      <c r="Y47" s="157"/>
      <c r="Z47" s="157"/>
    </row>
    <row r="48" ht="33.75" customHeight="1">
      <c r="A48" s="258">
        <v>8.600001086E9</v>
      </c>
      <c r="B48" s="165" t="s">
        <v>21</v>
      </c>
      <c r="C48" s="215" t="s">
        <v>3525</v>
      </c>
      <c r="D48" s="215" t="s">
        <v>3526</v>
      </c>
      <c r="E48" s="210" t="s">
        <v>3527</v>
      </c>
      <c r="F48" s="233">
        <v>44034.0</v>
      </c>
      <c r="G48" s="209">
        <v>44053.0</v>
      </c>
      <c r="H48" s="209">
        <v>44053.0</v>
      </c>
      <c r="I48" s="165" t="s">
        <v>2153</v>
      </c>
      <c r="J48" s="165" t="s">
        <v>2154</v>
      </c>
      <c r="K48" s="210" t="s">
        <v>3528</v>
      </c>
      <c r="L48" s="198"/>
      <c r="M48" s="157"/>
      <c r="N48" s="157"/>
      <c r="O48" s="157"/>
      <c r="P48" s="157"/>
      <c r="Q48" s="157"/>
      <c r="R48" s="157"/>
      <c r="S48" s="157"/>
      <c r="T48" s="157"/>
      <c r="U48" s="157"/>
      <c r="V48" s="157"/>
      <c r="W48" s="157"/>
      <c r="X48" s="157"/>
      <c r="Y48" s="157"/>
      <c r="Z48" s="157"/>
    </row>
    <row r="49" ht="33.75" customHeight="1">
      <c r="A49" s="258">
        <v>8.600001093E9</v>
      </c>
      <c r="B49" s="165" t="s">
        <v>25</v>
      </c>
      <c r="C49" s="215" t="s">
        <v>2253</v>
      </c>
      <c r="D49" s="215" t="s">
        <v>3529</v>
      </c>
      <c r="E49" s="263" t="s">
        <v>3465</v>
      </c>
      <c r="F49" s="233">
        <v>44033.0</v>
      </c>
      <c r="G49" s="220">
        <v>44029.0</v>
      </c>
      <c r="H49" s="220">
        <v>44041.0</v>
      </c>
      <c r="I49" s="195" t="s">
        <v>2117</v>
      </c>
      <c r="J49" s="195" t="s">
        <v>2117</v>
      </c>
      <c r="K49" s="210" t="s">
        <v>3530</v>
      </c>
      <c r="L49" s="198"/>
      <c r="M49" s="157"/>
      <c r="N49" s="157"/>
      <c r="O49" s="157"/>
      <c r="P49" s="157"/>
      <c r="Q49" s="157"/>
      <c r="R49" s="157"/>
      <c r="S49" s="157"/>
      <c r="T49" s="157"/>
      <c r="U49" s="157"/>
      <c r="V49" s="157"/>
      <c r="W49" s="157"/>
      <c r="X49" s="157"/>
      <c r="Y49" s="157"/>
      <c r="Z49" s="157"/>
    </row>
    <row r="50" ht="33.75" customHeight="1">
      <c r="A50" s="258">
        <v>8.600001084E9</v>
      </c>
      <c r="B50" s="165" t="s">
        <v>21</v>
      </c>
      <c r="C50" s="215" t="s">
        <v>2379</v>
      </c>
      <c r="D50" s="215" t="s">
        <v>3531</v>
      </c>
      <c r="E50" s="263" t="s">
        <v>3465</v>
      </c>
      <c r="F50" s="233">
        <v>44023.0</v>
      </c>
      <c r="G50" s="220">
        <v>44020.0</v>
      </c>
      <c r="H50" s="220">
        <v>44028.0</v>
      </c>
      <c r="I50" s="165" t="s">
        <v>2153</v>
      </c>
      <c r="J50" s="165" t="s">
        <v>2154</v>
      </c>
      <c r="K50" s="210" t="s">
        <v>3532</v>
      </c>
      <c r="L50" s="198"/>
      <c r="M50" s="157"/>
      <c r="N50" s="157"/>
      <c r="O50" s="157"/>
      <c r="P50" s="157"/>
      <c r="Q50" s="157"/>
      <c r="R50" s="157"/>
      <c r="S50" s="157"/>
      <c r="T50" s="157"/>
      <c r="U50" s="157"/>
      <c r="V50" s="157"/>
      <c r="W50" s="157"/>
      <c r="X50" s="157"/>
      <c r="Y50" s="157"/>
      <c r="Z50" s="157"/>
    </row>
    <row r="51" ht="33.75" customHeight="1">
      <c r="A51" s="258">
        <v>8.600001053E9</v>
      </c>
      <c r="B51" s="165" t="s">
        <v>21</v>
      </c>
      <c r="C51" s="215" t="s">
        <v>2423</v>
      </c>
      <c r="D51" s="215" t="s">
        <v>3533</v>
      </c>
      <c r="E51" s="214" t="s">
        <v>3534</v>
      </c>
      <c r="F51" s="233">
        <v>44012.0</v>
      </c>
      <c r="G51" s="220">
        <v>44008.0</v>
      </c>
      <c r="H51" s="220" t="s">
        <v>3535</v>
      </c>
      <c r="I51" s="165" t="s">
        <v>2153</v>
      </c>
      <c r="J51" s="165" t="s">
        <v>2154</v>
      </c>
      <c r="K51" s="210" t="s">
        <v>3536</v>
      </c>
      <c r="L51" s="198"/>
      <c r="M51" s="157"/>
      <c r="N51" s="157"/>
      <c r="O51" s="157"/>
      <c r="P51" s="157"/>
      <c r="Q51" s="157"/>
      <c r="R51" s="157"/>
      <c r="S51" s="157"/>
      <c r="T51" s="157"/>
      <c r="U51" s="157"/>
      <c r="V51" s="157"/>
      <c r="W51" s="157"/>
      <c r="X51" s="157"/>
      <c r="Y51" s="157"/>
      <c r="Z51" s="157"/>
    </row>
    <row r="52" ht="40.5" customHeight="1">
      <c r="A52" s="258">
        <v>8.60000105E9</v>
      </c>
      <c r="B52" s="165" t="s">
        <v>14</v>
      </c>
      <c r="C52" s="215" t="s">
        <v>2220</v>
      </c>
      <c r="D52" s="215" t="s">
        <v>3537</v>
      </c>
      <c r="E52" s="207" t="s">
        <v>3465</v>
      </c>
      <c r="F52" s="233">
        <v>44011.0</v>
      </c>
      <c r="G52" s="220">
        <v>44015.0</v>
      </c>
      <c r="H52" s="220">
        <v>44022.0</v>
      </c>
      <c r="I52" s="195" t="s">
        <v>2117</v>
      </c>
      <c r="J52" s="195" t="s">
        <v>2117</v>
      </c>
      <c r="K52" s="210" t="s">
        <v>3538</v>
      </c>
      <c r="L52" s="198"/>
      <c r="M52" s="157"/>
      <c r="N52" s="157"/>
      <c r="O52" s="157"/>
      <c r="P52" s="157"/>
      <c r="Q52" s="157"/>
      <c r="R52" s="157"/>
      <c r="S52" s="157"/>
      <c r="T52" s="157"/>
      <c r="U52" s="157"/>
      <c r="V52" s="157"/>
      <c r="W52" s="157"/>
      <c r="X52" s="157"/>
      <c r="Y52" s="157"/>
      <c r="Z52" s="157"/>
    </row>
    <row r="53" ht="33.75" customHeight="1">
      <c r="A53" s="258">
        <v>8.600001067E9</v>
      </c>
      <c r="B53" s="165" t="s">
        <v>14</v>
      </c>
      <c r="C53" s="215" t="s">
        <v>3539</v>
      </c>
      <c r="D53" s="215" t="s">
        <v>3540</v>
      </c>
      <c r="E53" s="214" t="s">
        <v>3541</v>
      </c>
      <c r="F53" s="233">
        <v>44008.0</v>
      </c>
      <c r="G53" s="220">
        <v>44007.0</v>
      </c>
      <c r="H53" s="220" t="s">
        <v>3542</v>
      </c>
      <c r="I53" s="195" t="s">
        <v>2117</v>
      </c>
      <c r="J53" s="195" t="s">
        <v>2117</v>
      </c>
      <c r="K53" s="210" t="s">
        <v>3543</v>
      </c>
      <c r="L53" s="198"/>
      <c r="M53" s="157"/>
      <c r="N53" s="157"/>
      <c r="O53" s="157"/>
      <c r="P53" s="157"/>
      <c r="Q53" s="157"/>
      <c r="R53" s="157"/>
      <c r="S53" s="157"/>
      <c r="T53" s="157"/>
      <c r="U53" s="157"/>
      <c r="V53" s="157"/>
      <c r="W53" s="157"/>
      <c r="X53" s="157"/>
      <c r="Y53" s="157"/>
      <c r="Z53" s="157"/>
    </row>
    <row r="54" ht="33.75" customHeight="1">
      <c r="A54" s="258">
        <v>8.600001054E9</v>
      </c>
      <c r="B54" s="165" t="s">
        <v>25</v>
      </c>
      <c r="C54" s="215" t="s">
        <v>2301</v>
      </c>
      <c r="D54" s="215" t="s">
        <v>3544</v>
      </c>
      <c r="E54" s="157" t="s">
        <v>3545</v>
      </c>
      <c r="F54" s="233">
        <v>44008.0</v>
      </c>
      <c r="G54" s="220">
        <v>44006.0</v>
      </c>
      <c r="H54" s="220">
        <v>44014.0</v>
      </c>
      <c r="I54" s="195" t="s">
        <v>2117</v>
      </c>
      <c r="J54" s="195" t="s">
        <v>2117</v>
      </c>
      <c r="K54" s="210" t="s">
        <v>3546</v>
      </c>
      <c r="L54" s="198"/>
      <c r="M54" s="157"/>
      <c r="N54" s="157"/>
      <c r="O54" s="157"/>
      <c r="P54" s="157"/>
      <c r="Q54" s="157"/>
      <c r="R54" s="157"/>
      <c r="S54" s="157"/>
      <c r="T54" s="157"/>
      <c r="U54" s="157"/>
      <c r="V54" s="157"/>
      <c r="W54" s="157"/>
      <c r="X54" s="157"/>
      <c r="Y54" s="157"/>
      <c r="Z54" s="157"/>
    </row>
    <row r="55" ht="33.75" customHeight="1">
      <c r="A55" s="258">
        <v>8.600001062E9</v>
      </c>
      <c r="B55" s="165" t="s">
        <v>21</v>
      </c>
      <c r="C55" s="215" t="s">
        <v>2253</v>
      </c>
      <c r="D55" s="215" t="s">
        <v>3547</v>
      </c>
      <c r="E55" s="199" t="s">
        <v>3548</v>
      </c>
      <c r="F55" s="233">
        <v>44007.0</v>
      </c>
      <c r="G55" s="220">
        <v>44004.0</v>
      </c>
      <c r="H55" s="220">
        <v>44012.0</v>
      </c>
      <c r="I55" s="165" t="s">
        <v>2153</v>
      </c>
      <c r="J55" s="165" t="s">
        <v>2154</v>
      </c>
      <c r="K55" s="210" t="s">
        <v>3549</v>
      </c>
      <c r="L55" s="198"/>
      <c r="M55" s="157"/>
      <c r="N55" s="157"/>
      <c r="O55" s="157"/>
      <c r="P55" s="157"/>
      <c r="Q55" s="157"/>
      <c r="R55" s="157"/>
      <c r="S55" s="157"/>
      <c r="T55" s="157"/>
      <c r="U55" s="157"/>
      <c r="V55" s="157"/>
      <c r="W55" s="157"/>
      <c r="X55" s="157"/>
      <c r="Y55" s="157"/>
      <c r="Z55" s="157"/>
    </row>
    <row r="56" ht="33.75" customHeight="1">
      <c r="A56" s="258">
        <v>8.600001043E9</v>
      </c>
      <c r="B56" s="165" t="s">
        <v>21</v>
      </c>
      <c r="C56" s="215" t="s">
        <v>3550</v>
      </c>
      <c r="D56" s="215" t="s">
        <v>3551</v>
      </c>
      <c r="E56" s="213" t="s">
        <v>3552</v>
      </c>
      <c r="F56" s="233">
        <v>44005.0</v>
      </c>
      <c r="G56" s="220">
        <v>44012.0</v>
      </c>
      <c r="H56" s="220">
        <v>44012.0</v>
      </c>
      <c r="I56" s="165" t="s">
        <v>2153</v>
      </c>
      <c r="J56" s="165" t="s">
        <v>2154</v>
      </c>
      <c r="K56" s="210" t="s">
        <v>3553</v>
      </c>
      <c r="L56" s="198"/>
      <c r="M56" s="157"/>
      <c r="N56" s="157"/>
      <c r="O56" s="157"/>
      <c r="P56" s="157"/>
      <c r="Q56" s="157"/>
      <c r="R56" s="157"/>
      <c r="S56" s="157"/>
      <c r="T56" s="157"/>
      <c r="U56" s="157"/>
      <c r="V56" s="157"/>
      <c r="W56" s="157"/>
      <c r="X56" s="157"/>
      <c r="Y56" s="157"/>
      <c r="Z56" s="157"/>
    </row>
    <row r="57" ht="33.75" customHeight="1">
      <c r="A57" s="258">
        <v>8.600001045E9</v>
      </c>
      <c r="B57" s="165" t="s">
        <v>14</v>
      </c>
      <c r="C57" s="215" t="s">
        <v>3521</v>
      </c>
      <c r="D57" s="215" t="s">
        <v>3554</v>
      </c>
      <c r="E57" s="214" t="s">
        <v>3555</v>
      </c>
      <c r="F57" s="233">
        <v>44000.0</v>
      </c>
      <c r="G57" s="220">
        <v>44015.0</v>
      </c>
      <c r="H57" s="220">
        <v>44019.0</v>
      </c>
      <c r="I57" s="195" t="s">
        <v>2117</v>
      </c>
      <c r="J57" s="195" t="s">
        <v>2117</v>
      </c>
      <c r="K57" s="210" t="s">
        <v>3556</v>
      </c>
      <c r="L57" s="198"/>
      <c r="M57" s="157"/>
      <c r="N57" s="157"/>
      <c r="O57" s="157"/>
      <c r="P57" s="157"/>
      <c r="Q57" s="157"/>
      <c r="R57" s="157"/>
      <c r="S57" s="157"/>
      <c r="T57" s="157"/>
      <c r="U57" s="157"/>
      <c r="V57" s="157"/>
      <c r="W57" s="157"/>
      <c r="X57" s="157"/>
      <c r="Y57" s="157"/>
      <c r="Z57" s="157"/>
    </row>
    <row r="58" ht="33.75" customHeight="1">
      <c r="A58" s="258">
        <v>8.500000094E9</v>
      </c>
      <c r="B58" s="165" t="s">
        <v>21</v>
      </c>
      <c r="C58" s="215" t="s">
        <v>2114</v>
      </c>
      <c r="D58" s="215" t="s">
        <v>3557</v>
      </c>
      <c r="E58" s="265" t="s">
        <v>2116</v>
      </c>
      <c r="F58" s="233">
        <v>43996.0</v>
      </c>
      <c r="G58" s="220">
        <v>43992.0</v>
      </c>
      <c r="H58" s="220">
        <v>44004.0</v>
      </c>
      <c r="I58" s="165" t="s">
        <v>2153</v>
      </c>
      <c r="J58" s="165" t="s">
        <v>2154</v>
      </c>
      <c r="K58" s="210" t="s">
        <v>3558</v>
      </c>
      <c r="L58" s="198"/>
      <c r="M58" s="157"/>
      <c r="N58" s="157"/>
      <c r="O58" s="157"/>
      <c r="P58" s="157"/>
      <c r="Q58" s="157"/>
      <c r="R58" s="157"/>
      <c r="S58" s="157"/>
      <c r="T58" s="157"/>
      <c r="U58" s="157"/>
      <c r="V58" s="157"/>
      <c r="W58" s="157"/>
      <c r="X58" s="157"/>
      <c r="Y58" s="157"/>
      <c r="Z58" s="157"/>
    </row>
    <row r="59" ht="33.75" customHeight="1">
      <c r="A59" s="258">
        <v>8.600001038E9</v>
      </c>
      <c r="B59" s="165" t="s">
        <v>14</v>
      </c>
      <c r="C59" s="215" t="s">
        <v>2338</v>
      </c>
      <c r="D59" s="239" t="s">
        <v>3559</v>
      </c>
      <c r="E59" s="207" t="s">
        <v>3560</v>
      </c>
      <c r="F59" s="233">
        <v>43993.0</v>
      </c>
      <c r="G59" s="220">
        <v>43992.0</v>
      </c>
      <c r="H59" s="220" t="s">
        <v>3561</v>
      </c>
      <c r="I59" s="195" t="s">
        <v>2117</v>
      </c>
      <c r="J59" s="195" t="s">
        <v>2117</v>
      </c>
      <c r="K59" s="210" t="s">
        <v>3562</v>
      </c>
      <c r="L59" s="198"/>
      <c r="M59" s="157"/>
      <c r="N59" s="157"/>
      <c r="O59" s="157"/>
      <c r="P59" s="157"/>
      <c r="Q59" s="157"/>
      <c r="R59" s="157"/>
      <c r="S59" s="157"/>
      <c r="T59" s="157"/>
      <c r="U59" s="157"/>
      <c r="V59" s="157"/>
      <c r="W59" s="157"/>
      <c r="X59" s="157"/>
      <c r="Y59" s="157"/>
      <c r="Z59" s="157"/>
    </row>
    <row r="60" ht="33.75" customHeight="1">
      <c r="A60" s="258">
        <v>8.600001047E9</v>
      </c>
      <c r="B60" s="165" t="s">
        <v>25</v>
      </c>
      <c r="C60" s="215" t="s">
        <v>2419</v>
      </c>
      <c r="D60" s="215" t="s">
        <v>3563</v>
      </c>
      <c r="E60" s="213" t="s">
        <v>3564</v>
      </c>
      <c r="F60" s="233">
        <v>43993.0</v>
      </c>
      <c r="G60" s="220">
        <v>43990.0</v>
      </c>
      <c r="H60" s="220">
        <v>43997.0</v>
      </c>
      <c r="I60" s="195" t="s">
        <v>2117</v>
      </c>
      <c r="J60" s="195" t="s">
        <v>2117</v>
      </c>
      <c r="K60" s="210" t="s">
        <v>3565</v>
      </c>
      <c r="L60" s="198"/>
      <c r="M60" s="157"/>
      <c r="N60" s="157"/>
      <c r="O60" s="157"/>
      <c r="P60" s="157"/>
      <c r="Q60" s="157"/>
      <c r="R60" s="157"/>
      <c r="S60" s="157"/>
      <c r="T60" s="157"/>
      <c r="U60" s="157"/>
      <c r="V60" s="157"/>
      <c r="W60" s="157"/>
      <c r="X60" s="157"/>
      <c r="Y60" s="157"/>
      <c r="Z60" s="157"/>
    </row>
    <row r="61" ht="33.75" customHeight="1">
      <c r="A61" s="258">
        <v>8.600001035E9</v>
      </c>
      <c r="B61" s="165" t="s">
        <v>25</v>
      </c>
      <c r="C61" s="215" t="s">
        <v>3521</v>
      </c>
      <c r="D61" s="215" t="s">
        <v>3566</v>
      </c>
      <c r="E61" s="198" t="s">
        <v>3567</v>
      </c>
      <c r="F61" s="233">
        <v>43987.0</v>
      </c>
      <c r="G61" s="220">
        <v>43985.0</v>
      </c>
      <c r="H61" s="220">
        <v>43998.0</v>
      </c>
      <c r="I61" s="195" t="s">
        <v>2117</v>
      </c>
      <c r="J61" s="196" t="s">
        <v>2117</v>
      </c>
      <c r="K61" s="210" t="s">
        <v>3568</v>
      </c>
      <c r="L61" s="198"/>
      <c r="M61" s="157"/>
      <c r="N61" s="157"/>
      <c r="O61" s="157"/>
      <c r="P61" s="157"/>
      <c r="Q61" s="157"/>
      <c r="R61" s="157"/>
      <c r="S61" s="157"/>
      <c r="T61" s="157"/>
      <c r="U61" s="157"/>
      <c r="V61" s="157"/>
      <c r="W61" s="157"/>
      <c r="X61" s="157"/>
      <c r="Y61" s="157"/>
      <c r="Z61" s="157"/>
    </row>
    <row r="62" ht="33.75" customHeight="1">
      <c r="A62" s="258">
        <v>8.600001036E9</v>
      </c>
      <c r="B62" s="165" t="s">
        <v>14</v>
      </c>
      <c r="C62" s="215" t="s">
        <v>3569</v>
      </c>
      <c r="D62" s="215" t="s">
        <v>3570</v>
      </c>
      <c r="E62" s="213" t="s">
        <v>3571</v>
      </c>
      <c r="F62" s="233">
        <v>43979.0</v>
      </c>
      <c r="G62" s="220">
        <v>43983.0</v>
      </c>
      <c r="H62" s="220">
        <v>43985.0</v>
      </c>
      <c r="I62" s="195" t="s">
        <v>2117</v>
      </c>
      <c r="J62" s="195" t="s">
        <v>2117</v>
      </c>
      <c r="K62" s="207" t="s">
        <v>3572</v>
      </c>
      <c r="L62" s="198"/>
      <c r="M62" s="157"/>
      <c r="N62" s="157"/>
      <c r="O62" s="157"/>
      <c r="P62" s="157"/>
      <c r="Q62" s="157"/>
      <c r="R62" s="157"/>
      <c r="S62" s="157"/>
      <c r="T62" s="157"/>
      <c r="U62" s="157"/>
      <c r="V62" s="157"/>
      <c r="W62" s="157"/>
      <c r="X62" s="157"/>
      <c r="Y62" s="157"/>
      <c r="Z62" s="157"/>
    </row>
    <row r="63" ht="33.75" customHeight="1">
      <c r="A63" s="258">
        <v>8.500000093E9</v>
      </c>
      <c r="B63" s="165" t="s">
        <v>14</v>
      </c>
      <c r="C63" s="165" t="s">
        <v>2114</v>
      </c>
      <c r="D63" s="239" t="s">
        <v>3573</v>
      </c>
      <c r="E63" s="265" t="s">
        <v>2116</v>
      </c>
      <c r="F63" s="233">
        <v>43978.0</v>
      </c>
      <c r="G63" s="220">
        <v>43977.0</v>
      </c>
      <c r="H63" s="220">
        <v>43984.0</v>
      </c>
      <c r="I63" s="195" t="s">
        <v>2117</v>
      </c>
      <c r="J63" s="195" t="s">
        <v>2117</v>
      </c>
      <c r="K63" s="210" t="s">
        <v>3574</v>
      </c>
      <c r="L63" s="198"/>
      <c r="M63" s="157"/>
      <c r="N63" s="157"/>
      <c r="O63" s="157"/>
      <c r="P63" s="157"/>
      <c r="Q63" s="157"/>
      <c r="R63" s="157"/>
      <c r="S63" s="157"/>
      <c r="T63" s="157"/>
      <c r="U63" s="157"/>
      <c r="V63" s="157"/>
      <c r="W63" s="157"/>
      <c r="X63" s="157"/>
      <c r="Y63" s="157"/>
      <c r="Z63" s="157"/>
    </row>
    <row r="64" ht="33.75" customHeight="1">
      <c r="A64" s="258">
        <v>8.600001037E9</v>
      </c>
      <c r="B64" s="165" t="s">
        <v>21</v>
      </c>
      <c r="C64" s="215" t="s">
        <v>2156</v>
      </c>
      <c r="D64" s="215" t="s">
        <v>3575</v>
      </c>
      <c r="E64" s="213" t="s">
        <v>3576</v>
      </c>
      <c r="F64" s="233">
        <v>43975.0</v>
      </c>
      <c r="G64" s="220">
        <v>43970.0</v>
      </c>
      <c r="H64" s="220">
        <v>43978.0</v>
      </c>
      <c r="I64" s="165" t="s">
        <v>2153</v>
      </c>
      <c r="J64" s="165" t="s">
        <v>2154</v>
      </c>
      <c r="K64" s="210" t="s">
        <v>3577</v>
      </c>
      <c r="L64" s="198"/>
      <c r="M64" s="157"/>
      <c r="N64" s="157"/>
      <c r="O64" s="157"/>
      <c r="P64" s="157"/>
      <c r="Q64" s="157"/>
      <c r="R64" s="157"/>
      <c r="S64" s="157"/>
      <c r="T64" s="157"/>
      <c r="U64" s="157"/>
      <c r="V64" s="157"/>
      <c r="W64" s="157"/>
      <c r="X64" s="157"/>
      <c r="Y64" s="157"/>
      <c r="Z64" s="157"/>
    </row>
    <row r="65" ht="33.75" customHeight="1">
      <c r="A65" s="258">
        <v>8.600001034E9</v>
      </c>
      <c r="B65" s="165" t="s">
        <v>25</v>
      </c>
      <c r="C65" s="215" t="s">
        <v>3578</v>
      </c>
      <c r="D65" s="215" t="s">
        <v>3579</v>
      </c>
      <c r="E65" s="263" t="s">
        <v>3580</v>
      </c>
      <c r="F65" s="233">
        <v>43963.0</v>
      </c>
      <c r="G65" s="220">
        <v>43959.0</v>
      </c>
      <c r="H65" s="220">
        <v>43971.0</v>
      </c>
      <c r="I65" s="195" t="s">
        <v>2117</v>
      </c>
      <c r="J65" s="195" t="s">
        <v>2117</v>
      </c>
      <c r="K65" s="210" t="s">
        <v>3581</v>
      </c>
      <c r="L65" s="198"/>
      <c r="M65" s="157"/>
      <c r="N65" s="157"/>
      <c r="O65" s="157"/>
      <c r="P65" s="157"/>
      <c r="Q65" s="157"/>
      <c r="R65" s="157"/>
      <c r="S65" s="157"/>
      <c r="T65" s="157"/>
      <c r="U65" s="157"/>
      <c r="V65" s="157"/>
      <c r="W65" s="157"/>
      <c r="X65" s="157"/>
      <c r="Y65" s="157"/>
      <c r="Z65" s="157"/>
    </row>
    <row r="66" ht="33.75" customHeight="1">
      <c r="A66" s="258">
        <v>8.500000092E9</v>
      </c>
      <c r="B66" s="165" t="s">
        <v>14</v>
      </c>
      <c r="C66" s="215" t="s">
        <v>2114</v>
      </c>
      <c r="D66" s="215" t="s">
        <v>3582</v>
      </c>
      <c r="E66" s="266" t="s">
        <v>2116</v>
      </c>
      <c r="F66" s="233">
        <v>43959.0</v>
      </c>
      <c r="G66" s="220">
        <v>43957.0</v>
      </c>
      <c r="H66" s="220">
        <v>43965.0</v>
      </c>
      <c r="I66" s="195" t="s">
        <v>2117</v>
      </c>
      <c r="J66" s="196" t="s">
        <v>2117</v>
      </c>
      <c r="K66" s="252" t="s">
        <v>3583</v>
      </c>
      <c r="L66" s="198"/>
      <c r="M66" s="157"/>
      <c r="N66" s="157"/>
      <c r="O66" s="157"/>
      <c r="P66" s="157"/>
      <c r="Q66" s="157"/>
      <c r="R66" s="157"/>
      <c r="S66" s="157"/>
      <c r="T66" s="157"/>
      <c r="U66" s="157"/>
      <c r="V66" s="157"/>
      <c r="W66" s="157"/>
      <c r="X66" s="157"/>
      <c r="Y66" s="157"/>
      <c r="Z66" s="157"/>
    </row>
    <row r="67" ht="33.75" customHeight="1">
      <c r="A67" s="258">
        <v>8.600001018E9</v>
      </c>
      <c r="B67" s="165" t="s">
        <v>14</v>
      </c>
      <c r="C67" s="165" t="s">
        <v>2338</v>
      </c>
      <c r="D67" s="215" t="s">
        <v>3584</v>
      </c>
      <c r="E67" s="213" t="s">
        <v>3585</v>
      </c>
      <c r="F67" s="233">
        <v>43958.0</v>
      </c>
      <c r="G67" s="209">
        <v>43956.0</v>
      </c>
      <c r="H67" s="209" t="s">
        <v>3586</v>
      </c>
      <c r="I67" s="195" t="s">
        <v>2117</v>
      </c>
      <c r="J67" s="196" t="s">
        <v>2117</v>
      </c>
      <c r="K67" s="210" t="s">
        <v>3587</v>
      </c>
      <c r="L67" s="198"/>
      <c r="M67" s="157"/>
      <c r="N67" s="157"/>
      <c r="O67" s="157"/>
      <c r="P67" s="157"/>
      <c r="Q67" s="157"/>
      <c r="R67" s="157"/>
      <c r="S67" s="157"/>
      <c r="T67" s="157"/>
      <c r="U67" s="157"/>
      <c r="V67" s="157"/>
      <c r="W67" s="157"/>
      <c r="X67" s="157"/>
      <c r="Y67" s="157"/>
      <c r="Z67" s="157"/>
    </row>
    <row r="68" ht="33.75" customHeight="1">
      <c r="A68" s="258">
        <v>8.60000101E9</v>
      </c>
      <c r="B68" s="165" t="s">
        <v>21</v>
      </c>
      <c r="C68" s="165" t="s">
        <v>2225</v>
      </c>
      <c r="D68" s="215" t="s">
        <v>3588</v>
      </c>
      <c r="E68" s="207" t="s">
        <v>3589</v>
      </c>
      <c r="F68" s="233">
        <v>43953.0</v>
      </c>
      <c r="G68" s="220">
        <v>43950.0</v>
      </c>
      <c r="H68" s="209">
        <v>43956.0</v>
      </c>
      <c r="I68" s="165" t="s">
        <v>2153</v>
      </c>
      <c r="J68" s="267" t="s">
        <v>2154</v>
      </c>
      <c r="K68" s="210" t="s">
        <v>3590</v>
      </c>
      <c r="L68" s="198"/>
      <c r="M68" s="157"/>
      <c r="N68" s="157"/>
      <c r="O68" s="157"/>
      <c r="P68" s="157"/>
      <c r="Q68" s="157"/>
      <c r="R68" s="157"/>
      <c r="S68" s="157"/>
      <c r="T68" s="157"/>
      <c r="U68" s="157"/>
      <c r="V68" s="157"/>
      <c r="W68" s="157"/>
      <c r="X68" s="157"/>
      <c r="Y68" s="157"/>
      <c r="Z68" s="157"/>
    </row>
    <row r="69" ht="33.75" customHeight="1">
      <c r="A69" s="258">
        <v>8.600000994E9</v>
      </c>
      <c r="B69" s="165" t="s">
        <v>21</v>
      </c>
      <c r="C69" s="165" t="s">
        <v>2237</v>
      </c>
      <c r="D69" s="215" t="s">
        <v>3591</v>
      </c>
      <c r="E69" s="198" t="s">
        <v>3592</v>
      </c>
      <c r="F69" s="233">
        <v>43949.0</v>
      </c>
      <c r="G69" s="220">
        <v>43962.0</v>
      </c>
      <c r="H69" s="249">
        <v>43962.0</v>
      </c>
      <c r="I69" s="165" t="s">
        <v>2153</v>
      </c>
      <c r="J69" s="165" t="s">
        <v>2154</v>
      </c>
      <c r="K69" s="210" t="s">
        <v>3593</v>
      </c>
      <c r="L69" s="198"/>
      <c r="M69" s="157"/>
      <c r="N69" s="157"/>
      <c r="O69" s="157"/>
      <c r="P69" s="157"/>
      <c r="Q69" s="157"/>
      <c r="R69" s="157"/>
      <c r="S69" s="157"/>
      <c r="T69" s="157"/>
      <c r="U69" s="157"/>
      <c r="V69" s="157"/>
      <c r="W69" s="157"/>
      <c r="X69" s="157"/>
      <c r="Y69" s="157"/>
      <c r="Z69" s="157"/>
    </row>
    <row r="70" ht="33.75" customHeight="1">
      <c r="A70" s="258">
        <v>8.600001011E9</v>
      </c>
      <c r="B70" s="165" t="s">
        <v>25</v>
      </c>
      <c r="C70" s="165" t="s">
        <v>2293</v>
      </c>
      <c r="D70" s="215" t="s">
        <v>3594</v>
      </c>
      <c r="E70" s="207" t="s">
        <v>3595</v>
      </c>
      <c r="F70" s="233">
        <v>43947.0</v>
      </c>
      <c r="G70" s="209">
        <v>43943.0</v>
      </c>
      <c r="H70" s="209" t="s">
        <v>3596</v>
      </c>
      <c r="I70" s="195" t="s">
        <v>2117</v>
      </c>
      <c r="J70" s="195" t="s">
        <v>2117</v>
      </c>
      <c r="K70" s="210" t="s">
        <v>3597</v>
      </c>
      <c r="L70" s="198"/>
      <c r="M70" s="157"/>
      <c r="N70" s="157"/>
      <c r="O70" s="157"/>
      <c r="P70" s="157"/>
      <c r="Q70" s="157"/>
      <c r="R70" s="157"/>
      <c r="S70" s="157"/>
      <c r="T70" s="157"/>
      <c r="U70" s="157"/>
      <c r="V70" s="157"/>
      <c r="W70" s="157"/>
      <c r="X70" s="157"/>
      <c r="Y70" s="157"/>
      <c r="Z70" s="157"/>
    </row>
    <row r="71" ht="33.75" customHeight="1">
      <c r="A71" s="258">
        <v>8.600001006E9</v>
      </c>
      <c r="B71" s="165" t="s">
        <v>14</v>
      </c>
      <c r="C71" s="165" t="s">
        <v>3598</v>
      </c>
      <c r="D71" s="215" t="s">
        <v>3599</v>
      </c>
      <c r="E71" s="198" t="s">
        <v>3600</v>
      </c>
      <c r="F71" s="233">
        <v>43946.0</v>
      </c>
      <c r="G71" s="209">
        <v>43942.0</v>
      </c>
      <c r="H71" s="209" t="s">
        <v>3601</v>
      </c>
      <c r="I71" s="195" t="s">
        <v>2117</v>
      </c>
      <c r="J71" s="195" t="s">
        <v>2117</v>
      </c>
      <c r="K71" s="210" t="s">
        <v>3602</v>
      </c>
      <c r="L71" s="198"/>
      <c r="M71" s="157"/>
      <c r="N71" s="157"/>
      <c r="O71" s="157"/>
      <c r="P71" s="157"/>
      <c r="Q71" s="157"/>
      <c r="R71" s="157"/>
      <c r="S71" s="157"/>
      <c r="T71" s="157"/>
      <c r="U71" s="157"/>
      <c r="V71" s="157"/>
      <c r="W71" s="157"/>
      <c r="X71" s="157"/>
      <c r="Y71" s="157"/>
      <c r="Z71" s="157"/>
    </row>
    <row r="72" ht="33.75" customHeight="1">
      <c r="A72" s="258">
        <v>8.600000983E9</v>
      </c>
      <c r="B72" s="165" t="s">
        <v>14</v>
      </c>
      <c r="C72" s="165" t="s">
        <v>3603</v>
      </c>
      <c r="D72" s="215" t="s">
        <v>3604</v>
      </c>
      <c r="E72" s="207" t="s">
        <v>3605</v>
      </c>
      <c r="F72" s="233">
        <v>43939.0</v>
      </c>
      <c r="G72" s="209">
        <v>43936.0</v>
      </c>
      <c r="H72" s="209" t="s">
        <v>3606</v>
      </c>
      <c r="I72" s="195" t="s">
        <v>2117</v>
      </c>
      <c r="J72" s="195" t="s">
        <v>2117</v>
      </c>
      <c r="K72" s="210" t="s">
        <v>3607</v>
      </c>
      <c r="L72" s="198"/>
      <c r="M72" s="157"/>
      <c r="N72" s="157"/>
      <c r="O72" s="157"/>
      <c r="P72" s="157"/>
      <c r="Q72" s="157"/>
      <c r="R72" s="157"/>
      <c r="S72" s="157"/>
      <c r="T72" s="157"/>
      <c r="U72" s="157"/>
      <c r="V72" s="157"/>
      <c r="W72" s="157"/>
      <c r="X72" s="157"/>
      <c r="Y72" s="157"/>
      <c r="Z72" s="157"/>
    </row>
    <row r="73" ht="33.75" customHeight="1">
      <c r="A73" s="258">
        <v>8.600000998E9</v>
      </c>
      <c r="B73" s="165" t="s">
        <v>14</v>
      </c>
      <c r="C73" s="165" t="s">
        <v>2419</v>
      </c>
      <c r="D73" s="215" t="s">
        <v>3608</v>
      </c>
      <c r="E73" s="207" t="s">
        <v>3609</v>
      </c>
      <c r="F73" s="233">
        <v>43938.0</v>
      </c>
      <c r="G73" s="220">
        <v>43935.0</v>
      </c>
      <c r="H73" s="220">
        <v>43942.0</v>
      </c>
      <c r="I73" s="195" t="s">
        <v>2117</v>
      </c>
      <c r="J73" s="195" t="s">
        <v>2117</v>
      </c>
      <c r="K73" s="210" t="s">
        <v>3610</v>
      </c>
      <c r="L73" s="198"/>
      <c r="M73" s="157"/>
      <c r="N73" s="157"/>
      <c r="O73" s="157"/>
      <c r="P73" s="157"/>
      <c r="Q73" s="157"/>
      <c r="R73" s="157"/>
      <c r="S73" s="157"/>
      <c r="T73" s="157"/>
      <c r="U73" s="157"/>
      <c r="V73" s="157"/>
      <c r="W73" s="157"/>
      <c r="X73" s="157"/>
      <c r="Y73" s="157"/>
      <c r="Z73" s="157"/>
    </row>
    <row r="74" ht="33.75" customHeight="1">
      <c r="A74" s="258">
        <v>8.600001004E9</v>
      </c>
      <c r="B74" s="165" t="s">
        <v>21</v>
      </c>
      <c r="C74" s="165" t="s">
        <v>2343</v>
      </c>
      <c r="D74" s="215" t="s">
        <v>3611</v>
      </c>
      <c r="E74" s="198" t="s">
        <v>3612</v>
      </c>
      <c r="F74" s="233">
        <v>43931.0</v>
      </c>
      <c r="G74" s="220">
        <v>43928.0</v>
      </c>
      <c r="H74" s="220">
        <v>43936.0</v>
      </c>
      <c r="I74" s="165" t="s">
        <v>2153</v>
      </c>
      <c r="J74" s="165" t="s">
        <v>2154</v>
      </c>
      <c r="K74" s="210" t="s">
        <v>3613</v>
      </c>
      <c r="L74" s="198"/>
      <c r="M74" s="157"/>
      <c r="N74" s="157"/>
      <c r="O74" s="157"/>
      <c r="P74" s="157"/>
      <c r="Q74" s="157"/>
      <c r="R74" s="157"/>
      <c r="S74" s="157"/>
      <c r="T74" s="157"/>
      <c r="U74" s="157"/>
      <c r="V74" s="157"/>
      <c r="W74" s="157"/>
      <c r="X74" s="157"/>
      <c r="Y74" s="157"/>
      <c r="Z74" s="157"/>
    </row>
    <row r="75" ht="33.75" customHeight="1">
      <c r="A75" s="190" t="str">
        <f>HYPERLINK("https://drive.google.com/open?id=1K734Qo1jyrBW1HtPSO1w4LvX9udOQacX","8600001001")</f>
        <v>8600001001</v>
      </c>
      <c r="B75" s="165" t="s">
        <v>25</v>
      </c>
      <c r="C75" s="165" t="s">
        <v>2145</v>
      </c>
      <c r="D75" s="215" t="s">
        <v>3614</v>
      </c>
      <c r="E75" s="213" t="s">
        <v>3615</v>
      </c>
      <c r="F75" s="233">
        <v>43930.0</v>
      </c>
      <c r="G75" s="220">
        <v>43921.0</v>
      </c>
      <c r="H75" s="220">
        <v>43931.0</v>
      </c>
      <c r="I75" s="195" t="s">
        <v>2117</v>
      </c>
      <c r="J75" s="195" t="s">
        <v>2117</v>
      </c>
      <c r="K75" s="210" t="s">
        <v>3616</v>
      </c>
      <c r="L75" s="198"/>
      <c r="M75" s="157"/>
      <c r="N75" s="157"/>
      <c r="O75" s="157"/>
      <c r="P75" s="157"/>
      <c r="Q75" s="157"/>
      <c r="R75" s="157"/>
      <c r="S75" s="157"/>
      <c r="T75" s="157"/>
      <c r="U75" s="157"/>
      <c r="V75" s="157"/>
      <c r="W75" s="157"/>
      <c r="X75" s="157"/>
      <c r="Y75" s="157"/>
      <c r="Z75" s="157"/>
    </row>
    <row r="76" ht="33.75" customHeight="1">
      <c r="A76" s="190" t="str">
        <f>HYPERLINK("https://drive.google.com/open?id=1jCJpDelRQyaKftFCny10wRuDPLLgJDwK","8600000974")</f>
        <v>8600000974</v>
      </c>
      <c r="B76" s="165" t="s">
        <v>21</v>
      </c>
      <c r="C76" s="165" t="s">
        <v>3390</v>
      </c>
      <c r="D76" s="215" t="s">
        <v>3617</v>
      </c>
      <c r="E76" s="207" t="s">
        <v>3618</v>
      </c>
      <c r="F76" s="233">
        <v>43922.0</v>
      </c>
      <c r="G76" s="220">
        <v>43921.0</v>
      </c>
      <c r="H76" s="220">
        <v>43927.0</v>
      </c>
      <c r="I76" s="165" t="s">
        <v>2153</v>
      </c>
      <c r="J76" s="165" t="s">
        <v>2154</v>
      </c>
      <c r="K76" s="210" t="s">
        <v>3619</v>
      </c>
      <c r="L76" s="157"/>
      <c r="M76" s="157"/>
      <c r="N76" s="157"/>
      <c r="O76" s="157"/>
      <c r="P76" s="157"/>
      <c r="Q76" s="157"/>
      <c r="R76" s="157"/>
      <c r="S76" s="157"/>
      <c r="T76" s="157"/>
      <c r="U76" s="157"/>
      <c r="V76" s="157"/>
      <c r="W76" s="157"/>
      <c r="X76" s="157"/>
      <c r="Y76" s="157"/>
      <c r="Z76" s="157"/>
    </row>
    <row r="77" ht="33.75" customHeight="1">
      <c r="A77" s="190" t="str">
        <f>HYPERLINK("https://drive.google.com/open?id=1fNlgMudF7EfF9a1d0SSPt7EfLGS3HB5v","8500000090")</f>
        <v>8500000090</v>
      </c>
      <c r="B77" s="165" t="s">
        <v>21</v>
      </c>
      <c r="C77" s="165" t="s">
        <v>3620</v>
      </c>
      <c r="D77" s="215" t="s">
        <v>3621</v>
      </c>
      <c r="E77" s="213" t="s">
        <v>2133</v>
      </c>
      <c r="F77" s="233">
        <v>43920.0</v>
      </c>
      <c r="G77" s="220">
        <v>43920.0</v>
      </c>
      <c r="H77" s="220">
        <v>43924.0</v>
      </c>
      <c r="I77" s="165" t="s">
        <v>2153</v>
      </c>
      <c r="J77" s="165" t="s">
        <v>2154</v>
      </c>
      <c r="K77" s="210" t="s">
        <v>3622</v>
      </c>
      <c r="L77" s="198"/>
      <c r="M77" s="157"/>
      <c r="N77" s="157"/>
      <c r="O77" s="157"/>
      <c r="P77" s="157"/>
      <c r="Q77" s="157"/>
      <c r="R77" s="157"/>
      <c r="S77" s="157"/>
      <c r="T77" s="157"/>
      <c r="U77" s="157"/>
      <c r="V77" s="157"/>
      <c r="W77" s="157"/>
      <c r="X77" s="157"/>
      <c r="Y77" s="157"/>
      <c r="Z77" s="157"/>
    </row>
    <row r="78" ht="36.75" customHeight="1">
      <c r="A78" s="190" t="str">
        <f>HYPERLINK("https://drive.google.com/open?id=1i-hiCkO8ySye9_zAxMjWzYMfuXBVEVTU","8600000977")</f>
        <v>8600000977</v>
      </c>
      <c r="B78" s="191" t="s">
        <v>25</v>
      </c>
      <c r="C78" s="165" t="s">
        <v>2338</v>
      </c>
      <c r="D78" s="215" t="s">
        <v>3623</v>
      </c>
      <c r="E78" s="213" t="s">
        <v>3624</v>
      </c>
      <c r="F78" s="216">
        <v>43917.0</v>
      </c>
      <c r="G78" s="209">
        <v>43916.0</v>
      </c>
      <c r="H78" s="209">
        <v>43924.0</v>
      </c>
      <c r="I78" s="195" t="s">
        <v>2117</v>
      </c>
      <c r="J78" s="195" t="s">
        <v>2117</v>
      </c>
      <c r="K78" s="210" t="s">
        <v>3625</v>
      </c>
      <c r="L78" s="198"/>
      <c r="M78" s="157"/>
      <c r="N78" s="157"/>
      <c r="O78" s="157"/>
      <c r="P78" s="157"/>
      <c r="Q78" s="157"/>
      <c r="R78" s="157"/>
      <c r="S78" s="157"/>
      <c r="T78" s="157"/>
      <c r="U78" s="157"/>
      <c r="V78" s="157"/>
      <c r="W78" s="157"/>
      <c r="X78" s="157"/>
      <c r="Y78" s="157"/>
      <c r="Z78" s="157"/>
    </row>
    <row r="79" ht="36.0" customHeight="1">
      <c r="A79" s="190" t="str">
        <f>HYPERLINK("https://drive.google.com/open?id=1TyERaZXkugo44cLjtoeJwTfjDVnNPTh2","8600000963")</f>
        <v>8600000963</v>
      </c>
      <c r="B79" s="165" t="s">
        <v>21</v>
      </c>
      <c r="C79" s="165" t="s">
        <v>3380</v>
      </c>
      <c r="D79" s="215" t="s">
        <v>3626</v>
      </c>
      <c r="E79" s="263" t="s">
        <v>3627</v>
      </c>
      <c r="F79" s="233">
        <v>43913.0</v>
      </c>
      <c r="G79" s="268">
        <v>43922.0</v>
      </c>
      <c r="H79" s="220">
        <v>43922.0</v>
      </c>
      <c r="I79" s="165" t="s">
        <v>2153</v>
      </c>
      <c r="J79" s="165" t="s">
        <v>2154</v>
      </c>
      <c r="K79" s="210" t="s">
        <v>3628</v>
      </c>
      <c r="L79" s="198"/>
      <c r="M79" s="157"/>
      <c r="N79" s="157"/>
      <c r="O79" s="157"/>
      <c r="P79" s="157"/>
      <c r="Q79" s="157"/>
      <c r="R79" s="157"/>
      <c r="S79" s="157"/>
      <c r="T79" s="157"/>
      <c r="U79" s="157"/>
      <c r="V79" s="157"/>
      <c r="W79" s="157"/>
      <c r="X79" s="157"/>
      <c r="Y79" s="157"/>
      <c r="Z79" s="157"/>
    </row>
    <row r="80" ht="34.5" customHeight="1">
      <c r="A80" s="190" t="str">
        <f>HYPERLINK("https://drive.google.com/open?id=1GZBnozlysrlpJXVyI1iCHksLdYfZF_F1","8600000965")</f>
        <v>8600000965</v>
      </c>
      <c r="B80" s="165" t="s">
        <v>14</v>
      </c>
      <c r="C80" s="161" t="s">
        <v>3629</v>
      </c>
      <c r="D80" s="215" t="s">
        <v>3630</v>
      </c>
      <c r="E80" s="265" t="s">
        <v>3631</v>
      </c>
      <c r="F80" s="233">
        <v>43910.0</v>
      </c>
      <c r="G80" s="249">
        <v>43907.0</v>
      </c>
      <c r="H80" s="220" t="s">
        <v>3632</v>
      </c>
      <c r="I80" s="195" t="s">
        <v>2117</v>
      </c>
      <c r="J80" s="195" t="s">
        <v>2117</v>
      </c>
      <c r="K80" s="210" t="s">
        <v>3633</v>
      </c>
      <c r="L80" s="198"/>
      <c r="M80" s="157"/>
      <c r="N80" s="157"/>
      <c r="O80" s="157"/>
      <c r="P80" s="157"/>
      <c r="Q80" s="157"/>
      <c r="R80" s="157"/>
      <c r="S80" s="157"/>
      <c r="T80" s="157"/>
      <c r="U80" s="157"/>
      <c r="V80" s="157"/>
      <c r="W80" s="157"/>
      <c r="X80" s="157"/>
      <c r="Y80" s="157"/>
      <c r="Z80" s="157"/>
    </row>
    <row r="81" ht="40.5" customHeight="1">
      <c r="A81" s="190" t="str">
        <f>HYPERLINK("https://drive.google.com/open?id=161HXhJkF7h4lWIRwUuijKrtWkW0g2lil","8600000979")</f>
        <v>8600000979</v>
      </c>
      <c r="B81" s="191" t="s">
        <v>25</v>
      </c>
      <c r="C81" s="165" t="s">
        <v>2379</v>
      </c>
      <c r="D81" s="215" t="s">
        <v>3634</v>
      </c>
      <c r="E81" s="198" t="s">
        <v>3635</v>
      </c>
      <c r="F81" s="233">
        <v>43910.0</v>
      </c>
      <c r="G81" s="220">
        <v>43909.0</v>
      </c>
      <c r="H81" s="220">
        <v>43914.0</v>
      </c>
      <c r="I81" s="195" t="s">
        <v>2117</v>
      </c>
      <c r="J81" s="195" t="s">
        <v>2117</v>
      </c>
      <c r="K81" s="210" t="s">
        <v>3636</v>
      </c>
      <c r="L81" s="198"/>
      <c r="M81" s="157"/>
      <c r="N81" s="157"/>
      <c r="O81" s="157"/>
      <c r="P81" s="157"/>
      <c r="Q81" s="157"/>
      <c r="R81" s="157"/>
      <c r="S81" s="157"/>
      <c r="T81" s="157"/>
      <c r="U81" s="157"/>
      <c r="V81" s="157"/>
      <c r="W81" s="157"/>
      <c r="X81" s="157"/>
      <c r="Y81" s="157"/>
      <c r="Z81" s="157"/>
    </row>
    <row r="82" ht="33.75" customHeight="1">
      <c r="A82" s="190" t="str">
        <f>HYPERLINK("https://drive.google.com/open?id=1Z7-oJqLoB0LI51afw4nmqASJ--XB9ujV","8600000966")</f>
        <v>8600000966</v>
      </c>
      <c r="B82" s="165" t="s">
        <v>14</v>
      </c>
      <c r="C82" s="165" t="s">
        <v>3412</v>
      </c>
      <c r="D82" s="215" t="s">
        <v>3637</v>
      </c>
      <c r="E82" s="265" t="s">
        <v>3638</v>
      </c>
      <c r="F82" s="233">
        <v>43909.0</v>
      </c>
      <c r="G82" s="209">
        <v>43907.0</v>
      </c>
      <c r="H82" s="209">
        <v>43915.0</v>
      </c>
      <c r="I82" s="195" t="s">
        <v>2117</v>
      </c>
      <c r="J82" s="195" t="s">
        <v>2117</v>
      </c>
      <c r="K82" s="210" t="s">
        <v>3639</v>
      </c>
      <c r="L82" s="198"/>
      <c r="M82" s="157"/>
      <c r="N82" s="157"/>
      <c r="O82" s="157"/>
      <c r="P82" s="157"/>
      <c r="Q82" s="157"/>
      <c r="R82" s="157"/>
      <c r="S82" s="157"/>
      <c r="T82" s="157"/>
      <c r="U82" s="157"/>
      <c r="V82" s="157"/>
      <c r="W82" s="157"/>
      <c r="X82" s="157"/>
      <c r="Y82" s="157"/>
      <c r="Z82" s="157"/>
    </row>
    <row r="83" ht="33.75" customHeight="1">
      <c r="A83" s="190" t="str">
        <f>HYPERLINK("https://drive.google.com/open?id=1kwkHnavwQTxzcTwT28I6s34PagtXZGHK","8600000969")</f>
        <v>8600000969</v>
      </c>
      <c r="B83" s="165" t="s">
        <v>21</v>
      </c>
      <c r="C83" s="165" t="s">
        <v>3620</v>
      </c>
      <c r="D83" s="215" t="s">
        <v>3640</v>
      </c>
      <c r="E83" s="263" t="s">
        <v>3641</v>
      </c>
      <c r="F83" s="216">
        <v>43909.0</v>
      </c>
      <c r="G83" s="209">
        <v>43914.0</v>
      </c>
      <c r="H83" s="209">
        <v>43914.0</v>
      </c>
      <c r="I83" s="165" t="s">
        <v>2153</v>
      </c>
      <c r="J83" s="165" t="s">
        <v>2154</v>
      </c>
      <c r="K83" s="210" t="s">
        <v>3642</v>
      </c>
      <c r="L83" s="198"/>
      <c r="M83" s="157"/>
      <c r="N83" s="157"/>
      <c r="O83" s="157"/>
      <c r="P83" s="157"/>
      <c r="Q83" s="157"/>
      <c r="R83" s="157"/>
      <c r="S83" s="157"/>
      <c r="T83" s="157"/>
      <c r="U83" s="157"/>
      <c r="V83" s="157"/>
      <c r="W83" s="157"/>
      <c r="X83" s="157"/>
      <c r="Y83" s="157"/>
      <c r="Z83" s="157"/>
    </row>
    <row r="84" ht="32.25" customHeight="1">
      <c r="A84" s="190" t="str">
        <f>HYPERLINK("https://drive.google.com/open?id=1H3JNnSuAAFbGTDEfr7vyL3d7kehgZS0k","8500000088")</f>
        <v>8500000088</v>
      </c>
      <c r="B84" s="165" t="s">
        <v>21</v>
      </c>
      <c r="C84" s="165" t="s">
        <v>3643</v>
      </c>
      <c r="D84" s="215" t="s">
        <v>3644</v>
      </c>
      <c r="E84" s="242" t="s">
        <v>2133</v>
      </c>
      <c r="F84" s="209">
        <v>43899.0</v>
      </c>
      <c r="G84" s="209">
        <v>43895.0</v>
      </c>
      <c r="H84" s="209">
        <v>43902.0</v>
      </c>
      <c r="I84" s="165" t="s">
        <v>2153</v>
      </c>
      <c r="J84" s="165" t="s">
        <v>2154</v>
      </c>
      <c r="K84" s="210" t="s">
        <v>3645</v>
      </c>
      <c r="L84" s="198"/>
      <c r="M84" s="157"/>
      <c r="N84" s="157"/>
      <c r="O84" s="157"/>
      <c r="P84" s="157"/>
      <c r="Q84" s="157"/>
      <c r="R84" s="157"/>
      <c r="S84" s="157"/>
      <c r="T84" s="157"/>
      <c r="U84" s="157"/>
      <c r="V84" s="157"/>
      <c r="W84" s="157"/>
      <c r="X84" s="157"/>
      <c r="Y84" s="157"/>
      <c r="Z84" s="157"/>
    </row>
    <row r="85" ht="12.75" customHeight="1">
      <c r="A85" s="190" t="str">
        <f>HYPERLINK("https://drive.google.com/open?id=1tgFdPWkB5rxjJ4Qwu0b0_EjbIrsHXTaG","8500000089")</f>
        <v>8500000089</v>
      </c>
      <c r="B85" s="165" t="s">
        <v>21</v>
      </c>
      <c r="C85" s="191" t="s">
        <v>3646</v>
      </c>
      <c r="D85" s="215" t="s">
        <v>3647</v>
      </c>
      <c r="E85" s="263" t="s">
        <v>3648</v>
      </c>
      <c r="F85" s="233">
        <v>43894.0</v>
      </c>
      <c r="G85" s="209">
        <v>43892.0</v>
      </c>
      <c r="H85" s="220">
        <v>43900.0</v>
      </c>
      <c r="I85" s="165" t="s">
        <v>2153</v>
      </c>
      <c r="J85" s="165" t="s">
        <v>2154</v>
      </c>
      <c r="K85" s="210" t="s">
        <v>3649</v>
      </c>
      <c r="L85" s="198"/>
      <c r="M85" s="157"/>
      <c r="N85" s="157"/>
      <c r="O85" s="157"/>
      <c r="P85" s="157"/>
      <c r="Q85" s="157"/>
      <c r="R85" s="157"/>
      <c r="S85" s="157"/>
      <c r="T85" s="157"/>
      <c r="U85" s="157"/>
      <c r="V85" s="157"/>
      <c r="W85" s="157"/>
      <c r="X85" s="157"/>
      <c r="Y85" s="157"/>
      <c r="Z85" s="157"/>
    </row>
    <row r="86" ht="33.75" customHeight="1">
      <c r="A86" s="190" t="str">
        <f>HYPERLINK("https://drive.google.com/open?id=1yRaZbh2-gIIJtVowU7kBWwIFJEDheOVM","8600000937")</f>
        <v>8600000937</v>
      </c>
      <c r="B86" s="191" t="s">
        <v>14</v>
      </c>
      <c r="C86" s="165" t="s">
        <v>3650</v>
      </c>
      <c r="D86" s="165" t="s">
        <v>3651</v>
      </c>
      <c r="E86" s="213" t="s">
        <v>3652</v>
      </c>
      <c r="F86" s="233">
        <v>43891.0</v>
      </c>
      <c r="G86" s="220">
        <v>43893.0</v>
      </c>
      <c r="H86" s="220">
        <v>43896.0</v>
      </c>
      <c r="I86" s="195" t="s">
        <v>2117</v>
      </c>
      <c r="J86" s="195" t="s">
        <v>2117</v>
      </c>
      <c r="K86" s="210" t="s">
        <v>3653</v>
      </c>
      <c r="L86" s="198"/>
      <c r="M86" s="157"/>
      <c r="N86" s="157"/>
      <c r="O86" s="157"/>
      <c r="P86" s="157"/>
      <c r="Q86" s="157"/>
      <c r="R86" s="157"/>
      <c r="S86" s="157"/>
      <c r="T86" s="157"/>
      <c r="U86" s="157"/>
      <c r="V86" s="157"/>
      <c r="W86" s="157"/>
      <c r="X86" s="157"/>
      <c r="Y86" s="157"/>
      <c r="Z86" s="157"/>
    </row>
    <row r="87" ht="33.75" customHeight="1">
      <c r="A87" s="190" t="str">
        <f>HYPERLINK("https://drive.google.com/open?id=1yWgadclH7WIQdnBLvEBgrf9mn0G3wkAn","8600000932")</f>
        <v>8600000932</v>
      </c>
      <c r="B87" s="191" t="s">
        <v>21</v>
      </c>
      <c r="C87" s="165" t="s">
        <v>2127</v>
      </c>
      <c r="D87" s="215" t="s">
        <v>3654</v>
      </c>
      <c r="E87" s="213" t="s">
        <v>3655</v>
      </c>
      <c r="F87" s="233">
        <v>43886.0</v>
      </c>
      <c r="G87" s="209">
        <v>43888.0</v>
      </c>
      <c r="H87" s="209">
        <v>43889.0</v>
      </c>
      <c r="I87" s="165" t="s">
        <v>2153</v>
      </c>
      <c r="J87" s="267" t="s">
        <v>2154</v>
      </c>
      <c r="K87" s="207" t="s">
        <v>3656</v>
      </c>
      <c r="L87" s="157"/>
      <c r="M87" s="157"/>
      <c r="N87" s="157"/>
      <c r="O87" s="157"/>
      <c r="P87" s="157"/>
      <c r="Q87" s="157"/>
      <c r="R87" s="157"/>
      <c r="S87" s="157"/>
      <c r="T87" s="157"/>
      <c r="U87" s="157"/>
      <c r="V87" s="157"/>
      <c r="W87" s="157"/>
      <c r="X87" s="157"/>
      <c r="Y87" s="157"/>
      <c r="Z87" s="157"/>
    </row>
    <row r="88" ht="33.75" customHeight="1">
      <c r="A88" s="190" t="str">
        <f>HYPERLINK("https://drive.google.com/open?id=1k-AFBFK3z6Y9cCcQ9ZXrvZ2F0UKh53SD","8600000936")</f>
        <v>8600000936</v>
      </c>
      <c r="B88" s="191" t="s">
        <v>14</v>
      </c>
      <c r="C88" s="165" t="s">
        <v>3657</v>
      </c>
      <c r="D88" s="165" t="s">
        <v>3658</v>
      </c>
      <c r="E88" s="213" t="s">
        <v>3659</v>
      </c>
      <c r="F88" s="233">
        <v>43882.0</v>
      </c>
      <c r="G88" s="220">
        <v>43887.0</v>
      </c>
      <c r="H88" s="209" t="s">
        <v>3660</v>
      </c>
      <c r="I88" s="195" t="s">
        <v>2117</v>
      </c>
      <c r="J88" s="195" t="s">
        <v>2117</v>
      </c>
      <c r="K88" s="207" t="s">
        <v>3661</v>
      </c>
      <c r="L88" s="198"/>
      <c r="M88" s="157"/>
      <c r="N88" s="157"/>
      <c r="O88" s="157"/>
      <c r="P88" s="157"/>
      <c r="Q88" s="157"/>
      <c r="R88" s="157"/>
      <c r="S88" s="157"/>
      <c r="T88" s="157"/>
      <c r="U88" s="157"/>
      <c r="V88" s="157"/>
      <c r="W88" s="157"/>
      <c r="X88" s="157"/>
      <c r="Y88" s="157"/>
      <c r="Z88" s="157"/>
    </row>
    <row r="89" ht="12.75" customHeight="1">
      <c r="A89" s="190" t="str">
        <f>HYPERLINK("https://drive.google.com/open?id=1bfbf70LyKa_bCMmt1uotXTCN8yIuauzs","8600000942")</f>
        <v>8600000942</v>
      </c>
      <c r="B89" s="191" t="s">
        <v>25</v>
      </c>
      <c r="C89" s="165" t="s">
        <v>2253</v>
      </c>
      <c r="D89" s="165" t="s">
        <v>3662</v>
      </c>
      <c r="E89" s="213" t="s">
        <v>3663</v>
      </c>
      <c r="F89" s="233">
        <v>43881.0</v>
      </c>
      <c r="G89" s="209">
        <v>43881.0</v>
      </c>
      <c r="H89" s="209">
        <v>43888.0</v>
      </c>
      <c r="I89" s="195" t="s">
        <v>2117</v>
      </c>
      <c r="J89" s="195" t="s">
        <v>2117</v>
      </c>
      <c r="K89" s="207" t="s">
        <v>3664</v>
      </c>
      <c r="L89" s="198"/>
      <c r="M89" s="157"/>
      <c r="N89" s="157"/>
      <c r="O89" s="157"/>
      <c r="P89" s="157"/>
      <c r="Q89" s="157"/>
      <c r="R89" s="157"/>
      <c r="S89" s="157"/>
      <c r="T89" s="157"/>
      <c r="U89" s="157"/>
      <c r="V89" s="157"/>
      <c r="W89" s="157"/>
      <c r="X89" s="157"/>
      <c r="Y89" s="157"/>
      <c r="Z89" s="157"/>
    </row>
    <row r="90" ht="33.75" customHeight="1">
      <c r="A90" s="190" t="str">
        <f>HYPERLINK("https://drive.google.com/open?id=1F8SfZ8YGs7ma21tpvVxzq_LbxBM5pnhi","8600000927")</f>
        <v>8600000927</v>
      </c>
      <c r="B90" s="191" t="s">
        <v>14</v>
      </c>
      <c r="C90" s="165" t="s">
        <v>2168</v>
      </c>
      <c r="D90" s="165" t="s">
        <v>3665</v>
      </c>
      <c r="E90" s="213" t="s">
        <v>3666</v>
      </c>
      <c r="F90" s="233">
        <v>43877.0</v>
      </c>
      <c r="G90" s="209">
        <v>43879.0</v>
      </c>
      <c r="H90" s="209">
        <v>43886.0</v>
      </c>
      <c r="I90" s="195" t="s">
        <v>2117</v>
      </c>
      <c r="J90" s="195" t="s">
        <v>2117</v>
      </c>
      <c r="K90" s="207" t="s">
        <v>3667</v>
      </c>
      <c r="L90" s="198"/>
      <c r="M90" s="157"/>
      <c r="N90" s="157"/>
      <c r="O90" s="157"/>
      <c r="P90" s="157"/>
      <c r="Q90" s="157"/>
      <c r="R90" s="157"/>
      <c r="S90" s="157"/>
      <c r="T90" s="157"/>
      <c r="U90" s="157"/>
      <c r="V90" s="157"/>
      <c r="W90" s="157"/>
      <c r="X90" s="157"/>
      <c r="Y90" s="157"/>
      <c r="Z90" s="157"/>
    </row>
    <row r="91" ht="31.5" customHeight="1">
      <c r="A91" s="190" t="str">
        <f>HYPERLINK("https://drive.google.com/open?id=1DJYlXAVq9wzlZGPYT2u_XczxZrRqLwG0","8600000931")</f>
        <v>8600000931</v>
      </c>
      <c r="B91" s="165" t="s">
        <v>21</v>
      </c>
      <c r="C91" s="165" t="s">
        <v>3668</v>
      </c>
      <c r="D91" s="215" t="s">
        <v>3669</v>
      </c>
      <c r="E91" s="213" t="s">
        <v>3670</v>
      </c>
      <c r="F91" s="233">
        <v>43874.0</v>
      </c>
      <c r="G91" s="220">
        <v>43879.0</v>
      </c>
      <c r="H91" s="209">
        <v>43882.0</v>
      </c>
      <c r="I91" s="165" t="s">
        <v>2153</v>
      </c>
      <c r="J91" s="165" t="s">
        <v>2154</v>
      </c>
      <c r="K91" s="214" t="s">
        <v>3671</v>
      </c>
      <c r="L91" s="198"/>
      <c r="M91" s="157"/>
      <c r="N91" s="157"/>
      <c r="O91" s="157"/>
      <c r="P91" s="157"/>
      <c r="Q91" s="157"/>
      <c r="R91" s="157"/>
      <c r="S91" s="157"/>
      <c r="T91" s="157"/>
      <c r="U91" s="157"/>
      <c r="V91" s="157"/>
      <c r="W91" s="157"/>
      <c r="X91" s="157"/>
      <c r="Y91" s="157"/>
      <c r="Z91" s="157"/>
    </row>
    <row r="92" ht="12.75" customHeight="1">
      <c r="A92" s="190" t="str">
        <f>HYPERLINK("https://drive.google.com/file/d/1hryGC_OK1L3FZeGJQMdJnTXhmh3Wlyie/view?usp=sharing","8600000935")</f>
        <v>8600000935</v>
      </c>
      <c r="B92" s="165" t="s">
        <v>25</v>
      </c>
      <c r="C92" s="165" t="s">
        <v>2212</v>
      </c>
      <c r="D92" s="165" t="s">
        <v>3672</v>
      </c>
      <c r="E92" s="207" t="s">
        <v>3673</v>
      </c>
      <c r="F92" s="233">
        <v>43871.0</v>
      </c>
      <c r="G92" s="209">
        <v>43867.0</v>
      </c>
      <c r="H92" s="209">
        <v>43881.0</v>
      </c>
      <c r="I92" s="195" t="s">
        <v>2117</v>
      </c>
      <c r="J92" s="195" t="s">
        <v>2117</v>
      </c>
      <c r="K92" s="214" t="s">
        <v>3674</v>
      </c>
      <c r="L92" s="198"/>
      <c r="M92" s="157"/>
      <c r="N92" s="157"/>
      <c r="O92" s="157"/>
      <c r="P92" s="157"/>
      <c r="Q92" s="157"/>
      <c r="R92" s="157"/>
      <c r="S92" s="157"/>
      <c r="T92" s="157"/>
      <c r="U92" s="157"/>
      <c r="V92" s="157"/>
      <c r="W92" s="157"/>
      <c r="X92" s="157"/>
      <c r="Y92" s="157"/>
      <c r="Z92" s="157"/>
    </row>
    <row r="93" ht="33.75" customHeight="1">
      <c r="A93" s="190" t="str">
        <f>HYPERLINK("https://drive.google.com/open?id=0B6Vr5nVC58V5OWk5TTdnRm5YUGFHOEdsMFBHc2RwNVgwQ1o4","8600000904")</f>
        <v>8600000904</v>
      </c>
      <c r="B93" s="191" t="s">
        <v>14</v>
      </c>
      <c r="C93" s="165" t="s">
        <v>2225</v>
      </c>
      <c r="D93" s="215" t="s">
        <v>3675</v>
      </c>
      <c r="E93" s="213" t="s">
        <v>3676</v>
      </c>
      <c r="F93" s="233">
        <v>43854.0</v>
      </c>
      <c r="G93" s="209">
        <v>43858.0</v>
      </c>
      <c r="H93" s="233">
        <v>43860.0</v>
      </c>
      <c r="I93" s="195" t="s">
        <v>2117</v>
      </c>
      <c r="J93" s="196" t="s">
        <v>2117</v>
      </c>
      <c r="K93" s="207" t="s">
        <v>3677</v>
      </c>
      <c r="L93" s="198"/>
      <c r="M93" s="157"/>
      <c r="N93" s="157"/>
      <c r="O93" s="157"/>
      <c r="P93" s="157"/>
      <c r="Q93" s="157"/>
      <c r="R93" s="157"/>
      <c r="S93" s="157"/>
      <c r="T93" s="157"/>
      <c r="U93" s="157"/>
      <c r="V93" s="157"/>
      <c r="W93" s="157"/>
      <c r="X93" s="157"/>
      <c r="Y93" s="157"/>
      <c r="Z93" s="157"/>
    </row>
    <row r="94" ht="33.75" customHeight="1">
      <c r="A94" s="190" t="str">
        <f>HYPERLINK("https://drive.google.com/open?id=0B6Vr5nVC58V5eXVld1VVSVZJS2pvbWZfeE4tZFZKSzkyY1Ew","8600000900")</f>
        <v>8600000900</v>
      </c>
      <c r="B94" s="191" t="s">
        <v>14</v>
      </c>
      <c r="C94" s="165" t="s">
        <v>3650</v>
      </c>
      <c r="D94" s="165" t="s">
        <v>3678</v>
      </c>
      <c r="E94" s="214" t="s">
        <v>3679</v>
      </c>
      <c r="F94" s="209">
        <v>43854.0</v>
      </c>
      <c r="G94" s="209">
        <v>43857.0</v>
      </c>
      <c r="H94" s="233">
        <v>43860.0</v>
      </c>
      <c r="I94" s="195" t="s">
        <v>2117</v>
      </c>
      <c r="J94" s="195" t="s">
        <v>2117</v>
      </c>
      <c r="K94" s="207" t="s">
        <v>3680</v>
      </c>
      <c r="L94" s="198"/>
      <c r="M94" s="157"/>
      <c r="N94" s="157"/>
      <c r="O94" s="157"/>
      <c r="P94" s="157"/>
      <c r="Q94" s="157"/>
      <c r="R94" s="157"/>
      <c r="S94" s="157"/>
      <c r="T94" s="157"/>
      <c r="U94" s="157"/>
      <c r="V94" s="157"/>
      <c r="W94" s="157"/>
      <c r="X94" s="157"/>
      <c r="Y94" s="157"/>
      <c r="Z94" s="157"/>
    </row>
    <row r="95" ht="33.75" customHeight="1">
      <c r="A95" s="190" t="str">
        <f>HYPERLINK("https://drive.google.com/open?id=0B6Vr5nVC58V5Ym13SGhkZUM3Vy0tTlhYemhQMjI2QTU2M0RZ","8600000911")</f>
        <v>8600000911</v>
      </c>
      <c r="B95" s="191" t="s">
        <v>14</v>
      </c>
      <c r="C95" s="165" t="s">
        <v>3681</v>
      </c>
      <c r="D95" s="165" t="s">
        <v>3682</v>
      </c>
      <c r="E95" s="198" t="s">
        <v>3683</v>
      </c>
      <c r="F95" s="233">
        <v>43853.0</v>
      </c>
      <c r="G95" s="209">
        <v>43858.0</v>
      </c>
      <c r="H95" s="209" t="s">
        <v>3684</v>
      </c>
      <c r="I95" s="195" t="s">
        <v>2117</v>
      </c>
      <c r="J95" s="195" t="s">
        <v>2117</v>
      </c>
      <c r="K95" s="207" t="s">
        <v>3685</v>
      </c>
      <c r="L95" s="198"/>
      <c r="M95" s="157"/>
      <c r="N95" s="157"/>
      <c r="O95" s="157"/>
      <c r="P95" s="157"/>
      <c r="Q95" s="157"/>
      <c r="R95" s="157"/>
      <c r="S95" s="157"/>
      <c r="T95" s="157"/>
      <c r="U95" s="157"/>
      <c r="V95" s="157"/>
      <c r="W95" s="157"/>
      <c r="X95" s="157"/>
      <c r="Y95" s="157"/>
      <c r="Z95" s="157"/>
    </row>
    <row r="96" ht="12.75" customHeight="1">
      <c r="A96" s="190" t="str">
        <f>HYPERLINK("https://drive.google.com/open?id=0B6Vr5nVC58V5cnZWVTBabExXVXNvRE9CcTNVSl8yajRZQkNj","8500000086")</f>
        <v>8500000086</v>
      </c>
      <c r="B96" s="191" t="s">
        <v>14</v>
      </c>
      <c r="C96" s="165" t="s">
        <v>2168</v>
      </c>
      <c r="D96" s="239" t="s">
        <v>3686</v>
      </c>
      <c r="E96" s="213" t="s">
        <v>3687</v>
      </c>
      <c r="F96" s="233">
        <v>43848.0</v>
      </c>
      <c r="G96" s="209">
        <v>43845.0</v>
      </c>
      <c r="H96" s="209">
        <v>43857.0</v>
      </c>
      <c r="I96" s="195" t="s">
        <v>2117</v>
      </c>
      <c r="J96" s="195" t="s">
        <v>2117</v>
      </c>
      <c r="K96" s="207" t="s">
        <v>3688</v>
      </c>
      <c r="L96" s="198"/>
      <c r="M96" s="157"/>
      <c r="N96" s="157"/>
      <c r="O96" s="157"/>
      <c r="P96" s="157"/>
      <c r="Q96" s="157"/>
      <c r="R96" s="157"/>
      <c r="S96" s="157"/>
      <c r="T96" s="157"/>
      <c r="U96" s="157"/>
      <c r="V96" s="157"/>
      <c r="W96" s="157"/>
      <c r="X96" s="157"/>
      <c r="Y96" s="157"/>
      <c r="Z96" s="157"/>
    </row>
    <row r="97" ht="12.75" customHeight="1">
      <c r="A97" s="190" t="str">
        <f>HYPERLINK("https://drive.google.com/open?id=0B6Vr5nVC58V5c0RoejBEYm9QY0dfZUt1ZEc1OVM0Ul84ZE9n","8500000085")</f>
        <v>8500000085</v>
      </c>
      <c r="B97" s="191" t="s">
        <v>14</v>
      </c>
      <c r="C97" s="165" t="s">
        <v>2114</v>
      </c>
      <c r="D97" s="165" t="s">
        <v>3689</v>
      </c>
      <c r="E97" s="198" t="s">
        <v>3690</v>
      </c>
      <c r="F97" s="233">
        <v>43847.0</v>
      </c>
      <c r="G97" s="209">
        <v>43845.0</v>
      </c>
      <c r="H97" s="209">
        <v>43857.0</v>
      </c>
      <c r="I97" s="195" t="s">
        <v>2117</v>
      </c>
      <c r="J97" s="195" t="s">
        <v>2117</v>
      </c>
      <c r="K97" s="207" t="s">
        <v>3691</v>
      </c>
      <c r="L97" s="198"/>
      <c r="M97" s="157"/>
      <c r="N97" s="157"/>
      <c r="O97" s="157"/>
      <c r="P97" s="157"/>
      <c r="Q97" s="157"/>
      <c r="R97" s="157"/>
      <c r="S97" s="157"/>
      <c r="T97" s="157"/>
      <c r="U97" s="157"/>
      <c r="V97" s="157"/>
      <c r="W97" s="157"/>
      <c r="X97" s="157"/>
      <c r="Y97" s="157"/>
      <c r="Z97" s="157"/>
    </row>
    <row r="98" ht="12.75" customHeight="1">
      <c r="A98" s="190" t="str">
        <f>HYPERLINK("https://drive.google.com/open?id=0B6Vr5nVC58V5aTNzRFJuSnB2Wm5UR01MRHJoQnVhMmd1U2Y0","8600000902")</f>
        <v>8600000902</v>
      </c>
      <c r="B98" s="191" t="s">
        <v>25</v>
      </c>
      <c r="C98" s="165" t="s">
        <v>2311</v>
      </c>
      <c r="D98" s="191" t="s">
        <v>3692</v>
      </c>
      <c r="E98" s="213" t="s">
        <v>3693</v>
      </c>
      <c r="F98" s="233">
        <v>43846.0</v>
      </c>
      <c r="G98" s="209">
        <v>43850.0</v>
      </c>
      <c r="H98" s="209">
        <v>43851.0</v>
      </c>
      <c r="I98" s="195" t="s">
        <v>2117</v>
      </c>
      <c r="J98" s="195" t="s">
        <v>2117</v>
      </c>
      <c r="K98" s="207" t="s">
        <v>3694</v>
      </c>
      <c r="L98" s="198"/>
      <c r="M98" s="157"/>
      <c r="N98" s="157"/>
      <c r="O98" s="157"/>
      <c r="P98" s="157"/>
      <c r="Q98" s="157"/>
      <c r="R98" s="157"/>
      <c r="S98" s="157"/>
      <c r="T98" s="157"/>
      <c r="U98" s="157"/>
      <c r="V98" s="157"/>
      <c r="W98" s="157"/>
      <c r="X98" s="157"/>
      <c r="Y98" s="157"/>
      <c r="Z98" s="157"/>
    </row>
    <row r="99" ht="33.75" customHeight="1">
      <c r="A99" s="190" t="str">
        <f>HYPERLINK("https://drive.google.com/open?id=0B6Vr5nVC58V5Y19EWkRfdjFUbm83dE9yZHR4dWJDdkNOZnVJ","8600000908")</f>
        <v>8600000908</v>
      </c>
      <c r="B99" s="191" t="s">
        <v>25</v>
      </c>
      <c r="C99" s="165" t="s">
        <v>2253</v>
      </c>
      <c r="D99" s="215" t="s">
        <v>3695</v>
      </c>
      <c r="E99" s="212" t="s">
        <v>3696</v>
      </c>
      <c r="F99" s="233">
        <v>43834.0</v>
      </c>
      <c r="G99" s="209">
        <v>43830.0</v>
      </c>
      <c r="H99" s="209">
        <v>43840.0</v>
      </c>
      <c r="I99" s="195" t="s">
        <v>2117</v>
      </c>
      <c r="J99" s="195" t="s">
        <v>2117</v>
      </c>
      <c r="K99" s="210" t="s">
        <v>3697</v>
      </c>
      <c r="L99" s="198"/>
      <c r="M99" s="157"/>
      <c r="N99" s="157"/>
      <c r="O99" s="157"/>
      <c r="P99" s="157"/>
      <c r="Q99" s="157"/>
      <c r="R99" s="157"/>
      <c r="S99" s="157"/>
      <c r="T99" s="157"/>
      <c r="U99" s="157"/>
      <c r="V99" s="157"/>
      <c r="W99" s="157"/>
      <c r="X99" s="157"/>
      <c r="Y99" s="157"/>
      <c r="Z99" s="157"/>
    </row>
    <row r="100" ht="33.75" customHeight="1">
      <c r="A100" s="190" t="str">
        <f>HYPERLINK("https://drive.google.com/open?id=0B6Vr5nVC58V5cEhDYWNOajhvMFpwRl9DQmg2OXpUbzNjaVFv","8500000084")</f>
        <v>8500000084</v>
      </c>
      <c r="B100" s="191" t="s">
        <v>14</v>
      </c>
      <c r="C100" s="165" t="s">
        <v>3698</v>
      </c>
      <c r="D100" s="191" t="s">
        <v>3699</v>
      </c>
      <c r="E100" s="207" t="s">
        <v>2133</v>
      </c>
      <c r="F100" s="216">
        <v>43833.0</v>
      </c>
      <c r="G100" s="220">
        <v>43832.0</v>
      </c>
      <c r="H100" s="220">
        <v>43844.0</v>
      </c>
      <c r="I100" s="195" t="s">
        <v>2117</v>
      </c>
      <c r="J100" s="195" t="s">
        <v>2117</v>
      </c>
      <c r="K100" s="210" t="s">
        <v>3700</v>
      </c>
      <c r="L100" s="198"/>
      <c r="M100" s="157"/>
      <c r="N100" s="157"/>
      <c r="O100" s="157"/>
      <c r="P100" s="157"/>
      <c r="Q100" s="157"/>
      <c r="R100" s="157"/>
      <c r="S100" s="157"/>
      <c r="T100" s="157"/>
      <c r="U100" s="157"/>
      <c r="V100" s="157"/>
      <c r="W100" s="157"/>
      <c r="X100" s="157"/>
      <c r="Y100" s="157"/>
      <c r="Z100" s="157"/>
    </row>
    <row r="101" ht="33.75" customHeight="1">
      <c r="A101" s="190" t="str">
        <f>HYPERLINK("https://drive.google.com/open?id=0B6Vr5nVC58V5cWxrMUQ5Q05tTW9ybWV1RC1tWnJQNDF5VzZn","8600000880")</f>
        <v>8600000880</v>
      </c>
      <c r="B101" s="191" t="s">
        <v>21</v>
      </c>
      <c r="C101" s="165" t="s">
        <v>2145</v>
      </c>
      <c r="D101" s="219" t="s">
        <v>3701</v>
      </c>
      <c r="E101" s="207" t="s">
        <v>3702</v>
      </c>
      <c r="F101" s="216">
        <v>43824.0</v>
      </c>
      <c r="G101" s="220">
        <v>43825.0</v>
      </c>
      <c r="H101" s="220">
        <v>43838.0</v>
      </c>
      <c r="I101" s="165" t="s">
        <v>2153</v>
      </c>
      <c r="J101" s="267" t="s">
        <v>2154</v>
      </c>
      <c r="K101" s="207" t="s">
        <v>3703</v>
      </c>
      <c r="L101" s="198"/>
      <c r="M101" s="157"/>
      <c r="N101" s="157"/>
      <c r="O101" s="157"/>
      <c r="P101" s="157"/>
      <c r="Q101" s="157"/>
      <c r="R101" s="157"/>
      <c r="S101" s="157"/>
      <c r="T101" s="157"/>
      <c r="U101" s="157"/>
      <c r="V101" s="157"/>
      <c r="W101" s="157"/>
      <c r="X101" s="157"/>
      <c r="Y101" s="157"/>
      <c r="Z101" s="157"/>
    </row>
    <row r="102" ht="33.75" customHeight="1">
      <c r="A102" s="190" t="str">
        <f>HYPERLINK("https://drive.google.com/open?id=0B6Vr5nVC58V5Zk00Z3lmdS1MbW1rZF9Dek9NamxwcUd1S2Y0","8600000872")</f>
        <v>8600000872</v>
      </c>
      <c r="B102" s="191" t="s">
        <v>14</v>
      </c>
      <c r="C102" s="165" t="s">
        <v>2205</v>
      </c>
      <c r="D102" s="165" t="s">
        <v>3704</v>
      </c>
      <c r="E102" s="214" t="s">
        <v>3705</v>
      </c>
      <c r="F102" s="233">
        <v>43823.0</v>
      </c>
      <c r="G102" s="209">
        <v>43825.0</v>
      </c>
      <c r="H102" s="209" t="s">
        <v>3706</v>
      </c>
      <c r="I102" s="195" t="s">
        <v>2117</v>
      </c>
      <c r="J102" s="196" t="s">
        <v>2117</v>
      </c>
      <c r="K102" s="207" t="s">
        <v>3707</v>
      </c>
      <c r="L102" s="198"/>
      <c r="M102" s="157"/>
      <c r="N102" s="157"/>
      <c r="O102" s="157"/>
      <c r="P102" s="157"/>
      <c r="Q102" s="157"/>
      <c r="R102" s="157"/>
      <c r="S102" s="157"/>
      <c r="T102" s="157"/>
      <c r="U102" s="157"/>
      <c r="V102" s="157"/>
      <c r="W102" s="157"/>
      <c r="X102" s="157"/>
      <c r="Y102" s="157"/>
      <c r="Z102" s="157"/>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K$102">
    <sortState ref="A2:K102">
      <sortCondition descending="1" ref="F2:F102"/>
    </sortState>
  </autoFilter>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5"/>
    <hyperlink r:id="rId23" ref="A26"/>
    <hyperlink r:id="rId24" ref="A27"/>
    <hyperlink r:id="rId25" ref="A28"/>
    <hyperlink r:id="rId26" ref="A29"/>
    <hyperlink r:id="rId27" ref="A30"/>
    <hyperlink r:id="rId28" ref="A31"/>
    <hyperlink r:id="rId29" ref="A32"/>
    <hyperlink r:id="rId30" ref="A33"/>
    <hyperlink r:id="rId31" ref="A34"/>
    <hyperlink r:id="rId32" ref="A35"/>
    <hyperlink r:id="rId33" ref="A36"/>
    <hyperlink r:id="rId34" ref="A37"/>
    <hyperlink r:id="rId35" ref="A38"/>
    <hyperlink r:id="rId36" ref="A39"/>
    <hyperlink r:id="rId37" ref="A40"/>
    <hyperlink r:id="rId38" ref="A41"/>
    <hyperlink r:id="rId39" ref="A42"/>
    <hyperlink r:id="rId40" ref="A43"/>
    <hyperlink r:id="rId41" ref="A44"/>
    <hyperlink r:id="rId42" ref="A45"/>
    <hyperlink r:id="rId43" ref="A46"/>
    <hyperlink r:id="rId44" ref="A47"/>
    <hyperlink r:id="rId45" ref="A48"/>
    <hyperlink r:id="rId46" ref="A49"/>
    <hyperlink r:id="rId47" ref="A50"/>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1"/>
    <hyperlink r:id="rId59" ref="A62"/>
    <hyperlink r:id="rId60" ref="A63"/>
    <hyperlink r:id="rId61" ref="A64"/>
    <hyperlink r:id="rId62" ref="A65"/>
    <hyperlink r:id="rId63" ref="A66"/>
    <hyperlink r:id="rId64" ref="A67"/>
    <hyperlink r:id="rId65" ref="A68"/>
    <hyperlink r:id="rId66" ref="A69"/>
    <hyperlink r:id="rId67" ref="A70"/>
    <hyperlink r:id="rId68" ref="A71"/>
    <hyperlink r:id="rId69" ref="A72"/>
    <hyperlink r:id="rId70" ref="A73"/>
    <hyperlink r:id="rId71" ref="A74"/>
  </hyperlinks>
  <printOptions/>
  <pageMargins bottom="0.75" footer="0.0" header="0.0" left="0.7" right="0.7" top="0.75"/>
  <pageSetup orientation="landscape"/>
  <drawing r:id="rId7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10.43"/>
    <col customWidth="1" min="3" max="3" width="9.86"/>
    <col customWidth="1" min="4" max="4" width="16.71"/>
    <col customWidth="1" min="5" max="5" width="46.29"/>
    <col customWidth="1" min="6" max="6" width="11.57"/>
    <col customWidth="1" min="7" max="7" width="10.57"/>
    <col customWidth="1" min="8" max="8" width="11.57"/>
    <col customWidth="1" min="9" max="9" width="13.0"/>
    <col customWidth="1" min="10" max="10" width="8.86"/>
    <col customWidth="1" min="11" max="11" width="6.57"/>
    <col customWidth="1" min="12" max="12" width="36.43"/>
    <col customWidth="1" min="13" max="15" width="12.0"/>
  </cols>
  <sheetData>
    <row r="1" ht="12.75" customHeight="1">
      <c r="A1" s="269"/>
      <c r="B1" s="269"/>
      <c r="C1" s="269"/>
      <c r="D1" s="269"/>
      <c r="E1" s="270" t="s">
        <v>3</v>
      </c>
      <c r="F1" s="271" t="s">
        <v>4</v>
      </c>
      <c r="G1" s="272" t="s">
        <v>2106</v>
      </c>
      <c r="H1" s="272" t="s">
        <v>2522</v>
      </c>
      <c r="I1" s="273" t="s">
        <v>2107</v>
      </c>
      <c r="J1" s="269"/>
      <c r="K1" s="269"/>
      <c r="L1" s="274"/>
      <c r="M1" s="269"/>
      <c r="N1" s="269"/>
      <c r="O1" s="275"/>
      <c r="P1" s="276"/>
      <c r="Q1" s="276"/>
      <c r="R1" s="276"/>
      <c r="S1" s="276"/>
      <c r="T1" s="276"/>
      <c r="U1" s="276"/>
      <c r="V1" s="276"/>
      <c r="W1" s="276"/>
      <c r="X1" s="276"/>
      <c r="Y1" s="276"/>
      <c r="Z1" s="276"/>
    </row>
    <row r="2" ht="51.75" customHeight="1">
      <c r="A2" s="277" t="s">
        <v>2019</v>
      </c>
      <c r="B2" s="278" t="s">
        <v>2109</v>
      </c>
      <c r="C2" s="277" t="s">
        <v>2110</v>
      </c>
      <c r="D2" s="277" t="s">
        <v>10</v>
      </c>
      <c r="E2" s="279" t="s">
        <v>11</v>
      </c>
      <c r="F2" s="280" t="s">
        <v>12</v>
      </c>
      <c r="G2" s="281" t="s">
        <v>12</v>
      </c>
      <c r="H2" s="281" t="s">
        <v>12</v>
      </c>
      <c r="I2" s="281" t="s">
        <v>12</v>
      </c>
      <c r="J2" s="282" t="s">
        <v>2111</v>
      </c>
      <c r="K2" s="282" t="s">
        <v>2112</v>
      </c>
      <c r="L2" s="277" t="s">
        <v>2113</v>
      </c>
      <c r="M2" s="277" t="s">
        <v>493</v>
      </c>
      <c r="N2" s="277" t="s">
        <v>1025</v>
      </c>
      <c r="O2" s="283" t="s">
        <v>2523</v>
      </c>
      <c r="P2" s="157"/>
      <c r="Q2" s="157"/>
      <c r="R2" s="157"/>
      <c r="S2" s="157"/>
      <c r="T2" s="157"/>
      <c r="U2" s="157"/>
      <c r="V2" s="157"/>
      <c r="W2" s="157"/>
      <c r="X2" s="157"/>
      <c r="Y2" s="157"/>
      <c r="Z2" s="157"/>
    </row>
    <row r="3" ht="42.0" customHeight="1">
      <c r="A3" s="284">
        <v>34799.0</v>
      </c>
      <c r="B3" s="285" t="s">
        <v>21</v>
      </c>
      <c r="C3" s="286">
        <v>332.0</v>
      </c>
      <c r="D3" s="285" t="s">
        <v>3708</v>
      </c>
      <c r="E3" s="287" t="s">
        <v>3709</v>
      </c>
      <c r="F3" s="288">
        <v>44185.0</v>
      </c>
      <c r="G3" s="288">
        <v>44174.0</v>
      </c>
      <c r="H3" s="288">
        <v>44174.0</v>
      </c>
      <c r="I3" s="288">
        <v>44193.0</v>
      </c>
      <c r="J3" s="289"/>
      <c r="K3" s="289"/>
      <c r="L3" s="290" t="s">
        <v>3710</v>
      </c>
      <c r="M3" s="285"/>
      <c r="N3" s="286"/>
      <c r="O3" s="291"/>
      <c r="P3" s="157"/>
      <c r="Q3" s="157"/>
      <c r="R3" s="157"/>
      <c r="S3" s="157"/>
      <c r="T3" s="157"/>
      <c r="U3" s="157"/>
      <c r="V3" s="157"/>
      <c r="W3" s="157"/>
      <c r="X3" s="157"/>
      <c r="Y3" s="157"/>
      <c r="Z3" s="157"/>
    </row>
    <row r="4" ht="42.0" customHeight="1">
      <c r="A4" s="284">
        <v>34915.0</v>
      </c>
      <c r="B4" s="292" t="s">
        <v>25</v>
      </c>
      <c r="C4" s="286">
        <v>1093.0</v>
      </c>
      <c r="D4" s="285" t="s">
        <v>3711</v>
      </c>
      <c r="E4" s="287" t="s">
        <v>3712</v>
      </c>
      <c r="F4" s="288">
        <v>44182.0</v>
      </c>
      <c r="G4" s="288">
        <v>44173.0</v>
      </c>
      <c r="H4" s="288">
        <v>44173.0</v>
      </c>
      <c r="I4" s="293">
        <v>44195.0</v>
      </c>
      <c r="J4" s="294"/>
      <c r="K4" s="294"/>
      <c r="L4" s="290" t="s">
        <v>3713</v>
      </c>
      <c r="M4" s="285" t="s">
        <v>497</v>
      </c>
      <c r="N4" s="286" t="s">
        <v>3714</v>
      </c>
      <c r="O4" s="291">
        <v>40529.93</v>
      </c>
      <c r="P4" s="157"/>
      <c r="Q4" s="157"/>
      <c r="R4" s="157"/>
      <c r="S4" s="157"/>
      <c r="T4" s="157"/>
      <c r="U4" s="157"/>
      <c r="V4" s="157"/>
      <c r="W4" s="157"/>
      <c r="X4" s="157"/>
      <c r="Y4" s="157"/>
      <c r="Z4" s="157"/>
    </row>
    <row r="5" ht="42.0" customHeight="1">
      <c r="A5" s="284">
        <v>34926.0</v>
      </c>
      <c r="B5" s="285" t="s">
        <v>21</v>
      </c>
      <c r="C5" s="286" t="s">
        <v>3715</v>
      </c>
      <c r="D5" s="285" t="s">
        <v>3716</v>
      </c>
      <c r="E5" s="287" t="s">
        <v>3717</v>
      </c>
      <c r="F5" s="288">
        <v>44182.0</v>
      </c>
      <c r="G5" s="288">
        <v>44180.0</v>
      </c>
      <c r="H5" s="288">
        <v>44180.0</v>
      </c>
      <c r="I5" s="293">
        <v>44193.0</v>
      </c>
      <c r="J5" s="294"/>
      <c r="K5" s="294"/>
      <c r="L5" s="290" t="s">
        <v>3718</v>
      </c>
      <c r="M5" s="285"/>
      <c r="N5" s="286"/>
      <c r="O5" s="291"/>
      <c r="P5" s="157"/>
      <c r="Q5" s="157"/>
      <c r="R5" s="157"/>
      <c r="S5" s="157"/>
      <c r="T5" s="157"/>
      <c r="U5" s="157"/>
      <c r="V5" s="157"/>
      <c r="W5" s="157"/>
      <c r="X5" s="157"/>
      <c r="Y5" s="157"/>
      <c r="Z5" s="157"/>
    </row>
    <row r="6" ht="42.0" customHeight="1">
      <c r="A6" s="284">
        <v>34961.0</v>
      </c>
      <c r="B6" s="285" t="s">
        <v>21</v>
      </c>
      <c r="C6" s="286">
        <v>1574.0</v>
      </c>
      <c r="D6" s="285" t="s">
        <v>3719</v>
      </c>
      <c r="E6" s="287" t="s">
        <v>3720</v>
      </c>
      <c r="F6" s="288">
        <v>44177.0</v>
      </c>
      <c r="G6" s="288">
        <v>44167.0</v>
      </c>
      <c r="H6" s="288">
        <v>44167.0</v>
      </c>
      <c r="I6" s="288">
        <v>44183.0</v>
      </c>
      <c r="J6" s="289"/>
      <c r="K6" s="289"/>
      <c r="L6" s="290" t="s">
        <v>3721</v>
      </c>
      <c r="M6" s="285"/>
      <c r="N6" s="286"/>
      <c r="O6" s="291"/>
      <c r="P6" s="157"/>
      <c r="Q6" s="157"/>
      <c r="R6" s="157"/>
      <c r="S6" s="157"/>
      <c r="T6" s="157"/>
      <c r="U6" s="157"/>
      <c r="V6" s="157"/>
      <c r="W6" s="157"/>
      <c r="X6" s="157"/>
      <c r="Y6" s="157"/>
      <c r="Z6" s="157"/>
    </row>
    <row r="7" ht="42.0" customHeight="1">
      <c r="A7" s="284">
        <v>34996.0</v>
      </c>
      <c r="B7" s="285" t="s">
        <v>715</v>
      </c>
      <c r="C7" s="286">
        <v>1350.0</v>
      </c>
      <c r="D7" s="285" t="s">
        <v>3722</v>
      </c>
      <c r="E7" s="287" t="s">
        <v>3723</v>
      </c>
      <c r="F7" s="288">
        <v>44176.0</v>
      </c>
      <c r="G7" s="288">
        <v>44172.0</v>
      </c>
      <c r="H7" s="288">
        <v>44172.0</v>
      </c>
      <c r="I7" s="285" t="s">
        <v>3724</v>
      </c>
      <c r="J7" s="294" t="s">
        <v>2535</v>
      </c>
      <c r="K7" s="294" t="s">
        <v>2535</v>
      </c>
      <c r="L7" s="290" t="s">
        <v>3725</v>
      </c>
      <c r="M7" s="285"/>
      <c r="N7" s="286"/>
      <c r="O7" s="291"/>
      <c r="P7" s="157"/>
      <c r="Q7" s="157"/>
      <c r="R7" s="157"/>
      <c r="S7" s="157"/>
      <c r="T7" s="157"/>
      <c r="U7" s="157"/>
      <c r="V7" s="157"/>
      <c r="W7" s="157"/>
      <c r="X7" s="157"/>
      <c r="Y7" s="157"/>
      <c r="Z7" s="157"/>
    </row>
    <row r="8" ht="42.0" customHeight="1">
      <c r="A8" s="284">
        <v>34962.0</v>
      </c>
      <c r="B8" s="285" t="s">
        <v>21</v>
      </c>
      <c r="C8" s="286">
        <v>1680.0</v>
      </c>
      <c r="D8" s="285" t="s">
        <v>3726</v>
      </c>
      <c r="E8" s="287" t="s">
        <v>3727</v>
      </c>
      <c r="F8" s="288">
        <v>44175.0</v>
      </c>
      <c r="G8" s="288">
        <v>44167.0</v>
      </c>
      <c r="H8" s="288">
        <v>44167.0</v>
      </c>
      <c r="I8" s="288">
        <v>44181.0</v>
      </c>
      <c r="J8" s="289"/>
      <c r="K8" s="289"/>
      <c r="L8" s="290" t="s">
        <v>3728</v>
      </c>
      <c r="M8" s="285"/>
      <c r="N8" s="286"/>
      <c r="O8" s="291"/>
      <c r="P8" s="157"/>
      <c r="Q8" s="157"/>
      <c r="R8" s="157"/>
      <c r="S8" s="157"/>
      <c r="T8" s="157"/>
      <c r="U8" s="157"/>
      <c r="V8" s="157"/>
      <c r="W8" s="157"/>
      <c r="X8" s="157"/>
      <c r="Y8" s="157"/>
      <c r="Z8" s="157"/>
    </row>
    <row r="9" ht="42.0" customHeight="1">
      <c r="A9" s="284">
        <v>34793.0</v>
      </c>
      <c r="B9" s="292" t="s">
        <v>715</v>
      </c>
      <c r="C9" s="286">
        <v>320.0</v>
      </c>
      <c r="D9" s="285" t="s">
        <v>3729</v>
      </c>
      <c r="E9" s="287" t="s">
        <v>3709</v>
      </c>
      <c r="F9" s="288">
        <v>44171.0</v>
      </c>
      <c r="G9" s="288">
        <v>44167.0</v>
      </c>
      <c r="H9" s="288">
        <v>44167.0</v>
      </c>
      <c r="I9" s="285" t="s">
        <v>3730</v>
      </c>
      <c r="J9" s="294" t="s">
        <v>2535</v>
      </c>
      <c r="K9" s="294" t="s">
        <v>2535</v>
      </c>
      <c r="L9" s="290" t="s">
        <v>3731</v>
      </c>
      <c r="M9" s="285"/>
      <c r="N9" s="286"/>
      <c r="O9" s="291"/>
      <c r="P9" s="157"/>
      <c r="Q9" s="157"/>
      <c r="R9" s="157"/>
      <c r="S9" s="157"/>
      <c r="T9" s="157"/>
      <c r="U9" s="157"/>
      <c r="V9" s="157"/>
      <c r="W9" s="157"/>
      <c r="X9" s="157"/>
      <c r="Y9" s="157"/>
      <c r="Z9" s="157"/>
    </row>
    <row r="10" ht="42.0" customHeight="1">
      <c r="A10" s="284">
        <v>34967.0</v>
      </c>
      <c r="B10" s="292" t="s">
        <v>715</v>
      </c>
      <c r="C10" s="286">
        <v>588.0</v>
      </c>
      <c r="D10" s="285" t="s">
        <v>3732</v>
      </c>
      <c r="E10" s="287" t="s">
        <v>3013</v>
      </c>
      <c r="F10" s="288">
        <v>44169.0</v>
      </c>
      <c r="G10" s="288">
        <v>44167.0</v>
      </c>
      <c r="H10" s="288">
        <v>44167.0</v>
      </c>
      <c r="I10" s="285" t="s">
        <v>3733</v>
      </c>
      <c r="J10" s="294" t="s">
        <v>2535</v>
      </c>
      <c r="K10" s="294" t="s">
        <v>2535</v>
      </c>
      <c r="L10" s="290" t="s">
        <v>3734</v>
      </c>
      <c r="M10" s="285"/>
      <c r="N10" s="286"/>
      <c r="O10" s="291"/>
      <c r="P10" s="157"/>
      <c r="Q10" s="157"/>
      <c r="R10" s="157"/>
      <c r="S10" s="157"/>
      <c r="T10" s="157"/>
      <c r="U10" s="157"/>
      <c r="V10" s="157"/>
      <c r="W10" s="157"/>
      <c r="X10" s="157"/>
      <c r="Y10" s="157"/>
      <c r="Z10" s="157"/>
    </row>
    <row r="11" ht="42.0" customHeight="1">
      <c r="A11" s="284">
        <v>34620.0</v>
      </c>
      <c r="B11" s="292" t="s">
        <v>715</v>
      </c>
      <c r="C11" s="286">
        <v>1160.0</v>
      </c>
      <c r="D11" s="285" t="s">
        <v>3735</v>
      </c>
      <c r="E11" s="287" t="s">
        <v>3736</v>
      </c>
      <c r="F11" s="288">
        <v>44169.0</v>
      </c>
      <c r="G11" s="288">
        <v>44165.0</v>
      </c>
      <c r="H11" s="288">
        <v>44165.0</v>
      </c>
      <c r="I11" s="285" t="s">
        <v>3737</v>
      </c>
      <c r="J11" s="294" t="s">
        <v>2535</v>
      </c>
      <c r="K11" s="294" t="s">
        <v>2535</v>
      </c>
      <c r="L11" s="290" t="s">
        <v>3738</v>
      </c>
      <c r="M11" s="285" t="s">
        <v>497</v>
      </c>
      <c r="N11" s="286" t="s">
        <v>2554</v>
      </c>
      <c r="O11" s="291">
        <v>31865.2</v>
      </c>
      <c r="P11" s="157"/>
      <c r="Q11" s="157"/>
      <c r="R11" s="157"/>
      <c r="S11" s="157"/>
      <c r="T11" s="157"/>
      <c r="U11" s="157"/>
      <c r="V11" s="157"/>
      <c r="W11" s="157"/>
      <c r="X11" s="157"/>
      <c r="Y11" s="157"/>
      <c r="Z11" s="157"/>
    </row>
    <row r="12" ht="42.0" customHeight="1">
      <c r="A12" s="284">
        <v>34412.0</v>
      </c>
      <c r="B12" s="285" t="s">
        <v>21</v>
      </c>
      <c r="C12" s="286">
        <v>1000.0</v>
      </c>
      <c r="D12" s="285" t="s">
        <v>3739</v>
      </c>
      <c r="E12" s="287" t="s">
        <v>3740</v>
      </c>
      <c r="F12" s="288">
        <v>44168.0</v>
      </c>
      <c r="G12" s="288">
        <v>44151.0</v>
      </c>
      <c r="H12" s="288">
        <v>44151.0</v>
      </c>
      <c r="I12" s="288">
        <v>44173.0</v>
      </c>
      <c r="J12" s="294" t="s">
        <v>2535</v>
      </c>
      <c r="K12" s="294" t="s">
        <v>2535</v>
      </c>
      <c r="L12" s="290" t="s">
        <v>3741</v>
      </c>
      <c r="M12" s="285"/>
      <c r="N12" s="286"/>
      <c r="O12" s="291"/>
      <c r="P12" s="157"/>
      <c r="Q12" s="157"/>
      <c r="R12" s="157"/>
      <c r="S12" s="157"/>
      <c r="T12" s="157"/>
      <c r="U12" s="157"/>
      <c r="V12" s="157"/>
      <c r="W12" s="157"/>
      <c r="X12" s="157"/>
      <c r="Y12" s="157"/>
      <c r="Z12" s="157"/>
    </row>
    <row r="13" ht="42.0" customHeight="1">
      <c r="A13" s="284">
        <v>34932.0</v>
      </c>
      <c r="B13" s="285" t="s">
        <v>21</v>
      </c>
      <c r="C13" s="286">
        <v>930.0</v>
      </c>
      <c r="D13" s="285" t="s">
        <v>3742</v>
      </c>
      <c r="E13" s="287" t="s">
        <v>3743</v>
      </c>
      <c r="F13" s="288">
        <v>44167.0</v>
      </c>
      <c r="G13" s="288">
        <v>44165.0</v>
      </c>
      <c r="H13" s="288">
        <v>44165.0</v>
      </c>
      <c r="I13" s="288">
        <v>44174.0</v>
      </c>
      <c r="J13" s="289" t="s">
        <v>3370</v>
      </c>
      <c r="K13" s="289" t="s">
        <v>3744</v>
      </c>
      <c r="L13" s="290" t="s">
        <v>3745</v>
      </c>
      <c r="M13" s="285"/>
      <c r="N13" s="286"/>
      <c r="O13" s="291"/>
      <c r="P13" s="157"/>
      <c r="Q13" s="157"/>
      <c r="R13" s="157"/>
      <c r="S13" s="157"/>
      <c r="T13" s="157"/>
      <c r="U13" s="157"/>
      <c r="V13" s="157"/>
      <c r="W13" s="157"/>
      <c r="X13" s="157"/>
      <c r="Y13" s="157"/>
      <c r="Z13" s="157"/>
    </row>
    <row r="14" ht="42.0" customHeight="1">
      <c r="A14" s="284">
        <v>34946.0</v>
      </c>
      <c r="B14" s="292" t="s">
        <v>715</v>
      </c>
      <c r="C14" s="286" t="s">
        <v>3746</v>
      </c>
      <c r="D14" s="285" t="s">
        <v>3747</v>
      </c>
      <c r="E14" s="287" t="s">
        <v>3748</v>
      </c>
      <c r="F14" s="288">
        <v>44166.0</v>
      </c>
      <c r="G14" s="288">
        <v>44190.0</v>
      </c>
      <c r="H14" s="288">
        <v>44190.0</v>
      </c>
      <c r="I14" s="285" t="s">
        <v>3749</v>
      </c>
      <c r="J14" s="294" t="s">
        <v>2535</v>
      </c>
      <c r="K14" s="294" t="s">
        <v>2535</v>
      </c>
      <c r="L14" s="290" t="s">
        <v>3750</v>
      </c>
      <c r="M14" s="285"/>
      <c r="N14" s="286"/>
      <c r="O14" s="291"/>
      <c r="P14" s="157"/>
      <c r="Q14" s="157"/>
      <c r="R14" s="157"/>
      <c r="S14" s="157"/>
      <c r="T14" s="157"/>
      <c r="U14" s="157"/>
      <c r="V14" s="157"/>
      <c r="W14" s="157"/>
      <c r="X14" s="157"/>
      <c r="Y14" s="157"/>
      <c r="Z14" s="157"/>
    </row>
    <row r="15" ht="42.0" customHeight="1">
      <c r="A15" s="284">
        <v>34919.0</v>
      </c>
      <c r="B15" s="292" t="s">
        <v>715</v>
      </c>
      <c r="C15" s="286">
        <v>1680.0</v>
      </c>
      <c r="D15" s="285" t="s">
        <v>3751</v>
      </c>
      <c r="E15" s="287" t="s">
        <v>3752</v>
      </c>
      <c r="F15" s="288">
        <v>44166.0</v>
      </c>
      <c r="G15" s="288">
        <v>44190.0</v>
      </c>
      <c r="H15" s="288">
        <v>44190.0</v>
      </c>
      <c r="I15" s="285" t="s">
        <v>3753</v>
      </c>
      <c r="J15" s="294" t="s">
        <v>2535</v>
      </c>
      <c r="K15" s="294" t="s">
        <v>2535</v>
      </c>
      <c r="L15" s="290" t="s">
        <v>3754</v>
      </c>
      <c r="M15" s="285"/>
      <c r="N15" s="286"/>
      <c r="O15" s="291"/>
      <c r="P15" s="157"/>
      <c r="Q15" s="157"/>
      <c r="R15" s="157"/>
      <c r="S15" s="157"/>
      <c r="T15" s="157"/>
      <c r="U15" s="157"/>
      <c r="V15" s="157"/>
      <c r="W15" s="157"/>
      <c r="X15" s="157"/>
      <c r="Y15" s="157"/>
      <c r="Z15" s="157"/>
    </row>
    <row r="16" ht="42.0" customHeight="1">
      <c r="A16" s="284">
        <v>34616.0</v>
      </c>
      <c r="B16" s="292" t="s">
        <v>715</v>
      </c>
      <c r="C16" s="286">
        <v>2100.0</v>
      </c>
      <c r="D16" s="285" t="s">
        <v>3755</v>
      </c>
      <c r="E16" s="287" t="s">
        <v>3756</v>
      </c>
      <c r="F16" s="288">
        <v>44164.0</v>
      </c>
      <c r="G16" s="288">
        <v>44160.0</v>
      </c>
      <c r="H16" s="288">
        <v>44160.0</v>
      </c>
      <c r="I16" s="285" t="s">
        <v>3757</v>
      </c>
      <c r="J16" s="294" t="s">
        <v>2535</v>
      </c>
      <c r="K16" s="294" t="s">
        <v>2535</v>
      </c>
      <c r="L16" s="290" t="s">
        <v>3758</v>
      </c>
      <c r="M16" s="285" t="s">
        <v>497</v>
      </c>
      <c r="N16" s="286" t="s">
        <v>2554</v>
      </c>
      <c r="O16" s="291">
        <v>28812.0</v>
      </c>
      <c r="P16" s="157"/>
      <c r="Q16" s="157"/>
      <c r="R16" s="157"/>
      <c r="S16" s="157"/>
      <c r="T16" s="157"/>
      <c r="U16" s="157"/>
      <c r="V16" s="157"/>
      <c r="W16" s="157"/>
      <c r="X16" s="157"/>
      <c r="Y16" s="157"/>
      <c r="Z16" s="157"/>
    </row>
    <row r="17" ht="42.0" customHeight="1">
      <c r="A17" s="284">
        <v>34618.0</v>
      </c>
      <c r="B17" s="292" t="s">
        <v>715</v>
      </c>
      <c r="C17" s="286">
        <v>2100.0</v>
      </c>
      <c r="D17" s="285" t="s">
        <v>3759</v>
      </c>
      <c r="E17" s="287" t="s">
        <v>3756</v>
      </c>
      <c r="F17" s="288">
        <v>44164.0</v>
      </c>
      <c r="G17" s="288">
        <v>44160.0</v>
      </c>
      <c r="H17" s="288">
        <v>44160.0</v>
      </c>
      <c r="I17" s="285" t="s">
        <v>3760</v>
      </c>
      <c r="J17" s="294" t="s">
        <v>2535</v>
      </c>
      <c r="K17" s="294" t="s">
        <v>2535</v>
      </c>
      <c r="L17" s="290" t="s">
        <v>3761</v>
      </c>
      <c r="M17" s="285" t="s">
        <v>497</v>
      </c>
      <c r="N17" s="286" t="s">
        <v>2554</v>
      </c>
      <c r="O17" s="291">
        <v>28812.0</v>
      </c>
      <c r="P17" s="157"/>
      <c r="Q17" s="157"/>
      <c r="R17" s="157"/>
      <c r="S17" s="157"/>
      <c r="T17" s="157"/>
      <c r="U17" s="157"/>
      <c r="V17" s="157"/>
      <c r="W17" s="157"/>
      <c r="X17" s="157"/>
      <c r="Y17" s="157"/>
      <c r="Z17" s="157"/>
    </row>
    <row r="18" ht="42.0" customHeight="1">
      <c r="A18" s="284">
        <v>34413.0</v>
      </c>
      <c r="B18" s="292" t="s">
        <v>715</v>
      </c>
      <c r="C18" s="286">
        <v>1000.0</v>
      </c>
      <c r="D18" s="285" t="s">
        <v>3762</v>
      </c>
      <c r="E18" s="287" t="s">
        <v>3740</v>
      </c>
      <c r="F18" s="288">
        <v>44164.0</v>
      </c>
      <c r="G18" s="288">
        <v>44160.0</v>
      </c>
      <c r="H18" s="288">
        <v>44160.0</v>
      </c>
      <c r="I18" s="285" t="s">
        <v>3763</v>
      </c>
      <c r="J18" s="294" t="s">
        <v>2535</v>
      </c>
      <c r="K18" s="294" t="s">
        <v>2535</v>
      </c>
      <c r="L18" s="290" t="s">
        <v>3764</v>
      </c>
      <c r="M18" s="285"/>
      <c r="N18" s="286"/>
      <c r="O18" s="291"/>
      <c r="P18" s="157"/>
      <c r="Q18" s="157"/>
      <c r="R18" s="157"/>
      <c r="S18" s="157"/>
      <c r="T18" s="157"/>
      <c r="U18" s="157"/>
      <c r="V18" s="157"/>
      <c r="W18" s="157"/>
      <c r="X18" s="157"/>
      <c r="Y18" s="157"/>
      <c r="Z18" s="157"/>
    </row>
    <row r="19" ht="42.0" customHeight="1">
      <c r="A19" s="284">
        <v>34888.0</v>
      </c>
      <c r="B19" s="292" t="s">
        <v>715</v>
      </c>
      <c r="C19" s="286">
        <v>525.0</v>
      </c>
      <c r="D19" s="285" t="s">
        <v>3765</v>
      </c>
      <c r="E19" s="287" t="s">
        <v>3766</v>
      </c>
      <c r="F19" s="288">
        <v>44162.0</v>
      </c>
      <c r="G19" s="288">
        <v>44160.0</v>
      </c>
      <c r="H19" s="288">
        <v>44160.0</v>
      </c>
      <c r="I19" s="285" t="s">
        <v>3767</v>
      </c>
      <c r="J19" s="294" t="s">
        <v>2535</v>
      </c>
      <c r="K19" s="294" t="s">
        <v>2535</v>
      </c>
      <c r="L19" s="290" t="s">
        <v>3768</v>
      </c>
      <c r="M19" s="285"/>
      <c r="N19" s="286"/>
      <c r="O19" s="291"/>
      <c r="P19" s="157"/>
      <c r="Q19" s="157"/>
      <c r="R19" s="157"/>
      <c r="S19" s="157"/>
      <c r="T19" s="157"/>
      <c r="U19" s="157"/>
      <c r="V19" s="157"/>
      <c r="W19" s="157"/>
      <c r="X19" s="157"/>
      <c r="Y19" s="157"/>
      <c r="Z19" s="157"/>
    </row>
    <row r="20" ht="42.0" customHeight="1">
      <c r="A20" s="284">
        <v>34905.0</v>
      </c>
      <c r="B20" s="285" t="s">
        <v>21</v>
      </c>
      <c r="C20" s="286">
        <v>1156.0</v>
      </c>
      <c r="D20" s="285" t="s">
        <v>3769</v>
      </c>
      <c r="E20" s="287" t="s">
        <v>3770</v>
      </c>
      <c r="F20" s="288">
        <v>44160.0</v>
      </c>
      <c r="G20" s="288">
        <v>44153.0</v>
      </c>
      <c r="H20" s="288">
        <v>44153.0</v>
      </c>
      <c r="I20" s="288">
        <v>44162.0</v>
      </c>
      <c r="J20" s="289" t="s">
        <v>3370</v>
      </c>
      <c r="K20" s="289" t="s">
        <v>3744</v>
      </c>
      <c r="L20" s="290" t="s">
        <v>3771</v>
      </c>
      <c r="M20" s="285"/>
      <c r="N20" s="286"/>
      <c r="O20" s="291"/>
      <c r="P20" s="157"/>
      <c r="Q20" s="157"/>
      <c r="R20" s="157"/>
      <c r="S20" s="157"/>
      <c r="T20" s="157"/>
      <c r="U20" s="157"/>
      <c r="V20" s="157"/>
      <c r="W20" s="157"/>
      <c r="X20" s="157"/>
      <c r="Y20" s="157"/>
      <c r="Z20" s="157"/>
    </row>
    <row r="21" ht="42.0" customHeight="1">
      <c r="A21" s="284">
        <v>34908.0</v>
      </c>
      <c r="B21" s="285" t="s">
        <v>21</v>
      </c>
      <c r="C21" s="286">
        <v>850.0</v>
      </c>
      <c r="D21" s="285" t="s">
        <v>3772</v>
      </c>
      <c r="E21" s="287" t="s">
        <v>3773</v>
      </c>
      <c r="F21" s="288">
        <v>44160.0</v>
      </c>
      <c r="G21" s="288">
        <v>44154.0</v>
      </c>
      <c r="H21" s="288">
        <v>44154.0</v>
      </c>
      <c r="I21" s="288">
        <v>44169.0</v>
      </c>
      <c r="J21" s="289"/>
      <c r="K21" s="289"/>
      <c r="L21" s="290" t="s">
        <v>3774</v>
      </c>
      <c r="M21" s="285"/>
      <c r="N21" s="286"/>
      <c r="O21" s="291"/>
      <c r="P21" s="157"/>
      <c r="Q21" s="157"/>
      <c r="R21" s="157"/>
      <c r="S21" s="157"/>
      <c r="T21" s="157"/>
      <c r="U21" s="157"/>
      <c r="V21" s="157"/>
      <c r="W21" s="157"/>
      <c r="X21" s="157"/>
      <c r="Y21" s="157"/>
      <c r="Z21" s="157"/>
    </row>
    <row r="22" ht="42.0" customHeight="1">
      <c r="A22" s="284">
        <v>34843.0</v>
      </c>
      <c r="B22" s="285" t="s">
        <v>21</v>
      </c>
      <c r="C22" s="286">
        <v>1014.0</v>
      </c>
      <c r="D22" s="285" t="s">
        <v>3775</v>
      </c>
      <c r="E22" s="287" t="s">
        <v>3776</v>
      </c>
      <c r="F22" s="288">
        <v>44159.0</v>
      </c>
      <c r="G22" s="288">
        <v>44154.0</v>
      </c>
      <c r="H22" s="288">
        <v>44154.0</v>
      </c>
      <c r="I22" s="288">
        <v>44166.0</v>
      </c>
      <c r="J22" s="289" t="s">
        <v>3370</v>
      </c>
      <c r="K22" s="289" t="s">
        <v>3744</v>
      </c>
      <c r="L22" s="290" t="s">
        <v>3777</v>
      </c>
      <c r="M22" s="285"/>
      <c r="N22" s="286"/>
      <c r="O22" s="291"/>
      <c r="P22" s="157"/>
      <c r="Q22" s="157"/>
      <c r="R22" s="157"/>
      <c r="S22" s="157"/>
      <c r="T22" s="157"/>
      <c r="U22" s="157"/>
      <c r="V22" s="157"/>
      <c r="W22" s="157"/>
      <c r="X22" s="157"/>
      <c r="Y22" s="157"/>
      <c r="Z22" s="157"/>
    </row>
    <row r="23" ht="42.0" customHeight="1">
      <c r="A23" s="284">
        <v>34904.0</v>
      </c>
      <c r="B23" s="292" t="s">
        <v>715</v>
      </c>
      <c r="C23" s="286">
        <v>930.0</v>
      </c>
      <c r="D23" s="285" t="s">
        <v>3778</v>
      </c>
      <c r="E23" s="287" t="s">
        <v>3779</v>
      </c>
      <c r="F23" s="288">
        <v>44158.0</v>
      </c>
      <c r="G23" s="288">
        <v>44154.0</v>
      </c>
      <c r="H23" s="288">
        <v>44154.0</v>
      </c>
      <c r="I23" s="285" t="s">
        <v>3780</v>
      </c>
      <c r="J23" s="294" t="s">
        <v>2535</v>
      </c>
      <c r="K23" s="294" t="s">
        <v>2535</v>
      </c>
      <c r="L23" s="290" t="s">
        <v>3781</v>
      </c>
      <c r="M23" s="285"/>
      <c r="N23" s="286"/>
      <c r="O23" s="291"/>
      <c r="P23" s="157"/>
      <c r="Q23" s="157"/>
      <c r="R23" s="157"/>
      <c r="S23" s="157"/>
      <c r="T23" s="157"/>
      <c r="U23" s="157"/>
      <c r="V23" s="157"/>
      <c r="W23" s="157"/>
      <c r="X23" s="157"/>
      <c r="Y23" s="157"/>
      <c r="Z23" s="157"/>
    </row>
    <row r="24" ht="42.0" customHeight="1">
      <c r="A24" s="284">
        <v>34760.0</v>
      </c>
      <c r="B24" s="292" t="s">
        <v>3782</v>
      </c>
      <c r="C24" s="286" t="s">
        <v>3783</v>
      </c>
      <c r="D24" s="285" t="s">
        <v>3784</v>
      </c>
      <c r="E24" s="287" t="s">
        <v>3785</v>
      </c>
      <c r="F24" s="288">
        <v>44157.0</v>
      </c>
      <c r="G24" s="288"/>
      <c r="H24" s="288"/>
      <c r="I24" s="288">
        <v>44174.0</v>
      </c>
      <c r="J24" s="294" t="s">
        <v>2535</v>
      </c>
      <c r="K24" s="294" t="s">
        <v>2535</v>
      </c>
      <c r="L24" s="290" t="s">
        <v>3786</v>
      </c>
      <c r="M24" s="285"/>
      <c r="N24" s="286"/>
      <c r="O24" s="291"/>
      <c r="P24" s="157"/>
      <c r="Q24" s="157"/>
      <c r="R24" s="157"/>
      <c r="S24" s="157"/>
      <c r="T24" s="157"/>
      <c r="U24" s="157"/>
      <c r="V24" s="157"/>
      <c r="W24" s="157"/>
      <c r="X24" s="157"/>
      <c r="Y24" s="157"/>
      <c r="Z24" s="157"/>
    </row>
    <row r="25" ht="42.0" customHeight="1">
      <c r="A25" s="284">
        <v>34922.0</v>
      </c>
      <c r="B25" s="292" t="s">
        <v>25</v>
      </c>
      <c r="C25" s="286">
        <v>930.0</v>
      </c>
      <c r="D25" s="285" t="s">
        <v>3787</v>
      </c>
      <c r="E25" s="287" t="s">
        <v>3727</v>
      </c>
      <c r="F25" s="288">
        <v>44155.0</v>
      </c>
      <c r="G25" s="288">
        <v>44151.0</v>
      </c>
      <c r="H25" s="288">
        <v>44162.0</v>
      </c>
      <c r="I25" s="285" t="s">
        <v>3788</v>
      </c>
      <c r="J25" s="294" t="s">
        <v>2535</v>
      </c>
      <c r="K25" s="294" t="s">
        <v>2535</v>
      </c>
      <c r="L25" s="290" t="s">
        <v>3789</v>
      </c>
      <c r="M25" s="285"/>
      <c r="N25" s="286"/>
      <c r="O25" s="291"/>
      <c r="P25" s="157"/>
      <c r="Q25" s="157"/>
      <c r="R25" s="157"/>
      <c r="S25" s="157"/>
      <c r="T25" s="157"/>
      <c r="U25" s="157"/>
      <c r="V25" s="157"/>
      <c r="W25" s="157"/>
      <c r="X25" s="157"/>
      <c r="Y25" s="157"/>
      <c r="Z25" s="157"/>
    </row>
    <row r="26" ht="42.0" customHeight="1">
      <c r="A26" s="284">
        <v>34474.0</v>
      </c>
      <c r="B26" s="285" t="s">
        <v>21</v>
      </c>
      <c r="C26" s="286">
        <v>3000.0</v>
      </c>
      <c r="D26" s="285" t="s">
        <v>3790</v>
      </c>
      <c r="E26" s="287" t="s">
        <v>3791</v>
      </c>
      <c r="F26" s="288">
        <v>44153.0</v>
      </c>
      <c r="G26" s="288">
        <v>44151.0</v>
      </c>
      <c r="H26" s="288">
        <v>44151.0</v>
      </c>
      <c r="I26" s="288">
        <v>44158.0</v>
      </c>
      <c r="J26" s="289" t="s">
        <v>3370</v>
      </c>
      <c r="K26" s="289" t="s">
        <v>3744</v>
      </c>
      <c r="L26" s="290" t="s">
        <v>3792</v>
      </c>
      <c r="M26" s="285" t="s">
        <v>497</v>
      </c>
      <c r="N26" s="286" t="s">
        <v>2554</v>
      </c>
      <c r="O26" s="291">
        <v>21210.0</v>
      </c>
      <c r="P26" s="157"/>
      <c r="Q26" s="157"/>
      <c r="R26" s="157"/>
      <c r="S26" s="157"/>
      <c r="T26" s="157"/>
      <c r="U26" s="157"/>
      <c r="V26" s="157"/>
      <c r="W26" s="157"/>
      <c r="X26" s="157"/>
      <c r="Y26" s="157"/>
      <c r="Z26" s="157"/>
    </row>
    <row r="27" ht="42.0" customHeight="1">
      <c r="A27" s="284">
        <v>34617.0</v>
      </c>
      <c r="B27" s="292" t="s">
        <v>25</v>
      </c>
      <c r="C27" s="286">
        <v>2100.0</v>
      </c>
      <c r="D27" s="285" t="s">
        <v>3793</v>
      </c>
      <c r="E27" s="287" t="s">
        <v>3794</v>
      </c>
      <c r="F27" s="288">
        <v>44152.0</v>
      </c>
      <c r="G27" s="288">
        <v>44148.0</v>
      </c>
      <c r="H27" s="288">
        <v>44148.0</v>
      </c>
      <c r="I27" s="285" t="s">
        <v>3795</v>
      </c>
      <c r="J27" s="294" t="s">
        <v>2535</v>
      </c>
      <c r="K27" s="294" t="s">
        <v>2535</v>
      </c>
      <c r="L27" s="290" t="s">
        <v>3796</v>
      </c>
      <c r="M27" s="285" t="s">
        <v>497</v>
      </c>
      <c r="N27" s="286" t="s">
        <v>2554</v>
      </c>
      <c r="O27" s="291">
        <v>28812.0</v>
      </c>
      <c r="P27" s="157"/>
      <c r="Q27" s="157"/>
      <c r="R27" s="157"/>
      <c r="S27" s="157"/>
      <c r="T27" s="157"/>
      <c r="U27" s="157"/>
      <c r="V27" s="157"/>
      <c r="W27" s="157"/>
      <c r="X27" s="157"/>
      <c r="Y27" s="157"/>
      <c r="Z27" s="157"/>
    </row>
    <row r="28" ht="42.0" customHeight="1">
      <c r="A28" s="284">
        <v>34619.0</v>
      </c>
      <c r="B28" s="292" t="s">
        <v>25</v>
      </c>
      <c r="C28" s="286">
        <v>2100.0</v>
      </c>
      <c r="D28" s="285" t="s">
        <v>3797</v>
      </c>
      <c r="E28" s="287" t="s">
        <v>3798</v>
      </c>
      <c r="F28" s="288">
        <v>44152.0</v>
      </c>
      <c r="G28" s="288">
        <v>44148.0</v>
      </c>
      <c r="H28" s="288">
        <v>44148.0</v>
      </c>
      <c r="I28" s="285" t="s">
        <v>3799</v>
      </c>
      <c r="J28" s="294" t="s">
        <v>2535</v>
      </c>
      <c r="K28" s="294" t="s">
        <v>2535</v>
      </c>
      <c r="L28" s="290" t="s">
        <v>3800</v>
      </c>
      <c r="M28" s="285" t="s">
        <v>497</v>
      </c>
      <c r="N28" s="286" t="s">
        <v>2554</v>
      </c>
      <c r="O28" s="291">
        <v>28812.0</v>
      </c>
      <c r="P28" s="157"/>
      <c r="Q28" s="157"/>
      <c r="R28" s="157"/>
      <c r="S28" s="157"/>
      <c r="T28" s="157"/>
      <c r="U28" s="157"/>
      <c r="V28" s="157"/>
      <c r="W28" s="157"/>
      <c r="X28" s="157"/>
      <c r="Y28" s="157"/>
      <c r="Z28" s="157"/>
    </row>
    <row r="29" ht="42.0" customHeight="1">
      <c r="A29" s="284">
        <v>34870.0</v>
      </c>
      <c r="B29" s="292" t="s">
        <v>715</v>
      </c>
      <c r="C29" s="286">
        <v>930.0</v>
      </c>
      <c r="D29" s="285" t="s">
        <v>3801</v>
      </c>
      <c r="E29" s="287" t="s">
        <v>3743</v>
      </c>
      <c r="F29" s="288">
        <v>44152.0</v>
      </c>
      <c r="G29" s="288">
        <v>44152.0</v>
      </c>
      <c r="H29" s="288">
        <v>44152.0</v>
      </c>
      <c r="I29" s="285" t="s">
        <v>3802</v>
      </c>
      <c r="J29" s="294" t="s">
        <v>2535</v>
      </c>
      <c r="K29" s="294" t="s">
        <v>2535</v>
      </c>
      <c r="L29" s="290" t="s">
        <v>3803</v>
      </c>
      <c r="M29" s="285"/>
      <c r="N29" s="286"/>
      <c r="O29" s="291"/>
      <c r="P29" s="157"/>
      <c r="Q29" s="157"/>
      <c r="R29" s="157"/>
      <c r="S29" s="157"/>
      <c r="T29" s="157"/>
      <c r="U29" s="157"/>
      <c r="V29" s="157"/>
      <c r="W29" s="157"/>
      <c r="X29" s="157"/>
      <c r="Y29" s="157"/>
      <c r="Z29" s="157"/>
    </row>
    <row r="30" ht="42.0" customHeight="1">
      <c r="A30" s="284">
        <v>34871.0</v>
      </c>
      <c r="B30" s="292" t="s">
        <v>715</v>
      </c>
      <c r="C30" s="286">
        <v>930.0</v>
      </c>
      <c r="D30" s="285" t="s">
        <v>3804</v>
      </c>
      <c r="E30" s="287" t="s">
        <v>3805</v>
      </c>
      <c r="F30" s="288">
        <v>44152.0</v>
      </c>
      <c r="G30" s="288">
        <v>44151.0</v>
      </c>
      <c r="H30" s="288">
        <v>44151.0</v>
      </c>
      <c r="I30" s="285" t="s">
        <v>3806</v>
      </c>
      <c r="J30" s="294" t="s">
        <v>2535</v>
      </c>
      <c r="K30" s="294" t="s">
        <v>2535</v>
      </c>
      <c r="L30" s="290" t="s">
        <v>3807</v>
      </c>
      <c r="M30" s="285"/>
      <c r="N30" s="286"/>
      <c r="O30" s="291"/>
      <c r="P30" s="157"/>
      <c r="Q30" s="157"/>
      <c r="R30" s="157"/>
      <c r="S30" s="157"/>
      <c r="T30" s="157"/>
      <c r="U30" s="157"/>
      <c r="V30" s="157"/>
      <c r="W30" s="157"/>
      <c r="X30" s="157"/>
      <c r="Y30" s="157"/>
      <c r="Z30" s="157"/>
    </row>
    <row r="31" ht="42.0" customHeight="1">
      <c r="A31" s="284">
        <v>34710.0</v>
      </c>
      <c r="B31" s="285" t="s">
        <v>21</v>
      </c>
      <c r="C31" s="286">
        <v>2200.0</v>
      </c>
      <c r="D31" s="285" t="s">
        <v>3808</v>
      </c>
      <c r="E31" s="287" t="s">
        <v>3809</v>
      </c>
      <c r="F31" s="288">
        <v>44152.0</v>
      </c>
      <c r="G31" s="288">
        <v>44152.0</v>
      </c>
      <c r="H31" s="288">
        <v>44152.0</v>
      </c>
      <c r="I31" s="288">
        <v>44159.0</v>
      </c>
      <c r="J31" s="289"/>
      <c r="K31" s="289"/>
      <c r="L31" s="290" t="s">
        <v>3810</v>
      </c>
      <c r="M31" s="285" t="s">
        <v>497</v>
      </c>
      <c r="N31" s="286" t="s">
        <v>2554</v>
      </c>
      <c r="O31" s="291">
        <v>32252.0</v>
      </c>
      <c r="P31" s="157"/>
      <c r="Q31" s="157"/>
      <c r="R31" s="157"/>
      <c r="S31" s="157"/>
      <c r="T31" s="157"/>
      <c r="U31" s="157"/>
      <c r="V31" s="157"/>
      <c r="W31" s="157"/>
      <c r="X31" s="157"/>
      <c r="Y31" s="157"/>
      <c r="Z31" s="157"/>
    </row>
    <row r="32" ht="42.0" customHeight="1">
      <c r="A32" s="284">
        <v>34506.0</v>
      </c>
      <c r="B32" s="285" t="s">
        <v>21</v>
      </c>
      <c r="C32" s="286">
        <v>2060.0</v>
      </c>
      <c r="D32" s="285" t="s">
        <v>3811</v>
      </c>
      <c r="E32" s="287" t="s">
        <v>3812</v>
      </c>
      <c r="F32" s="288">
        <v>44152.0</v>
      </c>
      <c r="G32" s="288">
        <v>44148.0</v>
      </c>
      <c r="H32" s="288">
        <v>44148.0</v>
      </c>
      <c r="I32" s="288">
        <v>44159.0</v>
      </c>
      <c r="J32" s="294" t="s">
        <v>2535</v>
      </c>
      <c r="K32" s="294" t="s">
        <v>2535</v>
      </c>
      <c r="L32" s="290" t="s">
        <v>3813</v>
      </c>
      <c r="M32" s="285"/>
      <c r="N32" s="286"/>
      <c r="O32" s="291"/>
      <c r="P32" s="157"/>
      <c r="Q32" s="157"/>
      <c r="R32" s="157"/>
      <c r="S32" s="157"/>
      <c r="T32" s="157"/>
      <c r="U32" s="157"/>
      <c r="V32" s="157"/>
      <c r="W32" s="157"/>
      <c r="X32" s="157"/>
      <c r="Y32" s="157"/>
      <c r="Z32" s="157"/>
    </row>
    <row r="33" ht="42.0" customHeight="1">
      <c r="A33" s="284">
        <v>34472.0</v>
      </c>
      <c r="B33" s="292" t="s">
        <v>715</v>
      </c>
      <c r="C33" s="286">
        <v>1160.0</v>
      </c>
      <c r="D33" s="285" t="s">
        <v>3814</v>
      </c>
      <c r="E33" s="287" t="s">
        <v>3815</v>
      </c>
      <c r="F33" s="288">
        <v>44151.0</v>
      </c>
      <c r="G33" s="288">
        <v>44140.0</v>
      </c>
      <c r="H33" s="288">
        <v>44140.0</v>
      </c>
      <c r="I33" s="285" t="s">
        <v>3816</v>
      </c>
      <c r="J33" s="294" t="s">
        <v>2535</v>
      </c>
      <c r="K33" s="294" t="s">
        <v>2535</v>
      </c>
      <c r="L33" s="290" t="s">
        <v>3817</v>
      </c>
      <c r="M33" s="285" t="s">
        <v>497</v>
      </c>
      <c r="N33" s="286" t="s">
        <v>2554</v>
      </c>
      <c r="O33" s="291">
        <v>31865.2</v>
      </c>
      <c r="P33" s="157"/>
      <c r="Q33" s="157"/>
      <c r="R33" s="157"/>
      <c r="S33" s="157"/>
      <c r="T33" s="157"/>
      <c r="U33" s="157"/>
      <c r="V33" s="157"/>
      <c r="W33" s="157"/>
      <c r="X33" s="157"/>
      <c r="Y33" s="157"/>
      <c r="Z33" s="157"/>
    </row>
    <row r="34" ht="42.0" customHeight="1">
      <c r="A34" s="284">
        <v>34555.0</v>
      </c>
      <c r="B34" s="285" t="s">
        <v>21</v>
      </c>
      <c r="C34" s="286">
        <v>1527.0</v>
      </c>
      <c r="D34" s="285" t="s">
        <v>3818</v>
      </c>
      <c r="E34" s="287" t="s">
        <v>3819</v>
      </c>
      <c r="F34" s="288">
        <v>44149.0</v>
      </c>
      <c r="G34" s="288">
        <v>44144.0</v>
      </c>
      <c r="H34" s="288">
        <v>44144.0</v>
      </c>
      <c r="I34" s="285" t="s">
        <v>3820</v>
      </c>
      <c r="J34" s="289" t="s">
        <v>3370</v>
      </c>
      <c r="K34" s="289" t="s">
        <v>3744</v>
      </c>
      <c r="L34" s="290" t="s">
        <v>3821</v>
      </c>
      <c r="M34" s="285" t="s">
        <v>497</v>
      </c>
      <c r="N34" s="286" t="s">
        <v>2554</v>
      </c>
      <c r="O34" s="291"/>
      <c r="P34" s="157"/>
      <c r="Q34" s="157"/>
      <c r="R34" s="157"/>
      <c r="S34" s="157"/>
      <c r="T34" s="157"/>
      <c r="U34" s="157"/>
      <c r="V34" s="157"/>
      <c r="W34" s="157"/>
      <c r="X34" s="157"/>
      <c r="Y34" s="157"/>
      <c r="Z34" s="157"/>
    </row>
    <row r="35" ht="42.0" customHeight="1">
      <c r="A35" s="284">
        <v>34473.0</v>
      </c>
      <c r="B35" s="285" t="s">
        <v>21</v>
      </c>
      <c r="C35" s="286">
        <v>1160.0</v>
      </c>
      <c r="D35" s="285" t="s">
        <v>3822</v>
      </c>
      <c r="E35" s="287" t="s">
        <v>3736</v>
      </c>
      <c r="F35" s="288">
        <v>44147.0</v>
      </c>
      <c r="G35" s="288">
        <v>44141.0</v>
      </c>
      <c r="H35" s="285" t="s">
        <v>3823</v>
      </c>
      <c r="I35" s="288">
        <v>44153.0</v>
      </c>
      <c r="J35" s="289" t="s">
        <v>3370</v>
      </c>
      <c r="K35" s="289" t="s">
        <v>3744</v>
      </c>
      <c r="L35" s="290" t="s">
        <v>3824</v>
      </c>
      <c r="M35" s="285" t="s">
        <v>497</v>
      </c>
      <c r="N35" s="286" t="s">
        <v>2554</v>
      </c>
      <c r="O35" s="291">
        <v>31865.2</v>
      </c>
      <c r="P35" s="157"/>
      <c r="Q35" s="157"/>
      <c r="R35" s="157"/>
      <c r="S35" s="157"/>
      <c r="T35" s="157"/>
      <c r="U35" s="157"/>
      <c r="V35" s="157"/>
      <c r="W35" s="157"/>
      <c r="X35" s="157"/>
      <c r="Y35" s="157"/>
      <c r="Z35" s="157"/>
    </row>
    <row r="36" ht="42.0" customHeight="1">
      <c r="A36" s="284">
        <v>34554.0</v>
      </c>
      <c r="B36" s="292" t="s">
        <v>715</v>
      </c>
      <c r="C36" s="286">
        <v>1568.0</v>
      </c>
      <c r="D36" s="285" t="s">
        <v>3825</v>
      </c>
      <c r="E36" s="287" t="s">
        <v>3826</v>
      </c>
      <c r="F36" s="288">
        <v>44146.0</v>
      </c>
      <c r="G36" s="288">
        <v>44141.0</v>
      </c>
      <c r="H36" s="288">
        <v>44141.0</v>
      </c>
      <c r="I36" s="285" t="s">
        <v>3827</v>
      </c>
      <c r="J36" s="294" t="s">
        <v>2535</v>
      </c>
      <c r="K36" s="294" t="s">
        <v>2535</v>
      </c>
      <c r="L36" s="290" t="s">
        <v>3828</v>
      </c>
      <c r="M36" s="285" t="s">
        <v>497</v>
      </c>
      <c r="N36" s="286" t="s">
        <v>2554</v>
      </c>
      <c r="O36" s="291">
        <v>35032.2</v>
      </c>
      <c r="P36" s="157"/>
      <c r="Q36" s="157"/>
      <c r="R36" s="157"/>
      <c r="S36" s="157"/>
      <c r="T36" s="157"/>
      <c r="U36" s="157"/>
      <c r="V36" s="157"/>
      <c r="W36" s="157"/>
      <c r="X36" s="157"/>
      <c r="Y36" s="157"/>
      <c r="Z36" s="157"/>
    </row>
    <row r="37" ht="42.0" customHeight="1">
      <c r="A37" s="284">
        <v>34589.0</v>
      </c>
      <c r="B37" s="292" t="s">
        <v>715</v>
      </c>
      <c r="C37" s="286">
        <v>1290.0</v>
      </c>
      <c r="D37" s="285" t="s">
        <v>3829</v>
      </c>
      <c r="E37" s="287" t="s">
        <v>3830</v>
      </c>
      <c r="F37" s="288">
        <v>44146.0</v>
      </c>
      <c r="G37" s="288">
        <v>44141.0</v>
      </c>
      <c r="H37" s="288">
        <v>44141.0</v>
      </c>
      <c r="I37" s="285" t="s">
        <v>3831</v>
      </c>
      <c r="J37" s="294" t="s">
        <v>2535</v>
      </c>
      <c r="K37" s="294" t="s">
        <v>2535</v>
      </c>
      <c r="L37" s="290" t="s">
        <v>3832</v>
      </c>
      <c r="M37" s="285" t="s">
        <v>497</v>
      </c>
      <c r="N37" s="286" t="s">
        <v>2554</v>
      </c>
      <c r="O37" s="291">
        <v>44247.0</v>
      </c>
      <c r="P37" s="157"/>
      <c r="Q37" s="157"/>
      <c r="R37" s="157"/>
      <c r="S37" s="157"/>
      <c r="T37" s="157"/>
      <c r="U37" s="157"/>
      <c r="V37" s="157"/>
      <c r="W37" s="157"/>
      <c r="X37" s="157"/>
      <c r="Y37" s="157"/>
      <c r="Z37" s="157"/>
    </row>
    <row r="38" ht="42.0" customHeight="1">
      <c r="A38" s="284">
        <v>34842.0</v>
      </c>
      <c r="B38" s="292" t="s">
        <v>715</v>
      </c>
      <c r="C38" s="286">
        <v>1680.0</v>
      </c>
      <c r="D38" s="285" t="s">
        <v>3833</v>
      </c>
      <c r="E38" s="287" t="s">
        <v>3752</v>
      </c>
      <c r="F38" s="288">
        <v>44145.0</v>
      </c>
      <c r="G38" s="288">
        <v>44145.0</v>
      </c>
      <c r="H38" s="288">
        <v>44145.0</v>
      </c>
      <c r="I38" s="285" t="s">
        <v>3834</v>
      </c>
      <c r="J38" s="294" t="s">
        <v>2535</v>
      </c>
      <c r="K38" s="294" t="s">
        <v>2535</v>
      </c>
      <c r="L38" s="290" t="s">
        <v>3835</v>
      </c>
      <c r="M38" s="285"/>
      <c r="N38" s="286"/>
      <c r="O38" s="291"/>
      <c r="P38" s="157"/>
      <c r="Q38" s="157"/>
      <c r="R38" s="157"/>
      <c r="S38" s="157"/>
      <c r="T38" s="157"/>
      <c r="U38" s="157"/>
      <c r="V38" s="157"/>
      <c r="W38" s="157"/>
      <c r="X38" s="157"/>
      <c r="Y38" s="157"/>
      <c r="Z38" s="157"/>
    </row>
    <row r="39" ht="42.0" customHeight="1">
      <c r="A39" s="284">
        <v>34841.0</v>
      </c>
      <c r="B39" s="292" t="s">
        <v>715</v>
      </c>
      <c r="C39" s="286">
        <v>930.0</v>
      </c>
      <c r="D39" s="285" t="s">
        <v>3836</v>
      </c>
      <c r="E39" s="287" t="s">
        <v>3743</v>
      </c>
      <c r="F39" s="288">
        <v>44145.0</v>
      </c>
      <c r="G39" s="288">
        <v>44144.0</v>
      </c>
      <c r="H39" s="288">
        <v>44144.0</v>
      </c>
      <c r="I39" s="285" t="s">
        <v>3837</v>
      </c>
      <c r="J39" s="294" t="s">
        <v>2535</v>
      </c>
      <c r="K39" s="294" t="s">
        <v>2535</v>
      </c>
      <c r="L39" s="290" t="s">
        <v>3838</v>
      </c>
      <c r="M39" s="285"/>
      <c r="N39" s="286"/>
      <c r="O39" s="291"/>
      <c r="P39" s="157"/>
      <c r="Q39" s="157"/>
      <c r="R39" s="157"/>
      <c r="S39" s="157"/>
      <c r="T39" s="157"/>
      <c r="U39" s="157"/>
      <c r="V39" s="157"/>
      <c r="W39" s="157"/>
      <c r="X39" s="157"/>
      <c r="Y39" s="157"/>
      <c r="Z39" s="157"/>
    </row>
    <row r="40" ht="42.0" customHeight="1">
      <c r="A40" s="284">
        <v>34446.0</v>
      </c>
      <c r="B40" s="285" t="s">
        <v>21</v>
      </c>
      <c r="C40" s="286" t="s">
        <v>3839</v>
      </c>
      <c r="D40" s="285" t="s">
        <v>3840</v>
      </c>
      <c r="E40" s="287" t="s">
        <v>3841</v>
      </c>
      <c r="F40" s="288">
        <v>44145.0</v>
      </c>
      <c r="G40" s="288">
        <v>44152.0</v>
      </c>
      <c r="H40" s="288">
        <v>44152.0</v>
      </c>
      <c r="I40" s="285" t="s">
        <v>3842</v>
      </c>
      <c r="J40" s="289"/>
      <c r="K40" s="289"/>
      <c r="L40" s="290" t="s">
        <v>3843</v>
      </c>
      <c r="M40" s="285"/>
      <c r="N40" s="286"/>
      <c r="O40" s="291"/>
      <c r="P40" s="157"/>
      <c r="Q40" s="157"/>
      <c r="R40" s="157"/>
      <c r="S40" s="157"/>
      <c r="T40" s="157"/>
      <c r="U40" s="157"/>
      <c r="V40" s="157"/>
      <c r="W40" s="157"/>
      <c r="X40" s="157"/>
      <c r="Y40" s="157"/>
      <c r="Z40" s="157"/>
    </row>
    <row r="41" ht="42.0" customHeight="1">
      <c r="A41" s="284">
        <v>34907.0</v>
      </c>
      <c r="B41" s="292" t="s">
        <v>25</v>
      </c>
      <c r="C41" s="286" t="s">
        <v>3844</v>
      </c>
      <c r="D41" s="285" t="s">
        <v>3845</v>
      </c>
      <c r="E41" s="287" t="s">
        <v>3846</v>
      </c>
      <c r="F41" s="288">
        <v>44143.0</v>
      </c>
      <c r="G41" s="288">
        <v>44140.0</v>
      </c>
      <c r="H41" s="288">
        <v>44140.0</v>
      </c>
      <c r="I41" s="295">
        <v>44153.625</v>
      </c>
      <c r="J41" s="294" t="s">
        <v>2535</v>
      </c>
      <c r="K41" s="294" t="s">
        <v>2535</v>
      </c>
      <c r="L41" s="290" t="s">
        <v>3847</v>
      </c>
      <c r="M41" s="285"/>
      <c r="N41" s="286"/>
      <c r="O41" s="291"/>
      <c r="P41" s="157"/>
      <c r="Q41" s="157"/>
      <c r="R41" s="157"/>
      <c r="S41" s="157"/>
      <c r="T41" s="157"/>
      <c r="U41" s="157"/>
      <c r="V41" s="157"/>
      <c r="W41" s="157"/>
      <c r="X41" s="157"/>
      <c r="Y41" s="157"/>
      <c r="Z41" s="157"/>
    </row>
    <row r="42" ht="42.0" customHeight="1">
      <c r="A42" s="284">
        <v>34906.0</v>
      </c>
      <c r="B42" s="292" t="s">
        <v>25</v>
      </c>
      <c r="C42" s="286">
        <v>930.0</v>
      </c>
      <c r="D42" s="285" t="s">
        <v>3848</v>
      </c>
      <c r="E42" s="287" t="s">
        <v>3743</v>
      </c>
      <c r="F42" s="288">
        <v>44143.0</v>
      </c>
      <c r="G42" s="288">
        <v>44140.0</v>
      </c>
      <c r="H42" s="288">
        <v>44140.0</v>
      </c>
      <c r="I42" s="288">
        <v>44147.0</v>
      </c>
      <c r="J42" s="294" t="s">
        <v>2535</v>
      </c>
      <c r="K42" s="294" t="s">
        <v>2535</v>
      </c>
      <c r="L42" s="290" t="s">
        <v>3849</v>
      </c>
      <c r="M42" s="285"/>
      <c r="N42" s="286"/>
      <c r="O42" s="291"/>
      <c r="P42" s="157"/>
      <c r="Q42" s="157"/>
      <c r="R42" s="157"/>
      <c r="S42" s="157"/>
      <c r="T42" s="157"/>
      <c r="U42" s="157"/>
      <c r="V42" s="157"/>
      <c r="W42" s="157"/>
      <c r="X42" s="157"/>
      <c r="Y42" s="157"/>
      <c r="Z42" s="157"/>
    </row>
    <row r="43" ht="42.0" customHeight="1">
      <c r="A43" s="284">
        <v>34818.0</v>
      </c>
      <c r="B43" s="292" t="s">
        <v>715</v>
      </c>
      <c r="C43" s="286">
        <v>1680.0</v>
      </c>
      <c r="D43" s="285" t="s">
        <v>3850</v>
      </c>
      <c r="E43" s="287" t="s">
        <v>3752</v>
      </c>
      <c r="F43" s="288">
        <v>44138.0</v>
      </c>
      <c r="G43" s="288">
        <v>44137.0</v>
      </c>
      <c r="H43" s="288">
        <v>44137.0</v>
      </c>
      <c r="I43" s="285" t="s">
        <v>3851</v>
      </c>
      <c r="J43" s="294" t="s">
        <v>2535</v>
      </c>
      <c r="K43" s="294" t="s">
        <v>2535</v>
      </c>
      <c r="L43" s="290" t="s">
        <v>3852</v>
      </c>
      <c r="M43" s="285"/>
      <c r="N43" s="286"/>
      <c r="O43" s="291"/>
      <c r="P43" s="157"/>
      <c r="Q43" s="157"/>
      <c r="R43" s="157"/>
      <c r="S43" s="157"/>
      <c r="T43" s="157"/>
      <c r="U43" s="157"/>
      <c r="V43" s="157"/>
      <c r="W43" s="157"/>
      <c r="X43" s="157"/>
      <c r="Y43" s="157"/>
      <c r="Z43" s="157"/>
    </row>
    <row r="44" ht="42.0" customHeight="1">
      <c r="A44" s="284">
        <v>34819.0</v>
      </c>
      <c r="B44" s="292" t="s">
        <v>715</v>
      </c>
      <c r="C44" s="286">
        <v>930.0</v>
      </c>
      <c r="D44" s="285" t="s">
        <v>3853</v>
      </c>
      <c r="E44" s="287" t="s">
        <v>3854</v>
      </c>
      <c r="F44" s="288">
        <v>44138.0</v>
      </c>
      <c r="G44" s="288">
        <v>44134.0</v>
      </c>
      <c r="H44" s="288">
        <v>44134.0</v>
      </c>
      <c r="I44" s="285" t="s">
        <v>3855</v>
      </c>
      <c r="J44" s="294" t="s">
        <v>2535</v>
      </c>
      <c r="K44" s="294" t="s">
        <v>2535</v>
      </c>
      <c r="L44" s="290" t="s">
        <v>3856</v>
      </c>
      <c r="M44" s="285"/>
      <c r="N44" s="286"/>
      <c r="O44" s="291"/>
      <c r="P44" s="157"/>
      <c r="Q44" s="157"/>
      <c r="R44" s="157"/>
      <c r="S44" s="157"/>
      <c r="T44" s="157"/>
      <c r="U44" s="157"/>
      <c r="V44" s="157"/>
      <c r="W44" s="157"/>
      <c r="X44" s="157"/>
      <c r="Y44" s="157"/>
      <c r="Z44" s="157"/>
    </row>
    <row r="45" ht="42.0" customHeight="1">
      <c r="A45" s="284">
        <v>34820.0</v>
      </c>
      <c r="B45" s="292" t="s">
        <v>715</v>
      </c>
      <c r="C45" s="286" t="s">
        <v>3746</v>
      </c>
      <c r="D45" s="285" t="s">
        <v>3857</v>
      </c>
      <c r="E45" s="287" t="s">
        <v>3748</v>
      </c>
      <c r="F45" s="288">
        <v>44138.0</v>
      </c>
      <c r="G45" s="288">
        <v>44134.0</v>
      </c>
      <c r="H45" s="288">
        <v>44134.0</v>
      </c>
      <c r="I45" s="285" t="s">
        <v>3858</v>
      </c>
      <c r="J45" s="294" t="s">
        <v>2535</v>
      </c>
      <c r="K45" s="294" t="s">
        <v>2535</v>
      </c>
      <c r="L45" s="290" t="s">
        <v>3859</v>
      </c>
      <c r="M45" s="285"/>
      <c r="N45" s="286"/>
      <c r="O45" s="291"/>
      <c r="P45" s="157"/>
      <c r="Q45" s="157"/>
      <c r="R45" s="157"/>
      <c r="S45" s="157"/>
      <c r="T45" s="157"/>
      <c r="U45" s="157"/>
      <c r="V45" s="157"/>
      <c r="W45" s="157"/>
      <c r="X45" s="157"/>
      <c r="Y45" s="157"/>
      <c r="Z45" s="157"/>
    </row>
    <row r="46" ht="42.0" customHeight="1">
      <c r="A46" s="284">
        <v>34816.0</v>
      </c>
      <c r="B46" s="292" t="s">
        <v>715</v>
      </c>
      <c r="C46" s="286">
        <v>1074.0</v>
      </c>
      <c r="D46" s="285" t="s">
        <v>3860</v>
      </c>
      <c r="E46" s="287" t="s">
        <v>3861</v>
      </c>
      <c r="F46" s="288">
        <v>44134.0</v>
      </c>
      <c r="G46" s="288">
        <v>44131.0</v>
      </c>
      <c r="H46" s="288">
        <v>44131.0</v>
      </c>
      <c r="I46" s="285" t="s">
        <v>3862</v>
      </c>
      <c r="J46" s="294" t="s">
        <v>2535</v>
      </c>
      <c r="K46" s="294" t="s">
        <v>2535</v>
      </c>
      <c r="L46" s="290" t="s">
        <v>3863</v>
      </c>
      <c r="M46" s="285"/>
      <c r="N46" s="286"/>
      <c r="O46" s="291"/>
      <c r="P46" s="157"/>
      <c r="Q46" s="157"/>
      <c r="R46" s="157"/>
      <c r="S46" s="157"/>
      <c r="T46" s="157"/>
      <c r="U46" s="157"/>
      <c r="V46" s="157"/>
      <c r="W46" s="157"/>
      <c r="X46" s="157"/>
      <c r="Y46" s="157"/>
      <c r="Z46" s="157"/>
    </row>
    <row r="47" ht="42.0" customHeight="1">
      <c r="A47" s="284">
        <v>34662.0</v>
      </c>
      <c r="B47" s="292" t="s">
        <v>21</v>
      </c>
      <c r="C47" s="286">
        <v>869.0</v>
      </c>
      <c r="D47" s="285" t="s">
        <v>3864</v>
      </c>
      <c r="E47" s="287" t="s">
        <v>3865</v>
      </c>
      <c r="F47" s="288">
        <v>44134.0</v>
      </c>
      <c r="G47" s="288">
        <v>44130.0</v>
      </c>
      <c r="H47" s="288">
        <v>44130.0</v>
      </c>
      <c r="I47" s="285" t="s">
        <v>3866</v>
      </c>
      <c r="J47" s="289"/>
      <c r="K47" s="289"/>
      <c r="L47" s="290" t="s">
        <v>3867</v>
      </c>
      <c r="M47" s="285" t="s">
        <v>2537</v>
      </c>
      <c r="N47" s="286" t="s">
        <v>3868</v>
      </c>
      <c r="O47" s="291"/>
      <c r="P47" s="157"/>
      <c r="Q47" s="157"/>
      <c r="R47" s="157"/>
      <c r="S47" s="157"/>
      <c r="T47" s="157"/>
      <c r="U47" s="157"/>
      <c r="V47" s="157"/>
      <c r="W47" s="157"/>
      <c r="X47" s="157"/>
      <c r="Y47" s="157"/>
      <c r="Z47" s="157"/>
    </row>
    <row r="48" ht="42.0" customHeight="1">
      <c r="A48" s="284">
        <v>34815.0</v>
      </c>
      <c r="B48" s="292" t="s">
        <v>715</v>
      </c>
      <c r="C48" s="286">
        <v>1029.0</v>
      </c>
      <c r="D48" s="285" t="s">
        <v>3869</v>
      </c>
      <c r="E48" s="287" t="s">
        <v>3870</v>
      </c>
      <c r="F48" s="288">
        <v>44133.0</v>
      </c>
      <c r="G48" s="288">
        <v>44131.0</v>
      </c>
      <c r="H48" s="288">
        <v>44131.0</v>
      </c>
      <c r="I48" s="285" t="s">
        <v>3871</v>
      </c>
      <c r="J48" s="294" t="s">
        <v>2535</v>
      </c>
      <c r="K48" s="294" t="s">
        <v>2535</v>
      </c>
      <c r="L48" s="290" t="s">
        <v>3872</v>
      </c>
      <c r="M48" s="285"/>
      <c r="N48" s="286"/>
      <c r="O48" s="291"/>
      <c r="P48" s="157"/>
      <c r="Q48" s="157"/>
      <c r="R48" s="157"/>
      <c r="S48" s="157"/>
      <c r="T48" s="157"/>
      <c r="U48" s="157"/>
      <c r="V48" s="157"/>
      <c r="W48" s="157"/>
      <c r="X48" s="157"/>
      <c r="Y48" s="157"/>
      <c r="Z48" s="157"/>
    </row>
    <row r="49" ht="42.0" customHeight="1">
      <c r="A49" s="284">
        <v>34779.0</v>
      </c>
      <c r="B49" s="292" t="s">
        <v>715</v>
      </c>
      <c r="C49" s="286" t="s">
        <v>3873</v>
      </c>
      <c r="D49" s="285" t="s">
        <v>3874</v>
      </c>
      <c r="E49" s="287" t="s">
        <v>3875</v>
      </c>
      <c r="F49" s="288">
        <v>44133.0</v>
      </c>
      <c r="G49" s="288">
        <v>44131.0</v>
      </c>
      <c r="H49" s="288">
        <v>44131.0</v>
      </c>
      <c r="I49" s="285" t="s">
        <v>3876</v>
      </c>
      <c r="J49" s="294" t="s">
        <v>2535</v>
      </c>
      <c r="K49" s="294" t="s">
        <v>2535</v>
      </c>
      <c r="L49" s="290" t="s">
        <v>3877</v>
      </c>
      <c r="M49" s="285"/>
      <c r="N49" s="286"/>
      <c r="O49" s="291"/>
      <c r="P49" s="157"/>
      <c r="Q49" s="157"/>
      <c r="R49" s="157"/>
      <c r="S49" s="157"/>
      <c r="T49" s="157"/>
      <c r="U49" s="157"/>
      <c r="V49" s="157"/>
      <c r="W49" s="157"/>
      <c r="X49" s="157"/>
      <c r="Y49" s="157"/>
      <c r="Z49" s="157"/>
    </row>
    <row r="50" ht="42.0" customHeight="1">
      <c r="A50" s="284">
        <v>34260.0</v>
      </c>
      <c r="B50" s="292" t="s">
        <v>21</v>
      </c>
      <c r="C50" s="286">
        <v>810.0</v>
      </c>
      <c r="D50" s="285" t="s">
        <v>3878</v>
      </c>
      <c r="E50" s="287" t="s">
        <v>3740</v>
      </c>
      <c r="F50" s="288">
        <v>44132.0</v>
      </c>
      <c r="G50" s="288">
        <v>44123.0</v>
      </c>
      <c r="H50" s="288">
        <v>44123.0</v>
      </c>
      <c r="I50" s="288">
        <v>44132.0</v>
      </c>
      <c r="J50" s="285" t="s">
        <v>3370</v>
      </c>
      <c r="K50" s="294" t="s">
        <v>3879</v>
      </c>
      <c r="L50" s="290" t="s">
        <v>3880</v>
      </c>
      <c r="M50" s="285"/>
      <c r="N50" s="286"/>
      <c r="O50" s="291"/>
      <c r="P50" s="157"/>
      <c r="Q50" s="157"/>
      <c r="R50" s="157"/>
      <c r="S50" s="157"/>
      <c r="T50" s="157"/>
      <c r="U50" s="157"/>
      <c r="V50" s="157"/>
      <c r="W50" s="157"/>
      <c r="X50" s="157"/>
      <c r="Y50" s="157"/>
      <c r="Z50" s="157"/>
    </row>
    <row r="51" ht="42.0" customHeight="1">
      <c r="A51" s="284">
        <v>34838.0</v>
      </c>
      <c r="B51" s="292" t="s">
        <v>21</v>
      </c>
      <c r="C51" s="286" t="s">
        <v>3881</v>
      </c>
      <c r="D51" s="285" t="s">
        <v>3882</v>
      </c>
      <c r="E51" s="287" t="s">
        <v>3883</v>
      </c>
      <c r="F51" s="288">
        <v>44132.0</v>
      </c>
      <c r="G51" s="288">
        <v>44125.0</v>
      </c>
      <c r="H51" s="288">
        <v>44125.0</v>
      </c>
      <c r="I51" s="288">
        <v>44138.0</v>
      </c>
      <c r="J51" s="296"/>
      <c r="K51" s="289"/>
      <c r="L51" s="290" t="s">
        <v>3884</v>
      </c>
      <c r="M51" s="285"/>
      <c r="N51" s="286"/>
      <c r="O51" s="291"/>
      <c r="P51" s="157"/>
      <c r="Q51" s="157"/>
      <c r="R51" s="157"/>
      <c r="S51" s="157"/>
      <c r="T51" s="157"/>
      <c r="U51" s="157"/>
      <c r="V51" s="157"/>
      <c r="W51" s="157"/>
      <c r="X51" s="157"/>
      <c r="Y51" s="157"/>
      <c r="Z51" s="157"/>
    </row>
    <row r="52" ht="42.0" customHeight="1">
      <c r="A52" s="284">
        <v>34771.0</v>
      </c>
      <c r="B52" s="292" t="s">
        <v>21</v>
      </c>
      <c r="C52" s="286" t="s">
        <v>3746</v>
      </c>
      <c r="D52" s="285" t="s">
        <v>3885</v>
      </c>
      <c r="E52" s="287" t="s">
        <v>3748</v>
      </c>
      <c r="F52" s="288">
        <v>44132.0</v>
      </c>
      <c r="G52" s="288">
        <v>44130.0</v>
      </c>
      <c r="H52" s="288">
        <v>44130.0</v>
      </c>
      <c r="I52" s="288">
        <v>44139.0</v>
      </c>
      <c r="J52" s="292" t="s">
        <v>3370</v>
      </c>
      <c r="K52" s="297" t="s">
        <v>3744</v>
      </c>
      <c r="L52" s="290" t="s">
        <v>3886</v>
      </c>
      <c r="M52" s="285"/>
      <c r="N52" s="286"/>
      <c r="O52" s="291"/>
      <c r="P52" s="157"/>
      <c r="Q52" s="157"/>
      <c r="R52" s="157"/>
      <c r="S52" s="157"/>
      <c r="T52" s="157"/>
      <c r="U52" s="157"/>
      <c r="V52" s="157"/>
      <c r="W52" s="157"/>
      <c r="X52" s="157"/>
      <c r="Y52" s="157"/>
      <c r="Z52" s="157"/>
    </row>
    <row r="53" ht="42.0" customHeight="1">
      <c r="A53" s="284">
        <v>34772.0</v>
      </c>
      <c r="B53" s="292" t="s">
        <v>21</v>
      </c>
      <c r="C53" s="286">
        <v>1680.0</v>
      </c>
      <c r="D53" s="285" t="s">
        <v>3887</v>
      </c>
      <c r="E53" s="287" t="s">
        <v>3888</v>
      </c>
      <c r="F53" s="288">
        <v>44132.0</v>
      </c>
      <c r="G53" s="288">
        <v>44130.0</v>
      </c>
      <c r="H53" s="288">
        <v>44130.0</v>
      </c>
      <c r="I53" s="288">
        <v>44138.0</v>
      </c>
      <c r="J53" s="292" t="s">
        <v>3370</v>
      </c>
      <c r="K53" s="297" t="s">
        <v>3744</v>
      </c>
      <c r="L53" s="290" t="s">
        <v>3889</v>
      </c>
      <c r="M53" s="285"/>
      <c r="N53" s="286"/>
      <c r="O53" s="291"/>
      <c r="P53" s="157"/>
      <c r="Q53" s="157"/>
      <c r="R53" s="157"/>
      <c r="S53" s="157"/>
      <c r="T53" s="157"/>
      <c r="U53" s="157"/>
      <c r="V53" s="157"/>
      <c r="W53" s="157"/>
      <c r="X53" s="157"/>
      <c r="Y53" s="157"/>
      <c r="Z53" s="157"/>
    </row>
    <row r="54" ht="42.0" customHeight="1">
      <c r="A54" s="284">
        <v>34471.0</v>
      </c>
      <c r="B54" s="292" t="s">
        <v>25</v>
      </c>
      <c r="C54" s="286">
        <v>2100.0</v>
      </c>
      <c r="D54" s="285" t="s">
        <v>3890</v>
      </c>
      <c r="E54" s="287" t="s">
        <v>3891</v>
      </c>
      <c r="F54" s="288">
        <v>44130.0</v>
      </c>
      <c r="G54" s="288">
        <v>44137.0</v>
      </c>
      <c r="H54" s="288">
        <v>44137.0</v>
      </c>
      <c r="I54" s="285" t="s">
        <v>3892</v>
      </c>
      <c r="J54" s="294" t="s">
        <v>2535</v>
      </c>
      <c r="K54" s="294" t="s">
        <v>2535</v>
      </c>
      <c r="L54" s="290" t="s">
        <v>3893</v>
      </c>
      <c r="M54" s="285" t="s">
        <v>497</v>
      </c>
      <c r="N54" s="286" t="s">
        <v>2554</v>
      </c>
      <c r="O54" s="291">
        <v>28812.0</v>
      </c>
      <c r="P54" s="157"/>
      <c r="Q54" s="157"/>
      <c r="R54" s="157"/>
      <c r="S54" s="157"/>
      <c r="T54" s="157"/>
      <c r="U54" s="157"/>
      <c r="V54" s="157"/>
      <c r="W54" s="157"/>
      <c r="X54" s="157"/>
      <c r="Y54" s="157"/>
      <c r="Z54" s="157"/>
    </row>
    <row r="55" ht="42.0" customHeight="1">
      <c r="A55" s="284">
        <v>34587.0</v>
      </c>
      <c r="B55" s="292" t="s">
        <v>715</v>
      </c>
      <c r="C55" s="286">
        <v>1290.0</v>
      </c>
      <c r="D55" s="285" t="s">
        <v>3894</v>
      </c>
      <c r="E55" s="287" t="s">
        <v>3895</v>
      </c>
      <c r="F55" s="288">
        <v>44130.0</v>
      </c>
      <c r="G55" s="288">
        <v>44126.0</v>
      </c>
      <c r="H55" s="288">
        <v>44126.0</v>
      </c>
      <c r="I55" s="288">
        <v>44140.0</v>
      </c>
      <c r="J55" s="294" t="s">
        <v>2535</v>
      </c>
      <c r="K55" s="294" t="s">
        <v>2535</v>
      </c>
      <c r="L55" s="290" t="s">
        <v>3896</v>
      </c>
      <c r="M55" s="285" t="s">
        <v>497</v>
      </c>
      <c r="N55" s="286" t="s">
        <v>2554</v>
      </c>
      <c r="O55" s="291"/>
      <c r="P55" s="157"/>
      <c r="Q55" s="157"/>
      <c r="R55" s="157"/>
      <c r="S55" s="157"/>
      <c r="T55" s="157"/>
      <c r="U55" s="157"/>
      <c r="V55" s="157"/>
      <c r="W55" s="157"/>
      <c r="X55" s="157"/>
      <c r="Y55" s="157"/>
      <c r="Z55" s="157"/>
    </row>
    <row r="56" ht="42.0" customHeight="1">
      <c r="A56" s="284">
        <v>34586.0</v>
      </c>
      <c r="B56" s="292" t="s">
        <v>715</v>
      </c>
      <c r="C56" s="286">
        <v>1290.0</v>
      </c>
      <c r="D56" s="285" t="s">
        <v>3897</v>
      </c>
      <c r="E56" s="287" t="s">
        <v>3898</v>
      </c>
      <c r="F56" s="288">
        <v>44130.0</v>
      </c>
      <c r="G56" s="288">
        <v>44126.0</v>
      </c>
      <c r="H56" s="288">
        <v>44126.0</v>
      </c>
      <c r="I56" s="288">
        <v>44138.0</v>
      </c>
      <c r="J56" s="294" t="s">
        <v>2535</v>
      </c>
      <c r="K56" s="294" t="s">
        <v>2535</v>
      </c>
      <c r="L56" s="290" t="s">
        <v>3899</v>
      </c>
      <c r="M56" s="285" t="s">
        <v>497</v>
      </c>
      <c r="N56" s="286" t="s">
        <v>2554</v>
      </c>
      <c r="O56" s="291">
        <v>44409.8</v>
      </c>
      <c r="P56" s="157"/>
      <c r="Q56" s="157"/>
      <c r="R56" s="157"/>
      <c r="S56" s="157"/>
      <c r="T56" s="157"/>
      <c r="U56" s="157"/>
      <c r="V56" s="157"/>
      <c r="W56" s="157"/>
      <c r="X56" s="157"/>
      <c r="Y56" s="157"/>
      <c r="Z56" s="157"/>
    </row>
    <row r="57" ht="42.0" customHeight="1">
      <c r="A57" s="284">
        <v>34837.0</v>
      </c>
      <c r="B57" s="292" t="s">
        <v>25</v>
      </c>
      <c r="C57" s="286">
        <v>930.0</v>
      </c>
      <c r="D57" s="285" t="s">
        <v>3900</v>
      </c>
      <c r="E57" s="287" t="s">
        <v>3743</v>
      </c>
      <c r="F57" s="288">
        <v>44125.0</v>
      </c>
      <c r="G57" s="288">
        <v>44124.0</v>
      </c>
      <c r="H57" s="288">
        <v>44124.0</v>
      </c>
      <c r="I57" s="298">
        <v>44132.0</v>
      </c>
      <c r="J57" s="294" t="s">
        <v>2535</v>
      </c>
      <c r="K57" s="294" t="s">
        <v>2535</v>
      </c>
      <c r="L57" s="290" t="s">
        <v>3901</v>
      </c>
      <c r="M57" s="285"/>
      <c r="N57" s="286"/>
      <c r="O57" s="291"/>
      <c r="P57" s="157"/>
      <c r="Q57" s="157"/>
      <c r="R57" s="157"/>
      <c r="S57" s="157"/>
      <c r="T57" s="157"/>
      <c r="U57" s="157"/>
      <c r="V57" s="157"/>
      <c r="W57" s="157"/>
      <c r="X57" s="157"/>
      <c r="Y57" s="157"/>
      <c r="Z57" s="157"/>
    </row>
    <row r="58" ht="42.0" customHeight="1">
      <c r="A58" s="284">
        <v>34372.0</v>
      </c>
      <c r="B58" s="292" t="s">
        <v>21</v>
      </c>
      <c r="C58" s="286">
        <v>5054.0</v>
      </c>
      <c r="D58" s="285" t="s">
        <v>3902</v>
      </c>
      <c r="E58" s="287" t="s">
        <v>3903</v>
      </c>
      <c r="F58" s="288">
        <v>44124.0</v>
      </c>
      <c r="G58" s="288">
        <v>44116.0</v>
      </c>
      <c r="H58" s="288">
        <v>44116.0</v>
      </c>
      <c r="I58" s="288">
        <v>44127.0</v>
      </c>
      <c r="J58" s="297" t="s">
        <v>3370</v>
      </c>
      <c r="K58" s="297" t="s">
        <v>3744</v>
      </c>
      <c r="L58" s="290" t="s">
        <v>3904</v>
      </c>
      <c r="M58" s="285"/>
      <c r="N58" s="286"/>
      <c r="O58" s="291"/>
      <c r="P58" s="157"/>
      <c r="Q58" s="157"/>
      <c r="R58" s="157"/>
      <c r="S58" s="157"/>
      <c r="T58" s="157"/>
      <c r="U58" s="157"/>
      <c r="V58" s="157"/>
      <c r="W58" s="157"/>
      <c r="X58" s="157"/>
      <c r="Y58" s="157"/>
      <c r="Z58" s="157"/>
    </row>
    <row r="59" ht="42.0" customHeight="1">
      <c r="A59" s="284">
        <v>34505.0</v>
      </c>
      <c r="B59" s="292" t="s">
        <v>25</v>
      </c>
      <c r="C59" s="286">
        <v>1963.0</v>
      </c>
      <c r="D59" s="285" t="s">
        <v>3905</v>
      </c>
      <c r="E59" s="287" t="s">
        <v>3812</v>
      </c>
      <c r="F59" s="288">
        <v>44123.0</v>
      </c>
      <c r="G59" s="288">
        <v>44119.0</v>
      </c>
      <c r="H59" s="288">
        <v>44130.0</v>
      </c>
      <c r="I59" s="285" t="s">
        <v>3906</v>
      </c>
      <c r="J59" s="294" t="s">
        <v>2535</v>
      </c>
      <c r="K59" s="294" t="s">
        <v>2535</v>
      </c>
      <c r="L59" s="290" t="s">
        <v>3907</v>
      </c>
      <c r="M59" s="285"/>
      <c r="N59" s="286"/>
      <c r="O59" s="291"/>
      <c r="P59" s="157"/>
      <c r="Q59" s="157"/>
      <c r="R59" s="157"/>
      <c r="S59" s="157"/>
      <c r="T59" s="157"/>
      <c r="U59" s="157"/>
      <c r="V59" s="157"/>
      <c r="W59" s="157"/>
      <c r="X59" s="157"/>
      <c r="Y59" s="157"/>
      <c r="Z59" s="157"/>
    </row>
    <row r="60" ht="42.0" customHeight="1">
      <c r="A60" s="284">
        <v>34775.0</v>
      </c>
      <c r="B60" s="292" t="s">
        <v>715</v>
      </c>
      <c r="C60" s="286">
        <v>1680.0</v>
      </c>
      <c r="D60" s="285" t="s">
        <v>3908</v>
      </c>
      <c r="E60" s="287" t="s">
        <v>3752</v>
      </c>
      <c r="F60" s="288">
        <v>44123.0</v>
      </c>
      <c r="G60" s="288">
        <v>44119.0</v>
      </c>
      <c r="H60" s="288">
        <v>44119.0</v>
      </c>
      <c r="I60" s="285" t="s">
        <v>3909</v>
      </c>
      <c r="J60" s="285" t="s">
        <v>2535</v>
      </c>
      <c r="K60" s="294" t="s">
        <v>2535</v>
      </c>
      <c r="L60" s="290" t="s">
        <v>3910</v>
      </c>
      <c r="M60" s="285"/>
      <c r="N60" s="286"/>
      <c r="O60" s="291"/>
      <c r="P60" s="157"/>
      <c r="Q60" s="157"/>
      <c r="R60" s="157"/>
      <c r="S60" s="157"/>
      <c r="T60" s="157"/>
      <c r="U60" s="157"/>
      <c r="V60" s="157"/>
      <c r="W60" s="157"/>
      <c r="X60" s="157"/>
      <c r="Y60" s="157"/>
      <c r="Z60" s="157"/>
    </row>
    <row r="61" ht="42.0" customHeight="1">
      <c r="A61" s="284">
        <v>34588.0</v>
      </c>
      <c r="B61" s="292" t="s">
        <v>715</v>
      </c>
      <c r="C61" s="286">
        <v>1290.0</v>
      </c>
      <c r="D61" s="285" t="s">
        <v>3911</v>
      </c>
      <c r="E61" s="287" t="s">
        <v>3912</v>
      </c>
      <c r="F61" s="288">
        <v>44123.0</v>
      </c>
      <c r="G61" s="288">
        <v>44119.0</v>
      </c>
      <c r="H61" s="288">
        <v>44119.0</v>
      </c>
      <c r="I61" s="285" t="s">
        <v>3913</v>
      </c>
      <c r="J61" s="285" t="s">
        <v>2535</v>
      </c>
      <c r="K61" s="294" t="s">
        <v>2535</v>
      </c>
      <c r="L61" s="290" t="s">
        <v>3914</v>
      </c>
      <c r="M61" s="285" t="s">
        <v>497</v>
      </c>
      <c r="N61" s="286" t="s">
        <v>2554</v>
      </c>
      <c r="O61" s="291">
        <v>44409.8</v>
      </c>
      <c r="P61" s="157"/>
      <c r="Q61" s="157"/>
      <c r="R61" s="157"/>
      <c r="S61" s="157"/>
      <c r="T61" s="157"/>
      <c r="U61" s="157"/>
      <c r="V61" s="157"/>
      <c r="W61" s="157"/>
      <c r="X61" s="157"/>
      <c r="Y61" s="157"/>
      <c r="Z61" s="157"/>
    </row>
    <row r="62" ht="42.0" customHeight="1">
      <c r="A62" s="284">
        <v>34817.0</v>
      </c>
      <c r="B62" s="292" t="s">
        <v>715</v>
      </c>
      <c r="C62" s="286">
        <v>930.0</v>
      </c>
      <c r="D62" s="285" t="s">
        <v>3915</v>
      </c>
      <c r="E62" s="287" t="s">
        <v>3743</v>
      </c>
      <c r="F62" s="288">
        <v>44123.0</v>
      </c>
      <c r="G62" s="288">
        <v>44119.0</v>
      </c>
      <c r="H62" s="288">
        <v>44119.0</v>
      </c>
      <c r="I62" s="288">
        <v>44133.0</v>
      </c>
      <c r="J62" s="285" t="s">
        <v>2535</v>
      </c>
      <c r="K62" s="294" t="s">
        <v>2535</v>
      </c>
      <c r="L62" s="290" t="s">
        <v>3916</v>
      </c>
      <c r="M62" s="285"/>
      <c r="N62" s="286"/>
      <c r="O62" s="291"/>
      <c r="P62" s="157"/>
      <c r="Q62" s="157"/>
      <c r="R62" s="157"/>
      <c r="S62" s="157"/>
      <c r="T62" s="157"/>
      <c r="U62" s="157"/>
      <c r="V62" s="157"/>
      <c r="W62" s="157"/>
      <c r="X62" s="157"/>
      <c r="Y62" s="157"/>
      <c r="Z62" s="157"/>
    </row>
    <row r="63" ht="42.0" customHeight="1">
      <c r="A63" s="284">
        <v>34411.0</v>
      </c>
      <c r="B63" s="292" t="s">
        <v>25</v>
      </c>
      <c r="C63" s="286">
        <v>900.0</v>
      </c>
      <c r="D63" s="285" t="s">
        <v>3917</v>
      </c>
      <c r="E63" s="287" t="s">
        <v>3740</v>
      </c>
      <c r="F63" s="288">
        <v>44122.0</v>
      </c>
      <c r="G63" s="288">
        <v>44119.0</v>
      </c>
      <c r="H63" s="288">
        <v>44125.0</v>
      </c>
      <c r="I63" s="285" t="s">
        <v>3918</v>
      </c>
      <c r="J63" s="294" t="s">
        <v>2535</v>
      </c>
      <c r="K63" s="294" t="s">
        <v>2535</v>
      </c>
      <c r="L63" s="290" t="s">
        <v>3919</v>
      </c>
      <c r="M63" s="285"/>
      <c r="N63" s="286"/>
      <c r="O63" s="291"/>
      <c r="P63" s="157"/>
      <c r="Q63" s="157"/>
      <c r="R63" s="157"/>
      <c r="S63" s="157"/>
      <c r="T63" s="157"/>
      <c r="U63" s="157"/>
      <c r="V63" s="157"/>
      <c r="W63" s="157"/>
      <c r="X63" s="157"/>
      <c r="Y63" s="157"/>
      <c r="Z63" s="157"/>
    </row>
    <row r="64" ht="42.0" customHeight="1">
      <c r="A64" s="284">
        <v>34776.0</v>
      </c>
      <c r="B64" s="292" t="s">
        <v>715</v>
      </c>
      <c r="C64" s="286">
        <v>1680.0</v>
      </c>
      <c r="D64" s="285" t="s">
        <v>3920</v>
      </c>
      <c r="E64" s="287" t="s">
        <v>3752</v>
      </c>
      <c r="F64" s="288">
        <v>44121.0</v>
      </c>
      <c r="G64" s="288">
        <v>44118.0</v>
      </c>
      <c r="H64" s="288">
        <v>44118.0</v>
      </c>
      <c r="I64" s="285" t="s">
        <v>3921</v>
      </c>
      <c r="J64" s="285" t="s">
        <v>2535</v>
      </c>
      <c r="K64" s="294" t="s">
        <v>2535</v>
      </c>
      <c r="L64" s="290" t="s">
        <v>3922</v>
      </c>
      <c r="M64" s="285"/>
      <c r="N64" s="286"/>
      <c r="O64" s="291"/>
      <c r="P64" s="157"/>
      <c r="Q64" s="157"/>
      <c r="R64" s="157"/>
      <c r="S64" s="157"/>
      <c r="T64" s="157"/>
      <c r="U64" s="157"/>
      <c r="V64" s="157"/>
      <c r="W64" s="157"/>
      <c r="X64" s="157"/>
      <c r="Y64" s="157"/>
      <c r="Z64" s="157"/>
    </row>
    <row r="65" ht="42.0" customHeight="1">
      <c r="A65" s="284">
        <v>34778.0</v>
      </c>
      <c r="B65" s="292" t="s">
        <v>715</v>
      </c>
      <c r="C65" s="286">
        <v>930.0</v>
      </c>
      <c r="D65" s="285" t="s">
        <v>3923</v>
      </c>
      <c r="E65" s="287" t="s">
        <v>3752</v>
      </c>
      <c r="F65" s="288">
        <v>44121.0</v>
      </c>
      <c r="G65" s="288">
        <v>44119.0</v>
      </c>
      <c r="H65" s="288">
        <v>44119.0</v>
      </c>
      <c r="I65" s="285" t="s">
        <v>3924</v>
      </c>
      <c r="J65" s="294" t="s">
        <v>2535</v>
      </c>
      <c r="K65" s="294" t="s">
        <v>2535</v>
      </c>
      <c r="L65" s="290" t="s">
        <v>3925</v>
      </c>
      <c r="M65" s="285"/>
      <c r="N65" s="286"/>
      <c r="O65" s="291"/>
      <c r="P65" s="157"/>
      <c r="Q65" s="157"/>
      <c r="R65" s="157"/>
      <c r="S65" s="157"/>
      <c r="T65" s="157"/>
      <c r="U65" s="157"/>
      <c r="V65" s="157"/>
      <c r="W65" s="157"/>
      <c r="X65" s="157"/>
      <c r="Y65" s="157"/>
      <c r="Z65" s="157"/>
    </row>
    <row r="66" ht="42.0" customHeight="1">
      <c r="A66" s="284">
        <v>34561.0</v>
      </c>
      <c r="B66" s="292" t="s">
        <v>21</v>
      </c>
      <c r="C66" s="286">
        <v>1065.0</v>
      </c>
      <c r="D66" s="285" t="s">
        <v>3926</v>
      </c>
      <c r="E66" s="287" t="s">
        <v>3927</v>
      </c>
      <c r="F66" s="288">
        <v>44120.0</v>
      </c>
      <c r="G66" s="288">
        <v>44117.0</v>
      </c>
      <c r="H66" s="288">
        <v>44117.0</v>
      </c>
      <c r="I66" s="288">
        <v>44123.0</v>
      </c>
      <c r="J66" s="289"/>
      <c r="K66" s="289"/>
      <c r="L66" s="290" t="s">
        <v>3928</v>
      </c>
      <c r="M66" s="285" t="s">
        <v>497</v>
      </c>
      <c r="N66" s="286" t="s">
        <v>2604</v>
      </c>
      <c r="O66" s="291">
        <v>16497.5</v>
      </c>
      <c r="P66" s="157"/>
      <c r="Q66" s="157"/>
      <c r="R66" s="157"/>
      <c r="S66" s="157"/>
      <c r="T66" s="157"/>
      <c r="U66" s="157"/>
      <c r="V66" s="157"/>
      <c r="W66" s="157"/>
      <c r="X66" s="157"/>
      <c r="Y66" s="157"/>
      <c r="Z66" s="157"/>
    </row>
    <row r="67" ht="42.0" customHeight="1">
      <c r="A67" s="284">
        <v>34486.0</v>
      </c>
      <c r="B67" s="292" t="s">
        <v>21</v>
      </c>
      <c r="C67" s="286">
        <v>1638.0</v>
      </c>
      <c r="D67" s="285" t="s">
        <v>3929</v>
      </c>
      <c r="E67" s="287" t="s">
        <v>3812</v>
      </c>
      <c r="F67" s="288">
        <v>44119.0</v>
      </c>
      <c r="G67" s="288">
        <v>44117.0</v>
      </c>
      <c r="H67" s="288">
        <v>44117.0</v>
      </c>
      <c r="I67" s="288">
        <v>44125.0</v>
      </c>
      <c r="J67" s="294" t="s">
        <v>2535</v>
      </c>
      <c r="K67" s="294" t="s">
        <v>2535</v>
      </c>
      <c r="L67" s="290" t="s">
        <v>3930</v>
      </c>
      <c r="M67" s="285"/>
      <c r="N67" s="286"/>
      <c r="O67" s="291"/>
      <c r="P67" s="157"/>
      <c r="Q67" s="157"/>
      <c r="R67" s="157"/>
      <c r="S67" s="157"/>
      <c r="T67" s="157"/>
      <c r="U67" s="157"/>
      <c r="V67" s="157"/>
      <c r="W67" s="157"/>
      <c r="X67" s="157"/>
      <c r="Y67" s="157"/>
      <c r="Z67" s="157"/>
    </row>
    <row r="68" ht="42.0" customHeight="1">
      <c r="A68" s="284">
        <v>34383.0</v>
      </c>
      <c r="B68" s="292" t="s">
        <v>715</v>
      </c>
      <c r="C68" s="286">
        <v>3000.0</v>
      </c>
      <c r="D68" s="285" t="s">
        <v>3931</v>
      </c>
      <c r="E68" s="287" t="s">
        <v>3932</v>
      </c>
      <c r="F68" s="288">
        <v>44116.0</v>
      </c>
      <c r="G68" s="288">
        <v>44112.0</v>
      </c>
      <c r="H68" s="288">
        <v>44112.0</v>
      </c>
      <c r="I68" s="285" t="s">
        <v>3933</v>
      </c>
      <c r="J68" s="294" t="s">
        <v>2535</v>
      </c>
      <c r="K68" s="294" t="s">
        <v>2535</v>
      </c>
      <c r="L68" s="290" t="s">
        <v>3934</v>
      </c>
      <c r="M68" s="285" t="s">
        <v>497</v>
      </c>
      <c r="N68" s="286" t="s">
        <v>2554</v>
      </c>
      <c r="O68" s="291">
        <v>20610.0</v>
      </c>
      <c r="P68" s="157"/>
      <c r="Q68" s="157"/>
      <c r="R68" s="157"/>
      <c r="S68" s="157"/>
      <c r="T68" s="157"/>
      <c r="U68" s="157"/>
      <c r="V68" s="157"/>
      <c r="W68" s="157"/>
      <c r="X68" s="157"/>
      <c r="Y68" s="157"/>
      <c r="Z68" s="157"/>
    </row>
    <row r="69" ht="42.0" customHeight="1">
      <c r="A69" s="284">
        <v>34584.0</v>
      </c>
      <c r="B69" s="292" t="s">
        <v>21</v>
      </c>
      <c r="C69" s="286">
        <v>2100.0</v>
      </c>
      <c r="D69" s="285" t="s">
        <v>3935</v>
      </c>
      <c r="E69" s="287" t="s">
        <v>3936</v>
      </c>
      <c r="F69" s="288">
        <v>44115.0</v>
      </c>
      <c r="G69" s="288">
        <v>44110.0</v>
      </c>
      <c r="H69" s="288">
        <v>44110.0</v>
      </c>
      <c r="I69" s="288">
        <v>44119.0</v>
      </c>
      <c r="J69" s="297" t="s">
        <v>3370</v>
      </c>
      <c r="K69" s="297" t="s">
        <v>3744</v>
      </c>
      <c r="L69" s="290" t="s">
        <v>3937</v>
      </c>
      <c r="M69" s="285" t="s">
        <v>497</v>
      </c>
      <c r="N69" s="286" t="s">
        <v>2554</v>
      </c>
      <c r="O69" s="291">
        <v>37185.0</v>
      </c>
      <c r="P69" s="157"/>
      <c r="Q69" s="157"/>
      <c r="R69" s="157"/>
      <c r="S69" s="157"/>
      <c r="T69" s="157"/>
      <c r="U69" s="157"/>
      <c r="V69" s="157"/>
      <c r="W69" s="157"/>
      <c r="X69" s="157"/>
      <c r="Y69" s="157"/>
      <c r="Z69" s="157"/>
    </row>
    <row r="70" ht="42.0" customHeight="1">
      <c r="A70" s="284">
        <v>34583.0</v>
      </c>
      <c r="B70" s="292" t="s">
        <v>21</v>
      </c>
      <c r="C70" s="286">
        <v>1290.0</v>
      </c>
      <c r="D70" s="285" t="s">
        <v>3938</v>
      </c>
      <c r="E70" s="287" t="s">
        <v>3939</v>
      </c>
      <c r="F70" s="288">
        <v>44115.0</v>
      </c>
      <c r="G70" s="288">
        <v>44110.0</v>
      </c>
      <c r="H70" s="288">
        <v>44110.0</v>
      </c>
      <c r="I70" s="288">
        <v>44119.0</v>
      </c>
      <c r="J70" s="297" t="s">
        <v>3370</v>
      </c>
      <c r="K70" s="297" t="s">
        <v>3744</v>
      </c>
      <c r="L70" s="290" t="s">
        <v>3940</v>
      </c>
      <c r="M70" s="285" t="s">
        <v>497</v>
      </c>
      <c r="N70" s="286" t="s">
        <v>2554</v>
      </c>
      <c r="O70" s="291">
        <v>44335.0</v>
      </c>
      <c r="P70" s="157"/>
      <c r="Q70" s="157"/>
      <c r="R70" s="157"/>
      <c r="S70" s="157"/>
      <c r="T70" s="157"/>
      <c r="U70" s="157"/>
      <c r="V70" s="157"/>
      <c r="W70" s="157"/>
      <c r="X70" s="157"/>
      <c r="Y70" s="157"/>
      <c r="Z70" s="157"/>
    </row>
    <row r="71" ht="42.0" customHeight="1">
      <c r="A71" s="284">
        <v>34766.0</v>
      </c>
      <c r="B71" s="292" t="s">
        <v>21</v>
      </c>
      <c r="C71" s="286" t="s">
        <v>3941</v>
      </c>
      <c r="D71" s="285" t="s">
        <v>3942</v>
      </c>
      <c r="E71" s="287" t="s">
        <v>3943</v>
      </c>
      <c r="F71" s="288">
        <v>44114.0</v>
      </c>
      <c r="G71" s="288">
        <v>44109.0</v>
      </c>
      <c r="H71" s="288">
        <v>44109.0</v>
      </c>
      <c r="I71" s="288">
        <v>44118.0</v>
      </c>
      <c r="J71" s="285" t="s">
        <v>3370</v>
      </c>
      <c r="K71" s="294" t="s">
        <v>2526</v>
      </c>
      <c r="L71" s="290" t="s">
        <v>3944</v>
      </c>
      <c r="M71" s="285"/>
      <c r="N71" s="286"/>
      <c r="O71" s="291"/>
      <c r="P71" s="157"/>
      <c r="Q71" s="157"/>
      <c r="R71" s="157"/>
      <c r="S71" s="157"/>
      <c r="T71" s="157"/>
      <c r="U71" s="157"/>
      <c r="V71" s="157"/>
      <c r="W71" s="157"/>
      <c r="X71" s="157"/>
      <c r="Y71" s="157"/>
      <c r="Z71" s="157"/>
    </row>
    <row r="72" ht="42.0" customHeight="1">
      <c r="A72" s="284">
        <v>34380.0</v>
      </c>
      <c r="B72" s="292" t="s">
        <v>21</v>
      </c>
      <c r="C72" s="286">
        <v>2100.0</v>
      </c>
      <c r="D72" s="285" t="s">
        <v>3945</v>
      </c>
      <c r="E72" s="287" t="s">
        <v>3946</v>
      </c>
      <c r="F72" s="288">
        <v>44113.0</v>
      </c>
      <c r="G72" s="288">
        <v>44109.0</v>
      </c>
      <c r="H72" s="288">
        <v>44109.0</v>
      </c>
      <c r="I72" s="288">
        <v>44117.0</v>
      </c>
      <c r="J72" s="297" t="s">
        <v>3370</v>
      </c>
      <c r="K72" s="297" t="s">
        <v>3744</v>
      </c>
      <c r="L72" s="290" t="s">
        <v>3947</v>
      </c>
      <c r="M72" s="285" t="s">
        <v>497</v>
      </c>
      <c r="N72" s="286" t="s">
        <v>2554</v>
      </c>
      <c r="O72" s="291">
        <v>28812.0</v>
      </c>
      <c r="P72" s="157"/>
      <c r="Q72" s="157"/>
      <c r="R72" s="157"/>
      <c r="S72" s="157"/>
      <c r="T72" s="157"/>
      <c r="U72" s="157"/>
      <c r="V72" s="157"/>
      <c r="W72" s="157"/>
      <c r="X72" s="157"/>
      <c r="Y72" s="157"/>
      <c r="Z72" s="157"/>
    </row>
    <row r="73" ht="42.0" customHeight="1">
      <c r="A73" s="284">
        <v>34591.0</v>
      </c>
      <c r="B73" s="292" t="s">
        <v>25</v>
      </c>
      <c r="C73" s="286">
        <v>1150.0</v>
      </c>
      <c r="D73" s="285" t="s">
        <v>3948</v>
      </c>
      <c r="E73" s="287" t="s">
        <v>3949</v>
      </c>
      <c r="F73" s="288">
        <v>44112.0</v>
      </c>
      <c r="G73" s="288">
        <v>44109.0</v>
      </c>
      <c r="H73" s="288">
        <v>44109.0</v>
      </c>
      <c r="I73" s="288">
        <v>44125.0</v>
      </c>
      <c r="J73" s="294" t="s">
        <v>2535</v>
      </c>
      <c r="K73" s="294" t="s">
        <v>2535</v>
      </c>
      <c r="L73" s="290" t="s">
        <v>3950</v>
      </c>
      <c r="M73" s="285" t="s">
        <v>497</v>
      </c>
      <c r="N73" s="286" t="s">
        <v>2604</v>
      </c>
      <c r="O73" s="291">
        <v>19173.0</v>
      </c>
      <c r="P73" s="157"/>
      <c r="Q73" s="157"/>
      <c r="R73" s="157"/>
      <c r="S73" s="157"/>
      <c r="T73" s="157"/>
      <c r="U73" s="157"/>
      <c r="V73" s="157"/>
      <c r="W73" s="157"/>
      <c r="X73" s="157"/>
      <c r="Y73" s="157"/>
      <c r="Z73" s="157"/>
    </row>
    <row r="74" ht="42.0" customHeight="1">
      <c r="A74" s="284">
        <v>34769.0</v>
      </c>
      <c r="B74" s="292" t="s">
        <v>715</v>
      </c>
      <c r="C74" s="286">
        <v>930.0</v>
      </c>
      <c r="D74" s="285" t="s">
        <v>3951</v>
      </c>
      <c r="E74" s="287" t="s">
        <v>3854</v>
      </c>
      <c r="F74" s="288">
        <v>44112.0</v>
      </c>
      <c r="G74" s="288">
        <v>44110.0</v>
      </c>
      <c r="H74" s="288">
        <v>44110.0</v>
      </c>
      <c r="I74" s="285" t="s">
        <v>3952</v>
      </c>
      <c r="J74" s="294" t="s">
        <v>2535</v>
      </c>
      <c r="K74" s="294" t="s">
        <v>2535</v>
      </c>
      <c r="L74" s="290" t="s">
        <v>3953</v>
      </c>
      <c r="M74" s="285"/>
      <c r="N74" s="286"/>
      <c r="O74" s="291"/>
      <c r="P74" s="198"/>
      <c r="Q74" s="198"/>
      <c r="R74" s="198"/>
      <c r="S74" s="198"/>
      <c r="T74" s="198"/>
      <c r="U74" s="198"/>
      <c r="V74" s="198"/>
      <c r="W74" s="198"/>
      <c r="X74" s="198"/>
      <c r="Y74" s="198"/>
      <c r="Z74" s="198"/>
    </row>
    <row r="75" ht="42.0" customHeight="1">
      <c r="A75" s="284">
        <v>34770.0</v>
      </c>
      <c r="B75" s="292" t="s">
        <v>715</v>
      </c>
      <c r="C75" s="286">
        <v>1680.0</v>
      </c>
      <c r="D75" s="285" t="s">
        <v>3954</v>
      </c>
      <c r="E75" s="287" t="s">
        <v>3955</v>
      </c>
      <c r="F75" s="288">
        <v>44112.0</v>
      </c>
      <c r="G75" s="288">
        <v>44110.0</v>
      </c>
      <c r="H75" s="288">
        <v>44110.0</v>
      </c>
      <c r="I75" s="285" t="s">
        <v>3956</v>
      </c>
      <c r="J75" s="294" t="s">
        <v>2535</v>
      </c>
      <c r="K75" s="294" t="s">
        <v>2535</v>
      </c>
      <c r="L75" s="290" t="s">
        <v>3957</v>
      </c>
      <c r="M75" s="285"/>
      <c r="N75" s="286"/>
      <c r="O75" s="291"/>
      <c r="P75" s="157"/>
      <c r="Q75" s="157"/>
      <c r="R75" s="157"/>
      <c r="S75" s="157"/>
      <c r="T75" s="157"/>
      <c r="U75" s="157"/>
      <c r="V75" s="157"/>
      <c r="W75" s="157"/>
      <c r="X75" s="157"/>
      <c r="Y75" s="157"/>
      <c r="Z75" s="157"/>
    </row>
    <row r="76" ht="33.0" customHeight="1">
      <c r="A76" s="284">
        <v>34767.0</v>
      </c>
      <c r="B76" s="292" t="s">
        <v>715</v>
      </c>
      <c r="C76" s="299" t="s">
        <v>3746</v>
      </c>
      <c r="D76" s="285" t="s">
        <v>3958</v>
      </c>
      <c r="E76" s="287" t="s">
        <v>3959</v>
      </c>
      <c r="F76" s="288">
        <v>44111.0</v>
      </c>
      <c r="G76" s="288">
        <v>44109.0</v>
      </c>
      <c r="H76" s="288">
        <v>44109.0</v>
      </c>
      <c r="I76" s="285" t="s">
        <v>3960</v>
      </c>
      <c r="J76" s="294" t="s">
        <v>2535</v>
      </c>
      <c r="K76" s="294" t="s">
        <v>2535</v>
      </c>
      <c r="L76" s="290" t="s">
        <v>3961</v>
      </c>
      <c r="M76" s="285"/>
      <c r="N76" s="299"/>
      <c r="O76" s="300"/>
      <c r="P76" s="157"/>
      <c r="Q76" s="157"/>
      <c r="R76" s="157"/>
      <c r="S76" s="157"/>
      <c r="T76" s="157"/>
      <c r="U76" s="157"/>
      <c r="V76" s="157"/>
      <c r="W76" s="157"/>
      <c r="X76" s="157"/>
      <c r="Y76" s="157"/>
      <c r="Z76" s="157"/>
    </row>
    <row r="77" ht="42.0" customHeight="1">
      <c r="A77" s="284">
        <v>34768.0</v>
      </c>
      <c r="B77" s="292" t="s">
        <v>715</v>
      </c>
      <c r="C77" s="286">
        <v>1680.0</v>
      </c>
      <c r="D77" s="285" t="s">
        <v>3962</v>
      </c>
      <c r="E77" s="287" t="s">
        <v>3752</v>
      </c>
      <c r="F77" s="288">
        <v>44111.0</v>
      </c>
      <c r="G77" s="288">
        <v>44110.0</v>
      </c>
      <c r="H77" s="288">
        <v>44110.0</v>
      </c>
      <c r="I77" s="285" t="s">
        <v>3963</v>
      </c>
      <c r="J77" s="285" t="s">
        <v>2535</v>
      </c>
      <c r="K77" s="294" t="s">
        <v>2535</v>
      </c>
      <c r="L77" s="290" t="s">
        <v>3964</v>
      </c>
      <c r="M77" s="285"/>
      <c r="N77" s="286"/>
      <c r="O77" s="291"/>
      <c r="P77" s="157"/>
      <c r="Q77" s="157"/>
      <c r="R77" s="157"/>
      <c r="S77" s="157"/>
      <c r="T77" s="157"/>
      <c r="U77" s="157"/>
      <c r="V77" s="157"/>
      <c r="W77" s="157"/>
      <c r="X77" s="157"/>
      <c r="Y77" s="157"/>
      <c r="Z77" s="157"/>
    </row>
    <row r="78" ht="42.0" customHeight="1">
      <c r="A78" s="284">
        <v>34675.0</v>
      </c>
      <c r="B78" s="292" t="s">
        <v>25</v>
      </c>
      <c r="C78" s="286" t="s">
        <v>3416</v>
      </c>
      <c r="D78" s="285" t="s">
        <v>3965</v>
      </c>
      <c r="E78" s="287" t="s">
        <v>3966</v>
      </c>
      <c r="F78" s="288">
        <v>44110.0</v>
      </c>
      <c r="G78" s="301"/>
      <c r="H78" s="285" t="s">
        <v>3967</v>
      </c>
      <c r="I78" s="285" t="s">
        <v>3782</v>
      </c>
      <c r="J78" s="285" t="s">
        <v>2535</v>
      </c>
      <c r="K78" s="294" t="s">
        <v>2535</v>
      </c>
      <c r="L78" s="290" t="s">
        <v>3968</v>
      </c>
      <c r="M78" s="285" t="s">
        <v>497</v>
      </c>
      <c r="N78" s="286" t="s">
        <v>2538</v>
      </c>
      <c r="O78" s="291">
        <v>34320.0</v>
      </c>
      <c r="P78" s="157"/>
      <c r="Q78" s="157"/>
      <c r="R78" s="157"/>
      <c r="S78" s="157"/>
      <c r="T78" s="157"/>
      <c r="U78" s="157"/>
      <c r="V78" s="157"/>
      <c r="W78" s="157"/>
      <c r="X78" s="157"/>
      <c r="Y78" s="157"/>
      <c r="Z78" s="157"/>
    </row>
    <row r="79" ht="33.75" customHeight="1">
      <c r="A79" s="284">
        <v>34765.0</v>
      </c>
      <c r="B79" s="292" t="s">
        <v>715</v>
      </c>
      <c r="C79" s="286">
        <v>1100.0</v>
      </c>
      <c r="D79" s="285" t="s">
        <v>3969</v>
      </c>
      <c r="E79" s="287" t="s">
        <v>3970</v>
      </c>
      <c r="F79" s="288">
        <v>44110.0</v>
      </c>
      <c r="G79" s="288">
        <v>44102.0</v>
      </c>
      <c r="H79" s="288">
        <v>44102.0</v>
      </c>
      <c r="I79" s="285" t="s">
        <v>3971</v>
      </c>
      <c r="J79" s="285" t="s">
        <v>2535</v>
      </c>
      <c r="K79" s="294" t="s">
        <v>2535</v>
      </c>
      <c r="L79" s="290" t="s">
        <v>3972</v>
      </c>
      <c r="M79" s="285"/>
      <c r="N79" s="286"/>
      <c r="O79" s="291"/>
      <c r="P79" s="157"/>
      <c r="Q79" s="157"/>
      <c r="R79" s="157"/>
      <c r="S79" s="157"/>
      <c r="T79" s="157"/>
      <c r="U79" s="157"/>
      <c r="V79" s="157"/>
      <c r="W79" s="157"/>
      <c r="X79" s="157"/>
      <c r="Y79" s="157"/>
      <c r="Z79" s="157"/>
    </row>
    <row r="80" ht="42.0" customHeight="1">
      <c r="A80" s="284" t="s">
        <v>3973</v>
      </c>
      <c r="B80" s="292" t="s">
        <v>21</v>
      </c>
      <c r="C80" s="286" t="s">
        <v>3974</v>
      </c>
      <c r="D80" s="285" t="s">
        <v>3975</v>
      </c>
      <c r="E80" s="287" t="s">
        <v>3976</v>
      </c>
      <c r="F80" s="288">
        <v>44110.0</v>
      </c>
      <c r="G80" s="285" t="s">
        <v>3977</v>
      </c>
      <c r="H80" s="285"/>
      <c r="I80" s="288">
        <v>44125.0</v>
      </c>
      <c r="J80" s="294" t="s">
        <v>2535</v>
      </c>
      <c r="K80" s="294" t="s">
        <v>2535</v>
      </c>
      <c r="L80" s="290" t="s">
        <v>3978</v>
      </c>
      <c r="M80" s="285"/>
      <c r="N80" s="286"/>
      <c r="O80" s="291"/>
      <c r="P80" s="157"/>
      <c r="Q80" s="157"/>
      <c r="R80" s="157"/>
      <c r="S80" s="157"/>
      <c r="T80" s="157"/>
      <c r="U80" s="157"/>
      <c r="V80" s="157"/>
      <c r="W80" s="157"/>
      <c r="X80" s="157"/>
      <c r="Y80" s="157"/>
      <c r="Z80" s="157"/>
    </row>
    <row r="81" ht="42.0" customHeight="1">
      <c r="A81" s="284">
        <v>34745.0</v>
      </c>
      <c r="B81" s="292" t="s">
        <v>25</v>
      </c>
      <c r="C81" s="286" t="s">
        <v>3941</v>
      </c>
      <c r="D81" s="285" t="s">
        <v>3979</v>
      </c>
      <c r="E81" s="287" t="s">
        <v>3980</v>
      </c>
      <c r="F81" s="288">
        <v>44109.0</v>
      </c>
      <c r="G81" s="288">
        <v>44104.0</v>
      </c>
      <c r="H81" s="288">
        <v>44104.0</v>
      </c>
      <c r="I81" s="285" t="s">
        <v>3981</v>
      </c>
      <c r="J81" s="294" t="s">
        <v>2535</v>
      </c>
      <c r="K81" s="294" t="s">
        <v>2535</v>
      </c>
      <c r="L81" s="290" t="s">
        <v>3982</v>
      </c>
      <c r="M81" s="285"/>
      <c r="N81" s="286"/>
      <c r="O81" s="291"/>
      <c r="P81" s="157"/>
      <c r="Q81" s="157"/>
      <c r="R81" s="157"/>
      <c r="S81" s="157"/>
      <c r="T81" s="157"/>
      <c r="U81" s="157"/>
      <c r="V81" s="157"/>
      <c r="W81" s="157"/>
      <c r="X81" s="157"/>
      <c r="Y81" s="157"/>
      <c r="Z81" s="157"/>
    </row>
    <row r="82" ht="42.0" customHeight="1">
      <c r="A82" s="284">
        <v>34585.0</v>
      </c>
      <c r="B82" s="292" t="s">
        <v>715</v>
      </c>
      <c r="C82" s="286">
        <v>2122.0</v>
      </c>
      <c r="D82" s="285" t="s">
        <v>3983</v>
      </c>
      <c r="E82" s="287" t="s">
        <v>3984</v>
      </c>
      <c r="F82" s="288">
        <v>44109.0</v>
      </c>
      <c r="G82" s="288">
        <v>44105.0</v>
      </c>
      <c r="H82" s="288">
        <v>44105.0</v>
      </c>
      <c r="I82" s="285" t="s">
        <v>3985</v>
      </c>
      <c r="J82" s="294" t="s">
        <v>2535</v>
      </c>
      <c r="K82" s="294" t="s">
        <v>2535</v>
      </c>
      <c r="L82" s="290" t="s">
        <v>3986</v>
      </c>
      <c r="M82" s="285" t="s">
        <v>497</v>
      </c>
      <c r="N82" s="286" t="s">
        <v>2554</v>
      </c>
      <c r="O82" s="291">
        <v>38028.6</v>
      </c>
      <c r="P82" s="157"/>
      <c r="Q82" s="157"/>
      <c r="R82" s="157"/>
      <c r="S82" s="157"/>
      <c r="T82" s="157"/>
      <c r="U82" s="157"/>
      <c r="V82" s="157"/>
      <c r="W82" s="157"/>
      <c r="X82" s="157"/>
      <c r="Y82" s="157"/>
      <c r="Z82" s="157"/>
    </row>
    <row r="83" ht="42.0" customHeight="1">
      <c r="A83" s="284">
        <v>34381.0</v>
      </c>
      <c r="B83" s="292" t="s">
        <v>715</v>
      </c>
      <c r="C83" s="286">
        <v>2100.0</v>
      </c>
      <c r="D83" s="285" t="s">
        <v>3987</v>
      </c>
      <c r="E83" s="287" t="s">
        <v>3946</v>
      </c>
      <c r="F83" s="288">
        <v>44106.0</v>
      </c>
      <c r="G83" s="288">
        <v>44103.0</v>
      </c>
      <c r="H83" s="288">
        <v>44103.0</v>
      </c>
      <c r="I83" s="285" t="s">
        <v>3988</v>
      </c>
      <c r="J83" s="294" t="s">
        <v>2535</v>
      </c>
      <c r="K83" s="294" t="s">
        <v>2535</v>
      </c>
      <c r="L83" s="290" t="s">
        <v>3989</v>
      </c>
      <c r="M83" s="285" t="s">
        <v>497</v>
      </c>
      <c r="N83" s="286" t="s">
        <v>2554</v>
      </c>
      <c r="O83" s="291">
        <v>28812.0</v>
      </c>
      <c r="P83" s="157"/>
      <c r="Q83" s="157"/>
      <c r="R83" s="157"/>
      <c r="S83" s="157"/>
      <c r="T83" s="157"/>
      <c r="U83" s="157"/>
      <c r="V83" s="157"/>
      <c r="W83" s="157"/>
      <c r="X83" s="157"/>
      <c r="Y83" s="157"/>
      <c r="Z83" s="157"/>
    </row>
    <row r="84" ht="33.75" customHeight="1">
      <c r="A84" s="284">
        <v>34540.0</v>
      </c>
      <c r="B84" s="292" t="s">
        <v>715</v>
      </c>
      <c r="C84" s="286">
        <v>1040.0</v>
      </c>
      <c r="D84" s="285" t="s">
        <v>3990</v>
      </c>
      <c r="E84" s="287" t="s">
        <v>3991</v>
      </c>
      <c r="F84" s="288">
        <v>44106.0</v>
      </c>
      <c r="G84" s="288">
        <v>44103.0</v>
      </c>
      <c r="H84" s="288">
        <v>44103.0</v>
      </c>
      <c r="I84" s="302">
        <v>44111.375</v>
      </c>
      <c r="J84" s="294" t="s">
        <v>2535</v>
      </c>
      <c r="K84" s="294" t="s">
        <v>2535</v>
      </c>
      <c r="L84" s="290" t="s">
        <v>3992</v>
      </c>
      <c r="M84" s="285" t="s">
        <v>497</v>
      </c>
      <c r="N84" s="286" t="s">
        <v>2554</v>
      </c>
      <c r="O84" s="291">
        <v>14809.6</v>
      </c>
      <c r="P84" s="157"/>
      <c r="Q84" s="157"/>
      <c r="R84" s="157"/>
      <c r="S84" s="157"/>
      <c r="T84" s="157"/>
      <c r="U84" s="157"/>
      <c r="V84" s="157"/>
      <c r="W84" s="157"/>
      <c r="X84" s="157"/>
      <c r="Y84" s="157"/>
      <c r="Z84" s="157"/>
    </row>
    <row r="85" ht="33.75" customHeight="1">
      <c r="A85" s="284">
        <v>34746.0</v>
      </c>
      <c r="B85" s="292" t="s">
        <v>715</v>
      </c>
      <c r="C85" s="286">
        <v>930.0</v>
      </c>
      <c r="D85" s="285" t="s">
        <v>3993</v>
      </c>
      <c r="E85" s="287" t="s">
        <v>3743</v>
      </c>
      <c r="F85" s="288">
        <v>44103.0</v>
      </c>
      <c r="G85" s="288">
        <v>44099.0</v>
      </c>
      <c r="H85" s="288">
        <v>44099.0</v>
      </c>
      <c r="I85" s="285" t="s">
        <v>3994</v>
      </c>
      <c r="J85" s="294" t="s">
        <v>2535</v>
      </c>
      <c r="K85" s="294" t="s">
        <v>2535</v>
      </c>
      <c r="L85" s="290" t="s">
        <v>3995</v>
      </c>
      <c r="M85" s="285"/>
      <c r="N85" s="286"/>
      <c r="O85" s="291"/>
      <c r="P85" s="157"/>
      <c r="Q85" s="157"/>
      <c r="R85" s="157"/>
      <c r="S85" s="157"/>
      <c r="T85" s="157"/>
      <c r="U85" s="157"/>
      <c r="V85" s="157"/>
      <c r="W85" s="157"/>
      <c r="X85" s="157"/>
      <c r="Y85" s="157"/>
      <c r="Z85" s="157"/>
    </row>
    <row r="86" ht="43.5" customHeight="1">
      <c r="A86" s="284">
        <v>34747.0</v>
      </c>
      <c r="B86" s="292" t="s">
        <v>715</v>
      </c>
      <c r="C86" s="286">
        <v>1680.0</v>
      </c>
      <c r="D86" s="285" t="s">
        <v>3996</v>
      </c>
      <c r="E86" s="287" t="s">
        <v>3752</v>
      </c>
      <c r="F86" s="288">
        <v>44103.0</v>
      </c>
      <c r="G86" s="288">
        <v>44102.0</v>
      </c>
      <c r="H86" s="288">
        <v>44102.0</v>
      </c>
      <c r="I86" s="285" t="s">
        <v>3997</v>
      </c>
      <c r="J86" s="294" t="s">
        <v>2535</v>
      </c>
      <c r="K86" s="294" t="s">
        <v>2535</v>
      </c>
      <c r="L86" s="290" t="s">
        <v>3998</v>
      </c>
      <c r="M86" s="285"/>
      <c r="N86" s="286"/>
      <c r="O86" s="291"/>
      <c r="P86" s="157"/>
      <c r="Q86" s="157"/>
      <c r="R86" s="157"/>
      <c r="S86" s="157"/>
      <c r="T86" s="157"/>
      <c r="U86" s="157"/>
      <c r="V86" s="157"/>
      <c r="W86" s="157"/>
      <c r="X86" s="157"/>
      <c r="Y86" s="157"/>
      <c r="Z86" s="157"/>
    </row>
    <row r="87" ht="42.75" customHeight="1">
      <c r="A87" s="284">
        <v>34484.0</v>
      </c>
      <c r="B87" s="292" t="s">
        <v>25</v>
      </c>
      <c r="C87" s="286">
        <v>2037.0</v>
      </c>
      <c r="D87" s="285" t="s">
        <v>3999</v>
      </c>
      <c r="E87" s="287" t="s">
        <v>3812</v>
      </c>
      <c r="F87" s="288">
        <v>44102.0</v>
      </c>
      <c r="G87" s="288">
        <v>44098.0</v>
      </c>
      <c r="H87" s="288">
        <v>44098.0</v>
      </c>
      <c r="I87" s="285" t="s">
        <v>4000</v>
      </c>
      <c r="J87" s="294" t="s">
        <v>2535</v>
      </c>
      <c r="K87" s="294" t="s">
        <v>2535</v>
      </c>
      <c r="L87" s="290" t="s">
        <v>4001</v>
      </c>
      <c r="M87" s="285"/>
      <c r="N87" s="286"/>
      <c r="O87" s="291"/>
      <c r="P87" s="157"/>
      <c r="Q87" s="157"/>
      <c r="R87" s="157"/>
      <c r="S87" s="157"/>
      <c r="T87" s="157"/>
      <c r="U87" s="157"/>
      <c r="V87" s="157"/>
      <c r="W87" s="157"/>
      <c r="X87" s="157"/>
      <c r="Y87" s="157"/>
      <c r="Z87" s="157"/>
    </row>
    <row r="88" ht="33.75" customHeight="1">
      <c r="A88" s="284">
        <v>34744.0</v>
      </c>
      <c r="B88" s="292" t="s">
        <v>21</v>
      </c>
      <c r="C88" s="286" t="s">
        <v>3746</v>
      </c>
      <c r="D88" s="285" t="s">
        <v>4002</v>
      </c>
      <c r="E88" s="287" t="s">
        <v>3959</v>
      </c>
      <c r="F88" s="288">
        <v>44101.0</v>
      </c>
      <c r="G88" s="288">
        <v>44095.0</v>
      </c>
      <c r="H88" s="288">
        <v>44095.0</v>
      </c>
      <c r="I88" s="288">
        <v>44111.0</v>
      </c>
      <c r="J88" s="297" t="s">
        <v>3370</v>
      </c>
      <c r="K88" s="297" t="s">
        <v>3744</v>
      </c>
      <c r="L88" s="290" t="s">
        <v>4003</v>
      </c>
      <c r="M88" s="285"/>
      <c r="N88" s="286"/>
      <c r="O88" s="291"/>
      <c r="P88" s="157"/>
      <c r="Q88" s="157"/>
      <c r="R88" s="157"/>
      <c r="S88" s="157"/>
      <c r="T88" s="157"/>
      <c r="U88" s="157"/>
      <c r="V88" s="157"/>
      <c r="W88" s="157"/>
      <c r="X88" s="157"/>
      <c r="Y88" s="157"/>
      <c r="Z88" s="157"/>
    </row>
    <row r="89" ht="33.75" customHeight="1">
      <c r="A89" s="284">
        <v>34702.0</v>
      </c>
      <c r="B89" s="292" t="s">
        <v>715</v>
      </c>
      <c r="C89" s="286">
        <v>1139.0</v>
      </c>
      <c r="D89" s="285" t="s">
        <v>4004</v>
      </c>
      <c r="E89" s="287" t="s">
        <v>4005</v>
      </c>
      <c r="F89" s="288">
        <v>44099.0</v>
      </c>
      <c r="G89" s="288">
        <v>44096.0</v>
      </c>
      <c r="H89" s="288">
        <v>44096.0</v>
      </c>
      <c r="I89" s="285" t="s">
        <v>4006</v>
      </c>
      <c r="J89" s="285" t="s">
        <v>2535</v>
      </c>
      <c r="K89" s="294" t="s">
        <v>2535</v>
      </c>
      <c r="L89" s="290" t="s">
        <v>4007</v>
      </c>
      <c r="M89" s="285"/>
      <c r="N89" s="286"/>
      <c r="O89" s="291"/>
      <c r="P89" s="157"/>
      <c r="Q89" s="157"/>
      <c r="R89" s="157"/>
      <c r="S89" s="157"/>
      <c r="T89" s="157"/>
      <c r="U89" s="157"/>
      <c r="V89" s="157"/>
      <c r="W89" s="157"/>
      <c r="X89" s="157"/>
      <c r="Y89" s="157"/>
      <c r="Z89" s="157"/>
    </row>
    <row r="90" ht="33.75" customHeight="1">
      <c r="A90" s="284">
        <v>34476.0</v>
      </c>
      <c r="B90" s="292" t="s">
        <v>715</v>
      </c>
      <c r="C90" s="286">
        <v>800.0</v>
      </c>
      <c r="D90" s="285" t="s">
        <v>4008</v>
      </c>
      <c r="E90" s="287" t="s">
        <v>3169</v>
      </c>
      <c r="F90" s="288">
        <v>44099.0</v>
      </c>
      <c r="G90" s="288">
        <v>44102.0</v>
      </c>
      <c r="H90" s="288">
        <v>44102.0</v>
      </c>
      <c r="I90" s="285" t="s">
        <v>4009</v>
      </c>
      <c r="J90" s="294" t="s">
        <v>2535</v>
      </c>
      <c r="K90" s="294" t="s">
        <v>2535</v>
      </c>
      <c r="L90" s="290" t="s">
        <v>4010</v>
      </c>
      <c r="M90" s="285"/>
      <c r="N90" s="286"/>
      <c r="O90" s="291"/>
      <c r="P90" s="157"/>
      <c r="Q90" s="157"/>
      <c r="R90" s="157"/>
      <c r="S90" s="157"/>
      <c r="T90" s="157"/>
      <c r="U90" s="157"/>
      <c r="V90" s="157"/>
      <c r="W90" s="157"/>
      <c r="X90" s="157"/>
      <c r="Y90" s="157"/>
      <c r="Z90" s="157"/>
    </row>
    <row r="91" ht="33.75" customHeight="1">
      <c r="A91" s="284">
        <v>34560.0</v>
      </c>
      <c r="B91" s="292" t="s">
        <v>715</v>
      </c>
      <c r="C91" s="286">
        <v>2684.0</v>
      </c>
      <c r="D91" s="285" t="s">
        <v>4011</v>
      </c>
      <c r="E91" s="287" t="s">
        <v>3949</v>
      </c>
      <c r="F91" s="288">
        <v>44098.0</v>
      </c>
      <c r="G91" s="288">
        <v>44092.0</v>
      </c>
      <c r="H91" s="288">
        <v>44095.0</v>
      </c>
      <c r="I91" s="285" t="s">
        <v>4012</v>
      </c>
      <c r="J91" s="294" t="s">
        <v>2535</v>
      </c>
      <c r="K91" s="294" t="s">
        <v>2535</v>
      </c>
      <c r="L91" s="290" t="s">
        <v>4013</v>
      </c>
      <c r="M91" s="285" t="s">
        <v>497</v>
      </c>
      <c r="N91" s="286" t="s">
        <v>2604</v>
      </c>
      <c r="O91" s="291">
        <v>46070.69</v>
      </c>
      <c r="P91" s="157"/>
      <c r="Q91" s="157"/>
      <c r="R91" s="157"/>
      <c r="S91" s="157"/>
      <c r="T91" s="157"/>
      <c r="U91" s="157"/>
      <c r="V91" s="157"/>
      <c r="W91" s="157"/>
      <c r="X91" s="157"/>
      <c r="Y91" s="157"/>
      <c r="Z91" s="157"/>
    </row>
    <row r="92" ht="33.75" customHeight="1">
      <c r="A92" s="284">
        <v>34393.0</v>
      </c>
      <c r="B92" s="292" t="s">
        <v>715</v>
      </c>
      <c r="C92" s="286">
        <v>1290.0</v>
      </c>
      <c r="D92" s="285" t="s">
        <v>4014</v>
      </c>
      <c r="E92" s="287" t="s">
        <v>3895</v>
      </c>
      <c r="F92" s="288">
        <v>44095.0</v>
      </c>
      <c r="G92" s="288">
        <v>44091.0</v>
      </c>
      <c r="H92" s="288">
        <v>44091.0</v>
      </c>
      <c r="I92" s="285" t="s">
        <v>4015</v>
      </c>
      <c r="J92" s="294" t="s">
        <v>2535</v>
      </c>
      <c r="K92" s="294" t="s">
        <v>2535</v>
      </c>
      <c r="L92" s="290" t="s">
        <v>4016</v>
      </c>
      <c r="M92" s="285" t="s">
        <v>497</v>
      </c>
      <c r="N92" s="286" t="s">
        <v>2554</v>
      </c>
      <c r="O92" s="291">
        <v>43149.4</v>
      </c>
      <c r="P92" s="157"/>
      <c r="Q92" s="157"/>
      <c r="R92" s="157"/>
      <c r="S92" s="157"/>
      <c r="T92" s="157"/>
      <c r="U92" s="157"/>
      <c r="V92" s="157"/>
      <c r="W92" s="157"/>
      <c r="X92" s="157"/>
      <c r="Y92" s="157"/>
      <c r="Z92" s="157"/>
    </row>
    <row r="93" ht="41.25" customHeight="1">
      <c r="A93" s="284">
        <v>34382.0</v>
      </c>
      <c r="B93" s="292" t="s">
        <v>715</v>
      </c>
      <c r="C93" s="286">
        <v>1160.0</v>
      </c>
      <c r="D93" s="285" t="s">
        <v>4017</v>
      </c>
      <c r="E93" s="287" t="s">
        <v>4018</v>
      </c>
      <c r="F93" s="288">
        <v>44095.0</v>
      </c>
      <c r="G93" s="288">
        <v>44091.0</v>
      </c>
      <c r="H93" s="288">
        <v>44091.0</v>
      </c>
      <c r="I93" s="285" t="s">
        <v>4019</v>
      </c>
      <c r="J93" s="294" t="s">
        <v>2535</v>
      </c>
      <c r="K93" s="294" t="s">
        <v>2535</v>
      </c>
      <c r="L93" s="290" t="s">
        <v>4020</v>
      </c>
      <c r="M93" s="285" t="s">
        <v>497</v>
      </c>
      <c r="N93" s="286" t="s">
        <v>2554</v>
      </c>
      <c r="O93" s="291">
        <v>31865.2</v>
      </c>
      <c r="P93" s="157"/>
      <c r="Q93" s="157"/>
      <c r="R93" s="157"/>
      <c r="S93" s="157"/>
      <c r="T93" s="157"/>
      <c r="U93" s="157"/>
      <c r="V93" s="157"/>
      <c r="W93" s="157"/>
      <c r="X93" s="157"/>
      <c r="Y93" s="157"/>
      <c r="Z93" s="157"/>
    </row>
    <row r="94" ht="41.25" customHeight="1">
      <c r="A94" s="303">
        <v>34364.0</v>
      </c>
      <c r="B94" s="292" t="s">
        <v>715</v>
      </c>
      <c r="C94" s="286">
        <v>1384.0</v>
      </c>
      <c r="D94" s="285" t="s">
        <v>4021</v>
      </c>
      <c r="E94" s="287" t="s">
        <v>4022</v>
      </c>
      <c r="F94" s="288">
        <v>44095.0</v>
      </c>
      <c r="G94" s="288">
        <v>44092.0</v>
      </c>
      <c r="H94" s="288">
        <v>44092.0</v>
      </c>
      <c r="I94" s="288">
        <v>44097.0</v>
      </c>
      <c r="J94" s="294" t="s">
        <v>2535</v>
      </c>
      <c r="K94" s="294" t="s">
        <v>2535</v>
      </c>
      <c r="L94" s="290" t="s">
        <v>4023</v>
      </c>
      <c r="M94" s="285"/>
      <c r="N94" s="286"/>
      <c r="O94" s="291"/>
      <c r="P94" s="157"/>
      <c r="Q94" s="157"/>
      <c r="R94" s="157"/>
      <c r="S94" s="157"/>
      <c r="T94" s="157"/>
      <c r="U94" s="157"/>
      <c r="V94" s="157"/>
      <c r="W94" s="157"/>
      <c r="X94" s="157"/>
      <c r="Y94" s="157"/>
      <c r="Z94" s="157"/>
    </row>
    <row r="95" ht="40.5" customHeight="1">
      <c r="A95" s="284">
        <v>34267.0</v>
      </c>
      <c r="B95" s="292" t="s">
        <v>21</v>
      </c>
      <c r="C95" s="286">
        <v>1362.0</v>
      </c>
      <c r="D95" s="285" t="s">
        <v>4024</v>
      </c>
      <c r="E95" s="287" t="s">
        <v>4022</v>
      </c>
      <c r="F95" s="288">
        <v>44093.0</v>
      </c>
      <c r="G95" s="288">
        <v>44088.0</v>
      </c>
      <c r="H95" s="288">
        <v>44088.0</v>
      </c>
      <c r="I95" s="288">
        <v>44096.0</v>
      </c>
      <c r="J95" s="294" t="s">
        <v>2535</v>
      </c>
      <c r="K95" s="294" t="s">
        <v>2535</v>
      </c>
      <c r="L95" s="290" t="s">
        <v>4025</v>
      </c>
      <c r="M95" s="285"/>
      <c r="N95" s="286"/>
      <c r="O95" s="291"/>
      <c r="P95" s="157"/>
      <c r="Q95" s="157"/>
      <c r="R95" s="157"/>
      <c r="S95" s="157"/>
      <c r="T95" s="157"/>
      <c r="U95" s="157"/>
      <c r="V95" s="157"/>
      <c r="W95" s="157"/>
      <c r="X95" s="157"/>
      <c r="Y95" s="157"/>
      <c r="Z95" s="157"/>
    </row>
    <row r="96" ht="42.75" customHeight="1">
      <c r="A96" s="284">
        <v>34639.0</v>
      </c>
      <c r="B96" s="292" t="s">
        <v>715</v>
      </c>
      <c r="C96" s="286">
        <v>930.0</v>
      </c>
      <c r="D96" s="285" t="s">
        <v>4026</v>
      </c>
      <c r="E96" s="287" t="s">
        <v>4027</v>
      </c>
      <c r="F96" s="288">
        <v>44092.0</v>
      </c>
      <c r="G96" s="288">
        <v>44075.0</v>
      </c>
      <c r="H96" s="288">
        <v>44097.0</v>
      </c>
      <c r="I96" s="285" t="s">
        <v>4028</v>
      </c>
      <c r="J96" s="294" t="s">
        <v>2535</v>
      </c>
      <c r="K96" s="294" t="s">
        <v>2535</v>
      </c>
      <c r="L96" s="304" t="s">
        <v>4029</v>
      </c>
      <c r="M96" s="285"/>
      <c r="N96" s="286"/>
      <c r="O96" s="291"/>
      <c r="P96" s="157"/>
      <c r="Q96" s="157"/>
      <c r="R96" s="157"/>
      <c r="S96" s="157"/>
      <c r="T96" s="157"/>
      <c r="U96" s="157"/>
      <c r="V96" s="157"/>
      <c r="W96" s="157"/>
      <c r="X96" s="157"/>
      <c r="Y96" s="157"/>
      <c r="Z96" s="157"/>
    </row>
    <row r="97" ht="42.0" customHeight="1">
      <c r="A97" s="284">
        <v>34640.0</v>
      </c>
      <c r="B97" s="292" t="s">
        <v>715</v>
      </c>
      <c r="C97" s="286">
        <v>930.0</v>
      </c>
      <c r="D97" s="285" t="s">
        <v>4030</v>
      </c>
      <c r="E97" s="287" t="s">
        <v>3854</v>
      </c>
      <c r="F97" s="288">
        <v>44092.0</v>
      </c>
      <c r="G97" s="288">
        <v>44077.0</v>
      </c>
      <c r="H97" s="288">
        <v>44077.0</v>
      </c>
      <c r="I97" s="285" t="s">
        <v>4031</v>
      </c>
      <c r="J97" s="294" t="s">
        <v>2535</v>
      </c>
      <c r="K97" s="294" t="s">
        <v>2535</v>
      </c>
      <c r="L97" s="290" t="s">
        <v>4032</v>
      </c>
      <c r="M97" s="285"/>
      <c r="N97" s="286"/>
      <c r="O97" s="291"/>
      <c r="P97" s="157"/>
      <c r="Q97" s="157"/>
      <c r="R97" s="157"/>
      <c r="S97" s="157"/>
      <c r="T97" s="157"/>
      <c r="U97" s="157"/>
      <c r="V97" s="157"/>
      <c r="W97" s="157"/>
      <c r="X97" s="157"/>
      <c r="Y97" s="157"/>
      <c r="Z97" s="157"/>
    </row>
    <row r="98" ht="33.75" customHeight="1">
      <c r="A98" s="284">
        <v>34699.0</v>
      </c>
      <c r="B98" s="292" t="s">
        <v>715</v>
      </c>
      <c r="C98" s="286">
        <v>1182.0</v>
      </c>
      <c r="D98" s="285" t="s">
        <v>4033</v>
      </c>
      <c r="E98" s="287" t="s">
        <v>3943</v>
      </c>
      <c r="F98" s="288">
        <v>44091.0</v>
      </c>
      <c r="G98" s="288">
        <v>44091.0</v>
      </c>
      <c r="H98" s="288">
        <v>44091.0</v>
      </c>
      <c r="I98" s="288" t="s">
        <v>4034</v>
      </c>
      <c r="J98" s="294" t="s">
        <v>2535</v>
      </c>
      <c r="K98" s="294" t="s">
        <v>2535</v>
      </c>
      <c r="L98" s="290" t="s">
        <v>4035</v>
      </c>
      <c r="M98" s="285"/>
      <c r="N98" s="286"/>
      <c r="O98" s="291"/>
      <c r="P98" s="157"/>
      <c r="Q98" s="157"/>
      <c r="R98" s="157"/>
      <c r="S98" s="157"/>
      <c r="T98" s="157"/>
      <c r="U98" s="157"/>
      <c r="V98" s="157"/>
      <c r="W98" s="157"/>
      <c r="X98" s="157"/>
      <c r="Y98" s="157"/>
      <c r="Z98" s="157"/>
    </row>
    <row r="99" ht="33.75" customHeight="1">
      <c r="A99" s="284">
        <v>34701.0</v>
      </c>
      <c r="B99" s="292" t="s">
        <v>715</v>
      </c>
      <c r="C99" s="286">
        <v>930.0</v>
      </c>
      <c r="D99" s="285" t="s">
        <v>4036</v>
      </c>
      <c r="E99" s="287" t="s">
        <v>3743</v>
      </c>
      <c r="F99" s="288">
        <v>44089.0</v>
      </c>
      <c r="G99" s="288">
        <v>44088.0</v>
      </c>
      <c r="H99" s="288">
        <v>44088.0</v>
      </c>
      <c r="I99" s="288" t="s">
        <v>4037</v>
      </c>
      <c r="J99" s="294" t="s">
        <v>2535</v>
      </c>
      <c r="K99" s="294" t="s">
        <v>2535</v>
      </c>
      <c r="L99" s="290" t="s">
        <v>4038</v>
      </c>
      <c r="M99" s="285"/>
      <c r="N99" s="286"/>
      <c r="O99" s="291"/>
      <c r="P99" s="157"/>
      <c r="Q99" s="157"/>
      <c r="R99" s="157"/>
      <c r="S99" s="157"/>
      <c r="T99" s="157"/>
      <c r="U99" s="157"/>
      <c r="V99" s="157"/>
      <c r="W99" s="157"/>
      <c r="X99" s="157"/>
      <c r="Y99" s="157"/>
      <c r="Z99" s="157"/>
    </row>
    <row r="100" ht="33.75" customHeight="1">
      <c r="A100" s="284">
        <v>34700.0</v>
      </c>
      <c r="B100" s="292" t="s">
        <v>21</v>
      </c>
      <c r="C100" s="286">
        <v>930.0</v>
      </c>
      <c r="D100" s="285" t="s">
        <v>4039</v>
      </c>
      <c r="E100" s="287" t="s">
        <v>3727</v>
      </c>
      <c r="F100" s="288">
        <v>44088.0</v>
      </c>
      <c r="G100" s="288">
        <v>44085.0</v>
      </c>
      <c r="H100" s="288">
        <v>44085.0</v>
      </c>
      <c r="I100" s="288">
        <v>44095.0</v>
      </c>
      <c r="J100" s="285" t="s">
        <v>3370</v>
      </c>
      <c r="K100" s="294" t="s">
        <v>2526</v>
      </c>
      <c r="L100" s="290" t="s">
        <v>4040</v>
      </c>
      <c r="M100" s="285"/>
      <c r="N100" s="286"/>
      <c r="O100" s="291"/>
      <c r="P100" s="157"/>
      <c r="Q100" s="157"/>
      <c r="R100" s="157"/>
      <c r="S100" s="157"/>
      <c r="T100" s="157"/>
      <c r="U100" s="157"/>
      <c r="V100" s="157"/>
      <c r="W100" s="157"/>
      <c r="X100" s="157"/>
      <c r="Y100" s="157"/>
      <c r="Z100" s="157"/>
    </row>
    <row r="101" ht="33.75" customHeight="1">
      <c r="A101" s="284">
        <v>34693.0</v>
      </c>
      <c r="B101" s="292" t="s">
        <v>21</v>
      </c>
      <c r="C101" s="286" t="s">
        <v>3941</v>
      </c>
      <c r="D101" s="285" t="s">
        <v>4041</v>
      </c>
      <c r="E101" s="287" t="s">
        <v>3980</v>
      </c>
      <c r="F101" s="288">
        <v>44088.0</v>
      </c>
      <c r="G101" s="288">
        <v>44084.0</v>
      </c>
      <c r="H101" s="288">
        <v>44084.0</v>
      </c>
      <c r="I101" s="288">
        <v>44091.0</v>
      </c>
      <c r="J101" s="292" t="s">
        <v>3370</v>
      </c>
      <c r="K101" s="297" t="s">
        <v>3744</v>
      </c>
      <c r="L101" s="290" t="s">
        <v>4042</v>
      </c>
      <c r="M101" s="285"/>
      <c r="N101" s="286"/>
      <c r="O101" s="291"/>
      <c r="P101" s="157"/>
      <c r="Q101" s="157"/>
      <c r="R101" s="157"/>
      <c r="S101" s="157"/>
      <c r="T101" s="157"/>
      <c r="U101" s="157"/>
      <c r="V101" s="157"/>
      <c r="W101" s="157"/>
      <c r="X101" s="157"/>
      <c r="Y101" s="157"/>
      <c r="Z101" s="157"/>
    </row>
    <row r="102" ht="38.25" customHeight="1">
      <c r="A102" s="284" t="s">
        <v>3744</v>
      </c>
      <c r="B102" s="292" t="s">
        <v>21</v>
      </c>
      <c r="C102" s="286" t="s">
        <v>4043</v>
      </c>
      <c r="D102" s="285" t="s">
        <v>4044</v>
      </c>
      <c r="E102" s="287" t="s">
        <v>4045</v>
      </c>
      <c r="F102" s="288">
        <v>44088.0</v>
      </c>
      <c r="G102" s="288">
        <v>44085.0</v>
      </c>
      <c r="H102" s="288">
        <v>44085.0</v>
      </c>
      <c r="I102" s="288">
        <v>44090.0</v>
      </c>
      <c r="J102" s="297" t="s">
        <v>3370</v>
      </c>
      <c r="K102" s="297" t="s">
        <v>3744</v>
      </c>
      <c r="L102" s="290" t="s">
        <v>4046</v>
      </c>
      <c r="M102" s="285"/>
      <c r="N102" s="286"/>
      <c r="O102" s="291"/>
      <c r="P102" s="157"/>
      <c r="Q102" s="157"/>
      <c r="R102" s="157"/>
      <c r="S102" s="157"/>
      <c r="T102" s="157"/>
      <c r="U102" s="157"/>
      <c r="V102" s="157"/>
      <c r="W102" s="157"/>
      <c r="X102" s="157"/>
      <c r="Y102" s="157"/>
      <c r="Z102" s="157"/>
    </row>
    <row r="103" ht="33.75" customHeight="1">
      <c r="A103" s="303">
        <v>34365.0</v>
      </c>
      <c r="B103" s="292" t="s">
        <v>25</v>
      </c>
      <c r="C103" s="286">
        <v>1344.0</v>
      </c>
      <c r="D103" s="285" t="s">
        <v>4047</v>
      </c>
      <c r="E103" s="287" t="s">
        <v>4022</v>
      </c>
      <c r="F103" s="288">
        <v>44087.0</v>
      </c>
      <c r="G103" s="288">
        <v>44084.0</v>
      </c>
      <c r="H103" s="288">
        <v>44084.0</v>
      </c>
      <c r="I103" s="288">
        <v>44095.0</v>
      </c>
      <c r="J103" s="294" t="s">
        <v>2535</v>
      </c>
      <c r="K103" s="294" t="s">
        <v>2535</v>
      </c>
      <c r="L103" s="290" t="s">
        <v>4048</v>
      </c>
      <c r="M103" s="285"/>
      <c r="N103" s="286"/>
      <c r="O103" s="291"/>
      <c r="P103" s="157"/>
      <c r="Q103" s="157"/>
      <c r="R103" s="157"/>
      <c r="S103" s="157"/>
      <c r="T103" s="157"/>
      <c r="U103" s="157"/>
      <c r="V103" s="157"/>
      <c r="W103" s="157"/>
      <c r="X103" s="157"/>
      <c r="Y103" s="157"/>
      <c r="Z103" s="157"/>
    </row>
    <row r="104" ht="33.75" customHeight="1">
      <c r="A104" s="303">
        <v>34366.0</v>
      </c>
      <c r="B104" s="292" t="s">
        <v>25</v>
      </c>
      <c r="C104" s="286">
        <v>960.0</v>
      </c>
      <c r="D104" s="285" t="s">
        <v>4049</v>
      </c>
      <c r="E104" s="287" t="s">
        <v>4022</v>
      </c>
      <c r="F104" s="288">
        <v>44087.0</v>
      </c>
      <c r="G104" s="288">
        <v>44084.0</v>
      </c>
      <c r="H104" s="285" t="s">
        <v>4050</v>
      </c>
      <c r="I104" s="285" t="s">
        <v>4051</v>
      </c>
      <c r="J104" s="294" t="s">
        <v>2535</v>
      </c>
      <c r="K104" s="294" t="s">
        <v>2535</v>
      </c>
      <c r="L104" s="304" t="s">
        <v>4052</v>
      </c>
      <c r="M104" s="285"/>
      <c r="N104" s="286"/>
      <c r="O104" s="291"/>
      <c r="P104" s="157"/>
      <c r="Q104" s="157"/>
      <c r="R104" s="157"/>
      <c r="S104" s="157"/>
      <c r="T104" s="157"/>
      <c r="U104" s="157"/>
      <c r="V104" s="157"/>
      <c r="W104" s="157"/>
      <c r="X104" s="157"/>
      <c r="Y104" s="157"/>
      <c r="Z104" s="157"/>
    </row>
    <row r="105" ht="33.75" customHeight="1">
      <c r="A105" s="284">
        <v>34333.0</v>
      </c>
      <c r="B105" s="292" t="s">
        <v>715</v>
      </c>
      <c r="C105" s="286">
        <v>3000.0</v>
      </c>
      <c r="D105" s="285" t="s">
        <v>4053</v>
      </c>
      <c r="E105" s="287" t="s">
        <v>3932</v>
      </c>
      <c r="F105" s="288">
        <v>44086.0</v>
      </c>
      <c r="G105" s="288">
        <v>44082.0</v>
      </c>
      <c r="H105" s="288">
        <v>44082.0</v>
      </c>
      <c r="I105" s="288">
        <v>44091.0</v>
      </c>
      <c r="J105" s="294" t="s">
        <v>2535</v>
      </c>
      <c r="K105" s="294" t="s">
        <v>2535</v>
      </c>
      <c r="L105" s="290" t="s">
        <v>4054</v>
      </c>
      <c r="M105" s="285" t="s">
        <v>497</v>
      </c>
      <c r="N105" s="286" t="s">
        <v>2554</v>
      </c>
      <c r="O105" s="291">
        <v>21200.0</v>
      </c>
      <c r="P105" s="157"/>
      <c r="Q105" s="157"/>
      <c r="R105" s="157"/>
      <c r="S105" s="157"/>
      <c r="T105" s="157"/>
      <c r="U105" s="157"/>
      <c r="V105" s="157"/>
      <c r="W105" s="157"/>
      <c r="X105" s="157"/>
      <c r="Y105" s="157"/>
      <c r="Z105" s="157"/>
    </row>
    <row r="106" ht="33.75" customHeight="1">
      <c r="A106" s="284">
        <v>34392.0</v>
      </c>
      <c r="B106" s="292" t="s">
        <v>715</v>
      </c>
      <c r="C106" s="286">
        <v>1144.0</v>
      </c>
      <c r="D106" s="285" t="s">
        <v>4055</v>
      </c>
      <c r="E106" s="287" t="s">
        <v>3895</v>
      </c>
      <c r="F106" s="288">
        <v>44086.0</v>
      </c>
      <c r="G106" s="288">
        <v>44082.0</v>
      </c>
      <c r="H106" s="288">
        <v>44082.0</v>
      </c>
      <c r="I106" s="288">
        <v>44091.0</v>
      </c>
      <c r="J106" s="294" t="s">
        <v>2535</v>
      </c>
      <c r="K106" s="294" t="s">
        <v>2535</v>
      </c>
      <c r="L106" s="290" t="s">
        <v>4056</v>
      </c>
      <c r="M106" s="285" t="s">
        <v>497</v>
      </c>
      <c r="N106" s="286" t="s">
        <v>2554</v>
      </c>
      <c r="O106" s="291">
        <v>38210.2</v>
      </c>
      <c r="P106" s="157"/>
      <c r="Q106" s="157"/>
      <c r="R106" s="157"/>
      <c r="S106" s="157"/>
      <c r="T106" s="157"/>
      <c r="U106" s="157"/>
      <c r="V106" s="157"/>
      <c r="W106" s="157"/>
      <c r="X106" s="157"/>
      <c r="Y106" s="157"/>
      <c r="Z106" s="157"/>
    </row>
    <row r="107" ht="33.75" customHeight="1">
      <c r="A107" s="284">
        <v>34694.0</v>
      </c>
      <c r="B107" s="292" t="s">
        <v>715</v>
      </c>
      <c r="C107" s="286">
        <v>930.0</v>
      </c>
      <c r="D107" s="285" t="s">
        <v>4057</v>
      </c>
      <c r="E107" s="287" t="s">
        <v>3743</v>
      </c>
      <c r="F107" s="288">
        <v>44085.0</v>
      </c>
      <c r="G107" s="288">
        <v>44083.0</v>
      </c>
      <c r="H107" s="288">
        <v>44083.0</v>
      </c>
      <c r="I107" s="288" t="s">
        <v>4058</v>
      </c>
      <c r="J107" s="294" t="s">
        <v>2535</v>
      </c>
      <c r="K107" s="294" t="s">
        <v>2535</v>
      </c>
      <c r="L107" s="290" t="s">
        <v>4059</v>
      </c>
      <c r="M107" s="285"/>
      <c r="N107" s="286"/>
      <c r="O107" s="291"/>
      <c r="P107" s="157"/>
      <c r="Q107" s="157"/>
      <c r="R107" s="157"/>
      <c r="S107" s="157"/>
      <c r="T107" s="157"/>
      <c r="U107" s="157"/>
      <c r="V107" s="157"/>
      <c r="W107" s="157"/>
      <c r="X107" s="157"/>
      <c r="Y107" s="157"/>
      <c r="Z107" s="157"/>
    </row>
    <row r="108" ht="39.0" customHeight="1">
      <c r="A108" s="284">
        <v>34756.0</v>
      </c>
      <c r="B108" s="292" t="s">
        <v>21</v>
      </c>
      <c r="C108" s="286">
        <v>1170.0</v>
      </c>
      <c r="D108" s="285" t="s">
        <v>4060</v>
      </c>
      <c r="E108" s="287" t="s">
        <v>4061</v>
      </c>
      <c r="F108" s="288">
        <v>44085.0</v>
      </c>
      <c r="G108" s="288">
        <v>44083.0</v>
      </c>
      <c r="H108" s="288">
        <v>44083.0</v>
      </c>
      <c r="I108" s="288">
        <v>44088.0</v>
      </c>
      <c r="J108" s="285" t="s">
        <v>2535</v>
      </c>
      <c r="K108" s="294" t="s">
        <v>2535</v>
      </c>
      <c r="L108" s="290" t="s">
        <v>4062</v>
      </c>
      <c r="M108" s="285"/>
      <c r="N108" s="286"/>
      <c r="O108" s="291"/>
      <c r="P108" s="157"/>
      <c r="Q108" s="157"/>
      <c r="R108" s="157"/>
      <c r="S108" s="157"/>
      <c r="T108" s="157"/>
      <c r="U108" s="157"/>
      <c r="V108" s="157"/>
      <c r="W108" s="157"/>
      <c r="X108" s="157"/>
      <c r="Y108" s="157"/>
      <c r="Z108" s="157"/>
    </row>
    <row r="109" ht="33.75" customHeight="1">
      <c r="A109" s="284">
        <v>34697.0</v>
      </c>
      <c r="B109" s="292" t="s">
        <v>21</v>
      </c>
      <c r="C109" s="286" t="s">
        <v>4063</v>
      </c>
      <c r="D109" s="285" t="s">
        <v>4064</v>
      </c>
      <c r="E109" s="287" t="s">
        <v>4065</v>
      </c>
      <c r="F109" s="288">
        <v>44085.0</v>
      </c>
      <c r="G109" s="288">
        <v>44083.0</v>
      </c>
      <c r="H109" s="288">
        <v>44083.0</v>
      </c>
      <c r="I109" s="288">
        <v>44092.0</v>
      </c>
      <c r="J109" s="297" t="s">
        <v>3370</v>
      </c>
      <c r="K109" s="297" t="s">
        <v>3744</v>
      </c>
      <c r="L109" s="290" t="s">
        <v>4066</v>
      </c>
      <c r="M109" s="285"/>
      <c r="N109" s="286"/>
      <c r="O109" s="291"/>
      <c r="P109" s="157"/>
      <c r="Q109" s="157"/>
      <c r="R109" s="157"/>
      <c r="S109" s="157"/>
      <c r="T109" s="157"/>
      <c r="U109" s="157"/>
      <c r="V109" s="157"/>
      <c r="W109" s="157"/>
      <c r="X109" s="157"/>
      <c r="Y109" s="157"/>
      <c r="Z109" s="157"/>
    </row>
    <row r="110" ht="33.75" customHeight="1">
      <c r="A110" s="284">
        <v>34611.0</v>
      </c>
      <c r="B110" s="292" t="s">
        <v>715</v>
      </c>
      <c r="C110" s="286">
        <v>1150.0</v>
      </c>
      <c r="D110" s="285" t="s">
        <v>4067</v>
      </c>
      <c r="E110" s="287" t="s">
        <v>4068</v>
      </c>
      <c r="F110" s="288">
        <v>44082.0</v>
      </c>
      <c r="G110" s="288">
        <v>44075.0</v>
      </c>
      <c r="H110" s="288">
        <v>44075.0</v>
      </c>
      <c r="I110" s="288" t="s">
        <v>4069</v>
      </c>
      <c r="J110" s="294" t="s">
        <v>2535</v>
      </c>
      <c r="K110" s="294" t="s">
        <v>2535</v>
      </c>
      <c r="L110" s="290" t="s">
        <v>4070</v>
      </c>
      <c r="M110" s="285"/>
      <c r="N110" s="286"/>
      <c r="O110" s="291"/>
      <c r="P110" s="157"/>
      <c r="Q110" s="157"/>
      <c r="R110" s="157"/>
      <c r="S110" s="157"/>
      <c r="T110" s="157"/>
      <c r="U110" s="157"/>
      <c r="V110" s="157"/>
      <c r="W110" s="157"/>
      <c r="X110" s="157"/>
      <c r="Y110" s="157"/>
      <c r="Z110" s="157"/>
    </row>
    <row r="111" ht="33.75" customHeight="1">
      <c r="A111" s="284">
        <v>34612.0</v>
      </c>
      <c r="B111" s="292" t="s">
        <v>715</v>
      </c>
      <c r="C111" s="286">
        <v>1350.0</v>
      </c>
      <c r="D111" s="285" t="s">
        <v>4071</v>
      </c>
      <c r="E111" s="287" t="s">
        <v>3752</v>
      </c>
      <c r="F111" s="288">
        <v>44082.0</v>
      </c>
      <c r="G111" s="288">
        <v>44076.0</v>
      </c>
      <c r="H111" s="288">
        <v>44076.0</v>
      </c>
      <c r="I111" s="288" t="s">
        <v>4072</v>
      </c>
      <c r="J111" s="294" t="s">
        <v>2535</v>
      </c>
      <c r="K111" s="294" t="s">
        <v>2535</v>
      </c>
      <c r="L111" s="290" t="s">
        <v>4073</v>
      </c>
      <c r="M111" s="285"/>
      <c r="N111" s="286"/>
      <c r="O111" s="291"/>
      <c r="P111" s="157"/>
      <c r="Q111" s="157"/>
      <c r="R111" s="157"/>
      <c r="S111" s="157"/>
      <c r="T111" s="157"/>
      <c r="U111" s="157"/>
      <c r="V111" s="157"/>
      <c r="W111" s="157"/>
      <c r="X111" s="157"/>
      <c r="Y111" s="157"/>
      <c r="Z111" s="157"/>
    </row>
    <row r="112" ht="33.75" customHeight="1">
      <c r="A112" s="284">
        <v>34485.0</v>
      </c>
      <c r="B112" s="292" t="s">
        <v>715</v>
      </c>
      <c r="C112" s="286">
        <v>790.0</v>
      </c>
      <c r="D112" s="285" t="s">
        <v>4074</v>
      </c>
      <c r="E112" s="287" t="s">
        <v>3812</v>
      </c>
      <c r="F112" s="288">
        <v>44081.0</v>
      </c>
      <c r="G112" s="288">
        <v>44082.0</v>
      </c>
      <c r="H112" s="288">
        <v>44082.0</v>
      </c>
      <c r="I112" s="288" t="s">
        <v>4075</v>
      </c>
      <c r="J112" s="294" t="s">
        <v>2535</v>
      </c>
      <c r="K112" s="294" t="s">
        <v>2535</v>
      </c>
      <c r="L112" s="290" t="s">
        <v>4076</v>
      </c>
      <c r="M112" s="285"/>
      <c r="N112" s="286"/>
      <c r="O112" s="291"/>
      <c r="P112" s="157"/>
      <c r="Q112" s="157"/>
      <c r="R112" s="157"/>
      <c r="S112" s="157"/>
      <c r="T112" s="157"/>
      <c r="U112" s="157"/>
      <c r="V112" s="157"/>
      <c r="W112" s="157"/>
      <c r="X112" s="157"/>
      <c r="Y112" s="157"/>
      <c r="Z112" s="157"/>
    </row>
    <row r="113" ht="43.5" customHeight="1">
      <c r="A113" s="284">
        <v>34483.0</v>
      </c>
      <c r="B113" s="292" t="s">
        <v>25</v>
      </c>
      <c r="C113" s="286">
        <v>1552.0</v>
      </c>
      <c r="D113" s="285" t="s">
        <v>4077</v>
      </c>
      <c r="E113" s="287" t="s">
        <v>3812</v>
      </c>
      <c r="F113" s="288">
        <v>44080.0</v>
      </c>
      <c r="G113" s="288">
        <v>44083.0</v>
      </c>
      <c r="H113" s="288">
        <v>44083.0</v>
      </c>
      <c r="I113" s="288" t="s">
        <v>4078</v>
      </c>
      <c r="J113" s="294" t="s">
        <v>2535</v>
      </c>
      <c r="K113" s="294" t="s">
        <v>2535</v>
      </c>
      <c r="L113" s="290" t="s">
        <v>4079</v>
      </c>
      <c r="M113" s="285"/>
      <c r="N113" s="286"/>
      <c r="O113" s="291"/>
      <c r="P113" s="157"/>
      <c r="Q113" s="157"/>
      <c r="R113" s="157"/>
      <c r="S113" s="157"/>
      <c r="T113" s="157"/>
      <c r="U113" s="157"/>
      <c r="V113" s="157"/>
      <c r="W113" s="157"/>
      <c r="X113" s="157"/>
      <c r="Y113" s="157"/>
      <c r="Z113" s="157"/>
    </row>
    <row r="114" ht="43.5" customHeight="1">
      <c r="A114" s="284">
        <v>34695.0</v>
      </c>
      <c r="B114" s="292" t="s">
        <v>21</v>
      </c>
      <c r="C114" s="286">
        <v>1680.0</v>
      </c>
      <c r="D114" s="285" t="s">
        <v>4080</v>
      </c>
      <c r="E114" s="287" t="s">
        <v>3743</v>
      </c>
      <c r="F114" s="288">
        <v>44080.0</v>
      </c>
      <c r="G114" s="288">
        <v>44075.0</v>
      </c>
      <c r="H114" s="288">
        <v>44075.0</v>
      </c>
      <c r="I114" s="288">
        <v>44097.0</v>
      </c>
      <c r="J114" s="292" t="s">
        <v>3370</v>
      </c>
      <c r="K114" s="297" t="s">
        <v>3744</v>
      </c>
      <c r="L114" s="290" t="s">
        <v>4081</v>
      </c>
      <c r="M114" s="285"/>
      <c r="N114" s="286"/>
      <c r="O114" s="291"/>
      <c r="P114" s="157"/>
      <c r="Q114" s="157"/>
      <c r="R114" s="157"/>
      <c r="S114" s="157"/>
      <c r="T114" s="157"/>
      <c r="U114" s="157"/>
      <c r="V114" s="157"/>
      <c r="W114" s="157"/>
      <c r="X114" s="157"/>
      <c r="Y114" s="157"/>
      <c r="Z114" s="157"/>
    </row>
    <row r="115" ht="43.5" customHeight="1">
      <c r="A115" s="284">
        <v>34330.0</v>
      </c>
      <c r="B115" s="292" t="s">
        <v>715</v>
      </c>
      <c r="C115" s="286">
        <v>2100.0</v>
      </c>
      <c r="D115" s="285" t="s">
        <v>4082</v>
      </c>
      <c r="E115" s="287" t="s">
        <v>3946</v>
      </c>
      <c r="F115" s="288">
        <v>44078.0</v>
      </c>
      <c r="G115" s="288">
        <v>44075.0</v>
      </c>
      <c r="H115" s="288">
        <v>44075.0</v>
      </c>
      <c r="I115" s="288" t="s">
        <v>4083</v>
      </c>
      <c r="J115" s="285" t="s">
        <v>2535</v>
      </c>
      <c r="K115" s="294" t="s">
        <v>2535</v>
      </c>
      <c r="L115" s="290" t="s">
        <v>4084</v>
      </c>
      <c r="M115" s="285" t="s">
        <v>497</v>
      </c>
      <c r="N115" s="286" t="s">
        <v>2554</v>
      </c>
      <c r="O115" s="291">
        <v>28812.0</v>
      </c>
      <c r="P115" s="157"/>
      <c r="Q115" s="157"/>
      <c r="R115" s="157"/>
      <c r="S115" s="157"/>
      <c r="T115" s="157"/>
      <c r="U115" s="157"/>
      <c r="V115" s="157"/>
      <c r="W115" s="157"/>
      <c r="X115" s="157"/>
      <c r="Y115" s="157"/>
      <c r="Z115" s="157"/>
    </row>
    <row r="116" ht="33.75" customHeight="1">
      <c r="A116" s="284">
        <v>34696.0</v>
      </c>
      <c r="B116" s="292" t="s">
        <v>21</v>
      </c>
      <c r="C116" s="286">
        <v>1359.0</v>
      </c>
      <c r="D116" s="285" t="s">
        <v>4085</v>
      </c>
      <c r="E116" s="287" t="s">
        <v>4086</v>
      </c>
      <c r="F116" s="288">
        <v>44078.0</v>
      </c>
      <c r="G116" s="288">
        <v>44074.0</v>
      </c>
      <c r="H116" s="288">
        <v>44074.0</v>
      </c>
      <c r="I116" s="288">
        <v>44085.0</v>
      </c>
      <c r="J116" s="297" t="s">
        <v>3370</v>
      </c>
      <c r="K116" s="297" t="s">
        <v>3744</v>
      </c>
      <c r="L116" s="290" t="s">
        <v>4087</v>
      </c>
      <c r="M116" s="285"/>
      <c r="N116" s="286"/>
      <c r="O116" s="291"/>
      <c r="P116" s="157"/>
      <c r="Q116" s="157"/>
      <c r="R116" s="157"/>
      <c r="S116" s="157"/>
      <c r="T116" s="157"/>
      <c r="U116" s="157"/>
      <c r="V116" s="157"/>
      <c r="W116" s="157"/>
      <c r="X116" s="157"/>
      <c r="Y116" s="157"/>
      <c r="Z116" s="157"/>
    </row>
    <row r="117" ht="33.75" customHeight="1">
      <c r="A117" s="284">
        <v>34614.0</v>
      </c>
      <c r="B117" s="292" t="s">
        <v>21</v>
      </c>
      <c r="C117" s="286">
        <v>592.0</v>
      </c>
      <c r="D117" s="285" t="s">
        <v>4088</v>
      </c>
      <c r="E117" s="287" t="s">
        <v>4089</v>
      </c>
      <c r="F117" s="288">
        <v>44076.0</v>
      </c>
      <c r="G117" s="288">
        <v>44070.0</v>
      </c>
      <c r="H117" s="288">
        <v>44070.0</v>
      </c>
      <c r="I117" s="288">
        <v>44082.0</v>
      </c>
      <c r="J117" s="292" t="s">
        <v>3370</v>
      </c>
      <c r="K117" s="297" t="s">
        <v>3744</v>
      </c>
      <c r="L117" s="290" t="s">
        <v>4090</v>
      </c>
      <c r="M117" s="285"/>
      <c r="N117" s="286"/>
      <c r="O117" s="291"/>
      <c r="P117" s="157"/>
      <c r="Q117" s="157"/>
      <c r="R117" s="157"/>
      <c r="S117" s="157"/>
      <c r="T117" s="157"/>
      <c r="U117" s="157"/>
      <c r="V117" s="157"/>
      <c r="W117" s="157"/>
      <c r="X117" s="157"/>
      <c r="Y117" s="157"/>
      <c r="Z117" s="157"/>
    </row>
    <row r="118" ht="33.75" customHeight="1">
      <c r="A118" s="284">
        <v>34322.0</v>
      </c>
      <c r="B118" s="292" t="s">
        <v>715</v>
      </c>
      <c r="C118" s="286">
        <v>1290.0</v>
      </c>
      <c r="D118" s="285" t="s">
        <v>4091</v>
      </c>
      <c r="E118" s="287" t="s">
        <v>4092</v>
      </c>
      <c r="F118" s="288">
        <v>44074.0</v>
      </c>
      <c r="G118" s="288">
        <v>44070.0</v>
      </c>
      <c r="H118" s="288">
        <v>44070.0</v>
      </c>
      <c r="I118" s="288" t="s">
        <v>4093</v>
      </c>
      <c r="J118" s="294" t="s">
        <v>2535</v>
      </c>
      <c r="K118" s="294" t="s">
        <v>2535</v>
      </c>
      <c r="L118" s="290" t="s">
        <v>4094</v>
      </c>
      <c r="M118" s="285" t="s">
        <v>497</v>
      </c>
      <c r="N118" s="286" t="s">
        <v>2554</v>
      </c>
      <c r="O118" s="291">
        <v>44335.0</v>
      </c>
      <c r="P118" s="157"/>
      <c r="Q118" s="157"/>
      <c r="R118" s="157"/>
      <c r="S118" s="157"/>
      <c r="T118" s="157"/>
      <c r="U118" s="157"/>
      <c r="V118" s="157"/>
      <c r="W118" s="157"/>
      <c r="X118" s="157"/>
      <c r="Y118" s="157"/>
      <c r="Z118" s="157"/>
    </row>
    <row r="119" ht="33.75" customHeight="1">
      <c r="A119" s="284">
        <v>34391.0</v>
      </c>
      <c r="B119" s="292" t="s">
        <v>715</v>
      </c>
      <c r="C119" s="286">
        <v>1290.0</v>
      </c>
      <c r="D119" s="285" t="s">
        <v>4095</v>
      </c>
      <c r="E119" s="287" t="s">
        <v>4092</v>
      </c>
      <c r="F119" s="288">
        <v>44074.0</v>
      </c>
      <c r="G119" s="288">
        <v>44070.0</v>
      </c>
      <c r="H119" s="288">
        <v>44070.0</v>
      </c>
      <c r="I119" s="288" t="s">
        <v>4096</v>
      </c>
      <c r="J119" s="294" t="s">
        <v>2535</v>
      </c>
      <c r="K119" s="294" t="s">
        <v>2535</v>
      </c>
      <c r="L119" s="290" t="s">
        <v>4097</v>
      </c>
      <c r="M119" s="285" t="s">
        <v>497</v>
      </c>
      <c r="N119" s="286" t="s">
        <v>2554</v>
      </c>
      <c r="O119" s="291">
        <v>44335.0</v>
      </c>
      <c r="P119" s="157"/>
      <c r="Q119" s="157"/>
      <c r="R119" s="157"/>
      <c r="S119" s="157"/>
      <c r="T119" s="157"/>
      <c r="U119" s="157"/>
      <c r="V119" s="157"/>
      <c r="W119" s="157"/>
      <c r="X119" s="157"/>
      <c r="Y119" s="157"/>
      <c r="Z119" s="157"/>
    </row>
    <row r="120" ht="33.75" customHeight="1">
      <c r="A120" s="284">
        <v>34332.0</v>
      </c>
      <c r="B120" s="292" t="s">
        <v>25</v>
      </c>
      <c r="C120" s="286">
        <v>3000.0</v>
      </c>
      <c r="D120" s="285" t="s">
        <v>4098</v>
      </c>
      <c r="E120" s="287" t="s">
        <v>3932</v>
      </c>
      <c r="F120" s="288">
        <v>44073.0</v>
      </c>
      <c r="G120" s="288">
        <v>44068.0</v>
      </c>
      <c r="H120" s="288">
        <v>44068.0</v>
      </c>
      <c r="I120" s="288" t="s">
        <v>4099</v>
      </c>
      <c r="J120" s="294" t="s">
        <v>2535</v>
      </c>
      <c r="K120" s="294" t="s">
        <v>2535</v>
      </c>
      <c r="L120" s="290" t="s">
        <v>4100</v>
      </c>
      <c r="M120" s="285" t="s">
        <v>497</v>
      </c>
      <c r="N120" s="286" t="s">
        <v>2554</v>
      </c>
      <c r="O120" s="291">
        <v>20610.0</v>
      </c>
      <c r="P120" s="157"/>
      <c r="Q120" s="157"/>
      <c r="R120" s="157"/>
      <c r="S120" s="157"/>
      <c r="T120" s="157"/>
      <c r="U120" s="157"/>
      <c r="V120" s="157"/>
      <c r="W120" s="157"/>
      <c r="X120" s="157"/>
      <c r="Y120" s="157"/>
      <c r="Z120" s="157"/>
    </row>
    <row r="121" ht="33.75" customHeight="1">
      <c r="A121" s="284">
        <v>34638.0</v>
      </c>
      <c r="B121" s="292" t="s">
        <v>21</v>
      </c>
      <c r="C121" s="286">
        <v>930.0</v>
      </c>
      <c r="D121" s="285" t="s">
        <v>4101</v>
      </c>
      <c r="E121" s="287" t="s">
        <v>3743</v>
      </c>
      <c r="F121" s="288">
        <v>44072.0</v>
      </c>
      <c r="G121" s="288">
        <v>44067.0</v>
      </c>
      <c r="H121" s="288">
        <v>44067.0</v>
      </c>
      <c r="I121" s="288">
        <v>44082.0</v>
      </c>
      <c r="J121" s="292" t="s">
        <v>3370</v>
      </c>
      <c r="K121" s="297" t="s">
        <v>3744</v>
      </c>
      <c r="L121" s="290" t="s">
        <v>4102</v>
      </c>
      <c r="M121" s="285"/>
      <c r="N121" s="286"/>
      <c r="O121" s="291"/>
      <c r="P121" s="157"/>
      <c r="Q121" s="157"/>
      <c r="R121" s="157"/>
      <c r="S121" s="157"/>
      <c r="T121" s="157"/>
      <c r="U121" s="157"/>
      <c r="V121" s="157"/>
      <c r="W121" s="157"/>
      <c r="X121" s="157"/>
      <c r="Y121" s="157"/>
      <c r="Z121" s="157"/>
    </row>
    <row r="122" ht="33.75" customHeight="1">
      <c r="A122" s="284">
        <v>34610.0</v>
      </c>
      <c r="B122" s="292" t="s">
        <v>21</v>
      </c>
      <c r="C122" s="286" t="s">
        <v>4103</v>
      </c>
      <c r="D122" s="285" t="s">
        <v>4104</v>
      </c>
      <c r="E122" s="287" t="s">
        <v>3727</v>
      </c>
      <c r="F122" s="288">
        <v>44072.0</v>
      </c>
      <c r="G122" s="288">
        <v>44067.0</v>
      </c>
      <c r="H122" s="288">
        <v>44067.0</v>
      </c>
      <c r="I122" s="288">
        <v>44083.0</v>
      </c>
      <c r="J122" s="285" t="s">
        <v>3370</v>
      </c>
      <c r="K122" s="294" t="s">
        <v>2526</v>
      </c>
      <c r="L122" s="290" t="s">
        <v>4105</v>
      </c>
      <c r="M122" s="285"/>
      <c r="N122" s="286"/>
      <c r="O122" s="291"/>
      <c r="P122" s="157"/>
      <c r="Q122" s="157"/>
      <c r="R122" s="157"/>
      <c r="S122" s="157"/>
      <c r="T122" s="157"/>
      <c r="U122" s="157"/>
      <c r="V122" s="157"/>
      <c r="W122" s="157"/>
      <c r="X122" s="157"/>
      <c r="Y122" s="157"/>
      <c r="Z122" s="157"/>
    </row>
    <row r="123" ht="33.75" customHeight="1">
      <c r="A123" s="284">
        <v>34259.0</v>
      </c>
      <c r="B123" s="292" t="s">
        <v>715</v>
      </c>
      <c r="C123" s="286">
        <v>900.0</v>
      </c>
      <c r="D123" s="285" t="s">
        <v>4106</v>
      </c>
      <c r="E123" s="287" t="s">
        <v>2876</v>
      </c>
      <c r="F123" s="288">
        <v>44067.0</v>
      </c>
      <c r="G123" s="288">
        <v>44063.0</v>
      </c>
      <c r="H123" s="288">
        <v>44063.0</v>
      </c>
      <c r="I123" s="288" t="s">
        <v>4107</v>
      </c>
      <c r="J123" s="294" t="s">
        <v>2535</v>
      </c>
      <c r="K123" s="294" t="s">
        <v>2535</v>
      </c>
      <c r="L123" s="290" t="s">
        <v>4108</v>
      </c>
      <c r="M123" s="285"/>
      <c r="N123" s="286"/>
      <c r="O123" s="291"/>
      <c r="P123" s="157"/>
      <c r="Q123" s="157"/>
      <c r="R123" s="157"/>
      <c r="S123" s="157"/>
      <c r="T123" s="157"/>
      <c r="U123" s="157"/>
      <c r="V123" s="157"/>
      <c r="W123" s="157"/>
      <c r="X123" s="157"/>
      <c r="Y123" s="157"/>
      <c r="Z123" s="157"/>
    </row>
    <row r="124" ht="33.75" customHeight="1">
      <c r="A124" s="284">
        <v>34323.0</v>
      </c>
      <c r="B124" s="292" t="s">
        <v>25</v>
      </c>
      <c r="C124" s="286">
        <v>2100.0</v>
      </c>
      <c r="D124" s="285" t="s">
        <v>4109</v>
      </c>
      <c r="E124" s="287" t="s">
        <v>4110</v>
      </c>
      <c r="F124" s="288">
        <v>44066.0</v>
      </c>
      <c r="G124" s="288">
        <v>44060.0</v>
      </c>
      <c r="H124" s="288">
        <v>44060.0</v>
      </c>
      <c r="I124" s="288" t="s">
        <v>4111</v>
      </c>
      <c r="J124" s="294" t="s">
        <v>2535</v>
      </c>
      <c r="K124" s="294" t="s">
        <v>2535</v>
      </c>
      <c r="L124" s="290" t="s">
        <v>4112</v>
      </c>
      <c r="M124" s="285" t="s">
        <v>497</v>
      </c>
      <c r="N124" s="286" t="s">
        <v>2554</v>
      </c>
      <c r="O124" s="291">
        <v>37005.0</v>
      </c>
      <c r="P124" s="157"/>
      <c r="Q124" s="157"/>
      <c r="R124" s="157"/>
      <c r="S124" s="157"/>
      <c r="T124" s="157"/>
      <c r="U124" s="157"/>
      <c r="V124" s="157"/>
      <c r="W124" s="157"/>
      <c r="X124" s="157"/>
      <c r="Y124" s="157"/>
      <c r="Z124" s="157"/>
    </row>
    <row r="125" ht="33.75" customHeight="1">
      <c r="A125" s="284">
        <v>34578.0</v>
      </c>
      <c r="B125" s="292" t="s">
        <v>715</v>
      </c>
      <c r="C125" s="286" t="s">
        <v>4113</v>
      </c>
      <c r="D125" s="285" t="s">
        <v>4114</v>
      </c>
      <c r="E125" s="287" t="s">
        <v>4115</v>
      </c>
      <c r="F125" s="288">
        <v>44066.0</v>
      </c>
      <c r="G125" s="288">
        <v>44062.0</v>
      </c>
      <c r="H125" s="288">
        <v>44062.0</v>
      </c>
      <c r="I125" s="288" t="s">
        <v>4116</v>
      </c>
      <c r="J125" s="294" t="s">
        <v>2535</v>
      </c>
      <c r="K125" s="294" t="s">
        <v>2535</v>
      </c>
      <c r="L125" s="290" t="s">
        <v>4117</v>
      </c>
      <c r="M125" s="285"/>
      <c r="N125" s="286"/>
      <c r="O125" s="291"/>
      <c r="P125" s="157"/>
      <c r="Q125" s="157"/>
      <c r="R125" s="157"/>
      <c r="S125" s="157"/>
      <c r="T125" s="157"/>
      <c r="U125" s="157"/>
      <c r="V125" s="157"/>
      <c r="W125" s="157"/>
      <c r="X125" s="157"/>
      <c r="Y125" s="157"/>
      <c r="Z125" s="157"/>
    </row>
    <row r="126" ht="33.75" customHeight="1">
      <c r="A126" s="284">
        <v>34579.0</v>
      </c>
      <c r="B126" s="292" t="s">
        <v>715</v>
      </c>
      <c r="C126" s="286">
        <v>930.0</v>
      </c>
      <c r="D126" s="285" t="s">
        <v>4118</v>
      </c>
      <c r="E126" s="287" t="s">
        <v>4119</v>
      </c>
      <c r="F126" s="288">
        <v>44066.0</v>
      </c>
      <c r="G126" s="288">
        <v>44063.0</v>
      </c>
      <c r="H126" s="288">
        <v>44063.0</v>
      </c>
      <c r="I126" s="288" t="s">
        <v>4120</v>
      </c>
      <c r="J126" s="294" t="s">
        <v>2535</v>
      </c>
      <c r="K126" s="294" t="s">
        <v>2535</v>
      </c>
      <c r="L126" s="290" t="s">
        <v>4121</v>
      </c>
      <c r="M126" s="285"/>
      <c r="N126" s="286"/>
      <c r="O126" s="291"/>
      <c r="P126" s="157"/>
      <c r="Q126" s="157"/>
      <c r="R126" s="157"/>
      <c r="S126" s="157"/>
      <c r="T126" s="157"/>
      <c r="U126" s="157"/>
      <c r="V126" s="157"/>
      <c r="W126" s="157"/>
      <c r="X126" s="157"/>
      <c r="Y126" s="157"/>
      <c r="Z126" s="157"/>
    </row>
    <row r="127" ht="33.75" customHeight="1">
      <c r="A127" s="284">
        <v>34580.0</v>
      </c>
      <c r="B127" s="292" t="s">
        <v>715</v>
      </c>
      <c r="C127" s="286">
        <v>930.0</v>
      </c>
      <c r="D127" s="285" t="s">
        <v>4122</v>
      </c>
      <c r="E127" s="287" t="s">
        <v>3854</v>
      </c>
      <c r="F127" s="288">
        <v>44066.0</v>
      </c>
      <c r="G127" s="288">
        <v>44063.0</v>
      </c>
      <c r="H127" s="288">
        <v>44063.0</v>
      </c>
      <c r="I127" s="288">
        <v>44077.0</v>
      </c>
      <c r="J127" s="294" t="s">
        <v>2535</v>
      </c>
      <c r="K127" s="294" t="s">
        <v>2535</v>
      </c>
      <c r="L127" s="290" t="s">
        <v>4123</v>
      </c>
      <c r="M127" s="285"/>
      <c r="N127" s="286"/>
      <c r="O127" s="291"/>
      <c r="P127" s="157"/>
      <c r="Q127" s="157"/>
      <c r="R127" s="157"/>
      <c r="S127" s="157"/>
      <c r="T127" s="157"/>
      <c r="U127" s="157"/>
      <c r="V127" s="157"/>
      <c r="W127" s="157"/>
      <c r="X127" s="157"/>
      <c r="Y127" s="157"/>
      <c r="Z127" s="157"/>
    </row>
    <row r="128" ht="33.75" customHeight="1">
      <c r="A128" s="284">
        <v>34552.0</v>
      </c>
      <c r="B128" s="292" t="s">
        <v>21</v>
      </c>
      <c r="C128" s="286">
        <v>1182.0</v>
      </c>
      <c r="D128" s="285" t="s">
        <v>4124</v>
      </c>
      <c r="E128" s="287" t="s">
        <v>4125</v>
      </c>
      <c r="F128" s="288">
        <v>44063.0</v>
      </c>
      <c r="G128" s="288">
        <v>44054.0</v>
      </c>
      <c r="H128" s="288">
        <v>44054.0</v>
      </c>
      <c r="I128" s="288">
        <v>44069.0</v>
      </c>
      <c r="J128" s="292" t="s">
        <v>3370</v>
      </c>
      <c r="K128" s="294" t="s">
        <v>2526</v>
      </c>
      <c r="L128" s="290" t="s">
        <v>4126</v>
      </c>
      <c r="M128" s="285"/>
      <c r="N128" s="286"/>
      <c r="O128" s="291"/>
      <c r="P128" s="157"/>
      <c r="Q128" s="157"/>
      <c r="R128" s="157"/>
      <c r="S128" s="157"/>
      <c r="T128" s="157"/>
      <c r="U128" s="157"/>
      <c r="V128" s="157"/>
      <c r="W128" s="157"/>
      <c r="X128" s="157"/>
      <c r="Y128" s="157"/>
      <c r="Z128" s="157"/>
    </row>
    <row r="129" ht="33.75" customHeight="1">
      <c r="A129" s="284">
        <v>34331.0</v>
      </c>
      <c r="B129" s="292" t="s">
        <v>715</v>
      </c>
      <c r="C129" s="286">
        <v>1160.0</v>
      </c>
      <c r="D129" s="285" t="s">
        <v>4127</v>
      </c>
      <c r="E129" s="287" t="s">
        <v>4018</v>
      </c>
      <c r="F129" s="288">
        <v>44060.0</v>
      </c>
      <c r="G129" s="288">
        <v>44056.0</v>
      </c>
      <c r="H129" s="288">
        <v>44056.0</v>
      </c>
      <c r="I129" s="288" t="s">
        <v>4128</v>
      </c>
      <c r="J129" s="294" t="s">
        <v>2535</v>
      </c>
      <c r="K129" s="294" t="s">
        <v>2535</v>
      </c>
      <c r="L129" s="290" t="s">
        <v>4129</v>
      </c>
      <c r="M129" s="285" t="s">
        <v>497</v>
      </c>
      <c r="N129" s="286" t="s">
        <v>2554</v>
      </c>
      <c r="O129" s="291">
        <v>31865.2</v>
      </c>
      <c r="P129" s="157"/>
      <c r="Q129" s="157"/>
      <c r="R129" s="157"/>
      <c r="S129" s="157"/>
      <c r="T129" s="157"/>
      <c r="U129" s="157"/>
      <c r="V129" s="157"/>
      <c r="W129" s="157"/>
      <c r="X129" s="157"/>
      <c r="Y129" s="157"/>
      <c r="Z129" s="157"/>
    </row>
    <row r="130" ht="39.75" customHeight="1">
      <c r="A130" s="284">
        <v>34577.0</v>
      </c>
      <c r="B130" s="292" t="s">
        <v>21</v>
      </c>
      <c r="C130" s="286">
        <v>1139.0</v>
      </c>
      <c r="D130" s="285" t="s">
        <v>4130</v>
      </c>
      <c r="E130" s="287" t="s">
        <v>4131</v>
      </c>
      <c r="F130" s="288">
        <v>44059.0</v>
      </c>
      <c r="G130" s="288">
        <v>44055.0</v>
      </c>
      <c r="H130" s="288">
        <v>44055.0</v>
      </c>
      <c r="I130" s="288">
        <v>44064.0</v>
      </c>
      <c r="J130" s="292" t="s">
        <v>3370</v>
      </c>
      <c r="K130" s="294" t="s">
        <v>2526</v>
      </c>
      <c r="L130" s="290" t="s">
        <v>4132</v>
      </c>
      <c r="M130" s="285"/>
      <c r="N130" s="286"/>
      <c r="O130" s="291"/>
      <c r="P130" s="157"/>
      <c r="Q130" s="157"/>
      <c r="R130" s="157"/>
      <c r="S130" s="157"/>
      <c r="T130" s="157"/>
      <c r="U130" s="157"/>
      <c r="V130" s="157"/>
      <c r="W130" s="157"/>
      <c r="X130" s="157"/>
      <c r="Y130" s="157"/>
      <c r="Z130" s="157"/>
    </row>
    <row r="131" ht="33.75" customHeight="1">
      <c r="A131" s="284">
        <v>34171.0</v>
      </c>
      <c r="B131" s="292" t="s">
        <v>21</v>
      </c>
      <c r="C131" s="286">
        <v>550.0</v>
      </c>
      <c r="D131" s="285" t="s">
        <v>4133</v>
      </c>
      <c r="E131" s="287" t="s">
        <v>4134</v>
      </c>
      <c r="F131" s="288">
        <v>44059.0</v>
      </c>
      <c r="G131" s="288">
        <v>44053.0</v>
      </c>
      <c r="H131" s="288">
        <v>44053.0</v>
      </c>
      <c r="I131" s="288">
        <v>44062.375</v>
      </c>
      <c r="J131" s="297" t="s">
        <v>3370</v>
      </c>
      <c r="K131" s="294" t="s">
        <v>2526</v>
      </c>
      <c r="L131" s="290" t="s">
        <v>4135</v>
      </c>
      <c r="M131" s="285"/>
      <c r="N131" s="286"/>
      <c r="O131" s="291"/>
      <c r="P131" s="157"/>
      <c r="Q131" s="157"/>
      <c r="R131" s="157"/>
      <c r="S131" s="157"/>
      <c r="T131" s="157"/>
      <c r="U131" s="157"/>
      <c r="V131" s="157"/>
      <c r="W131" s="157"/>
      <c r="X131" s="157"/>
      <c r="Y131" s="157"/>
      <c r="Z131" s="157"/>
    </row>
    <row r="132" ht="33.75" customHeight="1">
      <c r="A132" s="284">
        <v>34475.0</v>
      </c>
      <c r="B132" s="292" t="s">
        <v>21</v>
      </c>
      <c r="C132" s="286">
        <v>800.0</v>
      </c>
      <c r="D132" s="285" t="s">
        <v>4136</v>
      </c>
      <c r="E132" s="287" t="s">
        <v>3169</v>
      </c>
      <c r="F132" s="288">
        <v>44059.0</v>
      </c>
      <c r="G132" s="288">
        <v>44053.0</v>
      </c>
      <c r="H132" s="288">
        <v>44053.0</v>
      </c>
      <c r="I132" s="288">
        <v>44067.0</v>
      </c>
      <c r="J132" s="297" t="s">
        <v>3370</v>
      </c>
      <c r="K132" s="294" t="s">
        <v>2526</v>
      </c>
      <c r="L132" s="290" t="s">
        <v>4137</v>
      </c>
      <c r="M132" s="285"/>
      <c r="N132" s="286"/>
      <c r="O132" s="291"/>
      <c r="P132" s="157"/>
      <c r="Q132" s="157"/>
      <c r="R132" s="157"/>
      <c r="S132" s="157"/>
      <c r="T132" s="157"/>
      <c r="U132" s="157"/>
      <c r="V132" s="157"/>
      <c r="W132" s="157"/>
      <c r="X132" s="157"/>
      <c r="Y132" s="157"/>
      <c r="Z132" s="157"/>
    </row>
    <row r="133" ht="33.75" customHeight="1">
      <c r="A133" s="284">
        <v>34553.0</v>
      </c>
      <c r="B133" s="292" t="s">
        <v>715</v>
      </c>
      <c r="C133" s="286">
        <v>930.0</v>
      </c>
      <c r="D133" s="285" t="s">
        <v>4138</v>
      </c>
      <c r="E133" s="287" t="s">
        <v>3743</v>
      </c>
      <c r="F133" s="288">
        <v>44058.0</v>
      </c>
      <c r="G133" s="288">
        <v>44054.0</v>
      </c>
      <c r="H133" s="288">
        <v>44054.0</v>
      </c>
      <c r="I133" s="288" t="s">
        <v>4139</v>
      </c>
      <c r="J133" s="294" t="s">
        <v>2535</v>
      </c>
      <c r="K133" s="294" t="s">
        <v>2535</v>
      </c>
      <c r="L133" s="290" t="s">
        <v>4140</v>
      </c>
      <c r="M133" s="285"/>
      <c r="N133" s="286"/>
      <c r="O133" s="291"/>
      <c r="P133" s="157"/>
      <c r="Q133" s="157"/>
      <c r="R133" s="157"/>
      <c r="S133" s="157"/>
      <c r="T133" s="157"/>
      <c r="U133" s="157"/>
      <c r="V133" s="157"/>
      <c r="W133" s="157"/>
      <c r="X133" s="157"/>
      <c r="Y133" s="157"/>
      <c r="Z133" s="157"/>
    </row>
    <row r="134" ht="39.75" customHeight="1">
      <c r="A134" s="284">
        <v>34262.0</v>
      </c>
      <c r="B134" s="292" t="s">
        <v>715</v>
      </c>
      <c r="C134" s="286">
        <v>2100.0</v>
      </c>
      <c r="D134" s="285" t="s">
        <v>4141</v>
      </c>
      <c r="E134" s="287" t="s">
        <v>3946</v>
      </c>
      <c r="F134" s="305">
        <v>44057.0</v>
      </c>
      <c r="G134" s="305">
        <v>44053.0</v>
      </c>
      <c r="H134" s="305">
        <v>44053.0</v>
      </c>
      <c r="I134" s="305" t="s">
        <v>4142</v>
      </c>
      <c r="J134" s="294" t="s">
        <v>2535</v>
      </c>
      <c r="K134" s="294" t="s">
        <v>2535</v>
      </c>
      <c r="L134" s="290" t="s">
        <v>4143</v>
      </c>
      <c r="M134" s="285" t="s">
        <v>497</v>
      </c>
      <c r="N134" s="286" t="s">
        <v>2554</v>
      </c>
      <c r="O134" s="291">
        <v>28812.0</v>
      </c>
      <c r="P134" s="157"/>
      <c r="Q134" s="157"/>
      <c r="R134" s="157"/>
      <c r="S134" s="157"/>
      <c r="T134" s="157"/>
      <c r="U134" s="157"/>
      <c r="V134" s="157"/>
      <c r="W134" s="157"/>
      <c r="X134" s="157"/>
      <c r="Y134" s="157"/>
      <c r="Z134" s="157"/>
    </row>
    <row r="135" ht="33.75" customHeight="1">
      <c r="A135" s="284">
        <v>34320.0</v>
      </c>
      <c r="B135" s="292" t="s">
        <v>715</v>
      </c>
      <c r="C135" s="286">
        <v>1290.0</v>
      </c>
      <c r="D135" s="285" t="s">
        <v>4144</v>
      </c>
      <c r="E135" s="287" t="s">
        <v>4145</v>
      </c>
      <c r="F135" s="305">
        <v>44057.0</v>
      </c>
      <c r="G135" s="288">
        <v>44053.0</v>
      </c>
      <c r="H135" s="288">
        <v>44053.0</v>
      </c>
      <c r="I135" s="288" t="s">
        <v>4146</v>
      </c>
      <c r="J135" s="294" t="s">
        <v>2535</v>
      </c>
      <c r="K135" s="294" t="s">
        <v>2535</v>
      </c>
      <c r="L135" s="290" t="s">
        <v>4147</v>
      </c>
      <c r="M135" s="285" t="s">
        <v>497</v>
      </c>
      <c r="N135" s="286" t="s">
        <v>2554</v>
      </c>
      <c r="O135" s="291">
        <v>44335.0</v>
      </c>
      <c r="P135" s="157"/>
      <c r="Q135" s="157"/>
      <c r="R135" s="157"/>
      <c r="S135" s="157"/>
      <c r="T135" s="157"/>
      <c r="U135" s="157"/>
      <c r="V135" s="157"/>
      <c r="W135" s="157"/>
      <c r="X135" s="157"/>
      <c r="Y135" s="157"/>
      <c r="Z135" s="157"/>
    </row>
    <row r="136" ht="33.75" customHeight="1">
      <c r="A136" s="284">
        <v>33952.0</v>
      </c>
      <c r="B136" s="292" t="s">
        <v>715</v>
      </c>
      <c r="C136" s="286">
        <v>1160.0</v>
      </c>
      <c r="D136" s="285" t="s">
        <v>4148</v>
      </c>
      <c r="E136" s="287" t="s">
        <v>4018</v>
      </c>
      <c r="F136" s="288">
        <v>44057.0</v>
      </c>
      <c r="G136" s="288">
        <v>44053.0</v>
      </c>
      <c r="H136" s="288">
        <v>44053.0</v>
      </c>
      <c r="I136" s="288" t="s">
        <v>4149</v>
      </c>
      <c r="J136" s="294" t="s">
        <v>2535</v>
      </c>
      <c r="K136" s="294" t="s">
        <v>2535</v>
      </c>
      <c r="L136" s="290" t="s">
        <v>4150</v>
      </c>
      <c r="M136" s="285" t="s">
        <v>497</v>
      </c>
      <c r="N136" s="286" t="s">
        <v>2554</v>
      </c>
      <c r="O136" s="291">
        <v>31865.2</v>
      </c>
      <c r="P136" s="157"/>
      <c r="Q136" s="157"/>
      <c r="R136" s="157"/>
      <c r="S136" s="157"/>
      <c r="T136" s="157"/>
      <c r="U136" s="157"/>
      <c r="V136" s="157"/>
      <c r="W136" s="157"/>
      <c r="X136" s="157"/>
      <c r="Y136" s="157"/>
      <c r="Z136" s="157"/>
    </row>
    <row r="137" ht="33.75" customHeight="1">
      <c r="A137" s="284">
        <v>34107.0</v>
      </c>
      <c r="B137" s="292" t="s">
        <v>21</v>
      </c>
      <c r="C137" s="286">
        <v>900.0</v>
      </c>
      <c r="D137" s="285" t="s">
        <v>4151</v>
      </c>
      <c r="E137" s="287" t="s">
        <v>2876</v>
      </c>
      <c r="F137" s="288">
        <v>44057.0</v>
      </c>
      <c r="G137" s="288">
        <v>44053.0</v>
      </c>
      <c r="H137" s="288">
        <v>44053.0</v>
      </c>
      <c r="I137" s="288">
        <v>44061.0</v>
      </c>
      <c r="J137" s="294" t="s">
        <v>2535</v>
      </c>
      <c r="K137" s="294" t="s">
        <v>2535</v>
      </c>
      <c r="L137" s="290" t="s">
        <v>4152</v>
      </c>
      <c r="M137" s="285"/>
      <c r="N137" s="286"/>
      <c r="O137" s="291"/>
      <c r="P137" s="157"/>
      <c r="Q137" s="157"/>
      <c r="R137" s="157"/>
      <c r="S137" s="157"/>
      <c r="T137" s="157"/>
      <c r="U137" s="157"/>
      <c r="V137" s="157"/>
      <c r="W137" s="157"/>
      <c r="X137" s="157"/>
      <c r="Y137" s="157"/>
      <c r="Z137" s="157"/>
    </row>
    <row r="138" ht="33.75" customHeight="1">
      <c r="A138" s="284">
        <v>34321.0</v>
      </c>
      <c r="B138" s="292" t="s">
        <v>21</v>
      </c>
      <c r="C138" s="286">
        <v>1290.0</v>
      </c>
      <c r="D138" s="285" t="s">
        <v>4153</v>
      </c>
      <c r="E138" s="287" t="s">
        <v>4092</v>
      </c>
      <c r="F138" s="288">
        <v>44056.0</v>
      </c>
      <c r="G138" s="288">
        <v>44053.0</v>
      </c>
      <c r="H138" s="288">
        <v>44053.0</v>
      </c>
      <c r="I138" s="288">
        <v>44063.0</v>
      </c>
      <c r="J138" s="292" t="s">
        <v>3370</v>
      </c>
      <c r="K138" s="294" t="s">
        <v>2526</v>
      </c>
      <c r="L138" s="290" t="s">
        <v>4154</v>
      </c>
      <c r="M138" s="285" t="s">
        <v>497</v>
      </c>
      <c r="N138" s="286" t="s">
        <v>2554</v>
      </c>
      <c r="O138" s="291">
        <v>44247.0</v>
      </c>
      <c r="P138" s="157"/>
      <c r="Q138" s="157"/>
      <c r="R138" s="157"/>
      <c r="S138" s="157"/>
      <c r="T138" s="157"/>
      <c r="U138" s="157"/>
      <c r="V138" s="157"/>
      <c r="W138" s="157"/>
      <c r="X138" s="157"/>
      <c r="Y138" s="157"/>
      <c r="Z138" s="157"/>
    </row>
    <row r="139" ht="33.75" customHeight="1">
      <c r="A139" s="284">
        <v>34356.0</v>
      </c>
      <c r="B139" s="292" t="s">
        <v>715</v>
      </c>
      <c r="C139" s="286">
        <v>345.0</v>
      </c>
      <c r="D139" s="285" t="s">
        <v>4155</v>
      </c>
      <c r="E139" s="287" t="s">
        <v>4156</v>
      </c>
      <c r="F139" s="288">
        <v>44054.0</v>
      </c>
      <c r="G139" s="288">
        <v>44053.0</v>
      </c>
      <c r="H139" s="288">
        <v>44061.0</v>
      </c>
      <c r="I139" s="288" t="s">
        <v>4157</v>
      </c>
      <c r="J139" s="285" t="s">
        <v>2535</v>
      </c>
      <c r="K139" s="294" t="s">
        <v>2535</v>
      </c>
      <c r="L139" s="306" t="s">
        <v>4158</v>
      </c>
      <c r="M139" s="285"/>
      <c r="N139" s="286"/>
      <c r="O139" s="291"/>
      <c r="P139" s="157"/>
      <c r="Q139" s="157"/>
      <c r="R139" s="157"/>
      <c r="S139" s="157"/>
      <c r="T139" s="157"/>
      <c r="U139" s="157"/>
      <c r="V139" s="157"/>
      <c r="W139" s="157"/>
      <c r="X139" s="157"/>
      <c r="Y139" s="157"/>
      <c r="Z139" s="157"/>
    </row>
    <row r="140" ht="38.25" customHeight="1">
      <c r="A140" s="284">
        <v>34537.0</v>
      </c>
      <c r="B140" s="292" t="s">
        <v>715</v>
      </c>
      <c r="C140" s="286">
        <v>930.0</v>
      </c>
      <c r="D140" s="285" t="s">
        <v>4159</v>
      </c>
      <c r="E140" s="287" t="s">
        <v>4160</v>
      </c>
      <c r="F140" s="288">
        <v>44054.0</v>
      </c>
      <c r="G140" s="288">
        <v>44050.0</v>
      </c>
      <c r="H140" s="288">
        <v>44050.0</v>
      </c>
      <c r="I140" s="288" t="s">
        <v>4161</v>
      </c>
      <c r="J140" s="294" t="s">
        <v>2535</v>
      </c>
      <c r="K140" s="294" t="s">
        <v>2535</v>
      </c>
      <c r="L140" s="307" t="s">
        <v>4162</v>
      </c>
      <c r="M140" s="285"/>
      <c r="N140" s="286"/>
      <c r="O140" s="291"/>
      <c r="P140" s="157"/>
      <c r="Q140" s="157"/>
      <c r="R140" s="157"/>
      <c r="S140" s="157"/>
      <c r="T140" s="157"/>
      <c r="U140" s="157"/>
      <c r="V140" s="157"/>
      <c r="W140" s="157"/>
      <c r="X140" s="157"/>
      <c r="Y140" s="157"/>
      <c r="Z140" s="157"/>
    </row>
    <row r="141" ht="33.75" customHeight="1">
      <c r="A141" s="284">
        <v>34538.0</v>
      </c>
      <c r="B141" s="292" t="s">
        <v>715</v>
      </c>
      <c r="C141" s="286">
        <v>930.0</v>
      </c>
      <c r="D141" s="285" t="s">
        <v>4163</v>
      </c>
      <c r="E141" s="287" t="s">
        <v>4160</v>
      </c>
      <c r="F141" s="288">
        <v>44054.0</v>
      </c>
      <c r="G141" s="288">
        <v>44055.0</v>
      </c>
      <c r="H141" s="288">
        <v>44055.0</v>
      </c>
      <c r="I141" s="288" t="s">
        <v>4164</v>
      </c>
      <c r="J141" s="285" t="s">
        <v>2535</v>
      </c>
      <c r="K141" s="294" t="s">
        <v>2535</v>
      </c>
      <c r="L141" s="287" t="s">
        <v>4165</v>
      </c>
      <c r="M141" s="285"/>
      <c r="N141" s="286"/>
      <c r="O141" s="291"/>
      <c r="P141" s="157"/>
      <c r="Q141" s="157"/>
      <c r="R141" s="157"/>
      <c r="S141" s="157"/>
      <c r="T141" s="157"/>
      <c r="U141" s="157"/>
      <c r="V141" s="157"/>
      <c r="W141" s="157"/>
      <c r="X141" s="157"/>
      <c r="Y141" s="157"/>
      <c r="Z141" s="157"/>
    </row>
    <row r="142" ht="33.75" customHeight="1">
      <c r="A142" s="284">
        <v>34274.0</v>
      </c>
      <c r="B142" s="292" t="s">
        <v>21</v>
      </c>
      <c r="C142" s="286">
        <v>1410.0</v>
      </c>
      <c r="D142" s="285" t="s">
        <v>4166</v>
      </c>
      <c r="E142" s="287" t="s">
        <v>4167</v>
      </c>
      <c r="F142" s="288">
        <v>44054.0</v>
      </c>
      <c r="G142" s="288">
        <v>44050.0</v>
      </c>
      <c r="H142" s="288">
        <v>44050.0</v>
      </c>
      <c r="I142" s="288">
        <v>44062.0</v>
      </c>
      <c r="J142" s="292" t="s">
        <v>3370</v>
      </c>
      <c r="K142" s="294" t="s">
        <v>2526</v>
      </c>
      <c r="L142" s="290" t="s">
        <v>4168</v>
      </c>
      <c r="M142" s="285" t="s">
        <v>497</v>
      </c>
      <c r="N142" s="286" t="s">
        <v>4169</v>
      </c>
      <c r="O142" s="291">
        <v>62157.3</v>
      </c>
      <c r="P142" s="157"/>
      <c r="Q142" s="157"/>
      <c r="R142" s="157"/>
      <c r="S142" s="157"/>
      <c r="T142" s="157"/>
      <c r="U142" s="157"/>
      <c r="V142" s="157"/>
      <c r="W142" s="157"/>
      <c r="X142" s="157"/>
      <c r="Y142" s="157"/>
      <c r="Z142" s="157"/>
    </row>
    <row r="143" ht="57.0" customHeight="1">
      <c r="A143" s="284">
        <v>34581.0</v>
      </c>
      <c r="B143" s="292" t="s">
        <v>21</v>
      </c>
      <c r="C143" s="286" t="s">
        <v>4170</v>
      </c>
      <c r="D143" s="285" t="s">
        <v>4171</v>
      </c>
      <c r="E143" s="287" t="s">
        <v>4172</v>
      </c>
      <c r="F143" s="288">
        <v>44054.0</v>
      </c>
      <c r="G143" s="288">
        <v>44050.0</v>
      </c>
      <c r="H143" s="288">
        <v>44050.0</v>
      </c>
      <c r="I143" s="288">
        <v>44060.0</v>
      </c>
      <c r="J143" s="292" t="s">
        <v>3370</v>
      </c>
      <c r="K143" s="294" t="s">
        <v>2526</v>
      </c>
      <c r="L143" s="290" t="s">
        <v>4173</v>
      </c>
      <c r="M143" s="285"/>
      <c r="N143" s="286"/>
      <c r="O143" s="291"/>
      <c r="P143" s="157"/>
      <c r="Q143" s="157"/>
      <c r="R143" s="157"/>
      <c r="S143" s="157"/>
      <c r="T143" s="157"/>
      <c r="U143" s="157"/>
      <c r="V143" s="157"/>
      <c r="W143" s="157"/>
      <c r="X143" s="157"/>
      <c r="Y143" s="157"/>
      <c r="Z143" s="157"/>
    </row>
    <row r="144" ht="41.25" customHeight="1">
      <c r="A144" s="284">
        <v>34424.0</v>
      </c>
      <c r="B144" s="292" t="s">
        <v>21</v>
      </c>
      <c r="C144" s="286">
        <v>125.0</v>
      </c>
      <c r="D144" s="285" t="s">
        <v>4174</v>
      </c>
      <c r="E144" s="287" t="s">
        <v>4175</v>
      </c>
      <c r="F144" s="288">
        <v>44054.0</v>
      </c>
      <c r="G144" s="288">
        <v>44050.0</v>
      </c>
      <c r="H144" s="288">
        <v>44050.0</v>
      </c>
      <c r="I144" s="288" t="s">
        <v>4176</v>
      </c>
      <c r="J144" s="285" t="s">
        <v>2535</v>
      </c>
      <c r="K144" s="294" t="s">
        <v>2535</v>
      </c>
      <c r="L144" s="290" t="s">
        <v>4177</v>
      </c>
      <c r="M144" s="285"/>
      <c r="N144" s="286"/>
      <c r="O144" s="291"/>
      <c r="P144" s="157"/>
      <c r="Q144" s="157"/>
      <c r="R144" s="157"/>
      <c r="S144" s="157"/>
      <c r="T144" s="157"/>
      <c r="U144" s="157"/>
      <c r="V144" s="157"/>
      <c r="W144" s="157"/>
      <c r="X144" s="157"/>
      <c r="Y144" s="157"/>
      <c r="Z144" s="157"/>
    </row>
    <row r="145" ht="33.75" customHeight="1">
      <c r="A145" s="284">
        <v>34264.0</v>
      </c>
      <c r="B145" s="292" t="s">
        <v>715</v>
      </c>
      <c r="C145" s="286">
        <v>3000.0</v>
      </c>
      <c r="D145" s="285" t="s">
        <v>4178</v>
      </c>
      <c r="E145" s="287" t="s">
        <v>3932</v>
      </c>
      <c r="F145" s="288">
        <v>44053.0</v>
      </c>
      <c r="G145" s="288">
        <v>44056.0</v>
      </c>
      <c r="H145" s="288">
        <v>44056.0</v>
      </c>
      <c r="I145" s="288" t="s">
        <v>4179</v>
      </c>
      <c r="J145" s="294" t="s">
        <v>2535</v>
      </c>
      <c r="K145" s="294" t="s">
        <v>2535</v>
      </c>
      <c r="L145" s="290" t="s">
        <v>4180</v>
      </c>
      <c r="M145" s="285" t="s">
        <v>497</v>
      </c>
      <c r="N145" s="286" t="s">
        <v>2554</v>
      </c>
      <c r="O145" s="291">
        <v>20610.0</v>
      </c>
      <c r="P145" s="157"/>
      <c r="Q145" s="157"/>
      <c r="R145" s="157"/>
      <c r="S145" s="157"/>
      <c r="T145" s="157"/>
      <c r="U145" s="157"/>
      <c r="V145" s="157"/>
      <c r="W145" s="157"/>
      <c r="X145" s="157"/>
      <c r="Y145" s="157"/>
      <c r="Z145" s="157"/>
    </row>
    <row r="146" ht="50.25" customHeight="1">
      <c r="A146" s="284">
        <v>34478.0</v>
      </c>
      <c r="B146" s="292" t="s">
        <v>715</v>
      </c>
      <c r="C146" s="286">
        <v>1493.0</v>
      </c>
      <c r="D146" s="285" t="s">
        <v>4181</v>
      </c>
      <c r="E146" s="287" t="s">
        <v>3865</v>
      </c>
      <c r="F146" s="288">
        <v>44053.0</v>
      </c>
      <c r="G146" s="288">
        <v>44068.0</v>
      </c>
      <c r="H146" s="288">
        <v>44068.0</v>
      </c>
      <c r="I146" s="288" t="s">
        <v>4182</v>
      </c>
      <c r="J146" s="294" t="s">
        <v>2535</v>
      </c>
      <c r="K146" s="294" t="s">
        <v>2535</v>
      </c>
      <c r="L146" s="304" t="s">
        <v>4183</v>
      </c>
      <c r="M146" s="285" t="s">
        <v>497</v>
      </c>
      <c r="N146" s="286"/>
      <c r="O146" s="291">
        <v>22906.2</v>
      </c>
      <c r="P146" s="157"/>
      <c r="Q146" s="157"/>
      <c r="R146" s="157"/>
      <c r="S146" s="157"/>
      <c r="T146" s="157"/>
      <c r="U146" s="157"/>
      <c r="V146" s="157"/>
      <c r="W146" s="157"/>
      <c r="X146" s="157"/>
      <c r="Y146" s="157"/>
      <c r="Z146" s="157"/>
    </row>
    <row r="147" ht="33.75" customHeight="1">
      <c r="A147" s="284">
        <v>34329.0</v>
      </c>
      <c r="B147" s="292" t="s">
        <v>25</v>
      </c>
      <c r="C147" s="286">
        <v>2100.0</v>
      </c>
      <c r="D147" s="285" t="s">
        <v>4184</v>
      </c>
      <c r="E147" s="287" t="s">
        <v>3946</v>
      </c>
      <c r="F147" s="288">
        <v>44052.0</v>
      </c>
      <c r="G147" s="288">
        <v>44048.0</v>
      </c>
      <c r="H147" s="288">
        <v>44048.0</v>
      </c>
      <c r="I147" s="288" t="s">
        <v>4185</v>
      </c>
      <c r="J147" s="294" t="s">
        <v>2535</v>
      </c>
      <c r="K147" s="294" t="s">
        <v>2535</v>
      </c>
      <c r="L147" s="290" t="s">
        <v>4186</v>
      </c>
      <c r="M147" s="285" t="s">
        <v>497</v>
      </c>
      <c r="N147" s="286" t="s">
        <v>2554</v>
      </c>
      <c r="O147" s="291">
        <v>28812.0</v>
      </c>
      <c r="P147" s="157"/>
      <c r="Q147" s="157"/>
      <c r="R147" s="157"/>
      <c r="S147" s="157"/>
      <c r="T147" s="157"/>
      <c r="U147" s="157"/>
      <c r="V147" s="157"/>
      <c r="W147" s="157"/>
      <c r="X147" s="157"/>
      <c r="Y147" s="157"/>
      <c r="Z147" s="157"/>
    </row>
    <row r="148" ht="43.5" customHeight="1">
      <c r="A148" s="284">
        <v>34263.0</v>
      </c>
      <c r="B148" s="292" t="s">
        <v>25</v>
      </c>
      <c r="C148" s="286">
        <v>2100.0</v>
      </c>
      <c r="D148" s="285" t="s">
        <v>4187</v>
      </c>
      <c r="E148" s="287" t="s">
        <v>3946</v>
      </c>
      <c r="F148" s="305">
        <v>44045.0</v>
      </c>
      <c r="G148" s="305">
        <v>44043.0</v>
      </c>
      <c r="H148" s="305">
        <v>44043.0</v>
      </c>
      <c r="I148" s="288" t="s">
        <v>4188</v>
      </c>
      <c r="J148" s="294" t="s">
        <v>2535</v>
      </c>
      <c r="K148" s="294" t="s">
        <v>2535</v>
      </c>
      <c r="L148" s="307" t="s">
        <v>4189</v>
      </c>
      <c r="M148" s="285" t="s">
        <v>497</v>
      </c>
      <c r="N148" s="286" t="s">
        <v>2554</v>
      </c>
      <c r="O148" s="291">
        <v>28812.0</v>
      </c>
      <c r="P148" s="157"/>
      <c r="Q148" s="157"/>
      <c r="R148" s="157"/>
      <c r="S148" s="157"/>
      <c r="T148" s="157"/>
      <c r="U148" s="157"/>
      <c r="V148" s="157"/>
      <c r="W148" s="157"/>
      <c r="X148" s="157"/>
      <c r="Y148" s="157"/>
      <c r="Z148" s="157"/>
    </row>
    <row r="149" ht="43.5" customHeight="1">
      <c r="A149" s="284">
        <v>34355.0</v>
      </c>
      <c r="B149" s="292" t="s">
        <v>21</v>
      </c>
      <c r="C149" s="286">
        <v>600.0</v>
      </c>
      <c r="D149" s="285" t="s">
        <v>4190</v>
      </c>
      <c r="E149" s="287" t="s">
        <v>4156</v>
      </c>
      <c r="F149" s="288">
        <v>44045.0</v>
      </c>
      <c r="G149" s="288">
        <v>44047.0</v>
      </c>
      <c r="H149" s="288">
        <v>44047.0</v>
      </c>
      <c r="I149" s="308">
        <v>44047.0</v>
      </c>
      <c r="J149" s="294" t="s">
        <v>2535</v>
      </c>
      <c r="K149" s="294" t="s">
        <v>2535</v>
      </c>
      <c r="L149" s="290" t="s">
        <v>4191</v>
      </c>
      <c r="M149" s="285"/>
      <c r="N149" s="286"/>
      <c r="O149" s="291"/>
      <c r="P149" s="157"/>
      <c r="Q149" s="157"/>
      <c r="R149" s="157"/>
      <c r="S149" s="157"/>
      <c r="T149" s="157"/>
      <c r="U149" s="157"/>
      <c r="V149" s="157"/>
      <c r="W149" s="157"/>
      <c r="X149" s="157"/>
      <c r="Y149" s="157"/>
      <c r="Z149" s="157"/>
    </row>
    <row r="150" ht="42.75" customHeight="1">
      <c r="A150" s="284">
        <v>34536.0</v>
      </c>
      <c r="B150" s="292" t="s">
        <v>21</v>
      </c>
      <c r="C150" s="286">
        <v>1200.0</v>
      </c>
      <c r="D150" s="285" t="s">
        <v>4192</v>
      </c>
      <c r="E150" s="287" t="s">
        <v>4193</v>
      </c>
      <c r="F150" s="305">
        <v>44045.0</v>
      </c>
      <c r="G150" s="288">
        <v>44039.0</v>
      </c>
      <c r="H150" s="288">
        <v>44039.0</v>
      </c>
      <c r="I150" s="288">
        <v>44055.0</v>
      </c>
      <c r="J150" s="297" t="s">
        <v>3370</v>
      </c>
      <c r="K150" s="294" t="s">
        <v>2526</v>
      </c>
      <c r="L150" s="290" t="s">
        <v>4194</v>
      </c>
      <c r="M150" s="285"/>
      <c r="N150" s="286"/>
      <c r="O150" s="291"/>
      <c r="P150" s="157"/>
      <c r="Q150" s="157"/>
      <c r="R150" s="157"/>
      <c r="S150" s="157"/>
      <c r="T150" s="157"/>
      <c r="U150" s="157"/>
      <c r="V150" s="157"/>
      <c r="W150" s="157"/>
      <c r="X150" s="157"/>
      <c r="Y150" s="157"/>
      <c r="Z150" s="157"/>
    </row>
    <row r="151" ht="33.75" customHeight="1">
      <c r="A151" s="284">
        <v>34533.0</v>
      </c>
      <c r="B151" s="292" t="s">
        <v>715</v>
      </c>
      <c r="C151" s="286">
        <v>1350.0</v>
      </c>
      <c r="D151" s="285" t="s">
        <v>4195</v>
      </c>
      <c r="E151" s="287" t="s">
        <v>4196</v>
      </c>
      <c r="F151" s="288">
        <v>44044.0</v>
      </c>
      <c r="G151" s="288">
        <v>44040.0</v>
      </c>
      <c r="H151" s="288">
        <v>44040.0</v>
      </c>
      <c r="I151" s="288" t="s">
        <v>4197</v>
      </c>
      <c r="J151" s="294" t="s">
        <v>2535</v>
      </c>
      <c r="K151" s="294" t="s">
        <v>2535</v>
      </c>
      <c r="L151" s="290" t="s">
        <v>4198</v>
      </c>
      <c r="M151" s="285"/>
      <c r="N151" s="286"/>
      <c r="O151" s="291"/>
      <c r="P151" s="157"/>
      <c r="Q151" s="157"/>
      <c r="R151" s="157"/>
      <c r="S151" s="157"/>
      <c r="T151" s="157"/>
      <c r="U151" s="157"/>
      <c r="V151" s="157"/>
      <c r="W151" s="157"/>
      <c r="X151" s="157"/>
      <c r="Y151" s="157"/>
      <c r="Z151" s="157"/>
    </row>
    <row r="152" ht="33.75" customHeight="1">
      <c r="A152" s="284">
        <v>34000.0</v>
      </c>
      <c r="B152" s="292" t="s">
        <v>715</v>
      </c>
      <c r="C152" s="286">
        <v>170.0</v>
      </c>
      <c r="D152" s="285" t="s">
        <v>4199</v>
      </c>
      <c r="E152" s="287" t="s">
        <v>3841</v>
      </c>
      <c r="F152" s="305">
        <v>44043.0</v>
      </c>
      <c r="G152" s="305">
        <v>44040.0</v>
      </c>
      <c r="H152" s="305">
        <v>44040.0</v>
      </c>
      <c r="I152" s="305" t="s">
        <v>4200</v>
      </c>
      <c r="J152" s="294" t="s">
        <v>2535</v>
      </c>
      <c r="K152" s="294" t="s">
        <v>2535</v>
      </c>
      <c r="L152" s="290" t="s">
        <v>4201</v>
      </c>
      <c r="M152" s="285"/>
      <c r="N152" s="286"/>
      <c r="O152" s="291"/>
      <c r="P152" s="157"/>
      <c r="Q152" s="157"/>
      <c r="R152" s="157"/>
      <c r="S152" s="157"/>
      <c r="T152" s="157"/>
      <c r="U152" s="157"/>
      <c r="V152" s="157"/>
      <c r="W152" s="157"/>
      <c r="X152" s="157"/>
      <c r="Y152" s="157"/>
      <c r="Z152" s="157"/>
    </row>
    <row r="153" ht="45.0" customHeight="1">
      <c r="A153" s="284" t="s">
        <v>4202</v>
      </c>
      <c r="B153" s="292" t="s">
        <v>21</v>
      </c>
      <c r="C153" s="286">
        <v>1127.0</v>
      </c>
      <c r="D153" s="285" t="s">
        <v>4203</v>
      </c>
      <c r="E153" s="287" t="s">
        <v>4204</v>
      </c>
      <c r="F153" s="288">
        <v>44043.0</v>
      </c>
      <c r="G153" s="288">
        <v>44039.0</v>
      </c>
      <c r="H153" s="288">
        <v>44039.0</v>
      </c>
      <c r="I153" s="288">
        <v>44048.0</v>
      </c>
      <c r="J153" s="292" t="s">
        <v>3370</v>
      </c>
      <c r="K153" s="294" t="s">
        <v>2526</v>
      </c>
      <c r="L153" s="290" t="s">
        <v>4205</v>
      </c>
      <c r="M153" s="285"/>
      <c r="N153" s="286"/>
      <c r="O153" s="291"/>
      <c r="P153" s="157"/>
      <c r="Q153" s="157"/>
      <c r="R153" s="157"/>
      <c r="S153" s="157"/>
      <c r="T153" s="157"/>
      <c r="U153" s="157"/>
      <c r="V153" s="157"/>
      <c r="W153" s="157"/>
      <c r="X153" s="157"/>
      <c r="Y153" s="157"/>
      <c r="Z153" s="157"/>
    </row>
    <row r="154" ht="33.75" customHeight="1">
      <c r="A154" s="284">
        <v>34551.0</v>
      </c>
      <c r="B154" s="292" t="s">
        <v>21</v>
      </c>
      <c r="C154" s="286" t="s">
        <v>4206</v>
      </c>
      <c r="D154" s="285" t="s">
        <v>4207</v>
      </c>
      <c r="E154" s="287" t="s">
        <v>4208</v>
      </c>
      <c r="F154" s="305">
        <v>44042.0</v>
      </c>
      <c r="G154" s="305"/>
      <c r="H154" s="305"/>
      <c r="I154" s="305">
        <v>44048.0</v>
      </c>
      <c r="J154" s="294" t="s">
        <v>2535</v>
      </c>
      <c r="K154" s="294" t="s">
        <v>2535</v>
      </c>
      <c r="L154" s="290" t="s">
        <v>4209</v>
      </c>
      <c r="M154" s="285"/>
      <c r="N154" s="286"/>
      <c r="O154" s="291"/>
      <c r="P154" s="157"/>
      <c r="Q154" s="157"/>
      <c r="R154" s="157"/>
      <c r="S154" s="157"/>
      <c r="T154" s="157"/>
      <c r="U154" s="157"/>
      <c r="V154" s="157"/>
      <c r="W154" s="157"/>
      <c r="X154" s="157"/>
      <c r="Y154" s="157"/>
      <c r="Z154" s="157"/>
    </row>
    <row r="155" ht="33.75" customHeight="1">
      <c r="A155" s="284">
        <v>34498.0</v>
      </c>
      <c r="B155" s="292" t="s">
        <v>715</v>
      </c>
      <c r="C155" s="286">
        <v>944.0</v>
      </c>
      <c r="D155" s="285" t="s">
        <v>4210</v>
      </c>
      <c r="E155" s="287" t="s">
        <v>4211</v>
      </c>
      <c r="F155" s="288">
        <v>44041.0</v>
      </c>
      <c r="G155" s="288">
        <v>44032.0</v>
      </c>
      <c r="H155" s="288">
        <v>44032.0</v>
      </c>
      <c r="I155" s="288" t="s">
        <v>4212</v>
      </c>
      <c r="J155" s="294" t="s">
        <v>2535</v>
      </c>
      <c r="K155" s="294" t="s">
        <v>2535</v>
      </c>
      <c r="L155" s="290" t="s">
        <v>4213</v>
      </c>
      <c r="M155" s="285"/>
      <c r="N155" s="286"/>
      <c r="O155" s="291"/>
      <c r="P155" s="157"/>
      <c r="Q155" s="157"/>
      <c r="R155" s="157"/>
      <c r="S155" s="157"/>
      <c r="T155" s="157"/>
      <c r="U155" s="157"/>
      <c r="V155" s="157"/>
      <c r="W155" s="157"/>
      <c r="X155" s="157"/>
      <c r="Y155" s="157"/>
      <c r="Z155" s="157"/>
    </row>
    <row r="156" ht="33.75" customHeight="1">
      <c r="A156" s="284">
        <v>34319.0</v>
      </c>
      <c r="B156" s="292" t="s">
        <v>25</v>
      </c>
      <c r="C156" s="286">
        <v>2100.0</v>
      </c>
      <c r="D156" s="285" t="s">
        <v>4214</v>
      </c>
      <c r="E156" s="287" t="s">
        <v>4215</v>
      </c>
      <c r="F156" s="288">
        <v>44039.0</v>
      </c>
      <c r="G156" s="288">
        <v>44035.0</v>
      </c>
      <c r="H156" s="288">
        <v>44035.0</v>
      </c>
      <c r="I156" s="288" t="s">
        <v>4216</v>
      </c>
      <c r="J156" s="294" t="s">
        <v>2535</v>
      </c>
      <c r="K156" s="294" t="s">
        <v>2535</v>
      </c>
      <c r="L156" s="290" t="s">
        <v>4217</v>
      </c>
      <c r="M156" s="285" t="s">
        <v>497</v>
      </c>
      <c r="N156" s="286" t="s">
        <v>2554</v>
      </c>
      <c r="O156" s="291">
        <v>36960.0</v>
      </c>
      <c r="P156" s="157"/>
      <c r="Q156" s="157"/>
      <c r="R156" s="157"/>
      <c r="S156" s="157"/>
      <c r="T156" s="157"/>
      <c r="U156" s="157"/>
      <c r="V156" s="157"/>
      <c r="W156" s="157"/>
      <c r="X156" s="157"/>
      <c r="Y156" s="157"/>
      <c r="Z156" s="157"/>
    </row>
    <row r="157" ht="41.25" customHeight="1">
      <c r="A157" s="284">
        <v>34172.0</v>
      </c>
      <c r="B157" s="292" t="s">
        <v>715</v>
      </c>
      <c r="C157" s="286">
        <v>550.0</v>
      </c>
      <c r="D157" s="285" t="s">
        <v>4218</v>
      </c>
      <c r="E157" s="287" t="s">
        <v>4134</v>
      </c>
      <c r="F157" s="288">
        <v>44039.0</v>
      </c>
      <c r="G157" s="288">
        <v>44039.0</v>
      </c>
      <c r="H157" s="288">
        <v>44039.0</v>
      </c>
      <c r="I157" s="288" t="s">
        <v>4219</v>
      </c>
      <c r="J157" s="294" t="s">
        <v>2535</v>
      </c>
      <c r="K157" s="294" t="s">
        <v>2535</v>
      </c>
      <c r="L157" s="290" t="s">
        <v>4220</v>
      </c>
      <c r="M157" s="285"/>
      <c r="N157" s="286"/>
      <c r="O157" s="291"/>
      <c r="P157" s="157"/>
      <c r="Q157" s="157"/>
      <c r="R157" s="157"/>
      <c r="S157" s="157"/>
      <c r="T157" s="157"/>
      <c r="U157" s="157"/>
      <c r="V157" s="157"/>
      <c r="W157" s="157"/>
      <c r="X157" s="157"/>
      <c r="Y157" s="157"/>
      <c r="Z157" s="157"/>
    </row>
    <row r="158" ht="33.75" customHeight="1">
      <c r="A158" s="284">
        <v>34532.0</v>
      </c>
      <c r="B158" s="292" t="s">
        <v>25</v>
      </c>
      <c r="C158" s="286">
        <v>944.0</v>
      </c>
      <c r="D158" s="285" t="s">
        <v>4221</v>
      </c>
      <c r="E158" s="287" t="s">
        <v>4222</v>
      </c>
      <c r="F158" s="288">
        <v>44036.0</v>
      </c>
      <c r="G158" s="288" t="s">
        <v>4223</v>
      </c>
      <c r="H158" s="288">
        <v>44032.0</v>
      </c>
      <c r="I158" s="288">
        <v>44040.541666666664</v>
      </c>
      <c r="J158" s="294" t="s">
        <v>2535</v>
      </c>
      <c r="K158" s="294" t="s">
        <v>2535</v>
      </c>
      <c r="L158" s="290" t="s">
        <v>4224</v>
      </c>
      <c r="M158" s="285"/>
      <c r="N158" s="286"/>
      <c r="O158" s="291"/>
      <c r="P158" s="157"/>
      <c r="Q158" s="157"/>
      <c r="R158" s="157"/>
      <c r="S158" s="157"/>
      <c r="T158" s="157"/>
      <c r="U158" s="157"/>
      <c r="V158" s="157"/>
      <c r="W158" s="157"/>
      <c r="X158" s="157"/>
      <c r="Y158" s="157"/>
      <c r="Z158" s="157"/>
    </row>
    <row r="159" ht="33.75" customHeight="1">
      <c r="A159" s="284">
        <v>34437.0</v>
      </c>
      <c r="B159" s="292" t="s">
        <v>715</v>
      </c>
      <c r="C159" s="286">
        <v>944.0</v>
      </c>
      <c r="D159" s="285" t="s">
        <v>4225</v>
      </c>
      <c r="E159" s="287" t="s">
        <v>4226</v>
      </c>
      <c r="F159" s="288">
        <v>44034.0</v>
      </c>
      <c r="G159" s="288">
        <v>44032.0</v>
      </c>
      <c r="H159" s="288">
        <v>44032.0</v>
      </c>
      <c r="I159" s="288" t="s">
        <v>4227</v>
      </c>
      <c r="J159" s="294" t="s">
        <v>2535</v>
      </c>
      <c r="K159" s="294" t="s">
        <v>2535</v>
      </c>
      <c r="L159" s="290" t="s">
        <v>4228</v>
      </c>
      <c r="M159" s="285"/>
      <c r="N159" s="286"/>
      <c r="O159" s="291"/>
      <c r="P159" s="157"/>
      <c r="Q159" s="157"/>
      <c r="R159" s="157"/>
      <c r="S159" s="157"/>
      <c r="T159" s="157"/>
      <c r="U159" s="157"/>
      <c r="V159" s="157"/>
      <c r="W159" s="157"/>
      <c r="X159" s="157"/>
      <c r="Y159" s="157"/>
      <c r="Z159" s="157"/>
    </row>
    <row r="160" ht="33.75" customHeight="1">
      <c r="A160" s="284">
        <v>34283.0</v>
      </c>
      <c r="B160" s="292" t="s">
        <v>715</v>
      </c>
      <c r="C160" s="286">
        <v>1800.0</v>
      </c>
      <c r="D160" s="285" t="s">
        <v>4229</v>
      </c>
      <c r="E160" s="287" t="s">
        <v>2656</v>
      </c>
      <c r="F160" s="288">
        <v>44032.0</v>
      </c>
      <c r="G160" s="288">
        <v>44028.0</v>
      </c>
      <c r="H160" s="288">
        <v>44028.0</v>
      </c>
      <c r="I160" s="288" t="s">
        <v>4230</v>
      </c>
      <c r="J160" s="294" t="s">
        <v>2535</v>
      </c>
      <c r="K160" s="294" t="s">
        <v>2535</v>
      </c>
      <c r="L160" s="290" t="s">
        <v>4231</v>
      </c>
      <c r="M160" s="285"/>
      <c r="N160" s="286"/>
      <c r="O160" s="291"/>
      <c r="P160" s="157"/>
      <c r="Q160" s="157"/>
      <c r="R160" s="157"/>
      <c r="S160" s="157"/>
      <c r="T160" s="157"/>
      <c r="U160" s="157"/>
      <c r="V160" s="157"/>
      <c r="W160" s="157"/>
      <c r="X160" s="157"/>
      <c r="Y160" s="157"/>
      <c r="Z160" s="157"/>
    </row>
    <row r="161" ht="54.75" customHeight="1">
      <c r="A161" s="284">
        <v>34534.0</v>
      </c>
      <c r="B161" s="292" t="s">
        <v>25</v>
      </c>
      <c r="C161" s="286">
        <v>930.0</v>
      </c>
      <c r="D161" s="285" t="s">
        <v>4232</v>
      </c>
      <c r="E161" s="287" t="s">
        <v>4160</v>
      </c>
      <c r="F161" s="288">
        <v>44029.0</v>
      </c>
      <c r="G161" s="288">
        <v>44061.0</v>
      </c>
      <c r="H161" s="288">
        <v>44061.0</v>
      </c>
      <c r="I161" s="288" t="s">
        <v>4233</v>
      </c>
      <c r="J161" s="294" t="s">
        <v>2535</v>
      </c>
      <c r="K161" s="294" t="s">
        <v>2535</v>
      </c>
      <c r="L161" s="304" t="s">
        <v>4234</v>
      </c>
      <c r="M161" s="285"/>
      <c r="N161" s="286"/>
      <c r="O161" s="291"/>
      <c r="P161" s="157"/>
      <c r="Q161" s="157"/>
      <c r="R161" s="157"/>
      <c r="S161" s="157"/>
      <c r="T161" s="157"/>
      <c r="U161" s="157"/>
      <c r="V161" s="157"/>
      <c r="W161" s="157"/>
      <c r="X161" s="157"/>
      <c r="Y161" s="157"/>
      <c r="Z161" s="157"/>
    </row>
    <row r="162" ht="40.5" customHeight="1">
      <c r="A162" s="284">
        <v>34535.0</v>
      </c>
      <c r="B162" s="292" t="s">
        <v>25</v>
      </c>
      <c r="C162" s="286">
        <v>975.0</v>
      </c>
      <c r="D162" s="285" t="s">
        <v>4235</v>
      </c>
      <c r="E162" s="287" t="s">
        <v>4236</v>
      </c>
      <c r="F162" s="288">
        <v>44029.0</v>
      </c>
      <c r="G162" s="309">
        <v>44040.0</v>
      </c>
      <c r="H162" s="288">
        <v>44040.0</v>
      </c>
      <c r="I162" s="288">
        <v>44040.0</v>
      </c>
      <c r="J162" s="294" t="s">
        <v>2535</v>
      </c>
      <c r="K162" s="294" t="s">
        <v>2535</v>
      </c>
      <c r="L162" s="290" t="s">
        <v>4237</v>
      </c>
      <c r="M162" s="285"/>
      <c r="N162" s="286"/>
      <c r="O162" s="291"/>
      <c r="P162" s="157"/>
      <c r="Q162" s="157"/>
      <c r="R162" s="157"/>
      <c r="S162" s="157"/>
      <c r="T162" s="157"/>
      <c r="U162" s="157"/>
      <c r="V162" s="157"/>
      <c r="W162" s="157"/>
      <c r="X162" s="157"/>
      <c r="Y162" s="157"/>
      <c r="Z162" s="157"/>
    </row>
    <row r="163" ht="33.75" customHeight="1">
      <c r="A163" s="284">
        <v>34465.0</v>
      </c>
      <c r="B163" s="292" t="s">
        <v>715</v>
      </c>
      <c r="C163" s="286">
        <v>1350.0</v>
      </c>
      <c r="D163" s="285" t="s">
        <v>4238</v>
      </c>
      <c r="E163" s="287" t="s">
        <v>4239</v>
      </c>
      <c r="F163" s="305">
        <v>44026.0</v>
      </c>
      <c r="G163" s="288">
        <v>44025.0</v>
      </c>
      <c r="H163" s="288">
        <v>44025.0</v>
      </c>
      <c r="I163" s="288" t="s">
        <v>4240</v>
      </c>
      <c r="J163" s="294" t="s">
        <v>2535</v>
      </c>
      <c r="K163" s="294" t="s">
        <v>2535</v>
      </c>
      <c r="L163" s="310" t="s">
        <v>4241</v>
      </c>
      <c r="M163" s="285"/>
      <c r="N163" s="286"/>
      <c r="O163" s="291"/>
      <c r="P163" s="157"/>
      <c r="Q163" s="157"/>
      <c r="R163" s="157"/>
      <c r="S163" s="157"/>
      <c r="T163" s="157"/>
      <c r="U163" s="157"/>
      <c r="V163" s="157"/>
      <c r="W163" s="157"/>
      <c r="X163" s="157"/>
      <c r="Y163" s="157"/>
      <c r="Z163" s="157"/>
    </row>
    <row r="164" ht="33.75" customHeight="1">
      <c r="A164" s="284">
        <v>34258.0</v>
      </c>
      <c r="B164" s="292" t="s">
        <v>25</v>
      </c>
      <c r="C164" s="286">
        <v>900.0</v>
      </c>
      <c r="D164" s="285" t="s">
        <v>4242</v>
      </c>
      <c r="E164" s="287" t="s">
        <v>2876</v>
      </c>
      <c r="F164" s="305">
        <v>44025.0</v>
      </c>
      <c r="G164" s="305">
        <v>44021.0</v>
      </c>
      <c r="H164" s="305">
        <v>44021.0</v>
      </c>
      <c r="I164" s="305">
        <v>44033.0</v>
      </c>
      <c r="J164" s="294" t="s">
        <v>2535</v>
      </c>
      <c r="K164" s="294" t="s">
        <v>2535</v>
      </c>
      <c r="L164" s="290" t="s">
        <v>4243</v>
      </c>
      <c r="M164" s="285"/>
      <c r="N164" s="286"/>
      <c r="O164" s="291"/>
      <c r="P164" s="157"/>
      <c r="Q164" s="157"/>
      <c r="R164" s="157"/>
      <c r="S164" s="157"/>
      <c r="T164" s="157"/>
      <c r="U164" s="157"/>
      <c r="V164" s="157"/>
      <c r="W164" s="157"/>
      <c r="X164" s="157"/>
      <c r="Y164" s="157"/>
      <c r="Z164" s="157"/>
    </row>
    <row r="165" ht="33.75" customHeight="1">
      <c r="A165" s="284">
        <v>33948.0</v>
      </c>
      <c r="B165" s="292" t="s">
        <v>715</v>
      </c>
      <c r="C165" s="286">
        <v>1160.0</v>
      </c>
      <c r="D165" s="285" t="s">
        <v>4244</v>
      </c>
      <c r="E165" s="287" t="s">
        <v>4018</v>
      </c>
      <c r="F165" s="305">
        <v>44024.0</v>
      </c>
      <c r="G165" s="305">
        <v>44020.0</v>
      </c>
      <c r="H165" s="305">
        <v>44020.0</v>
      </c>
      <c r="I165" s="305" t="s">
        <v>4245</v>
      </c>
      <c r="J165" s="285" t="s">
        <v>2535</v>
      </c>
      <c r="K165" s="294" t="s">
        <v>2535</v>
      </c>
      <c r="L165" s="290" t="s">
        <v>4246</v>
      </c>
      <c r="M165" s="285" t="s">
        <v>497</v>
      </c>
      <c r="N165" s="286" t="s">
        <v>2554</v>
      </c>
      <c r="O165" s="291">
        <v>31865.2</v>
      </c>
      <c r="P165" s="157"/>
      <c r="Q165" s="157"/>
      <c r="R165" s="157"/>
      <c r="S165" s="157"/>
      <c r="T165" s="157"/>
      <c r="U165" s="157"/>
      <c r="V165" s="157"/>
      <c r="W165" s="157"/>
      <c r="X165" s="157"/>
      <c r="Y165" s="157"/>
      <c r="Z165" s="157"/>
    </row>
    <row r="166" ht="33.75" customHeight="1">
      <c r="A166" s="284">
        <v>33951.0</v>
      </c>
      <c r="B166" s="292" t="s">
        <v>715</v>
      </c>
      <c r="C166" s="286">
        <v>2100.0</v>
      </c>
      <c r="D166" s="285" t="s">
        <v>4247</v>
      </c>
      <c r="E166" s="287" t="s">
        <v>3946</v>
      </c>
      <c r="F166" s="305">
        <v>44024.0</v>
      </c>
      <c r="G166" s="305">
        <v>44020.0</v>
      </c>
      <c r="H166" s="305">
        <v>44020.0</v>
      </c>
      <c r="I166" s="305" t="s">
        <v>4248</v>
      </c>
      <c r="J166" s="285" t="s">
        <v>2535</v>
      </c>
      <c r="K166" s="294" t="s">
        <v>2535</v>
      </c>
      <c r="L166" s="290" t="s">
        <v>4249</v>
      </c>
      <c r="M166" s="285" t="s">
        <v>497</v>
      </c>
      <c r="N166" s="286" t="s">
        <v>2554</v>
      </c>
      <c r="O166" s="291">
        <v>28812.0</v>
      </c>
      <c r="P166" s="157"/>
      <c r="Q166" s="157"/>
      <c r="R166" s="157"/>
      <c r="S166" s="157"/>
      <c r="T166" s="157"/>
      <c r="U166" s="157"/>
      <c r="V166" s="157"/>
      <c r="W166" s="157"/>
      <c r="X166" s="157"/>
      <c r="Y166" s="157"/>
      <c r="Z166" s="157"/>
    </row>
    <row r="167" ht="41.25" customHeight="1">
      <c r="A167" s="284">
        <v>34499.0</v>
      </c>
      <c r="B167" s="292" t="s">
        <v>25</v>
      </c>
      <c r="C167" s="286">
        <v>1176.0</v>
      </c>
      <c r="D167" s="285" t="s">
        <v>4250</v>
      </c>
      <c r="E167" s="310" t="s">
        <v>4251</v>
      </c>
      <c r="F167" s="305">
        <v>44021.0</v>
      </c>
      <c r="G167" s="311">
        <v>44019.0</v>
      </c>
      <c r="H167" s="311">
        <v>44019.0</v>
      </c>
      <c r="I167" s="312" t="s">
        <v>4252</v>
      </c>
      <c r="J167" s="294" t="s">
        <v>2535</v>
      </c>
      <c r="K167" s="294" t="s">
        <v>2535</v>
      </c>
      <c r="L167" s="290" t="s">
        <v>4253</v>
      </c>
      <c r="M167" s="285"/>
      <c r="N167" s="286"/>
      <c r="O167" s="291"/>
      <c r="P167" s="157"/>
      <c r="Q167" s="157"/>
      <c r="R167" s="157"/>
      <c r="S167" s="157"/>
      <c r="T167" s="157"/>
      <c r="U167" s="157"/>
      <c r="V167" s="157"/>
      <c r="W167" s="157"/>
      <c r="X167" s="157"/>
      <c r="Y167" s="157"/>
      <c r="Z167" s="157"/>
    </row>
    <row r="168" ht="40.5" customHeight="1">
      <c r="A168" s="284">
        <v>34447.0</v>
      </c>
      <c r="B168" s="292" t="s">
        <v>715</v>
      </c>
      <c r="C168" s="286">
        <v>930.0</v>
      </c>
      <c r="D168" s="285" t="s">
        <v>4254</v>
      </c>
      <c r="E168" s="290" t="s">
        <v>4160</v>
      </c>
      <c r="F168" s="305">
        <v>44021.0</v>
      </c>
      <c r="G168" s="313">
        <v>44020.0</v>
      </c>
      <c r="H168" s="313">
        <v>44020.0</v>
      </c>
      <c r="I168" s="313" t="s">
        <v>4255</v>
      </c>
      <c r="J168" s="285" t="s">
        <v>2535</v>
      </c>
      <c r="K168" s="294" t="s">
        <v>2535</v>
      </c>
      <c r="L168" s="290" t="s">
        <v>4256</v>
      </c>
      <c r="M168" s="285"/>
      <c r="N168" s="286"/>
      <c r="O168" s="314"/>
      <c r="P168" s="276"/>
      <c r="Q168" s="276"/>
      <c r="R168" s="276"/>
      <c r="S168" s="276"/>
      <c r="T168" s="276"/>
      <c r="U168" s="276"/>
      <c r="V168" s="276"/>
      <c r="W168" s="276"/>
      <c r="X168" s="276"/>
      <c r="Y168" s="276"/>
      <c r="Z168" s="276"/>
    </row>
    <row r="169" ht="40.5" customHeight="1">
      <c r="A169" s="284">
        <v>34448.0</v>
      </c>
      <c r="B169" s="292" t="s">
        <v>715</v>
      </c>
      <c r="C169" s="315">
        <v>930.0</v>
      </c>
      <c r="D169" s="294" t="s">
        <v>4257</v>
      </c>
      <c r="E169" s="310" t="s">
        <v>4258</v>
      </c>
      <c r="F169" s="305">
        <v>44021.0</v>
      </c>
      <c r="G169" s="312">
        <v>44018.0</v>
      </c>
      <c r="H169" s="312">
        <v>44018.0</v>
      </c>
      <c r="I169" s="312" t="s">
        <v>4259</v>
      </c>
      <c r="J169" s="294" t="s">
        <v>2535</v>
      </c>
      <c r="K169" s="294" t="s">
        <v>2535</v>
      </c>
      <c r="L169" s="310" t="s">
        <v>4260</v>
      </c>
      <c r="M169" s="294"/>
      <c r="N169" s="315"/>
      <c r="O169" s="316"/>
      <c r="P169" s="157"/>
      <c r="Q169" s="157"/>
      <c r="R169" s="157"/>
      <c r="S169" s="157"/>
      <c r="T169" s="157"/>
      <c r="U169" s="157"/>
      <c r="V169" s="157"/>
      <c r="W169" s="157"/>
      <c r="X169" s="157"/>
      <c r="Y169" s="157"/>
      <c r="Z169" s="157"/>
    </row>
    <row r="170" ht="40.5" customHeight="1">
      <c r="A170" s="284">
        <v>34043.0</v>
      </c>
      <c r="B170" s="297" t="s">
        <v>21</v>
      </c>
      <c r="C170" s="315">
        <v>1600.0</v>
      </c>
      <c r="D170" s="294" t="s">
        <v>4261</v>
      </c>
      <c r="E170" s="317" t="s">
        <v>4262</v>
      </c>
      <c r="F170" s="305">
        <v>44021.0</v>
      </c>
      <c r="G170" s="318">
        <v>44020.0</v>
      </c>
      <c r="H170" s="318">
        <v>44020.0</v>
      </c>
      <c r="I170" s="318">
        <v>44032.0</v>
      </c>
      <c r="J170" s="297" t="s">
        <v>3370</v>
      </c>
      <c r="K170" s="294" t="s">
        <v>2526</v>
      </c>
      <c r="L170" s="310" t="s">
        <v>4263</v>
      </c>
      <c r="M170" s="294" t="s">
        <v>497</v>
      </c>
      <c r="N170" s="315" t="s">
        <v>2554</v>
      </c>
      <c r="O170" s="319">
        <v>33123.8</v>
      </c>
      <c r="P170" s="157"/>
      <c r="Q170" s="157"/>
      <c r="R170" s="157"/>
      <c r="S170" s="157"/>
      <c r="T170" s="157"/>
      <c r="U170" s="157"/>
      <c r="V170" s="157"/>
      <c r="W170" s="157"/>
      <c r="X170" s="157"/>
      <c r="Y170" s="157"/>
      <c r="Z170" s="157"/>
    </row>
    <row r="171" ht="33.75" customHeight="1">
      <c r="A171" s="284">
        <v>34422.0</v>
      </c>
      <c r="B171" s="292" t="s">
        <v>21</v>
      </c>
      <c r="C171" s="299">
        <v>1112.0</v>
      </c>
      <c r="D171" s="285" t="s">
        <v>4264</v>
      </c>
      <c r="E171" s="287" t="s">
        <v>4265</v>
      </c>
      <c r="F171" s="305">
        <v>44021.0</v>
      </c>
      <c r="G171" s="305">
        <v>44018.0</v>
      </c>
      <c r="H171" s="305">
        <v>44018.0</v>
      </c>
      <c r="I171" s="305">
        <v>44032.0</v>
      </c>
      <c r="J171" s="292" t="s">
        <v>3370</v>
      </c>
      <c r="K171" s="294" t="s">
        <v>2526</v>
      </c>
      <c r="L171" s="290" t="s">
        <v>4266</v>
      </c>
      <c r="M171" s="285"/>
      <c r="N171" s="286"/>
      <c r="O171" s="291"/>
      <c r="P171" s="157"/>
      <c r="Q171" s="157"/>
      <c r="R171" s="157"/>
      <c r="S171" s="157"/>
      <c r="T171" s="157"/>
      <c r="U171" s="157"/>
      <c r="V171" s="157"/>
      <c r="W171" s="157"/>
      <c r="X171" s="157"/>
      <c r="Y171" s="157"/>
      <c r="Z171" s="157"/>
    </row>
    <row r="172" ht="40.5" customHeight="1">
      <c r="A172" s="284">
        <v>34435.0</v>
      </c>
      <c r="B172" s="292" t="s">
        <v>21</v>
      </c>
      <c r="C172" s="286">
        <v>1289.0</v>
      </c>
      <c r="D172" s="285" t="s">
        <v>4267</v>
      </c>
      <c r="E172" s="287" t="s">
        <v>4268</v>
      </c>
      <c r="F172" s="305">
        <v>44021.0</v>
      </c>
      <c r="G172" s="320">
        <v>44018.0</v>
      </c>
      <c r="H172" s="320">
        <v>44018.0</v>
      </c>
      <c r="I172" s="320">
        <v>44029.0</v>
      </c>
      <c r="J172" s="292" t="s">
        <v>3370</v>
      </c>
      <c r="K172" s="294" t="s">
        <v>2526</v>
      </c>
      <c r="L172" s="290" t="s">
        <v>4269</v>
      </c>
      <c r="M172" s="285"/>
      <c r="N172" s="286"/>
      <c r="O172" s="291"/>
      <c r="P172" s="276"/>
      <c r="Q172" s="276"/>
      <c r="R172" s="276"/>
      <c r="S172" s="276"/>
      <c r="T172" s="276"/>
      <c r="U172" s="276"/>
      <c r="V172" s="276"/>
      <c r="W172" s="276"/>
      <c r="X172" s="276"/>
      <c r="Y172" s="276"/>
      <c r="Z172" s="276"/>
    </row>
    <row r="173" ht="40.5" customHeight="1">
      <c r="A173" s="284">
        <v>34105.0</v>
      </c>
      <c r="B173" s="297" t="s">
        <v>715</v>
      </c>
      <c r="C173" s="315">
        <v>900.0</v>
      </c>
      <c r="D173" s="294" t="s">
        <v>4270</v>
      </c>
      <c r="E173" s="317" t="s">
        <v>4271</v>
      </c>
      <c r="F173" s="305">
        <v>44018.0</v>
      </c>
      <c r="G173" s="321">
        <v>44015.0</v>
      </c>
      <c r="H173" s="321">
        <v>44015.0</v>
      </c>
      <c r="I173" s="321">
        <v>44022.0</v>
      </c>
      <c r="J173" s="294" t="s">
        <v>2535</v>
      </c>
      <c r="K173" s="294" t="s">
        <v>2535</v>
      </c>
      <c r="L173" s="310" t="s">
        <v>4272</v>
      </c>
      <c r="M173" s="294"/>
      <c r="N173" s="315"/>
      <c r="O173" s="316"/>
      <c r="P173" s="157"/>
      <c r="Q173" s="157"/>
      <c r="R173" s="157"/>
      <c r="S173" s="157"/>
      <c r="T173" s="157"/>
      <c r="U173" s="157"/>
      <c r="V173" s="157"/>
      <c r="W173" s="157"/>
      <c r="X173" s="157"/>
      <c r="Y173" s="157"/>
      <c r="Z173" s="157"/>
    </row>
    <row r="174" ht="40.5" customHeight="1">
      <c r="A174" s="284">
        <v>34340.0</v>
      </c>
      <c r="B174" s="292" t="s">
        <v>21</v>
      </c>
      <c r="C174" s="322">
        <v>655.0</v>
      </c>
      <c r="D174" s="294" t="s">
        <v>4273</v>
      </c>
      <c r="E174" s="317" t="s">
        <v>4274</v>
      </c>
      <c r="F174" s="305">
        <v>44018.0</v>
      </c>
      <c r="G174" s="318">
        <v>44021.0</v>
      </c>
      <c r="H174" s="318">
        <v>44021.0</v>
      </c>
      <c r="I174" s="318">
        <v>44026.0</v>
      </c>
      <c r="J174" s="294" t="s">
        <v>2535</v>
      </c>
      <c r="K174" s="294" t="s">
        <v>2535</v>
      </c>
      <c r="L174" s="310" t="s">
        <v>4275</v>
      </c>
      <c r="M174" s="294"/>
      <c r="N174" s="315"/>
      <c r="O174" s="319"/>
      <c r="P174" s="157"/>
      <c r="Q174" s="157"/>
      <c r="R174" s="157"/>
      <c r="S174" s="157"/>
      <c r="T174" s="157"/>
      <c r="U174" s="157"/>
      <c r="V174" s="157"/>
      <c r="W174" s="157"/>
      <c r="X174" s="157"/>
      <c r="Y174" s="157"/>
      <c r="Z174" s="157"/>
    </row>
    <row r="175" ht="32.25" customHeight="1">
      <c r="A175" s="284">
        <v>34342.0</v>
      </c>
      <c r="B175" s="297" t="s">
        <v>21</v>
      </c>
      <c r="C175" s="322">
        <v>693.0</v>
      </c>
      <c r="D175" s="294" t="s">
        <v>4276</v>
      </c>
      <c r="E175" s="317" t="s">
        <v>4277</v>
      </c>
      <c r="F175" s="318">
        <v>44018.0</v>
      </c>
      <c r="G175" s="318">
        <v>44021.0</v>
      </c>
      <c r="H175" s="318">
        <v>44021.0</v>
      </c>
      <c r="I175" s="318">
        <v>44027.0</v>
      </c>
      <c r="J175" s="294" t="s">
        <v>2535</v>
      </c>
      <c r="K175" s="294" t="s">
        <v>2535</v>
      </c>
      <c r="L175" s="310" t="s">
        <v>4278</v>
      </c>
      <c r="M175" s="294"/>
      <c r="N175" s="315"/>
      <c r="O175" s="319"/>
      <c r="P175" s="276"/>
      <c r="Q175" s="276"/>
      <c r="R175" s="276"/>
      <c r="S175" s="276"/>
      <c r="T175" s="276"/>
      <c r="U175" s="276"/>
      <c r="V175" s="276"/>
      <c r="W175" s="276"/>
      <c r="X175" s="276"/>
      <c r="Y175" s="276"/>
      <c r="Z175" s="276"/>
    </row>
    <row r="176" ht="42.0" customHeight="1">
      <c r="A176" s="284">
        <v>34466.0</v>
      </c>
      <c r="B176" s="292" t="s">
        <v>25</v>
      </c>
      <c r="C176" s="286">
        <v>930.0</v>
      </c>
      <c r="D176" s="285" t="s">
        <v>4279</v>
      </c>
      <c r="E176" s="310" t="s">
        <v>4280</v>
      </c>
      <c r="F176" s="305">
        <v>44016.0</v>
      </c>
      <c r="G176" s="288">
        <v>44015.0</v>
      </c>
      <c r="H176" s="323">
        <v>44028.0</v>
      </c>
      <c r="I176" s="288">
        <v>44029.0</v>
      </c>
      <c r="J176" s="285" t="s">
        <v>2535</v>
      </c>
      <c r="K176" s="294" t="s">
        <v>2535</v>
      </c>
      <c r="L176" s="290" t="s">
        <v>4281</v>
      </c>
      <c r="M176" s="285"/>
      <c r="N176" s="286"/>
      <c r="O176" s="291"/>
      <c r="P176" s="157"/>
      <c r="Q176" s="157"/>
      <c r="R176" s="157"/>
      <c r="S176" s="157"/>
      <c r="T176" s="157"/>
      <c r="U176" s="157"/>
      <c r="V176" s="157"/>
      <c r="W176" s="157"/>
      <c r="X176" s="157"/>
      <c r="Y176" s="157"/>
      <c r="Z176" s="157"/>
    </row>
    <row r="177" ht="33.75" customHeight="1">
      <c r="A177" s="284">
        <v>34278.0</v>
      </c>
      <c r="B177" s="292" t="s">
        <v>715</v>
      </c>
      <c r="C177" s="286">
        <v>320.0</v>
      </c>
      <c r="D177" s="285" t="s">
        <v>4282</v>
      </c>
      <c r="E177" s="287" t="s">
        <v>4283</v>
      </c>
      <c r="F177" s="305">
        <v>44016.0</v>
      </c>
      <c r="G177" s="305">
        <v>44015.0</v>
      </c>
      <c r="H177" s="305">
        <v>44021.0</v>
      </c>
      <c r="I177" s="305" t="s">
        <v>4284</v>
      </c>
      <c r="J177" s="285" t="s">
        <v>2535</v>
      </c>
      <c r="K177" s="294" t="s">
        <v>2535</v>
      </c>
      <c r="L177" s="290" t="s">
        <v>4285</v>
      </c>
      <c r="M177" s="285"/>
      <c r="N177" s="286"/>
      <c r="O177" s="291"/>
      <c r="P177" s="157"/>
      <c r="Q177" s="157"/>
      <c r="R177" s="157"/>
      <c r="S177" s="157"/>
      <c r="T177" s="157"/>
      <c r="U177" s="157"/>
      <c r="V177" s="157"/>
      <c r="W177" s="157"/>
      <c r="X177" s="157"/>
      <c r="Y177" s="157"/>
      <c r="Z177" s="157"/>
    </row>
    <row r="178" ht="33.75" customHeight="1">
      <c r="A178" s="284">
        <v>34436.0</v>
      </c>
      <c r="B178" s="292" t="s">
        <v>25</v>
      </c>
      <c r="C178" s="286">
        <v>930.0</v>
      </c>
      <c r="D178" s="285" t="s">
        <v>4286</v>
      </c>
      <c r="E178" s="287" t="s">
        <v>4287</v>
      </c>
      <c r="F178" s="288">
        <v>44014.0</v>
      </c>
      <c r="G178" s="305">
        <v>44018.0</v>
      </c>
      <c r="H178" s="305">
        <v>44018.0</v>
      </c>
      <c r="I178" s="305" t="s">
        <v>4288</v>
      </c>
      <c r="J178" s="285" t="s">
        <v>2535</v>
      </c>
      <c r="K178" s="294" t="s">
        <v>2535</v>
      </c>
      <c r="L178" s="324" t="s">
        <v>4289</v>
      </c>
      <c r="M178" s="285"/>
      <c r="N178" s="286"/>
      <c r="O178" s="291"/>
      <c r="P178" s="157"/>
      <c r="Q178" s="157"/>
      <c r="R178" s="157"/>
      <c r="S178" s="157"/>
      <c r="T178" s="157"/>
      <c r="U178" s="157"/>
      <c r="V178" s="157"/>
      <c r="W178" s="157"/>
      <c r="X178" s="157"/>
      <c r="Y178" s="157"/>
      <c r="Z178" s="157"/>
    </row>
    <row r="179" ht="33.75" customHeight="1">
      <c r="A179" s="284">
        <v>34252.0</v>
      </c>
      <c r="B179" s="292" t="s">
        <v>715</v>
      </c>
      <c r="C179" s="286">
        <v>2100.0</v>
      </c>
      <c r="D179" s="285" t="s">
        <v>4290</v>
      </c>
      <c r="E179" s="287" t="s">
        <v>4291</v>
      </c>
      <c r="F179" s="305">
        <v>44014.0</v>
      </c>
      <c r="G179" s="312">
        <v>44011.0</v>
      </c>
      <c r="H179" s="312">
        <v>44011.0</v>
      </c>
      <c r="I179" s="312" t="s">
        <v>4292</v>
      </c>
      <c r="J179" s="285" t="s">
        <v>2535</v>
      </c>
      <c r="K179" s="294" t="s">
        <v>2535</v>
      </c>
      <c r="L179" s="290" t="s">
        <v>4293</v>
      </c>
      <c r="M179" s="285" t="s">
        <v>497</v>
      </c>
      <c r="N179" s="286" t="s">
        <v>2554</v>
      </c>
      <c r="O179" s="291">
        <v>36960.0</v>
      </c>
      <c r="P179" s="157"/>
      <c r="Q179" s="157"/>
      <c r="R179" s="157"/>
      <c r="S179" s="157"/>
      <c r="T179" s="157"/>
      <c r="U179" s="157"/>
      <c r="V179" s="157"/>
      <c r="W179" s="157"/>
      <c r="X179" s="157"/>
      <c r="Y179" s="157"/>
      <c r="Z179" s="157"/>
    </row>
    <row r="180" ht="32.25" customHeight="1">
      <c r="A180" s="284">
        <v>34429.0</v>
      </c>
      <c r="B180" s="292" t="s">
        <v>715</v>
      </c>
      <c r="C180" s="315">
        <v>930.0</v>
      </c>
      <c r="D180" s="294" t="s">
        <v>4294</v>
      </c>
      <c r="E180" s="317" t="s">
        <v>4295</v>
      </c>
      <c r="F180" s="318">
        <v>44012.0</v>
      </c>
      <c r="G180" s="321">
        <v>44008.0</v>
      </c>
      <c r="H180" s="321">
        <v>44008.0</v>
      </c>
      <c r="I180" s="321" t="s">
        <v>4296</v>
      </c>
      <c r="J180" s="294" t="s">
        <v>2535</v>
      </c>
      <c r="K180" s="294" t="s">
        <v>2535</v>
      </c>
      <c r="L180" s="310" t="s">
        <v>4297</v>
      </c>
      <c r="M180" s="294"/>
      <c r="N180" s="315"/>
      <c r="O180" s="316"/>
      <c r="P180" s="276"/>
      <c r="Q180" s="276"/>
      <c r="R180" s="276"/>
      <c r="S180" s="276"/>
      <c r="T180" s="276"/>
      <c r="U180" s="276"/>
      <c r="V180" s="276"/>
      <c r="W180" s="276"/>
      <c r="X180" s="276"/>
      <c r="Y180" s="276"/>
      <c r="Z180" s="276"/>
    </row>
    <row r="181" ht="33.75" customHeight="1">
      <c r="A181" s="284">
        <v>34005.0</v>
      </c>
      <c r="B181" s="292" t="s">
        <v>715</v>
      </c>
      <c r="C181" s="299">
        <v>1040.0</v>
      </c>
      <c r="D181" s="285" t="s">
        <v>4298</v>
      </c>
      <c r="E181" s="287" t="s">
        <v>4299</v>
      </c>
      <c r="F181" s="305">
        <v>44011.0</v>
      </c>
      <c r="G181" s="288">
        <v>44007.0</v>
      </c>
      <c r="H181" s="288">
        <v>44007.0</v>
      </c>
      <c r="I181" s="325" t="s">
        <v>4300</v>
      </c>
      <c r="J181" s="285" t="s">
        <v>2535</v>
      </c>
      <c r="K181" s="294" t="s">
        <v>2535</v>
      </c>
      <c r="L181" s="290" t="s">
        <v>4301</v>
      </c>
      <c r="M181" s="285" t="s">
        <v>497</v>
      </c>
      <c r="N181" s="286" t="s">
        <v>2554</v>
      </c>
      <c r="O181" s="291">
        <v>21736.0</v>
      </c>
      <c r="P181" s="157"/>
      <c r="Q181" s="157"/>
      <c r="R181" s="157"/>
      <c r="S181" s="157"/>
      <c r="T181" s="157"/>
      <c r="U181" s="157"/>
      <c r="V181" s="157"/>
      <c r="W181" s="157"/>
      <c r="X181" s="157"/>
      <c r="Y181" s="157"/>
      <c r="Z181" s="157"/>
    </row>
    <row r="182" ht="33.75" customHeight="1">
      <c r="A182" s="284">
        <v>33927.0</v>
      </c>
      <c r="B182" s="292" t="s">
        <v>715</v>
      </c>
      <c r="C182" s="286">
        <v>2100.0</v>
      </c>
      <c r="D182" s="285" t="s">
        <v>4302</v>
      </c>
      <c r="E182" s="287" t="s">
        <v>4303</v>
      </c>
      <c r="F182" s="305">
        <v>44008.0</v>
      </c>
      <c r="G182" s="305">
        <v>44005.0</v>
      </c>
      <c r="H182" s="305">
        <v>44005.0</v>
      </c>
      <c r="I182" s="305" t="s">
        <v>4304</v>
      </c>
      <c r="J182" s="285" t="s">
        <v>2535</v>
      </c>
      <c r="K182" s="294" t="s">
        <v>2535</v>
      </c>
      <c r="L182" s="290" t="s">
        <v>4305</v>
      </c>
      <c r="M182" s="285" t="s">
        <v>497</v>
      </c>
      <c r="N182" s="286" t="s">
        <v>2554</v>
      </c>
      <c r="O182" s="291">
        <v>36960.0</v>
      </c>
      <c r="P182" s="157"/>
      <c r="Q182" s="157"/>
      <c r="R182" s="157"/>
      <c r="S182" s="157"/>
      <c r="T182" s="157"/>
      <c r="U182" s="157"/>
      <c r="V182" s="157"/>
      <c r="W182" s="157"/>
      <c r="X182" s="157"/>
      <c r="Y182" s="157"/>
      <c r="Z182" s="157"/>
    </row>
    <row r="183" ht="33.75" customHeight="1">
      <c r="A183" s="284">
        <v>34420.0</v>
      </c>
      <c r="B183" s="292" t="s">
        <v>21</v>
      </c>
      <c r="C183" s="286">
        <v>897.0</v>
      </c>
      <c r="D183" s="285" t="s">
        <v>4306</v>
      </c>
      <c r="E183" s="287" t="s">
        <v>4307</v>
      </c>
      <c r="F183" s="305">
        <v>44008.0</v>
      </c>
      <c r="G183" s="288">
        <v>44004.0</v>
      </c>
      <c r="H183" s="288">
        <v>44004.0</v>
      </c>
      <c r="I183" s="288">
        <v>44013.0</v>
      </c>
      <c r="J183" s="292" t="s">
        <v>3370</v>
      </c>
      <c r="K183" s="294" t="s">
        <v>2526</v>
      </c>
      <c r="L183" s="290" t="s">
        <v>4308</v>
      </c>
      <c r="M183" s="285"/>
      <c r="N183" s="286"/>
      <c r="O183" s="291"/>
      <c r="P183" s="157"/>
      <c r="Q183" s="157"/>
      <c r="R183" s="157"/>
      <c r="S183" s="157"/>
      <c r="T183" s="157"/>
      <c r="U183" s="157"/>
      <c r="V183" s="157"/>
      <c r="W183" s="157"/>
      <c r="X183" s="157"/>
      <c r="Y183" s="157"/>
      <c r="Z183" s="157"/>
    </row>
    <row r="184" ht="28.5" customHeight="1">
      <c r="A184" s="284">
        <v>33949.0</v>
      </c>
      <c r="B184" s="292" t="s">
        <v>21</v>
      </c>
      <c r="C184" s="286">
        <v>3000.0</v>
      </c>
      <c r="D184" s="285" t="s">
        <v>4309</v>
      </c>
      <c r="E184" s="287" t="s">
        <v>4310</v>
      </c>
      <c r="F184" s="305">
        <v>44007.0</v>
      </c>
      <c r="G184" s="305">
        <v>44004.0</v>
      </c>
      <c r="H184" s="305">
        <v>44004.0</v>
      </c>
      <c r="I184" s="305">
        <v>44014.0</v>
      </c>
      <c r="J184" s="292" t="s">
        <v>3370</v>
      </c>
      <c r="K184" s="294" t="s">
        <v>2526</v>
      </c>
      <c r="L184" s="290" t="s">
        <v>4311</v>
      </c>
      <c r="M184" s="285" t="s">
        <v>497</v>
      </c>
      <c r="N184" s="286" t="s">
        <v>2554</v>
      </c>
      <c r="O184" s="291">
        <v>20610.0</v>
      </c>
      <c r="P184" s="157"/>
      <c r="Q184" s="157"/>
      <c r="R184" s="157"/>
      <c r="S184" s="157"/>
      <c r="T184" s="157"/>
      <c r="U184" s="157"/>
      <c r="V184" s="157"/>
      <c r="W184" s="157"/>
      <c r="X184" s="157"/>
      <c r="Y184" s="157"/>
      <c r="Z184" s="157"/>
    </row>
    <row r="185" ht="26.25" customHeight="1">
      <c r="A185" s="284">
        <v>34374.0</v>
      </c>
      <c r="B185" s="292" t="s">
        <v>715</v>
      </c>
      <c r="C185" s="286">
        <v>989.0</v>
      </c>
      <c r="D185" s="285" t="s">
        <v>4312</v>
      </c>
      <c r="E185" s="287" t="s">
        <v>4313</v>
      </c>
      <c r="F185" s="305">
        <v>43999.0</v>
      </c>
      <c r="G185" s="288">
        <v>43999.0</v>
      </c>
      <c r="H185" s="288">
        <v>43999.0</v>
      </c>
      <c r="I185" s="288">
        <v>44004.0</v>
      </c>
      <c r="J185" s="285" t="s">
        <v>2535</v>
      </c>
      <c r="K185" s="294" t="s">
        <v>2535</v>
      </c>
      <c r="L185" s="290" t="s">
        <v>4314</v>
      </c>
      <c r="M185" s="285"/>
      <c r="N185" s="286"/>
      <c r="O185" s="291"/>
      <c r="P185" s="157"/>
      <c r="Q185" s="157"/>
      <c r="R185" s="157"/>
      <c r="S185" s="157"/>
      <c r="T185" s="157"/>
      <c r="U185" s="157"/>
      <c r="V185" s="157"/>
      <c r="W185" s="157"/>
      <c r="X185" s="157"/>
      <c r="Y185" s="157"/>
      <c r="Z185" s="157"/>
    </row>
    <row r="186" ht="39.75" customHeight="1">
      <c r="A186" s="284">
        <v>34397.0</v>
      </c>
      <c r="B186" s="292" t="s">
        <v>715</v>
      </c>
      <c r="C186" s="286">
        <v>930.0</v>
      </c>
      <c r="D186" s="285" t="s">
        <v>4315</v>
      </c>
      <c r="E186" s="287" t="s">
        <v>4316</v>
      </c>
      <c r="F186" s="305">
        <v>43998.0</v>
      </c>
      <c r="G186" s="288">
        <v>43997.0</v>
      </c>
      <c r="H186" s="288">
        <v>43997.0</v>
      </c>
      <c r="I186" s="288">
        <v>44005.0</v>
      </c>
      <c r="J186" s="285" t="s">
        <v>2535</v>
      </c>
      <c r="K186" s="294" t="s">
        <v>2535</v>
      </c>
      <c r="L186" s="290" t="s">
        <v>4317</v>
      </c>
      <c r="M186" s="285"/>
      <c r="N186" s="286"/>
      <c r="O186" s="291"/>
      <c r="P186" s="157"/>
      <c r="Q186" s="157"/>
      <c r="R186" s="157"/>
      <c r="S186" s="157"/>
      <c r="T186" s="157"/>
      <c r="U186" s="157"/>
      <c r="V186" s="157"/>
      <c r="W186" s="157"/>
      <c r="X186" s="157"/>
      <c r="Y186" s="157"/>
      <c r="Z186" s="157"/>
    </row>
    <row r="187" ht="30.75" customHeight="1">
      <c r="A187" s="284">
        <v>34408.0</v>
      </c>
      <c r="B187" s="292" t="s">
        <v>25</v>
      </c>
      <c r="C187" s="286">
        <v>944.0</v>
      </c>
      <c r="D187" s="285" t="s">
        <v>4318</v>
      </c>
      <c r="E187" s="287" t="s">
        <v>4319</v>
      </c>
      <c r="F187" s="305">
        <v>43997.0</v>
      </c>
      <c r="G187" s="320">
        <v>43993.0</v>
      </c>
      <c r="H187" s="320">
        <v>43993.0</v>
      </c>
      <c r="I187" s="320">
        <v>44006.0</v>
      </c>
      <c r="J187" s="285" t="s">
        <v>2535</v>
      </c>
      <c r="K187" s="294" t="s">
        <v>2535</v>
      </c>
      <c r="L187" s="290" t="s">
        <v>4320</v>
      </c>
      <c r="M187" s="285"/>
      <c r="N187" s="286"/>
      <c r="O187" s="291"/>
      <c r="P187" s="157"/>
      <c r="Q187" s="157"/>
      <c r="R187" s="157"/>
      <c r="S187" s="157"/>
      <c r="T187" s="157"/>
      <c r="U187" s="157"/>
      <c r="V187" s="157"/>
      <c r="W187" s="157"/>
      <c r="X187" s="157"/>
      <c r="Y187" s="157"/>
      <c r="Z187" s="157"/>
    </row>
    <row r="188" ht="33.75" customHeight="1">
      <c r="A188" s="284">
        <v>34101.0</v>
      </c>
      <c r="B188" s="292" t="s">
        <v>715</v>
      </c>
      <c r="C188" s="299">
        <v>1800.0</v>
      </c>
      <c r="D188" s="285" t="s">
        <v>4321</v>
      </c>
      <c r="E188" s="287" t="s">
        <v>2656</v>
      </c>
      <c r="F188" s="305">
        <v>43997.0</v>
      </c>
      <c r="G188" s="288">
        <v>43993.0</v>
      </c>
      <c r="H188" s="288">
        <v>43993.0</v>
      </c>
      <c r="I188" s="320" t="s">
        <v>4322</v>
      </c>
      <c r="J188" s="285" t="s">
        <v>2535</v>
      </c>
      <c r="K188" s="294" t="s">
        <v>2535</v>
      </c>
      <c r="L188" s="290" t="s">
        <v>4323</v>
      </c>
      <c r="M188" s="285"/>
      <c r="N188" s="286"/>
      <c r="O188" s="291"/>
      <c r="P188" s="157"/>
      <c r="Q188" s="157"/>
      <c r="R188" s="157"/>
      <c r="S188" s="157"/>
      <c r="T188" s="157"/>
      <c r="U188" s="157"/>
      <c r="V188" s="157"/>
      <c r="W188" s="157"/>
      <c r="X188" s="157"/>
      <c r="Y188" s="157"/>
      <c r="Z188" s="157"/>
    </row>
    <row r="189" ht="33.75" customHeight="1">
      <c r="A189" s="284">
        <v>33950.0</v>
      </c>
      <c r="B189" s="292" t="s">
        <v>21</v>
      </c>
      <c r="C189" s="286">
        <v>3000.0</v>
      </c>
      <c r="D189" s="285" t="s">
        <v>4324</v>
      </c>
      <c r="E189" s="287" t="s">
        <v>4325</v>
      </c>
      <c r="F189" s="305">
        <v>43996.0</v>
      </c>
      <c r="G189" s="305">
        <v>43992.0</v>
      </c>
      <c r="H189" s="305">
        <v>43992.0</v>
      </c>
      <c r="I189" s="305">
        <v>44000.0</v>
      </c>
      <c r="J189" s="285" t="s">
        <v>4326</v>
      </c>
      <c r="K189" s="294" t="s">
        <v>2526</v>
      </c>
      <c r="L189" s="290" t="s">
        <v>4327</v>
      </c>
      <c r="M189" s="285" t="s">
        <v>497</v>
      </c>
      <c r="N189" s="286" t="s">
        <v>2554</v>
      </c>
      <c r="O189" s="291">
        <v>21210.0</v>
      </c>
      <c r="P189" s="157"/>
      <c r="Q189" s="157"/>
      <c r="R189" s="157"/>
      <c r="S189" s="157"/>
      <c r="T189" s="157"/>
      <c r="U189" s="157"/>
      <c r="V189" s="157"/>
      <c r="W189" s="157"/>
      <c r="X189" s="157"/>
      <c r="Y189" s="157"/>
      <c r="Z189" s="157"/>
    </row>
    <row r="190" ht="42.75" customHeight="1">
      <c r="A190" s="284">
        <v>34360.0</v>
      </c>
      <c r="B190" s="292" t="s">
        <v>715</v>
      </c>
      <c r="C190" s="286">
        <v>930.0</v>
      </c>
      <c r="D190" s="285" t="s">
        <v>4328</v>
      </c>
      <c r="E190" s="326" t="s">
        <v>4329</v>
      </c>
      <c r="F190" s="305">
        <v>43995.0</v>
      </c>
      <c r="G190" s="288">
        <v>43992.0</v>
      </c>
      <c r="H190" s="288">
        <v>43992.0</v>
      </c>
      <c r="I190" s="288">
        <v>43999.0</v>
      </c>
      <c r="J190" s="285" t="s">
        <v>2535</v>
      </c>
      <c r="K190" s="294" t="s">
        <v>2535</v>
      </c>
      <c r="L190" s="290" t="s">
        <v>4330</v>
      </c>
      <c r="M190" s="285"/>
      <c r="N190" s="286"/>
      <c r="O190" s="291"/>
      <c r="P190" s="157"/>
      <c r="Q190" s="157"/>
      <c r="R190" s="157"/>
      <c r="S190" s="157"/>
      <c r="T190" s="157"/>
      <c r="U190" s="157"/>
      <c r="V190" s="157"/>
      <c r="W190" s="157"/>
      <c r="X190" s="157"/>
      <c r="Y190" s="157"/>
      <c r="Z190" s="157"/>
    </row>
    <row r="191" ht="27.0" customHeight="1">
      <c r="A191" s="284">
        <v>34361.0</v>
      </c>
      <c r="B191" s="292" t="s">
        <v>715</v>
      </c>
      <c r="C191" s="286">
        <v>1280.0</v>
      </c>
      <c r="D191" s="285" t="s">
        <v>4331</v>
      </c>
      <c r="E191" s="287" t="s">
        <v>4332</v>
      </c>
      <c r="F191" s="305">
        <v>43995.0</v>
      </c>
      <c r="G191" s="288">
        <v>43997.0</v>
      </c>
      <c r="H191" s="288">
        <v>43997.0</v>
      </c>
      <c r="I191" s="288">
        <v>43999.0</v>
      </c>
      <c r="J191" s="285" t="s">
        <v>2535</v>
      </c>
      <c r="K191" s="294" t="s">
        <v>2535</v>
      </c>
      <c r="L191" s="290" t="s">
        <v>4333</v>
      </c>
      <c r="M191" s="285"/>
      <c r="N191" s="286"/>
      <c r="O191" s="291"/>
      <c r="P191" s="157"/>
      <c r="Q191" s="157"/>
      <c r="R191" s="157"/>
      <c r="S191" s="157"/>
      <c r="T191" s="157"/>
      <c r="U191" s="157"/>
      <c r="V191" s="157"/>
      <c r="W191" s="157"/>
      <c r="X191" s="157"/>
      <c r="Y191" s="157"/>
      <c r="Z191" s="157"/>
    </row>
    <row r="192" ht="30.75" customHeight="1">
      <c r="A192" s="284">
        <v>34225.0</v>
      </c>
      <c r="B192" s="292" t="s">
        <v>21</v>
      </c>
      <c r="C192" s="286" t="s">
        <v>4334</v>
      </c>
      <c r="D192" s="285" t="s">
        <v>4335</v>
      </c>
      <c r="E192" s="287" t="s">
        <v>4336</v>
      </c>
      <c r="F192" s="305">
        <v>43994.0</v>
      </c>
      <c r="G192" s="288">
        <v>43986.0</v>
      </c>
      <c r="H192" s="288">
        <v>43986.0</v>
      </c>
      <c r="I192" s="288">
        <v>43994.0</v>
      </c>
      <c r="J192" s="285" t="s">
        <v>4326</v>
      </c>
      <c r="K192" s="294" t="s">
        <v>2526</v>
      </c>
      <c r="L192" s="290" t="s">
        <v>4337</v>
      </c>
      <c r="M192" s="285"/>
      <c r="N192" s="286"/>
      <c r="O192" s="291"/>
      <c r="P192" s="157"/>
      <c r="Q192" s="157"/>
      <c r="R192" s="157"/>
      <c r="S192" s="157"/>
      <c r="T192" s="157"/>
      <c r="U192" s="157"/>
      <c r="V192" s="157"/>
      <c r="W192" s="157"/>
      <c r="X192" s="157"/>
      <c r="Y192" s="157"/>
      <c r="Z192" s="157"/>
    </row>
    <row r="193" ht="27.75" customHeight="1">
      <c r="A193" s="284">
        <v>34275.0</v>
      </c>
      <c r="B193" s="292" t="s">
        <v>21</v>
      </c>
      <c r="C193" s="286">
        <v>320.0</v>
      </c>
      <c r="D193" s="285" t="s">
        <v>4338</v>
      </c>
      <c r="E193" s="287" t="s">
        <v>4283</v>
      </c>
      <c r="F193" s="305">
        <v>43994.0</v>
      </c>
      <c r="G193" s="305">
        <v>43991.0</v>
      </c>
      <c r="H193" s="305">
        <v>43991.0</v>
      </c>
      <c r="I193" s="305">
        <v>43998.0</v>
      </c>
      <c r="J193" s="285" t="s">
        <v>4326</v>
      </c>
      <c r="K193" s="294" t="s">
        <v>2526</v>
      </c>
      <c r="L193" s="290" t="s">
        <v>4339</v>
      </c>
      <c r="M193" s="285"/>
      <c r="N193" s="286"/>
      <c r="O193" s="291"/>
      <c r="P193" s="157"/>
      <c r="Q193" s="157"/>
      <c r="R193" s="157"/>
      <c r="S193" s="157"/>
      <c r="T193" s="157"/>
      <c r="U193" s="157"/>
      <c r="V193" s="157"/>
      <c r="W193" s="157"/>
      <c r="X193" s="157"/>
      <c r="Y193" s="157"/>
      <c r="Z193" s="157"/>
    </row>
    <row r="194" ht="28.5" customHeight="1">
      <c r="A194" s="284">
        <v>34406.0</v>
      </c>
      <c r="B194" s="292" t="s">
        <v>25</v>
      </c>
      <c r="C194" s="286">
        <v>930.0</v>
      </c>
      <c r="D194" s="285" t="s">
        <v>4340</v>
      </c>
      <c r="E194" s="287" t="s">
        <v>4341</v>
      </c>
      <c r="F194" s="305">
        <v>43993.0</v>
      </c>
      <c r="G194" s="288">
        <v>43990.0</v>
      </c>
      <c r="H194" s="288">
        <v>43990.0</v>
      </c>
      <c r="I194" s="288">
        <v>43998.0</v>
      </c>
      <c r="J194" s="285" t="s">
        <v>2535</v>
      </c>
      <c r="K194" s="294" t="s">
        <v>2535</v>
      </c>
      <c r="L194" s="290" t="s">
        <v>4342</v>
      </c>
      <c r="M194" s="285"/>
      <c r="N194" s="286"/>
      <c r="O194" s="291"/>
      <c r="P194" s="157"/>
      <c r="Q194" s="157"/>
      <c r="R194" s="157"/>
      <c r="S194" s="157"/>
      <c r="T194" s="157"/>
      <c r="U194" s="157"/>
      <c r="V194" s="157"/>
      <c r="W194" s="157"/>
      <c r="X194" s="157"/>
      <c r="Y194" s="157"/>
      <c r="Z194" s="157"/>
    </row>
    <row r="195" ht="33.75" customHeight="1">
      <c r="A195" s="284">
        <v>33926.0</v>
      </c>
      <c r="B195" s="292" t="s">
        <v>715</v>
      </c>
      <c r="C195" s="299">
        <v>1290.0</v>
      </c>
      <c r="D195" s="327" t="s">
        <v>4343</v>
      </c>
      <c r="E195" s="287" t="s">
        <v>4344</v>
      </c>
      <c r="F195" s="305">
        <v>43993.0</v>
      </c>
      <c r="G195" s="305">
        <v>43990.0</v>
      </c>
      <c r="H195" s="305">
        <v>43990.0</v>
      </c>
      <c r="I195" s="305">
        <v>43997.0</v>
      </c>
      <c r="J195" s="285" t="s">
        <v>2535</v>
      </c>
      <c r="K195" s="294" t="s">
        <v>2535</v>
      </c>
      <c r="L195" s="290" t="s">
        <v>4345</v>
      </c>
      <c r="M195" s="285" t="s">
        <v>497</v>
      </c>
      <c r="N195" s="286" t="s">
        <v>2554</v>
      </c>
      <c r="O195" s="291">
        <v>44247.0</v>
      </c>
      <c r="P195" s="157"/>
      <c r="Q195" s="157"/>
      <c r="R195" s="157"/>
      <c r="S195" s="157"/>
      <c r="T195" s="157"/>
      <c r="U195" s="157"/>
      <c r="V195" s="157"/>
      <c r="W195" s="157"/>
      <c r="X195" s="157"/>
      <c r="Y195" s="157"/>
      <c r="Z195" s="157"/>
    </row>
    <row r="196" ht="41.25" customHeight="1">
      <c r="A196" s="284">
        <v>33947.0</v>
      </c>
      <c r="B196" s="292" t="s">
        <v>715</v>
      </c>
      <c r="C196" s="286">
        <v>2100.0</v>
      </c>
      <c r="D196" s="328" t="s">
        <v>4346</v>
      </c>
      <c r="E196" s="287" t="s">
        <v>4347</v>
      </c>
      <c r="F196" s="305">
        <v>43993.0</v>
      </c>
      <c r="G196" s="305">
        <v>43990.0</v>
      </c>
      <c r="H196" s="305">
        <v>43990.0</v>
      </c>
      <c r="I196" s="305">
        <v>43998.0</v>
      </c>
      <c r="J196" s="285" t="s">
        <v>2535</v>
      </c>
      <c r="K196" s="294" t="s">
        <v>2535</v>
      </c>
      <c r="L196" s="290" t="s">
        <v>4348</v>
      </c>
      <c r="M196" s="285" t="s">
        <v>497</v>
      </c>
      <c r="N196" s="286" t="s">
        <v>2554</v>
      </c>
      <c r="O196" s="291">
        <v>28812.0</v>
      </c>
      <c r="P196" s="157"/>
      <c r="Q196" s="157"/>
      <c r="R196" s="157"/>
      <c r="S196" s="157"/>
      <c r="T196" s="157"/>
      <c r="U196" s="157"/>
      <c r="V196" s="157"/>
      <c r="W196" s="157"/>
      <c r="X196" s="157"/>
      <c r="Y196" s="157"/>
      <c r="Z196" s="157"/>
    </row>
    <row r="197" ht="39.0" customHeight="1">
      <c r="A197" s="284">
        <v>34362.0</v>
      </c>
      <c r="B197" s="292" t="s">
        <v>21</v>
      </c>
      <c r="C197" s="286">
        <v>898.0</v>
      </c>
      <c r="D197" s="285" t="s">
        <v>4349</v>
      </c>
      <c r="E197" s="287" t="s">
        <v>4350</v>
      </c>
      <c r="F197" s="305">
        <v>43993.0</v>
      </c>
      <c r="G197" s="288">
        <v>43991.0</v>
      </c>
      <c r="H197" s="288">
        <v>43991.0</v>
      </c>
      <c r="I197" s="288">
        <v>43997.0</v>
      </c>
      <c r="J197" s="292" t="s">
        <v>3370</v>
      </c>
      <c r="K197" s="294" t="s">
        <v>2526</v>
      </c>
      <c r="L197" s="290" t="s">
        <v>4351</v>
      </c>
      <c r="M197" s="285"/>
      <c r="N197" s="286"/>
      <c r="O197" s="291"/>
      <c r="P197" s="157"/>
      <c r="Q197" s="157"/>
      <c r="R197" s="157"/>
      <c r="S197" s="157"/>
      <c r="T197" s="157"/>
      <c r="U197" s="157"/>
      <c r="V197" s="157"/>
      <c r="W197" s="157"/>
      <c r="X197" s="157"/>
      <c r="Y197" s="157"/>
      <c r="Z197" s="157"/>
    </row>
    <row r="198" ht="39.0" customHeight="1">
      <c r="A198" s="284">
        <v>34350.0</v>
      </c>
      <c r="B198" s="292" t="s">
        <v>21</v>
      </c>
      <c r="C198" s="286">
        <v>1164.0</v>
      </c>
      <c r="D198" s="285" t="s">
        <v>4352</v>
      </c>
      <c r="E198" s="287" t="s">
        <v>4353</v>
      </c>
      <c r="F198" s="305">
        <v>43987.0</v>
      </c>
      <c r="G198" s="288">
        <v>43983.0</v>
      </c>
      <c r="H198" s="288">
        <v>43983.0</v>
      </c>
      <c r="I198" s="288">
        <v>43992.0</v>
      </c>
      <c r="J198" s="292" t="s">
        <v>3370</v>
      </c>
      <c r="K198" s="294" t="s">
        <v>4354</v>
      </c>
      <c r="L198" s="290" t="s">
        <v>4355</v>
      </c>
      <c r="M198" s="285"/>
      <c r="N198" s="286"/>
      <c r="O198" s="291"/>
      <c r="P198" s="157"/>
      <c r="Q198" s="157"/>
      <c r="R198" s="157"/>
      <c r="S198" s="157"/>
      <c r="T198" s="157"/>
      <c r="U198" s="157"/>
      <c r="V198" s="157"/>
      <c r="W198" s="157"/>
      <c r="X198" s="157"/>
      <c r="Y198" s="157"/>
      <c r="Z198" s="157"/>
    </row>
    <row r="199" ht="36.0" customHeight="1">
      <c r="A199" s="284">
        <v>33999.0</v>
      </c>
      <c r="B199" s="292" t="s">
        <v>4356</v>
      </c>
      <c r="C199" s="286" t="s">
        <v>4357</v>
      </c>
      <c r="D199" s="285" t="s">
        <v>4358</v>
      </c>
      <c r="E199" s="326" t="s">
        <v>3841</v>
      </c>
      <c r="F199" s="305">
        <v>43985.0</v>
      </c>
      <c r="G199" s="288">
        <v>43992.0</v>
      </c>
      <c r="H199" s="288">
        <v>43992.0</v>
      </c>
      <c r="I199" s="288">
        <v>43992.0</v>
      </c>
      <c r="J199" s="292" t="s">
        <v>3370</v>
      </c>
      <c r="K199" s="294" t="s">
        <v>2526</v>
      </c>
      <c r="L199" s="290" t="s">
        <v>4359</v>
      </c>
      <c r="M199" s="285"/>
      <c r="N199" s="286"/>
      <c r="O199" s="291"/>
      <c r="P199" s="157"/>
      <c r="Q199" s="157"/>
      <c r="R199" s="157"/>
      <c r="S199" s="157"/>
      <c r="T199" s="157"/>
      <c r="U199" s="157"/>
      <c r="V199" s="157"/>
      <c r="W199" s="157"/>
      <c r="X199" s="157"/>
      <c r="Y199" s="157"/>
      <c r="Z199" s="157"/>
    </row>
    <row r="200" ht="32.25" customHeight="1">
      <c r="A200" s="284">
        <v>34294.0</v>
      </c>
      <c r="B200" s="292" t="s">
        <v>715</v>
      </c>
      <c r="C200" s="299">
        <v>1100.0</v>
      </c>
      <c r="D200" s="285" t="s">
        <v>4360</v>
      </c>
      <c r="E200" s="287" t="s">
        <v>4361</v>
      </c>
      <c r="F200" s="305">
        <v>43984.0</v>
      </c>
      <c r="G200" s="305">
        <v>43980.0</v>
      </c>
      <c r="H200" s="305">
        <v>43980.0</v>
      </c>
      <c r="I200" s="305">
        <v>43990.0</v>
      </c>
      <c r="J200" s="285" t="s">
        <v>2535</v>
      </c>
      <c r="K200" s="294" t="s">
        <v>2535</v>
      </c>
      <c r="L200" s="290" t="s">
        <v>4362</v>
      </c>
      <c r="M200" s="285"/>
      <c r="N200" s="286"/>
      <c r="O200" s="291"/>
      <c r="P200" s="157"/>
      <c r="Q200" s="157"/>
      <c r="R200" s="157"/>
      <c r="S200" s="157"/>
      <c r="T200" s="157"/>
      <c r="U200" s="157"/>
      <c r="V200" s="157"/>
      <c r="W200" s="157"/>
      <c r="X200" s="157"/>
      <c r="Y200" s="157"/>
      <c r="Z200" s="157"/>
    </row>
    <row r="201" ht="30.75" customHeight="1">
      <c r="A201" s="284">
        <v>34280.0</v>
      </c>
      <c r="B201" s="292" t="s">
        <v>21</v>
      </c>
      <c r="C201" s="299" t="s">
        <v>4363</v>
      </c>
      <c r="D201" s="329" t="s">
        <v>4364</v>
      </c>
      <c r="E201" s="287" t="s">
        <v>3966</v>
      </c>
      <c r="F201" s="305">
        <v>43982.0</v>
      </c>
      <c r="G201" s="305"/>
      <c r="H201" s="305" t="s">
        <v>4365</v>
      </c>
      <c r="I201" s="305"/>
      <c r="J201" s="285" t="s">
        <v>2535</v>
      </c>
      <c r="K201" s="294" t="s">
        <v>2535</v>
      </c>
      <c r="L201" s="290" t="s">
        <v>4366</v>
      </c>
      <c r="M201" s="285" t="s">
        <v>497</v>
      </c>
      <c r="N201" s="286" t="s">
        <v>2538</v>
      </c>
      <c r="O201" s="291">
        <v>28560.0</v>
      </c>
      <c r="P201" s="157"/>
      <c r="Q201" s="157"/>
      <c r="R201" s="157"/>
      <c r="S201" s="157"/>
      <c r="T201" s="157"/>
      <c r="U201" s="157"/>
      <c r="V201" s="157"/>
      <c r="W201" s="157"/>
      <c r="X201" s="157"/>
      <c r="Y201" s="157"/>
      <c r="Z201" s="157"/>
    </row>
    <row r="202" ht="33.75" customHeight="1">
      <c r="A202" s="284">
        <v>33894.0</v>
      </c>
      <c r="B202" s="292" t="s">
        <v>715</v>
      </c>
      <c r="C202" s="299">
        <v>860.0</v>
      </c>
      <c r="D202" s="327" t="s">
        <v>4367</v>
      </c>
      <c r="E202" s="287" t="s">
        <v>2751</v>
      </c>
      <c r="F202" s="305">
        <v>43981.0</v>
      </c>
      <c r="G202" s="305">
        <v>43978.0</v>
      </c>
      <c r="H202" s="330">
        <v>43983.0</v>
      </c>
      <c r="I202" s="305">
        <v>43984.0</v>
      </c>
      <c r="J202" s="285" t="s">
        <v>2535</v>
      </c>
      <c r="K202" s="294" t="s">
        <v>2535</v>
      </c>
      <c r="L202" s="290" t="s">
        <v>4368</v>
      </c>
      <c r="M202" s="285" t="s">
        <v>497</v>
      </c>
      <c r="N202" s="286" t="s">
        <v>2621</v>
      </c>
      <c r="O202" s="291">
        <v>35944.4</v>
      </c>
      <c r="P202" s="157"/>
      <c r="Q202" s="157"/>
      <c r="R202" s="157"/>
      <c r="S202" s="157"/>
      <c r="T202" s="157"/>
      <c r="U202" s="157"/>
      <c r="V202" s="157"/>
      <c r="W202" s="157"/>
      <c r="X202" s="157"/>
      <c r="Y202" s="157"/>
      <c r="Z202" s="157"/>
    </row>
    <row r="203" ht="33.75" customHeight="1">
      <c r="A203" s="284">
        <v>34277.0</v>
      </c>
      <c r="B203" s="292" t="s">
        <v>25</v>
      </c>
      <c r="C203" s="286">
        <v>320.0</v>
      </c>
      <c r="D203" s="285" t="s">
        <v>4369</v>
      </c>
      <c r="E203" s="331" t="s">
        <v>2832</v>
      </c>
      <c r="F203" s="305">
        <v>43980.0</v>
      </c>
      <c r="G203" s="305">
        <v>43977.0</v>
      </c>
      <c r="H203" s="332" t="s">
        <v>1227</v>
      </c>
      <c r="I203" s="305">
        <v>43991.0</v>
      </c>
      <c r="J203" s="285" t="s">
        <v>2535</v>
      </c>
      <c r="K203" s="294" t="s">
        <v>2535</v>
      </c>
      <c r="L203" s="290" t="s">
        <v>4370</v>
      </c>
      <c r="M203" s="285"/>
      <c r="N203" s="286"/>
      <c r="O203" s="291"/>
      <c r="P203" s="157"/>
      <c r="Q203" s="157"/>
      <c r="R203" s="157"/>
      <c r="S203" s="157"/>
      <c r="T203" s="157"/>
      <c r="U203" s="157"/>
      <c r="V203" s="157"/>
      <c r="W203" s="157"/>
      <c r="X203" s="157"/>
      <c r="Y203" s="157"/>
      <c r="Z203" s="157"/>
    </row>
    <row r="204" ht="36.75" customHeight="1">
      <c r="A204" s="284">
        <v>34091.0</v>
      </c>
      <c r="B204" s="292" t="s">
        <v>715</v>
      </c>
      <c r="C204" s="286">
        <v>1145.0</v>
      </c>
      <c r="D204" s="285" t="s">
        <v>4371</v>
      </c>
      <c r="E204" s="287" t="s">
        <v>4372</v>
      </c>
      <c r="F204" s="305">
        <v>43980.0</v>
      </c>
      <c r="G204" s="288">
        <v>43979.0</v>
      </c>
      <c r="H204" s="288">
        <v>43983.0</v>
      </c>
      <c r="I204" s="333">
        <v>43985.0</v>
      </c>
      <c r="J204" s="285" t="s">
        <v>2535</v>
      </c>
      <c r="K204" s="294" t="s">
        <v>2535</v>
      </c>
      <c r="L204" s="290" t="s">
        <v>4373</v>
      </c>
      <c r="M204" s="285" t="s">
        <v>497</v>
      </c>
      <c r="N204" s="286" t="s">
        <v>2604</v>
      </c>
      <c r="O204" s="291">
        <v>19967.0</v>
      </c>
      <c r="P204" s="157"/>
      <c r="Q204" s="157"/>
      <c r="R204" s="157"/>
      <c r="S204" s="157"/>
      <c r="T204" s="157"/>
      <c r="U204" s="157"/>
      <c r="V204" s="157"/>
      <c r="W204" s="157"/>
      <c r="X204" s="157"/>
      <c r="Y204" s="157"/>
      <c r="Z204" s="157"/>
    </row>
    <row r="205" ht="42.0" customHeight="1">
      <c r="A205" s="284">
        <v>34347.0</v>
      </c>
      <c r="B205" s="292" t="s">
        <v>21</v>
      </c>
      <c r="C205" s="286" t="s">
        <v>4374</v>
      </c>
      <c r="D205" s="285" t="s">
        <v>4375</v>
      </c>
      <c r="E205" s="331" t="s">
        <v>4376</v>
      </c>
      <c r="F205" s="305">
        <v>43980.0</v>
      </c>
      <c r="G205" s="288">
        <v>43977.0</v>
      </c>
      <c r="H205" s="288" t="s">
        <v>4099</v>
      </c>
      <c r="I205" s="288">
        <v>43985.0</v>
      </c>
      <c r="J205" s="292" t="s">
        <v>3370</v>
      </c>
      <c r="K205" s="294" t="s">
        <v>2526</v>
      </c>
      <c r="L205" s="290" t="s">
        <v>4377</v>
      </c>
      <c r="M205" s="285"/>
      <c r="N205" s="286"/>
      <c r="O205" s="291"/>
      <c r="P205" s="157"/>
      <c r="Q205" s="157"/>
      <c r="R205" s="157"/>
      <c r="S205" s="157"/>
      <c r="T205" s="157"/>
      <c r="U205" s="157"/>
      <c r="V205" s="157"/>
      <c r="W205" s="157"/>
      <c r="X205" s="157"/>
      <c r="Y205" s="157"/>
      <c r="Z205" s="157"/>
    </row>
    <row r="206" ht="42.0" customHeight="1">
      <c r="A206" s="284">
        <v>34109.0</v>
      </c>
      <c r="B206" s="292" t="s">
        <v>25</v>
      </c>
      <c r="C206" s="299" t="s">
        <v>4378</v>
      </c>
      <c r="D206" s="327" t="s">
        <v>2592</v>
      </c>
      <c r="E206" s="287" t="s">
        <v>3785</v>
      </c>
      <c r="F206" s="305">
        <v>43979.0</v>
      </c>
      <c r="G206" s="305"/>
      <c r="H206" s="330"/>
      <c r="I206" s="305" t="s">
        <v>4379</v>
      </c>
      <c r="J206" s="285" t="s">
        <v>2535</v>
      </c>
      <c r="K206" s="294" t="s">
        <v>2535</v>
      </c>
      <c r="L206" s="290" t="s">
        <v>4380</v>
      </c>
      <c r="M206" s="285" t="s">
        <v>497</v>
      </c>
      <c r="N206" s="286" t="s">
        <v>2538</v>
      </c>
      <c r="O206" s="291">
        <v>1759.0</v>
      </c>
      <c r="P206" s="157"/>
      <c r="Q206" s="157"/>
      <c r="R206" s="157"/>
      <c r="S206" s="157"/>
      <c r="T206" s="157"/>
      <c r="U206" s="157"/>
      <c r="V206" s="157"/>
      <c r="W206" s="157"/>
      <c r="X206" s="157"/>
      <c r="Y206" s="157"/>
      <c r="Z206" s="157"/>
    </row>
    <row r="207" ht="41.25" customHeight="1">
      <c r="A207" s="284">
        <v>34004.0</v>
      </c>
      <c r="B207" s="292" t="s">
        <v>715</v>
      </c>
      <c r="C207" s="299">
        <v>950.0</v>
      </c>
      <c r="D207" s="327" t="s">
        <v>4381</v>
      </c>
      <c r="E207" s="287" t="s">
        <v>4382</v>
      </c>
      <c r="F207" s="305">
        <v>43979.0</v>
      </c>
      <c r="G207" s="305">
        <v>43978.0</v>
      </c>
      <c r="H207" s="305" t="s">
        <v>1747</v>
      </c>
      <c r="I207" s="305" t="s">
        <v>4383</v>
      </c>
      <c r="J207" s="285" t="s">
        <v>2535</v>
      </c>
      <c r="K207" s="294" t="s">
        <v>2535</v>
      </c>
      <c r="L207" s="290" t="s">
        <v>4384</v>
      </c>
      <c r="M207" s="285" t="s">
        <v>497</v>
      </c>
      <c r="N207" s="286" t="s">
        <v>2554</v>
      </c>
      <c r="O207" s="291">
        <v>13864.0</v>
      </c>
      <c r="P207" s="157"/>
      <c r="Q207" s="157"/>
      <c r="R207" s="157"/>
      <c r="S207" s="157"/>
      <c r="T207" s="157"/>
      <c r="U207" s="157"/>
      <c r="V207" s="157"/>
      <c r="W207" s="157"/>
      <c r="X207" s="157"/>
      <c r="Y207" s="157"/>
      <c r="Z207" s="157"/>
    </row>
    <row r="208" ht="33.75" customHeight="1">
      <c r="A208" s="284">
        <v>34248.0</v>
      </c>
      <c r="B208" s="292" t="s">
        <v>21</v>
      </c>
      <c r="C208" s="299">
        <v>500.0</v>
      </c>
      <c r="D208" s="285" t="s">
        <v>4385</v>
      </c>
      <c r="E208" s="331" t="s">
        <v>4386</v>
      </c>
      <c r="F208" s="305">
        <v>43979.0</v>
      </c>
      <c r="G208" s="305">
        <v>43977.0</v>
      </c>
      <c r="H208" s="305" t="s">
        <v>1747</v>
      </c>
      <c r="I208" s="305">
        <v>43984.0</v>
      </c>
      <c r="J208" s="285" t="s">
        <v>2535</v>
      </c>
      <c r="K208" s="294" t="s">
        <v>2535</v>
      </c>
      <c r="L208" s="290" t="s">
        <v>4387</v>
      </c>
      <c r="M208" s="285" t="s">
        <v>497</v>
      </c>
      <c r="N208" s="286" t="s">
        <v>2621</v>
      </c>
      <c r="O208" s="291">
        <v>450000.0</v>
      </c>
      <c r="P208" s="157"/>
      <c r="Q208" s="157"/>
      <c r="R208" s="157"/>
      <c r="S208" s="157"/>
      <c r="T208" s="157"/>
      <c r="U208" s="157"/>
      <c r="V208" s="157"/>
      <c r="W208" s="157"/>
      <c r="X208" s="157"/>
      <c r="Y208" s="157"/>
      <c r="Z208" s="157"/>
    </row>
    <row r="209" ht="45.0" customHeight="1">
      <c r="A209" s="284">
        <v>34301.0</v>
      </c>
      <c r="B209" s="292" t="s">
        <v>715</v>
      </c>
      <c r="C209" s="286">
        <v>930.0</v>
      </c>
      <c r="D209" s="327" t="s">
        <v>4388</v>
      </c>
      <c r="E209" s="287" t="s">
        <v>4389</v>
      </c>
      <c r="F209" s="305">
        <v>43977.0</v>
      </c>
      <c r="G209" s="288">
        <v>43971.0</v>
      </c>
      <c r="H209" s="288" t="s">
        <v>1747</v>
      </c>
      <c r="I209" s="288" t="s">
        <v>4390</v>
      </c>
      <c r="J209" s="285" t="s">
        <v>2535</v>
      </c>
      <c r="K209" s="294" t="s">
        <v>2535</v>
      </c>
      <c r="L209" s="334" t="s">
        <v>4391</v>
      </c>
      <c r="M209" s="285"/>
      <c r="N209" s="286"/>
      <c r="O209" s="291"/>
      <c r="P209" s="157"/>
      <c r="Q209" s="157"/>
      <c r="R209" s="157"/>
      <c r="S209" s="157"/>
      <c r="T209" s="157"/>
      <c r="U209" s="157"/>
      <c r="V209" s="157"/>
      <c r="W209" s="157"/>
      <c r="X209" s="157"/>
      <c r="Y209" s="157"/>
      <c r="Z209" s="157"/>
    </row>
    <row r="210" ht="32.25" customHeight="1">
      <c r="A210" s="284">
        <v>34346.0</v>
      </c>
      <c r="B210" s="292" t="s">
        <v>25</v>
      </c>
      <c r="C210" s="286">
        <v>930.0</v>
      </c>
      <c r="D210" s="285" t="s">
        <v>4392</v>
      </c>
      <c r="E210" s="331" t="s">
        <v>4393</v>
      </c>
      <c r="F210" s="305">
        <v>43975.0</v>
      </c>
      <c r="G210" s="288">
        <v>43977.0</v>
      </c>
      <c r="H210" s="305" t="s">
        <v>1747</v>
      </c>
      <c r="I210" s="288">
        <v>43978.0</v>
      </c>
      <c r="J210" s="285" t="s">
        <v>2535</v>
      </c>
      <c r="K210" s="294" t="s">
        <v>2535</v>
      </c>
      <c r="L210" s="290" t="s">
        <v>4394</v>
      </c>
      <c r="M210" s="285"/>
      <c r="N210" s="286"/>
      <c r="O210" s="291"/>
      <c r="P210" s="157"/>
      <c r="Q210" s="157"/>
      <c r="R210" s="157"/>
      <c r="S210" s="157"/>
      <c r="T210" s="157"/>
      <c r="U210" s="157"/>
      <c r="V210" s="157"/>
      <c r="W210" s="157"/>
      <c r="X210" s="157"/>
      <c r="Y210" s="157"/>
      <c r="Z210" s="157"/>
    </row>
    <row r="211" ht="33.75" customHeight="1">
      <c r="A211" s="284">
        <v>33924.0</v>
      </c>
      <c r="B211" s="292" t="s">
        <v>21</v>
      </c>
      <c r="C211" s="286">
        <v>1288.0</v>
      </c>
      <c r="D211" s="285" t="s">
        <v>4395</v>
      </c>
      <c r="E211" s="331" t="s">
        <v>4396</v>
      </c>
      <c r="F211" s="305">
        <v>43975.0</v>
      </c>
      <c r="G211" s="288">
        <v>43971.0</v>
      </c>
      <c r="H211" s="288" t="s">
        <v>1747</v>
      </c>
      <c r="I211" s="288">
        <v>43980.0</v>
      </c>
      <c r="J211" s="292" t="s">
        <v>3370</v>
      </c>
      <c r="K211" s="294" t="s">
        <v>2526</v>
      </c>
      <c r="L211" s="290" t="s">
        <v>4397</v>
      </c>
      <c r="M211" s="285" t="s">
        <v>497</v>
      </c>
      <c r="N211" s="286" t="s">
        <v>2554</v>
      </c>
      <c r="O211" s="291">
        <v>44596.0</v>
      </c>
      <c r="P211" s="157"/>
      <c r="Q211" s="157"/>
      <c r="R211" s="157"/>
      <c r="S211" s="157"/>
      <c r="T211" s="157"/>
      <c r="U211" s="157"/>
      <c r="V211" s="157"/>
      <c r="W211" s="157"/>
      <c r="X211" s="157"/>
      <c r="Y211" s="157"/>
      <c r="Z211" s="157"/>
    </row>
    <row r="212" ht="30.0" customHeight="1">
      <c r="A212" s="284">
        <v>34290.0</v>
      </c>
      <c r="B212" s="292" t="s">
        <v>21</v>
      </c>
      <c r="C212" s="335" t="s">
        <v>4398</v>
      </c>
      <c r="D212" s="285" t="s">
        <v>4399</v>
      </c>
      <c r="E212" s="287" t="s">
        <v>4400</v>
      </c>
      <c r="F212" s="305">
        <v>43975.0</v>
      </c>
      <c r="G212" s="288">
        <v>43971.0</v>
      </c>
      <c r="H212" s="288" t="s">
        <v>1747</v>
      </c>
      <c r="I212" s="288">
        <v>43979.0</v>
      </c>
      <c r="J212" s="292" t="s">
        <v>3370</v>
      </c>
      <c r="K212" s="294" t="s">
        <v>4401</v>
      </c>
      <c r="L212" s="290" t="s">
        <v>4402</v>
      </c>
      <c r="M212" s="285"/>
      <c r="N212" s="286"/>
      <c r="O212" s="291"/>
      <c r="P212" s="157"/>
      <c r="Q212" s="157"/>
      <c r="R212" s="157"/>
      <c r="S212" s="157"/>
      <c r="T212" s="157"/>
      <c r="U212" s="157"/>
      <c r="V212" s="157"/>
      <c r="W212" s="157"/>
      <c r="X212" s="157"/>
      <c r="Y212" s="157"/>
      <c r="Z212" s="157"/>
    </row>
    <row r="213" ht="33.75" customHeight="1">
      <c r="A213" s="284">
        <v>34090.0</v>
      </c>
      <c r="B213" s="292" t="s">
        <v>25</v>
      </c>
      <c r="C213" s="286">
        <v>2160.0</v>
      </c>
      <c r="D213" s="285" t="s">
        <v>4403</v>
      </c>
      <c r="E213" s="287" t="s">
        <v>4372</v>
      </c>
      <c r="F213" s="305">
        <v>43974.0</v>
      </c>
      <c r="G213" s="288">
        <v>43969.0</v>
      </c>
      <c r="H213" s="320" t="s">
        <v>1227</v>
      </c>
      <c r="I213" s="288">
        <v>44000.0</v>
      </c>
      <c r="J213" s="285" t="s">
        <v>2535</v>
      </c>
      <c r="K213" s="294" t="s">
        <v>2535</v>
      </c>
      <c r="L213" s="290" t="s">
        <v>4404</v>
      </c>
      <c r="M213" s="285" t="s">
        <v>497</v>
      </c>
      <c r="N213" s="286" t="s">
        <v>2604</v>
      </c>
      <c r="O213" s="291">
        <v>37455.4</v>
      </c>
      <c r="P213" s="157"/>
      <c r="Q213" s="157"/>
      <c r="R213" s="157"/>
      <c r="S213" s="157"/>
      <c r="T213" s="157"/>
      <c r="U213" s="157"/>
      <c r="V213" s="157"/>
      <c r="W213" s="157"/>
      <c r="X213" s="157"/>
      <c r="Y213" s="157"/>
      <c r="Z213" s="157"/>
    </row>
    <row r="214" ht="33.75" customHeight="1">
      <c r="A214" s="336" t="s">
        <v>4405</v>
      </c>
      <c r="B214" s="292" t="s">
        <v>21</v>
      </c>
      <c r="C214" s="299">
        <v>2352.0</v>
      </c>
      <c r="D214" s="285" t="s">
        <v>4406</v>
      </c>
      <c r="E214" s="287" t="s">
        <v>4407</v>
      </c>
      <c r="F214" s="305">
        <v>43972.0</v>
      </c>
      <c r="G214" s="288">
        <v>43969.0</v>
      </c>
      <c r="H214" s="288" t="s">
        <v>4099</v>
      </c>
      <c r="I214" s="288">
        <v>43977.0</v>
      </c>
      <c r="J214" s="292" t="s">
        <v>3370</v>
      </c>
      <c r="K214" s="294" t="s">
        <v>2526</v>
      </c>
      <c r="L214" s="290" t="s">
        <v>4408</v>
      </c>
      <c r="M214" s="285"/>
      <c r="N214" s="286"/>
      <c r="O214" s="291"/>
      <c r="P214" s="157"/>
      <c r="Q214" s="157"/>
      <c r="R214" s="157"/>
      <c r="S214" s="157"/>
      <c r="T214" s="157"/>
      <c r="U214" s="157"/>
      <c r="V214" s="157"/>
      <c r="W214" s="157"/>
      <c r="X214" s="157"/>
      <c r="Y214" s="157"/>
      <c r="Z214" s="157"/>
    </row>
    <row r="215" ht="33.75" customHeight="1">
      <c r="A215" s="284">
        <v>34291.0</v>
      </c>
      <c r="B215" s="292" t="s">
        <v>715</v>
      </c>
      <c r="C215" s="286">
        <v>1022.0</v>
      </c>
      <c r="D215" s="337" t="s">
        <v>4409</v>
      </c>
      <c r="E215" s="287" t="s">
        <v>4410</v>
      </c>
      <c r="F215" s="305">
        <v>43971.0</v>
      </c>
      <c r="G215" s="288">
        <v>43970.0</v>
      </c>
      <c r="H215" s="288" t="s">
        <v>1747</v>
      </c>
      <c r="I215" s="288">
        <v>43978.0</v>
      </c>
      <c r="J215" s="285" t="s">
        <v>2535</v>
      </c>
      <c r="K215" s="294" t="s">
        <v>2535</v>
      </c>
      <c r="L215" s="290" t="s">
        <v>4411</v>
      </c>
      <c r="M215" s="285"/>
      <c r="N215" s="286"/>
      <c r="O215" s="291"/>
      <c r="P215" s="157"/>
      <c r="Q215" s="157"/>
      <c r="R215" s="157"/>
      <c r="S215" s="157"/>
      <c r="T215" s="157"/>
      <c r="U215" s="157"/>
      <c r="V215" s="157"/>
      <c r="W215" s="157"/>
      <c r="X215" s="157"/>
      <c r="Y215" s="157"/>
      <c r="Z215" s="157"/>
    </row>
    <row r="216" ht="33.75" customHeight="1">
      <c r="A216" s="284">
        <v>34140.0</v>
      </c>
      <c r="B216" s="292" t="s">
        <v>2572</v>
      </c>
      <c r="C216" s="286">
        <v>370.0</v>
      </c>
      <c r="D216" s="285" t="s">
        <v>4412</v>
      </c>
      <c r="E216" s="331" t="s">
        <v>4413</v>
      </c>
      <c r="F216" s="305">
        <v>43965.0</v>
      </c>
      <c r="G216" s="305">
        <v>43962.0</v>
      </c>
      <c r="H216" s="305" t="s">
        <v>1747</v>
      </c>
      <c r="I216" s="305">
        <v>43971.0</v>
      </c>
      <c r="J216" s="285" t="s">
        <v>2535</v>
      </c>
      <c r="K216" s="294" t="s">
        <v>2535</v>
      </c>
      <c r="L216" s="290" t="s">
        <v>4414</v>
      </c>
      <c r="M216" s="285" t="s">
        <v>497</v>
      </c>
      <c r="N216" s="286" t="s">
        <v>2554</v>
      </c>
      <c r="O216" s="291">
        <v>10163.9</v>
      </c>
      <c r="P216" s="157"/>
      <c r="Q216" s="157"/>
      <c r="R216" s="157"/>
      <c r="S216" s="157"/>
      <c r="T216" s="157"/>
      <c r="U216" s="157"/>
      <c r="V216" s="157"/>
      <c r="W216" s="157"/>
      <c r="X216" s="157"/>
      <c r="Y216" s="157"/>
      <c r="Z216" s="157"/>
    </row>
    <row r="217" ht="33.75" customHeight="1">
      <c r="A217" s="284">
        <v>34142.0</v>
      </c>
      <c r="B217" s="292" t="s">
        <v>2572</v>
      </c>
      <c r="C217" s="299">
        <v>780.0</v>
      </c>
      <c r="D217" s="285" t="s">
        <v>4412</v>
      </c>
      <c r="E217" s="287" t="s">
        <v>4415</v>
      </c>
      <c r="F217" s="305">
        <v>43965.0</v>
      </c>
      <c r="G217" s="305">
        <v>43962.0</v>
      </c>
      <c r="H217" s="305" t="s">
        <v>1747</v>
      </c>
      <c r="I217" s="305">
        <v>43971.0</v>
      </c>
      <c r="J217" s="285" t="s">
        <v>2535</v>
      </c>
      <c r="K217" s="294" t="s">
        <v>2535</v>
      </c>
      <c r="L217" s="290" t="s">
        <v>4416</v>
      </c>
      <c r="M217" s="285" t="s">
        <v>497</v>
      </c>
      <c r="N217" s="286" t="s">
        <v>2554</v>
      </c>
      <c r="O217" s="291">
        <v>26754.0</v>
      </c>
      <c r="P217" s="157"/>
      <c r="Q217" s="157"/>
      <c r="R217" s="157"/>
      <c r="S217" s="157"/>
      <c r="T217" s="157"/>
      <c r="U217" s="157"/>
      <c r="V217" s="157"/>
      <c r="W217" s="157"/>
      <c r="X217" s="157"/>
      <c r="Y217" s="157"/>
      <c r="Z217" s="157"/>
    </row>
    <row r="218" ht="33.75" customHeight="1">
      <c r="A218" s="338">
        <v>34302.0</v>
      </c>
      <c r="B218" s="292" t="s">
        <v>21</v>
      </c>
      <c r="C218" s="299">
        <v>1519.0</v>
      </c>
      <c r="D218" s="285" t="s">
        <v>4417</v>
      </c>
      <c r="E218" s="339" t="s">
        <v>4418</v>
      </c>
      <c r="F218" s="305">
        <v>43965.0</v>
      </c>
      <c r="G218" s="288">
        <v>43963.0</v>
      </c>
      <c r="H218" s="288" t="s">
        <v>1747</v>
      </c>
      <c r="I218" s="288">
        <v>43971.0</v>
      </c>
      <c r="J218" s="292" t="s">
        <v>3370</v>
      </c>
      <c r="K218" s="294" t="s">
        <v>2526</v>
      </c>
      <c r="L218" s="290" t="s">
        <v>4419</v>
      </c>
      <c r="M218" s="285"/>
      <c r="N218" s="286"/>
      <c r="O218" s="291"/>
      <c r="P218" s="157"/>
      <c r="Q218" s="157"/>
      <c r="R218" s="157"/>
      <c r="S218" s="157"/>
      <c r="T218" s="157"/>
      <c r="U218" s="157"/>
      <c r="V218" s="157"/>
      <c r="W218" s="157"/>
      <c r="X218" s="157"/>
      <c r="Y218" s="157"/>
      <c r="Z218" s="157"/>
    </row>
    <row r="219" ht="33.75" customHeight="1">
      <c r="A219" s="284">
        <v>34289.0</v>
      </c>
      <c r="B219" s="292" t="s">
        <v>715</v>
      </c>
      <c r="C219" s="299">
        <v>1680.0</v>
      </c>
      <c r="D219" s="285" t="s">
        <v>4420</v>
      </c>
      <c r="E219" s="331" t="s">
        <v>4421</v>
      </c>
      <c r="F219" s="305">
        <v>43963.0</v>
      </c>
      <c r="G219" s="288">
        <v>43959.0</v>
      </c>
      <c r="H219" s="288" t="s">
        <v>1747</v>
      </c>
      <c r="I219" s="288">
        <v>43969.0</v>
      </c>
      <c r="J219" s="285" t="s">
        <v>2535</v>
      </c>
      <c r="K219" s="285" t="s">
        <v>2535</v>
      </c>
      <c r="L219" s="290" t="s">
        <v>4422</v>
      </c>
      <c r="M219" s="285"/>
      <c r="N219" s="286"/>
      <c r="O219" s="291"/>
      <c r="P219" s="157"/>
      <c r="Q219" s="157"/>
      <c r="R219" s="157"/>
      <c r="S219" s="157"/>
      <c r="T219" s="157"/>
      <c r="U219" s="157"/>
      <c r="V219" s="157"/>
      <c r="W219" s="157"/>
      <c r="X219" s="157"/>
      <c r="Y219" s="157"/>
      <c r="Z219" s="157"/>
    </row>
    <row r="220" ht="33.75" customHeight="1">
      <c r="A220" s="284">
        <v>34271.0</v>
      </c>
      <c r="B220" s="292" t="s">
        <v>21</v>
      </c>
      <c r="C220" s="299">
        <v>542.0</v>
      </c>
      <c r="D220" s="285" t="s">
        <v>4423</v>
      </c>
      <c r="E220" s="287" t="s">
        <v>4424</v>
      </c>
      <c r="F220" s="305">
        <v>43960.0</v>
      </c>
      <c r="G220" s="288" t="s">
        <v>4099</v>
      </c>
      <c r="H220" s="288" t="s">
        <v>4099</v>
      </c>
      <c r="I220" s="288">
        <v>43964.0</v>
      </c>
      <c r="J220" s="292" t="s">
        <v>3370</v>
      </c>
      <c r="K220" s="294" t="s">
        <v>2526</v>
      </c>
      <c r="L220" s="290" t="s">
        <v>4425</v>
      </c>
      <c r="M220" s="285"/>
      <c r="N220" s="286"/>
      <c r="O220" s="291"/>
      <c r="P220" s="157"/>
      <c r="Q220" s="157"/>
      <c r="R220" s="157"/>
      <c r="S220" s="157"/>
      <c r="T220" s="157"/>
      <c r="U220" s="157"/>
      <c r="V220" s="157"/>
      <c r="W220" s="157"/>
      <c r="X220" s="157"/>
      <c r="Y220" s="157"/>
      <c r="Z220" s="157"/>
    </row>
    <row r="221" ht="33.75" customHeight="1">
      <c r="A221" s="284">
        <v>33902.0</v>
      </c>
      <c r="B221" s="292" t="s">
        <v>25</v>
      </c>
      <c r="C221" s="299">
        <v>2100.0</v>
      </c>
      <c r="D221" s="327" t="s">
        <v>4426</v>
      </c>
      <c r="E221" s="287" t="s">
        <v>4110</v>
      </c>
      <c r="F221" s="305">
        <v>43957.0</v>
      </c>
      <c r="G221" s="288">
        <v>43959.0</v>
      </c>
      <c r="H221" s="288" t="s">
        <v>1747</v>
      </c>
      <c r="I221" s="288">
        <v>43963.0</v>
      </c>
      <c r="J221" s="285" t="s">
        <v>2535</v>
      </c>
      <c r="K221" s="294" t="s">
        <v>2535</v>
      </c>
      <c r="L221" s="290" t="s">
        <v>4427</v>
      </c>
      <c r="M221" s="285" t="s">
        <v>497</v>
      </c>
      <c r="N221" s="286" t="s">
        <v>2554</v>
      </c>
      <c r="O221" s="291">
        <v>37275.0</v>
      </c>
      <c r="P221" s="157"/>
      <c r="Q221" s="157"/>
      <c r="R221" s="157"/>
      <c r="S221" s="157"/>
      <c r="T221" s="157"/>
      <c r="U221" s="157"/>
      <c r="V221" s="157"/>
      <c r="W221" s="157"/>
      <c r="X221" s="157"/>
      <c r="Y221" s="157"/>
      <c r="Z221" s="157"/>
    </row>
    <row r="222" ht="33.75" customHeight="1">
      <c r="A222" s="284">
        <v>34288.0</v>
      </c>
      <c r="B222" s="292" t="s">
        <v>25</v>
      </c>
      <c r="C222" s="299">
        <v>1650.0</v>
      </c>
      <c r="D222" s="285" t="s">
        <v>4428</v>
      </c>
      <c r="E222" s="331" t="s">
        <v>4429</v>
      </c>
      <c r="F222" s="305">
        <v>43951.0</v>
      </c>
      <c r="G222" s="288">
        <v>43949.0</v>
      </c>
      <c r="H222" s="288" t="s">
        <v>1747</v>
      </c>
      <c r="I222" s="288">
        <v>43957.0</v>
      </c>
      <c r="J222" s="285" t="s">
        <v>2535</v>
      </c>
      <c r="K222" s="294" t="s">
        <v>2535</v>
      </c>
      <c r="L222" s="290" t="s">
        <v>4430</v>
      </c>
      <c r="M222" s="285"/>
      <c r="N222" s="286"/>
      <c r="O222" s="291"/>
      <c r="P222" s="157"/>
      <c r="Q222" s="157"/>
      <c r="R222" s="157"/>
      <c r="S222" s="157"/>
      <c r="T222" s="157"/>
      <c r="U222" s="157"/>
      <c r="V222" s="157"/>
      <c r="W222" s="157"/>
      <c r="X222" s="157"/>
      <c r="Y222" s="157"/>
      <c r="Z222" s="157"/>
    </row>
    <row r="223" ht="33.75" customHeight="1">
      <c r="A223" s="284">
        <v>33998.0</v>
      </c>
      <c r="B223" s="292" t="s">
        <v>21</v>
      </c>
      <c r="C223" s="299">
        <v>1996.0</v>
      </c>
      <c r="D223" s="285" t="s">
        <v>4431</v>
      </c>
      <c r="E223" s="326" t="s">
        <v>3903</v>
      </c>
      <c r="F223" s="305">
        <v>43951.0</v>
      </c>
      <c r="G223" s="288">
        <v>43948.0</v>
      </c>
      <c r="H223" s="288" t="s">
        <v>1747</v>
      </c>
      <c r="I223" s="288">
        <v>43957.0</v>
      </c>
      <c r="J223" s="292" t="s">
        <v>3370</v>
      </c>
      <c r="K223" s="294" t="s">
        <v>2526</v>
      </c>
      <c r="L223" s="290" t="s">
        <v>4432</v>
      </c>
      <c r="M223" s="285"/>
      <c r="N223" s="286"/>
      <c r="O223" s="291"/>
      <c r="P223" s="157"/>
      <c r="Q223" s="157"/>
      <c r="R223" s="157"/>
      <c r="S223" s="157"/>
      <c r="T223" s="157"/>
      <c r="U223" s="157"/>
      <c r="V223" s="157"/>
      <c r="W223" s="157"/>
      <c r="X223" s="157"/>
      <c r="Y223" s="157"/>
      <c r="Z223" s="157"/>
    </row>
    <row r="224" ht="33.75" customHeight="1">
      <c r="A224" s="284">
        <v>33892.0</v>
      </c>
      <c r="B224" s="292" t="s">
        <v>25</v>
      </c>
      <c r="C224" s="299">
        <v>364.0</v>
      </c>
      <c r="D224" s="285" t="s">
        <v>4433</v>
      </c>
      <c r="E224" s="287" t="s">
        <v>2751</v>
      </c>
      <c r="F224" s="305">
        <v>43950.0</v>
      </c>
      <c r="G224" s="305">
        <v>43948.0</v>
      </c>
      <c r="H224" s="305" t="s">
        <v>1747</v>
      </c>
      <c r="I224" s="305">
        <v>43956.0</v>
      </c>
      <c r="J224" s="285" t="s">
        <v>2535</v>
      </c>
      <c r="K224" s="285" t="s">
        <v>2535</v>
      </c>
      <c r="L224" s="290" t="s">
        <v>4434</v>
      </c>
      <c r="M224" s="285" t="s">
        <v>497</v>
      </c>
      <c r="N224" s="286" t="s">
        <v>3171</v>
      </c>
      <c r="O224" s="291">
        <v>16530.96</v>
      </c>
      <c r="P224" s="157"/>
      <c r="Q224" s="157"/>
      <c r="R224" s="157"/>
      <c r="S224" s="157"/>
      <c r="T224" s="157"/>
      <c r="U224" s="157"/>
      <c r="V224" s="157"/>
      <c r="W224" s="157"/>
      <c r="X224" s="157"/>
      <c r="Y224" s="157"/>
      <c r="Z224" s="157"/>
    </row>
    <row r="225" ht="33.75" customHeight="1">
      <c r="A225" s="284">
        <v>34233.0</v>
      </c>
      <c r="B225" s="292" t="s">
        <v>715</v>
      </c>
      <c r="C225" s="299">
        <v>930.0</v>
      </c>
      <c r="D225" s="285" t="s">
        <v>4435</v>
      </c>
      <c r="E225" s="326" t="s">
        <v>4436</v>
      </c>
      <c r="F225" s="305">
        <v>43949.0</v>
      </c>
      <c r="G225" s="288">
        <v>43949.0</v>
      </c>
      <c r="H225" s="288" t="s">
        <v>1747</v>
      </c>
      <c r="I225" s="288">
        <v>43956.0</v>
      </c>
      <c r="J225" s="285" t="s">
        <v>2535</v>
      </c>
      <c r="K225" s="294" t="s">
        <v>2535</v>
      </c>
      <c r="L225" s="290" t="s">
        <v>4437</v>
      </c>
      <c r="M225" s="285"/>
      <c r="N225" s="286"/>
      <c r="O225" s="291"/>
      <c r="P225" s="157"/>
      <c r="Q225" s="157"/>
      <c r="R225" s="157"/>
      <c r="S225" s="157"/>
      <c r="T225" s="157"/>
      <c r="U225" s="157"/>
      <c r="V225" s="157"/>
      <c r="W225" s="157"/>
      <c r="X225" s="157"/>
      <c r="Y225" s="157"/>
      <c r="Z225" s="157"/>
    </row>
    <row r="226" ht="33.75" customHeight="1">
      <c r="A226" s="284">
        <v>33901.0</v>
      </c>
      <c r="B226" s="292" t="s">
        <v>715</v>
      </c>
      <c r="C226" s="299">
        <v>3000.0</v>
      </c>
      <c r="D226" s="285" t="s">
        <v>4438</v>
      </c>
      <c r="E226" s="287" t="s">
        <v>4439</v>
      </c>
      <c r="F226" s="305">
        <v>43948.0</v>
      </c>
      <c r="G226" s="305">
        <v>43944.0</v>
      </c>
      <c r="H226" s="305" t="s">
        <v>1747</v>
      </c>
      <c r="I226" s="305">
        <v>43952.0</v>
      </c>
      <c r="J226" s="285" t="s">
        <v>2535</v>
      </c>
      <c r="K226" s="294" t="s">
        <v>2535</v>
      </c>
      <c r="L226" s="290" t="s">
        <v>4440</v>
      </c>
      <c r="M226" s="285" t="s">
        <v>497</v>
      </c>
      <c r="N226" s="286" t="s">
        <v>2554</v>
      </c>
      <c r="O226" s="291">
        <v>21052.2</v>
      </c>
      <c r="P226" s="157"/>
      <c r="Q226" s="157"/>
      <c r="R226" s="157"/>
      <c r="S226" s="157"/>
      <c r="T226" s="157"/>
      <c r="U226" s="157"/>
      <c r="V226" s="157"/>
      <c r="W226" s="157"/>
      <c r="X226" s="157"/>
      <c r="Y226" s="157"/>
      <c r="Z226" s="157"/>
    </row>
    <row r="227" ht="33.75" customHeight="1">
      <c r="A227" s="284">
        <v>34098.0</v>
      </c>
      <c r="B227" s="292" t="s">
        <v>715</v>
      </c>
      <c r="C227" s="299">
        <v>2100.0</v>
      </c>
      <c r="D227" s="327" t="s">
        <v>4441</v>
      </c>
      <c r="E227" s="287" t="s">
        <v>4442</v>
      </c>
      <c r="F227" s="305">
        <v>43948.0</v>
      </c>
      <c r="G227" s="288">
        <v>43944.0</v>
      </c>
      <c r="H227" s="288" t="s">
        <v>1747</v>
      </c>
      <c r="I227" s="288">
        <v>43951.0</v>
      </c>
      <c r="J227" s="285" t="s">
        <v>2535</v>
      </c>
      <c r="K227" s="285" t="s">
        <v>2535</v>
      </c>
      <c r="L227" s="290" t="s">
        <v>4443</v>
      </c>
      <c r="M227" s="285" t="s">
        <v>497</v>
      </c>
      <c r="N227" s="286" t="s">
        <v>2554</v>
      </c>
      <c r="O227" s="291">
        <v>36960.0</v>
      </c>
      <c r="P227" s="157"/>
      <c r="Q227" s="157"/>
      <c r="R227" s="157"/>
      <c r="S227" s="157"/>
      <c r="T227" s="157"/>
      <c r="U227" s="157"/>
      <c r="V227" s="157"/>
      <c r="W227" s="157"/>
      <c r="X227" s="157"/>
      <c r="Y227" s="157"/>
      <c r="Z227" s="157"/>
    </row>
    <row r="228" ht="33.75" customHeight="1">
      <c r="A228" s="284">
        <v>33820.0</v>
      </c>
      <c r="B228" s="292" t="s">
        <v>21</v>
      </c>
      <c r="C228" s="299">
        <v>64.0</v>
      </c>
      <c r="D228" s="285" t="s">
        <v>4444</v>
      </c>
      <c r="E228" s="331" t="s">
        <v>4445</v>
      </c>
      <c r="F228" s="305">
        <v>43948.0</v>
      </c>
      <c r="G228" s="305">
        <v>43949.0</v>
      </c>
      <c r="H228" s="288" t="s">
        <v>1747</v>
      </c>
      <c r="I228" s="288">
        <v>43962.0</v>
      </c>
      <c r="J228" s="292" t="s">
        <v>3370</v>
      </c>
      <c r="K228" s="294" t="s">
        <v>2526</v>
      </c>
      <c r="L228" s="290" t="s">
        <v>4446</v>
      </c>
      <c r="M228" s="285" t="s">
        <v>497</v>
      </c>
      <c r="N228" s="286" t="s">
        <v>2667</v>
      </c>
      <c r="O228" s="291">
        <v>25146.0</v>
      </c>
      <c r="P228" s="157"/>
      <c r="Q228" s="157"/>
      <c r="R228" s="157"/>
      <c r="S228" s="157"/>
      <c r="T228" s="157"/>
      <c r="U228" s="157"/>
      <c r="V228" s="157"/>
      <c r="W228" s="157"/>
      <c r="X228" s="157"/>
      <c r="Y228" s="157"/>
      <c r="Z228" s="157"/>
    </row>
    <row r="229" ht="33.75" customHeight="1">
      <c r="A229" s="284">
        <v>34229.0</v>
      </c>
      <c r="B229" s="292" t="s">
        <v>21</v>
      </c>
      <c r="C229" s="286">
        <v>1134.0</v>
      </c>
      <c r="D229" s="285" t="s">
        <v>4447</v>
      </c>
      <c r="E229" s="331" t="s">
        <v>4448</v>
      </c>
      <c r="F229" s="305">
        <v>43948.0</v>
      </c>
      <c r="G229" s="288">
        <v>43944.0</v>
      </c>
      <c r="H229" s="288" t="s">
        <v>1747</v>
      </c>
      <c r="I229" s="288">
        <v>43955.0</v>
      </c>
      <c r="J229" s="292" t="s">
        <v>3370</v>
      </c>
      <c r="K229" s="285" t="s">
        <v>2526</v>
      </c>
      <c r="L229" s="290" t="s">
        <v>4449</v>
      </c>
      <c r="M229" s="285"/>
      <c r="N229" s="286"/>
      <c r="O229" s="291"/>
      <c r="P229" s="157"/>
      <c r="Q229" s="157"/>
      <c r="R229" s="157"/>
      <c r="S229" s="157"/>
      <c r="T229" s="157"/>
      <c r="U229" s="157"/>
      <c r="V229" s="157"/>
      <c r="W229" s="157"/>
      <c r="X229" s="157"/>
      <c r="Y229" s="157"/>
      <c r="Z229" s="157"/>
    </row>
    <row r="230" ht="33.75" customHeight="1">
      <c r="A230" s="284">
        <v>34099.0</v>
      </c>
      <c r="B230" s="292" t="s">
        <v>715</v>
      </c>
      <c r="C230" s="299">
        <v>1800.0</v>
      </c>
      <c r="D230" s="285" t="s">
        <v>4450</v>
      </c>
      <c r="E230" s="287" t="s">
        <v>2656</v>
      </c>
      <c r="F230" s="305">
        <v>43947.0</v>
      </c>
      <c r="G230" s="288">
        <v>43943.0</v>
      </c>
      <c r="H230" s="305" t="s">
        <v>1747</v>
      </c>
      <c r="I230" s="288">
        <v>43951.0</v>
      </c>
      <c r="J230" s="285" t="s">
        <v>2535</v>
      </c>
      <c r="K230" s="294" t="s">
        <v>2535</v>
      </c>
      <c r="L230" s="290" t="s">
        <v>4451</v>
      </c>
      <c r="M230" s="285"/>
      <c r="N230" s="286"/>
      <c r="O230" s="291"/>
      <c r="P230" s="157"/>
      <c r="Q230" s="157"/>
      <c r="R230" s="157"/>
      <c r="S230" s="157"/>
      <c r="T230" s="157"/>
      <c r="U230" s="157"/>
      <c r="V230" s="157"/>
      <c r="W230" s="157"/>
      <c r="X230" s="157"/>
      <c r="Y230" s="157"/>
      <c r="Z230" s="157"/>
    </row>
    <row r="231" ht="33.75" customHeight="1">
      <c r="A231" s="284">
        <v>34053.0</v>
      </c>
      <c r="B231" s="292" t="s">
        <v>21</v>
      </c>
      <c r="C231" s="286">
        <v>1770.0</v>
      </c>
      <c r="D231" s="285" t="s">
        <v>4452</v>
      </c>
      <c r="E231" s="287" t="s">
        <v>4453</v>
      </c>
      <c r="F231" s="305">
        <v>43947.0</v>
      </c>
      <c r="G231" s="330">
        <v>43943.0</v>
      </c>
      <c r="H231" s="305" t="s">
        <v>1747</v>
      </c>
      <c r="I231" s="305">
        <v>43951.0</v>
      </c>
      <c r="J231" s="292" t="s">
        <v>3370</v>
      </c>
      <c r="K231" s="285" t="s">
        <v>2526</v>
      </c>
      <c r="L231" s="290" t="s">
        <v>4454</v>
      </c>
      <c r="M231" s="285" t="s">
        <v>497</v>
      </c>
      <c r="N231" s="286" t="s">
        <v>2554</v>
      </c>
      <c r="O231" s="291">
        <v>25271.4</v>
      </c>
      <c r="P231" s="157"/>
      <c r="Q231" s="157"/>
      <c r="R231" s="157"/>
      <c r="S231" s="157"/>
      <c r="T231" s="157"/>
      <c r="U231" s="157"/>
      <c r="V231" s="157"/>
      <c r="W231" s="157"/>
      <c r="X231" s="157"/>
      <c r="Y231" s="157"/>
      <c r="Z231" s="157"/>
    </row>
    <row r="232" ht="33.75" customHeight="1">
      <c r="A232" s="284">
        <v>34149.0</v>
      </c>
      <c r="B232" s="292" t="s">
        <v>21</v>
      </c>
      <c r="C232" s="286">
        <v>1491.0</v>
      </c>
      <c r="D232" s="285" t="s">
        <v>4455</v>
      </c>
      <c r="E232" s="287" t="s">
        <v>4456</v>
      </c>
      <c r="F232" s="305">
        <v>43945.0</v>
      </c>
      <c r="G232" s="340">
        <v>43978.0</v>
      </c>
      <c r="H232" s="305" t="s">
        <v>1747</v>
      </c>
      <c r="I232" s="305">
        <v>43949.0</v>
      </c>
      <c r="J232" s="292" t="s">
        <v>3370</v>
      </c>
      <c r="K232" s="294" t="s">
        <v>2526</v>
      </c>
      <c r="L232" s="290" t="s">
        <v>4457</v>
      </c>
      <c r="M232" s="285" t="s">
        <v>497</v>
      </c>
      <c r="N232" s="286" t="s">
        <v>2604</v>
      </c>
      <c r="O232" s="291">
        <v>22435.56</v>
      </c>
      <c r="P232" s="157"/>
      <c r="Q232" s="157"/>
      <c r="R232" s="157"/>
      <c r="S232" s="157"/>
      <c r="T232" s="157"/>
      <c r="U232" s="157"/>
      <c r="V232" s="157"/>
      <c r="W232" s="157"/>
      <c r="X232" s="157"/>
      <c r="Y232" s="157"/>
      <c r="Z232" s="157"/>
    </row>
    <row r="233" ht="33.75" customHeight="1">
      <c r="A233" s="284">
        <v>33700.0</v>
      </c>
      <c r="B233" s="292" t="s">
        <v>715</v>
      </c>
      <c r="C233" s="299">
        <v>2100.0</v>
      </c>
      <c r="D233" s="285" t="s">
        <v>4458</v>
      </c>
      <c r="E233" s="287" t="s">
        <v>4459</v>
      </c>
      <c r="F233" s="305">
        <v>43943.0</v>
      </c>
      <c r="G233" s="305">
        <v>43937.0</v>
      </c>
      <c r="H233" s="305" t="s">
        <v>4460</v>
      </c>
      <c r="I233" s="305">
        <v>43948.0</v>
      </c>
      <c r="J233" s="285" t="s">
        <v>2535</v>
      </c>
      <c r="K233" s="285" t="s">
        <v>2535</v>
      </c>
      <c r="L233" s="290" t="s">
        <v>4461</v>
      </c>
      <c r="M233" s="285" t="s">
        <v>497</v>
      </c>
      <c r="N233" s="286" t="s">
        <v>2554</v>
      </c>
      <c r="O233" s="291">
        <v>28812.0</v>
      </c>
      <c r="P233" s="157"/>
      <c r="Q233" s="157"/>
      <c r="R233" s="157"/>
      <c r="S233" s="157"/>
      <c r="T233" s="157"/>
      <c r="U233" s="157"/>
      <c r="V233" s="157"/>
      <c r="W233" s="157"/>
      <c r="X233" s="157"/>
      <c r="Y233" s="157"/>
      <c r="Z233" s="157"/>
    </row>
    <row r="234" ht="33.75" customHeight="1">
      <c r="A234" s="284" t="s">
        <v>4462</v>
      </c>
      <c r="B234" s="292" t="s">
        <v>21</v>
      </c>
      <c r="C234" s="299">
        <v>888.0</v>
      </c>
      <c r="D234" s="285" t="s">
        <v>4463</v>
      </c>
      <c r="E234" s="326" t="s">
        <v>2876</v>
      </c>
      <c r="F234" s="305">
        <v>43943.0</v>
      </c>
      <c r="G234" s="305">
        <v>43935.0</v>
      </c>
      <c r="H234" s="305" t="s">
        <v>4460</v>
      </c>
      <c r="I234" s="305">
        <v>43944.0</v>
      </c>
      <c r="J234" s="285" t="s">
        <v>2535</v>
      </c>
      <c r="K234" s="294" t="s">
        <v>2535</v>
      </c>
      <c r="L234" s="290" t="s">
        <v>4464</v>
      </c>
      <c r="M234" s="285"/>
      <c r="N234" s="286"/>
      <c r="O234" s="291"/>
      <c r="P234" s="157"/>
      <c r="Q234" s="157"/>
      <c r="R234" s="157"/>
      <c r="S234" s="157"/>
      <c r="T234" s="157"/>
      <c r="U234" s="157"/>
      <c r="V234" s="157"/>
      <c r="W234" s="157"/>
      <c r="X234" s="157"/>
      <c r="Y234" s="157"/>
      <c r="Z234" s="157"/>
    </row>
    <row r="235" ht="33.75" customHeight="1">
      <c r="A235" s="284">
        <v>34117.0</v>
      </c>
      <c r="B235" s="292" t="s">
        <v>25</v>
      </c>
      <c r="C235" s="299">
        <v>2100.0</v>
      </c>
      <c r="D235" s="285" t="s">
        <v>4465</v>
      </c>
      <c r="E235" s="287" t="s">
        <v>4466</v>
      </c>
      <c r="F235" s="305">
        <v>43938.0</v>
      </c>
      <c r="G235" s="288">
        <v>43934.0</v>
      </c>
      <c r="H235" s="288" t="s">
        <v>4460</v>
      </c>
      <c r="I235" s="288">
        <v>43942.0</v>
      </c>
      <c r="J235" s="285" t="s">
        <v>2535</v>
      </c>
      <c r="K235" s="294" t="s">
        <v>2535</v>
      </c>
      <c r="L235" s="341" t="s">
        <v>4467</v>
      </c>
      <c r="M235" s="285" t="s">
        <v>497</v>
      </c>
      <c r="N235" s="286" t="s">
        <v>2550</v>
      </c>
      <c r="O235" s="291">
        <v>36960.0</v>
      </c>
      <c r="P235" s="157"/>
      <c r="Q235" s="157"/>
      <c r="R235" s="157"/>
      <c r="S235" s="157"/>
      <c r="T235" s="157"/>
      <c r="U235" s="157"/>
      <c r="V235" s="157"/>
      <c r="W235" s="157"/>
      <c r="X235" s="157"/>
      <c r="Y235" s="157"/>
      <c r="Z235" s="157"/>
    </row>
    <row r="236" ht="33.75" customHeight="1">
      <c r="A236" s="284">
        <v>34012.0</v>
      </c>
      <c r="B236" s="292" t="s">
        <v>715</v>
      </c>
      <c r="C236" s="299">
        <v>320.0</v>
      </c>
      <c r="D236" s="285" t="s">
        <v>4468</v>
      </c>
      <c r="E236" s="287" t="s">
        <v>2832</v>
      </c>
      <c r="F236" s="305">
        <v>43938.0</v>
      </c>
      <c r="G236" s="288">
        <v>43936.0</v>
      </c>
      <c r="H236" s="288" t="s">
        <v>4099</v>
      </c>
      <c r="I236" s="288">
        <v>43943.0</v>
      </c>
      <c r="J236" s="285" t="s">
        <v>2535</v>
      </c>
      <c r="K236" s="294" t="s">
        <v>2535</v>
      </c>
      <c r="L236" s="290" t="s">
        <v>4469</v>
      </c>
      <c r="M236" s="285"/>
      <c r="N236" s="286"/>
      <c r="O236" s="291"/>
      <c r="P236" s="157"/>
      <c r="Q236" s="157"/>
      <c r="R236" s="157"/>
      <c r="S236" s="157"/>
      <c r="T236" s="157"/>
      <c r="U236" s="157"/>
      <c r="V236" s="157"/>
      <c r="W236" s="157"/>
      <c r="X236" s="157"/>
      <c r="Y236" s="157"/>
      <c r="Z236" s="157"/>
    </row>
    <row r="237" ht="33.75" customHeight="1">
      <c r="A237" s="284" t="s">
        <v>4470</v>
      </c>
      <c r="B237" s="292" t="s">
        <v>21</v>
      </c>
      <c r="C237" s="299">
        <v>65.0</v>
      </c>
      <c r="D237" s="285" t="s">
        <v>4471</v>
      </c>
      <c r="E237" s="287" t="s">
        <v>4472</v>
      </c>
      <c r="F237" s="305">
        <v>43935.0</v>
      </c>
      <c r="G237" s="330">
        <v>43935.0</v>
      </c>
      <c r="H237" s="305" t="s">
        <v>1747</v>
      </c>
      <c r="I237" s="305">
        <v>43944.0</v>
      </c>
      <c r="J237" s="285" t="s">
        <v>2535</v>
      </c>
      <c r="K237" s="294" t="s">
        <v>2535</v>
      </c>
      <c r="L237" s="290" t="s">
        <v>4473</v>
      </c>
      <c r="M237" s="285" t="s">
        <v>497</v>
      </c>
      <c r="N237" s="286" t="s">
        <v>2628</v>
      </c>
      <c r="O237" s="291">
        <v>25608.0</v>
      </c>
      <c r="P237" s="157"/>
      <c r="Q237" s="157"/>
      <c r="R237" s="157"/>
      <c r="S237" s="157"/>
      <c r="T237" s="157"/>
      <c r="U237" s="157"/>
      <c r="V237" s="157"/>
      <c r="W237" s="157"/>
      <c r="X237" s="157"/>
      <c r="Y237" s="157"/>
      <c r="Z237" s="157"/>
    </row>
    <row r="238" ht="33.75" customHeight="1">
      <c r="A238" s="284">
        <v>34228.0</v>
      </c>
      <c r="B238" s="292" t="s">
        <v>21</v>
      </c>
      <c r="C238" s="299">
        <v>1680.0</v>
      </c>
      <c r="D238" s="285" t="s">
        <v>4474</v>
      </c>
      <c r="E238" s="287" t="s">
        <v>2849</v>
      </c>
      <c r="F238" s="288">
        <v>43932.0</v>
      </c>
      <c r="G238" s="288">
        <v>43929.0</v>
      </c>
      <c r="H238" s="288" t="s">
        <v>4460</v>
      </c>
      <c r="I238" s="288">
        <v>43936.0</v>
      </c>
      <c r="J238" s="292" t="s">
        <v>3370</v>
      </c>
      <c r="K238" s="294" t="s">
        <v>2526</v>
      </c>
      <c r="L238" s="290" t="s">
        <v>4475</v>
      </c>
      <c r="M238" s="285"/>
      <c r="N238" s="286"/>
      <c r="O238" s="291"/>
      <c r="P238" s="342"/>
      <c r="Q238" s="342"/>
      <c r="R238" s="342"/>
      <c r="S238" s="342"/>
      <c r="T238" s="342"/>
      <c r="U238" s="342"/>
      <c r="V238" s="342"/>
      <c r="W238" s="342"/>
      <c r="X238" s="342"/>
      <c r="Y238" s="342"/>
      <c r="Z238" s="342"/>
    </row>
    <row r="239" ht="33.75" customHeight="1">
      <c r="A239" s="284">
        <v>34181.0</v>
      </c>
      <c r="B239" s="292" t="s">
        <v>21</v>
      </c>
      <c r="C239" s="299">
        <v>283.0</v>
      </c>
      <c r="D239" s="285" t="s">
        <v>4476</v>
      </c>
      <c r="E239" s="287" t="s">
        <v>4477</v>
      </c>
      <c r="F239" s="305">
        <v>43931.0</v>
      </c>
      <c r="G239" s="305">
        <v>43931.0</v>
      </c>
      <c r="H239" s="288" t="s">
        <v>4460</v>
      </c>
      <c r="I239" s="305">
        <v>43934.0</v>
      </c>
      <c r="J239" s="292" t="s">
        <v>3370</v>
      </c>
      <c r="K239" s="294" t="s">
        <v>2526</v>
      </c>
      <c r="L239" s="290" t="s">
        <v>4478</v>
      </c>
      <c r="M239" s="285"/>
      <c r="N239" s="286"/>
      <c r="O239" s="291"/>
      <c r="P239" s="342"/>
      <c r="Q239" s="342"/>
      <c r="R239" s="342"/>
      <c r="S239" s="342"/>
      <c r="T239" s="342"/>
      <c r="U239" s="342"/>
      <c r="V239" s="342"/>
      <c r="W239" s="342"/>
      <c r="X239" s="342"/>
      <c r="Y239" s="342"/>
      <c r="Z239" s="342"/>
    </row>
    <row r="240" ht="33.75" customHeight="1">
      <c r="A240" s="343" t="str">
        <f>HYPERLINK("https://drive.google.com/open?id=1QqrLRJrdJrYHDpcMTVZlBKQ0-oBLQ8hZ","34161")</f>
        <v>34161</v>
      </c>
      <c r="B240" s="292" t="s">
        <v>25</v>
      </c>
      <c r="C240" s="286">
        <v>114.0</v>
      </c>
      <c r="D240" s="285" t="s">
        <v>4479</v>
      </c>
      <c r="E240" s="287" t="s">
        <v>3966</v>
      </c>
      <c r="F240" s="288">
        <v>43930.0</v>
      </c>
      <c r="G240" s="344" t="s">
        <v>4480</v>
      </c>
      <c r="H240" s="288" t="s">
        <v>4460</v>
      </c>
      <c r="I240" s="305">
        <v>43936.0</v>
      </c>
      <c r="J240" s="285" t="s">
        <v>2535</v>
      </c>
      <c r="K240" s="294" t="s">
        <v>2535</v>
      </c>
      <c r="L240" s="290" t="s">
        <v>4481</v>
      </c>
      <c r="M240" s="285" t="s">
        <v>497</v>
      </c>
      <c r="N240" s="286" t="s">
        <v>2538</v>
      </c>
      <c r="O240" s="291">
        <v>31920.0</v>
      </c>
      <c r="P240" s="342"/>
      <c r="Q240" s="342"/>
      <c r="R240" s="342"/>
      <c r="S240" s="342"/>
      <c r="T240" s="342"/>
      <c r="U240" s="342"/>
      <c r="V240" s="342"/>
      <c r="W240" s="342"/>
      <c r="X240" s="342"/>
      <c r="Y240" s="342"/>
      <c r="Z240" s="342"/>
    </row>
    <row r="241" ht="33.75" customHeight="1">
      <c r="A241" s="345" t="str">
        <f>HYPERLINK("https://drive.google.com/open?id=1fVJ6tq7cAn-tZ4JSpmkRgDWN7Jm2Rq5J","34269 (33854)")</f>
        <v>34269 (33854)</v>
      </c>
      <c r="B241" s="292" t="s">
        <v>25</v>
      </c>
      <c r="C241" s="299">
        <v>900.0</v>
      </c>
      <c r="D241" s="285" t="s">
        <v>4482</v>
      </c>
      <c r="E241" s="287" t="s">
        <v>2876</v>
      </c>
      <c r="F241" s="288">
        <v>43928.0</v>
      </c>
      <c r="G241" s="305">
        <v>43920.0</v>
      </c>
      <c r="H241" s="288" t="s">
        <v>4460</v>
      </c>
      <c r="I241" s="305">
        <v>43930.0</v>
      </c>
      <c r="J241" s="285" t="s">
        <v>2535</v>
      </c>
      <c r="K241" s="285" t="s">
        <v>2535</v>
      </c>
      <c r="L241" s="290" t="s">
        <v>4483</v>
      </c>
      <c r="M241" s="285"/>
      <c r="N241" s="286"/>
      <c r="O241" s="291"/>
      <c r="P241" s="342"/>
      <c r="Q241" s="342"/>
      <c r="R241" s="342"/>
      <c r="S241" s="342"/>
      <c r="T241" s="342"/>
      <c r="U241" s="342"/>
      <c r="V241" s="342"/>
      <c r="W241" s="342"/>
      <c r="X241" s="342"/>
      <c r="Y241" s="342"/>
      <c r="Z241" s="342"/>
    </row>
    <row r="242" ht="33.75" customHeight="1">
      <c r="A242" s="343" t="str">
        <f>HYPERLINK("https://drive.google.com/open?id=1hPJzpvJusCdPas8LE0UThYczxsVoTWPD","34270 (34106)")</f>
        <v>34270 (34106)</v>
      </c>
      <c r="B242" s="292" t="s">
        <v>25</v>
      </c>
      <c r="C242" s="299">
        <v>900.0</v>
      </c>
      <c r="D242" s="285" t="s">
        <v>4484</v>
      </c>
      <c r="E242" s="287" t="s">
        <v>2876</v>
      </c>
      <c r="F242" s="305">
        <v>43928.0</v>
      </c>
      <c r="G242" s="305">
        <v>43924.0</v>
      </c>
      <c r="H242" s="288" t="s">
        <v>4460</v>
      </c>
      <c r="I242" s="305">
        <v>43930.0</v>
      </c>
      <c r="J242" s="285" t="s">
        <v>2535</v>
      </c>
      <c r="K242" s="285" t="s">
        <v>2535</v>
      </c>
      <c r="L242" s="346" t="s">
        <v>4485</v>
      </c>
      <c r="M242" s="285"/>
      <c r="N242" s="286"/>
      <c r="O242" s="291"/>
      <c r="P242" s="342"/>
      <c r="Q242" s="342"/>
      <c r="R242" s="342"/>
      <c r="S242" s="342"/>
      <c r="T242" s="342"/>
      <c r="U242" s="342"/>
      <c r="V242" s="342"/>
      <c r="W242" s="342"/>
      <c r="X242" s="342"/>
      <c r="Y242" s="342"/>
      <c r="Z242" s="342"/>
    </row>
    <row r="243" ht="33.75" customHeight="1">
      <c r="A243" s="284">
        <v>34121.0</v>
      </c>
      <c r="B243" s="292" t="s">
        <v>21</v>
      </c>
      <c r="C243" s="286">
        <v>15.0</v>
      </c>
      <c r="D243" s="285" t="s">
        <v>4486</v>
      </c>
      <c r="E243" s="287" t="s">
        <v>4487</v>
      </c>
      <c r="F243" s="305">
        <v>43927.0</v>
      </c>
      <c r="G243" s="288">
        <v>43934.0</v>
      </c>
      <c r="H243" s="288" t="s">
        <v>4460</v>
      </c>
      <c r="I243" s="305">
        <v>43938.0</v>
      </c>
      <c r="J243" s="285" t="s">
        <v>2535</v>
      </c>
      <c r="K243" s="294" t="s">
        <v>2535</v>
      </c>
      <c r="L243" s="290" t="s">
        <v>4488</v>
      </c>
      <c r="M243" s="285"/>
      <c r="N243" s="286"/>
      <c r="O243" s="291"/>
      <c r="P243" s="342"/>
      <c r="Q243" s="342"/>
      <c r="R243" s="342"/>
      <c r="S243" s="342"/>
      <c r="T243" s="342"/>
      <c r="U243" s="342"/>
      <c r="V243" s="342"/>
      <c r="W243" s="342"/>
      <c r="X243" s="342"/>
      <c r="Y243" s="342"/>
      <c r="Z243" s="342"/>
    </row>
    <row r="244" ht="33.75" customHeight="1">
      <c r="A244" s="343" t="str">
        <f>HYPERLINK("https://drive.google.com/open?id=1NBWDqqRIBFB1KCQV4LCsrk3rAnAQ6bfx","33392")</f>
        <v>33392</v>
      </c>
      <c r="B244" s="292" t="s">
        <v>25</v>
      </c>
      <c r="C244" s="299">
        <v>508.0</v>
      </c>
      <c r="D244" s="285" t="s">
        <v>4489</v>
      </c>
      <c r="E244" s="287" t="s">
        <v>4490</v>
      </c>
      <c r="F244" s="305">
        <v>43924.0</v>
      </c>
      <c r="G244" s="347">
        <v>43920.0</v>
      </c>
      <c r="H244" s="305" t="s">
        <v>1747</v>
      </c>
      <c r="I244" s="305">
        <v>43928.0</v>
      </c>
      <c r="J244" s="285" t="s">
        <v>2535</v>
      </c>
      <c r="K244" s="294" t="s">
        <v>2535</v>
      </c>
      <c r="L244" s="290" t="s">
        <v>4491</v>
      </c>
      <c r="M244" s="285" t="s">
        <v>497</v>
      </c>
      <c r="N244" s="286" t="s">
        <v>2604</v>
      </c>
      <c r="O244" s="291">
        <v>31310.0</v>
      </c>
      <c r="P244" s="342"/>
      <c r="Q244" s="342"/>
      <c r="R244" s="342"/>
      <c r="S244" s="342"/>
      <c r="T244" s="342"/>
      <c r="U244" s="342"/>
      <c r="V244" s="342"/>
      <c r="W244" s="342"/>
      <c r="X244" s="342"/>
      <c r="Y244" s="342"/>
      <c r="Z244" s="342"/>
    </row>
    <row r="245" ht="33.75" customHeight="1">
      <c r="A245" s="345" t="str">
        <f>HYPERLINK("https://drive.google.com/open?id=1tpfMAA8ai8C32D2qrsJ9Cnu6c7X_j998","33699")</f>
        <v>33699</v>
      </c>
      <c r="B245" s="292" t="s">
        <v>715</v>
      </c>
      <c r="C245" s="299">
        <v>1160.0</v>
      </c>
      <c r="D245" s="285" t="s">
        <v>4492</v>
      </c>
      <c r="E245" s="287" t="s">
        <v>2606</v>
      </c>
      <c r="F245" s="305">
        <v>43919.0</v>
      </c>
      <c r="G245" s="305">
        <v>43910.0</v>
      </c>
      <c r="H245" s="305" t="s">
        <v>1747</v>
      </c>
      <c r="I245" s="305">
        <v>43917.0</v>
      </c>
      <c r="J245" s="285" t="s">
        <v>2535</v>
      </c>
      <c r="K245" s="294" t="s">
        <v>2535</v>
      </c>
      <c r="L245" s="290" t="s">
        <v>4493</v>
      </c>
      <c r="M245" s="285" t="s">
        <v>497</v>
      </c>
      <c r="N245" s="286" t="s">
        <v>2554</v>
      </c>
      <c r="O245" s="291">
        <v>31865.2</v>
      </c>
      <c r="P245" s="157"/>
      <c r="Q245" s="157"/>
      <c r="R245" s="157"/>
      <c r="S245" s="157"/>
      <c r="T245" s="157"/>
      <c r="U245" s="157"/>
      <c r="V245" s="157"/>
      <c r="W245" s="157"/>
      <c r="X245" s="157"/>
      <c r="Y245" s="157"/>
      <c r="Z245" s="157"/>
    </row>
    <row r="246" ht="33.75" customHeight="1">
      <c r="A246" s="343" t="str">
        <f>HYPERLINK("https://drive.google.com/open?id=1wJCQJFt6SyZ-XEgnYHhvzY7jqA8vUU6X","33391")</f>
        <v>33391</v>
      </c>
      <c r="B246" s="292" t="s">
        <v>21</v>
      </c>
      <c r="C246" s="299">
        <v>508.0</v>
      </c>
      <c r="D246" s="285" t="s">
        <v>4494</v>
      </c>
      <c r="E246" s="287" t="s">
        <v>4490</v>
      </c>
      <c r="F246" s="305">
        <v>43919.0</v>
      </c>
      <c r="G246" s="305">
        <v>43915.0</v>
      </c>
      <c r="H246" s="305" t="s">
        <v>1747</v>
      </c>
      <c r="I246" s="305">
        <v>43922.0</v>
      </c>
      <c r="J246" s="292" t="s">
        <v>3370</v>
      </c>
      <c r="K246" s="285" t="s">
        <v>2526</v>
      </c>
      <c r="L246" s="290" t="s">
        <v>4495</v>
      </c>
      <c r="M246" s="285" t="s">
        <v>497</v>
      </c>
      <c r="N246" s="286" t="s">
        <v>2604</v>
      </c>
      <c r="O246" s="291">
        <v>31310.0</v>
      </c>
      <c r="P246" s="342"/>
      <c r="Q246" s="342"/>
      <c r="R246" s="342"/>
      <c r="S246" s="342"/>
      <c r="T246" s="342"/>
      <c r="U246" s="342"/>
      <c r="V246" s="342"/>
      <c r="W246" s="342"/>
      <c r="X246" s="342"/>
      <c r="Y246" s="342"/>
      <c r="Z246" s="342"/>
    </row>
    <row r="247" ht="33.75" customHeight="1">
      <c r="A247" s="343" t="str">
        <f>HYPERLINK("https://drive.google.com/open?id=1JTx9EVuoMeMnWj7oodrw8l65Yt23vFXM","34139")</f>
        <v>34139</v>
      </c>
      <c r="B247" s="292" t="s">
        <v>715</v>
      </c>
      <c r="C247" s="299">
        <v>1350.0</v>
      </c>
      <c r="D247" s="285" t="s">
        <v>4496</v>
      </c>
      <c r="E247" s="287" t="s">
        <v>2849</v>
      </c>
      <c r="F247" s="305">
        <v>43917.0</v>
      </c>
      <c r="G247" s="305">
        <v>43914.0</v>
      </c>
      <c r="H247" s="305" t="s">
        <v>1747</v>
      </c>
      <c r="I247" s="305">
        <v>43920.0</v>
      </c>
      <c r="J247" s="285" t="s">
        <v>2535</v>
      </c>
      <c r="K247" s="285" t="s">
        <v>2535</v>
      </c>
      <c r="L247" s="290" t="s">
        <v>4497</v>
      </c>
      <c r="M247" s="285"/>
      <c r="N247" s="286"/>
      <c r="O247" s="291"/>
      <c r="P247" s="157"/>
      <c r="Q247" s="157"/>
      <c r="R247" s="157"/>
      <c r="S247" s="157"/>
      <c r="T247" s="157"/>
      <c r="U247" s="157"/>
      <c r="V247" s="157"/>
      <c r="W247" s="157"/>
      <c r="X247" s="157"/>
      <c r="Y247" s="157"/>
      <c r="Z247" s="157"/>
    </row>
    <row r="248" ht="33.75" customHeight="1">
      <c r="A248" s="343" t="str">
        <f>HYPERLINK("https://drive.google.com/open?id=1Mb9zygKtdtVTHu8iX6ancU5IWjItbKZi","34118")</f>
        <v>34118</v>
      </c>
      <c r="B248" s="292" t="s">
        <v>25</v>
      </c>
      <c r="C248" s="286">
        <v>150.0</v>
      </c>
      <c r="D248" s="285" t="s">
        <v>4498</v>
      </c>
      <c r="E248" s="287" t="s">
        <v>3966</v>
      </c>
      <c r="F248" s="288">
        <v>43915.0</v>
      </c>
      <c r="G248" s="344" t="s">
        <v>4480</v>
      </c>
      <c r="H248" s="305" t="s">
        <v>1747</v>
      </c>
      <c r="I248" s="305">
        <v>43922.0</v>
      </c>
      <c r="J248" s="285" t="s">
        <v>2535</v>
      </c>
      <c r="K248" s="285" t="s">
        <v>2535</v>
      </c>
      <c r="L248" s="290" t="s">
        <v>4499</v>
      </c>
      <c r="M248" s="285" t="s">
        <v>497</v>
      </c>
      <c r="N248" s="286" t="s">
        <v>2538</v>
      </c>
      <c r="O248" s="291">
        <v>34320.0</v>
      </c>
      <c r="P248" s="157"/>
      <c r="Q248" s="157"/>
      <c r="R248" s="157"/>
      <c r="S248" s="157"/>
      <c r="T248" s="157"/>
      <c r="U248" s="157"/>
      <c r="V248" s="157"/>
      <c r="W248" s="157"/>
      <c r="X248" s="157"/>
      <c r="Y248" s="157"/>
      <c r="Z248" s="157"/>
    </row>
    <row r="249" ht="33.75" customHeight="1">
      <c r="A249" s="343" t="str">
        <f>HYPERLINK("https://drive.google.com/open?id=1Ojt5cPRLw3njgomvwekYyjkMZDhKLi6d","34014")</f>
        <v>34014</v>
      </c>
      <c r="B249" s="292" t="s">
        <v>21</v>
      </c>
      <c r="C249" s="299">
        <v>320.0</v>
      </c>
      <c r="D249" s="285" t="s">
        <v>4500</v>
      </c>
      <c r="E249" s="287" t="s">
        <v>2832</v>
      </c>
      <c r="F249" s="305">
        <v>43913.0</v>
      </c>
      <c r="G249" s="288">
        <v>43913.0</v>
      </c>
      <c r="H249" s="288" t="s">
        <v>1747</v>
      </c>
      <c r="I249" s="288">
        <v>43920.0</v>
      </c>
      <c r="J249" s="292" t="s">
        <v>3370</v>
      </c>
      <c r="K249" s="285" t="s">
        <v>2526</v>
      </c>
      <c r="L249" s="290" t="s">
        <v>4501</v>
      </c>
      <c r="M249" s="285"/>
      <c r="N249" s="286"/>
      <c r="O249" s="291"/>
      <c r="P249" s="157"/>
      <c r="Q249" s="157"/>
      <c r="R249" s="157"/>
      <c r="S249" s="157"/>
      <c r="T249" s="157"/>
      <c r="U249" s="157"/>
      <c r="V249" s="157"/>
      <c r="W249" s="157"/>
      <c r="X249" s="157"/>
      <c r="Y249" s="157"/>
      <c r="Z249" s="157"/>
    </row>
    <row r="250" ht="33.75" customHeight="1">
      <c r="A250" s="348" t="str">
        <f>HYPERLINK("https://drive.google.com/open?id=1B2vXPVQ2DuFlaPaZuy9KpYCYIXXDko6V","33697")</f>
        <v>33697</v>
      </c>
      <c r="B250" s="292" t="s">
        <v>715</v>
      </c>
      <c r="C250" s="299">
        <v>1160.0</v>
      </c>
      <c r="D250" s="285" t="s">
        <v>4502</v>
      </c>
      <c r="E250" s="287" t="s">
        <v>4503</v>
      </c>
      <c r="F250" s="305">
        <v>43910.0</v>
      </c>
      <c r="G250" s="305">
        <v>43906.0</v>
      </c>
      <c r="H250" s="305" t="s">
        <v>1747</v>
      </c>
      <c r="I250" s="305">
        <v>43913.0</v>
      </c>
      <c r="J250" s="285" t="s">
        <v>2535</v>
      </c>
      <c r="K250" s="294" t="s">
        <v>2535</v>
      </c>
      <c r="L250" s="290" t="s">
        <v>4504</v>
      </c>
      <c r="M250" s="285" t="s">
        <v>497</v>
      </c>
      <c r="N250" s="286" t="s">
        <v>2554</v>
      </c>
      <c r="O250" s="291">
        <v>31865.2</v>
      </c>
      <c r="P250" s="157"/>
      <c r="Q250" s="157"/>
      <c r="R250" s="157"/>
      <c r="S250" s="157"/>
      <c r="T250" s="157"/>
      <c r="U250" s="157"/>
      <c r="V250" s="157"/>
      <c r="W250" s="157"/>
      <c r="X250" s="157"/>
      <c r="Y250" s="157"/>
      <c r="Z250" s="157"/>
    </row>
    <row r="251" ht="33.75" customHeight="1">
      <c r="A251" s="345" t="str">
        <f>HYPERLINK("https://drive.google.com/open?id=1K3X8-2zVU0FC51bIFu1z5NYr9-DB_0_A","33900")</f>
        <v>33900</v>
      </c>
      <c r="B251" s="292" t="s">
        <v>21</v>
      </c>
      <c r="C251" s="299">
        <v>3000.0</v>
      </c>
      <c r="D251" s="285" t="s">
        <v>4505</v>
      </c>
      <c r="E251" s="287" t="s">
        <v>4506</v>
      </c>
      <c r="F251" s="305">
        <v>43907.0</v>
      </c>
      <c r="G251" s="288">
        <v>43906.0</v>
      </c>
      <c r="H251" s="288" t="s">
        <v>4099</v>
      </c>
      <c r="I251" s="288">
        <v>43913.0</v>
      </c>
      <c r="J251" s="292" t="s">
        <v>3370</v>
      </c>
      <c r="K251" s="285" t="s">
        <v>2526</v>
      </c>
      <c r="L251" s="290" t="s">
        <v>4507</v>
      </c>
      <c r="M251" s="285" t="s">
        <v>497</v>
      </c>
      <c r="N251" s="286" t="s">
        <v>2554</v>
      </c>
      <c r="O251" s="291">
        <v>21052.2</v>
      </c>
      <c r="P251" s="157"/>
      <c r="Q251" s="157"/>
      <c r="R251" s="157"/>
      <c r="S251" s="157"/>
      <c r="T251" s="157"/>
      <c r="U251" s="157"/>
      <c r="V251" s="157"/>
      <c r="W251" s="157"/>
      <c r="X251" s="157"/>
      <c r="Y251" s="157"/>
      <c r="Z251" s="157"/>
    </row>
    <row r="252" ht="33.75" customHeight="1">
      <c r="A252" s="345" t="str">
        <f>HYPERLINK("https://drive.google.com/open?id=1t7YvMhv85UpUfCmCXDSaOJm8gPoK7XjF","33853")</f>
        <v>33853</v>
      </c>
      <c r="B252" s="292" t="s">
        <v>715</v>
      </c>
      <c r="C252" s="299">
        <v>900.0</v>
      </c>
      <c r="D252" s="285" t="s">
        <v>4508</v>
      </c>
      <c r="E252" s="287" t="s">
        <v>2876</v>
      </c>
      <c r="F252" s="288">
        <v>43902.0</v>
      </c>
      <c r="G252" s="305">
        <v>43895.0</v>
      </c>
      <c r="H252" s="305">
        <v>43895.0</v>
      </c>
      <c r="I252" s="305">
        <v>43907.0</v>
      </c>
      <c r="J252" s="285" t="s">
        <v>2535</v>
      </c>
      <c r="K252" s="285" t="s">
        <v>2535</v>
      </c>
      <c r="L252" s="290" t="s">
        <v>4509</v>
      </c>
      <c r="M252" s="285"/>
      <c r="N252" s="286"/>
      <c r="O252" s="291"/>
      <c r="P252" s="157"/>
      <c r="Q252" s="157"/>
      <c r="R252" s="157"/>
      <c r="S252" s="157"/>
      <c r="T252" s="157"/>
      <c r="U252" s="157"/>
      <c r="V252" s="157"/>
      <c r="W252" s="157"/>
      <c r="X252" s="157"/>
      <c r="Y252" s="157"/>
      <c r="Z252" s="157"/>
    </row>
    <row r="253" ht="33.75" customHeight="1">
      <c r="A253" s="343" t="str">
        <f>HYPERLINK("https://drive.google.com/open?id=1PNUGZUIp_PTZ98FIAzS4PI_2eMIyJL12","34123")</f>
        <v>34123</v>
      </c>
      <c r="B253" s="292" t="s">
        <v>25</v>
      </c>
      <c r="C253" s="299">
        <v>930.0</v>
      </c>
      <c r="D253" s="285" t="s">
        <v>4510</v>
      </c>
      <c r="E253" s="287" t="s">
        <v>4511</v>
      </c>
      <c r="F253" s="305">
        <v>43899.0</v>
      </c>
      <c r="G253" s="288">
        <v>43910.0</v>
      </c>
      <c r="H253" s="288">
        <v>43910.0</v>
      </c>
      <c r="I253" s="288">
        <v>43901.0</v>
      </c>
      <c r="J253" s="285" t="s">
        <v>2535</v>
      </c>
      <c r="K253" s="294" t="s">
        <v>2535</v>
      </c>
      <c r="L253" s="304" t="s">
        <v>4512</v>
      </c>
      <c r="M253" s="285"/>
      <c r="N253" s="286"/>
      <c r="O253" s="291"/>
      <c r="P253" s="157"/>
      <c r="Q253" s="157"/>
      <c r="R253" s="157"/>
      <c r="S253" s="157"/>
      <c r="T253" s="157"/>
      <c r="U253" s="157"/>
      <c r="V253" s="157"/>
      <c r="W253" s="157"/>
      <c r="X253" s="157"/>
      <c r="Y253" s="157"/>
      <c r="Z253" s="157"/>
    </row>
    <row r="254" ht="33.75" customHeight="1">
      <c r="A254" s="345" t="str">
        <f>HYPERLINK("https://drive.google.com/open?id=15ECBKj43htZj_gumCOOCnkMeD_IfwTnD","33907")</f>
        <v>33907</v>
      </c>
      <c r="B254" s="292" t="s">
        <v>21</v>
      </c>
      <c r="C254" s="299">
        <v>500.0</v>
      </c>
      <c r="D254" s="285" t="s">
        <v>4513</v>
      </c>
      <c r="E254" s="287" t="s">
        <v>2778</v>
      </c>
      <c r="F254" s="305">
        <v>43895.0</v>
      </c>
      <c r="G254" s="305">
        <v>43889.0</v>
      </c>
      <c r="H254" s="305">
        <v>43889.0</v>
      </c>
      <c r="I254" s="305">
        <v>43899.0</v>
      </c>
      <c r="J254" s="292" t="s">
        <v>3370</v>
      </c>
      <c r="K254" s="285" t="s">
        <v>2526</v>
      </c>
      <c r="L254" s="290" t="s">
        <v>4514</v>
      </c>
      <c r="M254" s="285"/>
      <c r="N254" s="286"/>
      <c r="O254" s="291"/>
      <c r="P254" s="157"/>
      <c r="Q254" s="157"/>
      <c r="R254" s="157"/>
      <c r="S254" s="157"/>
      <c r="T254" s="157"/>
      <c r="U254" s="157"/>
      <c r="V254" s="157"/>
      <c r="W254" s="157"/>
      <c r="X254" s="157"/>
      <c r="Y254" s="157"/>
      <c r="Z254" s="157"/>
    </row>
    <row r="255" ht="33.75" customHeight="1">
      <c r="A255" s="345" t="str">
        <f>HYPERLINK("https://drive.google.com/open?id=1l4UNZ1QVuk3sENSsBQsK0ynjKhEuKERp","33698")</f>
        <v>33698</v>
      </c>
      <c r="B255" s="292" t="s">
        <v>25</v>
      </c>
      <c r="C255" s="299">
        <v>2100.0</v>
      </c>
      <c r="D255" s="285" t="s">
        <v>4515</v>
      </c>
      <c r="E255" s="287" t="s">
        <v>4516</v>
      </c>
      <c r="F255" s="305">
        <v>43894.0</v>
      </c>
      <c r="G255" s="305">
        <v>43889.0</v>
      </c>
      <c r="H255" s="305">
        <v>43889.0</v>
      </c>
      <c r="I255" s="305">
        <v>43900.0</v>
      </c>
      <c r="J255" s="285" t="s">
        <v>2535</v>
      </c>
      <c r="K255" s="285" t="s">
        <v>2535</v>
      </c>
      <c r="L255" s="290" t="s">
        <v>4517</v>
      </c>
      <c r="M255" s="285" t="s">
        <v>497</v>
      </c>
      <c r="N255" s="286" t="s">
        <v>2554</v>
      </c>
      <c r="O255" s="291">
        <v>28812.0</v>
      </c>
      <c r="P255" s="157"/>
      <c r="Q255" s="157"/>
      <c r="R255" s="157"/>
      <c r="S255" s="157"/>
      <c r="T255" s="157"/>
      <c r="U255" s="157"/>
      <c r="V255" s="157"/>
      <c r="W255" s="157"/>
      <c r="X255" s="157"/>
      <c r="Y255" s="157"/>
      <c r="Z255" s="157"/>
    </row>
    <row r="256" ht="33.75" customHeight="1">
      <c r="A256" s="343" t="str">
        <f>HYPERLINK("https://drive.google.com/open?id=1v5jtrn4fNg455IkNsN5kr3YM36CrO-Cj","33864 / 33865")</f>
        <v>33864 / 33865</v>
      </c>
      <c r="B256" s="285" t="s">
        <v>21</v>
      </c>
      <c r="C256" s="299">
        <v>291.0</v>
      </c>
      <c r="D256" s="285" t="s">
        <v>4518</v>
      </c>
      <c r="E256" s="326" t="s">
        <v>4519</v>
      </c>
      <c r="F256" s="320">
        <v>43893.0</v>
      </c>
      <c r="G256" s="288">
        <v>43893.0</v>
      </c>
      <c r="H256" s="288">
        <v>43893.0</v>
      </c>
      <c r="I256" s="288">
        <v>43894.0</v>
      </c>
      <c r="J256" s="292" t="s">
        <v>3370</v>
      </c>
      <c r="K256" s="285" t="s">
        <v>2526</v>
      </c>
      <c r="L256" s="290" t="s">
        <v>4520</v>
      </c>
      <c r="M256" s="285"/>
      <c r="N256" s="286"/>
      <c r="O256" s="291"/>
      <c r="P256" s="157"/>
      <c r="Q256" s="157"/>
      <c r="R256" s="157"/>
      <c r="S256" s="157"/>
      <c r="T256" s="157"/>
      <c r="U256" s="157"/>
      <c r="V256" s="157"/>
      <c r="W256" s="157"/>
      <c r="X256" s="157"/>
      <c r="Y256" s="157"/>
      <c r="Z256" s="157"/>
    </row>
    <row r="257" ht="33.75" customHeight="1">
      <c r="A257" s="343" t="str">
        <f>HYPERLINK("https://drive.google.com/open?id=1y0j9FfKyirT7bCDTlLHMFIvXlhvObKzp","34066")</f>
        <v>34066</v>
      </c>
      <c r="B257" s="292" t="s">
        <v>715</v>
      </c>
      <c r="C257" s="299">
        <v>930.0</v>
      </c>
      <c r="D257" s="328" t="s">
        <v>4521</v>
      </c>
      <c r="E257" s="287" t="s">
        <v>2849</v>
      </c>
      <c r="F257" s="288">
        <v>43887.0</v>
      </c>
      <c r="G257" s="288">
        <v>43885.0</v>
      </c>
      <c r="H257" s="288" t="s">
        <v>1747</v>
      </c>
      <c r="I257" s="288">
        <v>43893.0</v>
      </c>
      <c r="J257" s="285" t="s">
        <v>2535</v>
      </c>
      <c r="K257" s="294" t="s">
        <v>2535</v>
      </c>
      <c r="L257" s="290" t="s">
        <v>4522</v>
      </c>
      <c r="M257" s="285"/>
      <c r="N257" s="286"/>
      <c r="O257" s="291"/>
      <c r="P257" s="157"/>
      <c r="Q257" s="157"/>
      <c r="R257" s="157"/>
      <c r="S257" s="157"/>
      <c r="T257" s="157"/>
      <c r="U257" s="157"/>
      <c r="V257" s="157"/>
      <c r="W257" s="157"/>
      <c r="X257" s="157"/>
      <c r="Y257" s="157"/>
      <c r="Z257" s="157"/>
    </row>
    <row r="258" ht="33.75" customHeight="1">
      <c r="A258" s="343" t="str">
        <f>HYPERLINK("https://drive.google.com/open?id=1hOR7rX9z72jsM0gLqeo4sCdLH_shx7Y_","33695")</f>
        <v>33695</v>
      </c>
      <c r="B258" s="292" t="s">
        <v>715</v>
      </c>
      <c r="C258" s="286">
        <v>2100.0</v>
      </c>
      <c r="D258" s="285" t="s">
        <v>4523</v>
      </c>
      <c r="E258" s="326" t="s">
        <v>4516</v>
      </c>
      <c r="F258" s="305">
        <v>43885.0</v>
      </c>
      <c r="G258" s="288">
        <v>43885.0</v>
      </c>
      <c r="H258" s="288" t="s">
        <v>1747</v>
      </c>
      <c r="I258" s="305">
        <v>43887.0</v>
      </c>
      <c r="J258" s="285" t="s">
        <v>2535</v>
      </c>
      <c r="K258" s="285" t="s">
        <v>2535</v>
      </c>
      <c r="L258" s="341" t="s">
        <v>4524</v>
      </c>
      <c r="M258" s="285" t="s">
        <v>497</v>
      </c>
      <c r="N258" s="286" t="s">
        <v>2554</v>
      </c>
      <c r="O258" s="291">
        <v>28812.0</v>
      </c>
      <c r="P258" s="157"/>
      <c r="Q258" s="157"/>
      <c r="R258" s="157"/>
      <c r="S258" s="157"/>
      <c r="T258" s="157"/>
      <c r="U258" s="157"/>
      <c r="V258" s="157"/>
      <c r="W258" s="157"/>
      <c r="X258" s="157"/>
      <c r="Y258" s="157"/>
      <c r="Z258" s="157"/>
    </row>
    <row r="259" ht="33.75" customHeight="1">
      <c r="A259" s="343" t="str">
        <f>HYPERLINK("https://drive.google.com/open?id=1Qm8_GTPezFZZNVdN_J3tI8b8M7aaA-Mc","33796")</f>
        <v>33796</v>
      </c>
      <c r="B259" s="292" t="s">
        <v>21</v>
      </c>
      <c r="C259" s="299">
        <v>3000.0</v>
      </c>
      <c r="D259" s="285" t="s">
        <v>4525</v>
      </c>
      <c r="E259" s="287" t="s">
        <v>4526</v>
      </c>
      <c r="F259" s="305">
        <v>43884.0</v>
      </c>
      <c r="G259" s="305">
        <v>43880.0</v>
      </c>
      <c r="H259" s="305" t="s">
        <v>1747</v>
      </c>
      <c r="I259" s="305">
        <v>43888.0</v>
      </c>
      <c r="J259" s="292" t="s">
        <v>3370</v>
      </c>
      <c r="K259" s="285" t="s">
        <v>2526</v>
      </c>
      <c r="L259" s="290" t="s">
        <v>4527</v>
      </c>
      <c r="M259" s="285" t="s">
        <v>497</v>
      </c>
      <c r="N259" s="286" t="s">
        <v>2554</v>
      </c>
      <c r="O259" s="291">
        <v>21210.0</v>
      </c>
      <c r="P259" s="157"/>
      <c r="Q259" s="157"/>
      <c r="R259" s="157"/>
      <c r="S259" s="157"/>
      <c r="T259" s="157"/>
      <c r="U259" s="157"/>
      <c r="V259" s="157"/>
      <c r="W259" s="157"/>
      <c r="X259" s="157"/>
      <c r="Y259" s="157"/>
      <c r="Z259" s="157"/>
    </row>
    <row r="260" ht="33.75" customHeight="1">
      <c r="A260" s="343" t="str">
        <f>HYPERLINK("https://drive.google.com/open?id=1ReP1fGi8JaQ1DmPxc3kxfht3wz5l92lP","33694")</f>
        <v>33694</v>
      </c>
      <c r="B260" s="292" t="s">
        <v>25</v>
      </c>
      <c r="C260" s="286">
        <v>2100.0</v>
      </c>
      <c r="D260" s="285" t="s">
        <v>4528</v>
      </c>
      <c r="E260" s="287" t="s">
        <v>4516</v>
      </c>
      <c r="F260" s="305">
        <v>43880.0</v>
      </c>
      <c r="G260" s="288">
        <v>43879.0</v>
      </c>
      <c r="H260" s="305" t="s">
        <v>1747</v>
      </c>
      <c r="I260" s="305">
        <v>43886.0</v>
      </c>
      <c r="J260" s="285" t="s">
        <v>2535</v>
      </c>
      <c r="K260" s="285" t="s">
        <v>2535</v>
      </c>
      <c r="L260" s="290" t="s">
        <v>4529</v>
      </c>
      <c r="M260" s="285" t="s">
        <v>497</v>
      </c>
      <c r="N260" s="286" t="s">
        <v>2554</v>
      </c>
      <c r="O260" s="291">
        <v>28812.0</v>
      </c>
      <c r="P260" s="157"/>
      <c r="Q260" s="157"/>
      <c r="R260" s="157"/>
      <c r="S260" s="157"/>
      <c r="T260" s="157"/>
      <c r="U260" s="157"/>
      <c r="V260" s="157"/>
      <c r="W260" s="157"/>
      <c r="X260" s="157"/>
      <c r="Y260" s="157"/>
      <c r="Z260" s="157"/>
    </row>
    <row r="261" ht="33.75" customHeight="1">
      <c r="A261" s="343" t="str">
        <f>HYPERLINK("https://drive.google.com/open?id=18fSMNeGMNWJFf4yhT0SDtXr3MFOtml4m","33696")</f>
        <v>33696</v>
      </c>
      <c r="B261" s="292" t="s">
        <v>25</v>
      </c>
      <c r="C261" s="299">
        <v>2100.0</v>
      </c>
      <c r="D261" s="285" t="s">
        <v>4530</v>
      </c>
      <c r="E261" s="326" t="s">
        <v>4516</v>
      </c>
      <c r="F261" s="305">
        <v>43880.0</v>
      </c>
      <c r="G261" s="305">
        <v>43879.0</v>
      </c>
      <c r="H261" s="305" t="s">
        <v>1747</v>
      </c>
      <c r="I261" s="305">
        <v>43885.0</v>
      </c>
      <c r="J261" s="285" t="s">
        <v>2535</v>
      </c>
      <c r="K261" s="285" t="s">
        <v>2535</v>
      </c>
      <c r="L261" s="290" t="s">
        <v>4531</v>
      </c>
      <c r="M261" s="285" t="s">
        <v>497</v>
      </c>
      <c r="N261" s="286" t="s">
        <v>2554</v>
      </c>
      <c r="O261" s="291">
        <v>28812.0</v>
      </c>
      <c r="P261" s="157"/>
      <c r="Q261" s="157"/>
      <c r="R261" s="157"/>
      <c r="S261" s="157"/>
      <c r="T261" s="157"/>
      <c r="U261" s="157"/>
      <c r="V261" s="157"/>
      <c r="W261" s="157"/>
      <c r="X261" s="157"/>
      <c r="Y261" s="157"/>
      <c r="Z261" s="157"/>
    </row>
    <row r="262" ht="33.75" customHeight="1">
      <c r="A262" s="345" t="str">
        <f>HYPERLINK("https://drive.google.com/open?id=0B16TzWp6Jki1bDZFcm82NmxUSmlCRUJFeG0tM2M1czJIamtF","33872")</f>
        <v>33872</v>
      </c>
      <c r="B262" s="292" t="s">
        <v>715</v>
      </c>
      <c r="C262" s="299">
        <v>3000.0</v>
      </c>
      <c r="D262" s="285" t="s">
        <v>4532</v>
      </c>
      <c r="E262" s="287" t="s">
        <v>3791</v>
      </c>
      <c r="F262" s="305">
        <v>43878.0</v>
      </c>
      <c r="G262" s="305">
        <v>43874.0</v>
      </c>
      <c r="H262" s="305" t="s">
        <v>1747</v>
      </c>
      <c r="I262" s="305">
        <v>43882.0</v>
      </c>
      <c r="J262" s="285" t="s">
        <v>2535</v>
      </c>
      <c r="K262" s="285" t="s">
        <v>2535</v>
      </c>
      <c r="L262" s="290" t="s">
        <v>4533</v>
      </c>
      <c r="M262" s="285" t="s">
        <v>2537</v>
      </c>
      <c r="N262" s="286" t="s">
        <v>2554</v>
      </c>
      <c r="O262" s="291">
        <v>21210.0</v>
      </c>
      <c r="P262" s="157"/>
      <c r="Q262" s="157"/>
      <c r="R262" s="157"/>
      <c r="S262" s="157"/>
      <c r="T262" s="157"/>
      <c r="U262" s="157"/>
      <c r="V262" s="157"/>
      <c r="W262" s="157"/>
      <c r="X262" s="157"/>
      <c r="Y262" s="157"/>
      <c r="Z262" s="157"/>
    </row>
    <row r="263" ht="33.75" customHeight="1">
      <c r="A263" s="343" t="str">
        <f>HYPERLINK("https://drive.google.com/open?id=0B16TzWp6Jki1TG83d0IzMkhUVF9yOEZzMlpGME00LVlaQUNj","34055")</f>
        <v>34055</v>
      </c>
      <c r="B263" s="292" t="s">
        <v>25</v>
      </c>
      <c r="C263" s="286">
        <v>989.0</v>
      </c>
      <c r="D263" s="285" t="s">
        <v>4534</v>
      </c>
      <c r="E263" s="349" t="s">
        <v>4535</v>
      </c>
      <c r="F263" s="288">
        <v>43875.0</v>
      </c>
      <c r="G263" s="288">
        <v>43875.0</v>
      </c>
      <c r="H263" s="288" t="s">
        <v>1747</v>
      </c>
      <c r="I263" s="288">
        <v>43882.0</v>
      </c>
      <c r="J263" s="285" t="s">
        <v>2535</v>
      </c>
      <c r="K263" s="294" t="s">
        <v>2535</v>
      </c>
      <c r="L263" s="290" t="s">
        <v>4536</v>
      </c>
      <c r="M263" s="285"/>
      <c r="N263" s="286"/>
      <c r="O263" s="291"/>
      <c r="P263" s="157"/>
      <c r="Q263" s="157"/>
      <c r="R263" s="157"/>
      <c r="S263" s="157"/>
      <c r="T263" s="157"/>
      <c r="U263" s="157"/>
      <c r="V263" s="157"/>
      <c r="W263" s="157"/>
      <c r="X263" s="157"/>
      <c r="Y263" s="157"/>
      <c r="Z263" s="157"/>
    </row>
    <row r="264" ht="33.75" customHeight="1">
      <c r="A264" s="343" t="str">
        <f>HYPERLINK("https://drive.google.com/open?id=1x6OZmgcsxhaWWNi1DDdwi_R1jHGT9k4O","33910")</f>
        <v>33910</v>
      </c>
      <c r="B264" s="292" t="s">
        <v>21</v>
      </c>
      <c r="C264" s="286">
        <v>780.0</v>
      </c>
      <c r="D264" s="285" t="s">
        <v>4537</v>
      </c>
      <c r="E264" s="287" t="s">
        <v>3169</v>
      </c>
      <c r="F264" s="305">
        <v>43875.0</v>
      </c>
      <c r="G264" s="333">
        <v>43871.0</v>
      </c>
      <c r="H264" s="288" t="s">
        <v>1747</v>
      </c>
      <c r="I264" s="288">
        <v>43879.0</v>
      </c>
      <c r="J264" s="292" t="s">
        <v>3370</v>
      </c>
      <c r="K264" s="294" t="s">
        <v>2526</v>
      </c>
      <c r="L264" s="350" t="s">
        <v>4538</v>
      </c>
      <c r="M264" s="285" t="s">
        <v>497</v>
      </c>
      <c r="N264" s="286" t="s">
        <v>2621</v>
      </c>
      <c r="O264" s="291" t="s">
        <v>4539</v>
      </c>
      <c r="P264" s="157"/>
      <c r="Q264" s="157"/>
      <c r="R264" s="157"/>
      <c r="S264" s="157"/>
      <c r="T264" s="157"/>
      <c r="U264" s="157"/>
      <c r="V264" s="157"/>
      <c r="W264" s="157"/>
      <c r="X264" s="157"/>
      <c r="Y264" s="157"/>
      <c r="Z264" s="157"/>
    </row>
    <row r="265" ht="33.75" customHeight="1">
      <c r="A265" s="343" t="str">
        <f>HYPERLINK("https://drive.google.com/open?id=1EggiAKSQ_XwGUSPJkmqoFayeaSNev_ud","33858")</f>
        <v>33858</v>
      </c>
      <c r="B265" s="292" t="s">
        <v>715</v>
      </c>
      <c r="C265" s="286">
        <v>2140.0</v>
      </c>
      <c r="D265" s="286" t="s">
        <v>4540</v>
      </c>
      <c r="E265" s="326" t="s">
        <v>4541</v>
      </c>
      <c r="F265" s="305">
        <v>43874.0</v>
      </c>
      <c r="G265" s="288">
        <v>43872.0</v>
      </c>
      <c r="H265" s="288" t="s">
        <v>1747</v>
      </c>
      <c r="I265" s="288">
        <v>43879.0</v>
      </c>
      <c r="J265" s="285" t="s">
        <v>2535</v>
      </c>
      <c r="K265" s="285" t="s">
        <v>2535</v>
      </c>
      <c r="L265" s="290" t="s">
        <v>4542</v>
      </c>
      <c r="M265" s="285" t="s">
        <v>497</v>
      </c>
      <c r="N265" s="286" t="s">
        <v>2604</v>
      </c>
      <c r="O265" s="291">
        <v>38312.8</v>
      </c>
      <c r="P265" s="157"/>
      <c r="Q265" s="157"/>
      <c r="R265" s="157"/>
      <c r="S265" s="157"/>
      <c r="T265" s="157"/>
      <c r="U265" s="157"/>
      <c r="V265" s="157"/>
      <c r="W265" s="157"/>
      <c r="X265" s="157"/>
      <c r="Y265" s="157"/>
      <c r="Z265" s="157"/>
    </row>
    <row r="266" ht="33.75" customHeight="1">
      <c r="A266" s="343" t="str">
        <f>HYPERLINK("https://drive.google.com/open?id=1g5T1Z5F6X24GaOXQHkkunS6oCVYLfKpT","34056")</f>
        <v>34056</v>
      </c>
      <c r="B266" s="292" t="s">
        <v>715</v>
      </c>
      <c r="C266" s="286">
        <v>1100.0</v>
      </c>
      <c r="D266" s="285" t="s">
        <v>4543</v>
      </c>
      <c r="E266" s="287" t="s">
        <v>4544</v>
      </c>
      <c r="F266" s="305">
        <v>43874.0</v>
      </c>
      <c r="G266" s="305">
        <v>43879.0</v>
      </c>
      <c r="H266" s="305" t="s">
        <v>1747</v>
      </c>
      <c r="I266" s="305">
        <v>43880.0</v>
      </c>
      <c r="J266" s="285" t="s">
        <v>2535</v>
      </c>
      <c r="K266" s="285" t="s">
        <v>2535</v>
      </c>
      <c r="L266" s="290" t="s">
        <v>4545</v>
      </c>
      <c r="M266" s="285"/>
      <c r="N266" s="286"/>
      <c r="O266" s="291"/>
      <c r="P266" s="157"/>
      <c r="Q266" s="157"/>
      <c r="R266" s="157"/>
      <c r="S266" s="157"/>
      <c r="T266" s="157"/>
      <c r="U266" s="157"/>
      <c r="V266" s="157"/>
      <c r="W266" s="157"/>
      <c r="X266" s="157"/>
      <c r="Y266" s="157"/>
      <c r="Z266" s="157"/>
    </row>
    <row r="267" ht="33.75" customHeight="1">
      <c r="A267" s="343" t="str">
        <f>HYPERLINK("https://drive.google.com/open?id=1zmr7m9QUXL-F_JElVyuQMQ_9RtA6V1Q_","34065")</f>
        <v>34065</v>
      </c>
      <c r="B267" s="292" t="s">
        <v>715</v>
      </c>
      <c r="C267" s="286">
        <v>561.0</v>
      </c>
      <c r="D267" s="285" t="s">
        <v>4546</v>
      </c>
      <c r="E267" s="287" t="s">
        <v>4547</v>
      </c>
      <c r="F267" s="305">
        <v>43874.0</v>
      </c>
      <c r="G267" s="288">
        <v>43879.0</v>
      </c>
      <c r="H267" s="288" t="s">
        <v>1747</v>
      </c>
      <c r="I267" s="288">
        <v>43881.0</v>
      </c>
      <c r="J267" s="285" t="s">
        <v>2535</v>
      </c>
      <c r="K267" s="285" t="s">
        <v>2535</v>
      </c>
      <c r="L267" s="290" t="s">
        <v>4548</v>
      </c>
      <c r="M267" s="285"/>
      <c r="N267" s="286"/>
      <c r="O267" s="291"/>
      <c r="P267" s="157"/>
      <c r="Q267" s="157"/>
      <c r="R267" s="157"/>
      <c r="S267" s="157"/>
      <c r="T267" s="157"/>
      <c r="U267" s="157"/>
      <c r="V267" s="157"/>
      <c r="W267" s="157"/>
      <c r="X267" s="157"/>
      <c r="Y267" s="157"/>
      <c r="Z267" s="157"/>
    </row>
    <row r="268" ht="33.75" customHeight="1">
      <c r="A268" s="343" t="str">
        <f>HYPERLINK("https://drive.google.com/open?id=0B6Vr5nVC58V5OWsycDVzQUpBa1pDdjJ5d3gyWi10MENVOWg0","34064")</f>
        <v>34064</v>
      </c>
      <c r="B268" s="292" t="s">
        <v>21</v>
      </c>
      <c r="C268" s="286">
        <v>894.0</v>
      </c>
      <c r="D268" s="285" t="s">
        <v>4549</v>
      </c>
      <c r="E268" s="287" t="s">
        <v>4550</v>
      </c>
      <c r="F268" s="305">
        <v>43870.0</v>
      </c>
      <c r="G268" s="288">
        <v>43871.0</v>
      </c>
      <c r="H268" s="288" t="s">
        <v>1747</v>
      </c>
      <c r="I268" s="288">
        <v>43873.0</v>
      </c>
      <c r="J268" s="285" t="s">
        <v>2153</v>
      </c>
      <c r="K268" s="285" t="s">
        <v>2526</v>
      </c>
      <c r="L268" s="290" t="s">
        <v>4551</v>
      </c>
      <c r="M268" s="285"/>
      <c r="N268" s="286"/>
      <c r="O268" s="291"/>
      <c r="P268" s="157"/>
      <c r="Q268" s="157"/>
      <c r="R268" s="157"/>
      <c r="S268" s="157"/>
      <c r="T268" s="157"/>
      <c r="U268" s="157"/>
      <c r="V268" s="157"/>
      <c r="W268" s="157"/>
      <c r="X268" s="157"/>
      <c r="Y268" s="157"/>
      <c r="Z268" s="157"/>
    </row>
    <row r="269" ht="33.75" customHeight="1">
      <c r="A269" s="343" t="str">
        <f>HYPERLINK("https://drive.google.com/open?id=0B6Vr5nVC58V5VVZuVms0N2p5ZnhzZkhzb0lpdkp3NHN2SjVj","33980")</f>
        <v>33980</v>
      </c>
      <c r="B269" s="292" t="s">
        <v>25</v>
      </c>
      <c r="C269" s="286" t="s">
        <v>4552</v>
      </c>
      <c r="D269" s="285" t="s">
        <v>4553</v>
      </c>
      <c r="E269" s="287" t="s">
        <v>3966</v>
      </c>
      <c r="F269" s="288">
        <v>43866.0</v>
      </c>
      <c r="G269" s="305" t="s">
        <v>4554</v>
      </c>
      <c r="H269" s="305" t="s">
        <v>1747</v>
      </c>
      <c r="I269" s="305">
        <v>43874.0</v>
      </c>
      <c r="J269" s="285" t="s">
        <v>2535</v>
      </c>
      <c r="K269" s="294" t="s">
        <v>2535</v>
      </c>
      <c r="L269" s="341" t="s">
        <v>4555</v>
      </c>
      <c r="M269" s="285" t="s">
        <v>497</v>
      </c>
      <c r="N269" s="286" t="s">
        <v>2538</v>
      </c>
      <c r="O269" s="291">
        <v>4320.0</v>
      </c>
      <c r="P269" s="157"/>
      <c r="Q269" s="157"/>
      <c r="R269" s="157"/>
      <c r="S269" s="157"/>
      <c r="T269" s="157"/>
      <c r="U269" s="157"/>
      <c r="V269" s="157"/>
      <c r="W269" s="157"/>
      <c r="X269" s="157"/>
      <c r="Y269" s="157"/>
      <c r="Z269" s="157"/>
    </row>
    <row r="270" ht="33.75" customHeight="1">
      <c r="A270" s="343" t="str">
        <f>HYPERLINK("https://drive.google.com/open?id=0B6Vr5nVC58V5Z2lkN2g5czJjUTUyVDRMdDR1WjY3Qy1RV3dV","34037")</f>
        <v>34037</v>
      </c>
      <c r="B270" s="292" t="s">
        <v>715</v>
      </c>
      <c r="C270" s="286">
        <v>930.0</v>
      </c>
      <c r="D270" s="285" t="s">
        <v>4556</v>
      </c>
      <c r="E270" s="287" t="s">
        <v>4557</v>
      </c>
      <c r="F270" s="305">
        <v>43866.0</v>
      </c>
      <c r="G270" s="288">
        <v>43875.0</v>
      </c>
      <c r="H270" s="305" t="s">
        <v>1747</v>
      </c>
      <c r="I270" s="305">
        <v>43873.0</v>
      </c>
      <c r="J270" s="285" t="s">
        <v>2535</v>
      </c>
      <c r="K270" s="285" t="s">
        <v>2535</v>
      </c>
      <c r="L270" s="290" t="s">
        <v>4558</v>
      </c>
      <c r="M270" s="285"/>
      <c r="N270" s="286"/>
      <c r="O270" s="291"/>
      <c r="P270" s="157"/>
      <c r="Q270" s="157"/>
      <c r="R270" s="157"/>
      <c r="S270" s="157"/>
      <c r="T270" s="157"/>
      <c r="U270" s="157"/>
      <c r="V270" s="157"/>
      <c r="W270" s="157"/>
      <c r="X270" s="157"/>
      <c r="Y270" s="157"/>
      <c r="Z270" s="157"/>
    </row>
    <row r="271" ht="33.75" customHeight="1">
      <c r="A271" s="343" t="str">
        <f>HYPERLINK("https://drive.google.com/open?id=0B6Vr5nVC58V5NktKRWFzYjAtU1paLW11LWVfM0FDcTU4N0lj","34038")</f>
        <v>34038</v>
      </c>
      <c r="B271" s="292" t="s">
        <v>715</v>
      </c>
      <c r="C271" s="286">
        <v>882.0</v>
      </c>
      <c r="D271" s="285" t="s">
        <v>4559</v>
      </c>
      <c r="E271" s="287" t="s">
        <v>4560</v>
      </c>
      <c r="F271" s="305">
        <v>43866.0</v>
      </c>
      <c r="G271" s="288">
        <v>43873.0</v>
      </c>
      <c r="H271" s="305" t="s">
        <v>1747</v>
      </c>
      <c r="I271" s="305">
        <v>43871.0</v>
      </c>
      <c r="J271" s="285" t="s">
        <v>2535</v>
      </c>
      <c r="K271" s="285" t="s">
        <v>2535</v>
      </c>
      <c r="L271" s="290" t="s">
        <v>4561</v>
      </c>
      <c r="M271" s="285"/>
      <c r="N271" s="286"/>
      <c r="O271" s="291"/>
      <c r="P271" s="157"/>
      <c r="Q271" s="157"/>
      <c r="R271" s="157"/>
      <c r="S271" s="157"/>
      <c r="T271" s="157"/>
      <c r="U271" s="157"/>
      <c r="V271" s="157"/>
      <c r="W271" s="157"/>
      <c r="X271" s="157"/>
      <c r="Y271" s="157"/>
      <c r="Z271" s="157"/>
    </row>
    <row r="272" ht="33.75" customHeight="1">
      <c r="A272" s="343" t="str">
        <f>HYPERLINK("https://drive.google.com/open?id=0B6Vr5nVC58V5aWk2S0JSRlA5ZV93dHg1eXc0eFdYUEZ6R0h3","33462")</f>
        <v>33462</v>
      </c>
      <c r="B272" s="292" t="s">
        <v>21</v>
      </c>
      <c r="C272" s="286">
        <v>1620.0</v>
      </c>
      <c r="D272" s="285" t="s">
        <v>4562</v>
      </c>
      <c r="E272" s="287" t="s">
        <v>4563</v>
      </c>
      <c r="F272" s="305">
        <v>43866.0</v>
      </c>
      <c r="G272" s="288">
        <v>43865.0</v>
      </c>
      <c r="H272" s="305" t="s">
        <v>1747</v>
      </c>
      <c r="I272" s="305">
        <v>43867.0</v>
      </c>
      <c r="J272" s="285" t="s">
        <v>2153</v>
      </c>
      <c r="K272" s="285" t="s">
        <v>2526</v>
      </c>
      <c r="L272" s="290" t="s">
        <v>4564</v>
      </c>
      <c r="M272" s="285" t="s">
        <v>497</v>
      </c>
      <c r="N272" s="286" t="s">
        <v>2604</v>
      </c>
      <c r="O272" s="291">
        <v>22687.58</v>
      </c>
      <c r="P272" s="157"/>
      <c r="Q272" s="157"/>
      <c r="R272" s="157"/>
      <c r="S272" s="157"/>
      <c r="T272" s="157"/>
      <c r="U272" s="157"/>
      <c r="V272" s="157"/>
      <c r="W272" s="157"/>
      <c r="X272" s="157"/>
      <c r="Y272" s="157"/>
      <c r="Z272" s="157"/>
    </row>
    <row r="273" ht="33.75" customHeight="1">
      <c r="A273" s="343" t="str">
        <f>HYPERLINK("https://drive.google.com/open?id=0B6Vr5nVC58V5ZzVtV3JFTmJDY1RubDhib2pRRkxxOExqeUdB","33840")</f>
        <v>33840</v>
      </c>
      <c r="B273" s="292" t="s">
        <v>21</v>
      </c>
      <c r="C273" s="286">
        <v>1288.0</v>
      </c>
      <c r="D273" s="285" t="s">
        <v>4565</v>
      </c>
      <c r="E273" s="287" t="s">
        <v>2543</v>
      </c>
      <c r="F273" s="305">
        <v>43866.0</v>
      </c>
      <c r="G273" s="288">
        <v>43860.0</v>
      </c>
      <c r="H273" s="305" t="s">
        <v>1747</v>
      </c>
      <c r="I273" s="305">
        <v>43871.0</v>
      </c>
      <c r="J273" s="285" t="s">
        <v>2535</v>
      </c>
      <c r="K273" s="294" t="s">
        <v>2535</v>
      </c>
      <c r="L273" s="290" t="s">
        <v>4566</v>
      </c>
      <c r="M273" s="285" t="s">
        <v>2545</v>
      </c>
      <c r="N273" s="286" t="s">
        <v>2546</v>
      </c>
      <c r="O273" s="291">
        <v>38625.17</v>
      </c>
      <c r="P273" s="157"/>
      <c r="Q273" s="157"/>
      <c r="R273" s="157"/>
      <c r="S273" s="157"/>
      <c r="T273" s="157"/>
      <c r="U273" s="157"/>
      <c r="V273" s="157"/>
      <c r="W273" s="157"/>
      <c r="X273" s="157"/>
      <c r="Y273" s="157"/>
      <c r="Z273" s="157"/>
    </row>
    <row r="274" ht="33.75" customHeight="1">
      <c r="A274" s="343" t="str">
        <f>HYPERLINK("https://drive.google.com/open?id=0B6Vr5nVC58V5YW1FOU9MRk51RlBNaG02bm9LelhLbE1MWHcw","34036")</f>
        <v>34036</v>
      </c>
      <c r="B274" s="292" t="s">
        <v>25</v>
      </c>
      <c r="C274" s="286">
        <v>1074.0</v>
      </c>
      <c r="D274" s="285" t="s">
        <v>4567</v>
      </c>
      <c r="E274" s="287" t="s">
        <v>4568</v>
      </c>
      <c r="F274" s="305">
        <v>43860.0</v>
      </c>
      <c r="G274" s="288">
        <v>43857.0</v>
      </c>
      <c r="H274" s="288" t="s">
        <v>1747</v>
      </c>
      <c r="I274" s="288">
        <v>43865.0</v>
      </c>
      <c r="J274" s="285" t="s">
        <v>2535</v>
      </c>
      <c r="K274" s="294" t="s">
        <v>2535</v>
      </c>
      <c r="L274" s="290" t="s">
        <v>4569</v>
      </c>
      <c r="M274" s="285"/>
      <c r="N274" s="286"/>
      <c r="O274" s="291"/>
      <c r="P274" s="157"/>
      <c r="Q274" s="157"/>
      <c r="R274" s="157"/>
      <c r="S274" s="157"/>
      <c r="T274" s="157"/>
      <c r="U274" s="157"/>
      <c r="V274" s="157"/>
      <c r="W274" s="157"/>
      <c r="X274" s="157"/>
      <c r="Y274" s="157"/>
      <c r="Z274" s="157"/>
    </row>
    <row r="275" ht="33.75" customHeight="1">
      <c r="A275" s="343" t="str">
        <f>HYPERLINK("https://drive.google.com/open?id=0B6Vr5nVC58V5UTJVQVZMdG1EOXBlRmtkOU53cXRJU1psUjE4","33477")</f>
        <v>33477</v>
      </c>
      <c r="B275" s="292" t="s">
        <v>715</v>
      </c>
      <c r="C275" s="286">
        <v>1620.0</v>
      </c>
      <c r="D275" s="285" t="s">
        <v>4570</v>
      </c>
      <c r="E275" s="287" t="s">
        <v>4563</v>
      </c>
      <c r="F275" s="305">
        <v>43857.0</v>
      </c>
      <c r="G275" s="288">
        <v>43853.0</v>
      </c>
      <c r="H275" s="330" t="s">
        <v>1747</v>
      </c>
      <c r="I275" s="305">
        <v>43861.0</v>
      </c>
      <c r="J275" s="285" t="s">
        <v>2535</v>
      </c>
      <c r="K275" s="294" t="s">
        <v>2535</v>
      </c>
      <c r="L275" s="290" t="s">
        <v>4571</v>
      </c>
      <c r="M275" s="285" t="s">
        <v>497</v>
      </c>
      <c r="N275" s="286" t="s">
        <v>2604</v>
      </c>
      <c r="O275" s="291">
        <v>22687.58</v>
      </c>
      <c r="P275" s="157"/>
      <c r="Q275" s="157"/>
      <c r="R275" s="157"/>
      <c r="S275" s="157"/>
      <c r="T275" s="157"/>
      <c r="U275" s="157"/>
      <c r="V275" s="157"/>
      <c r="W275" s="157"/>
      <c r="X275" s="157"/>
      <c r="Y275" s="157"/>
      <c r="Z275" s="157"/>
    </row>
    <row r="276" ht="33.75" customHeight="1">
      <c r="A276" s="343" t="str">
        <f>HYPERLINK("https://drive.google.com/open?id=0B6Vr5nVC58V5NllVRzJaVW5wX19ERktZV1ZPTFhQMGRRSFB3","34017")</f>
        <v>34017</v>
      </c>
      <c r="B276" s="292" t="s">
        <v>21</v>
      </c>
      <c r="C276" s="286">
        <v>231.0</v>
      </c>
      <c r="D276" s="351" t="s">
        <v>4572</v>
      </c>
      <c r="E276" s="287" t="s">
        <v>4573</v>
      </c>
      <c r="F276" s="305">
        <v>43857.0</v>
      </c>
      <c r="G276" s="288">
        <v>43853.0</v>
      </c>
      <c r="H276" s="288" t="s">
        <v>1747</v>
      </c>
      <c r="I276" s="288">
        <v>43860.0</v>
      </c>
      <c r="J276" s="285" t="s">
        <v>2153</v>
      </c>
      <c r="K276" s="294" t="s">
        <v>2526</v>
      </c>
      <c r="L276" s="290" t="s">
        <v>4574</v>
      </c>
      <c r="M276" s="285"/>
      <c r="N276" s="286"/>
      <c r="O276" s="291"/>
      <c r="P276" s="157"/>
      <c r="Q276" s="157"/>
      <c r="R276" s="157"/>
      <c r="S276" s="157"/>
      <c r="T276" s="157"/>
      <c r="U276" s="157"/>
      <c r="V276" s="157"/>
      <c r="W276" s="157"/>
      <c r="X276" s="157"/>
      <c r="Y276" s="157"/>
      <c r="Z276" s="157"/>
    </row>
    <row r="277" ht="33.75" customHeight="1">
      <c r="A277" s="343" t="str">
        <f>HYPERLINK("https://drive.google.com/open?id=0B6Vr5nVC58V5bi1EQXgwWTgzVUJhRDYyVkxBUTZKOEsxV0s4","33969")</f>
        <v>33969</v>
      </c>
      <c r="B277" s="292" t="s">
        <v>715</v>
      </c>
      <c r="C277" s="299">
        <v>930.0</v>
      </c>
      <c r="D277" s="285" t="s">
        <v>4575</v>
      </c>
      <c r="E277" s="287" t="s">
        <v>2849</v>
      </c>
      <c r="F277" s="305">
        <v>43851.0</v>
      </c>
      <c r="G277" s="305">
        <v>43851.0</v>
      </c>
      <c r="H277" s="305" t="s">
        <v>1747</v>
      </c>
      <c r="I277" s="305">
        <v>43853.0</v>
      </c>
      <c r="J277" s="285" t="s">
        <v>2535</v>
      </c>
      <c r="K277" s="285" t="s">
        <v>2535</v>
      </c>
      <c r="L277" s="290" t="s">
        <v>4576</v>
      </c>
      <c r="M277" s="285"/>
      <c r="N277" s="286"/>
      <c r="O277" s="291"/>
      <c r="P277" s="157"/>
      <c r="Q277" s="157"/>
      <c r="R277" s="157"/>
      <c r="S277" s="157"/>
      <c r="T277" s="157"/>
      <c r="U277" s="157"/>
      <c r="V277" s="157"/>
      <c r="W277" s="157"/>
      <c r="X277" s="157"/>
      <c r="Y277" s="157"/>
      <c r="Z277" s="157"/>
    </row>
    <row r="278" ht="33.75" customHeight="1">
      <c r="A278" s="343" t="str">
        <f>HYPERLINK("https://drive.google.com/open?id=0B6Vr5nVC58V5UlRZbl9FQzUwNEU3YlFGMzJCTGVSU3F5VkxV","33980")</f>
        <v>33980</v>
      </c>
      <c r="B278" s="292" t="s">
        <v>25</v>
      </c>
      <c r="C278" s="286" t="s">
        <v>4552</v>
      </c>
      <c r="D278" s="285" t="s">
        <v>4577</v>
      </c>
      <c r="E278" s="326" t="s">
        <v>3966</v>
      </c>
      <c r="F278" s="288">
        <v>43850.0</v>
      </c>
      <c r="G278" s="305" t="s">
        <v>28</v>
      </c>
      <c r="H278" s="305" t="s">
        <v>28</v>
      </c>
      <c r="I278" s="305">
        <v>43850.0</v>
      </c>
      <c r="J278" s="285" t="s">
        <v>2535</v>
      </c>
      <c r="K278" s="294" t="s">
        <v>2535</v>
      </c>
      <c r="L278" s="290" t="s">
        <v>4578</v>
      </c>
      <c r="M278" s="285" t="s">
        <v>497</v>
      </c>
      <c r="N278" s="286" t="s">
        <v>2538</v>
      </c>
      <c r="O278" s="291">
        <v>4320.0</v>
      </c>
      <c r="P278" s="157"/>
      <c r="Q278" s="157"/>
      <c r="R278" s="157"/>
      <c r="S278" s="157"/>
      <c r="T278" s="157"/>
      <c r="U278" s="157"/>
      <c r="V278" s="157"/>
      <c r="W278" s="157"/>
      <c r="X278" s="157"/>
      <c r="Y278" s="157"/>
      <c r="Z278" s="157"/>
    </row>
    <row r="279" ht="33.75" customHeight="1">
      <c r="A279" s="343" t="str">
        <f>HYPERLINK("https://drive.google.com/open?id=0B6Vr5nVC58V5bm4zaHdBd0p4bWRWTE9VcVF2RXZvOXVrZFVN","33967")</f>
        <v>33967</v>
      </c>
      <c r="B279" s="292" t="s">
        <v>21</v>
      </c>
      <c r="C279" s="286">
        <v>1100.0</v>
      </c>
      <c r="D279" s="285" t="s">
        <v>4579</v>
      </c>
      <c r="E279" s="287" t="s">
        <v>4544</v>
      </c>
      <c r="F279" s="305">
        <v>43850.0</v>
      </c>
      <c r="G279" s="288">
        <v>43846.0</v>
      </c>
      <c r="H279" s="288" t="s">
        <v>1747</v>
      </c>
      <c r="I279" s="288">
        <v>43853.0</v>
      </c>
      <c r="J279" s="285" t="s">
        <v>2153</v>
      </c>
      <c r="K279" s="294" t="s">
        <v>2526</v>
      </c>
      <c r="L279" s="290" t="s">
        <v>4580</v>
      </c>
      <c r="M279" s="285"/>
      <c r="N279" s="286"/>
      <c r="O279" s="291"/>
      <c r="P279" s="157"/>
      <c r="Q279" s="157"/>
      <c r="R279" s="157"/>
      <c r="S279" s="157"/>
      <c r="T279" s="157"/>
      <c r="U279" s="157"/>
      <c r="V279" s="157"/>
      <c r="W279" s="157"/>
      <c r="X279" s="157"/>
      <c r="Y279" s="157"/>
      <c r="Z279" s="157"/>
    </row>
    <row r="280" ht="33.75" customHeight="1">
      <c r="A280" s="343" t="str">
        <f>HYPERLINK("https://drive.google.com/open?id=0B6Vr5nVC58V5S2lScEpJam5WSHh1WlJOTkNwUi10Q3c2cTVj","33968")</f>
        <v>33968</v>
      </c>
      <c r="B280" s="292" t="s">
        <v>21</v>
      </c>
      <c r="C280" s="286">
        <v>1139.0</v>
      </c>
      <c r="D280" s="285" t="s">
        <v>4581</v>
      </c>
      <c r="E280" s="287" t="s">
        <v>4568</v>
      </c>
      <c r="F280" s="305">
        <v>43850.0</v>
      </c>
      <c r="G280" s="288">
        <v>43846.0</v>
      </c>
      <c r="H280" s="305" t="s">
        <v>1747</v>
      </c>
      <c r="I280" s="305">
        <v>43858.0</v>
      </c>
      <c r="J280" s="285" t="s">
        <v>2153</v>
      </c>
      <c r="K280" s="294" t="s">
        <v>2526</v>
      </c>
      <c r="L280" s="290" t="s">
        <v>4582</v>
      </c>
      <c r="M280" s="285"/>
      <c r="N280" s="286"/>
      <c r="O280" s="291"/>
      <c r="P280" s="157"/>
      <c r="Q280" s="157"/>
      <c r="R280" s="157"/>
      <c r="S280" s="157"/>
      <c r="T280" s="157"/>
      <c r="U280" s="157"/>
      <c r="V280" s="157"/>
      <c r="W280" s="157"/>
      <c r="X280" s="157"/>
      <c r="Y280" s="157"/>
      <c r="Z280" s="157"/>
    </row>
    <row r="281" ht="33.75" customHeight="1">
      <c r="A281" s="345" t="str">
        <f>HYPERLINK("https://drive.google.com/open?id=0B6Vr5nVC58V5WkJZUEVjWmpMSzNObXlJdnZ5V2NOcmxqeEIw","33795")</f>
        <v>33795</v>
      </c>
      <c r="B281" s="292" t="s">
        <v>21</v>
      </c>
      <c r="C281" s="299">
        <v>3000.0</v>
      </c>
      <c r="D281" s="285" t="s">
        <v>4583</v>
      </c>
      <c r="E281" s="287" t="s">
        <v>4584</v>
      </c>
      <c r="F281" s="305">
        <v>43849.0</v>
      </c>
      <c r="G281" s="305">
        <v>43845.0</v>
      </c>
      <c r="H281" s="288" t="s">
        <v>1747</v>
      </c>
      <c r="I281" s="288">
        <v>43851.0</v>
      </c>
      <c r="J281" s="285" t="s">
        <v>2153</v>
      </c>
      <c r="K281" s="285" t="s">
        <v>2526</v>
      </c>
      <c r="L281" s="290" t="s">
        <v>4585</v>
      </c>
      <c r="M281" s="285" t="s">
        <v>497</v>
      </c>
      <c r="N281" s="286" t="s">
        <v>2554</v>
      </c>
      <c r="O281" s="291">
        <v>20610.0</v>
      </c>
      <c r="P281" s="157"/>
      <c r="Q281" s="157"/>
      <c r="R281" s="157"/>
      <c r="S281" s="157"/>
      <c r="T281" s="157"/>
      <c r="U281" s="157"/>
      <c r="V281" s="157"/>
      <c r="W281" s="157"/>
      <c r="X281" s="157"/>
      <c r="Y281" s="157"/>
      <c r="Z281" s="157"/>
    </row>
    <row r="282" ht="33.75" customHeight="1">
      <c r="A282" s="343" t="str">
        <f>HYPERLINK("https://drive.google.com/open?id=0B6Vr5nVC58V5bXctcE9wM2lQSWZiR2x1b3VqRFNFajgxTTZR","33966")</f>
        <v>33966</v>
      </c>
      <c r="B282" s="292" t="s">
        <v>715</v>
      </c>
      <c r="C282" s="299">
        <v>930.0</v>
      </c>
      <c r="D282" s="285" t="s">
        <v>4586</v>
      </c>
      <c r="E282" s="287" t="s">
        <v>4587</v>
      </c>
      <c r="F282" s="305">
        <v>43845.0</v>
      </c>
      <c r="G282" s="305">
        <v>43843.0</v>
      </c>
      <c r="H282" s="305" t="s">
        <v>1747</v>
      </c>
      <c r="I282" s="288">
        <v>43850.0</v>
      </c>
      <c r="J282" s="285" t="s">
        <v>2535</v>
      </c>
      <c r="K282" s="294" t="s">
        <v>2535</v>
      </c>
      <c r="L282" s="290" t="s">
        <v>4588</v>
      </c>
      <c r="M282" s="285"/>
      <c r="N282" s="286"/>
      <c r="O282" s="291"/>
      <c r="P282" s="157"/>
      <c r="Q282" s="157"/>
      <c r="R282" s="157"/>
      <c r="S282" s="157"/>
      <c r="T282" s="157"/>
      <c r="U282" s="157"/>
      <c r="V282" s="157"/>
      <c r="W282" s="157"/>
      <c r="X282" s="157"/>
      <c r="Y282" s="157"/>
      <c r="Z282" s="157"/>
    </row>
    <row r="283" ht="33.75" customHeight="1">
      <c r="A283" s="345" t="str">
        <f>HYPERLINK("https://drive.google.com/open?id=0B6Vr5nVC58V5QmNfbkJvUjhkOTc2a2R3aFRBMUFmeW1EcUZJ","33684")</f>
        <v>33684</v>
      </c>
      <c r="B283" s="292" t="s">
        <v>715</v>
      </c>
      <c r="C283" s="299">
        <v>1289.0</v>
      </c>
      <c r="D283" s="285" t="s">
        <v>4589</v>
      </c>
      <c r="E283" s="287" t="s">
        <v>4590</v>
      </c>
      <c r="F283" s="305">
        <v>43843.0</v>
      </c>
      <c r="G283" s="305">
        <v>43847.0</v>
      </c>
      <c r="H283" s="305" t="s">
        <v>1747</v>
      </c>
      <c r="I283" s="305">
        <v>43859.0</v>
      </c>
      <c r="J283" s="285" t="s">
        <v>2535</v>
      </c>
      <c r="K283" s="294" t="s">
        <v>2535</v>
      </c>
      <c r="L283" s="290" t="s">
        <v>4591</v>
      </c>
      <c r="M283" s="285" t="s">
        <v>497</v>
      </c>
      <c r="N283" s="286" t="s">
        <v>2554</v>
      </c>
      <c r="O283" s="291">
        <v>46703.36</v>
      </c>
      <c r="P283" s="157"/>
      <c r="Q283" s="157"/>
      <c r="R283" s="157"/>
      <c r="S283" s="157"/>
      <c r="T283" s="157"/>
      <c r="U283" s="157"/>
      <c r="V283" s="157"/>
      <c r="W283" s="157"/>
      <c r="X283" s="157"/>
      <c r="Y283" s="157"/>
      <c r="Z283" s="157"/>
    </row>
    <row r="284" ht="33.75" customHeight="1">
      <c r="A284" s="343" t="str">
        <f>HYPERLINK("https://drive.google.com/open?id=0B6Vr5nVC58V5Z1V6MUlQbEx5azBJeXZ0cUU3MWRETG5tOXJB","33693")</f>
        <v>33693</v>
      </c>
      <c r="B284" s="292" t="s">
        <v>715</v>
      </c>
      <c r="C284" s="286">
        <v>1160.0</v>
      </c>
      <c r="D284" s="285" t="s">
        <v>4592</v>
      </c>
      <c r="E284" s="287" t="s">
        <v>2606</v>
      </c>
      <c r="F284" s="305">
        <v>43843.0</v>
      </c>
      <c r="G284" s="288">
        <v>43851.0</v>
      </c>
      <c r="H284" s="305" t="s">
        <v>1747</v>
      </c>
      <c r="I284" s="305">
        <v>43858.0</v>
      </c>
      <c r="J284" s="285" t="s">
        <v>2535</v>
      </c>
      <c r="K284" s="294" t="s">
        <v>2535</v>
      </c>
      <c r="L284" s="290" t="s">
        <v>4593</v>
      </c>
      <c r="M284" s="285" t="s">
        <v>497</v>
      </c>
      <c r="N284" s="286" t="s">
        <v>2554</v>
      </c>
      <c r="O284" s="291">
        <v>31865.2</v>
      </c>
      <c r="P284" s="157"/>
      <c r="Q284" s="157"/>
      <c r="R284" s="157"/>
      <c r="S284" s="157"/>
      <c r="T284" s="157"/>
      <c r="U284" s="157"/>
      <c r="V284" s="157"/>
      <c r="W284" s="157"/>
      <c r="X284" s="157"/>
      <c r="Y284" s="157"/>
      <c r="Z284" s="157"/>
    </row>
    <row r="285" ht="33.75" customHeight="1">
      <c r="A285" s="345" t="str">
        <f>HYPERLINK("https://drive.google.com/open?id=0B6Vr5nVC58V5LVhxVG9RV0dtX2lPSVZWNzJZRGJQOWYweFl3","33390")</f>
        <v>33390</v>
      </c>
      <c r="B285" s="292" t="s">
        <v>21</v>
      </c>
      <c r="C285" s="286">
        <v>508.0</v>
      </c>
      <c r="D285" s="285" t="s">
        <v>4594</v>
      </c>
      <c r="E285" s="287" t="s">
        <v>4490</v>
      </c>
      <c r="F285" s="305">
        <v>43842.0</v>
      </c>
      <c r="G285" s="288">
        <v>43838.0</v>
      </c>
      <c r="H285" s="288" t="s">
        <v>1032</v>
      </c>
      <c r="I285" s="288">
        <v>43843.0</v>
      </c>
      <c r="J285" s="285" t="s">
        <v>2153</v>
      </c>
      <c r="K285" s="285" t="s">
        <v>2526</v>
      </c>
      <c r="L285" s="304" t="s">
        <v>4595</v>
      </c>
      <c r="M285" s="285" t="s">
        <v>497</v>
      </c>
      <c r="N285" s="286" t="s">
        <v>2604</v>
      </c>
      <c r="O285" s="291">
        <v>31310.0</v>
      </c>
      <c r="P285" s="157"/>
      <c r="Q285" s="157"/>
      <c r="R285" s="157"/>
      <c r="S285" s="157"/>
      <c r="T285" s="157"/>
      <c r="U285" s="157"/>
      <c r="V285" s="157"/>
      <c r="W285" s="157"/>
      <c r="X285" s="157"/>
      <c r="Y285" s="157"/>
      <c r="Z285" s="157"/>
    </row>
    <row r="286" ht="33.75" customHeight="1">
      <c r="A286" s="345" t="str">
        <f>HYPERLINK("https://drive.google.com/open?id=0B6Vr5nVC58V5a3ZhUkFOcW5selh6THlTOGtKWnV4S2VmNTA4","33589")</f>
        <v>33589</v>
      </c>
      <c r="B286" s="292" t="s">
        <v>21</v>
      </c>
      <c r="C286" s="286">
        <v>900.0</v>
      </c>
      <c r="D286" s="285" t="s">
        <v>4596</v>
      </c>
      <c r="E286" s="287" t="s">
        <v>2876</v>
      </c>
      <c r="F286" s="305">
        <v>43842.0</v>
      </c>
      <c r="G286" s="305">
        <v>43838.0</v>
      </c>
      <c r="H286" s="305" t="s">
        <v>1032</v>
      </c>
      <c r="I286" s="305">
        <v>43845.0</v>
      </c>
      <c r="J286" s="285" t="s">
        <v>2535</v>
      </c>
      <c r="K286" s="294" t="s">
        <v>2535</v>
      </c>
      <c r="L286" s="290" t="s">
        <v>4597</v>
      </c>
      <c r="M286" s="285"/>
      <c r="N286" s="286"/>
      <c r="O286" s="291"/>
      <c r="P286" s="157"/>
      <c r="Q286" s="157"/>
      <c r="R286" s="157"/>
      <c r="S286" s="157"/>
      <c r="T286" s="157"/>
      <c r="U286" s="157"/>
      <c r="V286" s="157"/>
      <c r="W286" s="157"/>
      <c r="X286" s="157"/>
      <c r="Y286" s="157"/>
      <c r="Z286" s="157"/>
    </row>
    <row r="287" ht="33.75" customHeight="1">
      <c r="A287" s="343" t="str">
        <f>HYPERLINK("https://drive.google.com/open?id=0B6Vr5nVC58V5bnVKWXJaTDNLYWc5UnAxREpELTE0Ul9fVkJv","33964")</f>
        <v>33964</v>
      </c>
      <c r="B287" s="292" t="s">
        <v>21</v>
      </c>
      <c r="C287" s="286">
        <v>887.0</v>
      </c>
      <c r="D287" s="285" t="s">
        <v>4598</v>
      </c>
      <c r="E287" s="287" t="s">
        <v>4599</v>
      </c>
      <c r="F287" s="305">
        <v>43840.0</v>
      </c>
      <c r="G287" s="288">
        <v>43837.0</v>
      </c>
      <c r="H287" s="305" t="s">
        <v>1032</v>
      </c>
      <c r="I287" s="305">
        <v>43852.0</v>
      </c>
      <c r="J287" s="285" t="s">
        <v>2153</v>
      </c>
      <c r="K287" s="294" t="s">
        <v>2526</v>
      </c>
      <c r="L287" s="290" t="s">
        <v>4600</v>
      </c>
      <c r="M287" s="285"/>
      <c r="N287" s="286"/>
      <c r="O287" s="291"/>
      <c r="P287" s="157"/>
      <c r="Q287" s="157"/>
      <c r="R287" s="157"/>
      <c r="S287" s="157"/>
      <c r="T287" s="157"/>
      <c r="U287" s="157"/>
      <c r="V287" s="157"/>
      <c r="W287" s="157"/>
      <c r="X287" s="157"/>
      <c r="Y287" s="157"/>
      <c r="Z287" s="157"/>
    </row>
    <row r="288" ht="33.75" customHeight="1">
      <c r="A288" s="343" t="str">
        <f>HYPERLINK("https://drive.google.com/open?id=0B6Vr5nVC58V5ZmxxbEdzdG9NRWU0RUNxaHZzYnQ1cFdkMmpr","33921")</f>
        <v>33921</v>
      </c>
      <c r="B288" s="292" t="s">
        <v>715</v>
      </c>
      <c r="C288" s="286">
        <v>527.0</v>
      </c>
      <c r="D288" s="285" t="s">
        <v>4601</v>
      </c>
      <c r="E288" s="287" t="s">
        <v>4602</v>
      </c>
      <c r="F288" s="305">
        <v>43839.0</v>
      </c>
      <c r="G288" s="305">
        <v>43839.0</v>
      </c>
      <c r="H288" s="305" t="s">
        <v>1747</v>
      </c>
      <c r="I288" s="305">
        <v>43844.0</v>
      </c>
      <c r="J288" s="285" t="s">
        <v>2535</v>
      </c>
      <c r="K288" s="294" t="s">
        <v>2535</v>
      </c>
      <c r="L288" s="290" t="s">
        <v>4603</v>
      </c>
      <c r="M288" s="285"/>
      <c r="N288" s="286"/>
      <c r="O288" s="291"/>
      <c r="P288" s="157"/>
      <c r="Q288" s="157"/>
      <c r="R288" s="157"/>
      <c r="S288" s="157"/>
      <c r="T288" s="157"/>
      <c r="U288" s="157"/>
      <c r="V288" s="157"/>
      <c r="W288" s="157"/>
      <c r="X288" s="157"/>
      <c r="Y288" s="157"/>
      <c r="Z288" s="157"/>
    </row>
    <row r="289" ht="33.75" customHeight="1">
      <c r="A289" s="343" t="str">
        <f>HYPERLINK("https://drive.google.com/open?id=0B6Vr5nVC58V5bm9yREp6cjZRa3NuQlhuVTRqOS1rc09OUmJn","33558")</f>
        <v>33558</v>
      </c>
      <c r="B289" s="292" t="s">
        <v>715</v>
      </c>
      <c r="C289" s="299">
        <v>1782.0</v>
      </c>
      <c r="D289" s="285" t="s">
        <v>4604</v>
      </c>
      <c r="E289" s="287" t="s">
        <v>2656</v>
      </c>
      <c r="F289" s="305">
        <v>43837.0</v>
      </c>
      <c r="G289" s="305">
        <v>43836.0</v>
      </c>
      <c r="H289" s="305" t="s">
        <v>1747</v>
      </c>
      <c r="I289" s="288">
        <v>43844.0</v>
      </c>
      <c r="J289" s="285" t="s">
        <v>2535</v>
      </c>
      <c r="K289" s="294" t="s">
        <v>2535</v>
      </c>
      <c r="L289" s="290" t="s">
        <v>4605</v>
      </c>
      <c r="M289" s="285"/>
      <c r="N289" s="286"/>
      <c r="O289" s="291"/>
      <c r="P289" s="157"/>
      <c r="Q289" s="157"/>
      <c r="R289" s="157"/>
      <c r="S289" s="157"/>
      <c r="T289" s="157"/>
      <c r="U289" s="157"/>
      <c r="V289" s="157"/>
      <c r="W289" s="157"/>
      <c r="X289" s="157"/>
      <c r="Y289" s="157"/>
      <c r="Z289" s="157"/>
    </row>
    <row r="290" ht="33.75" customHeight="1">
      <c r="A290" s="345" t="str">
        <f>HYPERLINK("https://drive.google.com/open?id=0B6Vr5nVC58V5XzlSdmphR2Vqa05NOGs3bmw1RFNyODlkclBV","33333")</f>
        <v>33333</v>
      </c>
      <c r="B290" s="292" t="s">
        <v>715</v>
      </c>
      <c r="C290" s="286">
        <v>508.0</v>
      </c>
      <c r="D290" s="285" t="s">
        <v>4606</v>
      </c>
      <c r="E290" s="287" t="s">
        <v>4490</v>
      </c>
      <c r="F290" s="305">
        <v>43836.0</v>
      </c>
      <c r="G290" s="333" t="s">
        <v>4099</v>
      </c>
      <c r="H290" s="288" t="s">
        <v>4099</v>
      </c>
      <c r="I290" s="288">
        <v>43840.0</v>
      </c>
      <c r="J290" s="285" t="s">
        <v>2535</v>
      </c>
      <c r="K290" s="294" t="s">
        <v>2535</v>
      </c>
      <c r="L290" s="290" t="s">
        <v>4607</v>
      </c>
      <c r="M290" s="285" t="s">
        <v>2537</v>
      </c>
      <c r="N290" s="286" t="s">
        <v>2604</v>
      </c>
      <c r="O290" s="291">
        <v>31310.0</v>
      </c>
      <c r="P290" s="157"/>
      <c r="Q290" s="157"/>
      <c r="R290" s="157"/>
      <c r="S290" s="157"/>
      <c r="T290" s="157"/>
      <c r="U290" s="157"/>
      <c r="V290" s="157"/>
      <c r="W290" s="157"/>
      <c r="X290" s="157"/>
      <c r="Y290" s="157"/>
      <c r="Z290" s="157"/>
    </row>
    <row r="291" ht="33.75" customHeight="1">
      <c r="A291" s="343" t="str">
        <f>HYPERLINK("https://drive.google.com/open?id=0B6Vr5nVC58V5ZXc4TDhTc3JLY2o2cWpsbWJydDM5eUg5U1pF","33920")</f>
        <v>33920</v>
      </c>
      <c r="B291" s="292" t="s">
        <v>715</v>
      </c>
      <c r="C291" s="299">
        <v>220.0</v>
      </c>
      <c r="D291" s="285" t="s">
        <v>4608</v>
      </c>
      <c r="E291" s="287" t="s">
        <v>4609</v>
      </c>
      <c r="F291" s="305">
        <v>43836.0</v>
      </c>
      <c r="G291" s="305">
        <v>43838.0</v>
      </c>
      <c r="H291" s="305" t="s">
        <v>1747</v>
      </c>
      <c r="I291" s="305">
        <v>43846.0</v>
      </c>
      <c r="J291" s="285" t="s">
        <v>2535</v>
      </c>
      <c r="K291" s="285" t="s">
        <v>2535</v>
      </c>
      <c r="L291" s="290" t="s">
        <v>4610</v>
      </c>
      <c r="M291" s="285"/>
      <c r="N291" s="286"/>
      <c r="O291" s="291"/>
      <c r="P291" s="157"/>
      <c r="Q291" s="157"/>
      <c r="R291" s="157"/>
      <c r="S291" s="157"/>
      <c r="T291" s="157"/>
      <c r="U291" s="157"/>
      <c r="V291" s="157"/>
      <c r="W291" s="157"/>
      <c r="X291" s="157"/>
      <c r="Y291" s="157"/>
      <c r="Z291" s="157"/>
    </row>
    <row r="292" ht="33.75" customHeight="1">
      <c r="A292" s="343" t="str">
        <f>HYPERLINK("https://drive.google.com/open?id=0B6Vr5nVC58V5M2hkbmF6U0VnR3J5MFJkdktxdzc1bXY0RmpF","33916")</f>
        <v>33916</v>
      </c>
      <c r="B292" s="292" t="s">
        <v>21</v>
      </c>
      <c r="C292" s="286">
        <v>752.0</v>
      </c>
      <c r="D292" s="285" t="s">
        <v>4611</v>
      </c>
      <c r="E292" s="287" t="s">
        <v>4612</v>
      </c>
      <c r="F292" s="305">
        <v>43836.0</v>
      </c>
      <c r="G292" s="305">
        <v>43836.0</v>
      </c>
      <c r="H292" s="305" t="s">
        <v>1747</v>
      </c>
      <c r="I292" s="305">
        <v>43839.0</v>
      </c>
      <c r="J292" s="285" t="s">
        <v>2153</v>
      </c>
      <c r="K292" s="285" t="s">
        <v>2526</v>
      </c>
      <c r="L292" s="290" t="s">
        <v>4613</v>
      </c>
      <c r="M292" s="285"/>
      <c r="N292" s="286"/>
      <c r="O292" s="291"/>
      <c r="P292" s="157"/>
      <c r="Q292" s="157"/>
      <c r="R292" s="157"/>
      <c r="S292" s="157"/>
      <c r="T292" s="157"/>
      <c r="U292" s="157"/>
      <c r="V292" s="157"/>
      <c r="W292" s="157"/>
      <c r="X292" s="157"/>
      <c r="Y292" s="157"/>
      <c r="Z292" s="157"/>
    </row>
    <row r="293" ht="33.75" customHeight="1">
      <c r="A293" s="343" t="str">
        <f>HYPERLINK("https://drive.google.com/open?id=0B6Vr5nVC58V5dHdWWGk4NnctU0QwV2JEVGZmdzhxQUNUN3A0","33919")</f>
        <v>33919</v>
      </c>
      <c r="B293" s="292" t="s">
        <v>715</v>
      </c>
      <c r="C293" s="286">
        <v>1350.0</v>
      </c>
      <c r="D293" s="328" t="s">
        <v>4614</v>
      </c>
      <c r="E293" s="287" t="s">
        <v>2559</v>
      </c>
      <c r="F293" s="305">
        <v>43834.0</v>
      </c>
      <c r="G293" s="305">
        <v>43832.0</v>
      </c>
      <c r="H293" s="305" t="s">
        <v>1747</v>
      </c>
      <c r="I293" s="305">
        <v>43843.0</v>
      </c>
      <c r="J293" s="285" t="s">
        <v>2535</v>
      </c>
      <c r="K293" s="285" t="s">
        <v>2535</v>
      </c>
      <c r="L293" s="290" t="s">
        <v>4615</v>
      </c>
      <c r="M293" s="285"/>
      <c r="N293" s="286"/>
      <c r="O293" s="291"/>
      <c r="P293" s="157"/>
      <c r="Q293" s="157"/>
      <c r="R293" s="157"/>
      <c r="S293" s="157"/>
      <c r="T293" s="157"/>
      <c r="U293" s="157"/>
      <c r="V293" s="157"/>
      <c r="W293" s="157"/>
      <c r="X293" s="157"/>
      <c r="Y293" s="157"/>
      <c r="Z293" s="157"/>
    </row>
    <row r="294" ht="33.75" customHeight="1">
      <c r="A294" s="343" t="str">
        <f>HYPERLINK("https://drive.google.com/open?id=0B6Vr5nVC58V5eWNfajdJMFlUUEdEOWdocEhwM0lxSE0wbVNZ","33963/
NS3009")</f>
        <v>33963/
NS3009</v>
      </c>
      <c r="B294" s="292" t="s">
        <v>21</v>
      </c>
      <c r="C294" s="299">
        <v>865.0</v>
      </c>
      <c r="D294" s="285" t="s">
        <v>4616</v>
      </c>
      <c r="E294" s="287" t="s">
        <v>2559</v>
      </c>
      <c r="F294" s="305">
        <v>43834.0</v>
      </c>
      <c r="G294" s="288">
        <v>43836.0</v>
      </c>
      <c r="H294" s="288" t="s">
        <v>1747</v>
      </c>
      <c r="I294" s="288">
        <v>43843.0</v>
      </c>
      <c r="J294" s="285" t="s">
        <v>2153</v>
      </c>
      <c r="K294" s="285" t="s">
        <v>2526</v>
      </c>
      <c r="L294" s="341" t="s">
        <v>4617</v>
      </c>
      <c r="M294" s="285"/>
      <c r="N294" s="286"/>
      <c r="O294" s="291"/>
      <c r="P294" s="157"/>
      <c r="Q294" s="157"/>
      <c r="R294" s="157"/>
      <c r="S294" s="157"/>
      <c r="T294" s="157"/>
      <c r="U294" s="157"/>
      <c r="V294" s="157"/>
      <c r="W294" s="157"/>
      <c r="X294" s="157"/>
      <c r="Y294" s="157"/>
      <c r="Z294" s="157"/>
    </row>
    <row r="295" ht="33.75" customHeight="1">
      <c r="A295" s="343" t="str">
        <f>HYPERLINK("https://drive.google.com/open?id=0B6Vr5nVC58V5WTBQXzlMUVpXSzl5dU5KQ21waDF6aDh1SVNZ","33918")</f>
        <v>33918</v>
      </c>
      <c r="B295" s="292" t="s">
        <v>715</v>
      </c>
      <c r="C295" s="299">
        <v>580.0</v>
      </c>
      <c r="D295" s="285" t="s">
        <v>4618</v>
      </c>
      <c r="E295" s="287" t="s">
        <v>4612</v>
      </c>
      <c r="F295" s="352">
        <v>43832.0</v>
      </c>
      <c r="G295" s="288">
        <v>43833.0</v>
      </c>
      <c r="H295" s="305" t="s">
        <v>1032</v>
      </c>
      <c r="I295" s="305">
        <v>43843.0</v>
      </c>
      <c r="J295" s="285" t="s">
        <v>2535</v>
      </c>
      <c r="K295" s="285" t="s">
        <v>2535</v>
      </c>
      <c r="L295" s="290" t="s">
        <v>4619</v>
      </c>
      <c r="M295" s="285"/>
      <c r="N295" s="286"/>
      <c r="O295" s="291"/>
      <c r="P295" s="157"/>
      <c r="Q295" s="157"/>
      <c r="R295" s="157"/>
      <c r="S295" s="157"/>
      <c r="T295" s="157"/>
      <c r="U295" s="157"/>
      <c r="V295" s="157"/>
      <c r="W295" s="157"/>
      <c r="X295" s="157"/>
      <c r="Y295" s="157"/>
      <c r="Z295" s="157"/>
    </row>
    <row r="296" ht="33.75" customHeight="1">
      <c r="A296" s="345" t="str">
        <f>HYPERLINK("https://drive.google.com/open?id=0B6Vr5nVC58V5WnVNZXE0b2VtRW9hQk8yRXFzdndzQnRDdjNn","33683")</f>
        <v>33683</v>
      </c>
      <c r="B296" s="292" t="s">
        <v>715</v>
      </c>
      <c r="C296" s="299">
        <v>1564.0</v>
      </c>
      <c r="D296" s="285" t="s">
        <v>4620</v>
      </c>
      <c r="E296" s="287" t="s">
        <v>3895</v>
      </c>
      <c r="F296" s="352">
        <v>43829.0</v>
      </c>
      <c r="G296" s="305">
        <v>43825.0</v>
      </c>
      <c r="H296" s="305" t="s">
        <v>1032</v>
      </c>
      <c r="I296" s="305">
        <v>43838.0</v>
      </c>
      <c r="J296" s="285" t="s">
        <v>2535</v>
      </c>
      <c r="K296" s="285" t="s">
        <v>2535</v>
      </c>
      <c r="L296" s="290" t="s">
        <v>4621</v>
      </c>
      <c r="M296" s="285" t="s">
        <v>497</v>
      </c>
      <c r="N296" s="286" t="s">
        <v>2550</v>
      </c>
      <c r="O296" s="291">
        <v>43395.93</v>
      </c>
      <c r="P296" s="157"/>
      <c r="Q296" s="157"/>
      <c r="R296" s="157"/>
      <c r="S296" s="157"/>
      <c r="T296" s="157"/>
      <c r="U296" s="157"/>
      <c r="V296" s="157"/>
      <c r="W296" s="157"/>
      <c r="X296" s="157"/>
      <c r="Y296" s="157"/>
      <c r="Z296" s="157"/>
    </row>
    <row r="297" ht="33.75" customHeight="1">
      <c r="A297" s="343" t="str">
        <f>HYPERLINK("https://drive.google.com/open?id=0B6Vr5nVC58V5cDlyRXdaYU54b2c5eUxtY0NEREFfX2JEWEJn","33692")</f>
        <v>33692</v>
      </c>
      <c r="B297" s="292" t="s">
        <v>21</v>
      </c>
      <c r="C297" s="286">
        <v>1162.0</v>
      </c>
      <c r="D297" s="285" t="s">
        <v>4622</v>
      </c>
      <c r="E297" s="287" t="s">
        <v>2606</v>
      </c>
      <c r="F297" s="352">
        <v>43829.0</v>
      </c>
      <c r="G297" s="288">
        <v>42730.0</v>
      </c>
      <c r="H297" s="305" t="s">
        <v>1747</v>
      </c>
      <c r="I297" s="305">
        <v>43832.0</v>
      </c>
      <c r="J297" s="285" t="s">
        <v>2153</v>
      </c>
      <c r="K297" s="285" t="s">
        <v>2526</v>
      </c>
      <c r="L297" s="290" t="s">
        <v>4623</v>
      </c>
      <c r="M297" s="285" t="s">
        <v>497</v>
      </c>
      <c r="N297" s="286" t="s">
        <v>2550</v>
      </c>
      <c r="O297" s="291">
        <v>31865.2</v>
      </c>
      <c r="P297" s="157"/>
      <c r="Q297" s="157"/>
      <c r="R297" s="157"/>
      <c r="S297" s="157"/>
      <c r="T297" s="157"/>
      <c r="U297" s="157"/>
      <c r="V297" s="157"/>
      <c r="W297" s="157"/>
      <c r="X297" s="157"/>
      <c r="Y297" s="157"/>
      <c r="Z297" s="157"/>
    </row>
    <row r="298" ht="33.75" customHeight="1">
      <c r="A298" s="345" t="str">
        <f>HYPERLINK("https://drive.google.com/open?id=0B6Vr5nVC58V5VjVOSHl4VUJ1czdUNUZfVUpEWlJRUnl4Nm5r","33588")</f>
        <v>33588</v>
      </c>
      <c r="B298" s="292" t="s">
        <v>25</v>
      </c>
      <c r="C298" s="299">
        <v>900.0</v>
      </c>
      <c r="D298" s="285" t="s">
        <v>4624</v>
      </c>
      <c r="E298" s="287" t="s">
        <v>4271</v>
      </c>
      <c r="F298" s="352">
        <v>43827.0</v>
      </c>
      <c r="G298" s="305">
        <v>43829.0</v>
      </c>
      <c r="H298" s="305" t="s">
        <v>1747</v>
      </c>
      <c r="I298" s="305">
        <v>43833.0</v>
      </c>
      <c r="J298" s="285" t="s">
        <v>2535</v>
      </c>
      <c r="K298" s="285" t="s">
        <v>2535</v>
      </c>
      <c r="L298" s="353" t="s">
        <v>4625</v>
      </c>
      <c r="M298" s="285"/>
      <c r="N298" s="286"/>
      <c r="O298" s="291"/>
      <c r="P298" s="157"/>
      <c r="Q298" s="157"/>
      <c r="R298" s="157"/>
      <c r="S298" s="157"/>
      <c r="T298" s="157"/>
      <c r="U298" s="157"/>
      <c r="V298" s="157"/>
      <c r="W298" s="157"/>
      <c r="X298" s="157"/>
      <c r="Y298" s="157"/>
      <c r="Z298" s="157"/>
    </row>
    <row r="299" ht="33.75" customHeight="1">
      <c r="A299" s="343" t="str">
        <f>HYPERLINK("https://drive.google.com/open?id=0B6Vr5nVC58V5QWNEZ0NiY19NQV8wbXN1dnZGQnFsYTdEc2dZ","33876")</f>
        <v>33876</v>
      </c>
      <c r="B299" s="292" t="s">
        <v>715</v>
      </c>
      <c r="C299" s="299">
        <v>1074.0</v>
      </c>
      <c r="D299" s="285" t="s">
        <v>4626</v>
      </c>
      <c r="E299" s="287" t="s">
        <v>3149</v>
      </c>
      <c r="F299" s="352">
        <v>43825.0</v>
      </c>
      <c r="G299" s="305">
        <v>43822.0</v>
      </c>
      <c r="H299" s="305" t="s">
        <v>1747</v>
      </c>
      <c r="I299" s="305">
        <v>43836.0</v>
      </c>
      <c r="J299" s="285" t="s">
        <v>2535</v>
      </c>
      <c r="K299" s="285" t="s">
        <v>2535</v>
      </c>
      <c r="L299" s="290" t="s">
        <v>4627</v>
      </c>
      <c r="M299" s="285"/>
      <c r="N299" s="286"/>
      <c r="O299" s="291"/>
      <c r="P299" s="157"/>
      <c r="Q299" s="157"/>
      <c r="R299" s="157"/>
      <c r="S299" s="157"/>
      <c r="T299" s="157"/>
      <c r="U299" s="157"/>
      <c r="V299" s="157"/>
      <c r="W299" s="157"/>
      <c r="X299" s="157"/>
      <c r="Y299" s="157"/>
      <c r="Z299" s="157"/>
    </row>
    <row r="300" ht="33.75" customHeight="1">
      <c r="A300" s="354"/>
      <c r="B300" s="355"/>
      <c r="C300" s="351"/>
      <c r="D300" s="328"/>
      <c r="E300" s="326"/>
      <c r="F300" s="333"/>
      <c r="G300" s="333"/>
      <c r="H300" s="333"/>
      <c r="I300" s="333"/>
      <c r="J300" s="328"/>
      <c r="K300" s="328"/>
      <c r="L300" s="341"/>
      <c r="M300" s="328"/>
      <c r="N300" s="351"/>
      <c r="O300" s="356"/>
      <c r="P300" s="157"/>
      <c r="Q300" s="157"/>
      <c r="R300" s="157"/>
      <c r="S300" s="157"/>
      <c r="T300" s="157"/>
      <c r="U300" s="157"/>
      <c r="V300" s="157"/>
      <c r="W300" s="157"/>
      <c r="X300" s="157"/>
      <c r="Y300" s="157"/>
      <c r="Z300" s="157"/>
    </row>
    <row r="301" ht="33.75" customHeight="1">
      <c r="A301" s="354"/>
      <c r="B301" s="355"/>
      <c r="C301" s="351"/>
      <c r="D301" s="328"/>
      <c r="E301" s="326"/>
      <c r="F301" s="333"/>
      <c r="G301" s="333"/>
      <c r="H301" s="333"/>
      <c r="I301" s="333"/>
      <c r="J301" s="328"/>
      <c r="K301" s="328"/>
      <c r="L301" s="341"/>
      <c r="M301" s="328"/>
      <c r="N301" s="351"/>
      <c r="O301" s="356"/>
      <c r="P301" s="157"/>
      <c r="Q301" s="157"/>
      <c r="R301" s="157"/>
      <c r="S301" s="157"/>
      <c r="T301" s="157"/>
      <c r="U301" s="157"/>
      <c r="V301" s="157"/>
      <c r="W301" s="157"/>
      <c r="X301" s="157"/>
      <c r="Y301" s="157"/>
      <c r="Z301" s="157"/>
    </row>
    <row r="302" ht="33.75" customHeight="1">
      <c r="A302" s="354"/>
      <c r="B302" s="355"/>
      <c r="C302" s="351"/>
      <c r="D302" s="328"/>
      <c r="E302" s="326"/>
      <c r="F302" s="333"/>
      <c r="G302" s="333"/>
      <c r="H302" s="333"/>
      <c r="I302" s="333"/>
      <c r="J302" s="328"/>
      <c r="K302" s="328"/>
      <c r="L302" s="341"/>
      <c r="M302" s="328"/>
      <c r="N302" s="351"/>
      <c r="O302" s="356"/>
      <c r="P302" s="157"/>
      <c r="Q302" s="157"/>
      <c r="R302" s="157"/>
      <c r="S302" s="157"/>
      <c r="T302" s="157"/>
      <c r="U302" s="157"/>
      <c r="V302" s="157"/>
      <c r="W302" s="157"/>
      <c r="X302" s="157"/>
      <c r="Y302" s="157"/>
      <c r="Z302" s="157"/>
    </row>
    <row r="303" ht="33.75" customHeight="1">
      <c r="A303" s="354"/>
      <c r="B303" s="355"/>
      <c r="C303" s="351"/>
      <c r="D303" s="328"/>
      <c r="E303" s="326"/>
      <c r="F303" s="333"/>
      <c r="G303" s="333"/>
      <c r="H303" s="333"/>
      <c r="I303" s="333"/>
      <c r="J303" s="328"/>
      <c r="K303" s="328"/>
      <c r="L303" s="341"/>
      <c r="M303" s="328"/>
      <c r="N303" s="351"/>
      <c r="O303" s="356"/>
      <c r="P303" s="157"/>
      <c r="Q303" s="157"/>
      <c r="R303" s="157"/>
      <c r="S303" s="157"/>
      <c r="T303" s="157"/>
      <c r="U303" s="157"/>
      <c r="V303" s="157"/>
      <c r="W303" s="157"/>
      <c r="X303" s="157"/>
      <c r="Y303" s="157"/>
      <c r="Z303" s="157"/>
    </row>
    <row r="304" ht="33.75" customHeight="1">
      <c r="A304" s="354"/>
      <c r="B304" s="355"/>
      <c r="C304" s="351"/>
      <c r="D304" s="328"/>
      <c r="E304" s="326"/>
      <c r="F304" s="333"/>
      <c r="G304" s="333"/>
      <c r="H304" s="333"/>
      <c r="I304" s="333"/>
      <c r="J304" s="328"/>
      <c r="K304" s="328"/>
      <c r="L304" s="341"/>
      <c r="M304" s="328"/>
      <c r="N304" s="351"/>
      <c r="O304" s="356"/>
      <c r="P304" s="157"/>
      <c r="Q304" s="157"/>
      <c r="R304" s="157"/>
      <c r="S304" s="157"/>
      <c r="T304" s="157"/>
      <c r="U304" s="157"/>
      <c r="V304" s="157"/>
      <c r="W304" s="157"/>
      <c r="X304" s="157"/>
      <c r="Y304" s="157"/>
      <c r="Z304" s="157"/>
    </row>
    <row r="305" ht="33.75" customHeight="1">
      <c r="A305" s="354"/>
      <c r="B305" s="355"/>
      <c r="C305" s="351"/>
      <c r="D305" s="328"/>
      <c r="E305" s="326"/>
      <c r="F305" s="333"/>
      <c r="G305" s="333"/>
      <c r="H305" s="333"/>
      <c r="I305" s="333"/>
      <c r="J305" s="328"/>
      <c r="K305" s="328"/>
      <c r="L305" s="341"/>
      <c r="M305" s="328"/>
      <c r="N305" s="351"/>
      <c r="O305" s="356"/>
      <c r="P305" s="157"/>
      <c r="Q305" s="157"/>
      <c r="R305" s="157"/>
      <c r="S305" s="157"/>
      <c r="T305" s="157"/>
      <c r="U305" s="157"/>
      <c r="V305" s="157"/>
      <c r="W305" s="157"/>
      <c r="X305" s="157"/>
      <c r="Y305" s="157"/>
      <c r="Z305" s="157"/>
    </row>
    <row r="306" ht="33.75" customHeight="1">
      <c r="A306" s="354"/>
      <c r="B306" s="355"/>
      <c r="C306" s="351"/>
      <c r="D306" s="328"/>
      <c r="E306" s="326"/>
      <c r="F306" s="333"/>
      <c r="G306" s="333"/>
      <c r="H306" s="333"/>
      <c r="I306" s="333"/>
      <c r="J306" s="328"/>
      <c r="K306" s="328"/>
      <c r="L306" s="341"/>
      <c r="M306" s="328"/>
      <c r="N306" s="351"/>
      <c r="O306" s="356"/>
      <c r="P306" s="157"/>
      <c r="Q306" s="157"/>
      <c r="R306" s="157"/>
      <c r="S306" s="157"/>
      <c r="T306" s="157"/>
      <c r="U306" s="157"/>
      <c r="V306" s="157"/>
      <c r="W306" s="157"/>
      <c r="X306" s="157"/>
      <c r="Y306" s="157"/>
      <c r="Z306" s="157"/>
    </row>
    <row r="307" ht="33.75" customHeight="1">
      <c r="A307" s="354"/>
      <c r="B307" s="355"/>
      <c r="C307" s="351"/>
      <c r="D307" s="328"/>
      <c r="E307" s="326"/>
      <c r="F307" s="333"/>
      <c r="G307" s="333"/>
      <c r="H307" s="333"/>
      <c r="I307" s="333"/>
      <c r="J307" s="328"/>
      <c r="K307" s="328"/>
      <c r="L307" s="341"/>
      <c r="M307" s="328"/>
      <c r="N307" s="351"/>
      <c r="O307" s="356"/>
      <c r="P307" s="157"/>
      <c r="Q307" s="157"/>
      <c r="R307" s="157"/>
      <c r="S307" s="157"/>
      <c r="T307" s="157"/>
      <c r="U307" s="157"/>
      <c r="V307" s="157"/>
      <c r="W307" s="157"/>
      <c r="X307" s="157"/>
      <c r="Y307" s="157"/>
      <c r="Z307" s="157"/>
    </row>
    <row r="308" ht="33.75" customHeight="1">
      <c r="A308" s="354"/>
      <c r="B308" s="355"/>
      <c r="C308" s="351"/>
      <c r="D308" s="328"/>
      <c r="E308" s="326"/>
      <c r="F308" s="333"/>
      <c r="G308" s="333"/>
      <c r="H308" s="333"/>
      <c r="I308" s="333"/>
      <c r="J308" s="328"/>
      <c r="K308" s="328"/>
      <c r="L308" s="341"/>
      <c r="M308" s="328"/>
      <c r="N308" s="351"/>
      <c r="O308" s="356"/>
      <c r="P308" s="157"/>
      <c r="Q308" s="157"/>
      <c r="R308" s="157"/>
      <c r="S308" s="157"/>
      <c r="T308" s="157"/>
      <c r="U308" s="157"/>
      <c r="V308" s="157"/>
      <c r="W308" s="157"/>
      <c r="X308" s="157"/>
      <c r="Y308" s="157"/>
      <c r="Z308" s="157"/>
    </row>
    <row r="309" ht="33.75" customHeight="1">
      <c r="A309" s="354"/>
      <c r="B309" s="355"/>
      <c r="C309" s="351"/>
      <c r="D309" s="328"/>
      <c r="E309" s="326"/>
      <c r="F309" s="333"/>
      <c r="G309" s="333"/>
      <c r="H309" s="333"/>
      <c r="I309" s="333"/>
      <c r="J309" s="328"/>
      <c r="K309" s="328"/>
      <c r="L309" s="341"/>
      <c r="M309" s="328"/>
      <c r="N309" s="351"/>
      <c r="O309" s="356"/>
      <c r="P309" s="157"/>
      <c r="Q309" s="157"/>
      <c r="R309" s="157"/>
      <c r="S309" s="157"/>
      <c r="T309" s="157"/>
      <c r="U309" s="157"/>
      <c r="V309" s="157"/>
      <c r="W309" s="157"/>
      <c r="X309" s="157"/>
      <c r="Y309" s="157"/>
      <c r="Z309" s="157"/>
    </row>
    <row r="310" ht="33.75" customHeight="1">
      <c r="A310" s="354"/>
      <c r="B310" s="355"/>
      <c r="C310" s="351"/>
      <c r="D310" s="328"/>
      <c r="E310" s="326"/>
      <c r="F310" s="333"/>
      <c r="G310" s="333"/>
      <c r="H310" s="333"/>
      <c r="I310" s="333"/>
      <c r="J310" s="328"/>
      <c r="K310" s="328"/>
      <c r="L310" s="341"/>
      <c r="M310" s="328"/>
      <c r="N310" s="351"/>
      <c r="O310" s="356"/>
      <c r="P310" s="157"/>
      <c r="Q310" s="157"/>
      <c r="R310" s="157"/>
      <c r="S310" s="157"/>
      <c r="T310" s="157"/>
      <c r="U310" s="157"/>
      <c r="V310" s="157"/>
      <c r="W310" s="157"/>
      <c r="X310" s="157"/>
      <c r="Y310" s="157"/>
      <c r="Z310" s="157"/>
    </row>
    <row r="311" ht="33.75" customHeight="1">
      <c r="A311" s="354"/>
      <c r="B311" s="355"/>
      <c r="C311" s="351"/>
      <c r="D311" s="328"/>
      <c r="E311" s="326"/>
      <c r="F311" s="333"/>
      <c r="G311" s="333"/>
      <c r="H311" s="333"/>
      <c r="I311" s="333"/>
      <c r="J311" s="328"/>
      <c r="K311" s="328"/>
      <c r="L311" s="341"/>
      <c r="M311" s="328"/>
      <c r="N311" s="351"/>
      <c r="O311" s="356"/>
      <c r="P311" s="157"/>
      <c r="Q311" s="157"/>
      <c r="R311" s="157"/>
      <c r="S311" s="157"/>
      <c r="T311" s="157"/>
      <c r="U311" s="157"/>
      <c r="V311" s="157"/>
      <c r="W311" s="157"/>
      <c r="X311" s="157"/>
      <c r="Y311" s="157"/>
      <c r="Z311" s="157"/>
    </row>
    <row r="312" ht="33.75" customHeight="1">
      <c r="A312" s="354"/>
      <c r="B312" s="355"/>
      <c r="C312" s="351"/>
      <c r="D312" s="328"/>
      <c r="E312" s="326"/>
      <c r="F312" s="333"/>
      <c r="G312" s="333"/>
      <c r="H312" s="333"/>
      <c r="I312" s="333"/>
      <c r="J312" s="328"/>
      <c r="K312" s="328"/>
      <c r="L312" s="341"/>
      <c r="M312" s="328"/>
      <c r="N312" s="351"/>
      <c r="O312" s="356"/>
      <c r="P312" s="157"/>
      <c r="Q312" s="157"/>
      <c r="R312" s="157"/>
      <c r="S312" s="157"/>
      <c r="T312" s="157"/>
      <c r="U312" s="157"/>
      <c r="V312" s="157"/>
      <c r="W312" s="157"/>
      <c r="X312" s="157"/>
      <c r="Y312" s="157"/>
      <c r="Z312" s="157"/>
    </row>
    <row r="313" ht="33.75" customHeight="1">
      <c r="A313" s="354"/>
      <c r="B313" s="355"/>
      <c r="C313" s="351"/>
      <c r="D313" s="328"/>
      <c r="E313" s="326"/>
      <c r="F313" s="333"/>
      <c r="G313" s="333"/>
      <c r="H313" s="333"/>
      <c r="I313" s="333"/>
      <c r="J313" s="328"/>
      <c r="K313" s="328"/>
      <c r="L313" s="341"/>
      <c r="M313" s="328"/>
      <c r="N313" s="351"/>
      <c r="O313" s="356"/>
      <c r="P313" s="157"/>
      <c r="Q313" s="157"/>
      <c r="R313" s="157"/>
      <c r="S313" s="157"/>
      <c r="T313" s="157"/>
      <c r="U313" s="157"/>
      <c r="V313" s="157"/>
      <c r="W313" s="157"/>
      <c r="X313" s="157"/>
      <c r="Y313" s="157"/>
      <c r="Z313" s="157"/>
    </row>
    <row r="314" ht="33.75" customHeight="1">
      <c r="A314" s="354"/>
      <c r="B314" s="355"/>
      <c r="C314" s="351"/>
      <c r="D314" s="328"/>
      <c r="E314" s="326"/>
      <c r="F314" s="333"/>
      <c r="G314" s="333"/>
      <c r="H314" s="333"/>
      <c r="I314" s="333"/>
      <c r="J314" s="328"/>
      <c r="K314" s="328"/>
      <c r="L314" s="341"/>
      <c r="M314" s="328"/>
      <c r="N314" s="351"/>
      <c r="O314" s="356"/>
      <c r="P314" s="157"/>
      <c r="Q314" s="157"/>
      <c r="R314" s="157"/>
      <c r="S314" s="157"/>
      <c r="T314" s="157"/>
      <c r="U314" s="157"/>
      <c r="V314" s="157"/>
      <c r="W314" s="157"/>
      <c r="X314" s="157"/>
      <c r="Y314" s="157"/>
      <c r="Z314" s="157"/>
    </row>
    <row r="315" ht="33.75" customHeight="1">
      <c r="A315" s="354"/>
      <c r="B315" s="355"/>
      <c r="C315" s="351"/>
      <c r="D315" s="328"/>
      <c r="E315" s="326"/>
      <c r="F315" s="333"/>
      <c r="G315" s="333"/>
      <c r="H315" s="333"/>
      <c r="I315" s="333"/>
      <c r="J315" s="328"/>
      <c r="K315" s="328"/>
      <c r="L315" s="341"/>
      <c r="M315" s="328"/>
      <c r="N315" s="351"/>
      <c r="O315" s="356"/>
      <c r="P315" s="157"/>
      <c r="Q315" s="157"/>
      <c r="R315" s="157"/>
      <c r="S315" s="157"/>
      <c r="T315" s="157"/>
      <c r="U315" s="157"/>
      <c r="V315" s="157"/>
      <c r="W315" s="157"/>
      <c r="X315" s="157"/>
      <c r="Y315" s="157"/>
      <c r="Z315" s="157"/>
    </row>
    <row r="316" ht="33.75" customHeight="1">
      <c r="A316" s="354"/>
      <c r="B316" s="355"/>
      <c r="C316" s="351"/>
      <c r="D316" s="328"/>
      <c r="E316" s="326"/>
      <c r="F316" s="333"/>
      <c r="G316" s="333"/>
      <c r="H316" s="333"/>
      <c r="I316" s="333"/>
      <c r="J316" s="328"/>
      <c r="K316" s="328"/>
      <c r="L316" s="341"/>
      <c r="M316" s="328"/>
      <c r="N316" s="351"/>
      <c r="O316" s="356"/>
      <c r="P316" s="157"/>
      <c r="Q316" s="157"/>
      <c r="R316" s="157"/>
      <c r="S316" s="157"/>
      <c r="T316" s="157"/>
      <c r="U316" s="157"/>
      <c r="V316" s="157"/>
      <c r="W316" s="157"/>
      <c r="X316" s="157"/>
      <c r="Y316" s="157"/>
      <c r="Z316" s="157"/>
    </row>
    <row r="317" ht="33.75" customHeight="1">
      <c r="A317" s="354"/>
      <c r="B317" s="355"/>
      <c r="C317" s="351"/>
      <c r="D317" s="328"/>
      <c r="E317" s="326"/>
      <c r="F317" s="333"/>
      <c r="G317" s="333"/>
      <c r="H317" s="333"/>
      <c r="I317" s="333"/>
      <c r="J317" s="328"/>
      <c r="K317" s="328"/>
      <c r="L317" s="341"/>
      <c r="M317" s="328"/>
      <c r="N317" s="351"/>
      <c r="O317" s="356"/>
      <c r="P317" s="157"/>
      <c r="Q317" s="157"/>
      <c r="R317" s="157"/>
      <c r="S317" s="157"/>
      <c r="T317" s="157"/>
      <c r="U317" s="157"/>
      <c r="V317" s="157"/>
      <c r="W317" s="157"/>
      <c r="X317" s="157"/>
      <c r="Y317" s="157"/>
      <c r="Z317" s="157"/>
    </row>
    <row r="318" ht="33.75" customHeight="1">
      <c r="A318" s="354"/>
      <c r="B318" s="355"/>
      <c r="C318" s="351"/>
      <c r="D318" s="328"/>
      <c r="E318" s="326"/>
      <c r="F318" s="333"/>
      <c r="G318" s="333"/>
      <c r="H318" s="333"/>
      <c r="I318" s="333"/>
      <c r="J318" s="328"/>
      <c r="K318" s="328"/>
      <c r="L318" s="341"/>
      <c r="M318" s="328"/>
      <c r="N318" s="351"/>
      <c r="O318" s="356"/>
      <c r="P318" s="157"/>
      <c r="Q318" s="157"/>
      <c r="R318" s="157"/>
      <c r="S318" s="157"/>
      <c r="T318" s="157"/>
      <c r="U318" s="157"/>
      <c r="V318" s="157"/>
      <c r="W318" s="157"/>
      <c r="X318" s="157"/>
      <c r="Y318" s="157"/>
      <c r="Z318" s="157"/>
    </row>
    <row r="319" ht="33.75" customHeight="1">
      <c r="A319" s="354"/>
      <c r="B319" s="355"/>
      <c r="C319" s="351"/>
      <c r="D319" s="328"/>
      <c r="E319" s="326"/>
      <c r="F319" s="333"/>
      <c r="G319" s="333"/>
      <c r="H319" s="333"/>
      <c r="I319" s="333"/>
      <c r="J319" s="328"/>
      <c r="K319" s="328"/>
      <c r="L319" s="341"/>
      <c r="M319" s="328"/>
      <c r="N319" s="351"/>
      <c r="O319" s="356"/>
      <c r="P319" s="157"/>
      <c r="Q319" s="157"/>
      <c r="R319" s="157"/>
      <c r="S319" s="157"/>
      <c r="T319" s="157"/>
      <c r="U319" s="157"/>
      <c r="V319" s="157"/>
      <c r="W319" s="157"/>
      <c r="X319" s="157"/>
      <c r="Y319" s="157"/>
      <c r="Z319" s="157"/>
    </row>
    <row r="320" ht="33.75" customHeight="1">
      <c r="A320" s="354"/>
      <c r="B320" s="355"/>
      <c r="C320" s="351"/>
      <c r="D320" s="328"/>
      <c r="E320" s="326"/>
      <c r="F320" s="333"/>
      <c r="G320" s="333"/>
      <c r="H320" s="333"/>
      <c r="I320" s="333"/>
      <c r="J320" s="328"/>
      <c r="K320" s="328"/>
      <c r="L320" s="341"/>
      <c r="M320" s="328"/>
      <c r="N320" s="351"/>
      <c r="O320" s="356"/>
      <c r="P320" s="157"/>
      <c r="Q320" s="157"/>
      <c r="R320" s="157"/>
      <c r="S320" s="157"/>
      <c r="T320" s="157"/>
      <c r="U320" s="157"/>
      <c r="V320" s="157"/>
      <c r="W320" s="157"/>
      <c r="X320" s="157"/>
      <c r="Y320" s="157"/>
      <c r="Z320" s="157"/>
    </row>
    <row r="321" ht="33.75" customHeight="1">
      <c r="A321" s="354"/>
      <c r="B321" s="355"/>
      <c r="C321" s="351"/>
      <c r="D321" s="328"/>
      <c r="E321" s="326"/>
      <c r="F321" s="333"/>
      <c r="G321" s="333"/>
      <c r="H321" s="333"/>
      <c r="I321" s="333"/>
      <c r="J321" s="328"/>
      <c r="K321" s="328"/>
      <c r="L321" s="341"/>
      <c r="M321" s="328"/>
      <c r="N321" s="351"/>
      <c r="O321" s="356"/>
      <c r="P321" s="157"/>
      <c r="Q321" s="157"/>
      <c r="R321" s="157"/>
      <c r="S321" s="157"/>
      <c r="T321" s="157"/>
      <c r="U321" s="157"/>
      <c r="V321" s="157"/>
      <c r="W321" s="157"/>
      <c r="X321" s="157"/>
      <c r="Y321" s="157"/>
      <c r="Z321" s="157"/>
    </row>
    <row r="322" ht="33.75" customHeight="1">
      <c r="A322" s="354"/>
      <c r="B322" s="355"/>
      <c r="C322" s="351"/>
      <c r="D322" s="328"/>
      <c r="E322" s="326"/>
      <c r="F322" s="333"/>
      <c r="G322" s="333"/>
      <c r="H322" s="333"/>
      <c r="I322" s="333"/>
      <c r="J322" s="328"/>
      <c r="K322" s="328"/>
      <c r="L322" s="341"/>
      <c r="M322" s="328"/>
      <c r="N322" s="351"/>
      <c r="O322" s="356"/>
      <c r="P322" s="157"/>
      <c r="Q322" s="157"/>
      <c r="R322" s="157"/>
      <c r="S322" s="157"/>
      <c r="T322" s="157"/>
      <c r="U322" s="157"/>
      <c r="V322" s="157"/>
      <c r="W322" s="157"/>
      <c r="X322" s="157"/>
      <c r="Y322" s="157"/>
      <c r="Z322" s="157"/>
    </row>
    <row r="323" ht="33.75" customHeight="1">
      <c r="A323" s="354"/>
      <c r="B323" s="355"/>
      <c r="C323" s="351"/>
      <c r="D323" s="328"/>
      <c r="E323" s="326"/>
      <c r="F323" s="333"/>
      <c r="G323" s="333"/>
      <c r="H323" s="333"/>
      <c r="I323" s="333"/>
      <c r="J323" s="328"/>
      <c r="K323" s="328"/>
      <c r="L323" s="341"/>
      <c r="M323" s="328"/>
      <c r="N323" s="351"/>
      <c r="O323" s="356"/>
      <c r="P323" s="157"/>
      <c r="Q323" s="157"/>
      <c r="R323" s="157"/>
      <c r="S323" s="157"/>
      <c r="T323" s="157"/>
      <c r="U323" s="157"/>
      <c r="V323" s="157"/>
      <c r="W323" s="157"/>
      <c r="X323" s="157"/>
      <c r="Y323" s="157"/>
      <c r="Z323" s="157"/>
    </row>
    <row r="324" ht="33.75" customHeight="1">
      <c r="A324" s="354"/>
      <c r="B324" s="355"/>
      <c r="C324" s="351"/>
      <c r="D324" s="328"/>
      <c r="E324" s="326"/>
      <c r="F324" s="333"/>
      <c r="G324" s="333"/>
      <c r="H324" s="333"/>
      <c r="I324" s="333"/>
      <c r="J324" s="328"/>
      <c r="K324" s="328"/>
      <c r="L324" s="341"/>
      <c r="M324" s="328"/>
      <c r="N324" s="351"/>
      <c r="O324" s="356"/>
      <c r="P324" s="157"/>
      <c r="Q324" s="157"/>
      <c r="R324" s="157"/>
      <c r="S324" s="157"/>
      <c r="T324" s="157"/>
      <c r="U324" s="157"/>
      <c r="V324" s="157"/>
      <c r="W324" s="157"/>
      <c r="X324" s="157"/>
      <c r="Y324" s="157"/>
      <c r="Z324" s="157"/>
    </row>
    <row r="325" ht="33.75" customHeight="1">
      <c r="A325" s="354"/>
      <c r="B325" s="355"/>
      <c r="C325" s="351"/>
      <c r="D325" s="328"/>
      <c r="E325" s="326"/>
      <c r="F325" s="333"/>
      <c r="G325" s="333"/>
      <c r="H325" s="333"/>
      <c r="I325" s="333"/>
      <c r="J325" s="328"/>
      <c r="K325" s="328"/>
      <c r="L325" s="341"/>
      <c r="M325" s="328"/>
      <c r="N325" s="351"/>
      <c r="O325" s="356"/>
      <c r="P325" s="157"/>
      <c r="Q325" s="157"/>
      <c r="R325" s="157"/>
      <c r="S325" s="157"/>
      <c r="T325" s="157"/>
      <c r="U325" s="157"/>
      <c r="V325" s="157"/>
      <c r="W325" s="157"/>
      <c r="X325" s="157"/>
      <c r="Y325" s="157"/>
      <c r="Z325" s="157"/>
    </row>
    <row r="326" ht="33.75" customHeight="1">
      <c r="A326" s="354"/>
      <c r="B326" s="355"/>
      <c r="C326" s="351"/>
      <c r="D326" s="328"/>
      <c r="E326" s="326"/>
      <c r="F326" s="333"/>
      <c r="G326" s="333"/>
      <c r="H326" s="333"/>
      <c r="I326" s="333"/>
      <c r="J326" s="328"/>
      <c r="K326" s="328"/>
      <c r="L326" s="341"/>
      <c r="M326" s="328"/>
      <c r="N326" s="351"/>
      <c r="O326" s="356"/>
      <c r="P326" s="157"/>
      <c r="Q326" s="157"/>
      <c r="R326" s="157"/>
      <c r="S326" s="157"/>
      <c r="T326" s="157"/>
      <c r="U326" s="157"/>
      <c r="V326" s="157"/>
      <c r="W326" s="157"/>
      <c r="X326" s="157"/>
      <c r="Y326" s="157"/>
      <c r="Z326" s="157"/>
    </row>
    <row r="327" ht="33.75" customHeight="1">
      <c r="A327" s="354"/>
      <c r="B327" s="355"/>
      <c r="C327" s="351"/>
      <c r="D327" s="328"/>
      <c r="E327" s="326"/>
      <c r="F327" s="333"/>
      <c r="G327" s="333"/>
      <c r="H327" s="333"/>
      <c r="I327" s="333"/>
      <c r="J327" s="328"/>
      <c r="K327" s="328"/>
      <c r="L327" s="341"/>
      <c r="M327" s="328"/>
      <c r="N327" s="351"/>
      <c r="O327" s="356"/>
      <c r="P327" s="157"/>
      <c r="Q327" s="157"/>
      <c r="R327" s="157"/>
      <c r="S327" s="157"/>
      <c r="T327" s="157"/>
      <c r="U327" s="157"/>
      <c r="V327" s="157"/>
      <c r="W327" s="157"/>
      <c r="X327" s="157"/>
      <c r="Y327" s="157"/>
      <c r="Z327" s="157"/>
    </row>
    <row r="328" ht="33.75" customHeight="1">
      <c r="A328" s="354"/>
      <c r="B328" s="355"/>
      <c r="C328" s="351"/>
      <c r="D328" s="328"/>
      <c r="E328" s="326"/>
      <c r="F328" s="333"/>
      <c r="G328" s="333"/>
      <c r="H328" s="333"/>
      <c r="I328" s="333"/>
      <c r="J328" s="328"/>
      <c r="K328" s="328"/>
      <c r="L328" s="341"/>
      <c r="M328" s="328"/>
      <c r="N328" s="351"/>
      <c r="O328" s="356"/>
      <c r="P328" s="157"/>
      <c r="Q328" s="157"/>
      <c r="R328" s="157"/>
      <c r="S328" s="157"/>
      <c r="T328" s="157"/>
      <c r="U328" s="157"/>
      <c r="V328" s="157"/>
      <c r="W328" s="157"/>
      <c r="X328" s="157"/>
      <c r="Y328" s="157"/>
      <c r="Z328" s="157"/>
    </row>
    <row r="329" ht="33.75" customHeight="1">
      <c r="A329" s="354"/>
      <c r="B329" s="355"/>
      <c r="C329" s="351"/>
      <c r="D329" s="328"/>
      <c r="E329" s="326"/>
      <c r="F329" s="333"/>
      <c r="G329" s="333"/>
      <c r="H329" s="333"/>
      <c r="I329" s="333"/>
      <c r="J329" s="328"/>
      <c r="K329" s="328"/>
      <c r="L329" s="341"/>
      <c r="M329" s="328"/>
      <c r="N329" s="351"/>
      <c r="O329" s="356"/>
      <c r="P329" s="157"/>
      <c r="Q329" s="157"/>
      <c r="R329" s="157"/>
      <c r="S329" s="157"/>
      <c r="T329" s="157"/>
      <c r="U329" s="157"/>
      <c r="V329" s="157"/>
      <c r="W329" s="157"/>
      <c r="X329" s="157"/>
      <c r="Y329" s="157"/>
      <c r="Z329" s="157"/>
    </row>
    <row r="330" ht="33.75" customHeight="1">
      <c r="A330" s="354"/>
      <c r="B330" s="355"/>
      <c r="C330" s="351"/>
      <c r="D330" s="328"/>
      <c r="E330" s="326"/>
      <c r="F330" s="333"/>
      <c r="G330" s="333"/>
      <c r="H330" s="333"/>
      <c r="I330" s="333"/>
      <c r="J330" s="328"/>
      <c r="K330" s="328"/>
      <c r="L330" s="341"/>
      <c r="M330" s="328"/>
      <c r="N330" s="351"/>
      <c r="O330" s="356"/>
      <c r="P330" s="157"/>
      <c r="Q330" s="157"/>
      <c r="R330" s="157"/>
      <c r="S330" s="157"/>
      <c r="T330" s="157"/>
      <c r="U330" s="157"/>
      <c r="V330" s="157"/>
      <c r="W330" s="157"/>
      <c r="X330" s="157"/>
      <c r="Y330" s="157"/>
      <c r="Z330" s="157"/>
    </row>
    <row r="331" ht="33.75" customHeight="1">
      <c r="A331" s="354"/>
      <c r="B331" s="355"/>
      <c r="C331" s="351"/>
      <c r="D331" s="328"/>
      <c r="E331" s="326"/>
      <c r="F331" s="333"/>
      <c r="G331" s="333"/>
      <c r="H331" s="333"/>
      <c r="I331" s="333"/>
      <c r="J331" s="328"/>
      <c r="K331" s="328"/>
      <c r="L331" s="341"/>
      <c r="M331" s="328"/>
      <c r="N331" s="351"/>
      <c r="O331" s="356"/>
      <c r="P331" s="157"/>
      <c r="Q331" s="157"/>
      <c r="R331" s="157"/>
      <c r="S331" s="157"/>
      <c r="T331" s="157"/>
      <c r="U331" s="157"/>
      <c r="V331" s="157"/>
      <c r="W331" s="157"/>
      <c r="X331" s="157"/>
      <c r="Y331" s="157"/>
      <c r="Z331" s="157"/>
    </row>
    <row r="332" ht="33.75" customHeight="1">
      <c r="A332" s="354"/>
      <c r="B332" s="355"/>
      <c r="C332" s="351"/>
      <c r="D332" s="328"/>
      <c r="E332" s="326"/>
      <c r="F332" s="333"/>
      <c r="G332" s="333"/>
      <c r="H332" s="333"/>
      <c r="I332" s="333"/>
      <c r="J332" s="328"/>
      <c r="K332" s="328"/>
      <c r="L332" s="341"/>
      <c r="M332" s="328"/>
      <c r="N332" s="351"/>
      <c r="O332" s="356"/>
      <c r="P332" s="157"/>
      <c r="Q332" s="157"/>
      <c r="R332" s="157"/>
      <c r="S332" s="157"/>
      <c r="T332" s="157"/>
      <c r="U332" s="157"/>
      <c r="V332" s="157"/>
      <c r="W332" s="157"/>
      <c r="X332" s="157"/>
      <c r="Y332" s="157"/>
      <c r="Z332" s="157"/>
    </row>
    <row r="333" ht="33.75" customHeight="1">
      <c r="A333" s="354"/>
      <c r="B333" s="355"/>
      <c r="C333" s="351"/>
      <c r="D333" s="328"/>
      <c r="E333" s="326"/>
      <c r="F333" s="333"/>
      <c r="G333" s="333"/>
      <c r="H333" s="333"/>
      <c r="I333" s="333"/>
      <c r="J333" s="328"/>
      <c r="K333" s="328"/>
      <c r="L333" s="341"/>
      <c r="M333" s="328"/>
      <c r="N333" s="351"/>
      <c r="O333" s="356"/>
      <c r="P333" s="157"/>
      <c r="Q333" s="157"/>
      <c r="R333" s="157"/>
      <c r="S333" s="157"/>
      <c r="T333" s="157"/>
      <c r="U333" s="157"/>
      <c r="V333" s="157"/>
      <c r="W333" s="157"/>
      <c r="X333" s="157"/>
      <c r="Y333" s="157"/>
      <c r="Z333" s="157"/>
    </row>
    <row r="334" ht="33.75" customHeight="1">
      <c r="A334" s="354"/>
      <c r="B334" s="355"/>
      <c r="C334" s="351"/>
      <c r="D334" s="328"/>
      <c r="E334" s="326"/>
      <c r="F334" s="333"/>
      <c r="G334" s="333"/>
      <c r="H334" s="333"/>
      <c r="I334" s="333"/>
      <c r="J334" s="328"/>
      <c r="K334" s="328"/>
      <c r="L334" s="341"/>
      <c r="M334" s="328"/>
      <c r="N334" s="351"/>
      <c r="O334" s="356"/>
      <c r="P334" s="157"/>
      <c r="Q334" s="157"/>
      <c r="R334" s="157"/>
      <c r="S334" s="157"/>
      <c r="T334" s="157"/>
      <c r="U334" s="157"/>
      <c r="V334" s="157"/>
      <c r="W334" s="157"/>
      <c r="X334" s="157"/>
      <c r="Y334" s="157"/>
      <c r="Z334" s="157"/>
    </row>
    <row r="335" ht="33.75" customHeight="1">
      <c r="A335" s="354"/>
      <c r="B335" s="355"/>
      <c r="C335" s="351"/>
      <c r="D335" s="328"/>
      <c r="E335" s="326"/>
      <c r="F335" s="333"/>
      <c r="G335" s="333"/>
      <c r="H335" s="333"/>
      <c r="I335" s="333"/>
      <c r="J335" s="328"/>
      <c r="K335" s="328"/>
      <c r="L335" s="341"/>
      <c r="M335" s="328"/>
      <c r="N335" s="351"/>
      <c r="O335" s="356"/>
      <c r="P335" s="157"/>
      <c r="Q335" s="157"/>
      <c r="R335" s="157"/>
      <c r="S335" s="157"/>
      <c r="T335" s="157"/>
      <c r="U335" s="157"/>
      <c r="V335" s="157"/>
      <c r="W335" s="157"/>
      <c r="X335" s="157"/>
      <c r="Y335" s="157"/>
      <c r="Z335" s="157"/>
    </row>
    <row r="336" ht="33.75" customHeight="1">
      <c r="A336" s="354"/>
      <c r="B336" s="355"/>
      <c r="C336" s="351"/>
      <c r="D336" s="328"/>
      <c r="E336" s="326"/>
      <c r="F336" s="333"/>
      <c r="G336" s="333"/>
      <c r="H336" s="333"/>
      <c r="I336" s="333"/>
      <c r="J336" s="328"/>
      <c r="K336" s="328"/>
      <c r="L336" s="341"/>
      <c r="M336" s="328"/>
      <c r="N336" s="351"/>
      <c r="O336" s="356"/>
      <c r="P336" s="157"/>
      <c r="Q336" s="157"/>
      <c r="R336" s="157"/>
      <c r="S336" s="157"/>
      <c r="T336" s="157"/>
      <c r="U336" s="157"/>
      <c r="V336" s="157"/>
      <c r="W336" s="157"/>
      <c r="X336" s="157"/>
      <c r="Y336" s="157"/>
      <c r="Z336" s="157"/>
    </row>
    <row r="337" ht="33.75" customHeight="1">
      <c r="A337" s="354"/>
      <c r="B337" s="355"/>
      <c r="C337" s="351"/>
      <c r="D337" s="328"/>
      <c r="E337" s="326"/>
      <c r="F337" s="333"/>
      <c r="G337" s="333"/>
      <c r="H337" s="333"/>
      <c r="I337" s="333"/>
      <c r="J337" s="328"/>
      <c r="K337" s="328"/>
      <c r="L337" s="341"/>
      <c r="M337" s="328"/>
      <c r="N337" s="351"/>
      <c r="O337" s="356"/>
      <c r="P337" s="157"/>
      <c r="Q337" s="157"/>
      <c r="R337" s="157"/>
      <c r="S337" s="157"/>
      <c r="T337" s="157"/>
      <c r="U337" s="157"/>
      <c r="V337" s="157"/>
      <c r="W337" s="157"/>
      <c r="X337" s="157"/>
      <c r="Y337" s="157"/>
      <c r="Z337" s="157"/>
    </row>
    <row r="338" ht="33.75" customHeight="1">
      <c r="A338" s="354"/>
      <c r="B338" s="355"/>
      <c r="C338" s="351"/>
      <c r="D338" s="328"/>
      <c r="E338" s="326"/>
      <c r="F338" s="333"/>
      <c r="G338" s="333"/>
      <c r="H338" s="333"/>
      <c r="I338" s="333"/>
      <c r="J338" s="328"/>
      <c r="K338" s="328"/>
      <c r="L338" s="341"/>
      <c r="M338" s="328"/>
      <c r="N338" s="351"/>
      <c r="O338" s="356"/>
      <c r="P338" s="157"/>
      <c r="Q338" s="157"/>
      <c r="R338" s="157"/>
      <c r="S338" s="157"/>
      <c r="T338" s="157"/>
      <c r="U338" s="157"/>
      <c r="V338" s="157"/>
      <c r="W338" s="157"/>
      <c r="X338" s="157"/>
      <c r="Y338" s="157"/>
      <c r="Z338" s="157"/>
    </row>
    <row r="339" ht="33.75" customHeight="1">
      <c r="A339" s="354"/>
      <c r="B339" s="355"/>
      <c r="C339" s="351"/>
      <c r="D339" s="328"/>
      <c r="E339" s="326"/>
      <c r="F339" s="333"/>
      <c r="G339" s="333"/>
      <c r="H339" s="333"/>
      <c r="I339" s="333"/>
      <c r="J339" s="328"/>
      <c r="K339" s="328"/>
      <c r="L339" s="341"/>
      <c r="M339" s="328"/>
      <c r="N339" s="351"/>
      <c r="O339" s="356"/>
      <c r="P339" s="157"/>
      <c r="Q339" s="157"/>
      <c r="R339" s="157"/>
      <c r="S339" s="157"/>
      <c r="T339" s="157"/>
      <c r="U339" s="157"/>
      <c r="V339" s="157"/>
      <c r="W339" s="157"/>
      <c r="X339" s="157"/>
      <c r="Y339" s="157"/>
      <c r="Z339" s="157"/>
    </row>
    <row r="340" ht="33.75" customHeight="1">
      <c r="A340" s="354"/>
      <c r="B340" s="355"/>
      <c r="C340" s="351"/>
      <c r="D340" s="328"/>
      <c r="E340" s="326"/>
      <c r="F340" s="333"/>
      <c r="G340" s="333"/>
      <c r="H340" s="333"/>
      <c r="I340" s="333"/>
      <c r="J340" s="328"/>
      <c r="K340" s="328"/>
      <c r="L340" s="341"/>
      <c r="M340" s="328"/>
      <c r="N340" s="351"/>
      <c r="O340" s="356"/>
      <c r="P340" s="157"/>
      <c r="Q340" s="157"/>
      <c r="R340" s="157"/>
      <c r="S340" s="157"/>
      <c r="T340" s="157"/>
      <c r="U340" s="157"/>
      <c r="V340" s="157"/>
      <c r="W340" s="157"/>
      <c r="X340" s="157"/>
      <c r="Y340" s="157"/>
      <c r="Z340" s="157"/>
    </row>
    <row r="341" ht="33.75" customHeight="1">
      <c r="A341" s="354"/>
      <c r="B341" s="355"/>
      <c r="C341" s="351"/>
      <c r="D341" s="328"/>
      <c r="E341" s="326"/>
      <c r="F341" s="333"/>
      <c r="G341" s="333"/>
      <c r="H341" s="333"/>
      <c r="I341" s="333"/>
      <c r="J341" s="328"/>
      <c r="K341" s="328"/>
      <c r="L341" s="341"/>
      <c r="M341" s="328"/>
      <c r="N341" s="351"/>
      <c r="O341" s="356"/>
      <c r="P341" s="157"/>
      <c r="Q341" s="157"/>
      <c r="R341" s="157"/>
      <c r="S341" s="157"/>
      <c r="T341" s="157"/>
      <c r="U341" s="157"/>
      <c r="V341" s="157"/>
      <c r="W341" s="157"/>
      <c r="X341" s="157"/>
      <c r="Y341" s="157"/>
      <c r="Z341" s="157"/>
    </row>
    <row r="342" ht="33.75" customHeight="1">
      <c r="A342" s="354"/>
      <c r="B342" s="355"/>
      <c r="C342" s="351"/>
      <c r="D342" s="328"/>
      <c r="E342" s="326"/>
      <c r="F342" s="333"/>
      <c r="G342" s="333"/>
      <c r="H342" s="333"/>
      <c r="I342" s="333"/>
      <c r="J342" s="328"/>
      <c r="K342" s="328"/>
      <c r="L342" s="341"/>
      <c r="M342" s="328"/>
      <c r="N342" s="351"/>
      <c r="O342" s="356"/>
      <c r="P342" s="157"/>
      <c r="Q342" s="157"/>
      <c r="R342" s="157"/>
      <c r="S342" s="157"/>
      <c r="T342" s="157"/>
      <c r="U342" s="157"/>
      <c r="V342" s="157"/>
      <c r="W342" s="157"/>
      <c r="X342" s="157"/>
      <c r="Y342" s="157"/>
      <c r="Z342" s="157"/>
    </row>
    <row r="343" ht="33.75" customHeight="1">
      <c r="A343" s="354"/>
      <c r="B343" s="355"/>
      <c r="C343" s="351"/>
      <c r="D343" s="328"/>
      <c r="E343" s="326"/>
      <c r="F343" s="333"/>
      <c r="G343" s="333"/>
      <c r="H343" s="333"/>
      <c r="I343" s="333"/>
      <c r="J343" s="328"/>
      <c r="K343" s="328"/>
      <c r="L343" s="341"/>
      <c r="M343" s="328"/>
      <c r="N343" s="351"/>
      <c r="O343" s="356"/>
      <c r="P343" s="157"/>
      <c r="Q343" s="157"/>
      <c r="R343" s="157"/>
      <c r="S343" s="157"/>
      <c r="T343" s="157"/>
      <c r="U343" s="157"/>
      <c r="V343" s="157"/>
      <c r="W343" s="157"/>
      <c r="X343" s="157"/>
      <c r="Y343" s="157"/>
      <c r="Z343" s="157"/>
    </row>
    <row r="344" ht="33.75" customHeight="1">
      <c r="A344" s="354"/>
      <c r="B344" s="355"/>
      <c r="C344" s="351"/>
      <c r="D344" s="328"/>
      <c r="E344" s="326"/>
      <c r="F344" s="333"/>
      <c r="G344" s="333"/>
      <c r="H344" s="333"/>
      <c r="I344" s="333"/>
      <c r="J344" s="328"/>
      <c r="K344" s="328"/>
      <c r="L344" s="341"/>
      <c r="M344" s="328"/>
      <c r="N344" s="351"/>
      <c r="O344" s="356"/>
      <c r="P344" s="157"/>
      <c r="Q344" s="157"/>
      <c r="R344" s="157"/>
      <c r="S344" s="157"/>
      <c r="T344" s="157"/>
      <c r="U344" s="157"/>
      <c r="V344" s="157"/>
      <c r="W344" s="157"/>
      <c r="X344" s="157"/>
      <c r="Y344" s="157"/>
      <c r="Z344" s="157"/>
    </row>
    <row r="345" ht="33.75" customHeight="1">
      <c r="A345" s="354"/>
      <c r="B345" s="355"/>
      <c r="C345" s="351"/>
      <c r="D345" s="328"/>
      <c r="E345" s="326"/>
      <c r="F345" s="333"/>
      <c r="G345" s="333"/>
      <c r="H345" s="333"/>
      <c r="I345" s="333"/>
      <c r="J345" s="328"/>
      <c r="K345" s="328"/>
      <c r="L345" s="341"/>
      <c r="M345" s="328"/>
      <c r="N345" s="351"/>
      <c r="O345" s="356"/>
      <c r="P345" s="157"/>
      <c r="Q345" s="157"/>
      <c r="R345" s="157"/>
      <c r="S345" s="157"/>
      <c r="T345" s="157"/>
      <c r="U345" s="157"/>
      <c r="V345" s="157"/>
      <c r="W345" s="157"/>
      <c r="X345" s="157"/>
      <c r="Y345" s="157"/>
      <c r="Z345" s="157"/>
    </row>
    <row r="346" ht="33.75" customHeight="1">
      <c r="A346" s="354"/>
      <c r="B346" s="355"/>
      <c r="C346" s="351"/>
      <c r="D346" s="328"/>
      <c r="E346" s="326"/>
      <c r="F346" s="333"/>
      <c r="G346" s="333"/>
      <c r="H346" s="333"/>
      <c r="I346" s="333"/>
      <c r="J346" s="328"/>
      <c r="K346" s="328"/>
      <c r="L346" s="341"/>
      <c r="M346" s="328"/>
      <c r="N346" s="351"/>
      <c r="O346" s="356"/>
      <c r="P346" s="157"/>
      <c r="Q346" s="157"/>
      <c r="R346" s="157"/>
      <c r="S346" s="157"/>
      <c r="T346" s="157"/>
      <c r="U346" s="157"/>
      <c r="V346" s="157"/>
      <c r="W346" s="157"/>
      <c r="X346" s="157"/>
      <c r="Y346" s="157"/>
      <c r="Z346" s="157"/>
    </row>
    <row r="347" ht="33.75" customHeight="1">
      <c r="A347" s="354"/>
      <c r="B347" s="355"/>
      <c r="C347" s="351"/>
      <c r="D347" s="328"/>
      <c r="E347" s="326"/>
      <c r="F347" s="333"/>
      <c r="G347" s="333"/>
      <c r="H347" s="333"/>
      <c r="I347" s="333"/>
      <c r="J347" s="328"/>
      <c r="K347" s="328"/>
      <c r="L347" s="341"/>
      <c r="M347" s="328"/>
      <c r="N347" s="351"/>
      <c r="O347" s="356"/>
      <c r="P347" s="157"/>
      <c r="Q347" s="157"/>
      <c r="R347" s="157"/>
      <c r="S347" s="157"/>
      <c r="T347" s="157"/>
      <c r="U347" s="157"/>
      <c r="V347" s="157"/>
      <c r="W347" s="157"/>
      <c r="X347" s="157"/>
      <c r="Y347" s="157"/>
      <c r="Z347" s="157"/>
    </row>
    <row r="348" ht="33.75" customHeight="1">
      <c r="A348" s="354"/>
      <c r="B348" s="355"/>
      <c r="C348" s="351"/>
      <c r="D348" s="328"/>
      <c r="E348" s="326"/>
      <c r="F348" s="333"/>
      <c r="G348" s="333"/>
      <c r="H348" s="333"/>
      <c r="I348" s="333"/>
      <c r="J348" s="328"/>
      <c r="K348" s="328"/>
      <c r="L348" s="341"/>
      <c r="M348" s="328"/>
      <c r="N348" s="351"/>
      <c r="O348" s="356"/>
      <c r="P348" s="157"/>
      <c r="Q348" s="157"/>
      <c r="R348" s="157"/>
      <c r="S348" s="157"/>
      <c r="T348" s="157"/>
      <c r="U348" s="157"/>
      <c r="V348" s="157"/>
      <c r="W348" s="157"/>
      <c r="X348" s="157"/>
      <c r="Y348" s="157"/>
      <c r="Z348" s="157"/>
    </row>
    <row r="349" ht="33.75" customHeight="1">
      <c r="A349" s="354"/>
      <c r="B349" s="355"/>
      <c r="C349" s="351"/>
      <c r="D349" s="328"/>
      <c r="E349" s="326"/>
      <c r="F349" s="333"/>
      <c r="G349" s="333"/>
      <c r="H349" s="333"/>
      <c r="I349" s="333"/>
      <c r="J349" s="328"/>
      <c r="K349" s="328"/>
      <c r="L349" s="341"/>
      <c r="M349" s="328"/>
      <c r="N349" s="351"/>
      <c r="O349" s="356"/>
      <c r="P349" s="157"/>
      <c r="Q349" s="157"/>
      <c r="R349" s="157"/>
      <c r="S349" s="157"/>
      <c r="T349" s="157"/>
      <c r="U349" s="157"/>
      <c r="V349" s="157"/>
      <c r="W349" s="157"/>
      <c r="X349" s="157"/>
      <c r="Y349" s="157"/>
      <c r="Z349" s="157"/>
    </row>
    <row r="350" ht="33.75" customHeight="1">
      <c r="A350" s="354"/>
      <c r="B350" s="355"/>
      <c r="C350" s="351"/>
      <c r="D350" s="328"/>
      <c r="E350" s="326"/>
      <c r="F350" s="333"/>
      <c r="G350" s="333"/>
      <c r="H350" s="333"/>
      <c r="I350" s="333"/>
      <c r="J350" s="328"/>
      <c r="K350" s="328"/>
      <c r="L350" s="341"/>
      <c r="M350" s="328"/>
      <c r="N350" s="351"/>
      <c r="O350" s="356"/>
      <c r="P350" s="157"/>
      <c r="Q350" s="157"/>
      <c r="R350" s="157"/>
      <c r="S350" s="157"/>
      <c r="T350" s="157"/>
      <c r="U350" s="157"/>
      <c r="V350" s="157"/>
      <c r="W350" s="157"/>
      <c r="X350" s="157"/>
      <c r="Y350" s="157"/>
      <c r="Z350" s="157"/>
    </row>
    <row r="351" ht="33.75" customHeight="1">
      <c r="A351" s="354"/>
      <c r="B351" s="355"/>
      <c r="C351" s="351"/>
      <c r="D351" s="328"/>
      <c r="E351" s="326"/>
      <c r="F351" s="333"/>
      <c r="G351" s="333"/>
      <c r="H351" s="333"/>
      <c r="I351" s="333"/>
      <c r="J351" s="328"/>
      <c r="K351" s="328"/>
      <c r="L351" s="341"/>
      <c r="M351" s="328"/>
      <c r="N351" s="351"/>
      <c r="O351" s="356"/>
      <c r="P351" s="157"/>
      <c r="Q351" s="157"/>
      <c r="R351" s="157"/>
      <c r="S351" s="157"/>
      <c r="T351" s="157"/>
      <c r="U351" s="157"/>
      <c r="V351" s="157"/>
      <c r="W351" s="157"/>
      <c r="X351" s="157"/>
      <c r="Y351" s="157"/>
      <c r="Z351" s="157"/>
    </row>
    <row r="352" ht="33.75" customHeight="1">
      <c r="A352" s="354"/>
      <c r="B352" s="355"/>
      <c r="C352" s="351"/>
      <c r="D352" s="328"/>
      <c r="E352" s="326"/>
      <c r="F352" s="333"/>
      <c r="G352" s="333"/>
      <c r="H352" s="333"/>
      <c r="I352" s="333"/>
      <c r="J352" s="328"/>
      <c r="K352" s="328"/>
      <c r="L352" s="341"/>
      <c r="M352" s="328"/>
      <c r="N352" s="351"/>
      <c r="O352" s="356"/>
      <c r="P352" s="157"/>
      <c r="Q352" s="157"/>
      <c r="R352" s="157"/>
      <c r="S352" s="157"/>
      <c r="T352" s="157"/>
      <c r="U352" s="157"/>
      <c r="V352" s="157"/>
      <c r="W352" s="157"/>
      <c r="X352" s="157"/>
      <c r="Y352" s="157"/>
      <c r="Z352" s="157"/>
    </row>
    <row r="353" ht="33.75" customHeight="1">
      <c r="A353" s="354"/>
      <c r="B353" s="355"/>
      <c r="C353" s="351"/>
      <c r="D353" s="328"/>
      <c r="E353" s="326"/>
      <c r="F353" s="333"/>
      <c r="G353" s="333"/>
      <c r="H353" s="333"/>
      <c r="I353" s="333"/>
      <c r="J353" s="328"/>
      <c r="K353" s="328"/>
      <c r="L353" s="341"/>
      <c r="M353" s="328"/>
      <c r="N353" s="351"/>
      <c r="O353" s="356"/>
      <c r="P353" s="157"/>
      <c r="Q353" s="157"/>
      <c r="R353" s="157"/>
      <c r="S353" s="157"/>
      <c r="T353" s="157"/>
      <c r="U353" s="157"/>
      <c r="V353" s="157"/>
      <c r="W353" s="157"/>
      <c r="X353" s="157"/>
      <c r="Y353" s="157"/>
      <c r="Z353" s="157"/>
    </row>
    <row r="354" ht="33.75" customHeight="1">
      <c r="A354" s="354"/>
      <c r="B354" s="355"/>
      <c r="C354" s="351"/>
      <c r="D354" s="328"/>
      <c r="E354" s="326"/>
      <c r="F354" s="333"/>
      <c r="G354" s="333"/>
      <c r="H354" s="333"/>
      <c r="I354" s="333"/>
      <c r="J354" s="328"/>
      <c r="K354" s="328"/>
      <c r="L354" s="341"/>
      <c r="M354" s="328"/>
      <c r="N354" s="351"/>
      <c r="O354" s="356"/>
      <c r="P354" s="157"/>
      <c r="Q354" s="157"/>
      <c r="R354" s="157"/>
      <c r="S354" s="157"/>
      <c r="T354" s="157"/>
      <c r="U354" s="157"/>
      <c r="V354" s="157"/>
      <c r="W354" s="157"/>
      <c r="X354" s="157"/>
      <c r="Y354" s="157"/>
      <c r="Z354" s="157"/>
    </row>
    <row r="355" ht="33.75" customHeight="1">
      <c r="A355" s="354"/>
      <c r="B355" s="355"/>
      <c r="C355" s="351"/>
      <c r="D355" s="328"/>
      <c r="E355" s="326"/>
      <c r="F355" s="333"/>
      <c r="G355" s="333"/>
      <c r="H355" s="333"/>
      <c r="I355" s="333"/>
      <c r="J355" s="328"/>
      <c r="K355" s="328"/>
      <c r="L355" s="341"/>
      <c r="M355" s="328"/>
      <c r="N355" s="351"/>
      <c r="O355" s="356"/>
      <c r="P355" s="157"/>
      <c r="Q355" s="157"/>
      <c r="R355" s="157"/>
      <c r="S355" s="157"/>
      <c r="T355" s="157"/>
      <c r="U355" s="157"/>
      <c r="V355" s="157"/>
      <c r="W355" s="157"/>
      <c r="X355" s="157"/>
      <c r="Y355" s="157"/>
      <c r="Z355" s="157"/>
    </row>
    <row r="356" ht="33.75" customHeight="1">
      <c r="A356" s="354"/>
      <c r="B356" s="355"/>
      <c r="C356" s="351"/>
      <c r="D356" s="328"/>
      <c r="E356" s="326"/>
      <c r="F356" s="333"/>
      <c r="G356" s="333"/>
      <c r="H356" s="333"/>
      <c r="I356" s="333"/>
      <c r="J356" s="328"/>
      <c r="K356" s="328"/>
      <c r="L356" s="341"/>
      <c r="M356" s="328"/>
      <c r="N356" s="351"/>
      <c r="O356" s="356"/>
      <c r="P356" s="157"/>
      <c r="Q356" s="157"/>
      <c r="R356" s="157"/>
      <c r="S356" s="157"/>
      <c r="T356" s="157"/>
      <c r="U356" s="157"/>
      <c r="V356" s="157"/>
      <c r="W356" s="157"/>
      <c r="X356" s="157"/>
      <c r="Y356" s="157"/>
      <c r="Z356" s="157"/>
    </row>
    <row r="357" ht="33.75" customHeight="1">
      <c r="A357" s="354"/>
      <c r="B357" s="355"/>
      <c r="C357" s="351"/>
      <c r="D357" s="328"/>
      <c r="E357" s="326"/>
      <c r="F357" s="333"/>
      <c r="G357" s="333"/>
      <c r="H357" s="333"/>
      <c r="I357" s="333"/>
      <c r="J357" s="328"/>
      <c r="K357" s="328"/>
      <c r="L357" s="341"/>
      <c r="M357" s="328"/>
      <c r="N357" s="351"/>
      <c r="O357" s="356"/>
      <c r="P357" s="157"/>
      <c r="Q357" s="157"/>
      <c r="R357" s="157"/>
      <c r="S357" s="157"/>
      <c r="T357" s="157"/>
      <c r="U357" s="157"/>
      <c r="V357" s="157"/>
      <c r="W357" s="157"/>
      <c r="X357" s="157"/>
      <c r="Y357" s="157"/>
      <c r="Z357" s="157"/>
    </row>
    <row r="358" ht="33.75" customHeight="1">
      <c r="A358" s="354"/>
      <c r="B358" s="355"/>
      <c r="C358" s="351"/>
      <c r="D358" s="328"/>
      <c r="E358" s="326"/>
      <c r="F358" s="333"/>
      <c r="G358" s="333"/>
      <c r="H358" s="333"/>
      <c r="I358" s="333"/>
      <c r="J358" s="328"/>
      <c r="K358" s="328"/>
      <c r="L358" s="341"/>
      <c r="M358" s="328"/>
      <c r="N358" s="351"/>
      <c r="O358" s="356"/>
      <c r="P358" s="157"/>
      <c r="Q358" s="157"/>
      <c r="R358" s="157"/>
      <c r="S358" s="157"/>
      <c r="T358" s="157"/>
      <c r="U358" s="157"/>
      <c r="V358" s="157"/>
      <c r="W358" s="157"/>
      <c r="X358" s="157"/>
      <c r="Y358" s="157"/>
      <c r="Z358" s="157"/>
    </row>
    <row r="359" ht="33.75" customHeight="1">
      <c r="A359" s="354"/>
      <c r="B359" s="355"/>
      <c r="C359" s="351"/>
      <c r="D359" s="328"/>
      <c r="E359" s="326"/>
      <c r="F359" s="333"/>
      <c r="G359" s="333"/>
      <c r="H359" s="333"/>
      <c r="I359" s="333"/>
      <c r="J359" s="328"/>
      <c r="K359" s="328"/>
      <c r="L359" s="341"/>
      <c r="M359" s="328"/>
      <c r="N359" s="351"/>
      <c r="O359" s="356"/>
      <c r="P359" s="157"/>
      <c r="Q359" s="157"/>
      <c r="R359" s="157"/>
      <c r="S359" s="157"/>
      <c r="T359" s="157"/>
      <c r="U359" s="157"/>
      <c r="V359" s="157"/>
      <c r="W359" s="157"/>
      <c r="X359" s="157"/>
      <c r="Y359" s="157"/>
      <c r="Z359" s="157"/>
    </row>
    <row r="360" ht="33.75" customHeight="1">
      <c r="A360" s="354"/>
      <c r="B360" s="355"/>
      <c r="C360" s="351"/>
      <c r="D360" s="328"/>
      <c r="E360" s="326"/>
      <c r="F360" s="333"/>
      <c r="G360" s="333"/>
      <c r="H360" s="333"/>
      <c r="I360" s="333"/>
      <c r="J360" s="328"/>
      <c r="K360" s="328"/>
      <c r="L360" s="341"/>
      <c r="M360" s="328"/>
      <c r="N360" s="351"/>
      <c r="O360" s="356"/>
      <c r="P360" s="157"/>
      <c r="Q360" s="157"/>
      <c r="R360" s="157"/>
      <c r="S360" s="157"/>
      <c r="T360" s="157"/>
      <c r="U360" s="157"/>
      <c r="V360" s="157"/>
      <c r="W360" s="157"/>
      <c r="X360" s="157"/>
      <c r="Y360" s="157"/>
      <c r="Z360" s="157"/>
    </row>
    <row r="361" ht="33.75" customHeight="1">
      <c r="A361" s="354"/>
      <c r="B361" s="355"/>
      <c r="C361" s="351"/>
      <c r="D361" s="328"/>
      <c r="E361" s="326"/>
      <c r="F361" s="333"/>
      <c r="G361" s="333"/>
      <c r="H361" s="333"/>
      <c r="I361" s="333"/>
      <c r="J361" s="328"/>
      <c r="K361" s="328"/>
      <c r="L361" s="341"/>
      <c r="M361" s="328"/>
      <c r="N361" s="351"/>
      <c r="O361" s="356"/>
      <c r="P361" s="157"/>
      <c r="Q361" s="157"/>
      <c r="R361" s="157"/>
      <c r="S361" s="157"/>
      <c r="T361" s="157"/>
      <c r="U361" s="157"/>
      <c r="V361" s="157"/>
      <c r="W361" s="157"/>
      <c r="X361" s="157"/>
      <c r="Y361" s="157"/>
      <c r="Z361" s="157"/>
    </row>
    <row r="362" ht="33.75" customHeight="1">
      <c r="A362" s="354"/>
      <c r="B362" s="355"/>
      <c r="C362" s="351"/>
      <c r="D362" s="328"/>
      <c r="E362" s="326"/>
      <c r="F362" s="333"/>
      <c r="G362" s="333"/>
      <c r="H362" s="333"/>
      <c r="I362" s="333"/>
      <c r="J362" s="328"/>
      <c r="K362" s="328"/>
      <c r="L362" s="341"/>
      <c r="M362" s="328"/>
      <c r="N362" s="351"/>
      <c r="O362" s="356"/>
      <c r="P362" s="157"/>
      <c r="Q362" s="157"/>
      <c r="R362" s="157"/>
      <c r="S362" s="157"/>
      <c r="T362" s="157"/>
      <c r="U362" s="157"/>
      <c r="V362" s="157"/>
      <c r="W362" s="157"/>
      <c r="X362" s="157"/>
      <c r="Y362" s="157"/>
      <c r="Z362" s="157"/>
    </row>
    <row r="363" ht="33.75" customHeight="1">
      <c r="A363" s="354"/>
      <c r="B363" s="355"/>
      <c r="C363" s="351"/>
      <c r="D363" s="328"/>
      <c r="E363" s="326"/>
      <c r="F363" s="333"/>
      <c r="G363" s="333"/>
      <c r="H363" s="333"/>
      <c r="I363" s="333"/>
      <c r="J363" s="328"/>
      <c r="K363" s="328"/>
      <c r="L363" s="341"/>
      <c r="M363" s="328"/>
      <c r="N363" s="351"/>
      <c r="O363" s="356"/>
      <c r="P363" s="157"/>
      <c r="Q363" s="157"/>
      <c r="R363" s="157"/>
      <c r="S363" s="157"/>
      <c r="T363" s="157"/>
      <c r="U363" s="157"/>
      <c r="V363" s="157"/>
      <c r="W363" s="157"/>
      <c r="X363" s="157"/>
      <c r="Y363" s="157"/>
      <c r="Z363" s="157"/>
    </row>
    <row r="364" ht="33.75" customHeight="1">
      <c r="A364" s="354"/>
      <c r="B364" s="355"/>
      <c r="C364" s="351"/>
      <c r="D364" s="328"/>
      <c r="E364" s="326"/>
      <c r="F364" s="333"/>
      <c r="G364" s="333"/>
      <c r="H364" s="333"/>
      <c r="I364" s="333"/>
      <c r="J364" s="328"/>
      <c r="K364" s="328"/>
      <c r="L364" s="341"/>
      <c r="M364" s="328"/>
      <c r="N364" s="351"/>
      <c r="O364" s="356"/>
      <c r="P364" s="157"/>
      <c r="Q364" s="157"/>
      <c r="R364" s="157"/>
      <c r="S364" s="157"/>
      <c r="T364" s="157"/>
      <c r="U364" s="157"/>
      <c r="V364" s="157"/>
      <c r="W364" s="157"/>
      <c r="X364" s="157"/>
      <c r="Y364" s="157"/>
      <c r="Z364" s="157"/>
    </row>
    <row r="365" ht="33.75" customHeight="1">
      <c r="A365" s="354"/>
      <c r="B365" s="355"/>
      <c r="C365" s="351"/>
      <c r="D365" s="328"/>
      <c r="E365" s="326"/>
      <c r="F365" s="333"/>
      <c r="G365" s="333"/>
      <c r="H365" s="333"/>
      <c r="I365" s="333"/>
      <c r="J365" s="328"/>
      <c r="K365" s="328"/>
      <c r="L365" s="341"/>
      <c r="M365" s="328"/>
      <c r="N365" s="351"/>
      <c r="O365" s="356"/>
      <c r="P365" s="157"/>
      <c r="Q365" s="157"/>
      <c r="R365" s="157"/>
      <c r="S365" s="157"/>
      <c r="T365" s="157"/>
      <c r="U365" s="157"/>
      <c r="V365" s="157"/>
      <c r="W365" s="157"/>
      <c r="X365" s="157"/>
      <c r="Y365" s="157"/>
      <c r="Z365" s="157"/>
    </row>
    <row r="366" ht="33.75" customHeight="1">
      <c r="A366" s="354"/>
      <c r="B366" s="355"/>
      <c r="C366" s="351"/>
      <c r="D366" s="328"/>
      <c r="E366" s="326"/>
      <c r="F366" s="333"/>
      <c r="G366" s="333"/>
      <c r="H366" s="333"/>
      <c r="I366" s="333"/>
      <c r="J366" s="328"/>
      <c r="K366" s="328"/>
      <c r="L366" s="341"/>
      <c r="M366" s="328"/>
      <c r="N366" s="351"/>
      <c r="O366" s="356"/>
      <c r="P366" s="157"/>
      <c r="Q366" s="157"/>
      <c r="R366" s="157"/>
      <c r="S366" s="157"/>
      <c r="T366" s="157"/>
      <c r="U366" s="157"/>
      <c r="V366" s="157"/>
      <c r="W366" s="157"/>
      <c r="X366" s="157"/>
      <c r="Y366" s="157"/>
      <c r="Z366" s="157"/>
    </row>
    <row r="367" ht="33.75" customHeight="1">
      <c r="A367" s="354"/>
      <c r="B367" s="355"/>
      <c r="C367" s="351"/>
      <c r="D367" s="328"/>
      <c r="E367" s="326"/>
      <c r="F367" s="333"/>
      <c r="G367" s="333"/>
      <c r="H367" s="333"/>
      <c r="I367" s="333"/>
      <c r="J367" s="328"/>
      <c r="K367" s="328"/>
      <c r="L367" s="341"/>
      <c r="M367" s="328"/>
      <c r="N367" s="351"/>
      <c r="O367" s="356"/>
      <c r="P367" s="157"/>
      <c r="Q367" s="157"/>
      <c r="R367" s="157"/>
      <c r="S367" s="157"/>
      <c r="T367" s="157"/>
      <c r="U367" s="157"/>
      <c r="V367" s="157"/>
      <c r="W367" s="157"/>
      <c r="X367" s="157"/>
      <c r="Y367" s="157"/>
      <c r="Z367" s="157"/>
    </row>
    <row r="368" ht="33.75" customHeight="1">
      <c r="A368" s="354"/>
      <c r="B368" s="355"/>
      <c r="C368" s="351"/>
      <c r="D368" s="328"/>
      <c r="E368" s="326"/>
      <c r="F368" s="333"/>
      <c r="G368" s="333"/>
      <c r="H368" s="333"/>
      <c r="I368" s="333"/>
      <c r="J368" s="328"/>
      <c r="K368" s="328"/>
      <c r="L368" s="341"/>
      <c r="M368" s="328"/>
      <c r="N368" s="351"/>
      <c r="O368" s="356"/>
      <c r="P368" s="157"/>
      <c r="Q368" s="157"/>
      <c r="R368" s="157"/>
      <c r="S368" s="157"/>
      <c r="T368" s="157"/>
      <c r="U368" s="157"/>
      <c r="V368" s="157"/>
      <c r="W368" s="157"/>
      <c r="X368" s="157"/>
      <c r="Y368" s="157"/>
      <c r="Z368" s="157"/>
    </row>
    <row r="369" ht="33.75" customHeight="1">
      <c r="A369" s="354"/>
      <c r="B369" s="355"/>
      <c r="C369" s="351"/>
      <c r="D369" s="328"/>
      <c r="E369" s="326"/>
      <c r="F369" s="333"/>
      <c r="G369" s="333"/>
      <c r="H369" s="333"/>
      <c r="I369" s="333"/>
      <c r="J369" s="328"/>
      <c r="K369" s="328"/>
      <c r="L369" s="341"/>
      <c r="M369" s="328"/>
      <c r="N369" s="351"/>
      <c r="O369" s="356"/>
      <c r="P369" s="157"/>
      <c r="Q369" s="157"/>
      <c r="R369" s="157"/>
      <c r="S369" s="157"/>
      <c r="T369" s="157"/>
      <c r="U369" s="157"/>
      <c r="V369" s="157"/>
      <c r="W369" s="157"/>
      <c r="X369" s="157"/>
      <c r="Y369" s="157"/>
      <c r="Z369" s="157"/>
    </row>
    <row r="370" ht="33.75" customHeight="1">
      <c r="A370" s="354"/>
      <c r="B370" s="355"/>
      <c r="C370" s="351"/>
      <c r="D370" s="328"/>
      <c r="E370" s="326"/>
      <c r="F370" s="333"/>
      <c r="G370" s="333"/>
      <c r="H370" s="333"/>
      <c r="I370" s="333"/>
      <c r="J370" s="328"/>
      <c r="K370" s="328"/>
      <c r="L370" s="341"/>
      <c r="M370" s="328"/>
      <c r="N370" s="351"/>
      <c r="O370" s="356"/>
      <c r="P370" s="157"/>
      <c r="Q370" s="157"/>
      <c r="R370" s="157"/>
      <c r="S370" s="157"/>
      <c r="T370" s="157"/>
      <c r="U370" s="157"/>
      <c r="V370" s="157"/>
      <c r="W370" s="157"/>
      <c r="X370" s="157"/>
      <c r="Y370" s="157"/>
      <c r="Z370" s="157"/>
    </row>
    <row r="371" ht="33.75" customHeight="1">
      <c r="A371" s="354"/>
      <c r="B371" s="355"/>
      <c r="C371" s="351"/>
      <c r="D371" s="328"/>
      <c r="E371" s="326"/>
      <c r="F371" s="333"/>
      <c r="G371" s="333"/>
      <c r="H371" s="333"/>
      <c r="I371" s="333"/>
      <c r="J371" s="328"/>
      <c r="K371" s="328"/>
      <c r="L371" s="341"/>
      <c r="M371" s="328"/>
      <c r="N371" s="351"/>
      <c r="O371" s="356"/>
      <c r="P371" s="157"/>
      <c r="Q371" s="157"/>
      <c r="R371" s="157"/>
      <c r="S371" s="157"/>
      <c r="T371" s="157"/>
      <c r="U371" s="157"/>
      <c r="V371" s="157"/>
      <c r="W371" s="157"/>
      <c r="X371" s="157"/>
      <c r="Y371" s="157"/>
      <c r="Z371" s="157"/>
    </row>
    <row r="372" ht="33.75" customHeight="1">
      <c r="A372" s="354"/>
      <c r="B372" s="355"/>
      <c r="C372" s="351"/>
      <c r="D372" s="328"/>
      <c r="E372" s="326"/>
      <c r="F372" s="333"/>
      <c r="G372" s="333"/>
      <c r="H372" s="333"/>
      <c r="I372" s="333"/>
      <c r="J372" s="328"/>
      <c r="K372" s="328"/>
      <c r="L372" s="341"/>
      <c r="M372" s="328"/>
      <c r="N372" s="351"/>
      <c r="O372" s="356"/>
      <c r="P372" s="157"/>
      <c r="Q372" s="157"/>
      <c r="R372" s="157"/>
      <c r="S372" s="157"/>
      <c r="T372" s="157"/>
      <c r="U372" s="157"/>
      <c r="V372" s="157"/>
      <c r="W372" s="157"/>
      <c r="X372" s="157"/>
      <c r="Y372" s="157"/>
      <c r="Z372" s="157"/>
    </row>
    <row r="373" ht="33.75" customHeight="1">
      <c r="A373" s="354"/>
      <c r="B373" s="355"/>
      <c r="C373" s="351"/>
      <c r="D373" s="328"/>
      <c r="E373" s="326"/>
      <c r="F373" s="333"/>
      <c r="G373" s="333"/>
      <c r="H373" s="333"/>
      <c r="I373" s="333"/>
      <c r="J373" s="328"/>
      <c r="K373" s="328"/>
      <c r="L373" s="341"/>
      <c r="M373" s="328"/>
      <c r="N373" s="351"/>
      <c r="O373" s="356"/>
      <c r="P373" s="157"/>
      <c r="Q373" s="157"/>
      <c r="R373" s="157"/>
      <c r="S373" s="157"/>
      <c r="T373" s="157"/>
      <c r="U373" s="157"/>
      <c r="V373" s="157"/>
      <c r="W373" s="157"/>
      <c r="X373" s="157"/>
      <c r="Y373" s="157"/>
      <c r="Z373" s="157"/>
    </row>
    <row r="374" ht="33.75" customHeight="1">
      <c r="A374" s="354"/>
      <c r="B374" s="355"/>
      <c r="C374" s="351"/>
      <c r="D374" s="328"/>
      <c r="E374" s="326"/>
      <c r="F374" s="333"/>
      <c r="G374" s="333"/>
      <c r="H374" s="333"/>
      <c r="I374" s="333"/>
      <c r="J374" s="328"/>
      <c r="K374" s="328"/>
      <c r="L374" s="341"/>
      <c r="M374" s="328"/>
      <c r="N374" s="351"/>
      <c r="O374" s="356"/>
      <c r="P374" s="157"/>
      <c r="Q374" s="157"/>
      <c r="R374" s="157"/>
      <c r="S374" s="157"/>
      <c r="T374" s="157"/>
      <c r="U374" s="157"/>
      <c r="V374" s="157"/>
      <c r="W374" s="157"/>
      <c r="X374" s="157"/>
      <c r="Y374" s="157"/>
      <c r="Z374" s="157"/>
    </row>
    <row r="375" ht="33.75" customHeight="1">
      <c r="A375" s="354"/>
      <c r="B375" s="355"/>
      <c r="C375" s="351"/>
      <c r="D375" s="328"/>
      <c r="E375" s="326"/>
      <c r="F375" s="333"/>
      <c r="G375" s="333"/>
      <c r="H375" s="333"/>
      <c r="I375" s="333"/>
      <c r="J375" s="328"/>
      <c r="K375" s="328"/>
      <c r="L375" s="341"/>
      <c r="M375" s="328"/>
      <c r="N375" s="351"/>
      <c r="O375" s="356"/>
      <c r="P375" s="157"/>
      <c r="Q375" s="157"/>
      <c r="R375" s="157"/>
      <c r="S375" s="157"/>
      <c r="T375" s="157"/>
      <c r="U375" s="157"/>
      <c r="V375" s="157"/>
      <c r="W375" s="157"/>
      <c r="X375" s="157"/>
      <c r="Y375" s="157"/>
      <c r="Z375" s="157"/>
    </row>
    <row r="376" ht="33.75" customHeight="1">
      <c r="A376" s="354"/>
      <c r="B376" s="355"/>
      <c r="C376" s="351"/>
      <c r="D376" s="328"/>
      <c r="E376" s="326"/>
      <c r="F376" s="333"/>
      <c r="G376" s="333"/>
      <c r="H376" s="333"/>
      <c r="I376" s="333"/>
      <c r="J376" s="328"/>
      <c r="K376" s="328"/>
      <c r="L376" s="341"/>
      <c r="M376" s="328"/>
      <c r="N376" s="351"/>
      <c r="O376" s="356"/>
      <c r="P376" s="157"/>
      <c r="Q376" s="157"/>
      <c r="R376" s="157"/>
      <c r="S376" s="157"/>
      <c r="T376" s="157"/>
      <c r="U376" s="157"/>
      <c r="V376" s="157"/>
      <c r="W376" s="157"/>
      <c r="X376" s="157"/>
      <c r="Y376" s="157"/>
      <c r="Z376" s="157"/>
    </row>
    <row r="377" ht="33.75" customHeight="1">
      <c r="A377" s="354"/>
      <c r="B377" s="355"/>
      <c r="C377" s="351"/>
      <c r="D377" s="328"/>
      <c r="E377" s="326"/>
      <c r="F377" s="333"/>
      <c r="G377" s="333"/>
      <c r="H377" s="333"/>
      <c r="I377" s="333"/>
      <c r="J377" s="328"/>
      <c r="K377" s="328"/>
      <c r="L377" s="341"/>
      <c r="M377" s="328"/>
      <c r="N377" s="351"/>
      <c r="O377" s="356"/>
      <c r="P377" s="157"/>
      <c r="Q377" s="157"/>
      <c r="R377" s="157"/>
      <c r="S377" s="157"/>
      <c r="T377" s="157"/>
      <c r="U377" s="157"/>
      <c r="V377" s="157"/>
      <c r="W377" s="157"/>
      <c r="X377" s="157"/>
      <c r="Y377" s="157"/>
      <c r="Z377" s="157"/>
    </row>
    <row r="378" ht="33.75" customHeight="1">
      <c r="A378" s="354"/>
      <c r="B378" s="355"/>
      <c r="C378" s="351"/>
      <c r="D378" s="328"/>
      <c r="E378" s="326"/>
      <c r="F378" s="333"/>
      <c r="G378" s="333"/>
      <c r="H378" s="333"/>
      <c r="I378" s="333"/>
      <c r="J378" s="328"/>
      <c r="K378" s="328"/>
      <c r="L378" s="341"/>
      <c r="M378" s="328"/>
      <c r="N378" s="351"/>
      <c r="O378" s="356"/>
      <c r="P378" s="157"/>
      <c r="Q378" s="157"/>
      <c r="R378" s="157"/>
      <c r="S378" s="157"/>
      <c r="T378" s="157"/>
      <c r="U378" s="157"/>
      <c r="V378" s="157"/>
      <c r="W378" s="157"/>
      <c r="X378" s="157"/>
      <c r="Y378" s="157"/>
      <c r="Z378" s="157"/>
    </row>
    <row r="379" ht="33.75" customHeight="1">
      <c r="A379" s="354"/>
      <c r="B379" s="355"/>
      <c r="C379" s="351"/>
      <c r="D379" s="328"/>
      <c r="E379" s="326"/>
      <c r="F379" s="333"/>
      <c r="G379" s="333"/>
      <c r="H379" s="333"/>
      <c r="I379" s="333"/>
      <c r="J379" s="328"/>
      <c r="K379" s="328"/>
      <c r="L379" s="341"/>
      <c r="M379" s="328"/>
      <c r="N379" s="351"/>
      <c r="O379" s="356"/>
      <c r="P379" s="157"/>
      <c r="Q379" s="157"/>
      <c r="R379" s="157"/>
      <c r="S379" s="157"/>
      <c r="T379" s="157"/>
      <c r="U379" s="157"/>
      <c r="V379" s="157"/>
      <c r="W379" s="157"/>
      <c r="X379" s="157"/>
      <c r="Y379" s="157"/>
      <c r="Z379" s="157"/>
    </row>
    <row r="380" ht="33.75" customHeight="1">
      <c r="A380" s="354"/>
      <c r="B380" s="355"/>
      <c r="C380" s="351"/>
      <c r="D380" s="328"/>
      <c r="E380" s="326"/>
      <c r="F380" s="333"/>
      <c r="G380" s="333"/>
      <c r="H380" s="333"/>
      <c r="I380" s="333"/>
      <c r="J380" s="328"/>
      <c r="K380" s="328"/>
      <c r="L380" s="341"/>
      <c r="M380" s="328"/>
      <c r="N380" s="351"/>
      <c r="O380" s="356"/>
      <c r="P380" s="157"/>
      <c r="Q380" s="157"/>
      <c r="R380" s="157"/>
      <c r="S380" s="157"/>
      <c r="T380" s="157"/>
      <c r="U380" s="157"/>
      <c r="V380" s="157"/>
      <c r="W380" s="157"/>
      <c r="X380" s="157"/>
      <c r="Y380" s="157"/>
      <c r="Z380" s="157"/>
    </row>
    <row r="381" ht="33.75" customHeight="1">
      <c r="A381" s="354"/>
      <c r="B381" s="355"/>
      <c r="C381" s="351"/>
      <c r="D381" s="328"/>
      <c r="E381" s="326"/>
      <c r="F381" s="333"/>
      <c r="G381" s="333"/>
      <c r="H381" s="333"/>
      <c r="I381" s="333"/>
      <c r="J381" s="328"/>
      <c r="K381" s="328"/>
      <c r="L381" s="341"/>
      <c r="M381" s="328"/>
      <c r="N381" s="351"/>
      <c r="O381" s="356"/>
      <c r="P381" s="157"/>
      <c r="Q381" s="157"/>
      <c r="R381" s="157"/>
      <c r="S381" s="157"/>
      <c r="T381" s="157"/>
      <c r="U381" s="157"/>
      <c r="V381" s="157"/>
      <c r="W381" s="157"/>
      <c r="X381" s="157"/>
      <c r="Y381" s="157"/>
      <c r="Z381" s="157"/>
    </row>
    <row r="382" ht="33.75" customHeight="1">
      <c r="A382" s="354"/>
      <c r="B382" s="355"/>
      <c r="C382" s="351"/>
      <c r="D382" s="328"/>
      <c r="E382" s="326"/>
      <c r="F382" s="333"/>
      <c r="G382" s="333"/>
      <c r="H382" s="333"/>
      <c r="I382" s="333"/>
      <c r="J382" s="328"/>
      <c r="K382" s="328"/>
      <c r="L382" s="341"/>
      <c r="M382" s="328"/>
      <c r="N382" s="351"/>
      <c r="O382" s="356"/>
      <c r="P382" s="157"/>
      <c r="Q382" s="157"/>
      <c r="R382" s="157"/>
      <c r="S382" s="157"/>
      <c r="T382" s="157"/>
      <c r="U382" s="157"/>
      <c r="V382" s="157"/>
      <c r="W382" s="157"/>
      <c r="X382" s="157"/>
      <c r="Y382" s="157"/>
      <c r="Z382" s="157"/>
    </row>
    <row r="383" ht="33.75" customHeight="1">
      <c r="A383" s="354"/>
      <c r="B383" s="355"/>
      <c r="C383" s="351"/>
      <c r="D383" s="328"/>
      <c r="E383" s="326"/>
      <c r="F383" s="333"/>
      <c r="G383" s="333"/>
      <c r="H383" s="333"/>
      <c r="I383" s="333"/>
      <c r="J383" s="328"/>
      <c r="K383" s="328"/>
      <c r="L383" s="341"/>
      <c r="M383" s="328"/>
      <c r="N383" s="351"/>
      <c r="O383" s="356"/>
      <c r="P383" s="157"/>
      <c r="Q383" s="157"/>
      <c r="R383" s="157"/>
      <c r="S383" s="157"/>
      <c r="T383" s="157"/>
      <c r="U383" s="157"/>
      <c r="V383" s="157"/>
      <c r="W383" s="157"/>
      <c r="X383" s="157"/>
      <c r="Y383" s="157"/>
      <c r="Z383" s="157"/>
    </row>
    <row r="384" ht="33.75" customHeight="1">
      <c r="A384" s="354"/>
      <c r="B384" s="355"/>
      <c r="C384" s="351"/>
      <c r="D384" s="328"/>
      <c r="E384" s="326"/>
      <c r="F384" s="333"/>
      <c r="G384" s="333"/>
      <c r="H384" s="333"/>
      <c r="I384" s="333"/>
      <c r="J384" s="328"/>
      <c r="K384" s="328"/>
      <c r="L384" s="341"/>
      <c r="M384" s="328"/>
      <c r="N384" s="351"/>
      <c r="O384" s="356"/>
      <c r="P384" s="157"/>
      <c r="Q384" s="157"/>
      <c r="R384" s="157"/>
      <c r="S384" s="157"/>
      <c r="T384" s="157"/>
      <c r="U384" s="157"/>
      <c r="V384" s="157"/>
      <c r="W384" s="157"/>
      <c r="X384" s="157"/>
      <c r="Y384" s="157"/>
      <c r="Z384" s="157"/>
    </row>
    <row r="385" ht="33.75" customHeight="1">
      <c r="A385" s="354"/>
      <c r="B385" s="355"/>
      <c r="C385" s="351"/>
      <c r="D385" s="328"/>
      <c r="E385" s="326"/>
      <c r="F385" s="333"/>
      <c r="G385" s="333"/>
      <c r="H385" s="333"/>
      <c r="I385" s="333"/>
      <c r="J385" s="328"/>
      <c r="K385" s="328"/>
      <c r="L385" s="341"/>
      <c r="M385" s="328"/>
      <c r="N385" s="351"/>
      <c r="O385" s="356"/>
      <c r="P385" s="157"/>
      <c r="Q385" s="157"/>
      <c r="R385" s="157"/>
      <c r="S385" s="157"/>
      <c r="T385" s="157"/>
      <c r="U385" s="157"/>
      <c r="V385" s="157"/>
      <c r="W385" s="157"/>
      <c r="X385" s="157"/>
      <c r="Y385" s="157"/>
      <c r="Z385" s="157"/>
    </row>
    <row r="386" ht="33.75" customHeight="1">
      <c r="A386" s="354"/>
      <c r="B386" s="355"/>
      <c r="C386" s="351"/>
      <c r="D386" s="328"/>
      <c r="E386" s="326"/>
      <c r="F386" s="333"/>
      <c r="G386" s="333"/>
      <c r="H386" s="333"/>
      <c r="I386" s="333"/>
      <c r="J386" s="328"/>
      <c r="K386" s="328"/>
      <c r="L386" s="341"/>
      <c r="M386" s="328"/>
      <c r="N386" s="351"/>
      <c r="O386" s="356"/>
      <c r="P386" s="157"/>
      <c r="Q386" s="157"/>
      <c r="R386" s="157"/>
      <c r="S386" s="157"/>
      <c r="T386" s="157"/>
      <c r="U386" s="157"/>
      <c r="V386" s="157"/>
      <c r="W386" s="157"/>
      <c r="X386" s="157"/>
      <c r="Y386" s="157"/>
      <c r="Z386" s="157"/>
    </row>
    <row r="387" ht="33.75" customHeight="1">
      <c r="A387" s="354"/>
      <c r="B387" s="355"/>
      <c r="C387" s="351"/>
      <c r="D387" s="328"/>
      <c r="E387" s="326"/>
      <c r="F387" s="333"/>
      <c r="G387" s="333"/>
      <c r="H387" s="333"/>
      <c r="I387" s="333"/>
      <c r="J387" s="328"/>
      <c r="K387" s="328"/>
      <c r="L387" s="341"/>
      <c r="M387" s="328"/>
      <c r="N387" s="351"/>
      <c r="O387" s="356"/>
      <c r="P387" s="157"/>
      <c r="Q387" s="157"/>
      <c r="R387" s="157"/>
      <c r="S387" s="157"/>
      <c r="T387" s="157"/>
      <c r="U387" s="157"/>
      <c r="V387" s="157"/>
      <c r="W387" s="157"/>
      <c r="X387" s="157"/>
      <c r="Y387" s="157"/>
      <c r="Z387" s="157"/>
    </row>
    <row r="388" ht="33.75" customHeight="1">
      <c r="A388" s="354"/>
      <c r="B388" s="355"/>
      <c r="C388" s="351"/>
      <c r="D388" s="328"/>
      <c r="E388" s="326"/>
      <c r="F388" s="333"/>
      <c r="G388" s="333"/>
      <c r="H388" s="333"/>
      <c r="I388" s="333"/>
      <c r="J388" s="328"/>
      <c r="K388" s="328"/>
      <c r="L388" s="341"/>
      <c r="M388" s="328"/>
      <c r="N388" s="351"/>
      <c r="O388" s="356"/>
      <c r="P388" s="157"/>
      <c r="Q388" s="157"/>
      <c r="R388" s="157"/>
      <c r="S388" s="157"/>
      <c r="T388" s="157"/>
      <c r="U388" s="157"/>
      <c r="V388" s="157"/>
      <c r="W388" s="157"/>
      <c r="X388" s="157"/>
      <c r="Y388" s="157"/>
      <c r="Z388" s="157"/>
    </row>
    <row r="389" ht="33.75" customHeight="1">
      <c r="A389" s="354"/>
      <c r="B389" s="355"/>
      <c r="C389" s="351"/>
      <c r="D389" s="328"/>
      <c r="E389" s="326"/>
      <c r="F389" s="333"/>
      <c r="G389" s="333"/>
      <c r="H389" s="333"/>
      <c r="I389" s="333"/>
      <c r="J389" s="328"/>
      <c r="K389" s="328"/>
      <c r="L389" s="341"/>
      <c r="M389" s="328"/>
      <c r="N389" s="351"/>
      <c r="O389" s="356"/>
      <c r="P389" s="157"/>
      <c r="Q389" s="157"/>
      <c r="R389" s="157"/>
      <c r="S389" s="157"/>
      <c r="T389" s="157"/>
      <c r="U389" s="157"/>
      <c r="V389" s="157"/>
      <c r="W389" s="157"/>
      <c r="X389" s="157"/>
      <c r="Y389" s="157"/>
      <c r="Z389" s="157"/>
    </row>
    <row r="390" ht="33.75" customHeight="1">
      <c r="A390" s="354"/>
      <c r="B390" s="355"/>
      <c r="C390" s="351"/>
      <c r="D390" s="328"/>
      <c r="E390" s="326"/>
      <c r="F390" s="333"/>
      <c r="G390" s="333"/>
      <c r="H390" s="333"/>
      <c r="I390" s="333"/>
      <c r="J390" s="328"/>
      <c r="K390" s="328"/>
      <c r="L390" s="341"/>
      <c r="M390" s="328"/>
      <c r="N390" s="351"/>
      <c r="O390" s="356"/>
      <c r="P390" s="157"/>
      <c r="Q390" s="157"/>
      <c r="R390" s="157"/>
      <c r="S390" s="157"/>
      <c r="T390" s="157"/>
      <c r="U390" s="157"/>
      <c r="V390" s="157"/>
      <c r="W390" s="157"/>
      <c r="X390" s="157"/>
      <c r="Y390" s="157"/>
      <c r="Z390" s="157"/>
    </row>
    <row r="391" ht="33.75" customHeight="1">
      <c r="A391" s="354"/>
      <c r="B391" s="355"/>
      <c r="C391" s="351"/>
      <c r="D391" s="328"/>
      <c r="E391" s="326"/>
      <c r="F391" s="333"/>
      <c r="G391" s="333"/>
      <c r="H391" s="333"/>
      <c r="I391" s="333"/>
      <c r="J391" s="328"/>
      <c r="K391" s="328"/>
      <c r="L391" s="341"/>
      <c r="M391" s="328"/>
      <c r="N391" s="351"/>
      <c r="O391" s="356"/>
      <c r="P391" s="157"/>
      <c r="Q391" s="157"/>
      <c r="R391" s="157"/>
      <c r="S391" s="157"/>
      <c r="T391" s="157"/>
      <c r="U391" s="157"/>
      <c r="V391" s="157"/>
      <c r="W391" s="157"/>
      <c r="X391" s="157"/>
      <c r="Y391" s="157"/>
      <c r="Z391" s="157"/>
    </row>
    <row r="392" ht="33.75" customHeight="1">
      <c r="A392" s="354"/>
      <c r="B392" s="355"/>
      <c r="C392" s="351"/>
      <c r="D392" s="328"/>
      <c r="E392" s="326"/>
      <c r="F392" s="333"/>
      <c r="G392" s="333"/>
      <c r="H392" s="333"/>
      <c r="I392" s="333"/>
      <c r="J392" s="328"/>
      <c r="K392" s="328"/>
      <c r="L392" s="341"/>
      <c r="M392" s="328"/>
      <c r="N392" s="351"/>
      <c r="O392" s="356"/>
      <c r="P392" s="157"/>
      <c r="Q392" s="157"/>
      <c r="R392" s="157"/>
      <c r="S392" s="157"/>
      <c r="T392" s="157"/>
      <c r="U392" s="157"/>
      <c r="V392" s="157"/>
      <c r="W392" s="157"/>
      <c r="X392" s="157"/>
      <c r="Y392" s="157"/>
      <c r="Z392" s="157"/>
    </row>
    <row r="393" ht="33.75" customHeight="1">
      <c r="A393" s="354"/>
      <c r="B393" s="355"/>
      <c r="C393" s="351"/>
      <c r="D393" s="328"/>
      <c r="E393" s="326"/>
      <c r="F393" s="333"/>
      <c r="G393" s="333"/>
      <c r="H393" s="333"/>
      <c r="I393" s="333"/>
      <c r="J393" s="328"/>
      <c r="K393" s="328"/>
      <c r="L393" s="341"/>
      <c r="M393" s="328"/>
      <c r="N393" s="351"/>
      <c r="O393" s="356"/>
      <c r="P393" s="157"/>
      <c r="Q393" s="157"/>
      <c r="R393" s="157"/>
      <c r="S393" s="157"/>
      <c r="T393" s="157"/>
      <c r="U393" s="157"/>
      <c r="V393" s="157"/>
      <c r="W393" s="157"/>
      <c r="X393" s="157"/>
      <c r="Y393" s="157"/>
      <c r="Z393" s="157"/>
    </row>
    <row r="394" ht="33.75" customHeight="1">
      <c r="A394" s="354"/>
      <c r="B394" s="355"/>
      <c r="C394" s="351"/>
      <c r="D394" s="328"/>
      <c r="E394" s="326"/>
      <c r="F394" s="333"/>
      <c r="G394" s="333"/>
      <c r="H394" s="333"/>
      <c r="I394" s="333"/>
      <c r="J394" s="328"/>
      <c r="K394" s="328"/>
      <c r="L394" s="341"/>
      <c r="M394" s="328"/>
      <c r="N394" s="351"/>
      <c r="O394" s="356"/>
      <c r="P394" s="157"/>
      <c r="Q394" s="157"/>
      <c r="R394" s="157"/>
      <c r="S394" s="157"/>
      <c r="T394" s="157"/>
      <c r="U394" s="157"/>
      <c r="V394" s="157"/>
      <c r="W394" s="157"/>
      <c r="X394" s="157"/>
      <c r="Y394" s="157"/>
      <c r="Z394" s="157"/>
    </row>
    <row r="395" ht="33.75" customHeight="1">
      <c r="A395" s="354"/>
      <c r="B395" s="355"/>
      <c r="C395" s="351"/>
      <c r="D395" s="328"/>
      <c r="E395" s="326"/>
      <c r="F395" s="333"/>
      <c r="G395" s="333"/>
      <c r="H395" s="333"/>
      <c r="I395" s="333"/>
      <c r="J395" s="328"/>
      <c r="K395" s="328"/>
      <c r="L395" s="341"/>
      <c r="M395" s="328"/>
      <c r="N395" s="351"/>
      <c r="O395" s="356"/>
      <c r="P395" s="157"/>
      <c r="Q395" s="157"/>
      <c r="R395" s="157"/>
      <c r="S395" s="157"/>
      <c r="T395" s="157"/>
      <c r="U395" s="157"/>
      <c r="V395" s="157"/>
      <c r="W395" s="157"/>
      <c r="X395" s="157"/>
      <c r="Y395" s="157"/>
      <c r="Z395" s="157"/>
    </row>
    <row r="396" ht="33.75" customHeight="1">
      <c r="A396" s="354"/>
      <c r="B396" s="355"/>
      <c r="C396" s="351"/>
      <c r="D396" s="328"/>
      <c r="E396" s="326"/>
      <c r="F396" s="333"/>
      <c r="G396" s="333"/>
      <c r="H396" s="333"/>
      <c r="I396" s="333"/>
      <c r="J396" s="328"/>
      <c r="K396" s="328"/>
      <c r="L396" s="341"/>
      <c r="M396" s="328"/>
      <c r="N396" s="351"/>
      <c r="O396" s="356"/>
      <c r="P396" s="157"/>
      <c r="Q396" s="157"/>
      <c r="R396" s="157"/>
      <c r="S396" s="157"/>
      <c r="T396" s="157"/>
      <c r="U396" s="157"/>
      <c r="V396" s="157"/>
      <c r="W396" s="157"/>
      <c r="X396" s="157"/>
      <c r="Y396" s="157"/>
      <c r="Z396" s="157"/>
    </row>
    <row r="397" ht="33.75" customHeight="1">
      <c r="A397" s="354"/>
      <c r="B397" s="355"/>
      <c r="C397" s="351"/>
      <c r="D397" s="328"/>
      <c r="E397" s="326"/>
      <c r="F397" s="333"/>
      <c r="G397" s="333"/>
      <c r="H397" s="333"/>
      <c r="I397" s="333"/>
      <c r="J397" s="328"/>
      <c r="K397" s="328"/>
      <c r="L397" s="341"/>
      <c r="M397" s="328"/>
      <c r="N397" s="351"/>
      <c r="O397" s="356"/>
      <c r="P397" s="157"/>
      <c r="Q397" s="157"/>
      <c r="R397" s="157"/>
      <c r="S397" s="157"/>
      <c r="T397" s="157"/>
      <c r="U397" s="157"/>
      <c r="V397" s="157"/>
      <c r="W397" s="157"/>
      <c r="X397" s="157"/>
      <c r="Y397" s="157"/>
      <c r="Z397" s="157"/>
    </row>
    <row r="398" ht="33.75" customHeight="1">
      <c r="A398" s="354"/>
      <c r="B398" s="355"/>
      <c r="C398" s="351"/>
      <c r="D398" s="328"/>
      <c r="E398" s="326"/>
      <c r="F398" s="333"/>
      <c r="G398" s="333"/>
      <c r="H398" s="333"/>
      <c r="I398" s="333"/>
      <c r="J398" s="328"/>
      <c r="K398" s="328"/>
      <c r="L398" s="341"/>
      <c r="M398" s="328"/>
      <c r="N398" s="351"/>
      <c r="O398" s="356"/>
      <c r="P398" s="157"/>
      <c r="Q398" s="157"/>
      <c r="R398" s="157"/>
      <c r="S398" s="157"/>
      <c r="T398" s="157"/>
      <c r="U398" s="157"/>
      <c r="V398" s="157"/>
      <c r="W398" s="157"/>
      <c r="X398" s="157"/>
      <c r="Y398" s="157"/>
      <c r="Z398" s="157"/>
    </row>
    <row r="399" ht="33.75" customHeight="1">
      <c r="A399" s="354"/>
      <c r="B399" s="355"/>
      <c r="C399" s="351"/>
      <c r="D399" s="328"/>
      <c r="E399" s="326"/>
      <c r="F399" s="333"/>
      <c r="G399" s="333"/>
      <c r="H399" s="333"/>
      <c r="I399" s="333"/>
      <c r="J399" s="328"/>
      <c r="K399" s="328"/>
      <c r="L399" s="341"/>
      <c r="M399" s="328"/>
      <c r="N399" s="351"/>
      <c r="O399" s="356"/>
      <c r="P399" s="157"/>
      <c r="Q399" s="157"/>
      <c r="R399" s="157"/>
      <c r="S399" s="157"/>
      <c r="T399" s="157"/>
      <c r="U399" s="157"/>
      <c r="V399" s="157"/>
      <c r="W399" s="157"/>
      <c r="X399" s="157"/>
      <c r="Y399" s="157"/>
      <c r="Z399" s="157"/>
    </row>
    <row r="400" ht="33.75" customHeight="1">
      <c r="A400" s="354"/>
      <c r="B400" s="355"/>
      <c r="C400" s="351"/>
      <c r="D400" s="328"/>
      <c r="E400" s="326"/>
      <c r="F400" s="333"/>
      <c r="G400" s="333"/>
      <c r="H400" s="333"/>
      <c r="I400" s="333"/>
      <c r="J400" s="328"/>
      <c r="K400" s="328"/>
      <c r="L400" s="341"/>
      <c r="M400" s="328"/>
      <c r="N400" s="351"/>
      <c r="O400" s="356"/>
      <c r="P400" s="157"/>
      <c r="Q400" s="157"/>
      <c r="R400" s="157"/>
      <c r="S400" s="157"/>
      <c r="T400" s="157"/>
      <c r="U400" s="157"/>
      <c r="V400" s="157"/>
      <c r="W400" s="157"/>
      <c r="X400" s="157"/>
      <c r="Y400" s="157"/>
      <c r="Z400" s="157"/>
    </row>
    <row r="401" ht="33.75" customHeight="1">
      <c r="A401" s="354"/>
      <c r="B401" s="355"/>
      <c r="C401" s="351"/>
      <c r="D401" s="328"/>
      <c r="E401" s="326"/>
      <c r="F401" s="333"/>
      <c r="G401" s="333"/>
      <c r="H401" s="333"/>
      <c r="I401" s="333"/>
      <c r="J401" s="328"/>
      <c r="K401" s="328"/>
      <c r="L401" s="341"/>
      <c r="M401" s="328"/>
      <c r="N401" s="351"/>
      <c r="O401" s="356"/>
      <c r="P401" s="157"/>
      <c r="Q401" s="157"/>
      <c r="R401" s="157"/>
      <c r="S401" s="157"/>
      <c r="T401" s="157"/>
      <c r="U401" s="157"/>
      <c r="V401" s="157"/>
      <c r="W401" s="157"/>
      <c r="X401" s="157"/>
      <c r="Y401" s="157"/>
      <c r="Z401" s="157"/>
    </row>
    <row r="402" ht="33.75" customHeight="1">
      <c r="A402" s="354"/>
      <c r="B402" s="355"/>
      <c r="C402" s="351"/>
      <c r="D402" s="328"/>
      <c r="E402" s="326"/>
      <c r="F402" s="333"/>
      <c r="G402" s="333"/>
      <c r="H402" s="333"/>
      <c r="I402" s="333"/>
      <c r="J402" s="328"/>
      <c r="K402" s="328"/>
      <c r="L402" s="341"/>
      <c r="M402" s="328"/>
      <c r="N402" s="351"/>
      <c r="O402" s="356"/>
      <c r="P402" s="157"/>
      <c r="Q402" s="157"/>
      <c r="R402" s="157"/>
      <c r="S402" s="157"/>
      <c r="T402" s="157"/>
      <c r="U402" s="157"/>
      <c r="V402" s="157"/>
      <c r="W402" s="157"/>
      <c r="X402" s="157"/>
      <c r="Y402" s="157"/>
      <c r="Z402" s="157"/>
    </row>
    <row r="403" ht="33.75" customHeight="1">
      <c r="A403" s="354"/>
      <c r="B403" s="355"/>
      <c r="C403" s="351"/>
      <c r="D403" s="328"/>
      <c r="E403" s="326"/>
      <c r="F403" s="333"/>
      <c r="G403" s="333"/>
      <c r="H403" s="333"/>
      <c r="I403" s="333"/>
      <c r="J403" s="328"/>
      <c r="K403" s="328"/>
      <c r="L403" s="341"/>
      <c r="M403" s="328"/>
      <c r="N403" s="351"/>
      <c r="O403" s="356"/>
      <c r="P403" s="157"/>
      <c r="Q403" s="157"/>
      <c r="R403" s="157"/>
      <c r="S403" s="157"/>
      <c r="T403" s="157"/>
      <c r="U403" s="157"/>
      <c r="V403" s="157"/>
      <c r="W403" s="157"/>
      <c r="X403" s="157"/>
      <c r="Y403" s="157"/>
      <c r="Z403" s="157"/>
    </row>
    <row r="404" ht="33.75" customHeight="1">
      <c r="A404" s="354"/>
      <c r="B404" s="355"/>
      <c r="C404" s="351"/>
      <c r="D404" s="328"/>
      <c r="E404" s="326"/>
      <c r="F404" s="333"/>
      <c r="G404" s="333"/>
      <c r="H404" s="333"/>
      <c r="I404" s="333"/>
      <c r="J404" s="328"/>
      <c r="K404" s="328"/>
      <c r="L404" s="341"/>
      <c r="M404" s="328"/>
      <c r="N404" s="351"/>
      <c r="O404" s="356"/>
      <c r="P404" s="157"/>
      <c r="Q404" s="157"/>
      <c r="R404" s="157"/>
      <c r="S404" s="157"/>
      <c r="T404" s="157"/>
      <c r="U404" s="157"/>
      <c r="V404" s="157"/>
      <c r="W404" s="157"/>
      <c r="X404" s="157"/>
      <c r="Y404" s="157"/>
      <c r="Z404" s="157"/>
    </row>
    <row r="405" ht="33.75" customHeight="1">
      <c r="A405" s="354"/>
      <c r="B405" s="355"/>
      <c r="C405" s="351"/>
      <c r="D405" s="328"/>
      <c r="E405" s="326"/>
      <c r="F405" s="333"/>
      <c r="G405" s="333"/>
      <c r="H405" s="333"/>
      <c r="I405" s="333"/>
      <c r="J405" s="328"/>
      <c r="K405" s="328"/>
      <c r="L405" s="341"/>
      <c r="M405" s="328"/>
      <c r="N405" s="351"/>
      <c r="O405" s="356"/>
      <c r="P405" s="157"/>
      <c r="Q405" s="157"/>
      <c r="R405" s="157"/>
      <c r="S405" s="157"/>
      <c r="T405" s="157"/>
      <c r="U405" s="157"/>
      <c r="V405" s="157"/>
      <c r="W405" s="157"/>
      <c r="X405" s="157"/>
      <c r="Y405" s="157"/>
      <c r="Z405" s="157"/>
    </row>
    <row r="406" ht="33.75" customHeight="1">
      <c r="A406" s="354"/>
      <c r="B406" s="355"/>
      <c r="C406" s="351"/>
      <c r="D406" s="328"/>
      <c r="E406" s="326"/>
      <c r="F406" s="333"/>
      <c r="G406" s="333"/>
      <c r="H406" s="333"/>
      <c r="I406" s="333"/>
      <c r="J406" s="328"/>
      <c r="K406" s="328"/>
      <c r="L406" s="341"/>
      <c r="M406" s="328"/>
      <c r="N406" s="351"/>
      <c r="O406" s="356"/>
      <c r="P406" s="157"/>
      <c r="Q406" s="157"/>
      <c r="R406" s="157"/>
      <c r="S406" s="157"/>
      <c r="T406" s="157"/>
      <c r="U406" s="157"/>
      <c r="V406" s="157"/>
      <c r="W406" s="157"/>
      <c r="X406" s="157"/>
      <c r="Y406" s="157"/>
      <c r="Z406" s="157"/>
    </row>
    <row r="407" ht="33.75" customHeight="1">
      <c r="A407" s="354"/>
      <c r="B407" s="355"/>
      <c r="C407" s="351"/>
      <c r="D407" s="328"/>
      <c r="E407" s="326"/>
      <c r="F407" s="333"/>
      <c r="G407" s="333"/>
      <c r="H407" s="333"/>
      <c r="I407" s="333"/>
      <c r="J407" s="328"/>
      <c r="K407" s="328"/>
      <c r="L407" s="341"/>
      <c r="M407" s="328"/>
      <c r="N407" s="351"/>
      <c r="O407" s="356"/>
      <c r="P407" s="157"/>
      <c r="Q407" s="157"/>
      <c r="R407" s="157"/>
      <c r="S407" s="157"/>
      <c r="T407" s="157"/>
      <c r="U407" s="157"/>
      <c r="V407" s="157"/>
      <c r="W407" s="157"/>
      <c r="X407" s="157"/>
      <c r="Y407" s="157"/>
      <c r="Z407" s="157"/>
    </row>
    <row r="408" ht="33.75" customHeight="1">
      <c r="A408" s="354"/>
      <c r="B408" s="355"/>
      <c r="C408" s="351"/>
      <c r="D408" s="328"/>
      <c r="E408" s="326"/>
      <c r="F408" s="333"/>
      <c r="G408" s="333"/>
      <c r="H408" s="333"/>
      <c r="I408" s="333"/>
      <c r="J408" s="328"/>
      <c r="K408" s="328"/>
      <c r="L408" s="341"/>
      <c r="M408" s="328"/>
      <c r="N408" s="351"/>
      <c r="O408" s="356"/>
      <c r="P408" s="157"/>
      <c r="Q408" s="157"/>
      <c r="R408" s="157"/>
      <c r="S408" s="157"/>
      <c r="T408" s="157"/>
      <c r="U408" s="157"/>
      <c r="V408" s="157"/>
      <c r="W408" s="157"/>
      <c r="X408" s="157"/>
      <c r="Y408" s="157"/>
      <c r="Z408" s="157"/>
    </row>
    <row r="409" ht="33.75" customHeight="1">
      <c r="A409" s="354"/>
      <c r="B409" s="355"/>
      <c r="C409" s="351"/>
      <c r="D409" s="328"/>
      <c r="E409" s="326"/>
      <c r="F409" s="333"/>
      <c r="G409" s="333"/>
      <c r="H409" s="333"/>
      <c r="I409" s="333"/>
      <c r="J409" s="328"/>
      <c r="K409" s="328"/>
      <c r="L409" s="341"/>
      <c r="M409" s="328"/>
      <c r="N409" s="351"/>
      <c r="O409" s="356"/>
      <c r="P409" s="157"/>
      <c r="Q409" s="157"/>
      <c r="R409" s="157"/>
      <c r="S409" s="157"/>
      <c r="T409" s="157"/>
      <c r="U409" s="157"/>
      <c r="V409" s="157"/>
      <c r="W409" s="157"/>
      <c r="X409" s="157"/>
      <c r="Y409" s="157"/>
      <c r="Z409" s="157"/>
    </row>
    <row r="410" ht="33.75" customHeight="1">
      <c r="A410" s="354"/>
      <c r="B410" s="355"/>
      <c r="C410" s="351"/>
      <c r="D410" s="328"/>
      <c r="E410" s="326"/>
      <c r="F410" s="333"/>
      <c r="G410" s="333"/>
      <c r="H410" s="333"/>
      <c r="I410" s="333"/>
      <c r="J410" s="328"/>
      <c r="K410" s="328"/>
      <c r="L410" s="341"/>
      <c r="M410" s="328"/>
      <c r="N410" s="351"/>
      <c r="O410" s="356"/>
      <c r="P410" s="157"/>
      <c r="Q410" s="157"/>
      <c r="R410" s="157"/>
      <c r="S410" s="157"/>
      <c r="T410" s="157"/>
      <c r="U410" s="157"/>
      <c r="V410" s="157"/>
      <c r="W410" s="157"/>
      <c r="X410" s="157"/>
      <c r="Y410" s="157"/>
      <c r="Z410" s="157"/>
    </row>
    <row r="411" ht="33.75" customHeight="1">
      <c r="A411" s="354"/>
      <c r="B411" s="355"/>
      <c r="C411" s="351"/>
      <c r="D411" s="328"/>
      <c r="E411" s="326"/>
      <c r="F411" s="333"/>
      <c r="G411" s="333"/>
      <c r="H411" s="333"/>
      <c r="I411" s="333"/>
      <c r="J411" s="328"/>
      <c r="K411" s="328"/>
      <c r="L411" s="341"/>
      <c r="M411" s="328"/>
      <c r="N411" s="351"/>
      <c r="O411" s="356"/>
      <c r="P411" s="157"/>
      <c r="Q411" s="157"/>
      <c r="R411" s="157"/>
      <c r="S411" s="157"/>
      <c r="T411" s="157"/>
      <c r="U411" s="157"/>
      <c r="V411" s="157"/>
      <c r="W411" s="157"/>
      <c r="X411" s="157"/>
      <c r="Y411" s="157"/>
      <c r="Z411" s="157"/>
    </row>
    <row r="412" ht="33.75" customHeight="1">
      <c r="A412" s="354"/>
      <c r="B412" s="355"/>
      <c r="C412" s="351"/>
      <c r="D412" s="328"/>
      <c r="E412" s="326"/>
      <c r="F412" s="333"/>
      <c r="G412" s="333"/>
      <c r="H412" s="333"/>
      <c r="I412" s="333"/>
      <c r="J412" s="328"/>
      <c r="K412" s="328"/>
      <c r="L412" s="341"/>
      <c r="M412" s="328"/>
      <c r="N412" s="351"/>
      <c r="O412" s="356"/>
      <c r="P412" s="157"/>
      <c r="Q412" s="157"/>
      <c r="R412" s="157"/>
      <c r="S412" s="157"/>
      <c r="T412" s="157"/>
      <c r="U412" s="157"/>
      <c r="V412" s="157"/>
      <c r="W412" s="157"/>
      <c r="X412" s="157"/>
      <c r="Y412" s="157"/>
      <c r="Z412" s="157"/>
    </row>
    <row r="413" ht="33.75" customHeight="1">
      <c r="A413" s="354"/>
      <c r="B413" s="355"/>
      <c r="C413" s="351"/>
      <c r="D413" s="328"/>
      <c r="E413" s="326"/>
      <c r="F413" s="333"/>
      <c r="G413" s="333"/>
      <c r="H413" s="333"/>
      <c r="I413" s="333"/>
      <c r="J413" s="328"/>
      <c r="K413" s="328"/>
      <c r="L413" s="341"/>
      <c r="M413" s="328"/>
      <c r="N413" s="351"/>
      <c r="O413" s="356"/>
      <c r="P413" s="157"/>
      <c r="Q413" s="157"/>
      <c r="R413" s="157"/>
      <c r="S413" s="157"/>
      <c r="T413" s="157"/>
      <c r="U413" s="157"/>
      <c r="V413" s="157"/>
      <c r="W413" s="157"/>
      <c r="X413" s="157"/>
      <c r="Y413" s="157"/>
      <c r="Z413" s="157"/>
    </row>
    <row r="414" ht="33.75" customHeight="1">
      <c r="A414" s="354"/>
      <c r="B414" s="355"/>
      <c r="C414" s="351"/>
      <c r="D414" s="328"/>
      <c r="E414" s="326"/>
      <c r="F414" s="333"/>
      <c r="G414" s="333"/>
      <c r="H414" s="333"/>
      <c r="I414" s="333"/>
      <c r="J414" s="328"/>
      <c r="K414" s="328"/>
      <c r="L414" s="341"/>
      <c r="M414" s="328"/>
      <c r="N414" s="351"/>
      <c r="O414" s="356"/>
      <c r="P414" s="157"/>
      <c r="Q414" s="157"/>
      <c r="R414" s="157"/>
      <c r="S414" s="157"/>
      <c r="T414" s="157"/>
      <c r="U414" s="157"/>
      <c r="V414" s="157"/>
      <c r="W414" s="157"/>
      <c r="X414" s="157"/>
      <c r="Y414" s="157"/>
      <c r="Z414" s="157"/>
    </row>
    <row r="415" ht="33.75" customHeight="1">
      <c r="A415" s="354"/>
      <c r="B415" s="355"/>
      <c r="C415" s="351"/>
      <c r="D415" s="328"/>
      <c r="E415" s="326"/>
      <c r="F415" s="333"/>
      <c r="G415" s="333"/>
      <c r="H415" s="333"/>
      <c r="I415" s="333"/>
      <c r="J415" s="328"/>
      <c r="K415" s="328"/>
      <c r="L415" s="341"/>
      <c r="M415" s="328"/>
      <c r="N415" s="351"/>
      <c r="O415" s="356"/>
      <c r="P415" s="157"/>
      <c r="Q415" s="157"/>
      <c r="R415" s="157"/>
      <c r="S415" s="157"/>
      <c r="T415" s="157"/>
      <c r="U415" s="157"/>
      <c r="V415" s="157"/>
      <c r="W415" s="157"/>
      <c r="X415" s="157"/>
      <c r="Y415" s="157"/>
      <c r="Z415" s="157"/>
    </row>
    <row r="416" ht="33.75" customHeight="1">
      <c r="A416" s="354"/>
      <c r="B416" s="355"/>
      <c r="C416" s="351"/>
      <c r="D416" s="328"/>
      <c r="E416" s="326"/>
      <c r="F416" s="333"/>
      <c r="G416" s="333"/>
      <c r="H416" s="333"/>
      <c r="I416" s="333"/>
      <c r="J416" s="328"/>
      <c r="K416" s="328"/>
      <c r="L416" s="341"/>
      <c r="M416" s="328"/>
      <c r="N416" s="351"/>
      <c r="O416" s="356"/>
      <c r="P416" s="157"/>
      <c r="Q416" s="157"/>
      <c r="R416" s="157"/>
      <c r="S416" s="157"/>
      <c r="T416" s="157"/>
      <c r="U416" s="157"/>
      <c r="V416" s="157"/>
      <c r="W416" s="157"/>
      <c r="X416" s="157"/>
      <c r="Y416" s="157"/>
      <c r="Z416" s="157"/>
    </row>
    <row r="417" ht="33.75" customHeight="1">
      <c r="A417" s="354"/>
      <c r="B417" s="355"/>
      <c r="C417" s="351"/>
      <c r="D417" s="328"/>
      <c r="E417" s="326"/>
      <c r="F417" s="333"/>
      <c r="G417" s="333"/>
      <c r="H417" s="333"/>
      <c r="I417" s="333"/>
      <c r="J417" s="328"/>
      <c r="K417" s="328"/>
      <c r="L417" s="341"/>
      <c r="M417" s="328"/>
      <c r="N417" s="351"/>
      <c r="O417" s="356"/>
      <c r="P417" s="157"/>
      <c r="Q417" s="157"/>
      <c r="R417" s="157"/>
      <c r="S417" s="157"/>
      <c r="T417" s="157"/>
      <c r="U417" s="157"/>
      <c r="V417" s="157"/>
      <c r="W417" s="157"/>
      <c r="X417" s="157"/>
      <c r="Y417" s="157"/>
      <c r="Z417" s="157"/>
    </row>
    <row r="418" ht="33.75" customHeight="1">
      <c r="A418" s="354"/>
      <c r="B418" s="355"/>
      <c r="C418" s="351"/>
      <c r="D418" s="328"/>
      <c r="E418" s="326"/>
      <c r="F418" s="333"/>
      <c r="G418" s="333"/>
      <c r="H418" s="333"/>
      <c r="I418" s="333"/>
      <c r="J418" s="328"/>
      <c r="K418" s="328"/>
      <c r="L418" s="341"/>
      <c r="M418" s="328"/>
      <c r="N418" s="351"/>
      <c r="O418" s="356"/>
      <c r="P418" s="157"/>
      <c r="Q418" s="157"/>
      <c r="R418" s="157"/>
      <c r="S418" s="157"/>
      <c r="T418" s="157"/>
      <c r="U418" s="157"/>
      <c r="V418" s="157"/>
      <c r="W418" s="157"/>
      <c r="X418" s="157"/>
      <c r="Y418" s="157"/>
      <c r="Z418" s="157"/>
    </row>
    <row r="419" ht="33.75" customHeight="1">
      <c r="A419" s="354"/>
      <c r="B419" s="355"/>
      <c r="C419" s="351"/>
      <c r="D419" s="328"/>
      <c r="E419" s="326"/>
      <c r="F419" s="333"/>
      <c r="G419" s="333"/>
      <c r="H419" s="333"/>
      <c r="I419" s="333"/>
      <c r="J419" s="328"/>
      <c r="K419" s="328"/>
      <c r="L419" s="341"/>
      <c r="M419" s="328"/>
      <c r="N419" s="351"/>
      <c r="O419" s="356"/>
      <c r="P419" s="157"/>
      <c r="Q419" s="157"/>
      <c r="R419" s="157"/>
      <c r="S419" s="157"/>
      <c r="T419" s="157"/>
      <c r="U419" s="157"/>
      <c r="V419" s="157"/>
      <c r="W419" s="157"/>
      <c r="X419" s="157"/>
      <c r="Y419" s="157"/>
      <c r="Z419" s="157"/>
    </row>
    <row r="420" ht="33.75" customHeight="1">
      <c r="A420" s="354"/>
      <c r="B420" s="355"/>
      <c r="C420" s="351"/>
      <c r="D420" s="328"/>
      <c r="E420" s="326"/>
      <c r="F420" s="333"/>
      <c r="G420" s="333"/>
      <c r="H420" s="333"/>
      <c r="I420" s="333"/>
      <c r="J420" s="328"/>
      <c r="K420" s="328"/>
      <c r="L420" s="341"/>
      <c r="M420" s="328"/>
      <c r="N420" s="351"/>
      <c r="O420" s="356"/>
      <c r="P420" s="157"/>
      <c r="Q420" s="157"/>
      <c r="R420" s="157"/>
      <c r="S420" s="157"/>
      <c r="T420" s="157"/>
      <c r="U420" s="157"/>
      <c r="V420" s="157"/>
      <c r="W420" s="157"/>
      <c r="X420" s="157"/>
      <c r="Y420" s="157"/>
      <c r="Z420" s="157"/>
    </row>
    <row r="421" ht="33.75" customHeight="1">
      <c r="A421" s="354"/>
      <c r="B421" s="355"/>
      <c r="C421" s="351"/>
      <c r="D421" s="328"/>
      <c r="E421" s="326"/>
      <c r="F421" s="333"/>
      <c r="G421" s="333"/>
      <c r="H421" s="333"/>
      <c r="I421" s="333"/>
      <c r="J421" s="328"/>
      <c r="K421" s="328"/>
      <c r="L421" s="341"/>
      <c r="M421" s="328"/>
      <c r="N421" s="351"/>
      <c r="O421" s="356"/>
      <c r="P421" s="157"/>
      <c r="Q421" s="157"/>
      <c r="R421" s="157"/>
      <c r="S421" s="157"/>
      <c r="T421" s="157"/>
      <c r="U421" s="157"/>
      <c r="V421" s="157"/>
      <c r="W421" s="157"/>
      <c r="X421" s="157"/>
      <c r="Y421" s="157"/>
      <c r="Z421" s="157"/>
    </row>
    <row r="422" ht="33.75" customHeight="1">
      <c r="A422" s="354"/>
      <c r="B422" s="355"/>
      <c r="C422" s="351"/>
      <c r="D422" s="328"/>
      <c r="E422" s="326"/>
      <c r="F422" s="333"/>
      <c r="G422" s="333"/>
      <c r="H422" s="333"/>
      <c r="I422" s="333"/>
      <c r="J422" s="328"/>
      <c r="K422" s="328"/>
      <c r="L422" s="341"/>
      <c r="M422" s="328"/>
      <c r="N422" s="351"/>
      <c r="O422" s="356"/>
      <c r="P422" s="157"/>
      <c r="Q422" s="157"/>
      <c r="R422" s="157"/>
      <c r="S422" s="157"/>
      <c r="T422" s="157"/>
      <c r="U422" s="157"/>
      <c r="V422" s="157"/>
      <c r="W422" s="157"/>
      <c r="X422" s="157"/>
      <c r="Y422" s="157"/>
      <c r="Z422" s="157"/>
    </row>
    <row r="423" ht="33.75" customHeight="1">
      <c r="A423" s="354"/>
      <c r="B423" s="355"/>
      <c r="C423" s="351"/>
      <c r="D423" s="328"/>
      <c r="E423" s="326"/>
      <c r="F423" s="333"/>
      <c r="G423" s="333"/>
      <c r="H423" s="333"/>
      <c r="I423" s="333"/>
      <c r="J423" s="328"/>
      <c r="K423" s="328"/>
      <c r="L423" s="341"/>
      <c r="M423" s="328"/>
      <c r="N423" s="351"/>
      <c r="O423" s="356"/>
      <c r="P423" s="157"/>
      <c r="Q423" s="157"/>
      <c r="R423" s="157"/>
      <c r="S423" s="157"/>
      <c r="T423" s="157"/>
      <c r="U423" s="157"/>
      <c r="V423" s="157"/>
      <c r="W423" s="157"/>
      <c r="X423" s="157"/>
      <c r="Y423" s="157"/>
      <c r="Z423" s="157"/>
    </row>
    <row r="424" ht="33.75" customHeight="1">
      <c r="A424" s="354"/>
      <c r="B424" s="355"/>
      <c r="C424" s="351"/>
      <c r="D424" s="328"/>
      <c r="E424" s="326"/>
      <c r="F424" s="333"/>
      <c r="G424" s="333"/>
      <c r="H424" s="333"/>
      <c r="I424" s="333"/>
      <c r="J424" s="328"/>
      <c r="K424" s="328"/>
      <c r="L424" s="341"/>
      <c r="M424" s="328"/>
      <c r="N424" s="351"/>
      <c r="O424" s="356"/>
      <c r="P424" s="157"/>
      <c r="Q424" s="157"/>
      <c r="R424" s="157"/>
      <c r="S424" s="157"/>
      <c r="T424" s="157"/>
      <c r="U424" s="157"/>
      <c r="V424" s="157"/>
      <c r="W424" s="157"/>
      <c r="X424" s="157"/>
      <c r="Y424" s="157"/>
      <c r="Z424" s="157"/>
    </row>
    <row r="425" ht="33.75" customHeight="1">
      <c r="A425" s="354"/>
      <c r="B425" s="355"/>
      <c r="C425" s="351"/>
      <c r="D425" s="328"/>
      <c r="E425" s="326"/>
      <c r="F425" s="333"/>
      <c r="G425" s="333"/>
      <c r="H425" s="333"/>
      <c r="I425" s="333"/>
      <c r="J425" s="328"/>
      <c r="K425" s="328"/>
      <c r="L425" s="341"/>
      <c r="M425" s="328"/>
      <c r="N425" s="351"/>
      <c r="O425" s="356"/>
      <c r="P425" s="157"/>
      <c r="Q425" s="157"/>
      <c r="R425" s="157"/>
      <c r="S425" s="157"/>
      <c r="T425" s="157"/>
      <c r="U425" s="157"/>
      <c r="V425" s="157"/>
      <c r="W425" s="157"/>
      <c r="X425" s="157"/>
      <c r="Y425" s="157"/>
      <c r="Z425" s="157"/>
    </row>
    <row r="426" ht="33.75" customHeight="1">
      <c r="A426" s="354"/>
      <c r="B426" s="355"/>
      <c r="C426" s="351"/>
      <c r="D426" s="328"/>
      <c r="E426" s="326"/>
      <c r="F426" s="333"/>
      <c r="G426" s="333"/>
      <c r="H426" s="333"/>
      <c r="I426" s="333"/>
      <c r="J426" s="328"/>
      <c r="K426" s="328"/>
      <c r="L426" s="341"/>
      <c r="M426" s="328"/>
      <c r="N426" s="351"/>
      <c r="O426" s="356"/>
      <c r="P426" s="157"/>
      <c r="Q426" s="157"/>
      <c r="R426" s="157"/>
      <c r="S426" s="157"/>
      <c r="T426" s="157"/>
      <c r="U426" s="157"/>
      <c r="V426" s="157"/>
      <c r="W426" s="157"/>
      <c r="X426" s="157"/>
      <c r="Y426" s="157"/>
      <c r="Z426" s="157"/>
    </row>
    <row r="427" ht="33.75" customHeight="1">
      <c r="A427" s="354"/>
      <c r="B427" s="355"/>
      <c r="C427" s="351"/>
      <c r="D427" s="328"/>
      <c r="E427" s="326"/>
      <c r="F427" s="333"/>
      <c r="G427" s="333"/>
      <c r="H427" s="333"/>
      <c r="I427" s="333"/>
      <c r="J427" s="328"/>
      <c r="K427" s="328"/>
      <c r="L427" s="341"/>
      <c r="M427" s="328"/>
      <c r="N427" s="351"/>
      <c r="O427" s="356"/>
      <c r="P427" s="157"/>
      <c r="Q427" s="157"/>
      <c r="R427" s="157"/>
      <c r="S427" s="157"/>
      <c r="T427" s="157"/>
      <c r="U427" s="157"/>
      <c r="V427" s="157"/>
      <c r="W427" s="157"/>
      <c r="X427" s="157"/>
      <c r="Y427" s="157"/>
      <c r="Z427" s="157"/>
    </row>
    <row r="428" ht="33.75" customHeight="1">
      <c r="A428" s="354"/>
      <c r="B428" s="355"/>
      <c r="C428" s="351"/>
      <c r="D428" s="328"/>
      <c r="E428" s="326"/>
      <c r="F428" s="333"/>
      <c r="G428" s="333"/>
      <c r="H428" s="333"/>
      <c r="I428" s="333"/>
      <c r="J428" s="328"/>
      <c r="K428" s="328"/>
      <c r="L428" s="341"/>
      <c r="M428" s="328"/>
      <c r="N428" s="351"/>
      <c r="O428" s="356"/>
      <c r="P428" s="157"/>
      <c r="Q428" s="157"/>
      <c r="R428" s="157"/>
      <c r="S428" s="157"/>
      <c r="T428" s="157"/>
      <c r="U428" s="157"/>
      <c r="V428" s="157"/>
      <c r="W428" s="157"/>
      <c r="X428" s="157"/>
      <c r="Y428" s="157"/>
      <c r="Z428" s="157"/>
    </row>
    <row r="429" ht="33.75" customHeight="1">
      <c r="A429" s="354"/>
      <c r="B429" s="355"/>
      <c r="C429" s="351"/>
      <c r="D429" s="328"/>
      <c r="E429" s="326"/>
      <c r="F429" s="333"/>
      <c r="G429" s="333"/>
      <c r="H429" s="333"/>
      <c r="I429" s="333"/>
      <c r="J429" s="328"/>
      <c r="K429" s="328"/>
      <c r="L429" s="341"/>
      <c r="M429" s="328"/>
      <c r="N429" s="351"/>
      <c r="O429" s="356"/>
      <c r="P429" s="157"/>
      <c r="Q429" s="157"/>
      <c r="R429" s="157"/>
      <c r="S429" s="157"/>
      <c r="T429" s="157"/>
      <c r="U429" s="157"/>
      <c r="V429" s="157"/>
      <c r="W429" s="157"/>
      <c r="X429" s="157"/>
      <c r="Y429" s="157"/>
      <c r="Z429" s="157"/>
    </row>
    <row r="430" ht="33.75" customHeight="1">
      <c r="A430" s="354"/>
      <c r="B430" s="355"/>
      <c r="C430" s="351"/>
      <c r="D430" s="328"/>
      <c r="E430" s="326"/>
      <c r="F430" s="333"/>
      <c r="G430" s="333"/>
      <c r="H430" s="333"/>
      <c r="I430" s="333"/>
      <c r="J430" s="328"/>
      <c r="K430" s="328"/>
      <c r="L430" s="341"/>
      <c r="M430" s="328"/>
      <c r="N430" s="351"/>
      <c r="O430" s="356"/>
      <c r="P430" s="157"/>
      <c r="Q430" s="157"/>
      <c r="R430" s="157"/>
      <c r="S430" s="157"/>
      <c r="T430" s="157"/>
      <c r="U430" s="157"/>
      <c r="V430" s="157"/>
      <c r="W430" s="157"/>
      <c r="X430" s="157"/>
      <c r="Y430" s="157"/>
      <c r="Z430" s="157"/>
    </row>
    <row r="431" ht="33.75" customHeight="1">
      <c r="A431" s="354"/>
      <c r="B431" s="355"/>
      <c r="C431" s="351"/>
      <c r="D431" s="328"/>
      <c r="E431" s="326"/>
      <c r="F431" s="333"/>
      <c r="G431" s="333"/>
      <c r="H431" s="333"/>
      <c r="I431" s="333"/>
      <c r="J431" s="328"/>
      <c r="K431" s="328"/>
      <c r="L431" s="341"/>
      <c r="M431" s="328"/>
      <c r="N431" s="351"/>
      <c r="O431" s="356"/>
      <c r="P431" s="157"/>
      <c r="Q431" s="157"/>
      <c r="R431" s="157"/>
      <c r="S431" s="157"/>
      <c r="T431" s="157"/>
      <c r="U431" s="157"/>
      <c r="V431" s="157"/>
      <c r="W431" s="157"/>
      <c r="X431" s="157"/>
      <c r="Y431" s="157"/>
      <c r="Z431" s="157"/>
    </row>
    <row r="432" ht="33.75" customHeight="1">
      <c r="A432" s="354"/>
      <c r="B432" s="355"/>
      <c r="C432" s="351"/>
      <c r="D432" s="328"/>
      <c r="E432" s="326"/>
      <c r="F432" s="333"/>
      <c r="G432" s="333"/>
      <c r="H432" s="333"/>
      <c r="I432" s="333"/>
      <c r="J432" s="328"/>
      <c r="K432" s="328"/>
      <c r="L432" s="341"/>
      <c r="M432" s="328"/>
      <c r="N432" s="351"/>
      <c r="O432" s="356"/>
      <c r="P432" s="157"/>
      <c r="Q432" s="157"/>
      <c r="R432" s="157"/>
      <c r="S432" s="157"/>
      <c r="T432" s="157"/>
      <c r="U432" s="157"/>
      <c r="V432" s="157"/>
      <c r="W432" s="157"/>
      <c r="X432" s="157"/>
      <c r="Y432" s="157"/>
      <c r="Z432" s="157"/>
    </row>
    <row r="433" ht="33.75" customHeight="1">
      <c r="A433" s="354"/>
      <c r="B433" s="355"/>
      <c r="C433" s="351"/>
      <c r="D433" s="328"/>
      <c r="E433" s="326"/>
      <c r="F433" s="333"/>
      <c r="G433" s="333"/>
      <c r="H433" s="333"/>
      <c r="I433" s="333"/>
      <c r="J433" s="328"/>
      <c r="K433" s="328"/>
      <c r="L433" s="341"/>
      <c r="M433" s="328"/>
      <c r="N433" s="351"/>
      <c r="O433" s="356"/>
      <c r="P433" s="157"/>
      <c r="Q433" s="157"/>
      <c r="R433" s="157"/>
      <c r="S433" s="157"/>
      <c r="T433" s="157"/>
      <c r="U433" s="157"/>
      <c r="V433" s="157"/>
      <c r="W433" s="157"/>
      <c r="X433" s="157"/>
      <c r="Y433" s="157"/>
      <c r="Z433" s="157"/>
    </row>
    <row r="434" ht="33.75" customHeight="1">
      <c r="A434" s="354"/>
      <c r="B434" s="355"/>
      <c r="C434" s="351"/>
      <c r="D434" s="328"/>
      <c r="E434" s="326"/>
      <c r="F434" s="333"/>
      <c r="G434" s="333"/>
      <c r="H434" s="333"/>
      <c r="I434" s="333"/>
      <c r="J434" s="328"/>
      <c r="K434" s="328"/>
      <c r="L434" s="341"/>
      <c r="M434" s="328"/>
      <c r="N434" s="351"/>
      <c r="O434" s="356"/>
      <c r="P434" s="157"/>
      <c r="Q434" s="157"/>
      <c r="R434" s="157"/>
      <c r="S434" s="157"/>
      <c r="T434" s="157"/>
      <c r="U434" s="157"/>
      <c r="V434" s="157"/>
      <c r="W434" s="157"/>
      <c r="X434" s="157"/>
      <c r="Y434" s="157"/>
      <c r="Z434" s="157"/>
    </row>
    <row r="435" ht="33.75" customHeight="1">
      <c r="A435" s="354"/>
      <c r="B435" s="355"/>
      <c r="C435" s="351"/>
      <c r="D435" s="328"/>
      <c r="E435" s="326"/>
      <c r="F435" s="333"/>
      <c r="G435" s="333"/>
      <c r="H435" s="333"/>
      <c r="I435" s="333"/>
      <c r="J435" s="328"/>
      <c r="K435" s="328"/>
      <c r="L435" s="341"/>
      <c r="M435" s="328"/>
      <c r="N435" s="351"/>
      <c r="O435" s="356"/>
      <c r="P435" s="157"/>
      <c r="Q435" s="157"/>
      <c r="R435" s="157"/>
      <c r="S435" s="157"/>
      <c r="T435" s="157"/>
      <c r="U435" s="157"/>
      <c r="V435" s="157"/>
      <c r="W435" s="157"/>
      <c r="X435" s="157"/>
      <c r="Y435" s="157"/>
      <c r="Z435" s="157"/>
    </row>
    <row r="436" ht="33.75" customHeight="1">
      <c r="A436" s="354"/>
      <c r="B436" s="355"/>
      <c r="C436" s="351"/>
      <c r="D436" s="328"/>
      <c r="E436" s="326"/>
      <c r="F436" s="333"/>
      <c r="G436" s="333"/>
      <c r="H436" s="333"/>
      <c r="I436" s="333"/>
      <c r="J436" s="328"/>
      <c r="K436" s="328"/>
      <c r="L436" s="341"/>
      <c r="M436" s="328"/>
      <c r="N436" s="351"/>
      <c r="O436" s="356"/>
      <c r="P436" s="157"/>
      <c r="Q436" s="157"/>
      <c r="R436" s="157"/>
      <c r="S436" s="157"/>
      <c r="T436" s="157"/>
      <c r="U436" s="157"/>
      <c r="V436" s="157"/>
      <c r="W436" s="157"/>
      <c r="X436" s="157"/>
      <c r="Y436" s="157"/>
      <c r="Z436" s="157"/>
    </row>
    <row r="437" ht="33.75" customHeight="1">
      <c r="A437" s="354"/>
      <c r="B437" s="355"/>
      <c r="C437" s="351"/>
      <c r="D437" s="328"/>
      <c r="E437" s="326"/>
      <c r="F437" s="333"/>
      <c r="G437" s="333"/>
      <c r="H437" s="333"/>
      <c r="I437" s="333"/>
      <c r="J437" s="328"/>
      <c r="K437" s="328"/>
      <c r="L437" s="341"/>
      <c r="M437" s="328"/>
      <c r="N437" s="351"/>
      <c r="O437" s="356"/>
      <c r="P437" s="157"/>
      <c r="Q437" s="157"/>
      <c r="R437" s="157"/>
      <c r="S437" s="157"/>
      <c r="T437" s="157"/>
      <c r="U437" s="157"/>
      <c r="V437" s="157"/>
      <c r="W437" s="157"/>
      <c r="X437" s="157"/>
      <c r="Y437" s="157"/>
      <c r="Z437" s="157"/>
    </row>
    <row r="438" ht="33.75" customHeight="1">
      <c r="A438" s="354"/>
      <c r="B438" s="355"/>
      <c r="C438" s="351"/>
      <c r="D438" s="328"/>
      <c r="E438" s="326"/>
      <c r="F438" s="333"/>
      <c r="G438" s="333"/>
      <c r="H438" s="333"/>
      <c r="I438" s="333"/>
      <c r="J438" s="328"/>
      <c r="K438" s="328"/>
      <c r="L438" s="341"/>
      <c r="M438" s="328"/>
      <c r="N438" s="351"/>
      <c r="O438" s="356"/>
      <c r="P438" s="157"/>
      <c r="Q438" s="157"/>
      <c r="R438" s="157"/>
      <c r="S438" s="157"/>
      <c r="T438" s="157"/>
      <c r="U438" s="157"/>
      <c r="V438" s="157"/>
      <c r="W438" s="157"/>
      <c r="X438" s="157"/>
      <c r="Y438" s="157"/>
      <c r="Z438" s="157"/>
    </row>
    <row r="439" ht="33.75" customHeight="1">
      <c r="A439" s="354"/>
      <c r="B439" s="355"/>
      <c r="C439" s="351"/>
      <c r="D439" s="328"/>
      <c r="E439" s="326"/>
      <c r="F439" s="333"/>
      <c r="G439" s="333"/>
      <c r="H439" s="333"/>
      <c r="I439" s="333"/>
      <c r="J439" s="328"/>
      <c r="K439" s="328"/>
      <c r="L439" s="341"/>
      <c r="M439" s="328"/>
      <c r="N439" s="351"/>
      <c r="O439" s="356"/>
      <c r="P439" s="157"/>
      <c r="Q439" s="157"/>
      <c r="R439" s="157"/>
      <c r="S439" s="157"/>
      <c r="T439" s="157"/>
      <c r="U439" s="157"/>
      <c r="V439" s="157"/>
      <c r="W439" s="157"/>
      <c r="X439" s="157"/>
      <c r="Y439" s="157"/>
      <c r="Z439" s="157"/>
    </row>
    <row r="440" ht="33.75" customHeight="1">
      <c r="A440" s="354"/>
      <c r="B440" s="355"/>
      <c r="C440" s="351"/>
      <c r="D440" s="328"/>
      <c r="E440" s="326"/>
      <c r="F440" s="333"/>
      <c r="G440" s="333"/>
      <c r="H440" s="333"/>
      <c r="I440" s="333"/>
      <c r="J440" s="328"/>
      <c r="K440" s="328"/>
      <c r="L440" s="341"/>
      <c r="M440" s="328"/>
      <c r="N440" s="351"/>
      <c r="O440" s="356"/>
      <c r="P440" s="157"/>
      <c r="Q440" s="157"/>
      <c r="R440" s="157"/>
      <c r="S440" s="157"/>
      <c r="T440" s="157"/>
      <c r="U440" s="157"/>
      <c r="V440" s="157"/>
      <c r="W440" s="157"/>
      <c r="X440" s="157"/>
      <c r="Y440" s="157"/>
      <c r="Z440" s="157"/>
    </row>
    <row r="441" ht="33.75" customHeight="1">
      <c r="A441" s="354"/>
      <c r="B441" s="355"/>
      <c r="C441" s="351"/>
      <c r="D441" s="328"/>
      <c r="E441" s="326"/>
      <c r="F441" s="333"/>
      <c r="G441" s="333"/>
      <c r="H441" s="333"/>
      <c r="I441" s="333"/>
      <c r="J441" s="328"/>
      <c r="K441" s="328"/>
      <c r="L441" s="341"/>
      <c r="M441" s="328"/>
      <c r="N441" s="351"/>
      <c r="O441" s="356"/>
      <c r="P441" s="157"/>
      <c r="Q441" s="157"/>
      <c r="R441" s="157"/>
      <c r="S441" s="157"/>
      <c r="T441" s="157"/>
      <c r="U441" s="157"/>
      <c r="V441" s="157"/>
      <c r="W441" s="157"/>
      <c r="X441" s="157"/>
      <c r="Y441" s="157"/>
      <c r="Z441" s="157"/>
    </row>
    <row r="442" ht="33.75" customHeight="1">
      <c r="A442" s="354"/>
      <c r="B442" s="355"/>
      <c r="C442" s="351"/>
      <c r="D442" s="328"/>
      <c r="E442" s="326"/>
      <c r="F442" s="333"/>
      <c r="G442" s="333"/>
      <c r="H442" s="333"/>
      <c r="I442" s="333"/>
      <c r="J442" s="328"/>
      <c r="K442" s="328"/>
      <c r="L442" s="341"/>
      <c r="M442" s="328"/>
      <c r="N442" s="351"/>
      <c r="O442" s="356"/>
      <c r="P442" s="157"/>
      <c r="Q442" s="157"/>
      <c r="R442" s="157"/>
      <c r="S442" s="157"/>
      <c r="T442" s="157"/>
      <c r="U442" s="157"/>
      <c r="V442" s="157"/>
      <c r="W442" s="157"/>
      <c r="X442" s="157"/>
      <c r="Y442" s="157"/>
      <c r="Z442" s="157"/>
    </row>
    <row r="443" ht="33.75" customHeight="1">
      <c r="A443" s="354"/>
      <c r="B443" s="355"/>
      <c r="C443" s="351"/>
      <c r="D443" s="328"/>
      <c r="E443" s="326"/>
      <c r="F443" s="333"/>
      <c r="G443" s="333"/>
      <c r="H443" s="333"/>
      <c r="I443" s="333"/>
      <c r="J443" s="328"/>
      <c r="K443" s="328"/>
      <c r="L443" s="341"/>
      <c r="M443" s="328"/>
      <c r="N443" s="351"/>
      <c r="O443" s="356"/>
      <c r="P443" s="157"/>
      <c r="Q443" s="157"/>
      <c r="R443" s="157"/>
      <c r="S443" s="157"/>
      <c r="T443" s="157"/>
      <c r="U443" s="157"/>
      <c r="V443" s="157"/>
      <c r="W443" s="157"/>
      <c r="X443" s="157"/>
      <c r="Y443" s="157"/>
      <c r="Z443" s="157"/>
    </row>
    <row r="444" ht="33.75" customHeight="1">
      <c r="A444" s="354"/>
      <c r="B444" s="355"/>
      <c r="C444" s="351"/>
      <c r="D444" s="328"/>
      <c r="E444" s="326"/>
      <c r="F444" s="333"/>
      <c r="G444" s="333"/>
      <c r="H444" s="333"/>
      <c r="I444" s="333"/>
      <c r="J444" s="328"/>
      <c r="K444" s="328"/>
      <c r="L444" s="341"/>
      <c r="M444" s="328"/>
      <c r="N444" s="351"/>
      <c r="O444" s="356"/>
      <c r="P444" s="157"/>
      <c r="Q444" s="157"/>
      <c r="R444" s="157"/>
      <c r="S444" s="157"/>
      <c r="T444" s="157"/>
      <c r="U444" s="157"/>
      <c r="V444" s="157"/>
      <c r="W444" s="157"/>
      <c r="X444" s="157"/>
      <c r="Y444" s="157"/>
      <c r="Z444" s="157"/>
    </row>
    <row r="445" ht="33.75" customHeight="1">
      <c r="A445" s="354"/>
      <c r="B445" s="355"/>
      <c r="C445" s="351"/>
      <c r="D445" s="328"/>
      <c r="E445" s="326"/>
      <c r="F445" s="333"/>
      <c r="G445" s="333"/>
      <c r="H445" s="333"/>
      <c r="I445" s="333"/>
      <c r="J445" s="328"/>
      <c r="K445" s="328"/>
      <c r="L445" s="341"/>
      <c r="M445" s="328"/>
      <c r="N445" s="351"/>
      <c r="O445" s="356"/>
      <c r="P445" s="157"/>
      <c r="Q445" s="157"/>
      <c r="R445" s="157"/>
      <c r="S445" s="157"/>
      <c r="T445" s="157"/>
      <c r="U445" s="157"/>
      <c r="V445" s="157"/>
      <c r="W445" s="157"/>
      <c r="X445" s="157"/>
      <c r="Y445" s="157"/>
      <c r="Z445" s="157"/>
    </row>
    <row r="446" ht="33.75" customHeight="1">
      <c r="A446" s="354"/>
      <c r="B446" s="355"/>
      <c r="C446" s="351"/>
      <c r="D446" s="328"/>
      <c r="E446" s="326"/>
      <c r="F446" s="333"/>
      <c r="G446" s="333"/>
      <c r="H446" s="333"/>
      <c r="I446" s="333"/>
      <c r="J446" s="328"/>
      <c r="K446" s="328"/>
      <c r="L446" s="341"/>
      <c r="M446" s="328"/>
      <c r="N446" s="351"/>
      <c r="O446" s="356"/>
      <c r="P446" s="157"/>
      <c r="Q446" s="157"/>
      <c r="R446" s="157"/>
      <c r="S446" s="157"/>
      <c r="T446" s="157"/>
      <c r="U446" s="157"/>
      <c r="V446" s="157"/>
      <c r="W446" s="157"/>
      <c r="X446" s="157"/>
      <c r="Y446" s="157"/>
      <c r="Z446" s="157"/>
    </row>
    <row r="447" ht="33.75" customHeight="1">
      <c r="A447" s="354"/>
      <c r="B447" s="355"/>
      <c r="C447" s="351"/>
      <c r="D447" s="328"/>
      <c r="E447" s="326"/>
      <c r="F447" s="333"/>
      <c r="G447" s="333"/>
      <c r="H447" s="333"/>
      <c r="I447" s="333"/>
      <c r="J447" s="328"/>
      <c r="K447" s="328"/>
      <c r="L447" s="341"/>
      <c r="M447" s="328"/>
      <c r="N447" s="351"/>
      <c r="O447" s="356"/>
      <c r="P447" s="157"/>
      <c r="Q447" s="157"/>
      <c r="R447" s="157"/>
      <c r="S447" s="157"/>
      <c r="T447" s="157"/>
      <c r="U447" s="157"/>
      <c r="V447" s="157"/>
      <c r="W447" s="157"/>
      <c r="X447" s="157"/>
      <c r="Y447" s="157"/>
      <c r="Z447" s="157"/>
    </row>
    <row r="448" ht="33.75" customHeight="1">
      <c r="A448" s="354"/>
      <c r="B448" s="355"/>
      <c r="C448" s="351"/>
      <c r="D448" s="328"/>
      <c r="E448" s="326"/>
      <c r="F448" s="333"/>
      <c r="G448" s="333"/>
      <c r="H448" s="333"/>
      <c r="I448" s="333"/>
      <c r="J448" s="328"/>
      <c r="K448" s="328"/>
      <c r="L448" s="341"/>
      <c r="M448" s="328"/>
      <c r="N448" s="351"/>
      <c r="O448" s="356"/>
      <c r="P448" s="157"/>
      <c r="Q448" s="157"/>
      <c r="R448" s="157"/>
      <c r="S448" s="157"/>
      <c r="T448" s="157"/>
      <c r="U448" s="157"/>
      <c r="V448" s="157"/>
      <c r="W448" s="157"/>
      <c r="X448" s="157"/>
      <c r="Y448" s="157"/>
      <c r="Z448" s="157"/>
    </row>
    <row r="449" ht="33.75" customHeight="1">
      <c r="A449" s="354"/>
      <c r="B449" s="355"/>
      <c r="C449" s="351"/>
      <c r="D449" s="328"/>
      <c r="E449" s="326"/>
      <c r="F449" s="333"/>
      <c r="G449" s="333"/>
      <c r="H449" s="333"/>
      <c r="I449" s="333"/>
      <c r="J449" s="328"/>
      <c r="K449" s="328"/>
      <c r="L449" s="341"/>
      <c r="M449" s="328"/>
      <c r="N449" s="351"/>
      <c r="O449" s="356"/>
      <c r="P449" s="157"/>
      <c r="Q449" s="157"/>
      <c r="R449" s="157"/>
      <c r="S449" s="157"/>
      <c r="T449" s="157"/>
      <c r="U449" s="157"/>
      <c r="V449" s="157"/>
      <c r="W449" s="157"/>
      <c r="X449" s="157"/>
      <c r="Y449" s="157"/>
      <c r="Z449" s="157"/>
    </row>
    <row r="450" ht="33.75" customHeight="1">
      <c r="A450" s="354"/>
      <c r="B450" s="355"/>
      <c r="C450" s="351"/>
      <c r="D450" s="328"/>
      <c r="E450" s="326"/>
      <c r="F450" s="333"/>
      <c r="G450" s="333"/>
      <c r="H450" s="333"/>
      <c r="I450" s="333"/>
      <c r="J450" s="328"/>
      <c r="K450" s="328"/>
      <c r="L450" s="341"/>
      <c r="M450" s="328"/>
      <c r="N450" s="351"/>
      <c r="O450" s="356"/>
      <c r="P450" s="157"/>
      <c r="Q450" s="157"/>
      <c r="R450" s="157"/>
      <c r="S450" s="157"/>
      <c r="T450" s="157"/>
      <c r="U450" s="157"/>
      <c r="V450" s="157"/>
      <c r="W450" s="157"/>
      <c r="X450" s="157"/>
      <c r="Y450" s="157"/>
      <c r="Z450" s="157"/>
    </row>
    <row r="451" ht="33.75" customHeight="1">
      <c r="A451" s="354"/>
      <c r="B451" s="355"/>
      <c r="C451" s="351"/>
      <c r="D451" s="328"/>
      <c r="E451" s="326"/>
      <c r="F451" s="333"/>
      <c r="G451" s="333"/>
      <c r="H451" s="333"/>
      <c r="I451" s="333"/>
      <c r="J451" s="328"/>
      <c r="K451" s="328"/>
      <c r="L451" s="341"/>
      <c r="M451" s="328"/>
      <c r="N451" s="351"/>
      <c r="O451" s="356"/>
      <c r="P451" s="157"/>
      <c r="Q451" s="157"/>
      <c r="R451" s="157"/>
      <c r="S451" s="157"/>
      <c r="T451" s="157"/>
      <c r="U451" s="157"/>
      <c r="V451" s="157"/>
      <c r="W451" s="157"/>
      <c r="X451" s="157"/>
      <c r="Y451" s="157"/>
      <c r="Z451" s="157"/>
    </row>
    <row r="452" ht="33.75" customHeight="1">
      <c r="A452" s="354"/>
      <c r="B452" s="355"/>
      <c r="C452" s="351"/>
      <c r="D452" s="328"/>
      <c r="E452" s="326"/>
      <c r="F452" s="333"/>
      <c r="G452" s="333"/>
      <c r="H452" s="333"/>
      <c r="I452" s="333"/>
      <c r="J452" s="328"/>
      <c r="K452" s="328"/>
      <c r="L452" s="341"/>
      <c r="M452" s="328"/>
      <c r="N452" s="351"/>
      <c r="O452" s="356"/>
      <c r="P452" s="157"/>
      <c r="Q452" s="157"/>
      <c r="R452" s="157"/>
      <c r="S452" s="157"/>
      <c r="T452" s="157"/>
      <c r="U452" s="157"/>
      <c r="V452" s="157"/>
      <c r="W452" s="157"/>
      <c r="X452" s="157"/>
      <c r="Y452" s="157"/>
      <c r="Z452" s="157"/>
    </row>
    <row r="453" ht="33.75" customHeight="1">
      <c r="A453" s="354"/>
      <c r="B453" s="355"/>
      <c r="C453" s="351"/>
      <c r="D453" s="328"/>
      <c r="E453" s="326"/>
      <c r="F453" s="333"/>
      <c r="G453" s="333"/>
      <c r="H453" s="333"/>
      <c r="I453" s="333"/>
      <c r="J453" s="328"/>
      <c r="K453" s="328"/>
      <c r="L453" s="341"/>
      <c r="M453" s="328"/>
      <c r="N453" s="351"/>
      <c r="O453" s="356"/>
      <c r="P453" s="157"/>
      <c r="Q453" s="157"/>
      <c r="R453" s="157"/>
      <c r="S453" s="157"/>
      <c r="T453" s="157"/>
      <c r="U453" s="157"/>
      <c r="V453" s="157"/>
      <c r="W453" s="157"/>
      <c r="X453" s="157"/>
      <c r="Y453" s="157"/>
      <c r="Z453" s="157"/>
    </row>
    <row r="454" ht="33.75" customHeight="1">
      <c r="A454" s="354"/>
      <c r="B454" s="355"/>
      <c r="C454" s="351"/>
      <c r="D454" s="328"/>
      <c r="E454" s="326"/>
      <c r="F454" s="333"/>
      <c r="G454" s="333"/>
      <c r="H454" s="333"/>
      <c r="I454" s="333"/>
      <c r="J454" s="328"/>
      <c r="K454" s="328"/>
      <c r="L454" s="341"/>
      <c r="M454" s="328"/>
      <c r="N454" s="351"/>
      <c r="O454" s="356"/>
      <c r="P454" s="157"/>
      <c r="Q454" s="157"/>
      <c r="R454" s="157"/>
      <c r="S454" s="157"/>
      <c r="T454" s="157"/>
      <c r="U454" s="157"/>
      <c r="V454" s="157"/>
      <c r="W454" s="157"/>
      <c r="X454" s="157"/>
      <c r="Y454" s="157"/>
      <c r="Z454" s="157"/>
    </row>
    <row r="455" ht="33.75" customHeight="1">
      <c r="A455" s="354"/>
      <c r="B455" s="355"/>
      <c r="C455" s="351"/>
      <c r="D455" s="328"/>
      <c r="E455" s="326"/>
      <c r="F455" s="333"/>
      <c r="G455" s="333"/>
      <c r="H455" s="333"/>
      <c r="I455" s="333"/>
      <c r="J455" s="328"/>
      <c r="K455" s="328"/>
      <c r="L455" s="341"/>
      <c r="M455" s="328"/>
      <c r="N455" s="351"/>
      <c r="O455" s="356"/>
      <c r="P455" s="157"/>
      <c r="Q455" s="157"/>
      <c r="R455" s="157"/>
      <c r="S455" s="157"/>
      <c r="T455" s="157"/>
      <c r="U455" s="157"/>
      <c r="V455" s="157"/>
      <c r="W455" s="157"/>
      <c r="X455" s="157"/>
      <c r="Y455" s="157"/>
      <c r="Z455" s="157"/>
    </row>
    <row r="456" ht="33.75" customHeight="1">
      <c r="A456" s="354"/>
      <c r="B456" s="355"/>
      <c r="C456" s="351"/>
      <c r="D456" s="328"/>
      <c r="E456" s="326"/>
      <c r="F456" s="333"/>
      <c r="G456" s="333"/>
      <c r="H456" s="333"/>
      <c r="I456" s="333"/>
      <c r="J456" s="328"/>
      <c r="K456" s="328"/>
      <c r="L456" s="341"/>
      <c r="M456" s="328"/>
      <c r="N456" s="351"/>
      <c r="O456" s="356"/>
      <c r="P456" s="157"/>
      <c r="Q456" s="157"/>
      <c r="R456" s="157"/>
      <c r="S456" s="157"/>
      <c r="T456" s="157"/>
      <c r="U456" s="157"/>
      <c r="V456" s="157"/>
      <c r="W456" s="157"/>
      <c r="X456" s="157"/>
      <c r="Y456" s="157"/>
      <c r="Z456" s="157"/>
    </row>
    <row r="457" ht="33.75" customHeight="1">
      <c r="A457" s="354"/>
      <c r="B457" s="355"/>
      <c r="C457" s="351"/>
      <c r="D457" s="328"/>
      <c r="E457" s="326"/>
      <c r="F457" s="333"/>
      <c r="G457" s="333"/>
      <c r="H457" s="333"/>
      <c r="I457" s="333"/>
      <c r="J457" s="328"/>
      <c r="K457" s="328"/>
      <c r="L457" s="341"/>
      <c r="M457" s="328"/>
      <c r="N457" s="351"/>
      <c r="O457" s="356"/>
      <c r="P457" s="157"/>
      <c r="Q457" s="157"/>
      <c r="R457" s="157"/>
      <c r="S457" s="157"/>
      <c r="T457" s="157"/>
      <c r="U457" s="157"/>
      <c r="V457" s="157"/>
      <c r="W457" s="157"/>
      <c r="X457" s="157"/>
      <c r="Y457" s="157"/>
      <c r="Z457" s="157"/>
    </row>
    <row r="458" ht="33.75" customHeight="1">
      <c r="A458" s="354"/>
      <c r="B458" s="355"/>
      <c r="C458" s="351"/>
      <c r="D458" s="328"/>
      <c r="E458" s="326"/>
      <c r="F458" s="333"/>
      <c r="G458" s="333"/>
      <c r="H458" s="333"/>
      <c r="I458" s="333"/>
      <c r="J458" s="328"/>
      <c r="K458" s="328"/>
      <c r="L458" s="341"/>
      <c r="M458" s="328"/>
      <c r="N458" s="351"/>
      <c r="O458" s="356"/>
      <c r="P458" s="157"/>
      <c r="Q458" s="157"/>
      <c r="R458" s="157"/>
      <c r="S458" s="157"/>
      <c r="T458" s="157"/>
      <c r="U458" s="157"/>
      <c r="V458" s="157"/>
      <c r="W458" s="157"/>
      <c r="X458" s="157"/>
      <c r="Y458" s="157"/>
      <c r="Z458" s="157"/>
    </row>
    <row r="459" ht="33.75" customHeight="1">
      <c r="A459" s="354"/>
      <c r="B459" s="355"/>
      <c r="C459" s="351"/>
      <c r="D459" s="328"/>
      <c r="E459" s="326"/>
      <c r="F459" s="333"/>
      <c r="G459" s="333"/>
      <c r="H459" s="333"/>
      <c r="I459" s="333"/>
      <c r="J459" s="328"/>
      <c r="K459" s="328"/>
      <c r="L459" s="341"/>
      <c r="M459" s="328"/>
      <c r="N459" s="351"/>
      <c r="O459" s="356"/>
      <c r="P459" s="157"/>
      <c r="Q459" s="157"/>
      <c r="R459" s="157"/>
      <c r="S459" s="157"/>
      <c r="T459" s="157"/>
      <c r="U459" s="157"/>
      <c r="V459" s="157"/>
      <c r="W459" s="157"/>
      <c r="X459" s="157"/>
      <c r="Y459" s="157"/>
      <c r="Z459" s="157"/>
    </row>
    <row r="460" ht="33.75" customHeight="1">
      <c r="A460" s="354"/>
      <c r="B460" s="355"/>
      <c r="C460" s="351"/>
      <c r="D460" s="328"/>
      <c r="E460" s="326"/>
      <c r="F460" s="333"/>
      <c r="G460" s="333"/>
      <c r="H460" s="333"/>
      <c r="I460" s="333"/>
      <c r="J460" s="328"/>
      <c r="K460" s="328"/>
      <c r="L460" s="341"/>
      <c r="M460" s="328"/>
      <c r="N460" s="351"/>
      <c r="O460" s="356"/>
      <c r="P460" s="157"/>
      <c r="Q460" s="157"/>
      <c r="R460" s="157"/>
      <c r="S460" s="157"/>
      <c r="T460" s="157"/>
      <c r="U460" s="157"/>
      <c r="V460" s="157"/>
      <c r="W460" s="157"/>
      <c r="X460" s="157"/>
      <c r="Y460" s="157"/>
      <c r="Z460" s="157"/>
    </row>
    <row r="461" ht="33.75" customHeight="1">
      <c r="A461" s="354"/>
      <c r="B461" s="355"/>
      <c r="C461" s="351"/>
      <c r="D461" s="328"/>
      <c r="E461" s="326"/>
      <c r="F461" s="333"/>
      <c r="G461" s="333"/>
      <c r="H461" s="333"/>
      <c r="I461" s="333"/>
      <c r="J461" s="328"/>
      <c r="K461" s="328"/>
      <c r="L461" s="341"/>
      <c r="M461" s="328"/>
      <c r="N461" s="351"/>
      <c r="O461" s="356"/>
      <c r="P461" s="157"/>
      <c r="Q461" s="157"/>
      <c r="R461" s="157"/>
      <c r="S461" s="157"/>
      <c r="T461" s="157"/>
      <c r="U461" s="157"/>
      <c r="V461" s="157"/>
      <c r="W461" s="157"/>
      <c r="X461" s="157"/>
      <c r="Y461" s="157"/>
      <c r="Z461" s="157"/>
    </row>
    <row r="462" ht="33.75" customHeight="1">
      <c r="A462" s="354"/>
      <c r="B462" s="355"/>
      <c r="C462" s="351"/>
      <c r="D462" s="328"/>
      <c r="E462" s="326"/>
      <c r="F462" s="333"/>
      <c r="G462" s="333"/>
      <c r="H462" s="333"/>
      <c r="I462" s="333"/>
      <c r="J462" s="328"/>
      <c r="K462" s="328"/>
      <c r="L462" s="341"/>
      <c r="M462" s="328"/>
      <c r="N462" s="351"/>
      <c r="O462" s="356"/>
      <c r="P462" s="157"/>
      <c r="Q462" s="157"/>
      <c r="R462" s="157"/>
      <c r="S462" s="157"/>
      <c r="T462" s="157"/>
      <c r="U462" s="157"/>
      <c r="V462" s="157"/>
      <c r="W462" s="157"/>
      <c r="X462" s="157"/>
      <c r="Y462" s="157"/>
      <c r="Z462" s="157"/>
    </row>
    <row r="463" ht="33.75" customHeight="1">
      <c r="A463" s="354"/>
      <c r="B463" s="355"/>
      <c r="C463" s="351"/>
      <c r="D463" s="328"/>
      <c r="E463" s="326"/>
      <c r="F463" s="333"/>
      <c r="G463" s="333"/>
      <c r="H463" s="333"/>
      <c r="I463" s="333"/>
      <c r="J463" s="328"/>
      <c r="K463" s="328"/>
      <c r="L463" s="341"/>
      <c r="M463" s="328"/>
      <c r="N463" s="351"/>
      <c r="O463" s="356"/>
      <c r="P463" s="157"/>
      <c r="Q463" s="157"/>
      <c r="R463" s="157"/>
      <c r="S463" s="157"/>
      <c r="T463" s="157"/>
      <c r="U463" s="157"/>
      <c r="V463" s="157"/>
      <c r="W463" s="157"/>
      <c r="X463" s="157"/>
      <c r="Y463" s="157"/>
      <c r="Z463" s="157"/>
    </row>
    <row r="464" ht="33.75" customHeight="1">
      <c r="A464" s="354"/>
      <c r="B464" s="355"/>
      <c r="C464" s="351"/>
      <c r="D464" s="328"/>
      <c r="E464" s="326"/>
      <c r="F464" s="333"/>
      <c r="G464" s="333"/>
      <c r="H464" s="333"/>
      <c r="I464" s="333"/>
      <c r="J464" s="328"/>
      <c r="K464" s="328"/>
      <c r="L464" s="341"/>
      <c r="M464" s="328"/>
      <c r="N464" s="351"/>
      <c r="O464" s="356"/>
      <c r="P464" s="157"/>
      <c r="Q464" s="157"/>
      <c r="R464" s="157"/>
      <c r="S464" s="157"/>
      <c r="T464" s="157"/>
      <c r="U464" s="157"/>
      <c r="V464" s="157"/>
      <c r="W464" s="157"/>
      <c r="X464" s="157"/>
      <c r="Y464" s="157"/>
      <c r="Z464" s="157"/>
    </row>
    <row r="465" ht="33.75" customHeight="1">
      <c r="A465" s="354"/>
      <c r="B465" s="355"/>
      <c r="C465" s="351"/>
      <c r="D465" s="328"/>
      <c r="E465" s="326"/>
      <c r="F465" s="333"/>
      <c r="G465" s="333"/>
      <c r="H465" s="333"/>
      <c r="I465" s="333"/>
      <c r="J465" s="328"/>
      <c r="K465" s="328"/>
      <c r="L465" s="341"/>
      <c r="M465" s="328"/>
      <c r="N465" s="351"/>
      <c r="O465" s="356"/>
      <c r="P465" s="157"/>
      <c r="Q465" s="157"/>
      <c r="R465" s="157"/>
      <c r="S465" s="157"/>
      <c r="T465" s="157"/>
      <c r="U465" s="157"/>
      <c r="V465" s="157"/>
      <c r="W465" s="157"/>
      <c r="X465" s="157"/>
      <c r="Y465" s="157"/>
      <c r="Z465" s="157"/>
    </row>
    <row r="466" ht="33.75" customHeight="1">
      <c r="A466" s="354"/>
      <c r="B466" s="355"/>
      <c r="C466" s="351"/>
      <c r="D466" s="328"/>
      <c r="E466" s="326"/>
      <c r="F466" s="333"/>
      <c r="G466" s="333"/>
      <c r="H466" s="333"/>
      <c r="I466" s="333"/>
      <c r="J466" s="328"/>
      <c r="K466" s="328"/>
      <c r="L466" s="341"/>
      <c r="M466" s="328"/>
      <c r="N466" s="351"/>
      <c r="O466" s="356"/>
      <c r="P466" s="157"/>
      <c r="Q466" s="157"/>
      <c r="R466" s="157"/>
      <c r="S466" s="157"/>
      <c r="T466" s="157"/>
      <c r="U466" s="157"/>
      <c r="V466" s="157"/>
      <c r="W466" s="157"/>
      <c r="X466" s="157"/>
      <c r="Y466" s="157"/>
      <c r="Z466" s="157"/>
    </row>
    <row r="467" ht="33.75" customHeight="1">
      <c r="A467" s="354"/>
      <c r="B467" s="355"/>
      <c r="C467" s="351"/>
      <c r="D467" s="328"/>
      <c r="E467" s="326"/>
      <c r="F467" s="333"/>
      <c r="G467" s="333"/>
      <c r="H467" s="333"/>
      <c r="I467" s="333"/>
      <c r="J467" s="328"/>
      <c r="K467" s="328"/>
      <c r="L467" s="341"/>
      <c r="M467" s="328"/>
      <c r="N467" s="351"/>
      <c r="O467" s="356"/>
      <c r="P467" s="157"/>
      <c r="Q467" s="157"/>
      <c r="R467" s="157"/>
      <c r="S467" s="157"/>
      <c r="T467" s="157"/>
      <c r="U467" s="157"/>
      <c r="V467" s="157"/>
      <c r="W467" s="157"/>
      <c r="X467" s="157"/>
      <c r="Y467" s="157"/>
      <c r="Z467" s="157"/>
    </row>
    <row r="468" ht="33.75" customHeight="1">
      <c r="A468" s="354"/>
      <c r="B468" s="355"/>
      <c r="C468" s="351"/>
      <c r="D468" s="328"/>
      <c r="E468" s="326"/>
      <c r="F468" s="333"/>
      <c r="G468" s="333"/>
      <c r="H468" s="333"/>
      <c r="I468" s="333"/>
      <c r="J468" s="328"/>
      <c r="K468" s="328"/>
      <c r="L468" s="341"/>
      <c r="M468" s="328"/>
      <c r="N468" s="351"/>
      <c r="O468" s="356"/>
      <c r="P468" s="157"/>
      <c r="Q468" s="157"/>
      <c r="R468" s="157"/>
      <c r="S468" s="157"/>
      <c r="T468" s="157"/>
      <c r="U468" s="157"/>
      <c r="V468" s="157"/>
      <c r="W468" s="157"/>
      <c r="X468" s="157"/>
      <c r="Y468" s="157"/>
      <c r="Z468" s="157"/>
    </row>
    <row r="469" ht="33.75" customHeight="1">
      <c r="A469" s="354"/>
      <c r="B469" s="355"/>
      <c r="C469" s="351"/>
      <c r="D469" s="328"/>
      <c r="E469" s="326"/>
      <c r="F469" s="333"/>
      <c r="G469" s="333"/>
      <c r="H469" s="333"/>
      <c r="I469" s="333"/>
      <c r="J469" s="328"/>
      <c r="K469" s="328"/>
      <c r="L469" s="341"/>
      <c r="M469" s="328"/>
      <c r="N469" s="351"/>
      <c r="O469" s="356"/>
      <c r="P469" s="157"/>
      <c r="Q469" s="157"/>
      <c r="R469" s="157"/>
      <c r="S469" s="157"/>
      <c r="T469" s="157"/>
      <c r="U469" s="157"/>
      <c r="V469" s="157"/>
      <c r="W469" s="157"/>
      <c r="X469" s="157"/>
      <c r="Y469" s="157"/>
      <c r="Z469" s="157"/>
    </row>
    <row r="470" ht="33.75" customHeight="1">
      <c r="A470" s="354"/>
      <c r="B470" s="355"/>
      <c r="C470" s="351"/>
      <c r="D470" s="328"/>
      <c r="E470" s="326"/>
      <c r="F470" s="333"/>
      <c r="G470" s="333"/>
      <c r="H470" s="333"/>
      <c r="I470" s="333"/>
      <c r="J470" s="328"/>
      <c r="K470" s="328"/>
      <c r="L470" s="341"/>
      <c r="M470" s="328"/>
      <c r="N470" s="351"/>
      <c r="O470" s="356"/>
      <c r="P470" s="157"/>
      <c r="Q470" s="157"/>
      <c r="R470" s="157"/>
      <c r="S470" s="157"/>
      <c r="T470" s="157"/>
      <c r="U470" s="157"/>
      <c r="V470" s="157"/>
      <c r="W470" s="157"/>
      <c r="X470" s="157"/>
      <c r="Y470" s="157"/>
      <c r="Z470" s="157"/>
    </row>
    <row r="471" ht="33.75" customHeight="1">
      <c r="A471" s="354"/>
      <c r="B471" s="355"/>
      <c r="C471" s="351"/>
      <c r="D471" s="328"/>
      <c r="E471" s="326"/>
      <c r="F471" s="333"/>
      <c r="G471" s="333"/>
      <c r="H471" s="333"/>
      <c r="I471" s="333"/>
      <c r="J471" s="328"/>
      <c r="K471" s="328"/>
      <c r="L471" s="341"/>
      <c r="M471" s="328"/>
      <c r="N471" s="351"/>
      <c r="O471" s="356"/>
      <c r="P471" s="157"/>
      <c r="Q471" s="157"/>
      <c r="R471" s="157"/>
      <c r="S471" s="157"/>
      <c r="T471" s="157"/>
      <c r="U471" s="157"/>
      <c r="V471" s="157"/>
      <c r="W471" s="157"/>
      <c r="X471" s="157"/>
      <c r="Y471" s="157"/>
      <c r="Z471" s="157"/>
    </row>
    <row r="472" ht="33.75" customHeight="1">
      <c r="A472" s="354"/>
      <c r="B472" s="355"/>
      <c r="C472" s="351"/>
      <c r="D472" s="328"/>
      <c r="E472" s="326"/>
      <c r="F472" s="333"/>
      <c r="G472" s="333"/>
      <c r="H472" s="333"/>
      <c r="I472" s="333"/>
      <c r="J472" s="328"/>
      <c r="K472" s="328"/>
      <c r="L472" s="341"/>
      <c r="M472" s="328"/>
      <c r="N472" s="351"/>
      <c r="O472" s="356"/>
      <c r="P472" s="157"/>
      <c r="Q472" s="157"/>
      <c r="R472" s="157"/>
      <c r="S472" s="157"/>
      <c r="T472" s="157"/>
      <c r="U472" s="157"/>
      <c r="V472" s="157"/>
      <c r="W472" s="157"/>
      <c r="X472" s="157"/>
      <c r="Y472" s="157"/>
      <c r="Z472" s="157"/>
    </row>
    <row r="473" ht="33.75" customHeight="1">
      <c r="A473" s="354"/>
      <c r="B473" s="355"/>
      <c r="C473" s="351"/>
      <c r="D473" s="328"/>
      <c r="E473" s="326"/>
      <c r="F473" s="333"/>
      <c r="G473" s="333"/>
      <c r="H473" s="333"/>
      <c r="I473" s="333"/>
      <c r="J473" s="328"/>
      <c r="K473" s="328"/>
      <c r="L473" s="341"/>
      <c r="M473" s="328"/>
      <c r="N473" s="351"/>
      <c r="O473" s="356"/>
      <c r="P473" s="157"/>
      <c r="Q473" s="157"/>
      <c r="R473" s="157"/>
      <c r="S473" s="157"/>
      <c r="T473" s="157"/>
      <c r="U473" s="157"/>
      <c r="V473" s="157"/>
      <c r="W473" s="157"/>
      <c r="X473" s="157"/>
      <c r="Y473" s="157"/>
      <c r="Z473" s="157"/>
    </row>
    <row r="474" ht="33.75" customHeight="1">
      <c r="A474" s="354"/>
      <c r="B474" s="355"/>
      <c r="C474" s="351"/>
      <c r="D474" s="328"/>
      <c r="E474" s="326"/>
      <c r="F474" s="333"/>
      <c r="G474" s="333"/>
      <c r="H474" s="333"/>
      <c r="I474" s="333"/>
      <c r="J474" s="328"/>
      <c r="K474" s="328"/>
      <c r="L474" s="341"/>
      <c r="M474" s="328"/>
      <c r="N474" s="351"/>
      <c r="O474" s="356"/>
      <c r="P474" s="157"/>
      <c r="Q474" s="157"/>
      <c r="R474" s="157"/>
      <c r="S474" s="157"/>
      <c r="T474" s="157"/>
      <c r="U474" s="157"/>
      <c r="V474" s="157"/>
      <c r="W474" s="157"/>
      <c r="X474" s="157"/>
      <c r="Y474" s="157"/>
      <c r="Z474" s="157"/>
    </row>
    <row r="475" ht="33.75" customHeight="1">
      <c r="A475" s="354"/>
      <c r="B475" s="355"/>
      <c r="C475" s="351"/>
      <c r="D475" s="328"/>
      <c r="E475" s="326"/>
      <c r="F475" s="333"/>
      <c r="G475" s="333"/>
      <c r="H475" s="333"/>
      <c r="I475" s="333"/>
      <c r="J475" s="328"/>
      <c r="K475" s="328"/>
      <c r="L475" s="341"/>
      <c r="M475" s="328"/>
      <c r="N475" s="351"/>
      <c r="O475" s="356"/>
      <c r="P475" s="157"/>
      <c r="Q475" s="157"/>
      <c r="R475" s="157"/>
      <c r="S475" s="157"/>
      <c r="T475" s="157"/>
      <c r="U475" s="157"/>
      <c r="V475" s="157"/>
      <c r="W475" s="157"/>
      <c r="X475" s="157"/>
      <c r="Y475" s="157"/>
      <c r="Z475" s="157"/>
    </row>
    <row r="476" ht="33.75" customHeight="1">
      <c r="A476" s="354"/>
      <c r="B476" s="355"/>
      <c r="C476" s="351"/>
      <c r="D476" s="328"/>
      <c r="E476" s="326"/>
      <c r="F476" s="333"/>
      <c r="G476" s="333"/>
      <c r="H476" s="333"/>
      <c r="I476" s="333"/>
      <c r="J476" s="328"/>
      <c r="K476" s="328"/>
      <c r="L476" s="341"/>
      <c r="M476" s="328"/>
      <c r="N476" s="351"/>
      <c r="O476" s="356"/>
      <c r="P476" s="157"/>
      <c r="Q476" s="157"/>
      <c r="R476" s="157"/>
      <c r="S476" s="157"/>
      <c r="T476" s="157"/>
      <c r="U476" s="157"/>
      <c r="V476" s="157"/>
      <c r="W476" s="157"/>
      <c r="X476" s="157"/>
      <c r="Y476" s="157"/>
      <c r="Z476" s="157"/>
    </row>
    <row r="477" ht="33.75" customHeight="1">
      <c r="A477" s="354"/>
      <c r="B477" s="355"/>
      <c r="C477" s="351"/>
      <c r="D477" s="328"/>
      <c r="E477" s="326"/>
      <c r="F477" s="333"/>
      <c r="G477" s="333"/>
      <c r="H477" s="333"/>
      <c r="I477" s="333"/>
      <c r="J477" s="328"/>
      <c r="K477" s="328"/>
      <c r="L477" s="341"/>
      <c r="M477" s="328"/>
      <c r="N477" s="351"/>
      <c r="O477" s="356"/>
      <c r="P477" s="157"/>
      <c r="Q477" s="157"/>
      <c r="R477" s="157"/>
      <c r="S477" s="157"/>
      <c r="T477" s="157"/>
      <c r="U477" s="157"/>
      <c r="V477" s="157"/>
      <c r="W477" s="157"/>
      <c r="X477" s="157"/>
      <c r="Y477" s="157"/>
      <c r="Z477" s="157"/>
    </row>
    <row r="478" ht="33.75" customHeight="1">
      <c r="A478" s="354"/>
      <c r="B478" s="355"/>
      <c r="C478" s="351"/>
      <c r="D478" s="328"/>
      <c r="E478" s="326"/>
      <c r="F478" s="333"/>
      <c r="G478" s="333"/>
      <c r="H478" s="333"/>
      <c r="I478" s="333"/>
      <c r="J478" s="328"/>
      <c r="K478" s="328"/>
      <c r="L478" s="341"/>
      <c r="M478" s="328"/>
      <c r="N478" s="351"/>
      <c r="O478" s="356"/>
      <c r="P478" s="157"/>
      <c r="Q478" s="157"/>
      <c r="R478" s="157"/>
      <c r="S478" s="157"/>
      <c r="T478" s="157"/>
      <c r="U478" s="157"/>
      <c r="V478" s="157"/>
      <c r="W478" s="157"/>
      <c r="X478" s="157"/>
      <c r="Y478" s="157"/>
      <c r="Z478" s="157"/>
    </row>
    <row r="479" ht="33.75" customHeight="1">
      <c r="A479" s="354"/>
      <c r="B479" s="355"/>
      <c r="C479" s="351"/>
      <c r="D479" s="328"/>
      <c r="E479" s="326"/>
      <c r="F479" s="333"/>
      <c r="G479" s="333"/>
      <c r="H479" s="333"/>
      <c r="I479" s="333"/>
      <c r="J479" s="328"/>
      <c r="K479" s="328"/>
      <c r="L479" s="341"/>
      <c r="M479" s="328"/>
      <c r="N479" s="351"/>
      <c r="O479" s="356"/>
      <c r="P479" s="157"/>
      <c r="Q479" s="157"/>
      <c r="R479" s="157"/>
      <c r="S479" s="157"/>
      <c r="T479" s="157"/>
      <c r="U479" s="157"/>
      <c r="V479" s="157"/>
      <c r="W479" s="157"/>
      <c r="X479" s="157"/>
      <c r="Y479" s="157"/>
      <c r="Z479" s="157"/>
    </row>
    <row r="480" ht="33.75" customHeight="1">
      <c r="A480" s="354"/>
      <c r="B480" s="355"/>
      <c r="C480" s="351"/>
      <c r="D480" s="328"/>
      <c r="E480" s="326"/>
      <c r="F480" s="333"/>
      <c r="G480" s="333"/>
      <c r="H480" s="333"/>
      <c r="I480" s="333"/>
      <c r="J480" s="328"/>
      <c r="K480" s="328"/>
      <c r="L480" s="341"/>
      <c r="M480" s="328"/>
      <c r="N480" s="351"/>
      <c r="O480" s="356"/>
      <c r="P480" s="157"/>
      <c r="Q480" s="157"/>
      <c r="R480" s="157"/>
      <c r="S480" s="157"/>
      <c r="T480" s="157"/>
      <c r="U480" s="157"/>
      <c r="V480" s="157"/>
      <c r="W480" s="157"/>
      <c r="X480" s="157"/>
      <c r="Y480" s="157"/>
      <c r="Z480" s="157"/>
    </row>
    <row r="481" ht="33.75" customHeight="1">
      <c r="A481" s="354"/>
      <c r="B481" s="355"/>
      <c r="C481" s="351"/>
      <c r="D481" s="328"/>
      <c r="E481" s="326"/>
      <c r="F481" s="333"/>
      <c r="G481" s="333"/>
      <c r="H481" s="333"/>
      <c r="I481" s="333"/>
      <c r="J481" s="328"/>
      <c r="K481" s="328"/>
      <c r="L481" s="341"/>
      <c r="M481" s="328"/>
      <c r="N481" s="351"/>
      <c r="O481" s="356"/>
      <c r="P481" s="157"/>
      <c r="Q481" s="157"/>
      <c r="R481" s="157"/>
      <c r="S481" s="157"/>
      <c r="T481" s="157"/>
      <c r="U481" s="157"/>
      <c r="V481" s="157"/>
      <c r="W481" s="157"/>
      <c r="X481" s="157"/>
      <c r="Y481" s="157"/>
      <c r="Z481" s="157"/>
    </row>
    <row r="482" ht="33.75" customHeight="1">
      <c r="A482" s="354"/>
      <c r="B482" s="355"/>
      <c r="C482" s="351"/>
      <c r="D482" s="328"/>
      <c r="E482" s="326"/>
      <c r="F482" s="333"/>
      <c r="G482" s="333"/>
      <c r="H482" s="333"/>
      <c r="I482" s="333"/>
      <c r="J482" s="328"/>
      <c r="K482" s="328"/>
      <c r="L482" s="341"/>
      <c r="M482" s="328"/>
      <c r="N482" s="351"/>
      <c r="O482" s="356"/>
      <c r="P482" s="157"/>
      <c r="Q482" s="157"/>
      <c r="R482" s="157"/>
      <c r="S482" s="157"/>
      <c r="T482" s="157"/>
      <c r="U482" s="157"/>
      <c r="V482" s="157"/>
      <c r="W482" s="157"/>
      <c r="X482" s="157"/>
      <c r="Y482" s="157"/>
      <c r="Z482" s="157"/>
    </row>
    <row r="483" ht="33.75" customHeight="1">
      <c r="A483" s="354"/>
      <c r="B483" s="355"/>
      <c r="C483" s="351"/>
      <c r="D483" s="328"/>
      <c r="E483" s="326"/>
      <c r="F483" s="333"/>
      <c r="G483" s="333"/>
      <c r="H483" s="333"/>
      <c r="I483" s="333"/>
      <c r="J483" s="328"/>
      <c r="K483" s="328"/>
      <c r="L483" s="341"/>
      <c r="M483" s="328"/>
      <c r="N483" s="351"/>
      <c r="O483" s="356"/>
      <c r="P483" s="157"/>
      <c r="Q483" s="157"/>
      <c r="R483" s="157"/>
      <c r="S483" s="157"/>
      <c r="T483" s="157"/>
      <c r="U483" s="157"/>
      <c r="V483" s="157"/>
      <c r="W483" s="157"/>
      <c r="X483" s="157"/>
      <c r="Y483" s="157"/>
      <c r="Z483" s="157"/>
    </row>
    <row r="484" ht="33.75" customHeight="1">
      <c r="A484" s="354"/>
      <c r="B484" s="355"/>
      <c r="C484" s="351"/>
      <c r="D484" s="328"/>
      <c r="E484" s="326"/>
      <c r="F484" s="333"/>
      <c r="G484" s="333"/>
      <c r="H484" s="333"/>
      <c r="I484" s="333"/>
      <c r="J484" s="328"/>
      <c r="K484" s="328"/>
      <c r="L484" s="341"/>
      <c r="M484" s="328"/>
      <c r="N484" s="351"/>
      <c r="O484" s="356"/>
      <c r="P484" s="157"/>
      <c r="Q484" s="157"/>
      <c r="R484" s="157"/>
      <c r="S484" s="157"/>
      <c r="T484" s="157"/>
      <c r="U484" s="157"/>
      <c r="V484" s="157"/>
      <c r="W484" s="157"/>
      <c r="X484" s="157"/>
      <c r="Y484" s="157"/>
      <c r="Z484" s="157"/>
    </row>
    <row r="485" ht="33.75" customHeight="1">
      <c r="A485" s="354"/>
      <c r="B485" s="355"/>
      <c r="C485" s="351"/>
      <c r="D485" s="328"/>
      <c r="E485" s="326"/>
      <c r="F485" s="333"/>
      <c r="G485" s="333"/>
      <c r="H485" s="333"/>
      <c r="I485" s="333"/>
      <c r="J485" s="328"/>
      <c r="K485" s="328"/>
      <c r="L485" s="341"/>
      <c r="M485" s="328"/>
      <c r="N485" s="351"/>
      <c r="O485" s="356"/>
      <c r="P485" s="157"/>
      <c r="Q485" s="157"/>
      <c r="R485" s="157"/>
      <c r="S485" s="157"/>
      <c r="T485" s="157"/>
      <c r="U485" s="157"/>
      <c r="V485" s="157"/>
      <c r="W485" s="157"/>
      <c r="X485" s="157"/>
      <c r="Y485" s="157"/>
      <c r="Z485" s="157"/>
    </row>
    <row r="486" ht="33.75" customHeight="1">
      <c r="A486" s="354"/>
      <c r="B486" s="355"/>
      <c r="C486" s="351"/>
      <c r="D486" s="328"/>
      <c r="E486" s="326"/>
      <c r="F486" s="333"/>
      <c r="G486" s="333"/>
      <c r="H486" s="333"/>
      <c r="I486" s="333"/>
      <c r="J486" s="328"/>
      <c r="K486" s="328"/>
      <c r="L486" s="341"/>
      <c r="M486" s="328"/>
      <c r="N486" s="351"/>
      <c r="O486" s="356"/>
      <c r="P486" s="157"/>
      <c r="Q486" s="157"/>
      <c r="R486" s="157"/>
      <c r="S486" s="157"/>
      <c r="T486" s="157"/>
      <c r="U486" s="157"/>
      <c r="V486" s="157"/>
      <c r="W486" s="157"/>
      <c r="X486" s="157"/>
      <c r="Y486" s="157"/>
      <c r="Z486" s="157"/>
    </row>
    <row r="487" ht="33.75" customHeight="1">
      <c r="A487" s="354"/>
      <c r="B487" s="355"/>
      <c r="C487" s="351"/>
      <c r="D487" s="328"/>
      <c r="E487" s="326"/>
      <c r="F487" s="333"/>
      <c r="G487" s="333"/>
      <c r="H487" s="333"/>
      <c r="I487" s="333"/>
      <c r="J487" s="328"/>
      <c r="K487" s="328"/>
      <c r="L487" s="341"/>
      <c r="M487" s="328"/>
      <c r="N487" s="351"/>
      <c r="O487" s="356"/>
      <c r="P487" s="157"/>
      <c r="Q487" s="157"/>
      <c r="R487" s="157"/>
      <c r="S487" s="157"/>
      <c r="T487" s="157"/>
      <c r="U487" s="157"/>
      <c r="V487" s="157"/>
      <c r="W487" s="157"/>
      <c r="X487" s="157"/>
      <c r="Y487" s="157"/>
      <c r="Z487" s="157"/>
    </row>
    <row r="488" ht="33.75" customHeight="1">
      <c r="A488" s="354"/>
      <c r="B488" s="355"/>
      <c r="C488" s="351"/>
      <c r="D488" s="328"/>
      <c r="E488" s="326"/>
      <c r="F488" s="333"/>
      <c r="G488" s="333"/>
      <c r="H488" s="333"/>
      <c r="I488" s="333"/>
      <c r="J488" s="328"/>
      <c r="K488" s="328"/>
      <c r="L488" s="341"/>
      <c r="M488" s="328"/>
      <c r="N488" s="351"/>
      <c r="O488" s="356"/>
      <c r="P488" s="157"/>
      <c r="Q488" s="157"/>
      <c r="R488" s="157"/>
      <c r="S488" s="157"/>
      <c r="T488" s="157"/>
      <c r="U488" s="157"/>
      <c r="V488" s="157"/>
      <c r="W488" s="157"/>
      <c r="X488" s="157"/>
      <c r="Y488" s="157"/>
      <c r="Z488" s="157"/>
    </row>
    <row r="489" ht="33.75" customHeight="1">
      <c r="A489" s="354"/>
      <c r="B489" s="355"/>
      <c r="C489" s="351"/>
      <c r="D489" s="328"/>
      <c r="E489" s="326"/>
      <c r="F489" s="333"/>
      <c r="G489" s="333"/>
      <c r="H489" s="333"/>
      <c r="I489" s="333"/>
      <c r="J489" s="328"/>
      <c r="K489" s="328"/>
      <c r="L489" s="341"/>
      <c r="M489" s="328"/>
      <c r="N489" s="351"/>
      <c r="O489" s="356"/>
      <c r="P489" s="157"/>
      <c r="Q489" s="157"/>
      <c r="R489" s="157"/>
      <c r="S489" s="157"/>
      <c r="T489" s="157"/>
      <c r="U489" s="157"/>
      <c r="V489" s="157"/>
      <c r="W489" s="157"/>
      <c r="X489" s="157"/>
      <c r="Y489" s="157"/>
      <c r="Z489" s="157"/>
    </row>
    <row r="490" ht="33.75" customHeight="1">
      <c r="A490" s="354"/>
      <c r="B490" s="355"/>
      <c r="C490" s="351"/>
      <c r="D490" s="328"/>
      <c r="E490" s="326"/>
      <c r="F490" s="333"/>
      <c r="G490" s="333"/>
      <c r="H490" s="333"/>
      <c r="I490" s="333"/>
      <c r="J490" s="328"/>
      <c r="K490" s="328"/>
      <c r="L490" s="341"/>
      <c r="M490" s="328"/>
      <c r="N490" s="351"/>
      <c r="O490" s="356"/>
      <c r="P490" s="157"/>
      <c r="Q490" s="157"/>
      <c r="R490" s="157"/>
      <c r="S490" s="157"/>
      <c r="T490" s="157"/>
      <c r="U490" s="157"/>
      <c r="V490" s="157"/>
      <c r="W490" s="157"/>
      <c r="X490" s="157"/>
      <c r="Y490" s="157"/>
      <c r="Z490" s="157"/>
    </row>
    <row r="491" ht="33.75" customHeight="1">
      <c r="A491" s="354"/>
      <c r="B491" s="355"/>
      <c r="C491" s="351"/>
      <c r="D491" s="328"/>
      <c r="E491" s="326"/>
      <c r="F491" s="333"/>
      <c r="G491" s="333"/>
      <c r="H491" s="333"/>
      <c r="I491" s="333"/>
      <c r="J491" s="328"/>
      <c r="K491" s="328"/>
      <c r="L491" s="341"/>
      <c r="M491" s="328"/>
      <c r="N491" s="351"/>
      <c r="O491" s="356"/>
      <c r="P491" s="157"/>
      <c r="Q491" s="157"/>
      <c r="R491" s="157"/>
      <c r="S491" s="157"/>
      <c r="T491" s="157"/>
      <c r="U491" s="157"/>
      <c r="V491" s="157"/>
      <c r="W491" s="157"/>
      <c r="X491" s="157"/>
      <c r="Y491" s="157"/>
      <c r="Z491" s="157"/>
    </row>
    <row r="492" ht="33.75" customHeight="1">
      <c r="A492" s="354"/>
      <c r="B492" s="355"/>
      <c r="C492" s="351"/>
      <c r="D492" s="328"/>
      <c r="E492" s="326"/>
      <c r="F492" s="333"/>
      <c r="G492" s="333"/>
      <c r="H492" s="333"/>
      <c r="I492" s="333"/>
      <c r="J492" s="328"/>
      <c r="K492" s="328"/>
      <c r="L492" s="341"/>
      <c r="M492" s="328"/>
      <c r="N492" s="351"/>
      <c r="O492" s="356"/>
      <c r="P492" s="157"/>
      <c r="Q492" s="157"/>
      <c r="R492" s="157"/>
      <c r="S492" s="157"/>
      <c r="T492" s="157"/>
      <c r="U492" s="157"/>
      <c r="V492" s="157"/>
      <c r="W492" s="157"/>
      <c r="X492" s="157"/>
      <c r="Y492" s="157"/>
      <c r="Z492" s="157"/>
    </row>
    <row r="493" ht="33.75" customHeight="1">
      <c r="A493" s="354"/>
      <c r="B493" s="355"/>
      <c r="C493" s="351"/>
      <c r="D493" s="328"/>
      <c r="E493" s="326"/>
      <c r="F493" s="333"/>
      <c r="G493" s="333"/>
      <c r="H493" s="333"/>
      <c r="I493" s="333"/>
      <c r="J493" s="328"/>
      <c r="K493" s="328"/>
      <c r="L493" s="341"/>
      <c r="M493" s="328"/>
      <c r="N493" s="351"/>
      <c r="O493" s="356"/>
      <c r="P493" s="157"/>
      <c r="Q493" s="157"/>
      <c r="R493" s="157"/>
      <c r="S493" s="157"/>
      <c r="T493" s="157"/>
      <c r="U493" s="157"/>
      <c r="V493" s="157"/>
      <c r="W493" s="157"/>
      <c r="X493" s="157"/>
      <c r="Y493" s="157"/>
      <c r="Z493" s="157"/>
    </row>
    <row r="494" ht="33.75" customHeight="1">
      <c r="A494" s="354"/>
      <c r="B494" s="355"/>
      <c r="C494" s="351"/>
      <c r="D494" s="328"/>
      <c r="E494" s="326"/>
      <c r="F494" s="333"/>
      <c r="G494" s="333"/>
      <c r="H494" s="333"/>
      <c r="I494" s="333"/>
      <c r="J494" s="328"/>
      <c r="K494" s="328"/>
      <c r="L494" s="341"/>
      <c r="M494" s="328"/>
      <c r="N494" s="351"/>
      <c r="O494" s="356"/>
      <c r="P494" s="157"/>
      <c r="Q494" s="157"/>
      <c r="R494" s="157"/>
      <c r="S494" s="157"/>
      <c r="T494" s="157"/>
      <c r="U494" s="157"/>
      <c r="V494" s="157"/>
      <c r="W494" s="157"/>
      <c r="X494" s="157"/>
      <c r="Y494" s="157"/>
      <c r="Z494" s="157"/>
    </row>
    <row r="495" ht="33.75" customHeight="1">
      <c r="A495" s="354"/>
      <c r="B495" s="355"/>
      <c r="C495" s="351"/>
      <c r="D495" s="328"/>
      <c r="E495" s="326"/>
      <c r="F495" s="333"/>
      <c r="G495" s="333"/>
      <c r="H495" s="333"/>
      <c r="I495" s="333"/>
      <c r="J495" s="328"/>
      <c r="K495" s="328"/>
      <c r="L495" s="341"/>
      <c r="M495" s="328"/>
      <c r="N495" s="351"/>
      <c r="O495" s="356"/>
      <c r="P495" s="157"/>
      <c r="Q495" s="157"/>
      <c r="R495" s="157"/>
      <c r="S495" s="157"/>
      <c r="T495" s="157"/>
      <c r="U495" s="157"/>
      <c r="V495" s="157"/>
      <c r="W495" s="157"/>
      <c r="X495" s="157"/>
      <c r="Y495" s="157"/>
      <c r="Z495" s="157"/>
    </row>
    <row r="496" ht="33.75" customHeight="1">
      <c r="A496" s="354"/>
      <c r="B496" s="355"/>
      <c r="C496" s="351"/>
      <c r="D496" s="328"/>
      <c r="E496" s="326"/>
      <c r="F496" s="333"/>
      <c r="G496" s="333"/>
      <c r="H496" s="333"/>
      <c r="I496" s="333"/>
      <c r="J496" s="328"/>
      <c r="K496" s="328"/>
      <c r="L496" s="341"/>
      <c r="M496" s="328"/>
      <c r="N496" s="351"/>
      <c r="O496" s="356"/>
      <c r="P496" s="157"/>
      <c r="Q496" s="157"/>
      <c r="R496" s="157"/>
      <c r="S496" s="157"/>
      <c r="T496" s="157"/>
      <c r="U496" s="157"/>
      <c r="V496" s="157"/>
      <c r="W496" s="157"/>
      <c r="X496" s="157"/>
      <c r="Y496" s="157"/>
      <c r="Z496" s="157"/>
    </row>
    <row r="497" ht="33.75" customHeight="1">
      <c r="A497" s="354"/>
      <c r="B497" s="355"/>
      <c r="C497" s="351"/>
      <c r="D497" s="328"/>
      <c r="E497" s="326"/>
      <c r="F497" s="333"/>
      <c r="G497" s="333"/>
      <c r="H497" s="333"/>
      <c r="I497" s="333"/>
      <c r="J497" s="328"/>
      <c r="K497" s="328"/>
      <c r="L497" s="341"/>
      <c r="M497" s="328"/>
      <c r="N497" s="351"/>
      <c r="O497" s="356"/>
      <c r="P497" s="157"/>
      <c r="Q497" s="157"/>
      <c r="R497" s="157"/>
      <c r="S497" s="157"/>
      <c r="T497" s="157"/>
      <c r="U497" s="157"/>
      <c r="V497" s="157"/>
      <c r="W497" s="157"/>
      <c r="X497" s="157"/>
      <c r="Y497" s="157"/>
      <c r="Z497" s="157"/>
    </row>
    <row r="498" ht="33.75" customHeight="1">
      <c r="A498" s="354"/>
      <c r="B498" s="355"/>
      <c r="C498" s="351"/>
      <c r="D498" s="328"/>
      <c r="E498" s="326"/>
      <c r="F498" s="333"/>
      <c r="G498" s="333"/>
      <c r="H498" s="333"/>
      <c r="I498" s="333"/>
      <c r="J498" s="328"/>
      <c r="K498" s="328"/>
      <c r="L498" s="341"/>
      <c r="M498" s="328"/>
      <c r="N498" s="351"/>
      <c r="O498" s="356"/>
      <c r="P498" s="157"/>
      <c r="Q498" s="157"/>
      <c r="R498" s="157"/>
      <c r="S498" s="157"/>
      <c r="T498" s="157"/>
      <c r="U498" s="157"/>
      <c r="V498" s="157"/>
      <c r="W498" s="157"/>
      <c r="X498" s="157"/>
      <c r="Y498" s="157"/>
      <c r="Z498" s="157"/>
    </row>
    <row r="499" ht="33.75" customHeight="1">
      <c r="A499" s="354"/>
      <c r="B499" s="355"/>
      <c r="C499" s="351"/>
      <c r="D499" s="328"/>
      <c r="E499" s="326"/>
      <c r="F499" s="333"/>
      <c r="G499" s="333"/>
      <c r="H499" s="333"/>
      <c r="I499" s="333"/>
      <c r="J499" s="328"/>
      <c r="K499" s="328"/>
      <c r="L499" s="341"/>
      <c r="M499" s="328"/>
      <c r="N499" s="351"/>
      <c r="O499" s="356"/>
      <c r="P499" s="157"/>
      <c r="Q499" s="157"/>
      <c r="R499" s="157"/>
      <c r="S499" s="157"/>
      <c r="T499" s="157"/>
      <c r="U499" s="157"/>
      <c r="V499" s="157"/>
      <c r="W499" s="157"/>
      <c r="X499" s="157"/>
      <c r="Y499" s="157"/>
      <c r="Z499" s="157"/>
    </row>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Z$299"/>
  <customSheetViews>
    <customSheetView guid="{00B2829D-B7E0-4616-9A59-3B9A6276FFD8}" filter="1" showAutoFilter="1">
      <autoFilter ref="$B$1:$B$299"/>
      <extLst>
        <ext uri="GoogleSheetsCustomDataVersion1">
          <go:sheetsCustomData xmlns:go="http://customooxmlschemas.google.com/" filterViewId="199708678"/>
        </ext>
      </extLst>
    </customSheetView>
  </customSheetView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3"/>
    <hyperlink r:id="rId101" ref="A104"/>
    <hyperlink r:id="rId102" ref="A105"/>
    <hyperlink r:id="rId103" ref="A106"/>
    <hyperlink r:id="rId104" ref="A107"/>
    <hyperlink r:id="rId105" ref="A108"/>
    <hyperlink r:id="rId106" ref="A109"/>
    <hyperlink r:id="rId107" ref="A110"/>
    <hyperlink r:id="rId108" ref="A111"/>
    <hyperlink r:id="rId109" ref="A112"/>
    <hyperlink r:id="rId110" ref="A113"/>
    <hyperlink r:id="rId111" ref="A114"/>
    <hyperlink r:id="rId112" ref="A115"/>
    <hyperlink r:id="rId113" ref="A116"/>
    <hyperlink r:id="rId114" ref="A117"/>
    <hyperlink r:id="rId115" ref="A118"/>
    <hyperlink r:id="rId116" ref="A119"/>
    <hyperlink r:id="rId117" ref="A120"/>
    <hyperlink r:id="rId118" ref="A121"/>
    <hyperlink r:id="rId119" ref="A122"/>
    <hyperlink r:id="rId120" ref="A123"/>
    <hyperlink r:id="rId121" ref="A124"/>
    <hyperlink r:id="rId122" ref="A125"/>
    <hyperlink r:id="rId123" ref="A126"/>
    <hyperlink r:id="rId124" ref="A127"/>
    <hyperlink r:id="rId125" ref="A128"/>
    <hyperlink r:id="rId126" ref="A129"/>
    <hyperlink r:id="rId127" ref="A130"/>
    <hyperlink r:id="rId128" ref="A131"/>
    <hyperlink r:id="rId129" ref="A132"/>
    <hyperlink r:id="rId130" ref="A133"/>
    <hyperlink r:id="rId131" ref="A134"/>
    <hyperlink r:id="rId132" ref="A135"/>
    <hyperlink r:id="rId133" ref="A136"/>
    <hyperlink r:id="rId134" ref="A137"/>
    <hyperlink r:id="rId135" ref="A138"/>
    <hyperlink r:id="rId136" ref="A139"/>
    <hyperlink r:id="rId137" ref="A140"/>
    <hyperlink r:id="rId138" ref="A141"/>
    <hyperlink r:id="rId139" ref="A142"/>
    <hyperlink r:id="rId140" ref="A143"/>
    <hyperlink r:id="rId141" ref="A144"/>
    <hyperlink r:id="rId142" ref="A145"/>
    <hyperlink r:id="rId143" ref="A146"/>
    <hyperlink r:id="rId144" ref="A147"/>
    <hyperlink r:id="rId145" ref="A148"/>
    <hyperlink r:id="rId146" ref="A149"/>
    <hyperlink r:id="rId147" ref="A150"/>
    <hyperlink r:id="rId148" ref="A151"/>
    <hyperlink r:id="rId149" ref="A152"/>
    <hyperlink r:id="rId150" ref="A153"/>
    <hyperlink r:id="rId151" ref="A154"/>
    <hyperlink r:id="rId152" ref="A155"/>
    <hyperlink r:id="rId153" ref="A156"/>
    <hyperlink r:id="rId154" ref="A157"/>
    <hyperlink r:id="rId155" ref="A158"/>
    <hyperlink r:id="rId156" ref="A159"/>
    <hyperlink r:id="rId157" ref="A160"/>
    <hyperlink r:id="rId158" ref="A161"/>
    <hyperlink r:id="rId159" ref="A162"/>
    <hyperlink r:id="rId160" ref="A163"/>
    <hyperlink r:id="rId161" ref="A164"/>
    <hyperlink r:id="rId162" ref="A165"/>
    <hyperlink r:id="rId163" ref="A166"/>
    <hyperlink r:id="rId164" ref="A167"/>
    <hyperlink r:id="rId165" ref="A168"/>
    <hyperlink r:id="rId166" ref="A169"/>
    <hyperlink r:id="rId167" ref="A170"/>
    <hyperlink r:id="rId168" ref="A171"/>
    <hyperlink r:id="rId169" ref="A172"/>
    <hyperlink r:id="rId170" ref="A173"/>
    <hyperlink r:id="rId171" ref="A174"/>
    <hyperlink r:id="rId172" ref="A175"/>
    <hyperlink r:id="rId173" ref="A176"/>
    <hyperlink r:id="rId174" ref="A177"/>
    <hyperlink r:id="rId175" ref="A178"/>
    <hyperlink r:id="rId176" ref="A179"/>
    <hyperlink r:id="rId177" ref="A180"/>
    <hyperlink r:id="rId178" ref="A181"/>
    <hyperlink r:id="rId179" ref="A182"/>
    <hyperlink r:id="rId180" ref="A183"/>
    <hyperlink r:id="rId181" ref="A184"/>
    <hyperlink r:id="rId182" ref="A185"/>
    <hyperlink r:id="rId183" ref="A186"/>
    <hyperlink r:id="rId184" ref="A187"/>
    <hyperlink r:id="rId185" ref="A188"/>
    <hyperlink r:id="rId186" ref="A189"/>
    <hyperlink r:id="rId187" ref="A190"/>
    <hyperlink r:id="rId188" ref="A191"/>
    <hyperlink r:id="rId189" ref="A192"/>
    <hyperlink r:id="rId190" ref="A193"/>
    <hyperlink r:id="rId191" ref="A194"/>
    <hyperlink r:id="rId192" ref="A195"/>
    <hyperlink r:id="rId193" ref="A196"/>
    <hyperlink r:id="rId194" ref="A197"/>
    <hyperlink r:id="rId195" ref="A198"/>
    <hyperlink r:id="rId196" ref="A199"/>
    <hyperlink r:id="rId197" ref="A200"/>
    <hyperlink r:id="rId198" ref="A201"/>
    <hyperlink r:id="rId199" ref="A202"/>
    <hyperlink r:id="rId200" ref="A203"/>
    <hyperlink r:id="rId201" ref="A204"/>
    <hyperlink r:id="rId202" ref="A205"/>
    <hyperlink r:id="rId203" ref="A206"/>
    <hyperlink r:id="rId204" ref="A207"/>
    <hyperlink r:id="rId205" ref="A208"/>
    <hyperlink r:id="rId206" ref="A209"/>
    <hyperlink r:id="rId207" ref="A210"/>
    <hyperlink r:id="rId208" ref="A211"/>
    <hyperlink r:id="rId209" ref="A212"/>
    <hyperlink r:id="rId210" ref="A213"/>
    <hyperlink r:id="rId211" ref="A214"/>
    <hyperlink r:id="rId212" ref="A215"/>
    <hyperlink r:id="rId213" ref="A216"/>
    <hyperlink r:id="rId214" ref="A217"/>
    <hyperlink r:id="rId215" ref="A218"/>
    <hyperlink r:id="rId216" ref="A219"/>
    <hyperlink r:id="rId217" ref="A220"/>
    <hyperlink r:id="rId218" ref="A221"/>
    <hyperlink r:id="rId219" ref="A222"/>
    <hyperlink r:id="rId220" ref="A223"/>
    <hyperlink r:id="rId221" ref="A224"/>
    <hyperlink r:id="rId222" ref="A225"/>
    <hyperlink r:id="rId223" ref="A226"/>
    <hyperlink r:id="rId224" ref="A227"/>
    <hyperlink r:id="rId225" ref="A228"/>
    <hyperlink r:id="rId226" ref="A229"/>
    <hyperlink r:id="rId227" ref="A230"/>
    <hyperlink r:id="rId228" ref="A231"/>
    <hyperlink r:id="rId229" ref="A232"/>
    <hyperlink r:id="rId230" ref="A233"/>
    <hyperlink r:id="rId231" ref="A234"/>
    <hyperlink r:id="rId232" ref="A235"/>
    <hyperlink r:id="rId233" ref="A236"/>
    <hyperlink r:id="rId234" ref="A237"/>
    <hyperlink r:id="rId235" ref="A238"/>
    <hyperlink r:id="rId236" ref="A239"/>
    <hyperlink r:id="rId237" ref="A243"/>
  </hyperlinks>
  <printOptions gridLines="1" horizontalCentered="1"/>
  <pageMargins bottom="0.75" footer="0.0" header="0.0" left="0.7" right="0.7" top="0.75"/>
  <pageSetup fitToHeight="0" cellComments="atEnd" orientation="landscape" pageOrder="overThenDown"/>
  <drawing r:id="rId23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71"/>
    <col customWidth="1" min="2" max="2" width="11.71"/>
    <col customWidth="1" min="3" max="3" width="9.57"/>
    <col customWidth="1" min="4" max="4" width="22.57"/>
    <col customWidth="1" min="5" max="5" width="35.71"/>
    <col customWidth="1" min="6" max="6" width="12.71"/>
    <col customWidth="1" min="7" max="7" width="13.86"/>
    <col customWidth="1" min="8" max="8" width="14.14"/>
    <col customWidth="1" min="9" max="9" width="53.0"/>
    <col customWidth="1" min="10" max="10" width="13.57"/>
    <col customWidth="1" min="11" max="11" width="14.43"/>
    <col customWidth="1" min="12" max="12" width="41.86"/>
    <col customWidth="1" min="14" max="14" width="17.43"/>
  </cols>
  <sheetData>
    <row r="1" ht="12.75" customHeight="1">
      <c r="A1" s="269"/>
      <c r="B1" s="357" t="s">
        <v>4628</v>
      </c>
      <c r="C1" s="269"/>
      <c r="D1" s="358" t="s">
        <v>4629</v>
      </c>
      <c r="E1" s="270" t="s">
        <v>3</v>
      </c>
      <c r="F1" s="359" t="s">
        <v>4630</v>
      </c>
      <c r="G1" s="360" t="s">
        <v>2106</v>
      </c>
      <c r="H1" s="360" t="s">
        <v>2522</v>
      </c>
      <c r="I1" s="361" t="s">
        <v>2107</v>
      </c>
      <c r="J1" s="269"/>
      <c r="K1" s="269"/>
      <c r="L1" s="274"/>
      <c r="M1" s="362"/>
      <c r="N1" s="269"/>
      <c r="O1" s="275"/>
      <c r="P1" s="363"/>
      <c r="Q1" s="364"/>
      <c r="R1" s="364"/>
      <c r="S1" s="364"/>
      <c r="T1" s="364"/>
      <c r="U1" s="364"/>
      <c r="V1" s="364"/>
      <c r="W1" s="364"/>
      <c r="X1" s="364"/>
      <c r="Y1" s="364"/>
      <c r="Z1" s="364"/>
    </row>
    <row r="2" ht="48.75" customHeight="1">
      <c r="A2" s="277" t="s">
        <v>7</v>
      </c>
      <c r="B2" s="277" t="s">
        <v>4631</v>
      </c>
      <c r="C2" s="277" t="s">
        <v>2110</v>
      </c>
      <c r="D2" s="277" t="s">
        <v>10</v>
      </c>
      <c r="E2" s="279" t="s">
        <v>11</v>
      </c>
      <c r="F2" s="280" t="s">
        <v>12</v>
      </c>
      <c r="G2" s="281" t="s">
        <v>12</v>
      </c>
      <c r="H2" s="281" t="s">
        <v>12</v>
      </c>
      <c r="I2" s="281" t="s">
        <v>12</v>
      </c>
      <c r="J2" s="365" t="s">
        <v>2111</v>
      </c>
      <c r="K2" s="365" t="s">
        <v>2112</v>
      </c>
      <c r="L2" s="277" t="s">
        <v>2113</v>
      </c>
      <c r="M2" s="277" t="s">
        <v>493</v>
      </c>
      <c r="N2" s="277" t="s">
        <v>1025</v>
      </c>
      <c r="O2" s="283" t="s">
        <v>2523</v>
      </c>
      <c r="P2" s="366"/>
      <c r="Q2" s="342"/>
      <c r="R2" s="342"/>
      <c r="S2" s="342"/>
      <c r="T2" s="342"/>
      <c r="U2" s="342"/>
      <c r="V2" s="342"/>
      <c r="W2" s="342"/>
      <c r="X2" s="342"/>
      <c r="Y2" s="342"/>
      <c r="Z2" s="342"/>
    </row>
    <row r="3" ht="54.0" customHeight="1">
      <c r="A3" s="284">
        <v>36093.0</v>
      </c>
      <c r="B3" s="285" t="s">
        <v>715</v>
      </c>
      <c r="C3" s="285">
        <v>930.0</v>
      </c>
      <c r="D3" s="285" t="s">
        <v>4632</v>
      </c>
      <c r="E3" s="287" t="s">
        <v>4633</v>
      </c>
      <c r="F3" s="288">
        <v>44550.0</v>
      </c>
      <c r="G3" s="288">
        <v>44544.0</v>
      </c>
      <c r="H3" s="288">
        <v>44544.0</v>
      </c>
      <c r="I3" s="288">
        <v>44559.0</v>
      </c>
      <c r="J3" s="294"/>
      <c r="K3" s="294"/>
      <c r="L3" s="290" t="s">
        <v>4634</v>
      </c>
      <c r="M3" s="285" t="s">
        <v>4635</v>
      </c>
      <c r="N3" s="299" t="s">
        <v>2621</v>
      </c>
      <c r="O3" s="300">
        <v>64312.0</v>
      </c>
      <c r="P3" s="198"/>
      <c r="Q3" s="198"/>
      <c r="R3" s="198"/>
      <c r="S3" s="198"/>
      <c r="T3" s="198"/>
      <c r="U3" s="198"/>
      <c r="V3" s="198"/>
      <c r="W3" s="198"/>
      <c r="X3" s="198"/>
      <c r="Y3" s="198"/>
      <c r="Z3" s="198"/>
    </row>
    <row r="4" ht="54.0" customHeight="1">
      <c r="A4" s="284">
        <v>35663.0</v>
      </c>
      <c r="B4" s="285" t="s">
        <v>715</v>
      </c>
      <c r="C4" s="285">
        <v>1160.0</v>
      </c>
      <c r="D4" s="367" t="s">
        <v>4636</v>
      </c>
      <c r="E4" s="287" t="s">
        <v>4637</v>
      </c>
      <c r="F4" s="288">
        <v>44550.0</v>
      </c>
      <c r="G4" s="288">
        <v>44552.0</v>
      </c>
      <c r="H4" s="288">
        <v>44552.0</v>
      </c>
      <c r="I4" s="288">
        <v>44558.0</v>
      </c>
      <c r="J4" s="294"/>
      <c r="K4" s="294"/>
      <c r="L4" s="290" t="s">
        <v>4638</v>
      </c>
      <c r="M4" s="285" t="s">
        <v>497</v>
      </c>
      <c r="N4" s="299" t="s">
        <v>2554</v>
      </c>
      <c r="O4" s="300">
        <v>31869.84</v>
      </c>
      <c r="P4" s="198"/>
      <c r="Q4" s="198"/>
      <c r="R4" s="198"/>
      <c r="S4" s="198"/>
      <c r="T4" s="198"/>
      <c r="U4" s="198"/>
      <c r="V4" s="198"/>
      <c r="W4" s="198"/>
      <c r="X4" s="198"/>
      <c r="Y4" s="198"/>
      <c r="Z4" s="198"/>
    </row>
    <row r="5" ht="54.0" customHeight="1">
      <c r="A5" s="284" t="s">
        <v>4639</v>
      </c>
      <c r="B5" s="285" t="s">
        <v>25</v>
      </c>
      <c r="C5" s="285">
        <v>3931.0</v>
      </c>
      <c r="D5" s="285" t="s">
        <v>4640</v>
      </c>
      <c r="E5" s="368" t="s">
        <v>4641</v>
      </c>
      <c r="F5" s="288">
        <v>44547.0</v>
      </c>
      <c r="G5" s="288">
        <v>44547.0</v>
      </c>
      <c r="H5" s="288">
        <v>44547.0</v>
      </c>
      <c r="I5" s="288">
        <v>44547.0</v>
      </c>
      <c r="J5" s="294"/>
      <c r="K5" s="294"/>
      <c r="L5" s="290" t="s">
        <v>4642</v>
      </c>
      <c r="M5" s="285" t="s">
        <v>497</v>
      </c>
      <c r="N5" s="299" t="s">
        <v>2538</v>
      </c>
      <c r="O5" s="300">
        <v>423864.0</v>
      </c>
      <c r="P5" s="198"/>
      <c r="Q5" s="198"/>
      <c r="R5" s="198"/>
      <c r="S5" s="198"/>
      <c r="T5" s="198"/>
      <c r="U5" s="198"/>
      <c r="V5" s="198"/>
      <c r="W5" s="198"/>
      <c r="X5" s="198"/>
      <c r="Y5" s="198"/>
      <c r="Z5" s="198"/>
    </row>
    <row r="6" ht="54.0" customHeight="1">
      <c r="A6" s="284">
        <v>35949.0</v>
      </c>
      <c r="B6" s="285" t="s">
        <v>25</v>
      </c>
      <c r="C6" s="299">
        <v>4100.0</v>
      </c>
      <c r="D6" s="285" t="s">
        <v>4643</v>
      </c>
      <c r="E6" s="287" t="s">
        <v>4644</v>
      </c>
      <c r="F6" s="288">
        <v>44547.0</v>
      </c>
      <c r="G6" s="288">
        <v>44544.0</v>
      </c>
      <c r="H6" s="288">
        <v>44544.0</v>
      </c>
      <c r="I6" s="288">
        <v>44559.0</v>
      </c>
      <c r="J6" s="294"/>
      <c r="K6" s="294"/>
      <c r="L6" s="290" t="s">
        <v>4645</v>
      </c>
      <c r="M6" s="285" t="s">
        <v>497</v>
      </c>
      <c r="N6" s="299" t="s">
        <v>2554</v>
      </c>
      <c r="O6" s="300">
        <v>28290.0</v>
      </c>
      <c r="P6" s="198"/>
      <c r="Q6" s="198"/>
      <c r="R6" s="198"/>
      <c r="S6" s="198"/>
      <c r="T6" s="198"/>
      <c r="U6" s="198"/>
      <c r="V6" s="198"/>
      <c r="W6" s="198"/>
      <c r="X6" s="198"/>
      <c r="Y6" s="198"/>
      <c r="Z6" s="198"/>
    </row>
    <row r="7" ht="54.0" customHeight="1">
      <c r="A7" s="284">
        <v>35566.0</v>
      </c>
      <c r="B7" s="285" t="s">
        <v>25</v>
      </c>
      <c r="C7" s="299">
        <v>1160.0</v>
      </c>
      <c r="D7" s="285" t="s">
        <v>4646</v>
      </c>
      <c r="E7" s="287" t="s">
        <v>4637</v>
      </c>
      <c r="F7" s="288">
        <v>44547.0</v>
      </c>
      <c r="G7" s="288">
        <v>44545.0</v>
      </c>
      <c r="H7" s="288">
        <v>44545.0</v>
      </c>
      <c r="I7" s="288">
        <v>44559.0</v>
      </c>
      <c r="J7" s="294"/>
      <c r="K7" s="294"/>
      <c r="L7" s="290" t="s">
        <v>4647</v>
      </c>
      <c r="M7" s="285" t="s">
        <v>497</v>
      </c>
      <c r="N7" s="299" t="s">
        <v>2554</v>
      </c>
      <c r="O7" s="300">
        <v>31869.84</v>
      </c>
      <c r="P7" s="198"/>
      <c r="Q7" s="198"/>
      <c r="R7" s="198"/>
      <c r="S7" s="198"/>
      <c r="T7" s="198"/>
      <c r="U7" s="198"/>
      <c r="V7" s="198"/>
      <c r="W7" s="198"/>
      <c r="X7" s="198"/>
      <c r="Y7" s="198"/>
      <c r="Z7" s="198"/>
    </row>
    <row r="8" ht="54.0" customHeight="1">
      <c r="A8" s="284">
        <v>36079.0</v>
      </c>
      <c r="B8" s="285" t="s">
        <v>25</v>
      </c>
      <c r="C8" s="299">
        <v>1029.0</v>
      </c>
      <c r="D8" s="285" t="s">
        <v>4648</v>
      </c>
      <c r="E8" s="287" t="s">
        <v>4649</v>
      </c>
      <c r="F8" s="288">
        <v>44546.0</v>
      </c>
      <c r="G8" s="288">
        <v>44543.0</v>
      </c>
      <c r="H8" s="288">
        <v>44543.0</v>
      </c>
      <c r="I8" s="288">
        <v>44553.0</v>
      </c>
      <c r="J8" s="294"/>
      <c r="K8" s="294"/>
      <c r="L8" s="290" t="s">
        <v>4650</v>
      </c>
      <c r="M8" s="285" t="s">
        <v>4635</v>
      </c>
      <c r="N8" s="299" t="s">
        <v>2621</v>
      </c>
      <c r="O8" s="300">
        <v>54320.52</v>
      </c>
      <c r="P8" s="198"/>
      <c r="Q8" s="198"/>
      <c r="R8" s="198"/>
      <c r="S8" s="198"/>
      <c r="T8" s="198"/>
      <c r="U8" s="198"/>
      <c r="V8" s="198"/>
      <c r="W8" s="198"/>
      <c r="X8" s="198"/>
      <c r="Y8" s="198"/>
      <c r="Z8" s="198"/>
    </row>
    <row r="9" ht="61.5" customHeight="1">
      <c r="A9" s="284">
        <v>36027.0</v>
      </c>
      <c r="B9" s="285" t="s">
        <v>25</v>
      </c>
      <c r="C9" s="299">
        <v>944.0</v>
      </c>
      <c r="D9" s="285" t="s">
        <v>4651</v>
      </c>
      <c r="E9" s="287" t="s">
        <v>4652</v>
      </c>
      <c r="F9" s="288">
        <v>44546.0</v>
      </c>
      <c r="G9" s="288">
        <v>44543.0</v>
      </c>
      <c r="H9" s="288">
        <v>44543.0</v>
      </c>
      <c r="I9" s="369">
        <v>44552.0</v>
      </c>
      <c r="J9" s="294"/>
      <c r="K9" s="294"/>
      <c r="L9" s="290" t="s">
        <v>4653</v>
      </c>
      <c r="M9" s="285" t="s">
        <v>4635</v>
      </c>
      <c r="N9" s="299" t="s">
        <v>2621</v>
      </c>
      <c r="O9" s="300">
        <v>47623.2</v>
      </c>
      <c r="P9" s="198"/>
      <c r="Q9" s="198"/>
      <c r="R9" s="198"/>
      <c r="S9" s="198"/>
      <c r="T9" s="198"/>
      <c r="U9" s="198"/>
      <c r="V9" s="198"/>
      <c r="W9" s="198"/>
      <c r="X9" s="198"/>
      <c r="Y9" s="198"/>
      <c r="Z9" s="198"/>
    </row>
    <row r="10" ht="54.0" customHeight="1">
      <c r="A10" s="284">
        <v>36016.0</v>
      </c>
      <c r="B10" s="285" t="s">
        <v>21</v>
      </c>
      <c r="C10" s="299">
        <v>1545.0</v>
      </c>
      <c r="D10" s="285" t="s">
        <v>4654</v>
      </c>
      <c r="E10" s="287" t="s">
        <v>4655</v>
      </c>
      <c r="F10" s="288">
        <v>44545.0</v>
      </c>
      <c r="G10" s="288">
        <v>44545.0</v>
      </c>
      <c r="H10" s="288">
        <v>44545.0</v>
      </c>
      <c r="I10" s="288">
        <v>44560.0</v>
      </c>
      <c r="J10" s="294"/>
      <c r="K10" s="294"/>
      <c r="L10" s="290" t="s">
        <v>4656</v>
      </c>
      <c r="M10" s="285" t="s">
        <v>4635</v>
      </c>
      <c r="N10" s="299" t="s">
        <v>2621</v>
      </c>
      <c r="O10" s="300">
        <v>63952.1</v>
      </c>
      <c r="P10" s="198"/>
      <c r="Q10" s="198"/>
      <c r="R10" s="198"/>
      <c r="S10" s="198"/>
      <c r="T10" s="198"/>
      <c r="U10" s="198"/>
      <c r="V10" s="198"/>
      <c r="W10" s="198"/>
      <c r="X10" s="198"/>
      <c r="Y10" s="198"/>
      <c r="Z10" s="198"/>
    </row>
    <row r="11" ht="60.0" customHeight="1">
      <c r="A11" s="284">
        <v>35560.0</v>
      </c>
      <c r="B11" s="285" t="s">
        <v>21</v>
      </c>
      <c r="C11" s="299">
        <v>3000.0</v>
      </c>
      <c r="D11" s="285" t="s">
        <v>4657</v>
      </c>
      <c r="E11" s="287" t="s">
        <v>4658</v>
      </c>
      <c r="F11" s="288">
        <v>44544.0</v>
      </c>
      <c r="G11" s="288">
        <v>44538.0</v>
      </c>
      <c r="H11" s="288">
        <v>44538.0</v>
      </c>
      <c r="I11" s="288">
        <v>44552.0</v>
      </c>
      <c r="J11" s="294"/>
      <c r="K11" s="294"/>
      <c r="L11" s="290" t="s">
        <v>4659</v>
      </c>
      <c r="M11" s="285" t="s">
        <v>497</v>
      </c>
      <c r="N11" s="299" t="s">
        <v>2554</v>
      </c>
      <c r="O11" s="300">
        <v>21210.0</v>
      </c>
      <c r="P11" s="198"/>
      <c r="Q11" s="198"/>
      <c r="R11" s="198"/>
      <c r="S11" s="198"/>
      <c r="T11" s="198"/>
      <c r="U11" s="198"/>
      <c r="V11" s="198"/>
      <c r="W11" s="198"/>
      <c r="X11" s="198"/>
      <c r="Y11" s="198"/>
      <c r="Z11" s="198"/>
    </row>
    <row r="12" ht="56.25" customHeight="1">
      <c r="A12" s="370">
        <v>35633.0</v>
      </c>
      <c r="B12" s="285" t="s">
        <v>21</v>
      </c>
      <c r="C12" s="299">
        <v>2060.0</v>
      </c>
      <c r="D12" s="285" t="s">
        <v>4660</v>
      </c>
      <c r="E12" s="287" t="s">
        <v>3812</v>
      </c>
      <c r="F12" s="288">
        <v>44542.0</v>
      </c>
      <c r="G12" s="288">
        <v>44529.0</v>
      </c>
      <c r="H12" s="288">
        <v>44529.0</v>
      </c>
      <c r="I12" s="288">
        <v>44544.0</v>
      </c>
      <c r="J12" s="294"/>
      <c r="K12" s="294"/>
      <c r="L12" s="290" t="s">
        <v>4661</v>
      </c>
      <c r="M12" s="285" t="s">
        <v>497</v>
      </c>
      <c r="N12" s="299" t="s">
        <v>4662</v>
      </c>
      <c r="O12" s="300">
        <v>127935.14</v>
      </c>
      <c r="P12" s="198"/>
      <c r="Q12" s="198"/>
      <c r="R12" s="198"/>
      <c r="S12" s="198"/>
      <c r="T12" s="198"/>
      <c r="U12" s="198"/>
      <c r="V12" s="198"/>
      <c r="W12" s="198"/>
      <c r="X12" s="198"/>
      <c r="Y12" s="198"/>
      <c r="Z12" s="198"/>
    </row>
    <row r="13" ht="54.0" customHeight="1">
      <c r="A13" s="284">
        <v>36107.0</v>
      </c>
      <c r="B13" s="285" t="s">
        <v>715</v>
      </c>
      <c r="C13" s="285">
        <v>1680.0</v>
      </c>
      <c r="D13" s="285" t="s">
        <v>4663</v>
      </c>
      <c r="E13" s="287" t="s">
        <v>4196</v>
      </c>
      <c r="F13" s="288">
        <v>44542.0</v>
      </c>
      <c r="G13" s="288">
        <v>44540.0</v>
      </c>
      <c r="H13" s="288">
        <v>44540.0</v>
      </c>
      <c r="I13" s="285" t="s">
        <v>4664</v>
      </c>
      <c r="J13" s="294"/>
      <c r="K13" s="294"/>
      <c r="L13" s="290" t="s">
        <v>4665</v>
      </c>
      <c r="M13" s="285" t="s">
        <v>4635</v>
      </c>
      <c r="N13" s="299" t="s">
        <v>2621</v>
      </c>
      <c r="O13" s="300">
        <v>55070.0</v>
      </c>
      <c r="P13" s="198"/>
      <c r="Q13" s="198"/>
      <c r="R13" s="198"/>
      <c r="S13" s="198"/>
      <c r="T13" s="198"/>
      <c r="U13" s="198"/>
      <c r="V13" s="198"/>
      <c r="W13" s="198"/>
      <c r="X13" s="198"/>
      <c r="Y13" s="198"/>
      <c r="Z13" s="198"/>
    </row>
    <row r="14" ht="54.0" customHeight="1">
      <c r="A14" s="284">
        <v>35584.0</v>
      </c>
      <c r="B14" s="285" t="s">
        <v>25</v>
      </c>
      <c r="C14" s="299">
        <v>1812.0</v>
      </c>
      <c r="D14" s="285" t="s">
        <v>4666</v>
      </c>
      <c r="E14" s="287" t="s">
        <v>4667</v>
      </c>
      <c r="F14" s="288">
        <v>44541.0</v>
      </c>
      <c r="G14" s="288">
        <v>44536.0</v>
      </c>
      <c r="H14" s="288">
        <v>44536.0</v>
      </c>
      <c r="I14" s="288">
        <v>44552.0</v>
      </c>
      <c r="J14" s="294"/>
      <c r="K14" s="294"/>
      <c r="L14" s="290" t="s">
        <v>4668</v>
      </c>
      <c r="M14" s="285" t="s">
        <v>497</v>
      </c>
      <c r="N14" s="299" t="s">
        <v>2554</v>
      </c>
      <c r="O14" s="300">
        <v>24912.2</v>
      </c>
      <c r="P14" s="198"/>
      <c r="Q14" s="198"/>
      <c r="R14" s="198"/>
      <c r="S14" s="198"/>
      <c r="T14" s="198"/>
      <c r="U14" s="198"/>
      <c r="V14" s="198"/>
      <c r="W14" s="198"/>
      <c r="X14" s="198"/>
      <c r="Y14" s="198"/>
      <c r="Z14" s="198"/>
    </row>
    <row r="15" ht="54.0" customHeight="1">
      <c r="A15" s="284">
        <v>35638.0</v>
      </c>
      <c r="B15" s="285" t="s">
        <v>25</v>
      </c>
      <c r="C15" s="299">
        <v>1930.0</v>
      </c>
      <c r="D15" s="285" t="s">
        <v>4669</v>
      </c>
      <c r="E15" s="287" t="s">
        <v>4670</v>
      </c>
      <c r="F15" s="288">
        <v>44537.0</v>
      </c>
      <c r="G15" s="288">
        <v>44530.0</v>
      </c>
      <c r="H15" s="288">
        <v>44530.0</v>
      </c>
      <c r="I15" s="288">
        <v>44545.0</v>
      </c>
      <c r="J15" s="294"/>
      <c r="K15" s="294"/>
      <c r="L15" s="290" t="s">
        <v>4671</v>
      </c>
      <c r="M15" s="285" t="s">
        <v>497</v>
      </c>
      <c r="N15" s="299" t="s">
        <v>2604</v>
      </c>
      <c r="O15" s="300">
        <v>57508.0</v>
      </c>
      <c r="P15" s="198"/>
      <c r="Q15" s="198"/>
      <c r="R15" s="198"/>
      <c r="S15" s="198"/>
      <c r="T15" s="198"/>
      <c r="U15" s="198"/>
      <c r="V15" s="198"/>
      <c r="W15" s="198"/>
      <c r="X15" s="198"/>
      <c r="Y15" s="198"/>
      <c r="Z15" s="198"/>
    </row>
    <row r="16" ht="54.0" customHeight="1">
      <c r="A16" s="284">
        <v>36139.0</v>
      </c>
      <c r="B16" s="285" t="s">
        <v>21</v>
      </c>
      <c r="C16" s="299">
        <v>1320.0</v>
      </c>
      <c r="D16" s="285" t="s">
        <v>4672</v>
      </c>
      <c r="E16" s="287" t="s">
        <v>4673</v>
      </c>
      <c r="F16" s="288">
        <v>44537.0</v>
      </c>
      <c r="G16" s="288">
        <v>44536.0</v>
      </c>
      <c r="H16" s="288">
        <v>44536.0</v>
      </c>
      <c r="I16" s="288">
        <v>44546.0</v>
      </c>
      <c r="J16" s="294"/>
      <c r="K16" s="294"/>
      <c r="L16" s="290" t="s">
        <v>4674</v>
      </c>
      <c r="M16" s="285" t="s">
        <v>4635</v>
      </c>
      <c r="N16" s="299" t="s">
        <v>2621</v>
      </c>
      <c r="O16" s="300">
        <v>49304.0</v>
      </c>
      <c r="P16" s="198"/>
      <c r="Q16" s="198"/>
      <c r="R16" s="198"/>
      <c r="S16" s="198"/>
      <c r="T16" s="198"/>
      <c r="U16" s="198"/>
      <c r="V16" s="198"/>
      <c r="W16" s="198"/>
      <c r="X16" s="198"/>
      <c r="Y16" s="198"/>
      <c r="Z16" s="198"/>
    </row>
    <row r="17" ht="54.0" customHeight="1">
      <c r="A17" s="284">
        <v>36140.0</v>
      </c>
      <c r="B17" s="285" t="s">
        <v>21</v>
      </c>
      <c r="C17" s="299">
        <v>1920.0</v>
      </c>
      <c r="D17" s="285" t="s">
        <v>4675</v>
      </c>
      <c r="E17" s="368" t="s">
        <v>4676</v>
      </c>
      <c r="F17" s="288">
        <v>44537.0</v>
      </c>
      <c r="G17" s="288">
        <v>44536.0</v>
      </c>
      <c r="H17" s="288">
        <v>44536.0</v>
      </c>
      <c r="I17" s="288">
        <v>44545.0</v>
      </c>
      <c r="J17" s="294"/>
      <c r="K17" s="294"/>
      <c r="L17" s="290" t="s">
        <v>4677</v>
      </c>
      <c r="M17" s="285" t="s">
        <v>4635</v>
      </c>
      <c r="N17" s="299" t="s">
        <v>2621</v>
      </c>
      <c r="O17" s="300">
        <v>108041.2</v>
      </c>
      <c r="P17" s="198"/>
      <c r="Q17" s="198"/>
      <c r="R17" s="198"/>
      <c r="S17" s="198"/>
      <c r="T17" s="198"/>
      <c r="U17" s="198"/>
      <c r="V17" s="198"/>
      <c r="W17" s="198"/>
      <c r="X17" s="198"/>
      <c r="Y17" s="198"/>
      <c r="Z17" s="198"/>
    </row>
    <row r="18" ht="54.0" customHeight="1">
      <c r="A18" s="284">
        <v>35410.0</v>
      </c>
      <c r="B18" s="285" t="s">
        <v>715</v>
      </c>
      <c r="C18" s="299">
        <v>1160.0</v>
      </c>
      <c r="D18" s="285" t="s">
        <v>4678</v>
      </c>
      <c r="E18" s="287" t="s">
        <v>4637</v>
      </c>
      <c r="F18" s="288">
        <v>44536.0</v>
      </c>
      <c r="G18" s="288">
        <v>44531.0</v>
      </c>
      <c r="H18" s="288">
        <v>44531.0</v>
      </c>
      <c r="I18" s="288">
        <v>44540.0</v>
      </c>
      <c r="J18" s="294"/>
      <c r="K18" s="294"/>
      <c r="L18" s="290" t="s">
        <v>4679</v>
      </c>
      <c r="M18" s="285" t="s">
        <v>497</v>
      </c>
      <c r="N18" s="299" t="s">
        <v>2554</v>
      </c>
      <c r="O18" s="300">
        <v>31869.84</v>
      </c>
      <c r="P18" s="198"/>
      <c r="Q18" s="198"/>
      <c r="R18" s="198"/>
      <c r="S18" s="198"/>
      <c r="T18" s="198"/>
      <c r="U18" s="198"/>
      <c r="V18" s="198"/>
      <c r="W18" s="198"/>
      <c r="X18" s="198"/>
      <c r="Y18" s="198"/>
      <c r="Z18" s="198"/>
    </row>
    <row r="19" ht="54.0" customHeight="1">
      <c r="A19" s="284">
        <v>35709.0</v>
      </c>
      <c r="B19" s="285" t="s">
        <v>21</v>
      </c>
      <c r="C19" s="299">
        <v>1290.0</v>
      </c>
      <c r="D19" s="285" t="s">
        <v>4680</v>
      </c>
      <c r="E19" s="287" t="s">
        <v>4681</v>
      </c>
      <c r="F19" s="288">
        <v>44533.0</v>
      </c>
      <c r="G19" s="288">
        <v>44530.0</v>
      </c>
      <c r="H19" s="288">
        <v>44530.0</v>
      </c>
      <c r="I19" s="288">
        <v>44540.0</v>
      </c>
      <c r="J19" s="294"/>
      <c r="K19" s="294"/>
      <c r="L19" s="290" t="s">
        <v>4682</v>
      </c>
      <c r="M19" s="285" t="s">
        <v>497</v>
      </c>
      <c r="N19" s="299" t="s">
        <v>2554</v>
      </c>
      <c r="O19" s="300">
        <v>44249.58</v>
      </c>
      <c r="P19" s="198"/>
      <c r="Q19" s="198"/>
      <c r="R19" s="198"/>
      <c r="S19" s="198"/>
      <c r="T19" s="198"/>
      <c r="U19" s="198"/>
      <c r="V19" s="198"/>
      <c r="W19" s="198"/>
      <c r="X19" s="198"/>
      <c r="Y19" s="198"/>
      <c r="Z19" s="198"/>
    </row>
    <row r="20" ht="54.0" customHeight="1">
      <c r="A20" s="284">
        <v>35665.0</v>
      </c>
      <c r="B20" s="285" t="s">
        <v>25</v>
      </c>
      <c r="C20" s="299">
        <v>1160.0</v>
      </c>
      <c r="D20" s="285" t="s">
        <v>4683</v>
      </c>
      <c r="E20" s="287" t="s">
        <v>4637</v>
      </c>
      <c r="F20" s="288">
        <v>44530.0</v>
      </c>
      <c r="G20" s="288">
        <v>44530.0</v>
      </c>
      <c r="H20" s="288">
        <v>44530.0</v>
      </c>
      <c r="I20" s="288">
        <v>44544.0</v>
      </c>
      <c r="J20" s="294"/>
      <c r="K20" s="294"/>
      <c r="L20" s="290" t="s">
        <v>4684</v>
      </c>
      <c r="M20" s="285" t="s">
        <v>497</v>
      </c>
      <c r="N20" s="299" t="s">
        <v>2554</v>
      </c>
      <c r="O20" s="300">
        <v>31869.84</v>
      </c>
      <c r="P20" s="198"/>
      <c r="Q20" s="198"/>
      <c r="R20" s="198"/>
      <c r="S20" s="198"/>
      <c r="T20" s="198"/>
      <c r="U20" s="198"/>
      <c r="V20" s="198"/>
      <c r="W20" s="198"/>
      <c r="X20" s="198"/>
      <c r="Y20" s="198"/>
      <c r="Z20" s="198"/>
    </row>
    <row r="21" ht="54.0" customHeight="1">
      <c r="A21" s="284">
        <v>35406.0</v>
      </c>
      <c r="B21" s="285" t="s">
        <v>25</v>
      </c>
      <c r="C21" s="299">
        <v>2100.0</v>
      </c>
      <c r="D21" s="285" t="s">
        <v>4685</v>
      </c>
      <c r="E21" s="287" t="s">
        <v>4637</v>
      </c>
      <c r="F21" s="288">
        <v>44530.0</v>
      </c>
      <c r="G21" s="288">
        <v>44529.0</v>
      </c>
      <c r="H21" s="288">
        <v>44529.0</v>
      </c>
      <c r="I21" s="288">
        <v>44540.0</v>
      </c>
      <c r="J21" s="294"/>
      <c r="K21" s="294"/>
      <c r="L21" s="290" t="s">
        <v>4686</v>
      </c>
      <c r="M21" s="285" t="s">
        <v>497</v>
      </c>
      <c r="N21" s="299" t="s">
        <v>2554</v>
      </c>
      <c r="O21" s="300">
        <v>28812.0</v>
      </c>
      <c r="P21" s="198"/>
      <c r="Q21" s="198"/>
      <c r="R21" s="198"/>
      <c r="S21" s="198"/>
      <c r="T21" s="198"/>
      <c r="U21" s="198"/>
      <c r="V21" s="198"/>
      <c r="W21" s="198"/>
      <c r="X21" s="198"/>
      <c r="Y21" s="198"/>
      <c r="Z21" s="198"/>
    </row>
    <row r="22" ht="56.25" customHeight="1">
      <c r="A22" s="284">
        <v>35664.0</v>
      </c>
      <c r="B22" s="285" t="s">
        <v>21</v>
      </c>
      <c r="C22" s="299">
        <v>1160.0</v>
      </c>
      <c r="D22" s="285" t="s">
        <v>4687</v>
      </c>
      <c r="E22" s="287" t="s">
        <v>4637</v>
      </c>
      <c r="F22" s="288">
        <v>44528.0</v>
      </c>
      <c r="G22" s="288">
        <v>44517.0</v>
      </c>
      <c r="H22" s="288">
        <v>44517.0</v>
      </c>
      <c r="I22" s="288">
        <v>44537.0</v>
      </c>
      <c r="J22" s="294"/>
      <c r="K22" s="294"/>
      <c r="L22" s="290" t="s">
        <v>4688</v>
      </c>
      <c r="M22" s="285" t="s">
        <v>497</v>
      </c>
      <c r="N22" s="299" t="s">
        <v>2554</v>
      </c>
      <c r="O22" s="300">
        <v>31869.84</v>
      </c>
      <c r="P22" s="198"/>
      <c r="Q22" s="198"/>
      <c r="R22" s="198"/>
      <c r="S22" s="198"/>
      <c r="T22" s="198"/>
      <c r="U22" s="198"/>
      <c r="V22" s="198"/>
      <c r="W22" s="198"/>
      <c r="X22" s="198"/>
      <c r="Y22" s="198"/>
      <c r="Z22" s="198"/>
    </row>
    <row r="23" ht="57.0" customHeight="1">
      <c r="A23" s="284">
        <v>35408.0</v>
      </c>
      <c r="B23" s="285" t="s">
        <v>21</v>
      </c>
      <c r="C23" s="299">
        <v>3000.0</v>
      </c>
      <c r="D23" s="285" t="s">
        <v>4689</v>
      </c>
      <c r="E23" s="287" t="s">
        <v>4690</v>
      </c>
      <c r="F23" s="288">
        <v>44528.0</v>
      </c>
      <c r="G23" s="288">
        <v>44517.0</v>
      </c>
      <c r="H23" s="288">
        <v>44517.0</v>
      </c>
      <c r="I23" s="288">
        <v>44536.0</v>
      </c>
      <c r="J23" s="294"/>
      <c r="K23" s="294"/>
      <c r="L23" s="290" t="s">
        <v>4691</v>
      </c>
      <c r="M23" s="285" t="s">
        <v>497</v>
      </c>
      <c r="N23" s="299" t="s">
        <v>2554</v>
      </c>
      <c r="O23" s="300">
        <v>20610.0</v>
      </c>
      <c r="P23" s="198"/>
      <c r="Q23" s="198"/>
      <c r="R23" s="198"/>
      <c r="S23" s="198"/>
      <c r="T23" s="198"/>
      <c r="U23" s="198"/>
      <c r="V23" s="198"/>
      <c r="W23" s="198"/>
      <c r="X23" s="198"/>
      <c r="Y23" s="198"/>
      <c r="Z23" s="198"/>
    </row>
    <row r="24" ht="54.75" customHeight="1">
      <c r="A24" s="284">
        <v>35409.0</v>
      </c>
      <c r="B24" s="285" t="s">
        <v>21</v>
      </c>
      <c r="C24" s="299">
        <v>3000.0</v>
      </c>
      <c r="D24" s="285" t="s">
        <v>4692</v>
      </c>
      <c r="E24" s="287" t="s">
        <v>4658</v>
      </c>
      <c r="F24" s="288">
        <v>44528.0</v>
      </c>
      <c r="G24" s="288">
        <v>44517.0</v>
      </c>
      <c r="H24" s="288">
        <v>44517.0</v>
      </c>
      <c r="I24" s="288">
        <v>44533.0</v>
      </c>
      <c r="J24" s="294" t="s">
        <v>1023</v>
      </c>
      <c r="K24" s="294"/>
      <c r="L24" s="290" t="s">
        <v>4693</v>
      </c>
      <c r="M24" s="285" t="s">
        <v>497</v>
      </c>
      <c r="N24" s="299" t="s">
        <v>2554</v>
      </c>
      <c r="O24" s="300">
        <v>21210.0</v>
      </c>
      <c r="P24" s="198"/>
      <c r="Q24" s="198"/>
      <c r="R24" s="198"/>
      <c r="S24" s="198"/>
      <c r="T24" s="198"/>
      <c r="U24" s="198"/>
      <c r="V24" s="198"/>
      <c r="W24" s="198"/>
      <c r="X24" s="198"/>
      <c r="Y24" s="198"/>
      <c r="Z24" s="198"/>
    </row>
    <row r="25" ht="45.75" customHeight="1">
      <c r="A25" s="284">
        <v>35715.0</v>
      </c>
      <c r="B25" s="285" t="s">
        <v>21</v>
      </c>
      <c r="C25" s="299" t="s">
        <v>4694</v>
      </c>
      <c r="D25" s="285" t="s">
        <v>4695</v>
      </c>
      <c r="E25" s="287" t="s">
        <v>4696</v>
      </c>
      <c r="F25" s="288">
        <v>44528.0</v>
      </c>
      <c r="G25" s="288">
        <v>44523.0</v>
      </c>
      <c r="H25" s="288">
        <v>44523.0</v>
      </c>
      <c r="I25" s="288">
        <v>44540.0</v>
      </c>
      <c r="J25" s="294"/>
      <c r="K25" s="294"/>
      <c r="L25" s="290" t="s">
        <v>4697</v>
      </c>
      <c r="M25" s="285" t="s">
        <v>497</v>
      </c>
      <c r="N25" s="299" t="s">
        <v>2538</v>
      </c>
      <c r="O25" s="300">
        <v>16550.29</v>
      </c>
      <c r="P25" s="198"/>
      <c r="Q25" s="198"/>
      <c r="R25" s="198"/>
      <c r="S25" s="198"/>
      <c r="T25" s="198"/>
      <c r="U25" s="198"/>
      <c r="V25" s="198"/>
      <c r="W25" s="198"/>
      <c r="X25" s="198"/>
      <c r="Y25" s="198"/>
      <c r="Z25" s="198"/>
    </row>
    <row r="26" ht="54.0" customHeight="1">
      <c r="A26" s="284">
        <v>36010.0</v>
      </c>
      <c r="B26" s="285" t="s">
        <v>25</v>
      </c>
      <c r="C26" s="299">
        <v>1680.0</v>
      </c>
      <c r="D26" s="285" t="s">
        <v>4698</v>
      </c>
      <c r="E26" s="287" t="s">
        <v>4699</v>
      </c>
      <c r="F26" s="288">
        <v>44527.0</v>
      </c>
      <c r="G26" s="288">
        <v>44505.0</v>
      </c>
      <c r="H26" s="288">
        <v>44505.0</v>
      </c>
      <c r="I26" s="288">
        <v>44545.0</v>
      </c>
      <c r="J26" s="294"/>
      <c r="K26" s="294"/>
      <c r="L26" s="290" t="s">
        <v>4700</v>
      </c>
      <c r="M26" s="285" t="s">
        <v>4635</v>
      </c>
      <c r="N26" s="299" t="s">
        <v>2621</v>
      </c>
      <c r="O26" s="300">
        <v>54819.6</v>
      </c>
      <c r="P26" s="198"/>
      <c r="Q26" s="198"/>
      <c r="R26" s="198"/>
      <c r="S26" s="198"/>
      <c r="T26" s="198"/>
      <c r="U26" s="198"/>
      <c r="V26" s="198"/>
      <c r="W26" s="198"/>
      <c r="X26" s="198"/>
      <c r="Y26" s="198"/>
      <c r="Z26" s="198"/>
    </row>
    <row r="27" ht="54.0" customHeight="1">
      <c r="A27" s="284">
        <v>36125.0</v>
      </c>
      <c r="B27" s="285" t="s">
        <v>21</v>
      </c>
      <c r="C27" s="299">
        <v>1260.0</v>
      </c>
      <c r="D27" s="285" t="s">
        <v>4701</v>
      </c>
      <c r="E27" s="287" t="s">
        <v>4702</v>
      </c>
      <c r="F27" s="288">
        <v>44525.0</v>
      </c>
      <c r="G27" s="288">
        <v>44522.0</v>
      </c>
      <c r="H27" s="288">
        <v>44522.0</v>
      </c>
      <c r="I27" s="285" t="s">
        <v>4703</v>
      </c>
      <c r="J27" s="294"/>
      <c r="K27" s="294"/>
      <c r="L27" s="290" t="s">
        <v>4704</v>
      </c>
      <c r="M27" s="285" t="s">
        <v>4635</v>
      </c>
      <c r="N27" s="299" t="s">
        <v>2621</v>
      </c>
      <c r="O27" s="300">
        <v>48906.7</v>
      </c>
      <c r="P27" s="198"/>
      <c r="Q27" s="198"/>
      <c r="R27" s="198"/>
      <c r="S27" s="198"/>
      <c r="T27" s="198"/>
      <c r="U27" s="198"/>
      <c r="V27" s="198"/>
      <c r="W27" s="198"/>
      <c r="X27" s="198"/>
      <c r="Y27" s="198"/>
      <c r="Z27" s="198"/>
    </row>
    <row r="28" ht="54.0" customHeight="1">
      <c r="A28" s="284">
        <v>35974.0</v>
      </c>
      <c r="B28" s="285" t="s">
        <v>25</v>
      </c>
      <c r="C28" s="299">
        <v>944.0</v>
      </c>
      <c r="D28" s="285" t="s">
        <v>4705</v>
      </c>
      <c r="E28" s="287" t="s">
        <v>4652</v>
      </c>
      <c r="F28" s="288">
        <v>44524.0</v>
      </c>
      <c r="G28" s="288">
        <v>44518.0</v>
      </c>
      <c r="H28" s="288">
        <v>44518.0</v>
      </c>
      <c r="I28" s="288">
        <v>44540.0</v>
      </c>
      <c r="J28" s="294"/>
      <c r="K28" s="294"/>
      <c r="L28" s="290" t="s">
        <v>4706</v>
      </c>
      <c r="M28" s="285" t="s">
        <v>4635</v>
      </c>
      <c r="N28" s="299" t="s">
        <v>2621</v>
      </c>
      <c r="O28" s="300">
        <v>46931.8</v>
      </c>
      <c r="P28" s="198"/>
      <c r="Q28" s="198"/>
      <c r="R28" s="198"/>
      <c r="S28" s="198"/>
      <c r="T28" s="198"/>
      <c r="U28" s="198"/>
      <c r="V28" s="198"/>
      <c r="W28" s="198"/>
      <c r="X28" s="198"/>
      <c r="Y28" s="198"/>
      <c r="Z28" s="198"/>
    </row>
    <row r="29" ht="54.0" customHeight="1">
      <c r="A29" s="284">
        <v>36074.0</v>
      </c>
      <c r="B29" s="285" t="s">
        <v>21</v>
      </c>
      <c r="C29" s="299">
        <v>930.0</v>
      </c>
      <c r="D29" s="285" t="s">
        <v>4707</v>
      </c>
      <c r="E29" s="287" t="s">
        <v>4295</v>
      </c>
      <c r="F29" s="288">
        <v>44524.0</v>
      </c>
      <c r="G29" s="288">
        <v>44517.0</v>
      </c>
      <c r="H29" s="288">
        <v>44517.0</v>
      </c>
      <c r="I29" s="288">
        <v>44530.0</v>
      </c>
      <c r="J29" s="294"/>
      <c r="K29" s="294"/>
      <c r="L29" s="290" t="s">
        <v>4708</v>
      </c>
      <c r="M29" s="285" t="s">
        <v>4635</v>
      </c>
      <c r="N29" s="299" t="s">
        <v>2621</v>
      </c>
      <c r="O29" s="300">
        <v>54419.6</v>
      </c>
      <c r="P29" s="198"/>
      <c r="Q29" s="198"/>
      <c r="R29" s="198"/>
      <c r="S29" s="198"/>
      <c r="T29" s="198"/>
      <c r="U29" s="198"/>
      <c r="V29" s="198"/>
      <c r="W29" s="198"/>
      <c r="X29" s="198"/>
      <c r="Y29" s="198"/>
      <c r="Z29" s="198"/>
    </row>
    <row r="30" ht="54.0" customHeight="1">
      <c r="A30" s="284">
        <v>35598.0</v>
      </c>
      <c r="B30" s="285" t="s">
        <v>21</v>
      </c>
      <c r="C30" s="299">
        <v>855.0</v>
      </c>
      <c r="D30" s="285" t="s">
        <v>4709</v>
      </c>
      <c r="E30" s="287" t="s">
        <v>3740</v>
      </c>
      <c r="F30" s="288">
        <v>44522.0</v>
      </c>
      <c r="G30" s="288">
        <v>44502.0</v>
      </c>
      <c r="H30" s="288">
        <v>44502.0</v>
      </c>
      <c r="I30" s="288">
        <v>44544.0</v>
      </c>
      <c r="J30" s="294"/>
      <c r="K30" s="294"/>
      <c r="L30" s="290" t="s">
        <v>4710</v>
      </c>
      <c r="M30" s="285" t="s">
        <v>497</v>
      </c>
      <c r="N30" s="299" t="s">
        <v>4711</v>
      </c>
      <c r="O30" s="300">
        <v>18130.62</v>
      </c>
      <c r="P30" s="198"/>
      <c r="Q30" s="198"/>
      <c r="R30" s="198"/>
      <c r="S30" s="198"/>
      <c r="T30" s="198"/>
      <c r="U30" s="198"/>
      <c r="V30" s="198"/>
      <c r="W30" s="198"/>
      <c r="X30" s="198"/>
      <c r="Y30" s="198"/>
      <c r="Z30" s="198"/>
    </row>
    <row r="31" ht="54.0" customHeight="1">
      <c r="A31" s="284">
        <v>35710.0</v>
      </c>
      <c r="B31" s="285" t="s">
        <v>25</v>
      </c>
      <c r="C31" s="299">
        <v>1290.0</v>
      </c>
      <c r="D31" s="285" t="s">
        <v>4712</v>
      </c>
      <c r="E31" s="287" t="s">
        <v>4713</v>
      </c>
      <c r="F31" s="288">
        <v>44519.0</v>
      </c>
      <c r="G31" s="288">
        <v>44515.0</v>
      </c>
      <c r="H31" s="288">
        <v>44515.0</v>
      </c>
      <c r="I31" s="288">
        <v>44524.0</v>
      </c>
      <c r="J31" s="294"/>
      <c r="K31" s="294"/>
      <c r="L31" s="290" t="s">
        <v>4714</v>
      </c>
      <c r="M31" s="285" t="s">
        <v>497</v>
      </c>
      <c r="N31" s="299" t="s">
        <v>2554</v>
      </c>
      <c r="O31" s="300">
        <v>44249.58</v>
      </c>
      <c r="P31" s="198"/>
      <c r="Q31" s="198"/>
      <c r="R31" s="198"/>
      <c r="S31" s="198"/>
      <c r="T31" s="198"/>
      <c r="U31" s="198"/>
      <c r="V31" s="198"/>
      <c r="W31" s="198"/>
      <c r="X31" s="198"/>
      <c r="Y31" s="198"/>
      <c r="Z31" s="198"/>
    </row>
    <row r="32" ht="54.0" customHeight="1">
      <c r="A32" s="284">
        <v>36061.0</v>
      </c>
      <c r="B32" s="285" t="s">
        <v>25</v>
      </c>
      <c r="C32" s="299">
        <v>1680.0</v>
      </c>
      <c r="D32" s="285" t="s">
        <v>4715</v>
      </c>
      <c r="E32" s="287" t="s">
        <v>4699</v>
      </c>
      <c r="F32" s="288">
        <v>44518.0</v>
      </c>
      <c r="G32" s="288">
        <v>44517.0</v>
      </c>
      <c r="H32" s="288">
        <v>44517.0</v>
      </c>
      <c r="I32" s="288">
        <v>44530.0</v>
      </c>
      <c r="J32" s="294"/>
      <c r="K32" s="294"/>
      <c r="L32" s="290" t="s">
        <v>4716</v>
      </c>
      <c r="M32" s="285" t="s">
        <v>4635</v>
      </c>
      <c r="N32" s="299" t="s">
        <v>2621</v>
      </c>
      <c r="O32" s="300">
        <v>45629.6</v>
      </c>
      <c r="P32" s="198"/>
      <c r="Q32" s="198"/>
      <c r="R32" s="198"/>
      <c r="S32" s="198"/>
      <c r="T32" s="198"/>
      <c r="U32" s="198"/>
      <c r="V32" s="198"/>
      <c r="W32" s="198"/>
      <c r="X32" s="198"/>
      <c r="Y32" s="198"/>
      <c r="Z32" s="198"/>
    </row>
    <row r="33" ht="54.0" customHeight="1">
      <c r="A33" s="284">
        <v>36073.0</v>
      </c>
      <c r="B33" s="285" t="s">
        <v>715</v>
      </c>
      <c r="C33" s="299">
        <v>1029.0</v>
      </c>
      <c r="D33" s="285" t="s">
        <v>4717</v>
      </c>
      <c r="E33" s="287" t="s">
        <v>4718</v>
      </c>
      <c r="F33" s="288">
        <v>44518.0</v>
      </c>
      <c r="G33" s="288">
        <v>44515.0</v>
      </c>
      <c r="H33" s="288">
        <v>44515.0</v>
      </c>
      <c r="I33" s="285" t="s">
        <v>4719</v>
      </c>
      <c r="J33" s="294"/>
      <c r="K33" s="294"/>
      <c r="L33" s="290" t="s">
        <v>4720</v>
      </c>
      <c r="M33" s="285" t="s">
        <v>4635</v>
      </c>
      <c r="N33" s="299" t="s">
        <v>2621</v>
      </c>
      <c r="O33" s="300">
        <v>55811.2</v>
      </c>
      <c r="P33" s="198"/>
      <c r="Q33" s="198"/>
      <c r="R33" s="198"/>
      <c r="S33" s="198"/>
      <c r="T33" s="198"/>
      <c r="U33" s="198"/>
      <c r="V33" s="198"/>
      <c r="W33" s="198"/>
      <c r="X33" s="198"/>
      <c r="Y33" s="198"/>
      <c r="Z33" s="198"/>
    </row>
    <row r="34" ht="54.0" customHeight="1">
      <c r="A34" s="284">
        <v>35651.0</v>
      </c>
      <c r="B34" s="285" t="s">
        <v>715</v>
      </c>
      <c r="C34" s="285">
        <v>1507.0</v>
      </c>
      <c r="D34" s="367" t="s">
        <v>4721</v>
      </c>
      <c r="E34" s="287" t="s">
        <v>4722</v>
      </c>
      <c r="F34" s="288">
        <v>44515.0</v>
      </c>
      <c r="G34" s="288">
        <v>44510.0</v>
      </c>
      <c r="H34" s="288">
        <v>44510.0</v>
      </c>
      <c r="I34" s="288">
        <v>44532.0</v>
      </c>
      <c r="J34" s="294"/>
      <c r="K34" s="294"/>
      <c r="L34" s="290" t="s">
        <v>4723</v>
      </c>
      <c r="M34" s="285" t="s">
        <v>497</v>
      </c>
      <c r="N34" s="299" t="s">
        <v>4724</v>
      </c>
      <c r="O34" s="300">
        <v>17556.93</v>
      </c>
      <c r="P34" s="198"/>
      <c r="Q34" s="198"/>
      <c r="R34" s="198"/>
      <c r="S34" s="198"/>
      <c r="T34" s="198"/>
      <c r="U34" s="198"/>
      <c r="V34" s="198"/>
      <c r="W34" s="198"/>
      <c r="X34" s="198"/>
      <c r="Y34" s="198"/>
      <c r="Z34" s="198"/>
    </row>
    <row r="35" ht="54.0" customHeight="1">
      <c r="A35" s="284">
        <v>35976.0</v>
      </c>
      <c r="B35" s="285" t="s">
        <v>21</v>
      </c>
      <c r="C35" s="299">
        <v>1108.0</v>
      </c>
      <c r="D35" s="367" t="s">
        <v>4725</v>
      </c>
      <c r="E35" s="287" t="s">
        <v>4726</v>
      </c>
      <c r="F35" s="288">
        <v>44515.0</v>
      </c>
      <c r="G35" s="288">
        <v>44515.0</v>
      </c>
      <c r="H35" s="288">
        <v>44515.0</v>
      </c>
      <c r="I35" s="288">
        <v>44524.0</v>
      </c>
      <c r="J35" s="294"/>
      <c r="K35" s="294"/>
      <c r="L35" s="290" t="s">
        <v>4727</v>
      </c>
      <c r="M35" s="285" t="s">
        <v>4635</v>
      </c>
      <c r="N35" s="299" t="s">
        <v>2621</v>
      </c>
      <c r="O35" s="300">
        <v>110966.44</v>
      </c>
      <c r="P35" s="198"/>
      <c r="Q35" s="198"/>
      <c r="R35" s="198"/>
      <c r="S35" s="198"/>
      <c r="T35" s="198"/>
      <c r="U35" s="198"/>
      <c r="V35" s="198"/>
      <c r="W35" s="198"/>
      <c r="X35" s="198"/>
      <c r="Y35" s="198"/>
      <c r="Z35" s="198"/>
    </row>
    <row r="36" ht="54.0" customHeight="1">
      <c r="A36" s="284">
        <v>35777.0</v>
      </c>
      <c r="B36" s="285" t="s">
        <v>21</v>
      </c>
      <c r="C36" s="299">
        <v>1290.0</v>
      </c>
      <c r="D36" s="285" t="s">
        <v>4728</v>
      </c>
      <c r="E36" s="287" t="s">
        <v>4729</v>
      </c>
      <c r="F36" s="288">
        <v>44513.0</v>
      </c>
      <c r="G36" s="288">
        <v>44510.0</v>
      </c>
      <c r="H36" s="288">
        <v>44510.0</v>
      </c>
      <c r="I36" s="288">
        <v>44518.0</v>
      </c>
      <c r="J36" s="294"/>
      <c r="K36" s="294"/>
      <c r="L36" s="290" t="s">
        <v>4730</v>
      </c>
      <c r="M36" s="285" t="s">
        <v>497</v>
      </c>
      <c r="N36" s="299" t="s">
        <v>2554</v>
      </c>
      <c r="O36" s="300">
        <v>44249.58</v>
      </c>
      <c r="P36" s="198"/>
      <c r="Q36" s="198"/>
      <c r="R36" s="198"/>
      <c r="S36" s="198"/>
      <c r="T36" s="198"/>
      <c r="U36" s="198"/>
      <c r="V36" s="198"/>
      <c r="W36" s="198"/>
      <c r="X36" s="198"/>
      <c r="Y36" s="198"/>
      <c r="Z36" s="198"/>
    </row>
    <row r="37" ht="54.0" customHeight="1">
      <c r="A37" s="284" t="s">
        <v>4731</v>
      </c>
      <c r="B37" s="285" t="s">
        <v>25</v>
      </c>
      <c r="C37" s="299" t="s">
        <v>4732</v>
      </c>
      <c r="D37" s="285" t="s">
        <v>4733</v>
      </c>
      <c r="E37" s="287" t="s">
        <v>4734</v>
      </c>
      <c r="F37" s="288">
        <v>44512.0</v>
      </c>
      <c r="G37" s="285" t="s">
        <v>28</v>
      </c>
      <c r="H37" s="285" t="s">
        <v>28</v>
      </c>
      <c r="I37" s="288">
        <v>44517.0</v>
      </c>
      <c r="J37" s="294"/>
      <c r="K37" s="294"/>
      <c r="L37" s="290" t="s">
        <v>4735</v>
      </c>
      <c r="M37" s="285" t="s">
        <v>4736</v>
      </c>
      <c r="N37" s="299" t="s">
        <v>2621</v>
      </c>
      <c r="O37" s="300">
        <v>13862.5</v>
      </c>
      <c r="P37" s="198"/>
      <c r="Q37" s="198"/>
      <c r="R37" s="198"/>
      <c r="S37" s="198"/>
      <c r="T37" s="198"/>
      <c r="U37" s="198"/>
      <c r="V37" s="198"/>
      <c r="W37" s="198"/>
      <c r="X37" s="198"/>
      <c r="Y37" s="198"/>
      <c r="Z37" s="198"/>
    </row>
    <row r="38" ht="54.0" customHeight="1">
      <c r="A38" s="284">
        <v>35977.0</v>
      </c>
      <c r="B38" s="285" t="s">
        <v>715</v>
      </c>
      <c r="C38" s="299">
        <v>930.0</v>
      </c>
      <c r="D38" s="371" t="s">
        <v>4737</v>
      </c>
      <c r="E38" s="287" t="s">
        <v>4295</v>
      </c>
      <c r="F38" s="288">
        <v>44511.0</v>
      </c>
      <c r="G38" s="288">
        <v>44509.0</v>
      </c>
      <c r="H38" s="288">
        <v>44509.0</v>
      </c>
      <c r="I38" s="288">
        <v>44515.0</v>
      </c>
      <c r="J38" s="294"/>
      <c r="K38" s="294"/>
      <c r="L38" s="290" t="s">
        <v>4738</v>
      </c>
      <c r="M38" s="285" t="s">
        <v>4635</v>
      </c>
      <c r="N38" s="299" t="s">
        <v>2621</v>
      </c>
      <c r="O38" s="300">
        <v>55977.2</v>
      </c>
      <c r="P38" s="198"/>
      <c r="Q38" s="198"/>
      <c r="R38" s="198"/>
      <c r="S38" s="198"/>
      <c r="T38" s="198"/>
      <c r="U38" s="198"/>
      <c r="V38" s="198"/>
      <c r="W38" s="198"/>
      <c r="X38" s="198"/>
      <c r="Y38" s="198"/>
      <c r="Z38" s="198"/>
    </row>
    <row r="39" ht="54.0" customHeight="1">
      <c r="A39" s="284">
        <v>35973.0</v>
      </c>
      <c r="B39" s="285" t="s">
        <v>715</v>
      </c>
      <c r="C39" s="299">
        <v>1260.0</v>
      </c>
      <c r="D39" s="285" t="s">
        <v>4739</v>
      </c>
      <c r="E39" s="287" t="s">
        <v>4740</v>
      </c>
      <c r="F39" s="288">
        <v>44510.0</v>
      </c>
      <c r="G39" s="288">
        <v>44509.0</v>
      </c>
      <c r="H39" s="288">
        <v>44509.0</v>
      </c>
      <c r="I39" s="288">
        <v>44517.0</v>
      </c>
      <c r="J39" s="294"/>
      <c r="K39" s="294"/>
      <c r="L39" s="290" t="s">
        <v>4741</v>
      </c>
      <c r="M39" s="285" t="s">
        <v>4635</v>
      </c>
      <c r="N39" s="299" t="s">
        <v>2621</v>
      </c>
      <c r="O39" s="300">
        <v>52042.8</v>
      </c>
      <c r="P39" s="198"/>
      <c r="Q39" s="198"/>
      <c r="R39" s="198"/>
      <c r="S39" s="198"/>
      <c r="T39" s="198"/>
      <c r="U39" s="198"/>
      <c r="V39" s="198"/>
      <c r="W39" s="198"/>
      <c r="X39" s="198"/>
      <c r="Y39" s="198"/>
      <c r="Z39" s="198"/>
    </row>
    <row r="40" ht="54.0" customHeight="1">
      <c r="A40" s="284">
        <v>35679.0</v>
      </c>
      <c r="B40" s="285" t="s">
        <v>715</v>
      </c>
      <c r="C40" s="299">
        <v>655.0</v>
      </c>
      <c r="D40" s="285" t="s">
        <v>4742</v>
      </c>
      <c r="E40" s="287" t="s">
        <v>4743</v>
      </c>
      <c r="F40" s="288">
        <v>44509.0</v>
      </c>
      <c r="G40" s="288">
        <v>44501.0</v>
      </c>
      <c r="H40" s="288">
        <v>44501.0</v>
      </c>
      <c r="I40" s="288">
        <v>44517.0</v>
      </c>
      <c r="J40" s="294"/>
      <c r="K40" s="294"/>
      <c r="L40" s="290" t="s">
        <v>4744</v>
      </c>
      <c r="M40" s="285" t="s">
        <v>4745</v>
      </c>
      <c r="N40" s="299" t="s">
        <v>4746</v>
      </c>
      <c r="O40" s="300">
        <v>95670.0</v>
      </c>
      <c r="P40" s="198"/>
      <c r="Q40" s="198"/>
      <c r="R40" s="198"/>
      <c r="S40" s="198"/>
      <c r="T40" s="198"/>
      <c r="U40" s="198"/>
      <c r="V40" s="198"/>
      <c r="W40" s="198"/>
      <c r="X40" s="198"/>
      <c r="Y40" s="198"/>
      <c r="Z40" s="198"/>
    </row>
    <row r="41" ht="54.0" customHeight="1">
      <c r="A41" s="284">
        <v>35712.0</v>
      </c>
      <c r="B41" s="285" t="s">
        <v>25</v>
      </c>
      <c r="C41" s="299">
        <v>1290.0</v>
      </c>
      <c r="D41" s="285" t="s">
        <v>4747</v>
      </c>
      <c r="E41" s="287" t="s">
        <v>4713</v>
      </c>
      <c r="F41" s="288">
        <v>44508.0</v>
      </c>
      <c r="G41" s="288">
        <v>44496.0</v>
      </c>
      <c r="H41" s="288">
        <v>44496.0</v>
      </c>
      <c r="I41" s="288">
        <v>44530.0</v>
      </c>
      <c r="J41" s="294"/>
      <c r="K41" s="294"/>
      <c r="L41" s="290" t="s">
        <v>4748</v>
      </c>
      <c r="M41" s="285" t="s">
        <v>497</v>
      </c>
      <c r="N41" s="299" t="s">
        <v>2554</v>
      </c>
      <c r="O41" s="300">
        <v>44249.58</v>
      </c>
      <c r="P41" s="198"/>
      <c r="Q41" s="198"/>
      <c r="R41" s="198"/>
      <c r="S41" s="198"/>
      <c r="T41" s="198"/>
      <c r="U41" s="198"/>
      <c r="V41" s="198"/>
      <c r="W41" s="198"/>
      <c r="X41" s="198"/>
      <c r="Y41" s="198"/>
      <c r="Z41" s="198"/>
    </row>
    <row r="42" ht="54.0" customHeight="1">
      <c r="A42" s="284">
        <v>35659.0</v>
      </c>
      <c r="B42" s="285" t="s">
        <v>25</v>
      </c>
      <c r="C42" s="299">
        <v>1290.0</v>
      </c>
      <c r="D42" s="285" t="s">
        <v>4749</v>
      </c>
      <c r="E42" s="287" t="s">
        <v>4681</v>
      </c>
      <c r="F42" s="288">
        <v>44508.0</v>
      </c>
      <c r="G42" s="288">
        <v>44496.0</v>
      </c>
      <c r="H42" s="288">
        <v>44496.0</v>
      </c>
      <c r="I42" s="288">
        <v>44523.0</v>
      </c>
      <c r="J42" s="294"/>
      <c r="K42" s="294"/>
      <c r="L42" s="290" t="s">
        <v>4750</v>
      </c>
      <c r="M42" s="285" t="s">
        <v>497</v>
      </c>
      <c r="N42" s="299" t="s">
        <v>2554</v>
      </c>
      <c r="O42" s="300">
        <v>44249.58</v>
      </c>
      <c r="P42" s="198"/>
      <c r="Q42" s="198"/>
      <c r="R42" s="198"/>
      <c r="S42" s="198"/>
      <c r="T42" s="198"/>
      <c r="U42" s="198"/>
      <c r="V42" s="198"/>
      <c r="W42" s="198"/>
      <c r="X42" s="198"/>
      <c r="Y42" s="198"/>
      <c r="Z42" s="198"/>
    </row>
    <row r="43" ht="54.0" customHeight="1">
      <c r="A43" s="284">
        <v>35407.0</v>
      </c>
      <c r="B43" s="285" t="s">
        <v>25</v>
      </c>
      <c r="C43" s="299">
        <v>2100.0</v>
      </c>
      <c r="D43" s="285" t="s">
        <v>4751</v>
      </c>
      <c r="E43" s="287" t="s">
        <v>4637</v>
      </c>
      <c r="F43" s="288">
        <v>44508.0</v>
      </c>
      <c r="G43" s="288">
        <v>44496.0</v>
      </c>
      <c r="H43" s="288">
        <v>44496.0</v>
      </c>
      <c r="I43" s="288">
        <v>44523.0</v>
      </c>
      <c r="J43" s="294"/>
      <c r="K43" s="294"/>
      <c r="L43" s="290" t="s">
        <v>4752</v>
      </c>
      <c r="M43" s="285" t="s">
        <v>497</v>
      </c>
      <c r="N43" s="299" t="s">
        <v>2554</v>
      </c>
      <c r="O43" s="300">
        <v>28812.0</v>
      </c>
      <c r="P43" s="198"/>
      <c r="Q43" s="198"/>
      <c r="R43" s="198"/>
      <c r="S43" s="198"/>
      <c r="T43" s="198"/>
      <c r="U43" s="198"/>
      <c r="V43" s="198"/>
      <c r="W43" s="198"/>
      <c r="X43" s="198"/>
      <c r="Y43" s="198"/>
      <c r="Z43" s="198"/>
    </row>
    <row r="44" ht="54.0" customHeight="1">
      <c r="A44" s="284">
        <v>35975.0</v>
      </c>
      <c r="B44" s="285" t="s">
        <v>715</v>
      </c>
      <c r="C44" s="299">
        <v>930.0</v>
      </c>
      <c r="D44" s="285" t="s">
        <v>4753</v>
      </c>
      <c r="E44" s="287" t="s">
        <v>4754</v>
      </c>
      <c r="F44" s="288">
        <v>44505.0</v>
      </c>
      <c r="G44" s="288">
        <v>44502.0</v>
      </c>
      <c r="H44" s="288">
        <v>44502.0</v>
      </c>
      <c r="I44" s="288">
        <v>44511.0</v>
      </c>
      <c r="J44" s="294"/>
      <c r="K44" s="294"/>
      <c r="L44" s="290" t="s">
        <v>4755</v>
      </c>
      <c r="M44" s="285" t="s">
        <v>4635</v>
      </c>
      <c r="N44" s="299" t="s">
        <v>2621</v>
      </c>
      <c r="O44" s="300">
        <v>66812.0</v>
      </c>
      <c r="P44" s="198"/>
      <c r="Q44" s="198"/>
      <c r="R44" s="198"/>
      <c r="S44" s="198"/>
      <c r="T44" s="198"/>
      <c r="U44" s="198"/>
      <c r="V44" s="198"/>
      <c r="W44" s="198"/>
      <c r="X44" s="198"/>
      <c r="Y44" s="198"/>
      <c r="Z44" s="198"/>
    </row>
    <row r="45" ht="54.0" customHeight="1">
      <c r="A45" s="284">
        <v>35652.0</v>
      </c>
      <c r="B45" s="285" t="s">
        <v>715</v>
      </c>
      <c r="C45" s="285">
        <v>1800.0</v>
      </c>
      <c r="D45" s="285" t="s">
        <v>4756</v>
      </c>
      <c r="E45" s="287" t="s">
        <v>4757</v>
      </c>
      <c r="F45" s="288">
        <v>44501.0</v>
      </c>
      <c r="G45" s="288">
        <v>44498.0</v>
      </c>
      <c r="H45" s="288">
        <v>44498.0</v>
      </c>
      <c r="I45" s="288">
        <v>44508.0</v>
      </c>
      <c r="J45" s="294"/>
      <c r="K45" s="294"/>
      <c r="L45" s="290" t="s">
        <v>4758</v>
      </c>
      <c r="M45" s="285" t="s">
        <v>497</v>
      </c>
      <c r="N45" s="299" t="s">
        <v>4724</v>
      </c>
      <c r="O45" s="300">
        <v>18043.2</v>
      </c>
      <c r="P45" s="198"/>
      <c r="Q45" s="198"/>
      <c r="R45" s="198"/>
      <c r="S45" s="198"/>
      <c r="T45" s="198"/>
      <c r="U45" s="198"/>
      <c r="V45" s="198"/>
      <c r="W45" s="198"/>
      <c r="X45" s="198"/>
      <c r="Y45" s="198"/>
      <c r="Z45" s="198"/>
    </row>
    <row r="46" ht="54.0" customHeight="1">
      <c r="A46" s="284">
        <v>35779.0</v>
      </c>
      <c r="B46" s="285" t="s">
        <v>715</v>
      </c>
      <c r="C46" s="299">
        <v>1290.0</v>
      </c>
      <c r="D46" s="285" t="s">
        <v>4759</v>
      </c>
      <c r="E46" s="287" t="s">
        <v>4760</v>
      </c>
      <c r="F46" s="288">
        <v>44501.0</v>
      </c>
      <c r="G46" s="288">
        <v>44495.0</v>
      </c>
      <c r="H46" s="288">
        <v>44495.0</v>
      </c>
      <c r="I46" s="288">
        <v>44505.0</v>
      </c>
      <c r="J46" s="294"/>
      <c r="K46" s="294"/>
      <c r="L46" s="290" t="s">
        <v>4761</v>
      </c>
      <c r="M46" s="285" t="s">
        <v>497</v>
      </c>
      <c r="N46" s="299" t="s">
        <v>2554</v>
      </c>
      <c r="O46" s="300">
        <v>44249.58</v>
      </c>
      <c r="P46" s="198"/>
      <c r="Q46" s="198"/>
      <c r="R46" s="198"/>
      <c r="S46" s="198"/>
      <c r="T46" s="198"/>
      <c r="U46" s="198"/>
      <c r="V46" s="198"/>
      <c r="W46" s="198"/>
      <c r="X46" s="198"/>
      <c r="Y46" s="198"/>
      <c r="Z46" s="198"/>
    </row>
    <row r="47" ht="54.0" customHeight="1">
      <c r="A47" s="284">
        <v>35469.0</v>
      </c>
      <c r="B47" s="285" t="s">
        <v>715</v>
      </c>
      <c r="C47" s="299">
        <v>2100.0</v>
      </c>
      <c r="D47" s="285" t="s">
        <v>4762</v>
      </c>
      <c r="E47" s="287" t="s">
        <v>4763</v>
      </c>
      <c r="F47" s="288">
        <v>44501.0</v>
      </c>
      <c r="G47" s="288">
        <v>44494.0</v>
      </c>
      <c r="H47" s="288">
        <v>44494.0</v>
      </c>
      <c r="I47" s="288">
        <v>44505.0</v>
      </c>
      <c r="J47" s="294"/>
      <c r="K47" s="294"/>
      <c r="L47" s="290" t="s">
        <v>4764</v>
      </c>
      <c r="M47" s="285" t="s">
        <v>497</v>
      </c>
      <c r="N47" s="299" t="s">
        <v>2554</v>
      </c>
      <c r="O47" s="300">
        <v>0.0</v>
      </c>
      <c r="P47" s="198"/>
      <c r="Q47" s="198"/>
      <c r="R47" s="198"/>
      <c r="S47" s="198"/>
      <c r="T47" s="198"/>
      <c r="U47" s="198"/>
      <c r="V47" s="198"/>
      <c r="W47" s="198"/>
      <c r="X47" s="198"/>
      <c r="Y47" s="198"/>
      <c r="Z47" s="198"/>
    </row>
    <row r="48" ht="54.0" customHeight="1">
      <c r="A48" s="284">
        <v>35394.0</v>
      </c>
      <c r="B48" s="285" t="s">
        <v>715</v>
      </c>
      <c r="C48" s="299">
        <v>3000.0</v>
      </c>
      <c r="D48" s="285" t="s">
        <v>4765</v>
      </c>
      <c r="E48" s="287" t="s">
        <v>4658</v>
      </c>
      <c r="F48" s="288">
        <v>44501.0</v>
      </c>
      <c r="G48" s="372">
        <v>44494.0</v>
      </c>
      <c r="H48" s="372">
        <v>44494.0</v>
      </c>
      <c r="I48" s="288">
        <v>44509.0</v>
      </c>
      <c r="J48" s="294"/>
      <c r="K48" s="294"/>
      <c r="L48" s="290" t="s">
        <v>4766</v>
      </c>
      <c r="M48" s="285" t="s">
        <v>497</v>
      </c>
      <c r="N48" s="299" t="s">
        <v>2554</v>
      </c>
      <c r="O48" s="300">
        <v>21210.0</v>
      </c>
      <c r="P48" s="198"/>
      <c r="Q48" s="198"/>
      <c r="R48" s="198"/>
      <c r="S48" s="198"/>
      <c r="T48" s="198"/>
      <c r="U48" s="198"/>
      <c r="V48" s="198"/>
      <c r="W48" s="198"/>
      <c r="X48" s="198"/>
      <c r="Y48" s="198"/>
      <c r="Z48" s="198"/>
    </row>
    <row r="49" ht="54.0" customHeight="1">
      <c r="A49" s="284">
        <v>35470.0</v>
      </c>
      <c r="B49" s="285" t="s">
        <v>715</v>
      </c>
      <c r="C49" s="299">
        <v>2100.0</v>
      </c>
      <c r="D49" s="285" t="s">
        <v>4767</v>
      </c>
      <c r="E49" s="287" t="s">
        <v>4768</v>
      </c>
      <c r="F49" s="288">
        <v>44501.0</v>
      </c>
      <c r="G49" s="372">
        <v>44494.0</v>
      </c>
      <c r="H49" s="372">
        <v>44494.0</v>
      </c>
      <c r="I49" s="288">
        <v>44510.0</v>
      </c>
      <c r="J49" s="294"/>
      <c r="K49" s="294"/>
      <c r="L49" s="290" t="s">
        <v>4769</v>
      </c>
      <c r="M49" s="285" t="s">
        <v>497</v>
      </c>
      <c r="N49" s="299" t="s">
        <v>2554</v>
      </c>
      <c r="O49" s="300">
        <v>37155.0</v>
      </c>
      <c r="P49" s="198"/>
      <c r="Q49" s="198"/>
      <c r="R49" s="198"/>
      <c r="S49" s="198"/>
      <c r="T49" s="198"/>
      <c r="U49" s="198"/>
      <c r="V49" s="198"/>
      <c r="W49" s="198"/>
      <c r="X49" s="198"/>
      <c r="Y49" s="198"/>
      <c r="Z49" s="198"/>
    </row>
    <row r="50" ht="54.0" customHeight="1">
      <c r="A50" s="284">
        <v>35422.0</v>
      </c>
      <c r="B50" s="285" t="s">
        <v>715</v>
      </c>
      <c r="C50" s="299">
        <v>2595.0</v>
      </c>
      <c r="D50" s="285" t="s">
        <v>4770</v>
      </c>
      <c r="E50" s="287" t="s">
        <v>4771</v>
      </c>
      <c r="F50" s="288">
        <v>44501.0</v>
      </c>
      <c r="G50" s="288">
        <v>44494.0</v>
      </c>
      <c r="H50" s="288">
        <v>44504.0</v>
      </c>
      <c r="I50" s="288">
        <v>44508.0</v>
      </c>
      <c r="J50" s="294"/>
      <c r="K50" s="294"/>
      <c r="L50" s="290" t="s">
        <v>4772</v>
      </c>
      <c r="M50" s="285" t="s">
        <v>497</v>
      </c>
      <c r="N50" s="299" t="s">
        <v>2554</v>
      </c>
      <c r="O50" s="300">
        <v>44115.0</v>
      </c>
      <c r="P50" s="198"/>
      <c r="Q50" s="198"/>
      <c r="R50" s="198"/>
      <c r="S50" s="198"/>
      <c r="T50" s="198"/>
      <c r="U50" s="198"/>
      <c r="V50" s="198"/>
      <c r="W50" s="198"/>
      <c r="X50" s="198"/>
      <c r="Y50" s="198"/>
      <c r="Z50" s="198"/>
    </row>
    <row r="51" ht="58.5" customHeight="1">
      <c r="A51" s="284">
        <v>36066.0</v>
      </c>
      <c r="B51" s="285" t="s">
        <v>21</v>
      </c>
      <c r="C51" s="299">
        <v>1160.0</v>
      </c>
      <c r="D51" s="285" t="s">
        <v>4773</v>
      </c>
      <c r="E51" s="287" t="s">
        <v>4774</v>
      </c>
      <c r="F51" s="288">
        <v>44500.0</v>
      </c>
      <c r="G51" s="288">
        <v>44496.0</v>
      </c>
      <c r="H51" s="288">
        <v>44496.0</v>
      </c>
      <c r="I51" s="288">
        <v>44504.0</v>
      </c>
      <c r="J51" s="294"/>
      <c r="K51" s="294"/>
      <c r="L51" s="290" t="s">
        <v>4775</v>
      </c>
      <c r="M51" s="285" t="s">
        <v>4635</v>
      </c>
      <c r="N51" s="299" t="s">
        <v>2621</v>
      </c>
      <c r="O51" s="300">
        <v>71170.0</v>
      </c>
      <c r="P51" s="198"/>
      <c r="Q51" s="198"/>
      <c r="R51" s="198"/>
      <c r="S51" s="198"/>
      <c r="T51" s="198"/>
      <c r="U51" s="198"/>
      <c r="V51" s="198"/>
      <c r="W51" s="198"/>
      <c r="X51" s="198"/>
      <c r="Y51" s="198"/>
      <c r="Z51" s="198"/>
    </row>
    <row r="52" ht="60.75" customHeight="1">
      <c r="A52" s="284">
        <v>36028.0</v>
      </c>
      <c r="B52" s="285" t="s">
        <v>21</v>
      </c>
      <c r="C52" s="299">
        <v>1260.0</v>
      </c>
      <c r="D52" s="285" t="s">
        <v>4776</v>
      </c>
      <c r="E52" s="287" t="s">
        <v>4777</v>
      </c>
      <c r="F52" s="288">
        <v>44500.0</v>
      </c>
      <c r="G52" s="288">
        <v>44496.0</v>
      </c>
      <c r="H52" s="288">
        <v>44496.0</v>
      </c>
      <c r="I52" s="288">
        <v>44505.0</v>
      </c>
      <c r="J52" s="294"/>
      <c r="K52" s="294"/>
      <c r="L52" s="353" t="s">
        <v>4778</v>
      </c>
      <c r="M52" s="285" t="s">
        <v>4635</v>
      </c>
      <c r="N52" s="299" t="s">
        <v>2621</v>
      </c>
      <c r="O52" s="300">
        <v>51923.2</v>
      </c>
      <c r="P52" s="198"/>
      <c r="Q52" s="198"/>
      <c r="R52" s="198"/>
      <c r="S52" s="198"/>
      <c r="T52" s="198"/>
      <c r="U52" s="198"/>
      <c r="V52" s="198"/>
      <c r="W52" s="198"/>
      <c r="X52" s="198"/>
      <c r="Y52" s="198"/>
      <c r="Z52" s="198"/>
    </row>
    <row r="53" ht="54.0" customHeight="1">
      <c r="A53" s="284">
        <v>36030.0</v>
      </c>
      <c r="B53" s="285" t="s">
        <v>21</v>
      </c>
      <c r="C53" s="299">
        <v>930.0</v>
      </c>
      <c r="D53" s="285" t="s">
        <v>4779</v>
      </c>
      <c r="E53" s="287" t="s">
        <v>4295</v>
      </c>
      <c r="F53" s="288">
        <v>44500.0</v>
      </c>
      <c r="G53" s="288">
        <v>44503.0</v>
      </c>
      <c r="H53" s="288">
        <v>44503.0</v>
      </c>
      <c r="I53" s="288">
        <v>44510.0</v>
      </c>
      <c r="J53" s="294"/>
      <c r="K53" s="294"/>
      <c r="L53" s="290" t="s">
        <v>4780</v>
      </c>
      <c r="M53" s="285" t="s">
        <v>4635</v>
      </c>
      <c r="N53" s="299" t="s">
        <v>2621</v>
      </c>
      <c r="O53" s="300">
        <v>64199.6</v>
      </c>
      <c r="P53" s="198"/>
      <c r="Q53" s="198"/>
      <c r="R53" s="198"/>
      <c r="S53" s="198"/>
      <c r="T53" s="198"/>
      <c r="U53" s="198"/>
      <c r="V53" s="198"/>
      <c r="W53" s="198"/>
      <c r="X53" s="198"/>
      <c r="Y53" s="198"/>
      <c r="Z53" s="198"/>
    </row>
    <row r="54" ht="56.25" customHeight="1">
      <c r="A54" s="284">
        <v>36029.0</v>
      </c>
      <c r="B54" s="285" t="s">
        <v>21</v>
      </c>
      <c r="C54" s="299">
        <v>1260.0</v>
      </c>
      <c r="D54" s="285" t="s">
        <v>4781</v>
      </c>
      <c r="E54" s="287" t="s">
        <v>4782</v>
      </c>
      <c r="F54" s="288">
        <v>44500.0</v>
      </c>
      <c r="G54" s="288">
        <v>44496.0</v>
      </c>
      <c r="H54" s="288">
        <v>44496.0</v>
      </c>
      <c r="I54" s="288">
        <v>44509.0</v>
      </c>
      <c r="J54" s="294"/>
      <c r="K54" s="294"/>
      <c r="L54" s="290" t="s">
        <v>4783</v>
      </c>
      <c r="M54" s="285" t="s">
        <v>4635</v>
      </c>
      <c r="N54" s="299" t="s">
        <v>2621</v>
      </c>
      <c r="O54" s="300">
        <v>49580.0</v>
      </c>
      <c r="P54" s="198"/>
      <c r="Q54" s="198"/>
      <c r="R54" s="198"/>
      <c r="S54" s="198"/>
      <c r="T54" s="198"/>
      <c r="U54" s="198"/>
      <c r="V54" s="198"/>
      <c r="W54" s="198"/>
      <c r="X54" s="198"/>
      <c r="Y54" s="198"/>
      <c r="Z54" s="198"/>
    </row>
    <row r="55" ht="54.0" customHeight="1">
      <c r="A55" s="284">
        <v>35599.0</v>
      </c>
      <c r="B55" s="285" t="s">
        <v>715</v>
      </c>
      <c r="C55" s="299">
        <v>810.0</v>
      </c>
      <c r="D55" s="285" t="s">
        <v>4784</v>
      </c>
      <c r="E55" s="287" t="s">
        <v>3740</v>
      </c>
      <c r="F55" s="288">
        <v>44499.0</v>
      </c>
      <c r="G55" s="288">
        <v>44494.0</v>
      </c>
      <c r="H55" s="288">
        <v>44494.0</v>
      </c>
      <c r="I55" s="288">
        <v>44504.0</v>
      </c>
      <c r="J55" s="294"/>
      <c r="K55" s="294"/>
      <c r="L55" s="290" t="s">
        <v>4785</v>
      </c>
      <c r="M55" s="285" t="s">
        <v>497</v>
      </c>
      <c r="N55" s="299" t="s">
        <v>4711</v>
      </c>
      <c r="O55" s="300">
        <v>17176.37</v>
      </c>
      <c r="P55" s="198"/>
      <c r="Q55" s="198"/>
      <c r="R55" s="198"/>
      <c r="S55" s="198"/>
      <c r="T55" s="198"/>
      <c r="U55" s="198"/>
      <c r="V55" s="198"/>
      <c r="W55" s="198"/>
      <c r="X55" s="198"/>
      <c r="Y55" s="198"/>
      <c r="Z55" s="198"/>
    </row>
    <row r="56" ht="54.0" customHeight="1">
      <c r="A56" s="284">
        <v>35978.0</v>
      </c>
      <c r="B56" s="285" t="s">
        <v>21</v>
      </c>
      <c r="C56" s="299">
        <v>930.0</v>
      </c>
      <c r="D56" s="285" t="s">
        <v>4786</v>
      </c>
      <c r="E56" s="287" t="s">
        <v>4787</v>
      </c>
      <c r="F56" s="288">
        <v>44498.0</v>
      </c>
      <c r="G56" s="288">
        <v>44491.0</v>
      </c>
      <c r="H56" s="288">
        <v>44491.0</v>
      </c>
      <c r="I56" s="288">
        <v>44503.0</v>
      </c>
      <c r="J56" s="294"/>
      <c r="K56" s="294"/>
      <c r="L56" s="290" t="s">
        <v>4788</v>
      </c>
      <c r="M56" s="285" t="s">
        <v>4635</v>
      </c>
      <c r="N56" s="299" t="s">
        <v>2621</v>
      </c>
      <c r="O56" s="300">
        <v>54419.6</v>
      </c>
      <c r="P56" s="198"/>
      <c r="Q56" s="198"/>
      <c r="R56" s="198"/>
      <c r="S56" s="198"/>
      <c r="T56" s="198"/>
      <c r="U56" s="198"/>
      <c r="V56" s="198"/>
      <c r="W56" s="198"/>
      <c r="X56" s="198"/>
      <c r="Y56" s="198"/>
      <c r="Z56" s="198"/>
    </row>
    <row r="57" ht="54.0" customHeight="1">
      <c r="A57" s="284">
        <v>35733.0</v>
      </c>
      <c r="B57" s="285" t="s">
        <v>25</v>
      </c>
      <c r="C57" s="299">
        <v>880.0</v>
      </c>
      <c r="D57" s="285" t="s">
        <v>4789</v>
      </c>
      <c r="E57" s="287" t="s">
        <v>3812</v>
      </c>
      <c r="F57" s="288">
        <v>44496.0</v>
      </c>
      <c r="G57" s="288">
        <v>44480.0</v>
      </c>
      <c r="H57" s="288">
        <v>44480.0</v>
      </c>
      <c r="I57" s="288">
        <v>44497.0</v>
      </c>
      <c r="J57" s="294"/>
      <c r="K57" s="294"/>
      <c r="L57" s="290" t="s">
        <v>4790</v>
      </c>
      <c r="M57" s="285" t="s">
        <v>497</v>
      </c>
      <c r="N57" s="299" t="s">
        <v>4662</v>
      </c>
      <c r="O57" s="300">
        <v>55349.52</v>
      </c>
      <c r="P57" s="198"/>
      <c r="Q57" s="198"/>
      <c r="R57" s="198"/>
      <c r="S57" s="198"/>
      <c r="T57" s="198"/>
      <c r="U57" s="198"/>
      <c r="V57" s="198"/>
      <c r="W57" s="198"/>
      <c r="X57" s="198"/>
      <c r="Y57" s="198"/>
      <c r="Z57" s="198"/>
    </row>
    <row r="58" ht="54.0" customHeight="1">
      <c r="A58" s="284">
        <v>35639.0</v>
      </c>
      <c r="B58" s="285" t="s">
        <v>715</v>
      </c>
      <c r="C58" s="299">
        <v>1930.0</v>
      </c>
      <c r="D58" s="285" t="s">
        <v>4791</v>
      </c>
      <c r="E58" s="287" t="s">
        <v>4670</v>
      </c>
      <c r="F58" s="288">
        <v>44495.0</v>
      </c>
      <c r="G58" s="288">
        <v>44494.0</v>
      </c>
      <c r="H58" s="288">
        <v>44494.0</v>
      </c>
      <c r="I58" s="288">
        <v>44502.0</v>
      </c>
      <c r="J58" s="294"/>
      <c r="K58" s="294"/>
      <c r="L58" s="353" t="s">
        <v>4792</v>
      </c>
      <c r="M58" s="285" t="s">
        <v>4745</v>
      </c>
      <c r="N58" s="299" t="s">
        <v>2604</v>
      </c>
      <c r="O58" s="300">
        <v>73558.0</v>
      </c>
      <c r="P58" s="198"/>
      <c r="Q58" s="198"/>
      <c r="R58" s="198"/>
      <c r="S58" s="198"/>
      <c r="T58" s="198"/>
      <c r="U58" s="198"/>
      <c r="V58" s="198"/>
      <c r="W58" s="198"/>
      <c r="X58" s="198"/>
      <c r="Y58" s="198"/>
      <c r="Z58" s="198"/>
    </row>
    <row r="59" ht="54.0" customHeight="1">
      <c r="A59" s="284">
        <v>35711.0</v>
      </c>
      <c r="B59" s="285" t="s">
        <v>715</v>
      </c>
      <c r="C59" s="299">
        <v>1290.0</v>
      </c>
      <c r="D59" s="285" t="s">
        <v>4793</v>
      </c>
      <c r="E59" s="287" t="s">
        <v>4713</v>
      </c>
      <c r="F59" s="288">
        <v>44495.0</v>
      </c>
      <c r="G59" s="288">
        <v>44494.0</v>
      </c>
      <c r="H59" s="288">
        <v>44494.0</v>
      </c>
      <c r="I59" s="288">
        <v>44502.0</v>
      </c>
      <c r="J59" s="294"/>
      <c r="K59" s="294"/>
      <c r="L59" s="290" t="s">
        <v>4794</v>
      </c>
      <c r="M59" s="285" t="s">
        <v>497</v>
      </c>
      <c r="N59" s="299" t="s">
        <v>2554</v>
      </c>
      <c r="O59" s="300">
        <v>44249.58</v>
      </c>
      <c r="P59" s="198"/>
      <c r="Q59" s="198"/>
      <c r="R59" s="198"/>
      <c r="S59" s="198"/>
      <c r="T59" s="198"/>
      <c r="U59" s="198"/>
      <c r="V59" s="198"/>
      <c r="W59" s="198"/>
      <c r="X59" s="198"/>
      <c r="Y59" s="198"/>
      <c r="Z59" s="198"/>
    </row>
    <row r="60" ht="54.0" customHeight="1">
      <c r="A60" s="284">
        <v>35602.0</v>
      </c>
      <c r="B60" s="285" t="s">
        <v>21</v>
      </c>
      <c r="C60" s="299">
        <v>2200.0</v>
      </c>
      <c r="D60" s="285" t="s">
        <v>4795</v>
      </c>
      <c r="E60" s="287" t="s">
        <v>4796</v>
      </c>
      <c r="F60" s="288">
        <v>44493.0</v>
      </c>
      <c r="G60" s="372">
        <v>44487.0</v>
      </c>
      <c r="H60" s="372">
        <v>44487.0</v>
      </c>
      <c r="I60" s="372">
        <v>44497.0</v>
      </c>
      <c r="J60" s="294"/>
      <c r="K60" s="294"/>
      <c r="L60" s="290" t="s">
        <v>4797</v>
      </c>
      <c r="M60" s="285" t="s">
        <v>497</v>
      </c>
      <c r="N60" s="299" t="s">
        <v>2554</v>
      </c>
      <c r="O60" s="300">
        <v>34100.0</v>
      </c>
      <c r="P60" s="198"/>
      <c r="Q60" s="198"/>
      <c r="R60" s="198"/>
      <c r="S60" s="198"/>
      <c r="T60" s="198"/>
      <c r="U60" s="198"/>
      <c r="V60" s="198"/>
      <c r="W60" s="198"/>
      <c r="X60" s="198"/>
      <c r="Y60" s="198"/>
      <c r="Z60" s="198"/>
    </row>
    <row r="61" ht="54.0" customHeight="1">
      <c r="A61" s="284">
        <v>35922.0</v>
      </c>
      <c r="B61" s="285" t="s">
        <v>715</v>
      </c>
      <c r="C61" s="299">
        <v>944.0</v>
      </c>
      <c r="D61" s="285" t="s">
        <v>4798</v>
      </c>
      <c r="E61" s="287" t="s">
        <v>4799</v>
      </c>
      <c r="F61" s="288">
        <v>44492.0</v>
      </c>
      <c r="G61" s="288">
        <v>44491.0</v>
      </c>
      <c r="H61" s="288">
        <v>44491.0</v>
      </c>
      <c r="I61" s="288">
        <v>44501.0</v>
      </c>
      <c r="J61" s="294"/>
      <c r="K61" s="294"/>
      <c r="L61" s="290" t="s">
        <v>4800</v>
      </c>
      <c r="M61" s="285" t="s">
        <v>4635</v>
      </c>
      <c r="N61" s="299" t="s">
        <v>2621</v>
      </c>
      <c r="O61" s="300">
        <v>57209.8</v>
      </c>
      <c r="P61" s="198"/>
      <c r="Q61" s="198"/>
      <c r="R61" s="198"/>
      <c r="S61" s="198"/>
      <c r="T61" s="198"/>
      <c r="U61" s="198"/>
      <c r="V61" s="198"/>
      <c r="W61" s="198"/>
      <c r="X61" s="198"/>
      <c r="Y61" s="198"/>
      <c r="Z61" s="198"/>
    </row>
    <row r="62" ht="54.0" customHeight="1">
      <c r="A62" s="284">
        <v>35806.0</v>
      </c>
      <c r="B62" s="285" t="s">
        <v>25</v>
      </c>
      <c r="C62" s="299">
        <v>2355.0</v>
      </c>
      <c r="D62" s="285" t="s">
        <v>4801</v>
      </c>
      <c r="E62" s="287" t="s">
        <v>4641</v>
      </c>
      <c r="F62" s="288">
        <v>44490.0</v>
      </c>
      <c r="G62" s="288">
        <v>44489.0</v>
      </c>
      <c r="H62" s="288">
        <v>44489.0</v>
      </c>
      <c r="I62" s="288">
        <v>44508.0</v>
      </c>
      <c r="J62" s="294"/>
      <c r="K62" s="294"/>
      <c r="L62" s="290" t="s">
        <v>4802</v>
      </c>
      <c r="M62" s="285" t="s">
        <v>497</v>
      </c>
      <c r="N62" s="299" t="s">
        <v>2538</v>
      </c>
      <c r="O62" s="300">
        <v>221805.0</v>
      </c>
      <c r="P62" s="198"/>
      <c r="Q62" s="198"/>
      <c r="R62" s="198"/>
      <c r="S62" s="198"/>
      <c r="T62" s="198"/>
      <c r="U62" s="198"/>
      <c r="V62" s="198"/>
      <c r="W62" s="198"/>
      <c r="X62" s="198"/>
      <c r="Y62" s="198"/>
      <c r="Z62" s="198"/>
    </row>
    <row r="63" ht="54.0" customHeight="1">
      <c r="A63" s="284">
        <v>35724.0</v>
      </c>
      <c r="B63" s="285" t="s">
        <v>715</v>
      </c>
      <c r="C63" s="299">
        <v>1749.0</v>
      </c>
      <c r="D63" s="285" t="s">
        <v>4803</v>
      </c>
      <c r="E63" s="287" t="s">
        <v>4804</v>
      </c>
      <c r="F63" s="288">
        <v>44490.0</v>
      </c>
      <c r="G63" s="288">
        <v>44489.0</v>
      </c>
      <c r="H63" s="288">
        <v>44489.0</v>
      </c>
      <c r="I63" s="288">
        <v>44496.0</v>
      </c>
      <c r="J63" s="294" t="s">
        <v>1672</v>
      </c>
      <c r="K63" s="294"/>
      <c r="L63" s="290" t="s">
        <v>4805</v>
      </c>
      <c r="M63" s="285" t="s">
        <v>497</v>
      </c>
      <c r="N63" s="299" t="s">
        <v>2604</v>
      </c>
      <c r="O63" s="300">
        <v>24164.6</v>
      </c>
      <c r="P63" s="198"/>
      <c r="Q63" s="198"/>
      <c r="R63" s="198"/>
      <c r="S63" s="198"/>
      <c r="T63" s="198"/>
      <c r="U63" s="198"/>
      <c r="V63" s="198"/>
      <c r="W63" s="198"/>
      <c r="X63" s="198"/>
      <c r="Y63" s="198"/>
      <c r="Z63" s="198"/>
    </row>
    <row r="64" ht="54.0" customHeight="1">
      <c r="A64" s="284">
        <v>35725.0</v>
      </c>
      <c r="B64" s="285" t="s">
        <v>715</v>
      </c>
      <c r="C64" s="299">
        <v>1616.0</v>
      </c>
      <c r="D64" s="285" t="s">
        <v>4806</v>
      </c>
      <c r="E64" s="287" t="s">
        <v>4804</v>
      </c>
      <c r="F64" s="288">
        <v>44490.0</v>
      </c>
      <c r="G64" s="288">
        <v>44487.0</v>
      </c>
      <c r="H64" s="288">
        <v>44487.0</v>
      </c>
      <c r="I64" s="373">
        <v>44495.0</v>
      </c>
      <c r="J64" s="294"/>
      <c r="K64" s="294"/>
      <c r="L64" s="290" t="s">
        <v>4807</v>
      </c>
      <c r="M64" s="285" t="s">
        <v>497</v>
      </c>
      <c r="N64" s="299" t="s">
        <v>2604</v>
      </c>
      <c r="O64" s="300">
        <v>22841.8</v>
      </c>
      <c r="P64" s="198"/>
      <c r="Q64" s="198"/>
      <c r="R64" s="198"/>
      <c r="S64" s="198"/>
      <c r="T64" s="198"/>
      <c r="U64" s="198"/>
      <c r="V64" s="198"/>
      <c r="W64" s="198"/>
      <c r="X64" s="198"/>
      <c r="Y64" s="198"/>
      <c r="Z64" s="198"/>
    </row>
    <row r="65" ht="54.0" customHeight="1">
      <c r="A65" s="284">
        <v>35909.0</v>
      </c>
      <c r="B65" s="285" t="s">
        <v>715</v>
      </c>
      <c r="C65" s="299">
        <v>1029.0</v>
      </c>
      <c r="D65" s="285" t="s">
        <v>4808</v>
      </c>
      <c r="E65" s="287" t="s">
        <v>4809</v>
      </c>
      <c r="F65" s="288">
        <v>44490.0</v>
      </c>
      <c r="G65" s="288">
        <v>44487.0</v>
      </c>
      <c r="H65" s="288">
        <v>44487.0</v>
      </c>
      <c r="I65" s="373">
        <v>44497.0</v>
      </c>
      <c r="J65" s="294"/>
      <c r="K65" s="294"/>
      <c r="L65" s="290" t="s">
        <v>4810</v>
      </c>
      <c r="M65" s="285" t="s">
        <v>4635</v>
      </c>
      <c r="N65" s="299" t="s">
        <v>2621</v>
      </c>
      <c r="O65" s="300">
        <v>54372.16</v>
      </c>
      <c r="P65" s="198"/>
      <c r="Q65" s="198"/>
      <c r="R65" s="198"/>
      <c r="S65" s="198"/>
      <c r="T65" s="198"/>
      <c r="U65" s="198"/>
      <c r="V65" s="198"/>
      <c r="W65" s="198"/>
      <c r="X65" s="198"/>
      <c r="Y65" s="198"/>
      <c r="Z65" s="198"/>
    </row>
    <row r="66" ht="54.0" customHeight="1">
      <c r="A66" s="284">
        <v>35395.0</v>
      </c>
      <c r="B66" s="285" t="s">
        <v>25</v>
      </c>
      <c r="C66" s="299">
        <v>1160.0</v>
      </c>
      <c r="D66" s="285" t="s">
        <v>4811</v>
      </c>
      <c r="E66" s="287" t="s">
        <v>4637</v>
      </c>
      <c r="F66" s="288">
        <v>44489.0</v>
      </c>
      <c r="G66" s="288">
        <v>44484.0</v>
      </c>
      <c r="H66" s="288">
        <v>44484.0</v>
      </c>
      <c r="I66" s="285" t="s">
        <v>4812</v>
      </c>
      <c r="J66" s="294"/>
      <c r="K66" s="294"/>
      <c r="L66" s="290" t="s">
        <v>4813</v>
      </c>
      <c r="M66" s="285" t="s">
        <v>497</v>
      </c>
      <c r="N66" s="299" t="s">
        <v>2554</v>
      </c>
      <c r="O66" s="300">
        <v>31869.84</v>
      </c>
      <c r="P66" s="198"/>
      <c r="Q66" s="198"/>
      <c r="R66" s="198"/>
      <c r="S66" s="198"/>
      <c r="T66" s="198"/>
      <c r="U66" s="198"/>
      <c r="V66" s="198"/>
      <c r="W66" s="198"/>
      <c r="X66" s="198"/>
      <c r="Y66" s="198"/>
      <c r="Z66" s="198"/>
    </row>
    <row r="67" ht="54.0" customHeight="1">
      <c r="A67" s="284">
        <v>35903.0</v>
      </c>
      <c r="B67" s="285" t="s">
        <v>715</v>
      </c>
      <c r="C67" s="299">
        <v>1074.0</v>
      </c>
      <c r="D67" s="285" t="s">
        <v>4814</v>
      </c>
      <c r="E67" s="287" t="s">
        <v>4815</v>
      </c>
      <c r="F67" s="288">
        <v>44487.0</v>
      </c>
      <c r="G67" s="288">
        <v>44483.0</v>
      </c>
      <c r="H67" s="288">
        <v>44483.0</v>
      </c>
      <c r="I67" s="288">
        <v>44491.0</v>
      </c>
      <c r="J67" s="294"/>
      <c r="K67" s="294"/>
      <c r="L67" s="290" t="s">
        <v>4816</v>
      </c>
      <c r="M67" s="285" t="s">
        <v>4635</v>
      </c>
      <c r="N67" s="299" t="s">
        <v>2621</v>
      </c>
      <c r="O67" s="300">
        <v>52793.5</v>
      </c>
      <c r="P67" s="198"/>
      <c r="Q67" s="198"/>
      <c r="R67" s="198"/>
      <c r="S67" s="198"/>
      <c r="T67" s="198"/>
      <c r="U67" s="198"/>
      <c r="V67" s="198"/>
      <c r="W67" s="198"/>
      <c r="X67" s="198"/>
      <c r="Y67" s="198"/>
      <c r="Z67" s="198"/>
    </row>
    <row r="68" ht="54.0" customHeight="1">
      <c r="A68" s="284">
        <v>35910.0</v>
      </c>
      <c r="B68" s="285" t="s">
        <v>715</v>
      </c>
      <c r="C68" s="299">
        <v>1260.0</v>
      </c>
      <c r="D68" s="285" t="s">
        <v>4817</v>
      </c>
      <c r="E68" s="374" t="s">
        <v>4818</v>
      </c>
      <c r="F68" s="288">
        <v>44487.0</v>
      </c>
      <c r="G68" s="288">
        <v>44484.0</v>
      </c>
      <c r="H68" s="288">
        <v>44484.0</v>
      </c>
      <c r="I68" s="288">
        <v>44488.0</v>
      </c>
      <c r="J68" s="294"/>
      <c r="K68" s="294"/>
      <c r="L68" s="290" t="s">
        <v>4819</v>
      </c>
      <c r="M68" s="285" t="s">
        <v>4635</v>
      </c>
      <c r="N68" s="299" t="s">
        <v>2621</v>
      </c>
      <c r="O68" s="300">
        <v>43503.5</v>
      </c>
      <c r="P68" s="198"/>
      <c r="Q68" s="198"/>
      <c r="R68" s="198"/>
      <c r="S68" s="198"/>
      <c r="T68" s="198"/>
      <c r="U68" s="198"/>
      <c r="V68" s="198"/>
      <c r="W68" s="198"/>
      <c r="X68" s="198"/>
      <c r="Y68" s="198"/>
      <c r="Z68" s="198"/>
    </row>
    <row r="69" ht="54.0" customHeight="1">
      <c r="A69" s="284">
        <v>35622.0</v>
      </c>
      <c r="B69" s="285" t="s">
        <v>21</v>
      </c>
      <c r="C69" s="299">
        <v>2026.0</v>
      </c>
      <c r="D69" s="285" t="s">
        <v>4820</v>
      </c>
      <c r="E69" s="287" t="s">
        <v>3812</v>
      </c>
      <c r="F69" s="288">
        <v>44484.0</v>
      </c>
      <c r="G69" s="288">
        <v>44476.0</v>
      </c>
      <c r="H69" s="288">
        <v>44476.0</v>
      </c>
      <c r="I69" s="288">
        <v>44488.0</v>
      </c>
      <c r="J69" s="294"/>
      <c r="K69" s="294"/>
      <c r="L69" s="290" t="s">
        <v>4821</v>
      </c>
      <c r="M69" s="285" t="s">
        <v>497</v>
      </c>
      <c r="N69" s="299" t="s">
        <v>4662</v>
      </c>
      <c r="O69" s="300">
        <v>99679.7</v>
      </c>
      <c r="P69" s="198"/>
      <c r="Q69" s="198"/>
      <c r="R69" s="198"/>
      <c r="S69" s="198"/>
      <c r="T69" s="198"/>
      <c r="U69" s="198"/>
      <c r="V69" s="198"/>
      <c r="W69" s="198"/>
      <c r="X69" s="198"/>
      <c r="Y69" s="198"/>
      <c r="Z69" s="198"/>
    </row>
    <row r="70" ht="54.0" customHeight="1">
      <c r="A70" s="284">
        <v>35389.0</v>
      </c>
      <c r="B70" s="285" t="s">
        <v>715</v>
      </c>
      <c r="C70" s="299">
        <v>1160.0</v>
      </c>
      <c r="D70" s="285" t="s">
        <v>4822</v>
      </c>
      <c r="E70" s="287" t="s">
        <v>4637</v>
      </c>
      <c r="F70" s="288">
        <v>44483.0</v>
      </c>
      <c r="G70" s="288">
        <v>44473.0</v>
      </c>
      <c r="H70" s="288">
        <v>44473.0</v>
      </c>
      <c r="I70" s="288">
        <v>44490.0</v>
      </c>
      <c r="J70" s="294"/>
      <c r="K70" s="294"/>
      <c r="L70" s="290" t="s">
        <v>4823</v>
      </c>
      <c r="M70" s="285" t="s">
        <v>497</v>
      </c>
      <c r="N70" s="299" t="s">
        <v>2554</v>
      </c>
      <c r="O70" s="300">
        <v>31869.84</v>
      </c>
      <c r="P70" s="198"/>
      <c r="Q70" s="198"/>
      <c r="R70" s="198"/>
      <c r="S70" s="198"/>
      <c r="T70" s="198"/>
      <c r="U70" s="198"/>
      <c r="V70" s="198"/>
      <c r="W70" s="198"/>
      <c r="X70" s="198"/>
      <c r="Y70" s="198"/>
      <c r="Z70" s="198"/>
    </row>
    <row r="71" ht="54.0" customHeight="1">
      <c r="A71" s="284">
        <v>35632.0</v>
      </c>
      <c r="B71" s="285" t="s">
        <v>25</v>
      </c>
      <c r="C71" s="299">
        <v>1760.0</v>
      </c>
      <c r="D71" s="285" t="s">
        <v>4824</v>
      </c>
      <c r="E71" s="287" t="s">
        <v>3812</v>
      </c>
      <c r="F71" s="288">
        <v>44482.0</v>
      </c>
      <c r="G71" s="288">
        <v>44466.0</v>
      </c>
      <c r="H71" s="288">
        <v>44466.0</v>
      </c>
      <c r="I71" s="288">
        <v>44490.0</v>
      </c>
      <c r="J71" s="294"/>
      <c r="K71" s="294"/>
      <c r="L71" s="290" t="s">
        <v>4825</v>
      </c>
      <c r="M71" s="285" t="s">
        <v>497</v>
      </c>
      <c r="N71" s="299" t="s">
        <v>4662</v>
      </c>
      <c r="O71" s="300">
        <v>102860.08</v>
      </c>
      <c r="P71" s="198"/>
      <c r="Q71" s="198"/>
      <c r="R71" s="198"/>
      <c r="S71" s="198"/>
      <c r="T71" s="198"/>
      <c r="U71" s="198"/>
      <c r="V71" s="198"/>
      <c r="W71" s="198"/>
      <c r="X71" s="198"/>
      <c r="Y71" s="198"/>
      <c r="Z71" s="198"/>
    </row>
    <row r="72" ht="54.0" customHeight="1">
      <c r="A72" s="284">
        <v>35707.0</v>
      </c>
      <c r="B72" s="285" t="s">
        <v>25</v>
      </c>
      <c r="C72" s="299">
        <v>1290.0</v>
      </c>
      <c r="D72" s="285" t="s">
        <v>4826</v>
      </c>
      <c r="E72" s="287" t="s">
        <v>4827</v>
      </c>
      <c r="F72" s="288">
        <v>44481.0</v>
      </c>
      <c r="G72" s="288">
        <v>44477.0</v>
      </c>
      <c r="H72" s="288">
        <v>44477.0</v>
      </c>
      <c r="I72" s="288">
        <v>44496.0</v>
      </c>
      <c r="J72" s="294"/>
      <c r="K72" s="294"/>
      <c r="L72" s="290" t="s">
        <v>4828</v>
      </c>
      <c r="M72" s="285" t="s">
        <v>497</v>
      </c>
      <c r="N72" s="299" t="s">
        <v>2554</v>
      </c>
      <c r="O72" s="300">
        <v>44249.58</v>
      </c>
      <c r="P72" s="198"/>
      <c r="Q72" s="198"/>
      <c r="R72" s="198"/>
      <c r="S72" s="198"/>
      <c r="T72" s="198"/>
      <c r="U72" s="198"/>
      <c r="V72" s="198"/>
      <c r="W72" s="198"/>
      <c r="X72" s="198"/>
      <c r="Y72" s="198"/>
      <c r="Z72" s="198"/>
    </row>
    <row r="73" ht="54.0" customHeight="1">
      <c r="A73" s="284">
        <v>35387.0</v>
      </c>
      <c r="B73" s="285" t="s">
        <v>25</v>
      </c>
      <c r="C73" s="299">
        <v>2100.0</v>
      </c>
      <c r="D73" s="285" t="s">
        <v>4829</v>
      </c>
      <c r="E73" s="287" t="s">
        <v>4637</v>
      </c>
      <c r="F73" s="288">
        <v>44479.0</v>
      </c>
      <c r="G73" s="288">
        <v>44466.0</v>
      </c>
      <c r="H73" s="288">
        <v>44466.0</v>
      </c>
      <c r="I73" s="288">
        <v>44495.0</v>
      </c>
      <c r="J73" s="294"/>
      <c r="K73" s="294"/>
      <c r="L73" s="290" t="s">
        <v>4830</v>
      </c>
      <c r="M73" s="285" t="s">
        <v>497</v>
      </c>
      <c r="N73" s="299" t="s">
        <v>2554</v>
      </c>
      <c r="O73" s="300">
        <v>28812.0</v>
      </c>
      <c r="P73" s="198"/>
      <c r="Q73" s="198"/>
      <c r="R73" s="198"/>
      <c r="S73" s="198"/>
      <c r="T73" s="198"/>
      <c r="U73" s="198"/>
      <c r="V73" s="198"/>
      <c r="W73" s="198"/>
      <c r="X73" s="198"/>
      <c r="Y73" s="198"/>
      <c r="Z73" s="198"/>
    </row>
    <row r="74" ht="54.0" customHeight="1">
      <c r="A74" s="284">
        <v>35396.0</v>
      </c>
      <c r="B74" s="285" t="s">
        <v>715</v>
      </c>
      <c r="C74" s="299">
        <v>1160.0</v>
      </c>
      <c r="D74" s="285" t="s">
        <v>4831</v>
      </c>
      <c r="E74" s="287" t="s">
        <v>4637</v>
      </c>
      <c r="F74" s="288">
        <v>44478.0</v>
      </c>
      <c r="G74" s="288">
        <v>44473.0</v>
      </c>
      <c r="H74" s="288">
        <v>44473.0</v>
      </c>
      <c r="I74" s="288">
        <v>44483.0</v>
      </c>
      <c r="J74" s="294"/>
      <c r="K74" s="294"/>
      <c r="L74" s="290" t="s">
        <v>4832</v>
      </c>
      <c r="M74" s="285" t="s">
        <v>497</v>
      </c>
      <c r="N74" s="299" t="s">
        <v>2554</v>
      </c>
      <c r="O74" s="300">
        <v>31869.84</v>
      </c>
      <c r="P74" s="198"/>
      <c r="Q74" s="198"/>
      <c r="R74" s="198"/>
      <c r="S74" s="198"/>
      <c r="T74" s="198"/>
      <c r="U74" s="198"/>
      <c r="V74" s="198"/>
      <c r="W74" s="198"/>
      <c r="X74" s="198"/>
      <c r="Y74" s="198"/>
      <c r="Z74" s="198"/>
    </row>
    <row r="75" ht="54.0" customHeight="1">
      <c r="A75" s="284">
        <v>35393.0</v>
      </c>
      <c r="B75" s="285" t="s">
        <v>715</v>
      </c>
      <c r="C75" s="299">
        <v>3000.0</v>
      </c>
      <c r="D75" s="285" t="s">
        <v>4833</v>
      </c>
      <c r="E75" s="287" t="s">
        <v>4690</v>
      </c>
      <c r="F75" s="288">
        <v>44478.0</v>
      </c>
      <c r="G75" s="288">
        <v>44473.0</v>
      </c>
      <c r="H75" s="288">
        <v>44473.0</v>
      </c>
      <c r="I75" s="288">
        <v>44483.0</v>
      </c>
      <c r="J75" s="294"/>
      <c r="K75" s="294"/>
      <c r="L75" s="290" t="s">
        <v>4834</v>
      </c>
      <c r="M75" s="285" t="s">
        <v>497</v>
      </c>
      <c r="N75" s="299" t="s">
        <v>2554</v>
      </c>
      <c r="O75" s="300">
        <v>20610.0</v>
      </c>
      <c r="P75" s="198"/>
      <c r="Q75" s="198"/>
      <c r="R75" s="198"/>
      <c r="S75" s="198"/>
      <c r="T75" s="198"/>
      <c r="U75" s="198"/>
      <c r="V75" s="198"/>
      <c r="W75" s="198"/>
      <c r="X75" s="198"/>
      <c r="Y75" s="198"/>
      <c r="Z75" s="198"/>
    </row>
    <row r="76" ht="54.0" customHeight="1">
      <c r="A76" s="284">
        <v>35623.0</v>
      </c>
      <c r="B76" s="285" t="s">
        <v>715</v>
      </c>
      <c r="C76" s="285">
        <v>1796.0</v>
      </c>
      <c r="D76" s="285" t="s">
        <v>4835</v>
      </c>
      <c r="E76" s="287" t="s">
        <v>3812</v>
      </c>
      <c r="F76" s="288">
        <v>44475.0</v>
      </c>
      <c r="G76" s="288">
        <v>44460.0</v>
      </c>
      <c r="H76" s="288">
        <v>44460.0</v>
      </c>
      <c r="I76" s="288">
        <v>44477.0</v>
      </c>
      <c r="J76" s="294"/>
      <c r="K76" s="294"/>
      <c r="L76" s="290" t="s">
        <v>4836</v>
      </c>
      <c r="M76" s="285" t="s">
        <v>497</v>
      </c>
      <c r="N76" s="299" t="s">
        <v>4662</v>
      </c>
      <c r="O76" s="300">
        <v>108108.67</v>
      </c>
      <c r="P76" s="198"/>
      <c r="Q76" s="198"/>
      <c r="R76" s="198"/>
      <c r="S76" s="198"/>
      <c r="T76" s="198"/>
      <c r="U76" s="198"/>
      <c r="V76" s="198"/>
      <c r="W76" s="198"/>
      <c r="X76" s="198"/>
      <c r="Y76" s="198"/>
      <c r="Z76" s="198"/>
    </row>
    <row r="77" ht="54.0" customHeight="1">
      <c r="A77" s="284">
        <v>35838.0</v>
      </c>
      <c r="B77" s="285" t="s">
        <v>715</v>
      </c>
      <c r="C77" s="299">
        <v>930.0</v>
      </c>
      <c r="D77" s="285" t="s">
        <v>4837</v>
      </c>
      <c r="E77" s="287" t="s">
        <v>4295</v>
      </c>
      <c r="F77" s="288">
        <v>44473.0</v>
      </c>
      <c r="G77" s="288">
        <v>44459.0</v>
      </c>
      <c r="H77" s="288">
        <v>44459.0</v>
      </c>
      <c r="I77" s="288">
        <v>44480.0</v>
      </c>
      <c r="J77" s="294"/>
      <c r="K77" s="294"/>
      <c r="L77" s="290" t="s">
        <v>4838</v>
      </c>
      <c r="M77" s="285" t="s">
        <v>4635</v>
      </c>
      <c r="N77" s="299" t="s">
        <v>2621</v>
      </c>
      <c r="O77" s="300">
        <v>55977.2</v>
      </c>
      <c r="P77" s="198"/>
      <c r="Q77" s="198"/>
      <c r="R77" s="198"/>
      <c r="S77" s="198"/>
      <c r="T77" s="198"/>
      <c r="U77" s="198"/>
      <c r="V77" s="198"/>
      <c r="W77" s="198"/>
      <c r="X77" s="198"/>
      <c r="Y77" s="198"/>
      <c r="Z77" s="198"/>
    </row>
    <row r="78" ht="54.0" customHeight="1">
      <c r="A78" s="285">
        <v>35595.0</v>
      </c>
      <c r="B78" s="285" t="s">
        <v>21</v>
      </c>
      <c r="C78" s="299">
        <v>1875.0</v>
      </c>
      <c r="D78" s="285" t="s">
        <v>4839</v>
      </c>
      <c r="E78" s="287" t="s">
        <v>4840</v>
      </c>
      <c r="F78" s="288">
        <v>44471.0</v>
      </c>
      <c r="G78" s="285" t="s">
        <v>4841</v>
      </c>
      <c r="H78" s="285" t="s">
        <v>4841</v>
      </c>
      <c r="I78" s="288">
        <v>44480.0</v>
      </c>
      <c r="J78" s="294"/>
      <c r="K78" s="294"/>
      <c r="L78" s="290" t="s">
        <v>4842</v>
      </c>
      <c r="M78" s="285" t="s">
        <v>4841</v>
      </c>
      <c r="N78" s="299" t="s">
        <v>4841</v>
      </c>
      <c r="O78" s="300" t="s">
        <v>4841</v>
      </c>
      <c r="P78" s="198"/>
      <c r="Q78" s="198"/>
      <c r="R78" s="198"/>
      <c r="S78" s="198"/>
      <c r="T78" s="198"/>
      <c r="U78" s="198"/>
      <c r="V78" s="198"/>
      <c r="W78" s="198"/>
      <c r="X78" s="198"/>
      <c r="Y78" s="198"/>
      <c r="Z78" s="198"/>
    </row>
    <row r="79" ht="54.0" customHeight="1">
      <c r="A79" s="285">
        <v>35749.0</v>
      </c>
      <c r="B79" s="285" t="s">
        <v>25</v>
      </c>
      <c r="C79" s="299">
        <v>90.0</v>
      </c>
      <c r="D79" s="285" t="s">
        <v>4841</v>
      </c>
      <c r="E79" s="287" t="s">
        <v>4843</v>
      </c>
      <c r="F79" s="288">
        <v>44469.0</v>
      </c>
      <c r="G79" s="285" t="s">
        <v>4841</v>
      </c>
      <c r="H79" s="285" t="s">
        <v>4841</v>
      </c>
      <c r="I79" s="288">
        <v>44516.0</v>
      </c>
      <c r="J79" s="294"/>
      <c r="K79" s="294"/>
      <c r="L79" s="290" t="s">
        <v>4844</v>
      </c>
      <c r="M79" s="285" t="s">
        <v>4841</v>
      </c>
      <c r="N79" s="299" t="s">
        <v>4841</v>
      </c>
      <c r="O79" s="300" t="s">
        <v>4841</v>
      </c>
      <c r="P79" s="198"/>
      <c r="Q79" s="198"/>
      <c r="R79" s="198"/>
      <c r="S79" s="198"/>
      <c r="T79" s="198"/>
      <c r="U79" s="198"/>
      <c r="V79" s="198"/>
      <c r="W79" s="198"/>
      <c r="X79" s="198"/>
      <c r="Y79" s="198"/>
      <c r="Z79" s="198"/>
    </row>
    <row r="80" ht="54.0" customHeight="1">
      <c r="A80" s="285" t="s">
        <v>4845</v>
      </c>
      <c r="B80" s="285" t="s">
        <v>21</v>
      </c>
      <c r="C80" s="299" t="s">
        <v>4846</v>
      </c>
      <c r="D80" s="285" t="s">
        <v>4847</v>
      </c>
      <c r="E80" s="287" t="s">
        <v>4848</v>
      </c>
      <c r="F80" s="288">
        <v>44469.0</v>
      </c>
      <c r="G80" s="285" t="s">
        <v>4841</v>
      </c>
      <c r="H80" s="285" t="s">
        <v>4841</v>
      </c>
      <c r="I80" s="288">
        <v>44477.0</v>
      </c>
      <c r="J80" s="294"/>
      <c r="K80" s="294"/>
      <c r="L80" s="290" t="s">
        <v>4849</v>
      </c>
      <c r="M80" s="285" t="s">
        <v>4841</v>
      </c>
      <c r="N80" s="286" t="s">
        <v>4841</v>
      </c>
      <c r="O80" s="300" t="s">
        <v>4841</v>
      </c>
      <c r="P80" s="198"/>
      <c r="Q80" s="198"/>
      <c r="R80" s="198"/>
      <c r="S80" s="198"/>
      <c r="T80" s="198"/>
      <c r="U80" s="198"/>
      <c r="V80" s="198"/>
      <c r="W80" s="198"/>
      <c r="X80" s="198"/>
      <c r="Y80" s="198"/>
      <c r="Z80" s="198"/>
    </row>
    <row r="81" ht="54.0" customHeight="1">
      <c r="A81" s="284">
        <v>35683.0</v>
      </c>
      <c r="B81" s="285" t="s">
        <v>25</v>
      </c>
      <c r="C81" s="299">
        <v>995.0</v>
      </c>
      <c r="D81" s="285" t="s">
        <v>4850</v>
      </c>
      <c r="E81" s="287" t="s">
        <v>4851</v>
      </c>
      <c r="F81" s="288">
        <v>44469.0</v>
      </c>
      <c r="G81" s="288">
        <v>44459.0</v>
      </c>
      <c r="H81" s="288">
        <v>44459.0</v>
      </c>
      <c r="I81" s="288">
        <v>44483.0</v>
      </c>
      <c r="J81" s="294"/>
      <c r="K81" s="294"/>
      <c r="L81" s="290" t="s">
        <v>4852</v>
      </c>
      <c r="M81" s="285" t="s">
        <v>497</v>
      </c>
      <c r="N81" s="299" t="s">
        <v>4853</v>
      </c>
      <c r="O81" s="300">
        <v>33073.8</v>
      </c>
      <c r="P81" s="198"/>
      <c r="Q81" s="198"/>
      <c r="R81" s="198"/>
      <c r="S81" s="198"/>
      <c r="T81" s="198"/>
      <c r="U81" s="198"/>
      <c r="V81" s="198"/>
      <c r="W81" s="198"/>
      <c r="X81" s="198"/>
      <c r="Y81" s="198"/>
      <c r="Z81" s="198"/>
    </row>
    <row r="82" ht="54.0" customHeight="1">
      <c r="A82" s="285" t="s">
        <v>4845</v>
      </c>
      <c r="B82" s="285" t="s">
        <v>21</v>
      </c>
      <c r="C82" s="299" t="s">
        <v>4854</v>
      </c>
      <c r="D82" s="285" t="s">
        <v>4855</v>
      </c>
      <c r="E82" s="287" t="s">
        <v>4848</v>
      </c>
      <c r="F82" s="288">
        <v>44469.0</v>
      </c>
      <c r="G82" s="285" t="s">
        <v>4841</v>
      </c>
      <c r="H82" s="285" t="s">
        <v>4841</v>
      </c>
      <c r="I82" s="288">
        <v>44475.0</v>
      </c>
      <c r="J82" s="294"/>
      <c r="K82" s="294"/>
      <c r="L82" s="290" t="s">
        <v>4856</v>
      </c>
      <c r="M82" s="285" t="s">
        <v>4841</v>
      </c>
      <c r="N82" s="299" t="s">
        <v>4841</v>
      </c>
      <c r="O82" s="300" t="s">
        <v>4841</v>
      </c>
      <c r="P82" s="198"/>
      <c r="Q82" s="198"/>
      <c r="R82" s="198"/>
      <c r="S82" s="198"/>
      <c r="T82" s="198"/>
      <c r="U82" s="198"/>
      <c r="V82" s="198"/>
      <c r="W82" s="198"/>
      <c r="X82" s="198"/>
      <c r="Y82" s="198"/>
      <c r="Z82" s="198"/>
    </row>
    <row r="83" ht="54.0" customHeight="1">
      <c r="A83" s="284" t="s">
        <v>4857</v>
      </c>
      <c r="B83" s="285" t="s">
        <v>25</v>
      </c>
      <c r="C83" s="299">
        <v>670.0</v>
      </c>
      <c r="D83" s="285" t="s">
        <v>4858</v>
      </c>
      <c r="E83" s="287" t="s">
        <v>4859</v>
      </c>
      <c r="F83" s="288">
        <v>44467.0</v>
      </c>
      <c r="G83" s="288">
        <v>44463.0</v>
      </c>
      <c r="H83" s="288">
        <v>44463.0</v>
      </c>
      <c r="I83" s="288">
        <v>44524.0</v>
      </c>
      <c r="J83" s="294"/>
      <c r="K83" s="294"/>
      <c r="L83" s="290" t="s">
        <v>4860</v>
      </c>
      <c r="M83" s="285" t="s">
        <v>4745</v>
      </c>
      <c r="N83" s="299" t="s">
        <v>4746</v>
      </c>
      <c r="O83" s="300">
        <v>184060.0</v>
      </c>
      <c r="P83" s="198"/>
      <c r="Q83" s="198"/>
      <c r="R83" s="198"/>
      <c r="S83" s="198"/>
      <c r="T83" s="198"/>
      <c r="U83" s="198"/>
      <c r="V83" s="198"/>
      <c r="W83" s="198"/>
      <c r="X83" s="198"/>
      <c r="Y83" s="198"/>
      <c r="Z83" s="198"/>
    </row>
    <row r="84" ht="54.0" customHeight="1">
      <c r="A84" s="284">
        <v>35467.0</v>
      </c>
      <c r="B84" s="285" t="s">
        <v>21</v>
      </c>
      <c r="C84" s="299">
        <v>1290.0</v>
      </c>
      <c r="D84" s="285" t="s">
        <v>4861</v>
      </c>
      <c r="E84" s="287" t="s">
        <v>4862</v>
      </c>
      <c r="F84" s="288">
        <v>44467.0</v>
      </c>
      <c r="G84" s="288">
        <v>44462.0</v>
      </c>
      <c r="H84" s="288">
        <v>44462.0</v>
      </c>
      <c r="I84" s="288">
        <v>44473.0</v>
      </c>
      <c r="J84" s="294"/>
      <c r="K84" s="294"/>
      <c r="L84" s="290" t="s">
        <v>4863</v>
      </c>
      <c r="M84" s="285" t="s">
        <v>497</v>
      </c>
      <c r="N84" s="299" t="s">
        <v>2554</v>
      </c>
      <c r="O84" s="300">
        <v>44584.38</v>
      </c>
      <c r="P84" s="198"/>
      <c r="Q84" s="198"/>
      <c r="R84" s="198"/>
      <c r="S84" s="198"/>
      <c r="T84" s="198"/>
      <c r="U84" s="198"/>
      <c r="V84" s="198"/>
      <c r="W84" s="198"/>
      <c r="X84" s="198"/>
      <c r="Y84" s="198"/>
      <c r="Z84" s="198"/>
    </row>
    <row r="85" ht="54.0" customHeight="1">
      <c r="A85" s="284">
        <v>35468.0</v>
      </c>
      <c r="B85" s="285" t="s">
        <v>21</v>
      </c>
      <c r="C85" s="299">
        <v>2100.0</v>
      </c>
      <c r="D85" s="285" t="s">
        <v>4864</v>
      </c>
      <c r="E85" s="287" t="s">
        <v>4763</v>
      </c>
      <c r="F85" s="288">
        <v>44467.0</v>
      </c>
      <c r="G85" s="288">
        <v>44462.0</v>
      </c>
      <c r="H85" s="288">
        <v>44462.0</v>
      </c>
      <c r="I85" s="288">
        <v>44474.0</v>
      </c>
      <c r="J85" s="294"/>
      <c r="K85" s="294"/>
      <c r="L85" s="290" t="s">
        <v>4865</v>
      </c>
      <c r="M85" s="285" t="s">
        <v>497</v>
      </c>
      <c r="N85" s="299" t="s">
        <v>2554</v>
      </c>
      <c r="O85" s="300">
        <v>0.0</v>
      </c>
      <c r="P85" s="198"/>
      <c r="Q85" s="198"/>
      <c r="R85" s="198"/>
      <c r="S85" s="198"/>
      <c r="T85" s="198"/>
      <c r="U85" s="198"/>
      <c r="V85" s="198"/>
      <c r="W85" s="198"/>
      <c r="X85" s="198"/>
      <c r="Y85" s="198"/>
      <c r="Z85" s="198"/>
    </row>
    <row r="86" ht="54.0" customHeight="1">
      <c r="A86" s="284">
        <v>35621.0</v>
      </c>
      <c r="B86" s="285" t="s">
        <v>25</v>
      </c>
      <c r="C86" s="299">
        <v>1548.0</v>
      </c>
      <c r="D86" s="285" t="s">
        <v>4866</v>
      </c>
      <c r="E86" s="287" t="s">
        <v>3812</v>
      </c>
      <c r="F86" s="288">
        <v>44466.0</v>
      </c>
      <c r="G86" s="288">
        <v>44477.0</v>
      </c>
      <c r="H86" s="288">
        <v>44477.0</v>
      </c>
      <c r="I86" s="288">
        <v>44480.0</v>
      </c>
      <c r="J86" s="294"/>
      <c r="K86" s="294"/>
      <c r="L86" s="290" t="s">
        <v>4867</v>
      </c>
      <c r="M86" s="285" t="s">
        <v>497</v>
      </c>
      <c r="N86" s="299" t="s">
        <v>4662</v>
      </c>
      <c r="O86" s="300">
        <v>96831.72</v>
      </c>
      <c r="P86" s="198"/>
      <c r="Q86" s="198"/>
      <c r="R86" s="198"/>
      <c r="S86" s="198"/>
      <c r="T86" s="198"/>
      <c r="U86" s="198"/>
      <c r="V86" s="198"/>
      <c r="W86" s="198"/>
      <c r="X86" s="198"/>
      <c r="Y86" s="198"/>
      <c r="Z86" s="198"/>
    </row>
    <row r="87" ht="54.0" customHeight="1">
      <c r="A87" s="284">
        <v>35386.0</v>
      </c>
      <c r="B87" s="285" t="s">
        <v>715</v>
      </c>
      <c r="C87" s="299">
        <v>2100.0</v>
      </c>
      <c r="D87" s="285" t="s">
        <v>4868</v>
      </c>
      <c r="E87" s="287" t="s">
        <v>4637</v>
      </c>
      <c r="F87" s="288">
        <v>44463.0</v>
      </c>
      <c r="G87" s="288">
        <v>44459.0</v>
      </c>
      <c r="H87" s="288">
        <v>44459.0</v>
      </c>
      <c r="I87" s="288">
        <v>44469.0</v>
      </c>
      <c r="J87" s="294"/>
      <c r="K87" s="294"/>
      <c r="L87" s="290" t="s">
        <v>4869</v>
      </c>
      <c r="M87" s="285" t="s">
        <v>497</v>
      </c>
      <c r="N87" s="299" t="s">
        <v>2554</v>
      </c>
      <c r="O87" s="300">
        <v>28812.0</v>
      </c>
      <c r="P87" s="198"/>
      <c r="Q87" s="198"/>
      <c r="R87" s="198"/>
      <c r="S87" s="198"/>
      <c r="T87" s="198"/>
      <c r="U87" s="198"/>
      <c r="V87" s="198"/>
      <c r="W87" s="198"/>
      <c r="X87" s="198"/>
      <c r="Y87" s="198"/>
      <c r="Z87" s="198"/>
    </row>
    <row r="88" ht="54.0" customHeight="1">
      <c r="A88" s="284">
        <v>35746.0</v>
      </c>
      <c r="B88" s="285" t="s">
        <v>715</v>
      </c>
      <c r="C88" s="299">
        <v>1180.0</v>
      </c>
      <c r="D88" s="367" t="s">
        <v>4870</v>
      </c>
      <c r="E88" s="287" t="s">
        <v>4871</v>
      </c>
      <c r="F88" s="288">
        <v>44461.0</v>
      </c>
      <c r="G88" s="288">
        <v>44454.0</v>
      </c>
      <c r="H88" s="288">
        <v>44462.0</v>
      </c>
      <c r="I88" s="288">
        <v>44468.0</v>
      </c>
      <c r="J88" s="294"/>
      <c r="K88" s="294"/>
      <c r="L88" s="290" t="s">
        <v>4872</v>
      </c>
      <c r="M88" s="285" t="s">
        <v>4635</v>
      </c>
      <c r="N88" s="299" t="s">
        <v>2621</v>
      </c>
      <c r="O88" s="300">
        <v>137233.0</v>
      </c>
      <c r="P88" s="198"/>
      <c r="Q88" s="198"/>
      <c r="R88" s="198"/>
      <c r="S88" s="198"/>
      <c r="T88" s="198"/>
      <c r="U88" s="198"/>
      <c r="V88" s="198"/>
      <c r="W88" s="198"/>
      <c r="X88" s="198"/>
      <c r="Y88" s="198"/>
      <c r="Z88" s="198"/>
    </row>
    <row r="89" ht="54.0" customHeight="1">
      <c r="A89" s="285">
        <v>35750.0</v>
      </c>
      <c r="B89" s="285" t="s">
        <v>715</v>
      </c>
      <c r="C89" s="299">
        <v>45.0</v>
      </c>
      <c r="D89" s="285" t="s">
        <v>4841</v>
      </c>
      <c r="E89" s="287" t="s">
        <v>4843</v>
      </c>
      <c r="F89" s="288">
        <v>44459.0</v>
      </c>
      <c r="G89" s="285" t="s">
        <v>4841</v>
      </c>
      <c r="H89" s="285" t="s">
        <v>4841</v>
      </c>
      <c r="I89" s="288">
        <v>44488.0</v>
      </c>
      <c r="J89" s="294"/>
      <c r="K89" s="294"/>
      <c r="L89" s="353" t="s">
        <v>4873</v>
      </c>
      <c r="M89" s="285" t="s">
        <v>497</v>
      </c>
      <c r="N89" s="299" t="s">
        <v>4662</v>
      </c>
      <c r="O89" s="300">
        <v>5783.0</v>
      </c>
      <c r="P89" s="198"/>
      <c r="Q89" s="198"/>
      <c r="R89" s="198"/>
      <c r="S89" s="198"/>
      <c r="T89" s="198"/>
      <c r="U89" s="198"/>
      <c r="V89" s="198"/>
      <c r="W89" s="198"/>
      <c r="X89" s="198"/>
      <c r="Y89" s="198"/>
      <c r="Z89" s="198"/>
    </row>
    <row r="90" ht="54.0" customHeight="1">
      <c r="A90" s="284">
        <v>35262.0</v>
      </c>
      <c r="B90" s="285" t="s">
        <v>21</v>
      </c>
      <c r="C90" s="299">
        <v>810.0</v>
      </c>
      <c r="D90" s="285" t="s">
        <v>4874</v>
      </c>
      <c r="E90" s="287" t="s">
        <v>3740</v>
      </c>
      <c r="F90" s="288">
        <v>44455.0</v>
      </c>
      <c r="G90" s="288">
        <v>44441.0</v>
      </c>
      <c r="H90" s="288">
        <v>44441.0</v>
      </c>
      <c r="I90" s="288">
        <v>44461.0</v>
      </c>
      <c r="J90" s="294"/>
      <c r="K90" s="294"/>
      <c r="L90" s="290" t="s">
        <v>4875</v>
      </c>
      <c r="M90" s="285" t="s">
        <v>497</v>
      </c>
      <c r="N90" s="299" t="s">
        <v>4711</v>
      </c>
      <c r="O90" s="300">
        <v>17176.37</v>
      </c>
      <c r="P90" s="198"/>
      <c r="Q90" s="198"/>
      <c r="R90" s="198"/>
      <c r="S90" s="198"/>
      <c r="T90" s="198"/>
      <c r="U90" s="198"/>
      <c r="V90" s="198"/>
      <c r="W90" s="198"/>
      <c r="X90" s="198"/>
      <c r="Y90" s="198"/>
      <c r="Z90" s="198"/>
    </row>
    <row r="91" ht="54.0" customHeight="1">
      <c r="A91" s="284">
        <v>35899.0</v>
      </c>
      <c r="B91" s="285" t="s">
        <v>715</v>
      </c>
      <c r="C91" s="285">
        <v>944.0</v>
      </c>
      <c r="D91" s="285" t="s">
        <v>4876</v>
      </c>
      <c r="E91" s="287" t="s">
        <v>4877</v>
      </c>
      <c r="F91" s="288">
        <v>44455.0</v>
      </c>
      <c r="G91" s="288">
        <v>44446.0</v>
      </c>
      <c r="H91" s="288">
        <v>44446.0</v>
      </c>
      <c r="I91" s="288">
        <v>44463.0</v>
      </c>
      <c r="J91" s="294"/>
      <c r="K91" s="294"/>
      <c r="L91" s="290" t="s">
        <v>4878</v>
      </c>
      <c r="M91" s="285" t="s">
        <v>4635</v>
      </c>
      <c r="N91" s="299" t="s">
        <v>2621</v>
      </c>
      <c r="O91" s="300">
        <v>46294.8</v>
      </c>
      <c r="P91" s="198"/>
      <c r="Q91" s="198"/>
      <c r="R91" s="198"/>
      <c r="S91" s="198"/>
      <c r="T91" s="198"/>
      <c r="U91" s="198"/>
      <c r="V91" s="198"/>
      <c r="W91" s="198"/>
      <c r="X91" s="198"/>
      <c r="Y91" s="198"/>
      <c r="Z91" s="198"/>
    </row>
    <row r="92" ht="54.0" customHeight="1">
      <c r="A92" s="370">
        <v>35312.0</v>
      </c>
      <c r="B92" s="285" t="s">
        <v>25</v>
      </c>
      <c r="C92" s="285">
        <v>1930.0</v>
      </c>
      <c r="D92" s="285" t="s">
        <v>4879</v>
      </c>
      <c r="E92" s="287" t="s">
        <v>4670</v>
      </c>
      <c r="F92" s="288">
        <v>44454.0</v>
      </c>
      <c r="G92" s="288">
        <v>44453.0</v>
      </c>
      <c r="H92" s="288">
        <v>44453.0</v>
      </c>
      <c r="I92" s="288">
        <v>44463.0</v>
      </c>
      <c r="J92" s="294"/>
      <c r="K92" s="294"/>
      <c r="L92" s="290" t="s">
        <v>4880</v>
      </c>
      <c r="M92" s="285" t="s">
        <v>4745</v>
      </c>
      <c r="N92" s="299" t="s">
        <v>2604</v>
      </c>
      <c r="O92" s="300">
        <v>68158.0</v>
      </c>
      <c r="P92" s="198"/>
      <c r="Q92" s="198"/>
      <c r="R92" s="198"/>
      <c r="S92" s="198"/>
      <c r="T92" s="198"/>
      <c r="U92" s="198"/>
      <c r="V92" s="198"/>
      <c r="W92" s="198"/>
      <c r="X92" s="198"/>
      <c r="Y92" s="198"/>
      <c r="Z92" s="198"/>
    </row>
    <row r="93" ht="54.0" customHeight="1">
      <c r="A93" s="284">
        <v>35812.0</v>
      </c>
      <c r="B93" s="285" t="s">
        <v>715</v>
      </c>
      <c r="C93" s="299">
        <v>1074.0</v>
      </c>
      <c r="D93" s="285" t="s">
        <v>4881</v>
      </c>
      <c r="E93" s="287" t="s">
        <v>4882</v>
      </c>
      <c r="F93" s="288">
        <v>44454.0</v>
      </c>
      <c r="G93" s="288">
        <v>44446.0</v>
      </c>
      <c r="H93" s="288">
        <v>44446.0</v>
      </c>
      <c r="I93" s="288">
        <v>44461.0</v>
      </c>
      <c r="J93" s="294"/>
      <c r="K93" s="294"/>
      <c r="L93" s="290" t="s">
        <v>4883</v>
      </c>
      <c r="M93" s="285" t="s">
        <v>4635</v>
      </c>
      <c r="N93" s="299" t="s">
        <v>2621</v>
      </c>
      <c r="O93" s="300">
        <v>57953.0</v>
      </c>
      <c r="P93" s="198"/>
      <c r="Q93" s="198"/>
      <c r="R93" s="198"/>
      <c r="S93" s="198"/>
      <c r="T93" s="198"/>
      <c r="U93" s="198"/>
      <c r="V93" s="198"/>
      <c r="W93" s="198"/>
      <c r="X93" s="198"/>
      <c r="Y93" s="198"/>
      <c r="Z93" s="198"/>
    </row>
    <row r="94" ht="54.0" customHeight="1">
      <c r="A94" s="284">
        <v>35866.0</v>
      </c>
      <c r="B94" s="285" t="s">
        <v>21</v>
      </c>
      <c r="C94" s="299">
        <v>1182.0</v>
      </c>
      <c r="D94" s="285" t="s">
        <v>4884</v>
      </c>
      <c r="E94" s="287" t="s">
        <v>4885</v>
      </c>
      <c r="F94" s="288">
        <v>44451.0</v>
      </c>
      <c r="G94" s="288">
        <v>44449.0</v>
      </c>
      <c r="H94" s="288">
        <v>44449.0</v>
      </c>
      <c r="I94" s="288">
        <v>44463.0</v>
      </c>
      <c r="J94" s="294"/>
      <c r="K94" s="294"/>
      <c r="L94" s="290" t="s">
        <v>4886</v>
      </c>
      <c r="M94" s="285" t="s">
        <v>4635</v>
      </c>
      <c r="N94" s="299" t="s">
        <v>2621</v>
      </c>
      <c r="O94" s="300">
        <v>61467.44</v>
      </c>
      <c r="P94" s="198"/>
      <c r="Q94" s="198"/>
      <c r="R94" s="198"/>
      <c r="S94" s="198"/>
      <c r="T94" s="198"/>
      <c r="U94" s="198"/>
      <c r="V94" s="198"/>
      <c r="W94" s="198"/>
      <c r="X94" s="198"/>
      <c r="Y94" s="198"/>
      <c r="Z94" s="198"/>
    </row>
    <row r="95" ht="54.0" customHeight="1">
      <c r="A95" s="284">
        <v>35418.0</v>
      </c>
      <c r="B95" s="285" t="s">
        <v>21</v>
      </c>
      <c r="C95" s="299">
        <v>1729.0</v>
      </c>
      <c r="D95" s="285" t="s">
        <v>4887</v>
      </c>
      <c r="E95" s="287" t="s">
        <v>4804</v>
      </c>
      <c r="F95" s="288">
        <v>44451.0</v>
      </c>
      <c r="G95" s="288">
        <v>44439.0</v>
      </c>
      <c r="H95" s="288">
        <v>44439.0</v>
      </c>
      <c r="I95" s="288">
        <v>44460.0</v>
      </c>
      <c r="J95" s="294"/>
      <c r="K95" s="294"/>
      <c r="L95" s="290" t="s">
        <v>4888</v>
      </c>
      <c r="M95" s="285" t="s">
        <v>497</v>
      </c>
      <c r="N95" s="299" t="s">
        <v>2604</v>
      </c>
      <c r="O95" s="300">
        <v>24467.32</v>
      </c>
      <c r="P95" s="198"/>
      <c r="Q95" s="198"/>
      <c r="R95" s="198"/>
      <c r="S95" s="198"/>
      <c r="T95" s="198"/>
      <c r="U95" s="198"/>
      <c r="V95" s="198"/>
      <c r="W95" s="198"/>
      <c r="X95" s="198"/>
      <c r="Y95" s="198"/>
      <c r="Z95" s="198"/>
    </row>
    <row r="96" ht="54.0" customHeight="1">
      <c r="A96" s="284">
        <v>35388.0</v>
      </c>
      <c r="B96" s="285" t="s">
        <v>21</v>
      </c>
      <c r="C96" s="299">
        <v>3000.0</v>
      </c>
      <c r="D96" s="285" t="s">
        <v>4889</v>
      </c>
      <c r="E96" s="287" t="s">
        <v>4690</v>
      </c>
      <c r="F96" s="288">
        <v>44451.0</v>
      </c>
      <c r="G96" s="288">
        <v>44439.0</v>
      </c>
      <c r="H96" s="288">
        <v>44439.0</v>
      </c>
      <c r="I96" s="288">
        <v>44459.0</v>
      </c>
      <c r="J96" s="294"/>
      <c r="K96" s="294"/>
      <c r="L96" s="290" t="s">
        <v>4890</v>
      </c>
      <c r="M96" s="285" t="s">
        <v>497</v>
      </c>
      <c r="N96" s="299" t="s">
        <v>2554</v>
      </c>
      <c r="O96" s="300">
        <v>20610.0</v>
      </c>
      <c r="P96" s="198"/>
      <c r="Q96" s="198"/>
      <c r="R96" s="198"/>
      <c r="S96" s="198"/>
      <c r="T96" s="198"/>
      <c r="U96" s="198"/>
      <c r="V96" s="198"/>
      <c r="W96" s="198"/>
      <c r="X96" s="198"/>
      <c r="Y96" s="198"/>
      <c r="Z96" s="198"/>
    </row>
    <row r="97" ht="54.0" customHeight="1">
      <c r="A97" s="284">
        <v>35583.0</v>
      </c>
      <c r="B97" s="285" t="s">
        <v>21</v>
      </c>
      <c r="C97" s="299">
        <v>2100.0</v>
      </c>
      <c r="D97" s="285" t="s">
        <v>4891</v>
      </c>
      <c r="E97" s="287" t="s">
        <v>4892</v>
      </c>
      <c r="F97" s="288">
        <v>44451.0</v>
      </c>
      <c r="G97" s="288">
        <v>44439.0</v>
      </c>
      <c r="H97" s="288">
        <v>44439.0</v>
      </c>
      <c r="I97" s="288">
        <v>44462.0</v>
      </c>
      <c r="J97" s="294"/>
      <c r="K97" s="294"/>
      <c r="L97" s="290" t="s">
        <v>4893</v>
      </c>
      <c r="M97" s="285" t="s">
        <v>497</v>
      </c>
      <c r="N97" s="299" t="s">
        <v>2554</v>
      </c>
      <c r="O97" s="300">
        <v>36960.0</v>
      </c>
      <c r="P97" s="198"/>
      <c r="Q97" s="198"/>
      <c r="R97" s="198"/>
      <c r="S97" s="198"/>
      <c r="T97" s="198"/>
      <c r="U97" s="198"/>
      <c r="V97" s="198"/>
      <c r="W97" s="198"/>
      <c r="X97" s="198"/>
      <c r="Y97" s="198"/>
      <c r="Z97" s="198"/>
    </row>
    <row r="98" ht="54.0" customHeight="1">
      <c r="A98" s="284">
        <v>35384.0</v>
      </c>
      <c r="B98" s="285" t="s">
        <v>21</v>
      </c>
      <c r="C98" s="299">
        <v>2100.0</v>
      </c>
      <c r="D98" s="285" t="s">
        <v>4894</v>
      </c>
      <c r="E98" s="287" t="s">
        <v>4637</v>
      </c>
      <c r="F98" s="288">
        <v>44451.0</v>
      </c>
      <c r="G98" s="288">
        <v>44439.0</v>
      </c>
      <c r="H98" s="288">
        <v>44439.0</v>
      </c>
      <c r="I98" s="288">
        <v>44456.0</v>
      </c>
      <c r="J98" s="294"/>
      <c r="K98" s="294"/>
      <c r="L98" s="290" t="s">
        <v>4895</v>
      </c>
      <c r="M98" s="285" t="s">
        <v>497</v>
      </c>
      <c r="N98" s="299" t="s">
        <v>2554</v>
      </c>
      <c r="O98" s="300">
        <v>28812.0</v>
      </c>
      <c r="P98" s="198"/>
      <c r="Q98" s="198"/>
      <c r="R98" s="198"/>
      <c r="S98" s="198"/>
      <c r="T98" s="198"/>
      <c r="U98" s="198"/>
      <c r="V98" s="198"/>
      <c r="W98" s="198"/>
      <c r="X98" s="198"/>
      <c r="Y98" s="198"/>
      <c r="Z98" s="198"/>
    </row>
    <row r="99" ht="54.0" customHeight="1">
      <c r="A99" s="284" t="s">
        <v>4896</v>
      </c>
      <c r="B99" s="285" t="s">
        <v>21</v>
      </c>
      <c r="C99" s="299" t="s">
        <v>3423</v>
      </c>
      <c r="D99" s="285" t="s">
        <v>4897</v>
      </c>
      <c r="E99" s="287" t="s">
        <v>4898</v>
      </c>
      <c r="F99" s="288">
        <v>44451.0</v>
      </c>
      <c r="G99" s="288">
        <v>44449.0</v>
      </c>
      <c r="H99" s="288">
        <v>44459.0</v>
      </c>
      <c r="I99" s="288">
        <v>44463.0</v>
      </c>
      <c r="J99" s="294"/>
      <c r="K99" s="294"/>
      <c r="L99" s="290" t="s">
        <v>4899</v>
      </c>
      <c r="M99" s="285" t="s">
        <v>497</v>
      </c>
      <c r="N99" s="299" t="s">
        <v>4900</v>
      </c>
      <c r="O99" s="300">
        <v>30679.0</v>
      </c>
      <c r="P99" s="198"/>
      <c r="Q99" s="198"/>
      <c r="R99" s="198"/>
      <c r="S99" s="198"/>
      <c r="T99" s="198"/>
      <c r="U99" s="198"/>
      <c r="V99" s="198"/>
      <c r="W99" s="198"/>
      <c r="X99" s="198"/>
      <c r="Y99" s="198"/>
      <c r="Z99" s="198"/>
    </row>
    <row r="100" ht="54.0" customHeight="1">
      <c r="A100" s="284">
        <v>35754.0</v>
      </c>
      <c r="B100" s="285" t="s">
        <v>715</v>
      </c>
      <c r="C100" s="299">
        <v>1130.0</v>
      </c>
      <c r="D100" s="285" t="s">
        <v>4901</v>
      </c>
      <c r="E100" s="287" t="s">
        <v>4902</v>
      </c>
      <c r="F100" s="288">
        <v>44448.0</v>
      </c>
      <c r="G100" s="288">
        <v>44446.0</v>
      </c>
      <c r="H100" s="288">
        <v>44446.0</v>
      </c>
      <c r="I100" s="288">
        <v>44453.0</v>
      </c>
      <c r="J100" s="294"/>
      <c r="K100" s="294"/>
      <c r="L100" s="290" t="s">
        <v>4903</v>
      </c>
      <c r="M100" s="285" t="s">
        <v>4635</v>
      </c>
      <c r="N100" s="299" t="s">
        <v>2621</v>
      </c>
      <c r="O100" s="300">
        <v>110348.5</v>
      </c>
      <c r="P100" s="198"/>
      <c r="Q100" s="198"/>
      <c r="R100" s="198"/>
      <c r="S100" s="198"/>
      <c r="T100" s="198"/>
      <c r="U100" s="198"/>
      <c r="V100" s="198"/>
      <c r="W100" s="198"/>
      <c r="X100" s="198"/>
      <c r="Y100" s="198"/>
      <c r="Z100" s="198"/>
    </row>
    <row r="101" ht="54.0" customHeight="1">
      <c r="A101" s="284">
        <v>35459.0</v>
      </c>
      <c r="B101" s="285" t="s">
        <v>25</v>
      </c>
      <c r="C101" s="299">
        <v>2111.0</v>
      </c>
      <c r="D101" s="375" t="s">
        <v>4904</v>
      </c>
      <c r="E101" s="287" t="s">
        <v>4905</v>
      </c>
      <c r="F101" s="288">
        <v>44446.0</v>
      </c>
      <c r="G101" s="288">
        <v>44435.0</v>
      </c>
      <c r="H101" s="288">
        <v>44435.0</v>
      </c>
      <c r="I101" s="288">
        <v>44455.0</v>
      </c>
      <c r="J101" s="285"/>
      <c r="K101" s="294"/>
      <c r="L101" s="290" t="s">
        <v>4906</v>
      </c>
      <c r="M101" s="285" t="s">
        <v>497</v>
      </c>
      <c r="N101" s="299" t="s">
        <v>2554</v>
      </c>
      <c r="O101" s="300">
        <v>36768.6</v>
      </c>
      <c r="P101" s="198"/>
      <c r="Q101" s="198"/>
      <c r="R101" s="198"/>
      <c r="S101" s="198"/>
      <c r="T101" s="198"/>
      <c r="U101" s="198"/>
      <c r="V101" s="198"/>
      <c r="W101" s="198"/>
      <c r="X101" s="198"/>
      <c r="Y101" s="198"/>
      <c r="Z101" s="198"/>
    </row>
    <row r="102" ht="54.0" customHeight="1">
      <c r="A102" s="284">
        <v>35203.0</v>
      </c>
      <c r="B102" s="285" t="s">
        <v>4907</v>
      </c>
      <c r="C102" s="285" t="s">
        <v>4908</v>
      </c>
      <c r="D102" s="367" t="s">
        <v>4909</v>
      </c>
      <c r="E102" s="287" t="s">
        <v>4910</v>
      </c>
      <c r="F102" s="288">
        <v>44446.0</v>
      </c>
      <c r="G102" s="288">
        <v>44482.0</v>
      </c>
      <c r="H102" s="288">
        <v>44482.0</v>
      </c>
      <c r="I102" s="288">
        <v>44487.0</v>
      </c>
      <c r="J102" s="376"/>
      <c r="K102" s="294"/>
      <c r="L102" s="290" t="s">
        <v>4911</v>
      </c>
      <c r="M102" s="285" t="s">
        <v>4635</v>
      </c>
      <c r="N102" s="299" t="s">
        <v>4912</v>
      </c>
      <c r="O102" s="300">
        <v>77415.0</v>
      </c>
      <c r="P102" s="198"/>
      <c r="Q102" s="198"/>
      <c r="R102" s="198"/>
      <c r="S102" s="198"/>
      <c r="T102" s="198"/>
      <c r="U102" s="198"/>
      <c r="V102" s="198"/>
      <c r="W102" s="198"/>
      <c r="X102" s="198"/>
      <c r="Y102" s="198"/>
      <c r="Z102" s="198"/>
    </row>
    <row r="103" ht="56.25" customHeight="1">
      <c r="A103" s="284">
        <v>35457.0</v>
      </c>
      <c r="B103" s="285" t="s">
        <v>21</v>
      </c>
      <c r="C103" s="299">
        <v>2430.0</v>
      </c>
      <c r="D103" s="285" t="s">
        <v>4913</v>
      </c>
      <c r="E103" s="287" t="s">
        <v>4914</v>
      </c>
      <c r="F103" s="288">
        <v>44446.0</v>
      </c>
      <c r="G103" s="288">
        <v>44433.0</v>
      </c>
      <c r="H103" s="288">
        <v>44433.0</v>
      </c>
      <c r="I103" s="369">
        <v>44453.0</v>
      </c>
      <c r="J103" s="294"/>
      <c r="K103" s="294"/>
      <c r="L103" s="290" t="s">
        <v>4915</v>
      </c>
      <c r="M103" s="285" t="s">
        <v>497</v>
      </c>
      <c r="N103" s="299" t="s">
        <v>2554</v>
      </c>
      <c r="O103" s="300">
        <v>54189.0</v>
      </c>
      <c r="P103" s="198"/>
      <c r="Q103" s="198"/>
      <c r="R103" s="198"/>
      <c r="S103" s="198"/>
      <c r="T103" s="198"/>
      <c r="U103" s="198"/>
      <c r="V103" s="198"/>
      <c r="W103" s="198"/>
      <c r="X103" s="198"/>
      <c r="Y103" s="198"/>
      <c r="Z103" s="198"/>
    </row>
    <row r="104" ht="69.75" customHeight="1">
      <c r="A104" s="284" t="s">
        <v>4916</v>
      </c>
      <c r="B104" s="285" t="s">
        <v>21</v>
      </c>
      <c r="C104" s="299" t="s">
        <v>4917</v>
      </c>
      <c r="D104" s="285" t="s">
        <v>4918</v>
      </c>
      <c r="E104" s="287" t="s">
        <v>4477</v>
      </c>
      <c r="F104" s="288">
        <v>44441.0</v>
      </c>
      <c r="G104" s="377" t="s">
        <v>1502</v>
      </c>
      <c r="H104" s="288">
        <v>44440.0</v>
      </c>
      <c r="I104" s="377" t="s">
        <v>4919</v>
      </c>
      <c r="J104" s="294"/>
      <c r="K104" s="294"/>
      <c r="L104" s="290" t="s">
        <v>4920</v>
      </c>
      <c r="M104" s="285" t="s">
        <v>4841</v>
      </c>
      <c r="N104" s="299" t="s">
        <v>4841</v>
      </c>
      <c r="O104" s="300" t="s">
        <v>4841</v>
      </c>
      <c r="P104" s="198"/>
      <c r="Q104" s="198"/>
      <c r="R104" s="198"/>
      <c r="S104" s="198"/>
      <c r="T104" s="198"/>
      <c r="U104" s="198"/>
      <c r="V104" s="198"/>
      <c r="W104" s="198"/>
      <c r="X104" s="198"/>
      <c r="Y104" s="198"/>
      <c r="Z104" s="198"/>
    </row>
    <row r="105" ht="60.0" customHeight="1">
      <c r="A105" s="284">
        <v>35748.0</v>
      </c>
      <c r="B105" s="285" t="s">
        <v>25</v>
      </c>
      <c r="C105" s="299">
        <v>1139.0</v>
      </c>
      <c r="D105" s="285" t="s">
        <v>4921</v>
      </c>
      <c r="E105" s="287" t="s">
        <v>4882</v>
      </c>
      <c r="F105" s="288">
        <v>44440.0</v>
      </c>
      <c r="G105" s="288">
        <v>44428.0</v>
      </c>
      <c r="H105" s="288">
        <v>44428.0</v>
      </c>
      <c r="I105" s="288">
        <v>44460.0</v>
      </c>
      <c r="J105" s="294"/>
      <c r="K105" s="294"/>
      <c r="L105" s="290" t="s">
        <v>4922</v>
      </c>
      <c r="M105" s="285" t="s">
        <v>4635</v>
      </c>
      <c r="N105" s="299" t="s">
        <v>2621</v>
      </c>
      <c r="O105" s="300">
        <v>52292.72</v>
      </c>
      <c r="P105" s="198"/>
      <c r="Q105" s="198"/>
      <c r="R105" s="198"/>
      <c r="S105" s="198"/>
      <c r="T105" s="198"/>
      <c r="U105" s="198"/>
      <c r="V105" s="198"/>
      <c r="W105" s="198"/>
      <c r="X105" s="198"/>
      <c r="Y105" s="198"/>
      <c r="Z105" s="198"/>
    </row>
    <row r="106" ht="55.5" customHeight="1">
      <c r="A106" s="284" t="s">
        <v>4923</v>
      </c>
      <c r="B106" s="285" t="s">
        <v>4924</v>
      </c>
      <c r="C106" s="299">
        <v>14.0</v>
      </c>
      <c r="D106" s="285" t="s">
        <v>4925</v>
      </c>
      <c r="E106" s="287" t="s">
        <v>4926</v>
      </c>
      <c r="F106" s="288">
        <v>44439.0</v>
      </c>
      <c r="G106" s="288">
        <v>44442.0</v>
      </c>
      <c r="H106" s="288">
        <v>44440.0</v>
      </c>
      <c r="I106" s="288">
        <v>44449.0</v>
      </c>
      <c r="J106" s="294"/>
      <c r="K106" s="294"/>
      <c r="L106" s="290" t="s">
        <v>4927</v>
      </c>
      <c r="M106" s="285" t="s">
        <v>4841</v>
      </c>
      <c r="N106" s="299" t="s">
        <v>4841</v>
      </c>
      <c r="O106" s="300" t="s">
        <v>4841</v>
      </c>
      <c r="P106" s="198"/>
      <c r="Q106" s="198"/>
      <c r="R106" s="198"/>
      <c r="S106" s="198"/>
      <c r="T106" s="198"/>
      <c r="U106" s="198"/>
      <c r="V106" s="198"/>
      <c r="W106" s="198"/>
      <c r="X106" s="198"/>
      <c r="Y106" s="198"/>
      <c r="Z106" s="198"/>
    </row>
    <row r="107" ht="54.0" customHeight="1">
      <c r="A107" s="284">
        <v>35311.0</v>
      </c>
      <c r="B107" s="285" t="s">
        <v>715</v>
      </c>
      <c r="C107" s="285">
        <v>1913.0</v>
      </c>
      <c r="D107" s="285" t="s">
        <v>4928</v>
      </c>
      <c r="E107" s="287" t="s">
        <v>4670</v>
      </c>
      <c r="F107" s="288">
        <v>44439.0</v>
      </c>
      <c r="G107" s="288">
        <v>44435.0</v>
      </c>
      <c r="H107" s="288">
        <v>44435.0</v>
      </c>
      <c r="I107" s="288">
        <v>44447.0</v>
      </c>
      <c r="J107" s="294"/>
      <c r="K107" s="294"/>
      <c r="L107" s="290" t="s">
        <v>4929</v>
      </c>
      <c r="M107" s="285" t="s">
        <v>4745</v>
      </c>
      <c r="N107" s="299" t="s">
        <v>2604</v>
      </c>
      <c r="O107" s="300">
        <v>71108.0</v>
      </c>
      <c r="P107" s="198"/>
      <c r="Q107" s="198"/>
      <c r="R107" s="198"/>
      <c r="S107" s="198"/>
      <c r="T107" s="198"/>
      <c r="U107" s="198"/>
      <c r="V107" s="198"/>
      <c r="W107" s="198"/>
      <c r="X107" s="198"/>
      <c r="Y107" s="198"/>
      <c r="Z107" s="198"/>
    </row>
    <row r="108" ht="54.0" customHeight="1">
      <c r="A108" s="284">
        <v>35335.0</v>
      </c>
      <c r="B108" s="285" t="s">
        <v>715</v>
      </c>
      <c r="C108" s="299">
        <v>1732.0</v>
      </c>
      <c r="D108" s="367" t="s">
        <v>4930</v>
      </c>
      <c r="E108" s="287" t="s">
        <v>4931</v>
      </c>
      <c r="F108" s="288">
        <v>44439.0</v>
      </c>
      <c r="G108" s="288">
        <v>44438.0</v>
      </c>
      <c r="H108" s="288">
        <v>44438.0</v>
      </c>
      <c r="I108" s="288">
        <v>44459.0</v>
      </c>
      <c r="J108" s="294"/>
      <c r="K108" s="294"/>
      <c r="L108" s="290" t="s">
        <v>4932</v>
      </c>
      <c r="M108" s="285" t="s">
        <v>497</v>
      </c>
      <c r="N108" s="299" t="s">
        <v>4724</v>
      </c>
      <c r="O108" s="300">
        <v>16212.28</v>
      </c>
      <c r="P108" s="198"/>
      <c r="Q108" s="198"/>
      <c r="R108" s="198"/>
      <c r="S108" s="198"/>
      <c r="T108" s="198"/>
      <c r="U108" s="198"/>
      <c r="V108" s="198"/>
      <c r="W108" s="198"/>
      <c r="X108" s="198"/>
      <c r="Y108" s="198"/>
      <c r="Z108" s="198"/>
    </row>
    <row r="109" ht="54.0" customHeight="1">
      <c r="A109" s="284">
        <v>35385.0</v>
      </c>
      <c r="B109" s="285" t="s">
        <v>25</v>
      </c>
      <c r="C109" s="299">
        <v>2200.0</v>
      </c>
      <c r="D109" s="285" t="s">
        <v>4933</v>
      </c>
      <c r="E109" s="287" t="s">
        <v>4796</v>
      </c>
      <c r="F109" s="288">
        <v>44435.0</v>
      </c>
      <c r="G109" s="288">
        <v>44426.0</v>
      </c>
      <c r="H109" s="288">
        <v>44426.0</v>
      </c>
      <c r="I109" s="288">
        <v>44449.0</v>
      </c>
      <c r="J109" s="294"/>
      <c r="K109" s="294"/>
      <c r="L109" s="290" t="s">
        <v>4934</v>
      </c>
      <c r="M109" s="285" t="s">
        <v>497</v>
      </c>
      <c r="N109" s="299" t="s">
        <v>2554</v>
      </c>
      <c r="O109" s="300">
        <v>34100.0</v>
      </c>
      <c r="P109" s="198"/>
      <c r="Q109" s="198"/>
      <c r="R109" s="198"/>
      <c r="S109" s="198"/>
      <c r="T109" s="198"/>
      <c r="U109" s="198"/>
      <c r="V109" s="198"/>
      <c r="W109" s="198"/>
      <c r="X109" s="198"/>
      <c r="Y109" s="198"/>
      <c r="Z109" s="198"/>
    </row>
    <row r="110" ht="54.0" customHeight="1">
      <c r="A110" s="284">
        <v>35805.0</v>
      </c>
      <c r="B110" s="285" t="s">
        <v>715</v>
      </c>
      <c r="C110" s="299">
        <v>989.0</v>
      </c>
      <c r="D110" s="285" t="s">
        <v>4935</v>
      </c>
      <c r="E110" s="287" t="s">
        <v>4936</v>
      </c>
      <c r="F110" s="288">
        <v>44434.0</v>
      </c>
      <c r="G110" s="288">
        <v>44428.0</v>
      </c>
      <c r="H110" s="288">
        <v>44428.0</v>
      </c>
      <c r="I110" s="288">
        <v>44440.0</v>
      </c>
      <c r="J110" s="294"/>
      <c r="K110" s="294"/>
      <c r="L110" s="290" t="s">
        <v>4937</v>
      </c>
      <c r="M110" s="285" t="s">
        <v>4635</v>
      </c>
      <c r="N110" s="299" t="s">
        <v>2621</v>
      </c>
      <c r="O110" s="300">
        <v>49676.55</v>
      </c>
      <c r="P110" s="198"/>
      <c r="Q110" s="198"/>
      <c r="R110" s="198"/>
      <c r="S110" s="198"/>
      <c r="T110" s="198"/>
      <c r="U110" s="198"/>
      <c r="V110" s="198"/>
      <c r="W110" s="198"/>
      <c r="X110" s="198"/>
      <c r="Y110" s="198"/>
      <c r="Z110" s="198"/>
    </row>
    <row r="111" ht="54.0" customHeight="1">
      <c r="A111" s="284">
        <v>35757.0</v>
      </c>
      <c r="B111" s="285" t="s">
        <v>715</v>
      </c>
      <c r="C111" s="299">
        <v>1074.0</v>
      </c>
      <c r="D111" s="285" t="s">
        <v>4938</v>
      </c>
      <c r="E111" s="287" t="s">
        <v>4939</v>
      </c>
      <c r="F111" s="288">
        <v>44434.0</v>
      </c>
      <c r="G111" s="288">
        <v>44428.0</v>
      </c>
      <c r="H111" s="288">
        <v>44428.0</v>
      </c>
      <c r="I111" s="288">
        <v>44440.0</v>
      </c>
      <c r="J111" s="294"/>
      <c r="K111" s="294"/>
      <c r="L111" s="290" t="s">
        <v>4940</v>
      </c>
      <c r="M111" s="285" t="s">
        <v>4635</v>
      </c>
      <c r="N111" s="299" t="s">
        <v>2621</v>
      </c>
      <c r="O111" s="300">
        <v>58441.7</v>
      </c>
      <c r="P111" s="198"/>
      <c r="Q111" s="198"/>
      <c r="R111" s="198"/>
      <c r="S111" s="198"/>
      <c r="T111" s="198"/>
      <c r="U111" s="198"/>
      <c r="V111" s="198"/>
      <c r="W111" s="198"/>
      <c r="X111" s="198"/>
      <c r="Y111" s="198"/>
      <c r="Z111" s="198"/>
    </row>
    <row r="112" ht="54.0" customHeight="1">
      <c r="A112" s="284">
        <v>35283.0</v>
      </c>
      <c r="B112" s="285" t="s">
        <v>21</v>
      </c>
      <c r="C112" s="299">
        <v>3000.0</v>
      </c>
      <c r="D112" s="285" t="s">
        <v>4941</v>
      </c>
      <c r="E112" s="287" t="s">
        <v>4658</v>
      </c>
      <c r="F112" s="288">
        <v>44432.0</v>
      </c>
      <c r="G112" s="288">
        <v>44427.0</v>
      </c>
      <c r="H112" s="288">
        <v>44427.0</v>
      </c>
      <c r="I112" s="288">
        <v>44441.0</v>
      </c>
      <c r="J112" s="294"/>
      <c r="K112" s="294"/>
      <c r="L112" s="290" t="s">
        <v>4942</v>
      </c>
      <c r="M112" s="285" t="s">
        <v>497</v>
      </c>
      <c r="N112" s="299" t="s">
        <v>2554</v>
      </c>
      <c r="O112" s="300">
        <v>21210.0</v>
      </c>
      <c r="P112" s="198"/>
      <c r="Q112" s="198"/>
      <c r="R112" s="198"/>
      <c r="S112" s="198"/>
      <c r="T112" s="198"/>
      <c r="U112" s="198"/>
      <c r="V112" s="198"/>
      <c r="W112" s="198"/>
      <c r="X112" s="198"/>
      <c r="Y112" s="198"/>
      <c r="Z112" s="198"/>
    </row>
    <row r="113" ht="54.0" customHeight="1">
      <c r="A113" s="284">
        <v>35511.0</v>
      </c>
      <c r="B113" s="285" t="s">
        <v>21</v>
      </c>
      <c r="C113" s="299">
        <v>2418.0</v>
      </c>
      <c r="D113" s="285" t="s">
        <v>4943</v>
      </c>
      <c r="E113" s="287" t="s">
        <v>4641</v>
      </c>
      <c r="F113" s="288">
        <v>44431.0</v>
      </c>
      <c r="G113" s="288">
        <v>44424.0</v>
      </c>
      <c r="H113" s="288">
        <v>44424.0</v>
      </c>
      <c r="I113" s="288">
        <v>44435.0</v>
      </c>
      <c r="J113" s="294"/>
      <c r="K113" s="294"/>
      <c r="L113" s="290" t="s">
        <v>4944</v>
      </c>
      <c r="M113" s="285" t="s">
        <v>497</v>
      </c>
      <c r="N113" s="299" t="s">
        <v>2538</v>
      </c>
      <c r="O113" s="300">
        <v>221805.0</v>
      </c>
      <c r="P113" s="198"/>
      <c r="Q113" s="198"/>
      <c r="R113" s="198"/>
      <c r="S113" s="198"/>
      <c r="T113" s="198"/>
      <c r="U113" s="198"/>
      <c r="V113" s="198"/>
      <c r="W113" s="198"/>
      <c r="X113" s="198"/>
      <c r="Y113" s="198"/>
      <c r="Z113" s="198"/>
    </row>
    <row r="114" ht="54.0" customHeight="1">
      <c r="A114" s="284">
        <v>35458.0</v>
      </c>
      <c r="B114" s="285" t="s">
        <v>715</v>
      </c>
      <c r="C114" s="299">
        <v>1200.0</v>
      </c>
      <c r="D114" s="285" t="s">
        <v>4945</v>
      </c>
      <c r="E114" s="287" t="s">
        <v>4946</v>
      </c>
      <c r="F114" s="288">
        <v>44428.0</v>
      </c>
      <c r="G114" s="288">
        <v>44424.0</v>
      </c>
      <c r="H114" s="288">
        <v>44424.0</v>
      </c>
      <c r="I114" s="288">
        <v>44433.0</v>
      </c>
      <c r="J114" s="294"/>
      <c r="K114" s="294"/>
      <c r="L114" s="290" t="s">
        <v>4947</v>
      </c>
      <c r="M114" s="285" t="s">
        <v>497</v>
      </c>
      <c r="N114" s="299" t="s">
        <v>2554</v>
      </c>
      <c r="O114" s="300">
        <v>44249.58</v>
      </c>
      <c r="P114" s="198"/>
      <c r="Q114" s="198"/>
      <c r="R114" s="198"/>
      <c r="S114" s="198"/>
      <c r="T114" s="198"/>
      <c r="U114" s="198"/>
      <c r="V114" s="198"/>
      <c r="W114" s="198"/>
      <c r="X114" s="198"/>
      <c r="Y114" s="198"/>
      <c r="Z114" s="198"/>
    </row>
    <row r="115" ht="56.25" customHeight="1">
      <c r="A115" s="284">
        <v>35691.0</v>
      </c>
      <c r="B115" s="285" t="s">
        <v>25</v>
      </c>
      <c r="C115" s="299">
        <v>944.0</v>
      </c>
      <c r="D115" s="285" t="s">
        <v>4948</v>
      </c>
      <c r="E115" s="287" t="s">
        <v>4949</v>
      </c>
      <c r="F115" s="288">
        <v>44426.0</v>
      </c>
      <c r="G115" s="288">
        <v>44424.0</v>
      </c>
      <c r="H115" s="288">
        <v>44424.0</v>
      </c>
      <c r="I115" s="288">
        <v>44446.0</v>
      </c>
      <c r="J115" s="294"/>
      <c r="K115" s="294"/>
      <c r="L115" s="290" t="s">
        <v>4950</v>
      </c>
      <c r="M115" s="285" t="s">
        <v>4635</v>
      </c>
      <c r="N115" s="299" t="s">
        <v>2621</v>
      </c>
      <c r="O115" s="300">
        <v>46254.8</v>
      </c>
      <c r="P115" s="198"/>
      <c r="Q115" s="198"/>
      <c r="R115" s="198"/>
      <c r="S115" s="198"/>
      <c r="T115" s="198"/>
      <c r="U115" s="198"/>
      <c r="V115" s="198"/>
      <c r="W115" s="198"/>
      <c r="X115" s="198"/>
      <c r="Y115" s="198"/>
      <c r="Z115" s="198"/>
    </row>
    <row r="116" ht="54.0" customHeight="1">
      <c r="A116" s="284">
        <v>35700.0</v>
      </c>
      <c r="B116" s="285" t="s">
        <v>21</v>
      </c>
      <c r="C116" s="299">
        <v>1087.0</v>
      </c>
      <c r="D116" s="285" t="s">
        <v>4951</v>
      </c>
      <c r="E116" s="287" t="s">
        <v>4952</v>
      </c>
      <c r="F116" s="288">
        <v>44426.0</v>
      </c>
      <c r="G116" s="288">
        <v>44424.0</v>
      </c>
      <c r="H116" s="288">
        <v>44424.0</v>
      </c>
      <c r="I116" s="288">
        <v>44441.0</v>
      </c>
      <c r="J116" s="294"/>
      <c r="K116" s="294"/>
      <c r="L116" s="290" t="s">
        <v>4953</v>
      </c>
      <c r="M116" s="285" t="s">
        <v>4635</v>
      </c>
      <c r="N116" s="299" t="s">
        <v>2621</v>
      </c>
      <c r="O116" s="300">
        <v>109654.85</v>
      </c>
      <c r="P116" s="198"/>
      <c r="Q116" s="198"/>
      <c r="R116" s="198"/>
      <c r="S116" s="198"/>
      <c r="T116" s="198"/>
      <c r="U116" s="198"/>
      <c r="V116" s="198"/>
      <c r="W116" s="198"/>
      <c r="X116" s="198"/>
      <c r="Y116" s="198"/>
      <c r="Z116" s="198"/>
    </row>
    <row r="117" ht="54.0" customHeight="1">
      <c r="A117" s="284">
        <v>35699.0</v>
      </c>
      <c r="B117" s="285" t="s">
        <v>21</v>
      </c>
      <c r="C117" s="299">
        <v>1106.0</v>
      </c>
      <c r="D117" s="285" t="s">
        <v>4954</v>
      </c>
      <c r="E117" s="287" t="s">
        <v>4955</v>
      </c>
      <c r="F117" s="288">
        <v>44426.0</v>
      </c>
      <c r="G117" s="288">
        <v>44424.0</v>
      </c>
      <c r="H117" s="288">
        <v>44424.0</v>
      </c>
      <c r="I117" s="288">
        <v>44434.0</v>
      </c>
      <c r="J117" s="294"/>
      <c r="K117" s="294"/>
      <c r="L117" s="290" t="s">
        <v>4956</v>
      </c>
      <c r="M117" s="285" t="s">
        <v>4635</v>
      </c>
      <c r="N117" s="299" t="s">
        <v>2621</v>
      </c>
      <c r="O117" s="300">
        <v>91950.96</v>
      </c>
      <c r="P117" s="198"/>
      <c r="Q117" s="198"/>
      <c r="R117" s="198"/>
      <c r="S117" s="198"/>
      <c r="T117" s="198"/>
      <c r="U117" s="198"/>
      <c r="V117" s="198"/>
      <c r="W117" s="198"/>
      <c r="X117" s="198"/>
      <c r="Y117" s="198"/>
      <c r="Z117" s="198"/>
    </row>
    <row r="118" ht="72.0" customHeight="1">
      <c r="A118" s="284">
        <v>35363.0</v>
      </c>
      <c r="B118" s="285" t="s">
        <v>21</v>
      </c>
      <c r="C118" s="299">
        <v>970.0</v>
      </c>
      <c r="D118" s="285" t="s">
        <v>4957</v>
      </c>
      <c r="E118" s="287" t="s">
        <v>4958</v>
      </c>
      <c r="F118" s="288">
        <v>44425.0</v>
      </c>
      <c r="G118" s="288">
        <v>44410.0</v>
      </c>
      <c r="H118" s="288">
        <v>44410.0</v>
      </c>
      <c r="I118" s="288">
        <v>44438.0</v>
      </c>
      <c r="J118" s="294"/>
      <c r="K118" s="294"/>
      <c r="L118" s="290" t="s">
        <v>4959</v>
      </c>
      <c r="M118" s="285" t="s">
        <v>4745</v>
      </c>
      <c r="N118" s="299" t="s">
        <v>2604</v>
      </c>
      <c r="O118" s="300">
        <v>52305.6</v>
      </c>
      <c r="P118" s="198"/>
      <c r="Q118" s="198"/>
      <c r="R118" s="198"/>
      <c r="S118" s="198"/>
      <c r="T118" s="198"/>
      <c r="U118" s="198"/>
      <c r="V118" s="198"/>
      <c r="W118" s="198"/>
      <c r="X118" s="198"/>
      <c r="Y118" s="198"/>
      <c r="Z118" s="198"/>
    </row>
    <row r="119" ht="57.0" customHeight="1">
      <c r="A119" s="284">
        <v>35506.0</v>
      </c>
      <c r="B119" s="285" t="s">
        <v>4960</v>
      </c>
      <c r="C119" s="299">
        <v>150.0</v>
      </c>
      <c r="D119" s="285" t="s">
        <v>4925</v>
      </c>
      <c r="E119" s="287" t="s">
        <v>4961</v>
      </c>
      <c r="F119" s="288">
        <v>44424.0</v>
      </c>
      <c r="G119" s="288">
        <v>44456.0</v>
      </c>
      <c r="H119" s="288">
        <v>44424.0</v>
      </c>
      <c r="I119" s="288">
        <v>44424.0</v>
      </c>
      <c r="J119" s="294"/>
      <c r="K119" s="294"/>
      <c r="L119" s="290" t="s">
        <v>4962</v>
      </c>
      <c r="M119" s="285" t="s">
        <v>4635</v>
      </c>
      <c r="N119" s="299" t="s">
        <v>2621</v>
      </c>
      <c r="O119" s="300">
        <v>18225.0</v>
      </c>
      <c r="P119" s="198"/>
      <c r="Q119" s="198"/>
      <c r="R119" s="198"/>
      <c r="S119" s="198"/>
      <c r="T119" s="198"/>
      <c r="U119" s="198"/>
      <c r="V119" s="198"/>
      <c r="W119" s="198"/>
      <c r="X119" s="198"/>
      <c r="Y119" s="198"/>
      <c r="Z119" s="198"/>
    </row>
    <row r="120" ht="54.0" customHeight="1">
      <c r="A120" s="284">
        <v>35747.0</v>
      </c>
      <c r="B120" s="285" t="s">
        <v>21</v>
      </c>
      <c r="C120" s="299">
        <v>1080.0</v>
      </c>
      <c r="D120" s="285" t="s">
        <v>4963</v>
      </c>
      <c r="E120" s="287" t="s">
        <v>4964</v>
      </c>
      <c r="F120" s="288">
        <v>44422.0</v>
      </c>
      <c r="G120" s="288">
        <v>44418.0</v>
      </c>
      <c r="H120" s="288">
        <v>44418.0</v>
      </c>
      <c r="I120" s="288">
        <v>44431.0</v>
      </c>
      <c r="J120" s="294"/>
      <c r="K120" s="294"/>
      <c r="L120" s="290" t="s">
        <v>4965</v>
      </c>
      <c r="M120" s="285" t="s">
        <v>4635</v>
      </c>
      <c r="N120" s="299" t="s">
        <v>2621</v>
      </c>
      <c r="O120" s="300">
        <v>67737.2</v>
      </c>
      <c r="P120" s="198"/>
      <c r="Q120" s="198"/>
      <c r="R120" s="198"/>
      <c r="S120" s="198"/>
      <c r="T120" s="198"/>
      <c r="U120" s="198"/>
      <c r="V120" s="198"/>
      <c r="W120" s="198"/>
      <c r="X120" s="198"/>
      <c r="Y120" s="198"/>
      <c r="Z120" s="198"/>
    </row>
    <row r="121" ht="73.5" customHeight="1">
      <c r="A121" s="284">
        <v>35456.0</v>
      </c>
      <c r="B121" s="285" t="s">
        <v>715</v>
      </c>
      <c r="C121" s="299">
        <v>2477.0</v>
      </c>
      <c r="D121" s="285" t="s">
        <v>4966</v>
      </c>
      <c r="E121" s="287" t="s">
        <v>4914</v>
      </c>
      <c r="F121" s="288">
        <v>44422.0</v>
      </c>
      <c r="G121" s="288">
        <v>44417.0</v>
      </c>
      <c r="H121" s="288">
        <v>44417.0</v>
      </c>
      <c r="I121" s="288">
        <v>44428.0</v>
      </c>
      <c r="J121" s="294"/>
      <c r="K121" s="294"/>
      <c r="L121" s="290" t="s">
        <v>4967</v>
      </c>
      <c r="M121" s="285" t="s">
        <v>497</v>
      </c>
      <c r="N121" s="299" t="s">
        <v>2554</v>
      </c>
      <c r="O121" s="300">
        <v>55016.2</v>
      </c>
      <c r="P121" s="198"/>
      <c r="Q121" s="198"/>
      <c r="R121" s="198"/>
      <c r="S121" s="198"/>
      <c r="T121" s="198"/>
      <c r="U121" s="198"/>
      <c r="V121" s="198"/>
      <c r="W121" s="198"/>
      <c r="X121" s="198"/>
      <c r="Y121" s="198"/>
      <c r="Z121" s="198"/>
    </row>
    <row r="122" ht="81.0" customHeight="1">
      <c r="A122" s="284">
        <v>35290.0</v>
      </c>
      <c r="B122" s="285" t="s">
        <v>715</v>
      </c>
      <c r="C122" s="299">
        <v>1290.0</v>
      </c>
      <c r="D122" s="285" t="s">
        <v>4968</v>
      </c>
      <c r="E122" s="287" t="s">
        <v>4862</v>
      </c>
      <c r="F122" s="288">
        <v>44422.0</v>
      </c>
      <c r="G122" s="288">
        <v>44417.0</v>
      </c>
      <c r="H122" s="288">
        <v>44417.0</v>
      </c>
      <c r="I122" s="288">
        <v>44427.0</v>
      </c>
      <c r="J122" s="294"/>
      <c r="K122" s="294"/>
      <c r="L122" s="290" t="s">
        <v>4969</v>
      </c>
      <c r="M122" s="285" t="s">
        <v>497</v>
      </c>
      <c r="N122" s="299" t="s">
        <v>2554</v>
      </c>
      <c r="O122" s="300">
        <v>44350.6</v>
      </c>
      <c r="P122" s="198"/>
      <c r="Q122" s="198"/>
      <c r="R122" s="198"/>
      <c r="S122" s="198"/>
      <c r="T122" s="198"/>
      <c r="U122" s="198"/>
      <c r="V122" s="198"/>
      <c r="W122" s="198"/>
      <c r="X122" s="198"/>
      <c r="Y122" s="198"/>
      <c r="Z122" s="198"/>
    </row>
    <row r="123" ht="70.5" customHeight="1">
      <c r="A123" s="284">
        <v>35505.0</v>
      </c>
      <c r="B123" s="285" t="s">
        <v>715</v>
      </c>
      <c r="C123" s="285">
        <v>375.0</v>
      </c>
      <c r="D123" s="367" t="s">
        <v>4970</v>
      </c>
      <c r="E123" s="287" t="s">
        <v>4971</v>
      </c>
      <c r="F123" s="288">
        <v>44419.0</v>
      </c>
      <c r="G123" s="377" t="s">
        <v>4972</v>
      </c>
      <c r="H123" s="301">
        <v>44420.0</v>
      </c>
      <c r="I123" s="377" t="s">
        <v>4973</v>
      </c>
      <c r="J123" s="294"/>
      <c r="K123" s="294"/>
      <c r="L123" s="290" t="s">
        <v>4974</v>
      </c>
      <c r="M123" s="285" t="s">
        <v>4635</v>
      </c>
      <c r="N123" s="299" t="s">
        <v>2621</v>
      </c>
      <c r="O123" s="300">
        <v>55336.0</v>
      </c>
      <c r="P123" s="198"/>
      <c r="Q123" s="198"/>
      <c r="R123" s="198"/>
      <c r="S123" s="198"/>
      <c r="T123" s="198"/>
      <c r="U123" s="198"/>
      <c r="V123" s="198"/>
      <c r="W123" s="198"/>
      <c r="X123" s="198"/>
      <c r="Y123" s="198"/>
      <c r="Z123" s="198"/>
    </row>
    <row r="124" ht="54.0" customHeight="1">
      <c r="A124" s="284">
        <v>35282.0</v>
      </c>
      <c r="B124" s="285" t="s">
        <v>715</v>
      </c>
      <c r="C124" s="299">
        <v>3000.0</v>
      </c>
      <c r="D124" s="285" t="s">
        <v>4975</v>
      </c>
      <c r="E124" s="287" t="s">
        <v>4690</v>
      </c>
      <c r="F124" s="288">
        <v>44419.0</v>
      </c>
      <c r="G124" s="288">
        <v>44417.0</v>
      </c>
      <c r="H124" s="288">
        <v>44417.0</v>
      </c>
      <c r="I124" s="288">
        <v>44426.0</v>
      </c>
      <c r="J124" s="294"/>
      <c r="K124" s="294"/>
      <c r="L124" s="290" t="s">
        <v>4976</v>
      </c>
      <c r="M124" s="285" t="s">
        <v>497</v>
      </c>
      <c r="N124" s="299" t="s">
        <v>2554</v>
      </c>
      <c r="O124" s="300">
        <v>20610.0</v>
      </c>
      <c r="P124" s="198"/>
      <c r="Q124" s="198"/>
      <c r="R124" s="198"/>
      <c r="S124" s="198"/>
      <c r="T124" s="198"/>
      <c r="U124" s="198"/>
      <c r="V124" s="198"/>
      <c r="W124" s="198"/>
      <c r="X124" s="198"/>
      <c r="Y124" s="198"/>
      <c r="Z124" s="198"/>
    </row>
    <row r="125" ht="54.0" customHeight="1">
      <c r="A125" s="284">
        <v>35455.0</v>
      </c>
      <c r="B125" s="285" t="s">
        <v>715</v>
      </c>
      <c r="C125" s="299">
        <v>1854.0</v>
      </c>
      <c r="D125" s="285" t="s">
        <v>4977</v>
      </c>
      <c r="E125" s="287" t="s">
        <v>4978</v>
      </c>
      <c r="F125" s="288">
        <v>44419.0</v>
      </c>
      <c r="G125" s="288">
        <v>44412.0</v>
      </c>
      <c r="H125" s="288">
        <v>44412.0</v>
      </c>
      <c r="I125" s="288">
        <v>44425.0</v>
      </c>
      <c r="J125" s="294"/>
      <c r="K125" s="294"/>
      <c r="L125" s="290" t="s">
        <v>4979</v>
      </c>
      <c r="M125" s="285" t="s">
        <v>497</v>
      </c>
      <c r="N125" s="299" t="s">
        <v>2554</v>
      </c>
      <c r="O125" s="300">
        <v>25623.4</v>
      </c>
      <c r="P125" s="198"/>
      <c r="Q125" s="198"/>
      <c r="R125" s="198"/>
      <c r="S125" s="198"/>
      <c r="T125" s="198"/>
      <c r="U125" s="198"/>
      <c r="V125" s="198"/>
      <c r="W125" s="198"/>
      <c r="X125" s="198"/>
      <c r="Y125" s="198"/>
      <c r="Z125" s="198"/>
    </row>
    <row r="126" ht="54.0" customHeight="1">
      <c r="A126" s="284">
        <v>35263.0</v>
      </c>
      <c r="B126" s="285" t="s">
        <v>25</v>
      </c>
      <c r="C126" s="299">
        <v>990.0</v>
      </c>
      <c r="D126" s="285" t="s">
        <v>4980</v>
      </c>
      <c r="E126" s="287" t="s">
        <v>3740</v>
      </c>
      <c r="F126" s="288">
        <v>44418.0</v>
      </c>
      <c r="G126" s="288">
        <v>44412.0</v>
      </c>
      <c r="H126" s="288">
        <v>44412.0</v>
      </c>
      <c r="I126" s="288">
        <v>44426.0</v>
      </c>
      <c r="J126" s="294"/>
      <c r="K126" s="294"/>
      <c r="L126" s="290" t="s">
        <v>4981</v>
      </c>
      <c r="M126" s="285" t="s">
        <v>497</v>
      </c>
      <c r="N126" s="299" t="s">
        <v>4711</v>
      </c>
      <c r="O126" s="300">
        <v>20993.35</v>
      </c>
      <c r="P126" s="198"/>
      <c r="Q126" s="198"/>
      <c r="R126" s="198"/>
      <c r="S126" s="198"/>
      <c r="T126" s="198"/>
      <c r="U126" s="198"/>
      <c r="V126" s="198"/>
      <c r="W126" s="198"/>
      <c r="X126" s="198"/>
      <c r="Y126" s="198"/>
      <c r="Z126" s="198"/>
    </row>
    <row r="127" ht="54.0" customHeight="1">
      <c r="A127" s="284">
        <v>35719.0</v>
      </c>
      <c r="B127" s="285" t="s">
        <v>715</v>
      </c>
      <c r="C127" s="299">
        <v>1700.0</v>
      </c>
      <c r="D127" s="285" t="s">
        <v>4982</v>
      </c>
      <c r="E127" s="287" t="s">
        <v>4983</v>
      </c>
      <c r="F127" s="288">
        <v>44417.0</v>
      </c>
      <c r="G127" s="288">
        <v>44410.0</v>
      </c>
      <c r="H127" s="288">
        <v>44410.0</v>
      </c>
      <c r="I127" s="288">
        <v>44424.0</v>
      </c>
      <c r="J127" s="294"/>
      <c r="K127" s="294"/>
      <c r="L127" s="290" t="s">
        <v>4984</v>
      </c>
      <c r="M127" s="285" t="s">
        <v>4635</v>
      </c>
      <c r="N127" s="299" t="s">
        <v>2621</v>
      </c>
      <c r="O127" s="300">
        <v>55950.0</v>
      </c>
      <c r="P127" s="198"/>
      <c r="Q127" s="198"/>
      <c r="R127" s="198"/>
      <c r="S127" s="198"/>
      <c r="T127" s="198"/>
      <c r="U127" s="198"/>
      <c r="V127" s="198"/>
      <c r="W127" s="198"/>
      <c r="X127" s="198"/>
      <c r="Y127" s="198"/>
      <c r="Z127" s="198"/>
    </row>
    <row r="128" ht="57.0" customHeight="1">
      <c r="A128" s="284">
        <v>35705.0</v>
      </c>
      <c r="B128" s="285" t="s">
        <v>21</v>
      </c>
      <c r="C128" s="299">
        <v>1547.0</v>
      </c>
      <c r="D128" s="285" t="s">
        <v>4985</v>
      </c>
      <c r="E128" s="287" t="s">
        <v>4986</v>
      </c>
      <c r="F128" s="288">
        <v>44411.0</v>
      </c>
      <c r="G128" s="288">
        <v>44407.0</v>
      </c>
      <c r="H128" s="288">
        <v>44407.0</v>
      </c>
      <c r="I128" s="288">
        <v>44419.0</v>
      </c>
      <c r="J128" s="294"/>
      <c r="K128" s="294"/>
      <c r="L128" s="290" t="s">
        <v>4987</v>
      </c>
      <c r="M128" s="285" t="s">
        <v>4635</v>
      </c>
      <c r="N128" s="299" t="s">
        <v>2621</v>
      </c>
      <c r="O128" s="300">
        <v>63576.26</v>
      </c>
      <c r="P128" s="198"/>
      <c r="Q128" s="198"/>
      <c r="R128" s="198"/>
      <c r="S128" s="198"/>
      <c r="T128" s="198"/>
      <c r="U128" s="198"/>
      <c r="V128" s="198"/>
      <c r="W128" s="198"/>
      <c r="X128" s="198"/>
      <c r="Y128" s="198"/>
      <c r="Z128" s="198"/>
    </row>
    <row r="129" ht="54.0" customHeight="1">
      <c r="A129" s="284">
        <v>35702.0</v>
      </c>
      <c r="B129" s="285" t="s">
        <v>715</v>
      </c>
      <c r="C129" s="285">
        <v>930.0</v>
      </c>
      <c r="D129" s="285" t="s">
        <v>4988</v>
      </c>
      <c r="E129" s="287" t="s">
        <v>4787</v>
      </c>
      <c r="F129" s="288">
        <v>44411.0</v>
      </c>
      <c r="G129" s="288">
        <v>44420.0</v>
      </c>
      <c r="H129" s="288">
        <v>44417.0</v>
      </c>
      <c r="I129" s="288">
        <v>44419.0</v>
      </c>
      <c r="J129" s="294"/>
      <c r="K129" s="294"/>
      <c r="L129" s="290" t="s">
        <v>4989</v>
      </c>
      <c r="M129" s="285" t="s">
        <v>4635</v>
      </c>
      <c r="N129" s="299" t="s">
        <v>2621</v>
      </c>
      <c r="O129" s="300">
        <v>63407.2</v>
      </c>
      <c r="P129" s="198"/>
      <c r="Q129" s="198"/>
      <c r="R129" s="198"/>
      <c r="S129" s="198"/>
      <c r="T129" s="198"/>
      <c r="U129" s="198"/>
      <c r="V129" s="198"/>
      <c r="W129" s="198"/>
      <c r="X129" s="198"/>
      <c r="Y129" s="198"/>
      <c r="Z129" s="198"/>
    </row>
    <row r="130" ht="54.0" customHeight="1">
      <c r="A130" s="284">
        <v>35704.0</v>
      </c>
      <c r="B130" s="285" t="s">
        <v>715</v>
      </c>
      <c r="C130" s="299">
        <v>1182.0</v>
      </c>
      <c r="D130" s="285" t="s">
        <v>4990</v>
      </c>
      <c r="E130" s="287" t="s">
        <v>4991</v>
      </c>
      <c r="F130" s="288">
        <v>44411.0</v>
      </c>
      <c r="G130" s="288">
        <v>44406.0</v>
      </c>
      <c r="H130" s="288">
        <v>44406.0</v>
      </c>
      <c r="I130" s="288">
        <v>44417.0</v>
      </c>
      <c r="J130" s="294"/>
      <c r="K130" s="294"/>
      <c r="L130" s="290" t="s">
        <v>4992</v>
      </c>
      <c r="M130" s="285" t="s">
        <v>4635</v>
      </c>
      <c r="N130" s="299" t="s">
        <v>2621</v>
      </c>
      <c r="O130" s="300">
        <v>61940.78</v>
      </c>
      <c r="P130" s="198"/>
      <c r="Q130" s="198"/>
      <c r="R130" s="198"/>
      <c r="S130" s="198"/>
      <c r="T130" s="198"/>
      <c r="U130" s="198"/>
      <c r="V130" s="198"/>
      <c r="W130" s="198"/>
      <c r="X130" s="198"/>
      <c r="Y130" s="198"/>
      <c r="Z130" s="198"/>
    </row>
    <row r="131" ht="54.0" customHeight="1">
      <c r="A131" s="284">
        <v>35449.0</v>
      </c>
      <c r="B131" s="285" t="s">
        <v>21</v>
      </c>
      <c r="C131" s="299" t="s">
        <v>4993</v>
      </c>
      <c r="D131" s="285" t="s">
        <v>4994</v>
      </c>
      <c r="E131" s="287" t="s">
        <v>4995</v>
      </c>
      <c r="F131" s="288">
        <v>44411.0</v>
      </c>
      <c r="G131" s="285" t="s">
        <v>28</v>
      </c>
      <c r="H131" s="285" t="s">
        <v>28</v>
      </c>
      <c r="I131" s="288">
        <v>44420.0</v>
      </c>
      <c r="J131" s="294"/>
      <c r="K131" s="294"/>
      <c r="L131" s="290" t="s">
        <v>4996</v>
      </c>
      <c r="M131" s="285" t="s">
        <v>497</v>
      </c>
      <c r="N131" s="299" t="s">
        <v>2538</v>
      </c>
      <c r="O131" s="300">
        <v>15876.0</v>
      </c>
      <c r="P131" s="198"/>
      <c r="Q131" s="198"/>
      <c r="R131" s="198"/>
      <c r="S131" s="198"/>
      <c r="T131" s="198"/>
      <c r="U131" s="198"/>
      <c r="V131" s="198"/>
      <c r="W131" s="198"/>
      <c r="X131" s="198"/>
      <c r="Y131" s="198"/>
      <c r="Z131" s="198"/>
    </row>
    <row r="132" ht="54.0" customHeight="1">
      <c r="A132" s="284">
        <v>35291.0</v>
      </c>
      <c r="B132" s="285" t="s">
        <v>715</v>
      </c>
      <c r="C132" s="299">
        <v>2430.0</v>
      </c>
      <c r="D132" s="285" t="s">
        <v>4997</v>
      </c>
      <c r="E132" s="287" t="s">
        <v>4914</v>
      </c>
      <c r="F132" s="288">
        <v>44410.0</v>
      </c>
      <c r="G132" s="288">
        <v>44405.0</v>
      </c>
      <c r="H132" s="288">
        <v>44405.0</v>
      </c>
      <c r="I132" s="288">
        <v>44413.0</v>
      </c>
      <c r="J132" s="294"/>
      <c r="K132" s="294"/>
      <c r="L132" s="290" t="s">
        <v>4998</v>
      </c>
      <c r="M132" s="285" t="s">
        <v>497</v>
      </c>
      <c r="N132" s="299" t="s">
        <v>2554</v>
      </c>
      <c r="O132" s="300">
        <v>54329.0</v>
      </c>
      <c r="P132" s="198"/>
      <c r="Q132" s="198"/>
      <c r="R132" s="198"/>
      <c r="S132" s="198"/>
      <c r="T132" s="198"/>
      <c r="U132" s="198"/>
      <c r="V132" s="198"/>
      <c r="W132" s="198"/>
      <c r="X132" s="198"/>
      <c r="Y132" s="198"/>
      <c r="Z132" s="198"/>
    </row>
    <row r="133" ht="54.0" customHeight="1">
      <c r="A133" s="284">
        <v>35274.0</v>
      </c>
      <c r="B133" s="285" t="s">
        <v>715</v>
      </c>
      <c r="C133" s="299">
        <v>1290.0</v>
      </c>
      <c r="D133" s="285" t="s">
        <v>4999</v>
      </c>
      <c r="E133" s="287" t="s">
        <v>4862</v>
      </c>
      <c r="F133" s="288">
        <v>44410.0</v>
      </c>
      <c r="G133" s="288">
        <v>44405.0</v>
      </c>
      <c r="H133" s="288">
        <v>44405.0</v>
      </c>
      <c r="I133" s="288">
        <v>44412.0</v>
      </c>
      <c r="J133" s="294"/>
      <c r="K133" s="294"/>
      <c r="L133" s="290" t="s">
        <v>5000</v>
      </c>
      <c r="M133" s="285" t="s">
        <v>497</v>
      </c>
      <c r="N133" s="299" t="s">
        <v>2554</v>
      </c>
      <c r="O133" s="300">
        <v>44370.36</v>
      </c>
      <c r="P133" s="198"/>
      <c r="Q133" s="198"/>
      <c r="R133" s="198"/>
      <c r="S133" s="198"/>
      <c r="T133" s="198"/>
      <c r="U133" s="198"/>
      <c r="V133" s="198"/>
      <c r="W133" s="198"/>
      <c r="X133" s="198"/>
      <c r="Y133" s="198"/>
      <c r="Z133" s="198"/>
    </row>
    <row r="134" ht="54.0" customHeight="1">
      <c r="A134" s="284">
        <v>35454.0</v>
      </c>
      <c r="B134" s="285" t="s">
        <v>715</v>
      </c>
      <c r="C134" s="299">
        <v>1820.0</v>
      </c>
      <c r="D134" s="285" t="s">
        <v>5001</v>
      </c>
      <c r="E134" s="287" t="s">
        <v>5002</v>
      </c>
      <c r="F134" s="288">
        <v>44410.0</v>
      </c>
      <c r="G134" s="288">
        <v>44405.0</v>
      </c>
      <c r="H134" s="288">
        <v>44405.0</v>
      </c>
      <c r="I134" s="288">
        <v>44414.0</v>
      </c>
      <c r="J134" s="294"/>
      <c r="K134" s="294"/>
      <c r="L134" s="290" t="s">
        <v>5003</v>
      </c>
      <c r="M134" s="285" t="s">
        <v>497</v>
      </c>
      <c r="N134" s="299" t="s">
        <v>2554</v>
      </c>
      <c r="O134" s="300">
        <v>25025.0</v>
      </c>
      <c r="P134" s="198"/>
      <c r="Q134" s="198"/>
      <c r="R134" s="198"/>
      <c r="S134" s="198"/>
      <c r="T134" s="198"/>
      <c r="U134" s="198"/>
      <c r="V134" s="198"/>
      <c r="W134" s="198"/>
      <c r="X134" s="198"/>
      <c r="Y134" s="198"/>
      <c r="Z134" s="198"/>
    </row>
    <row r="135" ht="54.0" customHeight="1">
      <c r="A135" s="284">
        <v>35362.0</v>
      </c>
      <c r="B135" s="285" t="s">
        <v>715</v>
      </c>
      <c r="C135" s="299">
        <v>970.0</v>
      </c>
      <c r="D135" s="378" t="s">
        <v>5004</v>
      </c>
      <c r="E135" s="287" t="s">
        <v>4958</v>
      </c>
      <c r="F135" s="288">
        <v>44410.0</v>
      </c>
      <c r="G135" s="288">
        <v>44405.0</v>
      </c>
      <c r="H135" s="288">
        <v>44405.0</v>
      </c>
      <c r="I135" s="288">
        <v>44418.0</v>
      </c>
      <c r="J135" s="294"/>
      <c r="K135" s="294"/>
      <c r="L135" s="290" t="s">
        <v>5005</v>
      </c>
      <c r="M135" s="285" t="s">
        <v>4745</v>
      </c>
      <c r="N135" s="299" t="s">
        <v>2604</v>
      </c>
      <c r="O135" s="300">
        <v>53905.6</v>
      </c>
      <c r="P135" s="198"/>
      <c r="Q135" s="198"/>
      <c r="R135" s="198"/>
      <c r="S135" s="198"/>
      <c r="T135" s="198"/>
      <c r="U135" s="198"/>
      <c r="V135" s="198"/>
      <c r="W135" s="198"/>
      <c r="X135" s="198"/>
      <c r="Y135" s="198"/>
      <c r="Z135" s="198"/>
    </row>
    <row r="136" ht="54.0" customHeight="1">
      <c r="A136" s="284">
        <v>35281.0</v>
      </c>
      <c r="B136" s="285" t="s">
        <v>25</v>
      </c>
      <c r="C136" s="299">
        <v>2100.0</v>
      </c>
      <c r="D136" s="285" t="s">
        <v>5006</v>
      </c>
      <c r="E136" s="287" t="s">
        <v>3794</v>
      </c>
      <c r="F136" s="288">
        <v>44405.0</v>
      </c>
      <c r="G136" s="288">
        <v>44404.0</v>
      </c>
      <c r="H136" s="288">
        <v>44404.0</v>
      </c>
      <c r="I136" s="288">
        <v>44418.0</v>
      </c>
      <c r="J136" s="294"/>
      <c r="K136" s="294"/>
      <c r="L136" s="290" t="s">
        <v>5007</v>
      </c>
      <c r="M136" s="285" t="s">
        <v>497</v>
      </c>
      <c r="N136" s="299" t="s">
        <v>2554</v>
      </c>
      <c r="O136" s="300">
        <v>28812.0</v>
      </c>
      <c r="P136" s="198"/>
      <c r="Q136" s="198"/>
      <c r="R136" s="198"/>
      <c r="S136" s="198"/>
      <c r="T136" s="198"/>
      <c r="U136" s="198"/>
      <c r="V136" s="198"/>
      <c r="W136" s="198"/>
      <c r="X136" s="198"/>
      <c r="Y136" s="198"/>
      <c r="Z136" s="198"/>
    </row>
    <row r="137" ht="54.0" customHeight="1">
      <c r="A137" s="284">
        <v>35504.0</v>
      </c>
      <c r="B137" s="285" t="s">
        <v>25</v>
      </c>
      <c r="C137" s="285">
        <v>728.0</v>
      </c>
      <c r="D137" s="285" t="s">
        <v>5008</v>
      </c>
      <c r="E137" s="287" t="s">
        <v>4971</v>
      </c>
      <c r="F137" s="288">
        <v>44405.0</v>
      </c>
      <c r="G137" s="288">
        <v>44406.0</v>
      </c>
      <c r="H137" s="288">
        <v>44405.0</v>
      </c>
      <c r="I137" s="288">
        <v>44407.0</v>
      </c>
      <c r="J137" s="294"/>
      <c r="K137" s="294"/>
      <c r="L137" s="290" t="s">
        <v>5009</v>
      </c>
      <c r="M137" s="285" t="s">
        <v>4635</v>
      </c>
      <c r="N137" s="299" t="s">
        <v>2621</v>
      </c>
      <c r="O137" s="300">
        <v>104332.8</v>
      </c>
      <c r="P137" s="198"/>
      <c r="Q137" s="198"/>
      <c r="R137" s="198"/>
      <c r="S137" s="198"/>
      <c r="T137" s="198"/>
      <c r="U137" s="198"/>
      <c r="V137" s="198"/>
      <c r="W137" s="198"/>
      <c r="X137" s="198"/>
      <c r="Y137" s="198"/>
      <c r="Z137" s="198"/>
    </row>
    <row r="138" ht="54.0" customHeight="1">
      <c r="A138" s="284">
        <v>35264.0</v>
      </c>
      <c r="B138" s="285" t="s">
        <v>715</v>
      </c>
      <c r="C138" s="299">
        <v>810.0</v>
      </c>
      <c r="D138" s="285" t="s">
        <v>5010</v>
      </c>
      <c r="E138" s="287" t="s">
        <v>3740</v>
      </c>
      <c r="F138" s="288">
        <v>44404.0</v>
      </c>
      <c r="G138" s="288">
        <v>44399.0</v>
      </c>
      <c r="H138" s="288">
        <v>44399.0</v>
      </c>
      <c r="I138" s="288">
        <v>44411.0</v>
      </c>
      <c r="J138" s="294"/>
      <c r="K138" s="294"/>
      <c r="L138" s="290" t="s">
        <v>5011</v>
      </c>
      <c r="M138" s="285" t="s">
        <v>497</v>
      </c>
      <c r="N138" s="299" t="s">
        <v>4711</v>
      </c>
      <c r="O138" s="300">
        <v>18565.2</v>
      </c>
      <c r="P138" s="198"/>
      <c r="Q138" s="198"/>
      <c r="R138" s="198"/>
      <c r="S138" s="198"/>
      <c r="T138" s="198"/>
      <c r="U138" s="198"/>
      <c r="V138" s="198"/>
      <c r="W138" s="198"/>
      <c r="X138" s="198"/>
      <c r="Y138" s="198"/>
      <c r="Z138" s="198"/>
    </row>
    <row r="139" ht="54.0" customHeight="1">
      <c r="A139" s="284">
        <v>35682.0</v>
      </c>
      <c r="B139" s="285" t="s">
        <v>715</v>
      </c>
      <c r="C139" s="299">
        <v>1700.0</v>
      </c>
      <c r="D139" s="367" t="s">
        <v>5012</v>
      </c>
      <c r="E139" s="287" t="s">
        <v>5013</v>
      </c>
      <c r="F139" s="288">
        <v>44400.0</v>
      </c>
      <c r="G139" s="288">
        <v>44412.0</v>
      </c>
      <c r="H139" s="288">
        <v>44407.0</v>
      </c>
      <c r="I139" s="288">
        <v>44407.0</v>
      </c>
      <c r="J139" s="294"/>
      <c r="K139" s="294"/>
      <c r="L139" s="290" t="s">
        <v>5014</v>
      </c>
      <c r="M139" s="285" t="s">
        <v>4635</v>
      </c>
      <c r="N139" s="299" t="s">
        <v>2621</v>
      </c>
      <c r="O139" s="300">
        <v>55250.0</v>
      </c>
      <c r="P139" s="198"/>
      <c r="Q139" s="198"/>
      <c r="R139" s="198"/>
      <c r="S139" s="198"/>
      <c r="T139" s="198"/>
      <c r="U139" s="198"/>
      <c r="V139" s="198"/>
      <c r="W139" s="198"/>
      <c r="X139" s="198"/>
      <c r="Y139" s="198"/>
      <c r="Z139" s="198"/>
    </row>
    <row r="140" ht="54.0" customHeight="1">
      <c r="A140" s="284">
        <v>35465.0</v>
      </c>
      <c r="B140" s="285" t="s">
        <v>25</v>
      </c>
      <c r="C140" s="299">
        <v>656.0</v>
      </c>
      <c r="D140" s="285" t="s">
        <v>5015</v>
      </c>
      <c r="E140" s="287" t="s">
        <v>5016</v>
      </c>
      <c r="F140" s="288">
        <v>44399.0</v>
      </c>
      <c r="G140" s="288">
        <v>44396.0</v>
      </c>
      <c r="H140" s="288">
        <v>44396.0</v>
      </c>
      <c r="I140" s="288">
        <v>44406.0</v>
      </c>
      <c r="J140" s="294"/>
      <c r="K140" s="294"/>
      <c r="L140" s="290" t="s">
        <v>5017</v>
      </c>
      <c r="M140" s="285" t="s">
        <v>497</v>
      </c>
      <c r="N140" s="299" t="s">
        <v>2621</v>
      </c>
      <c r="O140" s="300">
        <v>241948.2</v>
      </c>
      <c r="P140" s="198"/>
      <c r="Q140" s="198"/>
      <c r="R140" s="198"/>
      <c r="S140" s="198"/>
      <c r="T140" s="198"/>
      <c r="U140" s="198"/>
      <c r="V140" s="198"/>
      <c r="W140" s="198"/>
      <c r="X140" s="198"/>
      <c r="Y140" s="198"/>
      <c r="Z140" s="198"/>
    </row>
    <row r="141" ht="54.0" customHeight="1">
      <c r="A141" s="284">
        <v>35464.0</v>
      </c>
      <c r="B141" s="285" t="s">
        <v>25</v>
      </c>
      <c r="C141" s="299">
        <v>932.0</v>
      </c>
      <c r="D141" s="285" t="s">
        <v>5018</v>
      </c>
      <c r="E141" s="287" t="s">
        <v>5016</v>
      </c>
      <c r="F141" s="288">
        <v>44399.0</v>
      </c>
      <c r="G141" s="288">
        <v>44396.0</v>
      </c>
      <c r="H141" s="288">
        <v>44396.0</v>
      </c>
      <c r="I141" s="288">
        <v>44407.0</v>
      </c>
      <c r="J141" s="294"/>
      <c r="K141" s="294"/>
      <c r="L141" s="290" t="s">
        <v>5019</v>
      </c>
      <c r="M141" s="285" t="s">
        <v>497</v>
      </c>
      <c r="N141" s="299" t="s">
        <v>2621</v>
      </c>
      <c r="O141" s="300">
        <v>326287.95</v>
      </c>
      <c r="P141" s="198"/>
      <c r="Q141" s="198"/>
      <c r="R141" s="198"/>
      <c r="S141" s="198"/>
      <c r="T141" s="198"/>
      <c r="U141" s="198"/>
      <c r="V141" s="198"/>
      <c r="W141" s="198"/>
      <c r="X141" s="198"/>
      <c r="Y141" s="198"/>
      <c r="Z141" s="198"/>
    </row>
    <row r="142" ht="54.0" customHeight="1">
      <c r="A142" s="284">
        <v>35703.0</v>
      </c>
      <c r="B142" s="285" t="s">
        <v>25</v>
      </c>
      <c r="C142" s="299">
        <v>1550.0</v>
      </c>
      <c r="D142" s="285" t="s">
        <v>5020</v>
      </c>
      <c r="E142" s="287" t="s">
        <v>5021</v>
      </c>
      <c r="F142" s="288">
        <v>44395.0</v>
      </c>
      <c r="G142" s="288">
        <v>44384.0</v>
      </c>
      <c r="H142" s="288">
        <v>44384.0</v>
      </c>
      <c r="I142" s="288">
        <v>44398.0</v>
      </c>
      <c r="J142" s="294"/>
      <c r="K142" s="294"/>
      <c r="L142" s="290" t="s">
        <v>5022</v>
      </c>
      <c r="M142" s="285" t="s">
        <v>4635</v>
      </c>
      <c r="N142" s="299" t="s">
        <v>2621</v>
      </c>
      <c r="O142" s="300">
        <v>48346.5</v>
      </c>
      <c r="P142" s="198"/>
      <c r="Q142" s="198"/>
      <c r="R142" s="198"/>
      <c r="S142" s="198"/>
      <c r="T142" s="198"/>
      <c r="U142" s="198"/>
      <c r="V142" s="198"/>
      <c r="W142" s="198"/>
      <c r="X142" s="198"/>
      <c r="Y142" s="198"/>
      <c r="Z142" s="198"/>
    </row>
    <row r="143" ht="54.0" customHeight="1">
      <c r="A143" s="284">
        <v>35728.0</v>
      </c>
      <c r="B143" s="285" t="s">
        <v>4960</v>
      </c>
      <c r="C143" s="299">
        <v>70.0</v>
      </c>
      <c r="D143" s="285" t="s">
        <v>4925</v>
      </c>
      <c r="E143" s="287" t="s">
        <v>5023</v>
      </c>
      <c r="F143" s="288">
        <v>44395.0</v>
      </c>
      <c r="G143" s="288">
        <v>44396.0</v>
      </c>
      <c r="H143" s="288">
        <v>44395.0</v>
      </c>
      <c r="I143" s="288">
        <v>44397.0</v>
      </c>
      <c r="J143" s="294"/>
      <c r="K143" s="294"/>
      <c r="L143" s="290" t="s">
        <v>5024</v>
      </c>
      <c r="M143" s="285" t="s">
        <v>497</v>
      </c>
      <c r="N143" s="299" t="s">
        <v>2621</v>
      </c>
      <c r="O143" s="300">
        <v>17444.0</v>
      </c>
      <c r="P143" s="198"/>
      <c r="Q143" s="198"/>
      <c r="R143" s="198"/>
      <c r="S143" s="198"/>
      <c r="T143" s="198"/>
      <c r="U143" s="198"/>
      <c r="V143" s="198"/>
      <c r="W143" s="198"/>
      <c r="X143" s="198"/>
      <c r="Y143" s="198"/>
      <c r="Z143" s="198"/>
    </row>
    <row r="144" ht="54.0" customHeight="1">
      <c r="A144" s="284">
        <v>35524.0</v>
      </c>
      <c r="B144" s="285" t="s">
        <v>25</v>
      </c>
      <c r="C144" s="299">
        <v>2655.0</v>
      </c>
      <c r="D144" s="285" t="s">
        <v>5025</v>
      </c>
      <c r="E144" s="287" t="s">
        <v>3949</v>
      </c>
      <c r="F144" s="288">
        <v>44394.0</v>
      </c>
      <c r="G144" s="288">
        <v>44391.0</v>
      </c>
      <c r="H144" s="288">
        <v>44404.0</v>
      </c>
      <c r="I144" s="288">
        <v>44405.0</v>
      </c>
      <c r="J144" s="294"/>
      <c r="K144" s="294"/>
      <c r="L144" s="290" t="s">
        <v>5026</v>
      </c>
      <c r="M144" s="285" t="s">
        <v>497</v>
      </c>
      <c r="N144" s="299" t="s">
        <v>2604</v>
      </c>
      <c r="O144" s="300">
        <v>42094.0</v>
      </c>
      <c r="P144" s="198"/>
      <c r="Q144" s="198"/>
      <c r="R144" s="198"/>
      <c r="S144" s="198"/>
      <c r="T144" s="198"/>
      <c r="U144" s="198"/>
      <c r="V144" s="198"/>
      <c r="W144" s="198"/>
      <c r="X144" s="198"/>
      <c r="Y144" s="198"/>
      <c r="Z144" s="198"/>
    </row>
    <row r="145" ht="61.5" customHeight="1">
      <c r="A145" s="284" t="s">
        <v>5027</v>
      </c>
      <c r="B145" s="285" t="s">
        <v>21</v>
      </c>
      <c r="C145" s="299">
        <v>330.0</v>
      </c>
      <c r="D145" s="285" t="s">
        <v>5028</v>
      </c>
      <c r="E145" s="287" t="s">
        <v>5029</v>
      </c>
      <c r="F145" s="288">
        <v>44393.0</v>
      </c>
      <c r="G145" s="288">
        <v>44386.0</v>
      </c>
      <c r="H145" s="288">
        <v>44386.0</v>
      </c>
      <c r="I145" s="288">
        <v>44417.0</v>
      </c>
      <c r="J145" s="294"/>
      <c r="K145" s="294"/>
      <c r="L145" s="290" t="s">
        <v>5030</v>
      </c>
      <c r="M145" s="285" t="s">
        <v>4745</v>
      </c>
      <c r="N145" s="299" t="s">
        <v>4746</v>
      </c>
      <c r="O145" s="300">
        <v>132600.0</v>
      </c>
      <c r="P145" s="198"/>
      <c r="Q145" s="198"/>
      <c r="R145" s="198"/>
      <c r="S145" s="198"/>
      <c r="T145" s="198"/>
      <c r="U145" s="198"/>
      <c r="V145" s="198"/>
      <c r="W145" s="198"/>
      <c r="X145" s="198"/>
      <c r="Y145" s="198"/>
      <c r="Z145" s="198"/>
    </row>
    <row r="146" ht="54.0" customHeight="1">
      <c r="A146" s="284">
        <v>35271.0</v>
      </c>
      <c r="B146" s="285" t="s">
        <v>21</v>
      </c>
      <c r="C146" s="299">
        <v>1290.0</v>
      </c>
      <c r="D146" s="285" t="s">
        <v>5031</v>
      </c>
      <c r="E146" s="287" t="s">
        <v>5032</v>
      </c>
      <c r="F146" s="288">
        <v>44392.0</v>
      </c>
      <c r="G146" s="288">
        <v>44389.0</v>
      </c>
      <c r="H146" s="288">
        <v>44389.0</v>
      </c>
      <c r="I146" s="288">
        <v>44400.0</v>
      </c>
      <c r="J146" s="294"/>
      <c r="K146" s="294"/>
      <c r="L146" s="290" t="s">
        <v>5033</v>
      </c>
      <c r="M146" s="285" t="s">
        <v>497</v>
      </c>
      <c r="N146" s="299" t="s">
        <v>2554</v>
      </c>
      <c r="O146" s="300">
        <v>44469.18</v>
      </c>
      <c r="P146" s="198"/>
      <c r="Q146" s="198"/>
      <c r="R146" s="198"/>
      <c r="S146" s="198"/>
      <c r="T146" s="198"/>
      <c r="U146" s="198"/>
      <c r="V146" s="198"/>
      <c r="W146" s="198"/>
      <c r="X146" s="198"/>
      <c r="Y146" s="198"/>
      <c r="Z146" s="198"/>
    </row>
    <row r="147" ht="54.0" customHeight="1">
      <c r="A147" s="284">
        <v>35280.0</v>
      </c>
      <c r="B147" s="285" t="s">
        <v>21</v>
      </c>
      <c r="C147" s="299">
        <v>1163.0</v>
      </c>
      <c r="D147" s="285" t="s">
        <v>5034</v>
      </c>
      <c r="E147" s="287" t="s">
        <v>5035</v>
      </c>
      <c r="F147" s="288">
        <v>44392.0</v>
      </c>
      <c r="G147" s="288">
        <v>44390.0</v>
      </c>
      <c r="H147" s="288">
        <v>44390.0</v>
      </c>
      <c r="I147" s="288">
        <v>44399.0</v>
      </c>
      <c r="J147" s="294"/>
      <c r="K147" s="294"/>
      <c r="L147" s="290" t="s">
        <v>5036</v>
      </c>
      <c r="M147" s="285" t="s">
        <v>497</v>
      </c>
      <c r="N147" s="299" t="s">
        <v>2554</v>
      </c>
      <c r="O147" s="300">
        <v>31869.84</v>
      </c>
      <c r="P147" s="198"/>
      <c r="Q147" s="198"/>
      <c r="R147" s="198"/>
      <c r="S147" s="198"/>
      <c r="T147" s="198"/>
      <c r="U147" s="198"/>
      <c r="V147" s="198"/>
      <c r="W147" s="198"/>
      <c r="X147" s="198"/>
      <c r="Y147" s="198"/>
      <c r="Z147" s="198"/>
    </row>
    <row r="148" ht="54.0" customHeight="1">
      <c r="A148" s="284">
        <v>35272.0</v>
      </c>
      <c r="B148" s="285" t="s">
        <v>21</v>
      </c>
      <c r="C148" s="299">
        <v>2430.0</v>
      </c>
      <c r="D148" s="285" t="s">
        <v>5037</v>
      </c>
      <c r="E148" s="287" t="s">
        <v>5038</v>
      </c>
      <c r="F148" s="288">
        <v>44392.0</v>
      </c>
      <c r="G148" s="288">
        <v>44385.0</v>
      </c>
      <c r="H148" s="288">
        <v>44385.0</v>
      </c>
      <c r="I148" s="288">
        <v>44396.0</v>
      </c>
      <c r="J148" s="294"/>
      <c r="K148" s="294"/>
      <c r="L148" s="290" t="s">
        <v>5039</v>
      </c>
      <c r="M148" s="285" t="s">
        <v>497</v>
      </c>
      <c r="N148" s="299" t="s">
        <v>2554</v>
      </c>
      <c r="O148" s="300">
        <v>54292.0</v>
      </c>
      <c r="P148" s="198"/>
      <c r="Q148" s="198"/>
      <c r="R148" s="198"/>
      <c r="S148" s="198"/>
      <c r="T148" s="198"/>
      <c r="U148" s="198"/>
      <c r="V148" s="198"/>
      <c r="W148" s="198"/>
      <c r="X148" s="198"/>
      <c r="Y148" s="198"/>
      <c r="Z148" s="198"/>
    </row>
    <row r="149" ht="54.0" customHeight="1">
      <c r="A149" s="284">
        <v>35289.0</v>
      </c>
      <c r="B149" s="285" t="s">
        <v>21</v>
      </c>
      <c r="C149" s="299">
        <v>3500.0</v>
      </c>
      <c r="D149" s="285" t="s">
        <v>5040</v>
      </c>
      <c r="E149" s="287" t="s">
        <v>5041</v>
      </c>
      <c r="F149" s="288">
        <v>44392.0</v>
      </c>
      <c r="G149" s="288">
        <v>44385.0</v>
      </c>
      <c r="H149" s="288">
        <v>44385.0</v>
      </c>
      <c r="I149" s="288">
        <v>44399.0</v>
      </c>
      <c r="J149" s="294"/>
      <c r="K149" s="294"/>
      <c r="L149" s="290" t="s">
        <v>5042</v>
      </c>
      <c r="M149" s="285" t="s">
        <v>497</v>
      </c>
      <c r="N149" s="299" t="s">
        <v>2554</v>
      </c>
      <c r="O149" s="300">
        <v>24150.0</v>
      </c>
      <c r="P149" s="198"/>
      <c r="Q149" s="198"/>
      <c r="R149" s="198"/>
      <c r="S149" s="198"/>
      <c r="T149" s="198"/>
      <c r="U149" s="198"/>
      <c r="V149" s="198"/>
      <c r="W149" s="198"/>
      <c r="X149" s="198"/>
      <c r="Y149" s="198"/>
      <c r="Z149" s="198"/>
    </row>
    <row r="150" ht="54.0" customHeight="1">
      <c r="A150" s="284">
        <v>35278.0</v>
      </c>
      <c r="B150" s="285" t="s">
        <v>21</v>
      </c>
      <c r="C150" s="299">
        <v>3000.0</v>
      </c>
      <c r="D150" s="285" t="s">
        <v>5043</v>
      </c>
      <c r="E150" s="287" t="s">
        <v>5044</v>
      </c>
      <c r="F150" s="288">
        <v>44392.0</v>
      </c>
      <c r="G150" s="288">
        <v>44386.0</v>
      </c>
      <c r="H150" s="288">
        <v>44386.0</v>
      </c>
      <c r="I150" s="288">
        <v>44398.0</v>
      </c>
      <c r="J150" s="294"/>
      <c r="K150" s="294"/>
      <c r="L150" s="290" t="s">
        <v>5045</v>
      </c>
      <c r="M150" s="285" t="s">
        <v>497</v>
      </c>
      <c r="N150" s="299" t="s">
        <v>2554</v>
      </c>
      <c r="O150" s="300">
        <v>20610.0</v>
      </c>
      <c r="P150" s="198"/>
      <c r="Q150" s="198"/>
      <c r="R150" s="198"/>
      <c r="S150" s="198"/>
      <c r="T150" s="198"/>
      <c r="U150" s="198"/>
      <c r="V150" s="198"/>
      <c r="W150" s="198"/>
      <c r="X150" s="198"/>
      <c r="Y150" s="198"/>
      <c r="Z150" s="198"/>
    </row>
    <row r="151" ht="54.0" customHeight="1">
      <c r="A151" s="284">
        <v>35680.0</v>
      </c>
      <c r="B151" s="285" t="s">
        <v>715</v>
      </c>
      <c r="C151" s="299">
        <v>930.0</v>
      </c>
      <c r="D151" s="367" t="s">
        <v>5046</v>
      </c>
      <c r="E151" s="287" t="s">
        <v>4787</v>
      </c>
      <c r="F151" s="288">
        <v>44392.0</v>
      </c>
      <c r="G151" s="288">
        <v>44419.0</v>
      </c>
      <c r="H151" s="288">
        <v>44399.0</v>
      </c>
      <c r="I151" s="288">
        <v>44399.0</v>
      </c>
      <c r="J151" s="294"/>
      <c r="K151" s="294"/>
      <c r="L151" s="290" t="s">
        <v>5047</v>
      </c>
      <c r="M151" s="285" t="s">
        <v>4635</v>
      </c>
      <c r="N151" s="299" t="s">
        <v>2621</v>
      </c>
      <c r="O151" s="300">
        <v>63407.2</v>
      </c>
      <c r="P151" s="198"/>
      <c r="Q151" s="198"/>
      <c r="R151" s="198"/>
      <c r="S151" s="198"/>
      <c r="T151" s="198"/>
      <c r="U151" s="198"/>
      <c r="V151" s="198"/>
      <c r="W151" s="198"/>
      <c r="X151" s="198"/>
      <c r="Y151" s="198"/>
      <c r="Z151" s="198"/>
    </row>
    <row r="152" ht="54.0" customHeight="1">
      <c r="A152" s="284">
        <v>35288.0</v>
      </c>
      <c r="B152" s="285" t="s">
        <v>21</v>
      </c>
      <c r="C152" s="299">
        <v>1161.0</v>
      </c>
      <c r="D152" s="285" t="s">
        <v>5048</v>
      </c>
      <c r="E152" s="287" t="s">
        <v>5049</v>
      </c>
      <c r="F152" s="288">
        <v>44390.0</v>
      </c>
      <c r="G152" s="288">
        <v>44385.0</v>
      </c>
      <c r="H152" s="288">
        <v>44385.0</v>
      </c>
      <c r="I152" s="288">
        <v>44397.0</v>
      </c>
      <c r="J152" s="294"/>
      <c r="K152" s="294"/>
      <c r="L152" s="290" t="s">
        <v>5050</v>
      </c>
      <c r="M152" s="285" t="s">
        <v>4745</v>
      </c>
      <c r="N152" s="299" t="s">
        <v>2604</v>
      </c>
      <c r="O152" s="300">
        <v>60851.6</v>
      </c>
      <c r="P152" s="198"/>
      <c r="Q152" s="198"/>
      <c r="R152" s="198"/>
      <c r="S152" s="198"/>
      <c r="T152" s="198"/>
      <c r="U152" s="198"/>
      <c r="V152" s="198"/>
      <c r="W152" s="198"/>
      <c r="X152" s="198"/>
      <c r="Y152" s="198"/>
      <c r="Z152" s="198"/>
    </row>
    <row r="153" ht="54.0" customHeight="1">
      <c r="A153" s="284">
        <v>35287.0</v>
      </c>
      <c r="B153" s="285" t="s">
        <v>21</v>
      </c>
      <c r="C153" s="299">
        <v>1161.0</v>
      </c>
      <c r="D153" s="285" t="s">
        <v>5051</v>
      </c>
      <c r="E153" s="287" t="s">
        <v>5049</v>
      </c>
      <c r="F153" s="288">
        <v>44390.0</v>
      </c>
      <c r="G153" s="288">
        <v>44385.0</v>
      </c>
      <c r="H153" s="288">
        <v>44385.0</v>
      </c>
      <c r="I153" s="288">
        <v>44400.0</v>
      </c>
      <c r="J153" s="294"/>
      <c r="K153" s="294"/>
      <c r="L153" s="290" t="s">
        <v>5052</v>
      </c>
      <c r="M153" s="285" t="s">
        <v>4745</v>
      </c>
      <c r="N153" s="299" t="s">
        <v>2604</v>
      </c>
      <c r="O153" s="300">
        <v>60851.6</v>
      </c>
      <c r="P153" s="198"/>
      <c r="Q153" s="198"/>
      <c r="R153" s="198"/>
      <c r="S153" s="198"/>
      <c r="T153" s="198"/>
      <c r="U153" s="198"/>
      <c r="V153" s="198"/>
      <c r="W153" s="198"/>
      <c r="X153" s="198"/>
      <c r="Y153" s="198"/>
      <c r="Z153" s="198"/>
    </row>
    <row r="154" ht="54.0" customHeight="1">
      <c r="A154" s="284">
        <v>35276.0</v>
      </c>
      <c r="B154" s="285" t="s">
        <v>715</v>
      </c>
      <c r="C154" s="299">
        <v>2100.0</v>
      </c>
      <c r="D154" s="285" t="s">
        <v>5053</v>
      </c>
      <c r="E154" s="287" t="s">
        <v>5054</v>
      </c>
      <c r="F154" s="288">
        <v>44390.0</v>
      </c>
      <c r="G154" s="288">
        <v>44384.0</v>
      </c>
      <c r="H154" s="288">
        <v>44384.0</v>
      </c>
      <c r="I154" s="288">
        <v>44396.0</v>
      </c>
      <c r="J154" s="294"/>
      <c r="K154" s="294"/>
      <c r="L154" s="290" t="s">
        <v>5055</v>
      </c>
      <c r="M154" s="285" t="s">
        <v>497</v>
      </c>
      <c r="N154" s="299" t="s">
        <v>2554</v>
      </c>
      <c r="O154" s="300">
        <v>28812.0</v>
      </c>
      <c r="P154" s="198"/>
      <c r="Q154" s="198"/>
      <c r="R154" s="198"/>
      <c r="S154" s="198"/>
      <c r="T154" s="198"/>
      <c r="U154" s="198"/>
      <c r="V154" s="198"/>
      <c r="W154" s="198"/>
      <c r="X154" s="198"/>
      <c r="Y154" s="198"/>
      <c r="Z154" s="198"/>
    </row>
    <row r="155" ht="54.0" customHeight="1">
      <c r="A155" s="284">
        <v>35275.0</v>
      </c>
      <c r="B155" s="285" t="s">
        <v>715</v>
      </c>
      <c r="C155" s="299">
        <v>2595.0</v>
      </c>
      <c r="D155" s="285" t="s">
        <v>5056</v>
      </c>
      <c r="E155" s="287" t="s">
        <v>5057</v>
      </c>
      <c r="F155" s="288">
        <v>44390.0</v>
      </c>
      <c r="G155" s="288">
        <v>44384.0</v>
      </c>
      <c r="H155" s="288">
        <v>44384.0</v>
      </c>
      <c r="I155" s="288">
        <v>44396.0</v>
      </c>
      <c r="J155" s="294"/>
      <c r="K155" s="294"/>
      <c r="L155" s="290" t="s">
        <v>5058</v>
      </c>
      <c r="M155" s="285" t="s">
        <v>497</v>
      </c>
      <c r="N155" s="299" t="s">
        <v>2554</v>
      </c>
      <c r="O155" s="300">
        <v>36952.8</v>
      </c>
      <c r="P155" s="198"/>
      <c r="Q155" s="198"/>
      <c r="R155" s="198"/>
      <c r="S155" s="198"/>
      <c r="T155" s="198"/>
      <c r="U155" s="198"/>
      <c r="V155" s="198"/>
      <c r="W155" s="198"/>
      <c r="X155" s="198"/>
      <c r="Y155" s="198"/>
      <c r="Z155" s="198"/>
    </row>
    <row r="156" ht="54.0" customHeight="1">
      <c r="A156" s="284">
        <v>35706.0</v>
      </c>
      <c r="B156" s="285" t="s">
        <v>25</v>
      </c>
      <c r="C156" s="299" t="s">
        <v>5059</v>
      </c>
      <c r="D156" s="285" t="s">
        <v>5060</v>
      </c>
      <c r="E156" s="287" t="s">
        <v>5061</v>
      </c>
      <c r="F156" s="288">
        <v>44388.0</v>
      </c>
      <c r="G156" s="288">
        <v>44384.0</v>
      </c>
      <c r="H156" s="288">
        <v>44384.0</v>
      </c>
      <c r="I156" s="288">
        <v>44419.0</v>
      </c>
      <c r="J156" s="294"/>
      <c r="K156" s="294"/>
      <c r="L156" s="290" t="s">
        <v>5062</v>
      </c>
      <c r="M156" s="285" t="s">
        <v>4635</v>
      </c>
      <c r="N156" s="299" t="s">
        <v>2621</v>
      </c>
      <c r="O156" s="300">
        <v>14713.95</v>
      </c>
      <c r="P156" s="198"/>
      <c r="Q156" s="198"/>
      <c r="R156" s="198"/>
      <c r="S156" s="198"/>
      <c r="T156" s="198"/>
      <c r="U156" s="198"/>
      <c r="V156" s="198"/>
      <c r="W156" s="198"/>
      <c r="X156" s="198"/>
      <c r="Y156" s="198"/>
      <c r="Z156" s="198"/>
    </row>
    <row r="157" ht="54.0" customHeight="1">
      <c r="A157" s="284">
        <v>35261.0</v>
      </c>
      <c r="B157" s="285" t="s">
        <v>25</v>
      </c>
      <c r="C157" s="299">
        <v>810.0</v>
      </c>
      <c r="D157" s="285" t="s">
        <v>5063</v>
      </c>
      <c r="E157" s="287" t="s">
        <v>3740</v>
      </c>
      <c r="F157" s="288">
        <v>44388.0</v>
      </c>
      <c r="G157" s="288">
        <v>44386.0</v>
      </c>
      <c r="H157" s="288">
        <v>44386.0</v>
      </c>
      <c r="I157" s="288">
        <v>44393.0</v>
      </c>
      <c r="J157" s="294"/>
      <c r="K157" s="294"/>
      <c r="L157" s="290" t="s">
        <v>5064</v>
      </c>
      <c r="M157" s="285" t="s">
        <v>497</v>
      </c>
      <c r="N157" s="299" t="s">
        <v>4711</v>
      </c>
      <c r="O157" s="300">
        <v>17176.37</v>
      </c>
      <c r="P157" s="198"/>
      <c r="Q157" s="198"/>
      <c r="R157" s="198"/>
      <c r="S157" s="198"/>
      <c r="T157" s="198"/>
      <c r="U157" s="198"/>
      <c r="V157" s="198"/>
      <c r="W157" s="198"/>
      <c r="X157" s="198"/>
      <c r="Y157" s="198"/>
      <c r="Z157" s="198"/>
    </row>
    <row r="158" ht="54.0" customHeight="1">
      <c r="A158" s="284">
        <v>35279.0</v>
      </c>
      <c r="B158" s="285" t="s">
        <v>715</v>
      </c>
      <c r="C158" s="299">
        <v>3000.0</v>
      </c>
      <c r="D158" s="285" t="s">
        <v>5065</v>
      </c>
      <c r="E158" s="287" t="s">
        <v>5066</v>
      </c>
      <c r="F158" s="288">
        <v>44387.0</v>
      </c>
      <c r="G158" s="288">
        <v>44383.0</v>
      </c>
      <c r="H158" s="288">
        <v>44383.0</v>
      </c>
      <c r="I158" s="288">
        <v>44392.0</v>
      </c>
      <c r="J158" s="294"/>
      <c r="K158" s="294"/>
      <c r="L158" s="290" t="s">
        <v>5067</v>
      </c>
      <c r="M158" s="285" t="s">
        <v>497</v>
      </c>
      <c r="N158" s="299" t="s">
        <v>2554</v>
      </c>
      <c r="O158" s="300">
        <v>21040.0</v>
      </c>
      <c r="P158" s="198"/>
      <c r="Q158" s="198"/>
      <c r="R158" s="198"/>
      <c r="S158" s="198"/>
      <c r="T158" s="198"/>
      <c r="U158" s="198"/>
      <c r="V158" s="198"/>
      <c r="W158" s="198"/>
      <c r="X158" s="198"/>
      <c r="Y158" s="198"/>
      <c r="Z158" s="198"/>
    </row>
    <row r="159" ht="54.0" customHeight="1">
      <c r="A159" s="284" t="s">
        <v>5068</v>
      </c>
      <c r="B159" s="285" t="s">
        <v>21</v>
      </c>
      <c r="C159" s="299">
        <v>6375.0</v>
      </c>
      <c r="D159" s="285" t="s">
        <v>5069</v>
      </c>
      <c r="E159" s="287" t="s">
        <v>5070</v>
      </c>
      <c r="F159" s="288">
        <v>44387.0</v>
      </c>
      <c r="G159" s="288">
        <v>44383.0</v>
      </c>
      <c r="H159" s="288">
        <v>44383.0</v>
      </c>
      <c r="I159" s="288">
        <v>44406.0</v>
      </c>
      <c r="J159" s="294"/>
      <c r="K159" s="294"/>
      <c r="L159" s="290" t="s">
        <v>5071</v>
      </c>
      <c r="M159" s="285" t="s">
        <v>4635</v>
      </c>
      <c r="N159" s="299" t="s">
        <v>2621</v>
      </c>
      <c r="O159" s="300">
        <v>178252.2</v>
      </c>
      <c r="P159" s="198"/>
      <c r="Q159" s="198"/>
      <c r="R159" s="198"/>
      <c r="S159" s="198"/>
      <c r="T159" s="198"/>
      <c r="U159" s="198"/>
      <c r="V159" s="198"/>
      <c r="W159" s="198"/>
      <c r="X159" s="198"/>
      <c r="Y159" s="198"/>
      <c r="Z159" s="198"/>
    </row>
    <row r="160" ht="54.0" customHeight="1">
      <c r="A160" s="284">
        <v>35466.0</v>
      </c>
      <c r="B160" s="285" t="s">
        <v>4960</v>
      </c>
      <c r="C160" s="299">
        <v>130.0</v>
      </c>
      <c r="D160" s="285" t="s">
        <v>4925</v>
      </c>
      <c r="E160" s="287" t="s">
        <v>5023</v>
      </c>
      <c r="F160" s="288">
        <v>44380.0</v>
      </c>
      <c r="G160" s="288">
        <v>44383.0</v>
      </c>
      <c r="H160" s="288">
        <v>44383.0</v>
      </c>
      <c r="I160" s="288">
        <v>44383.0</v>
      </c>
      <c r="J160" s="294"/>
      <c r="K160" s="294"/>
      <c r="L160" s="290" t="s">
        <v>5072</v>
      </c>
      <c r="M160" s="285" t="s">
        <v>497</v>
      </c>
      <c r="N160" s="299" t="s">
        <v>2621</v>
      </c>
      <c r="O160" s="300">
        <v>32396.0</v>
      </c>
      <c r="P160" s="198"/>
      <c r="Q160" s="198"/>
      <c r="R160" s="198"/>
      <c r="S160" s="198"/>
      <c r="T160" s="198"/>
      <c r="U160" s="198"/>
      <c r="V160" s="198"/>
      <c r="W160" s="198"/>
      <c r="X160" s="198"/>
      <c r="Y160" s="198"/>
      <c r="Z160" s="198"/>
    </row>
    <row r="161" ht="54.0" customHeight="1">
      <c r="A161" s="284">
        <v>35557.0</v>
      </c>
      <c r="B161" s="285" t="s">
        <v>25</v>
      </c>
      <c r="C161" s="299">
        <v>905.0</v>
      </c>
      <c r="D161" s="285" t="s">
        <v>5073</v>
      </c>
      <c r="E161" s="287" t="s">
        <v>5074</v>
      </c>
      <c r="F161" s="288">
        <v>44379.0</v>
      </c>
      <c r="G161" s="288">
        <v>44375.0</v>
      </c>
      <c r="H161" s="288">
        <v>44375.0</v>
      </c>
      <c r="I161" s="288">
        <v>44383.0</v>
      </c>
      <c r="J161" s="294"/>
      <c r="K161" s="294"/>
      <c r="L161" s="290" t="s">
        <v>5075</v>
      </c>
      <c r="M161" s="285" t="s">
        <v>4635</v>
      </c>
      <c r="N161" s="299" t="s">
        <v>2621</v>
      </c>
      <c r="O161" s="300">
        <v>72399.85</v>
      </c>
      <c r="P161" s="198"/>
      <c r="Q161" s="198"/>
      <c r="R161" s="198"/>
      <c r="S161" s="198"/>
      <c r="T161" s="198"/>
      <c r="U161" s="198"/>
      <c r="V161" s="198"/>
      <c r="W161" s="198"/>
      <c r="X161" s="198"/>
      <c r="Y161" s="198"/>
      <c r="Z161" s="198"/>
    </row>
    <row r="162" ht="54.0" customHeight="1">
      <c r="A162" s="284" t="s">
        <v>5076</v>
      </c>
      <c r="B162" s="285" t="s">
        <v>715</v>
      </c>
      <c r="C162" s="299">
        <v>2091.0</v>
      </c>
      <c r="D162" s="285" t="s">
        <v>5077</v>
      </c>
      <c r="E162" s="287" t="s">
        <v>5078</v>
      </c>
      <c r="F162" s="288">
        <v>44378.0</v>
      </c>
      <c r="G162" s="288">
        <v>44375.0</v>
      </c>
      <c r="H162" s="288">
        <v>44375.0</v>
      </c>
      <c r="I162" s="288">
        <v>44385.0</v>
      </c>
      <c r="J162" s="294"/>
      <c r="K162" s="294"/>
      <c r="L162" s="290" t="s">
        <v>5079</v>
      </c>
      <c r="M162" s="285" t="s">
        <v>497</v>
      </c>
      <c r="N162" s="299" t="s">
        <v>2554</v>
      </c>
      <c r="O162" s="300">
        <v>30992.0</v>
      </c>
      <c r="P162" s="198"/>
      <c r="Q162" s="198"/>
      <c r="R162" s="198"/>
      <c r="S162" s="198"/>
      <c r="T162" s="198"/>
      <c r="U162" s="198"/>
      <c r="V162" s="198"/>
      <c r="W162" s="198"/>
      <c r="X162" s="198"/>
      <c r="Y162" s="198"/>
      <c r="Z162" s="198"/>
    </row>
    <row r="163" ht="54.0" customHeight="1">
      <c r="A163" s="284">
        <v>35569.0</v>
      </c>
      <c r="B163" s="285" t="s">
        <v>21</v>
      </c>
      <c r="C163" s="299">
        <v>590.0</v>
      </c>
      <c r="D163" s="285" t="s">
        <v>5080</v>
      </c>
      <c r="E163" s="287" t="s">
        <v>5081</v>
      </c>
      <c r="F163" s="288">
        <v>44378.0</v>
      </c>
      <c r="G163" s="288">
        <v>44370.0</v>
      </c>
      <c r="H163" s="288">
        <v>44370.0</v>
      </c>
      <c r="I163" s="288">
        <v>44397.0</v>
      </c>
      <c r="J163" s="294"/>
      <c r="K163" s="294"/>
      <c r="L163" s="290" t="s">
        <v>5082</v>
      </c>
      <c r="M163" s="285" t="s">
        <v>4635</v>
      </c>
      <c r="N163" s="299" t="s">
        <v>2621</v>
      </c>
      <c r="O163" s="300">
        <v>54727.86</v>
      </c>
      <c r="P163" s="198"/>
      <c r="Q163" s="198"/>
      <c r="R163" s="198"/>
      <c r="S163" s="198"/>
      <c r="T163" s="198"/>
      <c r="U163" s="198"/>
      <c r="V163" s="198"/>
      <c r="W163" s="198"/>
      <c r="X163" s="198"/>
      <c r="Y163" s="198"/>
      <c r="Z163" s="198"/>
    </row>
    <row r="164" ht="54.0" customHeight="1">
      <c r="A164" s="284">
        <v>35616.0</v>
      </c>
      <c r="B164" s="285" t="s">
        <v>25</v>
      </c>
      <c r="C164" s="299">
        <v>1074.0</v>
      </c>
      <c r="D164" s="285" t="s">
        <v>5083</v>
      </c>
      <c r="E164" s="287" t="s">
        <v>5084</v>
      </c>
      <c r="F164" s="288">
        <v>44377.0</v>
      </c>
      <c r="G164" s="288">
        <v>44375.0</v>
      </c>
      <c r="H164" s="288">
        <v>44375.0</v>
      </c>
      <c r="I164" s="288">
        <v>44386.0</v>
      </c>
      <c r="J164" s="294"/>
      <c r="K164" s="294"/>
      <c r="L164" s="290" t="s">
        <v>5085</v>
      </c>
      <c r="M164" s="285" t="s">
        <v>4635</v>
      </c>
      <c r="N164" s="299" t="s">
        <v>2621</v>
      </c>
      <c r="O164" s="300">
        <v>49665.92</v>
      </c>
      <c r="P164" s="198"/>
      <c r="Q164" s="198"/>
      <c r="R164" s="198"/>
      <c r="S164" s="198"/>
      <c r="T164" s="198"/>
      <c r="U164" s="198"/>
      <c r="V164" s="198"/>
      <c r="W164" s="198"/>
      <c r="X164" s="198"/>
      <c r="Y164" s="198"/>
      <c r="Z164" s="198"/>
    </row>
    <row r="165" ht="58.5" customHeight="1">
      <c r="A165" s="284">
        <v>35360.0</v>
      </c>
      <c r="B165" s="285" t="s">
        <v>21</v>
      </c>
      <c r="C165" s="299">
        <v>784.0</v>
      </c>
      <c r="D165" s="285" t="s">
        <v>5086</v>
      </c>
      <c r="E165" s="287" t="s">
        <v>3812</v>
      </c>
      <c r="F165" s="288">
        <v>44377.0</v>
      </c>
      <c r="G165" s="288">
        <v>44368.0</v>
      </c>
      <c r="H165" s="288">
        <v>44368.0</v>
      </c>
      <c r="I165" s="288">
        <v>44393.0</v>
      </c>
      <c r="J165" s="294"/>
      <c r="K165" s="294"/>
      <c r="L165" s="290" t="s">
        <v>5087</v>
      </c>
      <c r="M165" s="285" t="s">
        <v>497</v>
      </c>
      <c r="N165" s="299" t="s">
        <v>4662</v>
      </c>
      <c r="O165" s="300">
        <v>44863.25</v>
      </c>
      <c r="P165" s="198"/>
      <c r="Q165" s="198"/>
      <c r="R165" s="198"/>
      <c r="S165" s="198"/>
      <c r="T165" s="198"/>
      <c r="U165" s="198"/>
      <c r="V165" s="198"/>
      <c r="W165" s="198"/>
      <c r="X165" s="198"/>
      <c r="Y165" s="198"/>
      <c r="Z165" s="198"/>
    </row>
    <row r="166" ht="54.0" customHeight="1">
      <c r="A166" s="284">
        <v>35334.0</v>
      </c>
      <c r="B166" s="285" t="s">
        <v>715</v>
      </c>
      <c r="C166" s="299">
        <v>1800.0</v>
      </c>
      <c r="D166" s="367" t="s">
        <v>5088</v>
      </c>
      <c r="E166" s="287" t="s">
        <v>5089</v>
      </c>
      <c r="F166" s="288">
        <v>44377.0</v>
      </c>
      <c r="G166" s="288">
        <v>44376.0</v>
      </c>
      <c r="H166" s="288">
        <v>44376.0</v>
      </c>
      <c r="I166" s="288">
        <v>44386.0</v>
      </c>
      <c r="J166" s="294"/>
      <c r="K166" s="294"/>
      <c r="L166" s="290" t="s">
        <v>5090</v>
      </c>
      <c r="M166" s="285" t="s">
        <v>497</v>
      </c>
      <c r="N166" s="299" t="s">
        <v>5091</v>
      </c>
      <c r="O166" s="300">
        <v>18541.8</v>
      </c>
      <c r="P166" s="198"/>
      <c r="Q166" s="198"/>
      <c r="R166" s="198"/>
      <c r="S166" s="198"/>
      <c r="T166" s="198"/>
      <c r="U166" s="198"/>
      <c r="V166" s="198"/>
      <c r="W166" s="198"/>
      <c r="X166" s="198"/>
      <c r="Y166" s="198"/>
      <c r="Z166" s="198"/>
    </row>
    <row r="167" ht="54.0" customHeight="1">
      <c r="A167" s="284">
        <v>35592.0</v>
      </c>
      <c r="B167" s="285" t="s">
        <v>715</v>
      </c>
      <c r="C167" s="299">
        <v>1180.0</v>
      </c>
      <c r="D167" s="285" t="s">
        <v>5092</v>
      </c>
      <c r="E167" s="287" t="s">
        <v>5093</v>
      </c>
      <c r="F167" s="288">
        <v>44374.0</v>
      </c>
      <c r="G167" s="288">
        <v>44372.0</v>
      </c>
      <c r="H167" s="288">
        <v>44372.0</v>
      </c>
      <c r="I167" s="288">
        <v>44379.0</v>
      </c>
      <c r="J167" s="294"/>
      <c r="K167" s="294"/>
      <c r="L167" s="290" t="s">
        <v>5094</v>
      </c>
      <c r="M167" s="285" t="s">
        <v>4635</v>
      </c>
      <c r="N167" s="299" t="s">
        <v>2621</v>
      </c>
      <c r="O167" s="300">
        <v>38511.6</v>
      </c>
      <c r="P167" s="198"/>
      <c r="Q167" s="198"/>
      <c r="R167" s="198"/>
      <c r="S167" s="198"/>
      <c r="T167" s="198"/>
      <c r="U167" s="198"/>
      <c r="V167" s="198"/>
      <c r="W167" s="198"/>
      <c r="X167" s="198"/>
      <c r="Y167" s="198"/>
      <c r="Z167" s="198"/>
    </row>
    <row r="168" ht="55.5" customHeight="1">
      <c r="A168" s="284">
        <v>34993.0</v>
      </c>
      <c r="B168" s="285" t="s">
        <v>21</v>
      </c>
      <c r="C168" s="299">
        <v>900.0</v>
      </c>
      <c r="D168" s="285" t="s">
        <v>5095</v>
      </c>
      <c r="E168" s="287" t="s">
        <v>3740</v>
      </c>
      <c r="F168" s="288">
        <v>44374.0</v>
      </c>
      <c r="G168" s="288">
        <v>44349.0</v>
      </c>
      <c r="H168" s="288">
        <v>44349.0</v>
      </c>
      <c r="I168" s="288">
        <v>44376.0</v>
      </c>
      <c r="J168" s="294"/>
      <c r="K168" s="294"/>
      <c r="L168" s="290" t="s">
        <v>5096</v>
      </c>
      <c r="M168" s="285" t="s">
        <v>497</v>
      </c>
      <c r="N168" s="299" t="s">
        <v>4711</v>
      </c>
      <c r="O168" s="300">
        <v>19084.86</v>
      </c>
      <c r="P168" s="198"/>
      <c r="Q168" s="198"/>
      <c r="R168" s="198"/>
      <c r="S168" s="198"/>
      <c r="T168" s="198"/>
      <c r="U168" s="198"/>
      <c r="V168" s="198"/>
      <c r="W168" s="198"/>
      <c r="X168" s="198"/>
      <c r="Y168" s="198"/>
      <c r="Z168" s="198"/>
    </row>
    <row r="169" ht="54.0" customHeight="1">
      <c r="A169" s="284">
        <v>35448.0</v>
      </c>
      <c r="B169" s="285" t="s">
        <v>25</v>
      </c>
      <c r="C169" s="299" t="s">
        <v>5097</v>
      </c>
      <c r="D169" s="285" t="s">
        <v>5098</v>
      </c>
      <c r="E169" s="287" t="s">
        <v>5099</v>
      </c>
      <c r="F169" s="288">
        <v>44373.0</v>
      </c>
      <c r="G169" s="285" t="s">
        <v>28</v>
      </c>
      <c r="H169" s="285" t="s">
        <v>28</v>
      </c>
      <c r="I169" s="288">
        <v>44389.0</v>
      </c>
      <c r="J169" s="294"/>
      <c r="K169" s="294"/>
      <c r="L169" s="290" t="s">
        <v>5100</v>
      </c>
      <c r="M169" s="285" t="s">
        <v>497</v>
      </c>
      <c r="N169" s="299" t="s">
        <v>2538</v>
      </c>
      <c r="O169" s="300">
        <v>89964.0</v>
      </c>
      <c r="P169" s="198"/>
      <c r="Q169" s="198"/>
      <c r="R169" s="198"/>
      <c r="S169" s="198"/>
      <c r="T169" s="198"/>
      <c r="U169" s="198"/>
      <c r="V169" s="198"/>
      <c r="W169" s="198"/>
      <c r="X169" s="198"/>
      <c r="Y169" s="198"/>
      <c r="Z169" s="198"/>
    </row>
    <row r="170" ht="54.0" customHeight="1">
      <c r="A170" s="284">
        <v>35553.0</v>
      </c>
      <c r="B170" s="285" t="s">
        <v>21</v>
      </c>
      <c r="C170" s="299">
        <v>1680.0</v>
      </c>
      <c r="D170" s="285" t="s">
        <v>5101</v>
      </c>
      <c r="E170" s="287" t="s">
        <v>5013</v>
      </c>
      <c r="F170" s="288">
        <v>44373.0</v>
      </c>
      <c r="G170" s="288">
        <v>44357.0</v>
      </c>
      <c r="H170" s="288">
        <v>44357.0</v>
      </c>
      <c r="I170" s="288">
        <v>44396.0</v>
      </c>
      <c r="J170" s="294"/>
      <c r="K170" s="294"/>
      <c r="L170" s="290" t="s">
        <v>5102</v>
      </c>
      <c r="M170" s="285" t="s">
        <v>4635</v>
      </c>
      <c r="N170" s="299" t="s">
        <v>2621</v>
      </c>
      <c r="O170" s="300">
        <v>47889.6</v>
      </c>
      <c r="P170" s="198"/>
      <c r="Q170" s="198"/>
      <c r="R170" s="198"/>
      <c r="S170" s="198"/>
      <c r="T170" s="198"/>
      <c r="U170" s="198"/>
      <c r="V170" s="198"/>
      <c r="W170" s="198"/>
      <c r="X170" s="198"/>
      <c r="Y170" s="198"/>
      <c r="Z170" s="198"/>
    </row>
    <row r="171" ht="54.0" customHeight="1">
      <c r="A171" s="284">
        <v>35552.0</v>
      </c>
      <c r="B171" s="285" t="s">
        <v>21</v>
      </c>
      <c r="C171" s="299">
        <v>1180.0</v>
      </c>
      <c r="D171" s="285" t="s">
        <v>5103</v>
      </c>
      <c r="E171" s="287" t="s">
        <v>5104</v>
      </c>
      <c r="F171" s="288">
        <v>44373.0</v>
      </c>
      <c r="G171" s="288">
        <v>44357.0</v>
      </c>
      <c r="H171" s="288">
        <v>44357.0</v>
      </c>
      <c r="I171" s="288">
        <v>44392.0</v>
      </c>
      <c r="J171" s="294"/>
      <c r="K171" s="294"/>
      <c r="L171" s="290" t="s">
        <v>5105</v>
      </c>
      <c r="M171" s="285" t="s">
        <v>4635</v>
      </c>
      <c r="N171" s="299" t="s">
        <v>2621</v>
      </c>
      <c r="O171" s="300">
        <v>39414.8</v>
      </c>
      <c r="P171" s="198"/>
      <c r="Q171" s="198"/>
      <c r="R171" s="198"/>
      <c r="S171" s="198"/>
      <c r="T171" s="198"/>
      <c r="U171" s="198"/>
      <c r="V171" s="198"/>
      <c r="W171" s="198"/>
      <c r="X171" s="198"/>
      <c r="Y171" s="198"/>
      <c r="Z171" s="198"/>
    </row>
    <row r="172" ht="54.0" customHeight="1">
      <c r="A172" s="284">
        <v>35636.0</v>
      </c>
      <c r="B172" s="285" t="s">
        <v>21</v>
      </c>
      <c r="C172" s="299">
        <v>1370.0</v>
      </c>
      <c r="D172" s="285" t="s">
        <v>5106</v>
      </c>
      <c r="E172" s="287" t="s">
        <v>5107</v>
      </c>
      <c r="F172" s="288">
        <v>44373.0</v>
      </c>
      <c r="G172" s="288">
        <v>44363.0</v>
      </c>
      <c r="H172" s="288">
        <v>44363.0</v>
      </c>
      <c r="I172" s="288">
        <v>44377.0</v>
      </c>
      <c r="J172" s="294"/>
      <c r="K172" s="294"/>
      <c r="L172" s="290" t="s">
        <v>5108</v>
      </c>
      <c r="M172" s="285" t="s">
        <v>4635</v>
      </c>
      <c r="N172" s="299" t="s">
        <v>2621</v>
      </c>
      <c r="O172" s="300">
        <v>70534.8</v>
      </c>
      <c r="P172" s="198"/>
      <c r="Q172" s="198"/>
      <c r="R172" s="198"/>
      <c r="S172" s="198"/>
      <c r="T172" s="198"/>
      <c r="U172" s="198"/>
      <c r="V172" s="198"/>
      <c r="W172" s="198"/>
      <c r="X172" s="198"/>
      <c r="Y172" s="198"/>
      <c r="Z172" s="198"/>
    </row>
    <row r="173" ht="54.0" customHeight="1">
      <c r="A173" s="284">
        <v>35644.0</v>
      </c>
      <c r="B173" s="285" t="s">
        <v>5109</v>
      </c>
      <c r="C173" s="299">
        <v>1202.0</v>
      </c>
      <c r="D173" s="285" t="s">
        <v>5110</v>
      </c>
      <c r="E173" s="287" t="s">
        <v>5111</v>
      </c>
      <c r="F173" s="288">
        <v>44373.0</v>
      </c>
      <c r="G173" s="288">
        <v>44368.0</v>
      </c>
      <c r="H173" s="288">
        <v>44368.0</v>
      </c>
      <c r="I173" s="288">
        <v>44391.0</v>
      </c>
      <c r="J173" s="294"/>
      <c r="K173" s="294"/>
      <c r="L173" s="290" t="s">
        <v>5112</v>
      </c>
      <c r="M173" s="285" t="s">
        <v>4635</v>
      </c>
      <c r="N173" s="299" t="s">
        <v>2621</v>
      </c>
      <c r="O173" s="300">
        <v>82962.82</v>
      </c>
      <c r="P173" s="198"/>
      <c r="Q173" s="198"/>
      <c r="R173" s="198"/>
      <c r="S173" s="198"/>
      <c r="T173" s="198"/>
      <c r="U173" s="198"/>
      <c r="V173" s="198"/>
      <c r="W173" s="198"/>
      <c r="X173" s="198"/>
      <c r="Y173" s="198"/>
      <c r="Z173" s="198"/>
    </row>
    <row r="174" ht="54.0" customHeight="1">
      <c r="A174" s="284">
        <v>35348.0</v>
      </c>
      <c r="B174" s="285" t="s">
        <v>715</v>
      </c>
      <c r="C174" s="299">
        <v>320.0</v>
      </c>
      <c r="D174" s="285" t="s">
        <v>5113</v>
      </c>
      <c r="E174" s="287" t="s">
        <v>2832</v>
      </c>
      <c r="F174" s="288">
        <v>44372.0</v>
      </c>
      <c r="G174" s="288">
        <v>44368.0</v>
      </c>
      <c r="H174" s="288">
        <v>44368.0</v>
      </c>
      <c r="I174" s="288">
        <v>44377.0</v>
      </c>
      <c r="J174" s="294"/>
      <c r="K174" s="294"/>
      <c r="L174" s="290" t="s">
        <v>5114</v>
      </c>
      <c r="M174" s="285" t="s">
        <v>4745</v>
      </c>
      <c r="N174" s="299" t="s">
        <v>4746</v>
      </c>
      <c r="O174" s="300">
        <v>40800.0</v>
      </c>
      <c r="P174" s="198"/>
      <c r="Q174" s="198"/>
      <c r="R174" s="198"/>
      <c r="S174" s="198"/>
      <c r="T174" s="198"/>
      <c r="U174" s="198"/>
      <c r="V174" s="198"/>
      <c r="W174" s="198"/>
      <c r="X174" s="198"/>
      <c r="Y174" s="198"/>
      <c r="Z174" s="198"/>
    </row>
    <row r="175" ht="54.0" customHeight="1">
      <c r="A175" s="284">
        <v>35066.0</v>
      </c>
      <c r="B175" s="285" t="s">
        <v>715</v>
      </c>
      <c r="C175" s="299">
        <v>2318.0</v>
      </c>
      <c r="D175" s="285" t="s">
        <v>5115</v>
      </c>
      <c r="E175" s="287" t="s">
        <v>5116</v>
      </c>
      <c r="F175" s="288">
        <v>44370.0</v>
      </c>
      <c r="G175" s="288">
        <v>44363.0</v>
      </c>
      <c r="H175" s="288">
        <v>44363.0</v>
      </c>
      <c r="I175" s="288">
        <v>44375.0</v>
      </c>
      <c r="J175" s="294"/>
      <c r="K175" s="294"/>
      <c r="L175" s="290" t="s">
        <v>5117</v>
      </c>
      <c r="M175" s="285" t="s">
        <v>497</v>
      </c>
      <c r="N175" s="299" t="s">
        <v>2554</v>
      </c>
      <c r="O175" s="300">
        <v>51755.1</v>
      </c>
      <c r="P175" s="198"/>
      <c r="Q175" s="198"/>
      <c r="R175" s="198"/>
      <c r="S175" s="198"/>
      <c r="T175" s="198"/>
      <c r="U175" s="198"/>
      <c r="V175" s="198"/>
      <c r="W175" s="198"/>
      <c r="X175" s="198"/>
      <c r="Y175" s="198"/>
      <c r="Z175" s="198"/>
    </row>
    <row r="176" ht="54.0" customHeight="1">
      <c r="A176" s="284">
        <v>35277.0</v>
      </c>
      <c r="B176" s="285" t="s">
        <v>25</v>
      </c>
      <c r="C176" s="299">
        <v>2100.0</v>
      </c>
      <c r="D176" s="285" t="s">
        <v>5118</v>
      </c>
      <c r="E176" s="287" t="s">
        <v>5119</v>
      </c>
      <c r="F176" s="288">
        <v>44369.0</v>
      </c>
      <c r="G176" s="288">
        <v>44368.0</v>
      </c>
      <c r="H176" s="288">
        <v>44368.0</v>
      </c>
      <c r="I176" s="288">
        <v>44370.0</v>
      </c>
      <c r="J176" s="294"/>
      <c r="K176" s="294"/>
      <c r="L176" s="290" t="s">
        <v>5120</v>
      </c>
      <c r="M176" s="285" t="s">
        <v>497</v>
      </c>
      <c r="N176" s="299" t="s">
        <v>2554</v>
      </c>
      <c r="O176" s="300">
        <v>28812.0</v>
      </c>
      <c r="P176" s="198"/>
      <c r="Q176" s="198"/>
      <c r="R176" s="198"/>
      <c r="S176" s="198"/>
      <c r="T176" s="198"/>
      <c r="U176" s="198"/>
      <c r="V176" s="198"/>
      <c r="W176" s="198"/>
      <c r="X176" s="198"/>
      <c r="Y176" s="198"/>
      <c r="Z176" s="198"/>
    </row>
    <row r="177" ht="54.0" customHeight="1">
      <c r="A177" s="284">
        <v>35447.0</v>
      </c>
      <c r="B177" s="285" t="s">
        <v>25</v>
      </c>
      <c r="C177" s="299" t="s">
        <v>5121</v>
      </c>
      <c r="D177" s="285" t="s">
        <v>5122</v>
      </c>
      <c r="E177" s="287" t="s">
        <v>5099</v>
      </c>
      <c r="F177" s="288">
        <v>44366.0</v>
      </c>
      <c r="G177" s="285" t="s">
        <v>28</v>
      </c>
      <c r="H177" s="285" t="s">
        <v>28</v>
      </c>
      <c r="I177" s="288">
        <v>44375.0</v>
      </c>
      <c r="J177" s="294"/>
      <c r="K177" s="294"/>
      <c r="L177" s="290" t="s">
        <v>5123</v>
      </c>
      <c r="M177" s="285" t="s">
        <v>497</v>
      </c>
      <c r="N177" s="299" t="s">
        <v>2538</v>
      </c>
      <c r="O177" s="300">
        <v>36000.0</v>
      </c>
      <c r="P177" s="198"/>
      <c r="Q177" s="198"/>
      <c r="R177" s="198"/>
      <c r="S177" s="198"/>
      <c r="T177" s="198"/>
      <c r="U177" s="198"/>
      <c r="V177" s="198"/>
      <c r="W177" s="198"/>
      <c r="X177" s="198"/>
      <c r="Y177" s="198"/>
      <c r="Z177" s="198"/>
    </row>
    <row r="178" ht="54.0" customHeight="1">
      <c r="A178" s="284">
        <v>35132.0</v>
      </c>
      <c r="B178" s="285" t="s">
        <v>21</v>
      </c>
      <c r="C178" s="299">
        <v>3000.0</v>
      </c>
      <c r="D178" s="285" t="s">
        <v>5124</v>
      </c>
      <c r="E178" s="287" t="s">
        <v>5125</v>
      </c>
      <c r="F178" s="288">
        <v>44365.0</v>
      </c>
      <c r="G178" s="288">
        <v>44348.0</v>
      </c>
      <c r="H178" s="288">
        <v>44348.0</v>
      </c>
      <c r="I178" s="288">
        <v>44372.0</v>
      </c>
      <c r="J178" s="294"/>
      <c r="K178" s="294"/>
      <c r="L178" s="290" t="s">
        <v>5126</v>
      </c>
      <c r="M178" s="285" t="s">
        <v>497</v>
      </c>
      <c r="N178" s="299" t="s">
        <v>2554</v>
      </c>
      <c r="O178" s="300">
        <v>21210.0</v>
      </c>
      <c r="P178" s="198"/>
      <c r="Q178" s="198"/>
      <c r="R178" s="198"/>
      <c r="S178" s="198"/>
      <c r="T178" s="198"/>
      <c r="U178" s="198"/>
      <c r="V178" s="198"/>
      <c r="W178" s="198"/>
      <c r="X178" s="198"/>
      <c r="Y178" s="198"/>
      <c r="Z178" s="198"/>
    </row>
    <row r="179" ht="54.0" customHeight="1">
      <c r="A179" s="284">
        <v>35591.0</v>
      </c>
      <c r="B179" s="285" t="s">
        <v>715</v>
      </c>
      <c r="C179" s="285">
        <v>944.0</v>
      </c>
      <c r="D179" s="367" t="s">
        <v>5127</v>
      </c>
      <c r="E179" s="287" t="s">
        <v>5128</v>
      </c>
      <c r="F179" s="288">
        <v>44364.0</v>
      </c>
      <c r="G179" s="288">
        <v>44358.0</v>
      </c>
      <c r="H179" s="288">
        <v>44358.0</v>
      </c>
      <c r="I179" s="288">
        <v>44369.0</v>
      </c>
      <c r="J179" s="294"/>
      <c r="K179" s="294"/>
      <c r="L179" s="290" t="s">
        <v>5129</v>
      </c>
      <c r="M179" s="285" t="s">
        <v>4635</v>
      </c>
      <c r="N179" s="299" t="s">
        <v>2621</v>
      </c>
      <c r="O179" s="300">
        <v>48372.4</v>
      </c>
      <c r="P179" s="198"/>
      <c r="Q179" s="198"/>
      <c r="R179" s="198"/>
      <c r="S179" s="198"/>
      <c r="T179" s="198"/>
      <c r="U179" s="198"/>
      <c r="V179" s="198"/>
      <c r="W179" s="198"/>
      <c r="X179" s="198"/>
      <c r="Y179" s="198"/>
      <c r="Z179" s="198"/>
    </row>
    <row r="180" ht="54.0" customHeight="1">
      <c r="A180" s="284">
        <v>35202.0</v>
      </c>
      <c r="B180" s="285" t="s">
        <v>25</v>
      </c>
      <c r="C180" s="299" t="s">
        <v>5130</v>
      </c>
      <c r="D180" s="285" t="s">
        <v>5131</v>
      </c>
      <c r="E180" s="287" t="s">
        <v>5132</v>
      </c>
      <c r="F180" s="288">
        <v>44362.0</v>
      </c>
      <c r="G180" s="288">
        <v>44365.0</v>
      </c>
      <c r="H180" s="288">
        <v>44365.0</v>
      </c>
      <c r="I180" s="288">
        <v>44372.0</v>
      </c>
      <c r="J180" s="294"/>
      <c r="K180" s="294"/>
      <c r="L180" s="290" t="s">
        <v>5133</v>
      </c>
      <c r="M180" s="285" t="s">
        <v>4635</v>
      </c>
      <c r="N180" s="299" t="s">
        <v>4912</v>
      </c>
      <c r="O180" s="300">
        <v>96930.0</v>
      </c>
      <c r="P180" s="198"/>
      <c r="Q180" s="198"/>
      <c r="R180" s="198"/>
      <c r="S180" s="198"/>
      <c r="T180" s="198"/>
      <c r="U180" s="198"/>
      <c r="V180" s="198"/>
      <c r="W180" s="198"/>
      <c r="X180" s="198"/>
      <c r="Y180" s="198"/>
      <c r="Z180" s="198"/>
    </row>
    <row r="181" ht="54.0" customHeight="1">
      <c r="A181" s="284">
        <v>35554.0</v>
      </c>
      <c r="B181" s="285" t="s">
        <v>25</v>
      </c>
      <c r="C181" s="299">
        <v>1139.0</v>
      </c>
      <c r="D181" s="285" t="s">
        <v>5134</v>
      </c>
      <c r="E181" s="287" t="s">
        <v>5135</v>
      </c>
      <c r="F181" s="288">
        <v>44361.0</v>
      </c>
      <c r="G181" s="288">
        <v>44356.0</v>
      </c>
      <c r="H181" s="288">
        <v>44356.0</v>
      </c>
      <c r="I181" s="288">
        <v>44369.0</v>
      </c>
      <c r="J181" s="294"/>
      <c r="K181" s="294"/>
      <c r="L181" s="290" t="s">
        <v>5136</v>
      </c>
      <c r="M181" s="285" t="s">
        <v>4635</v>
      </c>
      <c r="N181" s="299" t="s">
        <v>2621</v>
      </c>
      <c r="O181" s="300">
        <v>49952.72</v>
      </c>
      <c r="P181" s="198"/>
      <c r="Q181" s="198"/>
      <c r="R181" s="198"/>
      <c r="S181" s="198"/>
      <c r="T181" s="198"/>
      <c r="U181" s="198"/>
      <c r="V181" s="198"/>
      <c r="W181" s="198"/>
      <c r="X181" s="198"/>
      <c r="Y181" s="198"/>
      <c r="Z181" s="198"/>
    </row>
    <row r="182" ht="54.0" customHeight="1">
      <c r="A182" s="284">
        <v>35460.0</v>
      </c>
      <c r="B182" s="285" t="s">
        <v>21</v>
      </c>
      <c r="C182" s="299">
        <v>1074.0</v>
      </c>
      <c r="D182" s="285" t="s">
        <v>5137</v>
      </c>
      <c r="E182" s="287" t="s">
        <v>5138</v>
      </c>
      <c r="F182" s="288">
        <v>44361.0</v>
      </c>
      <c r="G182" s="288">
        <v>44354.0</v>
      </c>
      <c r="H182" s="288">
        <v>44354.0</v>
      </c>
      <c r="I182" s="288">
        <v>44361.0</v>
      </c>
      <c r="J182" s="294"/>
      <c r="K182" s="294"/>
      <c r="L182" s="290" t="s">
        <v>5139</v>
      </c>
      <c r="M182" s="285" t="s">
        <v>4635</v>
      </c>
      <c r="N182" s="299" t="s">
        <v>2621</v>
      </c>
      <c r="O182" s="300">
        <v>41437.14</v>
      </c>
      <c r="P182" s="198"/>
      <c r="Q182" s="198"/>
      <c r="R182" s="198"/>
      <c r="S182" s="198"/>
      <c r="T182" s="198"/>
      <c r="U182" s="198"/>
      <c r="V182" s="198"/>
      <c r="W182" s="198"/>
      <c r="X182" s="198"/>
      <c r="Y182" s="198"/>
      <c r="Z182" s="198"/>
    </row>
    <row r="183" ht="54.0" customHeight="1">
      <c r="A183" s="284">
        <v>35143.0</v>
      </c>
      <c r="B183" s="285" t="s">
        <v>715</v>
      </c>
      <c r="C183" s="299">
        <v>1290.0</v>
      </c>
      <c r="D183" s="285" t="s">
        <v>5140</v>
      </c>
      <c r="E183" s="287" t="s">
        <v>5141</v>
      </c>
      <c r="F183" s="288">
        <v>44361.0</v>
      </c>
      <c r="G183" s="288">
        <v>44354.0</v>
      </c>
      <c r="H183" s="288">
        <v>44354.0</v>
      </c>
      <c r="I183" s="288">
        <v>44368.0</v>
      </c>
      <c r="J183" s="294"/>
      <c r="K183" s="294"/>
      <c r="L183" s="290" t="s">
        <v>5142</v>
      </c>
      <c r="M183" s="285" t="s">
        <v>497</v>
      </c>
      <c r="N183" s="299" t="s">
        <v>2554</v>
      </c>
      <c r="O183" s="300">
        <v>44249.58</v>
      </c>
      <c r="P183" s="198"/>
      <c r="Q183" s="198"/>
      <c r="R183" s="198"/>
      <c r="S183" s="198"/>
      <c r="T183" s="198"/>
      <c r="U183" s="198"/>
      <c r="V183" s="198"/>
      <c r="W183" s="198"/>
      <c r="X183" s="198"/>
      <c r="Y183" s="198"/>
      <c r="Z183" s="198"/>
    </row>
    <row r="184" ht="54.0" customHeight="1">
      <c r="A184" s="284">
        <v>35354.0</v>
      </c>
      <c r="B184" s="285" t="s">
        <v>715</v>
      </c>
      <c r="C184" s="299">
        <v>1410.0</v>
      </c>
      <c r="D184" s="285" t="s">
        <v>5143</v>
      </c>
      <c r="E184" s="287" t="s">
        <v>5144</v>
      </c>
      <c r="F184" s="288">
        <v>44360.0</v>
      </c>
      <c r="G184" s="288">
        <v>44355.0</v>
      </c>
      <c r="H184" s="288">
        <v>44355.0</v>
      </c>
      <c r="I184" s="288">
        <v>44365.0</v>
      </c>
      <c r="J184" s="294"/>
      <c r="K184" s="294"/>
      <c r="L184" s="290" t="s">
        <v>5145</v>
      </c>
      <c r="M184" s="285" t="s">
        <v>497</v>
      </c>
      <c r="N184" s="299" t="s">
        <v>4169</v>
      </c>
      <c r="O184" s="300">
        <v>60431.05</v>
      </c>
      <c r="P184" s="198"/>
      <c r="Q184" s="198"/>
      <c r="R184" s="198"/>
      <c r="S184" s="198"/>
      <c r="T184" s="198"/>
      <c r="U184" s="198"/>
      <c r="V184" s="198"/>
      <c r="W184" s="198"/>
      <c r="X184" s="198"/>
      <c r="Y184" s="198"/>
      <c r="Z184" s="198"/>
    </row>
    <row r="185" ht="55.5" customHeight="1">
      <c r="A185" s="284">
        <v>35556.0</v>
      </c>
      <c r="B185" s="285" t="s">
        <v>715</v>
      </c>
      <c r="C185" s="285">
        <v>930.0</v>
      </c>
      <c r="D185" s="285" t="s">
        <v>5146</v>
      </c>
      <c r="E185" s="379" t="s">
        <v>5147</v>
      </c>
      <c r="F185" s="288">
        <v>44360.0</v>
      </c>
      <c r="G185" s="288">
        <v>44363.0</v>
      </c>
      <c r="H185" s="288">
        <v>44363.0</v>
      </c>
      <c r="I185" s="288">
        <v>44370.0</v>
      </c>
      <c r="J185" s="294"/>
      <c r="K185" s="294"/>
      <c r="L185" s="290" t="s">
        <v>5148</v>
      </c>
      <c r="M185" s="285" t="s">
        <v>4635</v>
      </c>
      <c r="N185" s="299" t="s">
        <v>2621</v>
      </c>
      <c r="O185" s="300">
        <v>55382.0</v>
      </c>
      <c r="P185" s="198"/>
      <c r="Q185" s="198"/>
      <c r="R185" s="198"/>
      <c r="S185" s="198"/>
      <c r="T185" s="198"/>
      <c r="U185" s="198"/>
      <c r="V185" s="198"/>
      <c r="W185" s="198"/>
      <c r="X185" s="198"/>
      <c r="Y185" s="198"/>
      <c r="Z185" s="198"/>
    </row>
    <row r="186" ht="56.25" customHeight="1">
      <c r="A186" s="284">
        <v>35545.0</v>
      </c>
      <c r="B186" s="285" t="s">
        <v>715</v>
      </c>
      <c r="C186" s="299">
        <v>930.0</v>
      </c>
      <c r="D186" s="285" t="s">
        <v>5149</v>
      </c>
      <c r="E186" s="287" t="s">
        <v>4787</v>
      </c>
      <c r="F186" s="288">
        <v>44359.0</v>
      </c>
      <c r="G186" s="380">
        <v>44378.0</v>
      </c>
      <c r="H186" s="288">
        <v>44378.0</v>
      </c>
      <c r="I186" s="288">
        <v>44364.0</v>
      </c>
      <c r="J186" s="294"/>
      <c r="K186" s="294"/>
      <c r="L186" s="290" t="s">
        <v>5150</v>
      </c>
      <c r="M186" s="285" t="s">
        <v>4635</v>
      </c>
      <c r="N186" s="299" t="s">
        <v>2621</v>
      </c>
      <c r="O186" s="300">
        <v>55977.2</v>
      </c>
      <c r="P186" s="198"/>
      <c r="Q186" s="198"/>
      <c r="R186" s="198"/>
      <c r="S186" s="198"/>
      <c r="T186" s="198"/>
      <c r="U186" s="198"/>
      <c r="V186" s="198"/>
      <c r="W186" s="198"/>
      <c r="X186" s="198"/>
      <c r="Y186" s="198"/>
      <c r="Z186" s="198"/>
    </row>
    <row r="187" ht="54.0" customHeight="1">
      <c r="A187" s="284">
        <v>35543.0</v>
      </c>
      <c r="B187" s="285" t="s">
        <v>25</v>
      </c>
      <c r="C187" s="299">
        <v>1074.0</v>
      </c>
      <c r="D187" s="285" t="s">
        <v>5151</v>
      </c>
      <c r="E187" s="287" t="s">
        <v>4939</v>
      </c>
      <c r="F187" s="288">
        <v>44358.0</v>
      </c>
      <c r="G187" s="288">
        <v>44354.0</v>
      </c>
      <c r="H187" s="288">
        <v>44354.0</v>
      </c>
      <c r="I187" s="288">
        <v>44364.0</v>
      </c>
      <c r="J187" s="294"/>
      <c r="K187" s="294"/>
      <c r="L187" s="290" t="s">
        <v>5152</v>
      </c>
      <c r="M187" s="285" t="s">
        <v>497</v>
      </c>
      <c r="N187" s="299" t="s">
        <v>2621</v>
      </c>
      <c r="O187" s="300">
        <v>41570.22</v>
      </c>
      <c r="P187" s="198"/>
      <c r="Q187" s="198"/>
      <c r="R187" s="198"/>
      <c r="S187" s="198"/>
      <c r="T187" s="198"/>
      <c r="U187" s="198"/>
      <c r="V187" s="198"/>
      <c r="W187" s="198"/>
      <c r="X187" s="198"/>
      <c r="Y187" s="198"/>
      <c r="Z187" s="198"/>
    </row>
    <row r="188" ht="54.0" customHeight="1">
      <c r="A188" s="284">
        <v>35133.0</v>
      </c>
      <c r="B188" s="285" t="s">
        <v>25</v>
      </c>
      <c r="C188" s="299">
        <v>1160.0</v>
      </c>
      <c r="D188" s="285" t="s">
        <v>5153</v>
      </c>
      <c r="E188" s="287" t="s">
        <v>5154</v>
      </c>
      <c r="F188" s="288">
        <v>44357.0</v>
      </c>
      <c r="G188" s="288">
        <v>44354.0</v>
      </c>
      <c r="H188" s="288">
        <v>44354.0</v>
      </c>
      <c r="I188" s="288">
        <v>44365.0</v>
      </c>
      <c r="J188" s="294"/>
      <c r="K188" s="294"/>
      <c r="L188" s="290" t="s">
        <v>5155</v>
      </c>
      <c r="M188" s="285" t="s">
        <v>497</v>
      </c>
      <c r="N188" s="299" t="s">
        <v>2554</v>
      </c>
      <c r="O188" s="300">
        <v>31862.88</v>
      </c>
      <c r="P188" s="198"/>
      <c r="Q188" s="198"/>
      <c r="R188" s="198"/>
      <c r="S188" s="198"/>
      <c r="T188" s="198"/>
      <c r="U188" s="198"/>
      <c r="V188" s="198"/>
      <c r="W188" s="198"/>
      <c r="X188" s="198"/>
      <c r="Y188" s="198"/>
      <c r="Z188" s="198"/>
    </row>
    <row r="189" ht="54.0" customHeight="1">
      <c r="A189" s="284">
        <v>35480.0</v>
      </c>
      <c r="B189" s="285" t="s">
        <v>715</v>
      </c>
      <c r="C189" s="299">
        <v>1100.0</v>
      </c>
      <c r="D189" s="285" t="s">
        <v>5156</v>
      </c>
      <c r="E189" s="287" t="s">
        <v>5157</v>
      </c>
      <c r="F189" s="288">
        <v>44356.0</v>
      </c>
      <c r="G189" s="288">
        <v>44351.0</v>
      </c>
      <c r="H189" s="288">
        <v>44351.0</v>
      </c>
      <c r="I189" s="288">
        <v>44362.0</v>
      </c>
      <c r="J189" s="294"/>
      <c r="K189" s="294"/>
      <c r="L189" s="290" t="s">
        <v>5158</v>
      </c>
      <c r="M189" s="285" t="s">
        <v>4635</v>
      </c>
      <c r="N189" s="299" t="s">
        <v>2621</v>
      </c>
      <c r="O189" s="300">
        <v>103037.0</v>
      </c>
      <c r="P189" s="198"/>
      <c r="Q189" s="198"/>
      <c r="R189" s="198"/>
      <c r="S189" s="198"/>
      <c r="T189" s="198"/>
      <c r="U189" s="198"/>
      <c r="V189" s="198"/>
      <c r="W189" s="198"/>
      <c r="X189" s="198"/>
      <c r="Y189" s="198"/>
      <c r="Z189" s="198"/>
    </row>
    <row r="190" ht="56.25" customHeight="1">
      <c r="A190" s="284">
        <v>35490.0</v>
      </c>
      <c r="B190" s="285" t="s">
        <v>715</v>
      </c>
      <c r="C190" s="299">
        <v>835.0</v>
      </c>
      <c r="D190" s="285" t="s">
        <v>5159</v>
      </c>
      <c r="E190" s="379" t="s">
        <v>5160</v>
      </c>
      <c r="F190" s="288">
        <v>44356.0</v>
      </c>
      <c r="G190" s="288">
        <v>44356.0</v>
      </c>
      <c r="H190" s="288">
        <v>44356.0</v>
      </c>
      <c r="I190" s="288">
        <v>44365.0</v>
      </c>
      <c r="J190" s="294"/>
      <c r="K190" s="294"/>
      <c r="L190" s="290" t="s">
        <v>5161</v>
      </c>
      <c r="M190" s="285" t="s">
        <v>4635</v>
      </c>
      <c r="N190" s="299" t="s">
        <v>2621</v>
      </c>
      <c r="O190" s="300">
        <v>48764.0</v>
      </c>
      <c r="P190" s="198"/>
      <c r="Q190" s="198"/>
      <c r="R190" s="198"/>
      <c r="S190" s="198"/>
      <c r="T190" s="198"/>
      <c r="U190" s="198"/>
      <c r="V190" s="198"/>
      <c r="W190" s="198"/>
      <c r="X190" s="198"/>
      <c r="Y190" s="198"/>
      <c r="Z190" s="198"/>
    </row>
    <row r="191" ht="54.0" customHeight="1">
      <c r="A191" s="284">
        <v>35067.0</v>
      </c>
      <c r="B191" s="285" t="s">
        <v>25</v>
      </c>
      <c r="C191" s="299">
        <v>2100.0</v>
      </c>
      <c r="D191" s="285" t="s">
        <v>5162</v>
      </c>
      <c r="E191" s="287" t="s">
        <v>5163</v>
      </c>
      <c r="F191" s="288">
        <v>44354.0</v>
      </c>
      <c r="G191" s="288">
        <v>44349.0</v>
      </c>
      <c r="H191" s="288">
        <v>44349.0</v>
      </c>
      <c r="I191" s="288">
        <v>44369.0</v>
      </c>
      <c r="J191" s="294"/>
      <c r="K191" s="294"/>
      <c r="L191" s="290" t="s">
        <v>5164</v>
      </c>
      <c r="M191" s="285" t="s">
        <v>497</v>
      </c>
      <c r="N191" s="299" t="s">
        <v>2554</v>
      </c>
      <c r="O191" s="300">
        <v>37125.0</v>
      </c>
      <c r="P191" s="198"/>
      <c r="Q191" s="198"/>
      <c r="R191" s="198"/>
      <c r="S191" s="198"/>
      <c r="T191" s="198"/>
      <c r="U191" s="198"/>
      <c r="V191" s="198"/>
      <c r="W191" s="198"/>
      <c r="X191" s="198"/>
      <c r="Y191" s="198"/>
      <c r="Z191" s="198"/>
    </row>
    <row r="192" ht="54.0" customHeight="1">
      <c r="A192" s="284">
        <v>35555.0</v>
      </c>
      <c r="B192" s="285" t="s">
        <v>715</v>
      </c>
      <c r="C192" s="299">
        <v>930.0</v>
      </c>
      <c r="D192" s="285" t="s">
        <v>5165</v>
      </c>
      <c r="E192" s="381" t="s">
        <v>5166</v>
      </c>
      <c r="F192" s="288">
        <v>44352.0</v>
      </c>
      <c r="G192" s="288">
        <v>44348.0</v>
      </c>
      <c r="H192" s="288">
        <v>44348.0</v>
      </c>
      <c r="I192" s="288">
        <v>44358.0</v>
      </c>
      <c r="J192" s="294"/>
      <c r="K192" s="294"/>
      <c r="L192" s="290" t="s">
        <v>5167</v>
      </c>
      <c r="M192" s="285" t="s">
        <v>4635</v>
      </c>
      <c r="N192" s="299" t="s">
        <v>2621</v>
      </c>
      <c r="O192" s="300">
        <v>54312.0</v>
      </c>
      <c r="P192" s="198"/>
      <c r="Q192" s="198"/>
      <c r="R192" s="198"/>
      <c r="S192" s="198"/>
      <c r="T192" s="198"/>
      <c r="U192" s="198"/>
      <c r="V192" s="198"/>
      <c r="W192" s="198"/>
      <c r="X192" s="198"/>
      <c r="Y192" s="198"/>
      <c r="Z192" s="198"/>
    </row>
    <row r="193" ht="57.0" customHeight="1">
      <c r="A193" s="284">
        <v>35036.0</v>
      </c>
      <c r="B193" s="285" t="s">
        <v>21</v>
      </c>
      <c r="C193" s="299">
        <v>1160.0</v>
      </c>
      <c r="D193" s="285" t="s">
        <v>5168</v>
      </c>
      <c r="E193" s="287" t="s">
        <v>5169</v>
      </c>
      <c r="F193" s="288">
        <v>44351.0</v>
      </c>
      <c r="G193" s="288">
        <v>44340.0</v>
      </c>
      <c r="H193" s="288">
        <v>44340.0</v>
      </c>
      <c r="I193" s="288">
        <v>44355.0</v>
      </c>
      <c r="J193" s="294"/>
      <c r="K193" s="294"/>
      <c r="L193" s="290" t="s">
        <v>5170</v>
      </c>
      <c r="M193" s="285" t="s">
        <v>497</v>
      </c>
      <c r="N193" s="299" t="s">
        <v>2554</v>
      </c>
      <c r="O193" s="300">
        <v>31862.88</v>
      </c>
      <c r="P193" s="198"/>
      <c r="Q193" s="198"/>
      <c r="R193" s="198"/>
      <c r="S193" s="198"/>
      <c r="T193" s="198"/>
      <c r="U193" s="198"/>
      <c r="V193" s="198"/>
      <c r="W193" s="198"/>
      <c r="X193" s="198"/>
      <c r="Y193" s="198"/>
      <c r="Z193" s="198"/>
    </row>
    <row r="194" ht="54.0" customHeight="1">
      <c r="A194" s="284">
        <v>35142.0</v>
      </c>
      <c r="B194" s="285" t="s">
        <v>21</v>
      </c>
      <c r="C194" s="299">
        <v>3500.0</v>
      </c>
      <c r="D194" s="285" t="s">
        <v>5171</v>
      </c>
      <c r="E194" s="287" t="s">
        <v>5172</v>
      </c>
      <c r="F194" s="288">
        <v>44351.0</v>
      </c>
      <c r="G194" s="288">
        <v>44340.0</v>
      </c>
      <c r="H194" s="288">
        <v>44340.0</v>
      </c>
      <c r="I194" s="288">
        <v>44357.0</v>
      </c>
      <c r="J194" s="294"/>
      <c r="K194" s="294"/>
      <c r="L194" s="290" t="s">
        <v>5173</v>
      </c>
      <c r="M194" s="285" t="s">
        <v>497</v>
      </c>
      <c r="N194" s="299" t="s">
        <v>2554</v>
      </c>
      <c r="O194" s="300">
        <v>24150.0</v>
      </c>
      <c r="P194" s="198"/>
      <c r="Q194" s="198"/>
      <c r="R194" s="198"/>
      <c r="S194" s="198"/>
      <c r="T194" s="198"/>
      <c r="U194" s="198"/>
      <c r="V194" s="198"/>
      <c r="W194" s="198"/>
      <c r="X194" s="198"/>
      <c r="Y194" s="198"/>
      <c r="Z194" s="198"/>
    </row>
    <row r="195" ht="54.0" customHeight="1">
      <c r="A195" s="284">
        <v>35461.0</v>
      </c>
      <c r="B195" s="285" t="s">
        <v>21</v>
      </c>
      <c r="C195" s="299">
        <v>1550.0</v>
      </c>
      <c r="D195" s="285" t="s">
        <v>5174</v>
      </c>
      <c r="E195" s="287" t="s">
        <v>5175</v>
      </c>
      <c r="F195" s="288">
        <v>44350.0</v>
      </c>
      <c r="G195" s="288">
        <v>44333.0</v>
      </c>
      <c r="H195" s="288">
        <v>44333.0</v>
      </c>
      <c r="I195" s="288">
        <v>44365.0</v>
      </c>
      <c r="J195" s="294"/>
      <c r="K195" s="294"/>
      <c r="L195" s="290" t="s">
        <v>5176</v>
      </c>
      <c r="M195" s="285" t="s">
        <v>4635</v>
      </c>
      <c r="N195" s="299" t="s">
        <v>2621</v>
      </c>
      <c r="O195" s="300">
        <v>44847.32</v>
      </c>
      <c r="P195" s="198"/>
      <c r="Q195" s="198"/>
      <c r="R195" s="198"/>
      <c r="S195" s="198"/>
      <c r="T195" s="198"/>
      <c r="U195" s="198"/>
      <c r="V195" s="198"/>
      <c r="W195" s="198"/>
      <c r="X195" s="198"/>
      <c r="Y195" s="198"/>
      <c r="Z195" s="198"/>
    </row>
    <row r="196" ht="54.0" customHeight="1">
      <c r="A196" s="284">
        <v>35131.0</v>
      </c>
      <c r="B196" s="285" t="s">
        <v>715</v>
      </c>
      <c r="C196" s="299">
        <v>3000.0</v>
      </c>
      <c r="D196" s="285" t="s">
        <v>5177</v>
      </c>
      <c r="E196" s="287" t="s">
        <v>5178</v>
      </c>
      <c r="F196" s="288">
        <v>44343.0</v>
      </c>
      <c r="G196" s="288">
        <v>44334.0</v>
      </c>
      <c r="H196" s="288">
        <v>44334.0</v>
      </c>
      <c r="I196" s="288">
        <v>44351.0</v>
      </c>
      <c r="J196" s="294"/>
      <c r="K196" s="294"/>
      <c r="L196" s="290" t="s">
        <v>5179</v>
      </c>
      <c r="M196" s="285" t="s">
        <v>497</v>
      </c>
      <c r="N196" s="299" t="s">
        <v>2554</v>
      </c>
      <c r="O196" s="300">
        <v>20780.0</v>
      </c>
      <c r="P196" s="198"/>
      <c r="Q196" s="198"/>
      <c r="R196" s="198"/>
      <c r="S196" s="198"/>
      <c r="T196" s="198"/>
      <c r="U196" s="198"/>
      <c r="V196" s="198"/>
      <c r="W196" s="198"/>
      <c r="X196" s="198"/>
      <c r="Y196" s="198"/>
      <c r="Z196" s="198"/>
    </row>
    <row r="197" ht="54.0" customHeight="1">
      <c r="A197" s="284">
        <v>35034.0</v>
      </c>
      <c r="B197" s="285" t="s">
        <v>25</v>
      </c>
      <c r="C197" s="299">
        <v>2100.0</v>
      </c>
      <c r="D197" s="367" t="s">
        <v>5180</v>
      </c>
      <c r="E197" s="287" t="s">
        <v>5181</v>
      </c>
      <c r="F197" s="288">
        <v>44341.0</v>
      </c>
      <c r="G197" s="288">
        <v>44344.0</v>
      </c>
      <c r="H197" s="288">
        <v>44344.0</v>
      </c>
      <c r="I197" s="288">
        <v>44349.0</v>
      </c>
      <c r="J197" s="294"/>
      <c r="K197" s="294"/>
      <c r="L197" s="290" t="s">
        <v>5182</v>
      </c>
      <c r="M197" s="285" t="s">
        <v>497</v>
      </c>
      <c r="N197" s="299" t="s">
        <v>2554</v>
      </c>
      <c r="O197" s="300">
        <v>28812.0</v>
      </c>
      <c r="P197" s="198"/>
      <c r="Q197" s="198"/>
      <c r="R197" s="198"/>
      <c r="S197" s="198"/>
      <c r="T197" s="198"/>
      <c r="U197" s="198"/>
      <c r="V197" s="198"/>
      <c r="W197" s="198"/>
      <c r="X197" s="198"/>
      <c r="Y197" s="198"/>
      <c r="Z197" s="198"/>
    </row>
    <row r="198" ht="54.0" customHeight="1">
      <c r="A198" s="284">
        <v>35035.0</v>
      </c>
      <c r="B198" s="285" t="s">
        <v>21</v>
      </c>
      <c r="C198" s="299">
        <v>3000.0</v>
      </c>
      <c r="D198" s="285" t="s">
        <v>5183</v>
      </c>
      <c r="E198" s="287" t="s">
        <v>5184</v>
      </c>
      <c r="F198" s="288">
        <v>44341.0</v>
      </c>
      <c r="G198" s="288">
        <v>44335.0</v>
      </c>
      <c r="H198" s="288">
        <v>44335.0</v>
      </c>
      <c r="I198" s="288">
        <v>44349.0</v>
      </c>
      <c r="J198" s="294"/>
      <c r="K198" s="294"/>
      <c r="L198" s="290" t="s">
        <v>5185</v>
      </c>
      <c r="M198" s="285" t="s">
        <v>497</v>
      </c>
      <c r="N198" s="299" t="s">
        <v>2554</v>
      </c>
      <c r="O198" s="300">
        <v>20610.0</v>
      </c>
      <c r="P198" s="198"/>
      <c r="Q198" s="198"/>
      <c r="R198" s="198"/>
      <c r="S198" s="198"/>
      <c r="T198" s="198"/>
      <c r="U198" s="198"/>
      <c r="V198" s="198"/>
      <c r="W198" s="198"/>
      <c r="X198" s="198"/>
      <c r="Y198" s="198"/>
      <c r="Z198" s="198"/>
    </row>
    <row r="199" ht="54.0" customHeight="1">
      <c r="A199" s="284">
        <v>35065.0</v>
      </c>
      <c r="B199" s="285" t="s">
        <v>715</v>
      </c>
      <c r="C199" s="299">
        <v>1290.0</v>
      </c>
      <c r="D199" s="285" t="s">
        <v>5186</v>
      </c>
      <c r="E199" s="287" t="s">
        <v>5187</v>
      </c>
      <c r="F199" s="288">
        <v>44340.0</v>
      </c>
      <c r="G199" s="288">
        <v>44335.0</v>
      </c>
      <c r="H199" s="288">
        <v>44335.0</v>
      </c>
      <c r="I199" s="288">
        <v>44349.0</v>
      </c>
      <c r="J199" s="294"/>
      <c r="K199" s="294"/>
      <c r="L199" s="290" t="s">
        <v>5188</v>
      </c>
      <c r="M199" s="285" t="s">
        <v>497</v>
      </c>
      <c r="N199" s="299" t="s">
        <v>2554</v>
      </c>
      <c r="O199" s="300">
        <v>44249.58</v>
      </c>
      <c r="P199" s="198"/>
      <c r="Q199" s="198"/>
      <c r="R199" s="198"/>
      <c r="S199" s="198"/>
      <c r="T199" s="198"/>
      <c r="U199" s="198"/>
      <c r="V199" s="198"/>
      <c r="W199" s="198"/>
      <c r="X199" s="198"/>
      <c r="Y199" s="198"/>
      <c r="Z199" s="198"/>
    </row>
    <row r="200" ht="54.0" customHeight="1">
      <c r="A200" s="284">
        <v>35064.0</v>
      </c>
      <c r="B200" s="285" t="s">
        <v>715</v>
      </c>
      <c r="C200" s="299">
        <v>1760.0</v>
      </c>
      <c r="D200" s="285" t="s">
        <v>5189</v>
      </c>
      <c r="E200" s="287" t="s">
        <v>5190</v>
      </c>
      <c r="F200" s="288">
        <v>44340.0</v>
      </c>
      <c r="G200" s="288">
        <v>44335.0</v>
      </c>
      <c r="H200" s="288">
        <v>44335.0</v>
      </c>
      <c r="I200" s="288">
        <v>44348.0</v>
      </c>
      <c r="J200" s="294"/>
      <c r="K200" s="294"/>
      <c r="L200" s="290" t="s">
        <v>5191</v>
      </c>
      <c r="M200" s="285" t="s">
        <v>497</v>
      </c>
      <c r="N200" s="299" t="s">
        <v>2554</v>
      </c>
      <c r="O200" s="300">
        <v>38656.9</v>
      </c>
      <c r="P200" s="198"/>
      <c r="Q200" s="198"/>
      <c r="R200" s="198"/>
      <c r="S200" s="198"/>
      <c r="T200" s="198"/>
      <c r="U200" s="198"/>
      <c r="V200" s="198"/>
      <c r="W200" s="198"/>
      <c r="X200" s="198"/>
      <c r="Y200" s="198"/>
      <c r="Z200" s="198"/>
    </row>
    <row r="201" ht="54.0" customHeight="1">
      <c r="A201" s="284">
        <v>35130.0</v>
      </c>
      <c r="B201" s="285" t="s">
        <v>715</v>
      </c>
      <c r="C201" s="299">
        <v>2100.0</v>
      </c>
      <c r="D201" s="285" t="s">
        <v>5192</v>
      </c>
      <c r="E201" s="287" t="s">
        <v>5193</v>
      </c>
      <c r="F201" s="288">
        <v>44340.0</v>
      </c>
      <c r="G201" s="288">
        <v>44334.0</v>
      </c>
      <c r="H201" s="288">
        <v>44334.0</v>
      </c>
      <c r="I201" s="288">
        <v>44344.0</v>
      </c>
      <c r="J201" s="294"/>
      <c r="K201" s="294"/>
      <c r="L201" s="290" t="s">
        <v>5194</v>
      </c>
      <c r="M201" s="285" t="s">
        <v>497</v>
      </c>
      <c r="N201" s="299" t="s">
        <v>2554</v>
      </c>
      <c r="O201" s="300">
        <v>28812.0</v>
      </c>
      <c r="P201" s="198"/>
      <c r="Q201" s="198"/>
      <c r="R201" s="198"/>
      <c r="S201" s="198"/>
      <c r="T201" s="198"/>
      <c r="U201" s="198"/>
      <c r="V201" s="198"/>
      <c r="W201" s="198"/>
      <c r="X201" s="198"/>
      <c r="Y201" s="198"/>
      <c r="Z201" s="198"/>
    </row>
    <row r="202" ht="54.0" customHeight="1">
      <c r="A202" s="284">
        <v>35033.0</v>
      </c>
      <c r="B202" s="285" t="s">
        <v>715</v>
      </c>
      <c r="C202" s="299">
        <v>2100.0</v>
      </c>
      <c r="D202" s="285" t="s">
        <v>5195</v>
      </c>
      <c r="E202" s="287" t="s">
        <v>5193</v>
      </c>
      <c r="F202" s="288">
        <v>44340.0</v>
      </c>
      <c r="G202" s="288">
        <v>44333.0</v>
      </c>
      <c r="H202" s="288">
        <v>44333.0</v>
      </c>
      <c r="I202" s="288">
        <v>44343.0</v>
      </c>
      <c r="J202" s="294"/>
      <c r="K202" s="294"/>
      <c r="L202" s="290" t="s">
        <v>5196</v>
      </c>
      <c r="M202" s="285" t="s">
        <v>497</v>
      </c>
      <c r="N202" s="299" t="s">
        <v>2554</v>
      </c>
      <c r="O202" s="300">
        <v>28812.0</v>
      </c>
      <c r="P202" s="198"/>
      <c r="Q202" s="198"/>
      <c r="R202" s="198"/>
      <c r="S202" s="198"/>
      <c r="T202" s="198"/>
      <c r="U202" s="198"/>
      <c r="V202" s="198"/>
      <c r="W202" s="198"/>
      <c r="X202" s="198"/>
      <c r="Y202" s="198"/>
      <c r="Z202" s="198"/>
    </row>
    <row r="203" ht="42.75" customHeight="1">
      <c r="A203" s="284">
        <v>35529.0</v>
      </c>
      <c r="B203" s="285" t="s">
        <v>21</v>
      </c>
      <c r="C203" s="299">
        <v>1100.0</v>
      </c>
      <c r="D203" s="285" t="s">
        <v>5197</v>
      </c>
      <c r="E203" s="287" t="s">
        <v>5198</v>
      </c>
      <c r="F203" s="288">
        <v>44337.0</v>
      </c>
      <c r="G203" s="288">
        <v>44327.0</v>
      </c>
      <c r="H203" s="288">
        <v>44327.0</v>
      </c>
      <c r="I203" s="288">
        <v>44343.0</v>
      </c>
      <c r="J203" s="294"/>
      <c r="K203" s="294"/>
      <c r="L203" s="290" t="s">
        <v>5199</v>
      </c>
      <c r="M203" s="285" t="s">
        <v>497</v>
      </c>
      <c r="N203" s="299" t="s">
        <v>2621</v>
      </c>
      <c r="O203" s="300">
        <v>41201.0</v>
      </c>
      <c r="P203" s="198"/>
      <c r="Q203" s="198"/>
      <c r="R203" s="198"/>
      <c r="S203" s="198"/>
      <c r="T203" s="198"/>
      <c r="U203" s="198"/>
      <c r="V203" s="198"/>
      <c r="W203" s="198"/>
      <c r="X203" s="198"/>
      <c r="Y203" s="198"/>
      <c r="Z203" s="198"/>
    </row>
    <row r="204" ht="54.0" customHeight="1">
      <c r="A204" s="284">
        <v>35532.0</v>
      </c>
      <c r="B204" s="285" t="s">
        <v>715</v>
      </c>
      <c r="C204" s="299">
        <v>1150.0</v>
      </c>
      <c r="D204" s="285" t="s">
        <v>5200</v>
      </c>
      <c r="E204" s="287" t="s">
        <v>5198</v>
      </c>
      <c r="F204" s="288">
        <v>44335.0</v>
      </c>
      <c r="G204" s="288">
        <v>44333.0</v>
      </c>
      <c r="H204" s="288">
        <v>44333.0</v>
      </c>
      <c r="I204" s="288">
        <v>44340.0</v>
      </c>
      <c r="J204" s="294"/>
      <c r="K204" s="294"/>
      <c r="L204" s="290" t="s">
        <v>5201</v>
      </c>
      <c r="M204" s="285" t="s">
        <v>497</v>
      </c>
      <c r="N204" s="299" t="s">
        <v>2621</v>
      </c>
      <c r="O204" s="300">
        <v>39395.0</v>
      </c>
      <c r="P204" s="198"/>
      <c r="Q204" s="198"/>
      <c r="R204" s="198"/>
      <c r="S204" s="198"/>
      <c r="T204" s="198"/>
      <c r="U204" s="198"/>
      <c r="V204" s="198"/>
      <c r="W204" s="198"/>
      <c r="X204" s="198"/>
      <c r="Y204" s="198"/>
      <c r="Z204" s="198"/>
    </row>
    <row r="205" ht="54.0" customHeight="1">
      <c r="A205" s="284">
        <v>35420.0</v>
      </c>
      <c r="B205" s="285" t="s">
        <v>715</v>
      </c>
      <c r="C205" s="299">
        <v>1074.0</v>
      </c>
      <c r="D205" s="285" t="s">
        <v>5202</v>
      </c>
      <c r="E205" s="287" t="s">
        <v>5203</v>
      </c>
      <c r="F205" s="288">
        <v>44335.0</v>
      </c>
      <c r="G205" s="288">
        <v>44333.0</v>
      </c>
      <c r="H205" s="288">
        <v>44333.0</v>
      </c>
      <c r="I205" s="288">
        <v>44341.0</v>
      </c>
      <c r="J205" s="294"/>
      <c r="K205" s="294"/>
      <c r="L205" s="290" t="s">
        <v>5204</v>
      </c>
      <c r="M205" s="285" t="s">
        <v>4635</v>
      </c>
      <c r="N205" s="299" t="s">
        <v>2621</v>
      </c>
      <c r="O205" s="300">
        <v>49981.98</v>
      </c>
      <c r="P205" s="198"/>
      <c r="Q205" s="198"/>
      <c r="R205" s="198"/>
      <c r="S205" s="198"/>
      <c r="T205" s="198"/>
      <c r="U205" s="198"/>
      <c r="V205" s="198"/>
      <c r="W205" s="198"/>
      <c r="X205" s="198"/>
      <c r="Y205" s="198"/>
      <c r="Z205" s="198"/>
    </row>
    <row r="206" ht="54.0" customHeight="1">
      <c r="A206" s="284" t="s">
        <v>5205</v>
      </c>
      <c r="B206" s="285" t="s">
        <v>715</v>
      </c>
      <c r="C206" s="299">
        <v>8.0</v>
      </c>
      <c r="D206" s="285" t="s">
        <v>4925</v>
      </c>
      <c r="E206" s="287" t="s">
        <v>4477</v>
      </c>
      <c r="F206" s="288">
        <v>44331.0</v>
      </c>
      <c r="G206" s="288">
        <v>44336.0</v>
      </c>
      <c r="H206" s="288">
        <v>44336.0</v>
      </c>
      <c r="I206" s="380">
        <v>44336.0</v>
      </c>
      <c r="J206" s="294"/>
      <c r="K206" s="294"/>
      <c r="L206" s="290" t="s">
        <v>5206</v>
      </c>
      <c r="M206" s="285" t="s">
        <v>4841</v>
      </c>
      <c r="N206" s="299" t="s">
        <v>4841</v>
      </c>
      <c r="O206" s="300" t="s">
        <v>4841</v>
      </c>
      <c r="P206" s="198"/>
      <c r="Q206" s="198"/>
      <c r="R206" s="198"/>
      <c r="S206" s="198"/>
      <c r="T206" s="198"/>
      <c r="U206" s="198"/>
      <c r="V206" s="198"/>
      <c r="W206" s="198"/>
      <c r="X206" s="198"/>
      <c r="Y206" s="198"/>
      <c r="Z206" s="198"/>
    </row>
    <row r="207" ht="54.0" customHeight="1">
      <c r="A207" s="284">
        <v>34980.0</v>
      </c>
      <c r="B207" s="285" t="s">
        <v>715</v>
      </c>
      <c r="C207" s="299">
        <v>2595.0</v>
      </c>
      <c r="D207" s="285" t="s">
        <v>5207</v>
      </c>
      <c r="E207" s="287" t="s">
        <v>5208</v>
      </c>
      <c r="F207" s="288">
        <v>44331.0</v>
      </c>
      <c r="G207" s="288">
        <v>44323.0</v>
      </c>
      <c r="H207" s="288">
        <v>44323.0</v>
      </c>
      <c r="I207" s="288">
        <v>44341.0</v>
      </c>
      <c r="J207" s="294"/>
      <c r="K207" s="294"/>
      <c r="L207" s="290" t="s">
        <v>5209</v>
      </c>
      <c r="M207" s="285" t="s">
        <v>497</v>
      </c>
      <c r="N207" s="299" t="s">
        <v>2554</v>
      </c>
      <c r="O207" s="300">
        <v>36952.8</v>
      </c>
      <c r="P207" s="198"/>
      <c r="Q207" s="198"/>
      <c r="R207" s="198"/>
      <c r="S207" s="198"/>
      <c r="T207" s="198"/>
      <c r="U207" s="198"/>
      <c r="V207" s="198"/>
      <c r="W207" s="198"/>
      <c r="X207" s="198"/>
      <c r="Y207" s="198"/>
      <c r="Z207" s="198"/>
    </row>
    <row r="208" ht="54.0" customHeight="1">
      <c r="A208" s="284">
        <v>35201.0</v>
      </c>
      <c r="B208" s="285" t="s">
        <v>21</v>
      </c>
      <c r="C208" s="299">
        <v>1056.0</v>
      </c>
      <c r="D208" s="285" t="s">
        <v>5210</v>
      </c>
      <c r="E208" s="287" t="s">
        <v>5211</v>
      </c>
      <c r="F208" s="288">
        <v>44330.0</v>
      </c>
      <c r="G208" s="288">
        <v>44326.0</v>
      </c>
      <c r="H208" s="288">
        <v>44326.0</v>
      </c>
      <c r="I208" s="288">
        <v>44335.0</v>
      </c>
      <c r="J208" s="294"/>
      <c r="K208" s="294"/>
      <c r="L208" s="290" t="s">
        <v>5212</v>
      </c>
      <c r="M208" s="285" t="s">
        <v>497</v>
      </c>
      <c r="N208" s="299" t="s">
        <v>2604</v>
      </c>
      <c r="O208" s="300">
        <v>17631.04</v>
      </c>
      <c r="P208" s="198"/>
      <c r="Q208" s="198"/>
      <c r="R208" s="198"/>
      <c r="S208" s="198"/>
      <c r="T208" s="198"/>
      <c r="U208" s="198"/>
      <c r="V208" s="198"/>
      <c r="W208" s="198"/>
      <c r="X208" s="198"/>
      <c r="Y208" s="198"/>
      <c r="Z208" s="198"/>
    </row>
    <row r="209" ht="54.0" customHeight="1">
      <c r="A209" s="284">
        <v>35251.0</v>
      </c>
      <c r="B209" s="285" t="s">
        <v>21</v>
      </c>
      <c r="C209" s="299">
        <v>1820.0</v>
      </c>
      <c r="D209" s="285" t="s">
        <v>5213</v>
      </c>
      <c r="E209" s="287" t="s">
        <v>5214</v>
      </c>
      <c r="F209" s="288">
        <v>44329.0</v>
      </c>
      <c r="G209" s="288">
        <v>44305.0</v>
      </c>
      <c r="H209" s="288">
        <v>44305.0</v>
      </c>
      <c r="I209" s="288">
        <v>44348.0</v>
      </c>
      <c r="J209" s="294"/>
      <c r="K209" s="294"/>
      <c r="L209" s="290" t="s">
        <v>5215</v>
      </c>
      <c r="M209" s="285" t="s">
        <v>497</v>
      </c>
      <c r="N209" s="299" t="s">
        <v>2554</v>
      </c>
      <c r="O209" s="300">
        <v>24897.6</v>
      </c>
      <c r="P209" s="198"/>
      <c r="Q209" s="198"/>
      <c r="R209" s="198"/>
      <c r="S209" s="198"/>
      <c r="T209" s="198"/>
      <c r="U209" s="198"/>
      <c r="V209" s="198"/>
      <c r="W209" s="198"/>
      <c r="X209" s="198"/>
      <c r="Y209" s="198"/>
      <c r="Z209" s="198"/>
    </row>
    <row r="210" ht="54.0" customHeight="1">
      <c r="A210" s="284">
        <v>35462.0</v>
      </c>
      <c r="B210" s="285" t="s">
        <v>21</v>
      </c>
      <c r="C210" s="299">
        <v>1160.0</v>
      </c>
      <c r="D210" s="285" t="s">
        <v>5216</v>
      </c>
      <c r="E210" s="287" t="s">
        <v>5217</v>
      </c>
      <c r="F210" s="288">
        <v>44328.0</v>
      </c>
      <c r="G210" s="288">
        <v>44329.0</v>
      </c>
      <c r="H210" s="288">
        <v>44329.0</v>
      </c>
      <c r="I210" s="288">
        <v>44342.0</v>
      </c>
      <c r="J210" s="294"/>
      <c r="K210" s="294"/>
      <c r="L210" s="290" t="s">
        <v>5218</v>
      </c>
      <c r="M210" s="285" t="s">
        <v>4635</v>
      </c>
      <c r="N210" s="299" t="s">
        <v>2621</v>
      </c>
      <c r="O210" s="300">
        <v>126381.0</v>
      </c>
      <c r="P210" s="198"/>
      <c r="Q210" s="198"/>
      <c r="R210" s="198"/>
      <c r="S210" s="198"/>
      <c r="T210" s="198"/>
      <c r="U210" s="198"/>
      <c r="V210" s="198"/>
      <c r="W210" s="198"/>
      <c r="X210" s="198"/>
      <c r="Y210" s="198"/>
      <c r="Z210" s="198"/>
    </row>
    <row r="211" ht="56.25" customHeight="1">
      <c r="A211" s="284">
        <v>35188.0</v>
      </c>
      <c r="B211" s="285" t="s">
        <v>25</v>
      </c>
      <c r="C211" s="299" t="s">
        <v>5219</v>
      </c>
      <c r="D211" s="285" t="s">
        <v>5220</v>
      </c>
      <c r="E211" s="287" t="s">
        <v>5221</v>
      </c>
      <c r="F211" s="288">
        <v>44326.0</v>
      </c>
      <c r="G211" s="285" t="s">
        <v>28</v>
      </c>
      <c r="H211" s="285" t="s">
        <v>28</v>
      </c>
      <c r="I211" s="288">
        <v>44329.0</v>
      </c>
      <c r="J211" s="294"/>
      <c r="K211" s="294"/>
      <c r="L211" s="290" t="s">
        <v>5222</v>
      </c>
      <c r="M211" s="285" t="s">
        <v>497</v>
      </c>
      <c r="N211" s="299" t="s">
        <v>2581</v>
      </c>
      <c r="O211" s="300">
        <v>3016.8</v>
      </c>
      <c r="P211" s="198"/>
      <c r="Q211" s="198"/>
      <c r="R211" s="198"/>
      <c r="S211" s="198"/>
      <c r="T211" s="198"/>
      <c r="U211" s="198"/>
      <c r="V211" s="198"/>
      <c r="W211" s="198"/>
      <c r="X211" s="198"/>
      <c r="Y211" s="198"/>
      <c r="Z211" s="198"/>
    </row>
    <row r="212" ht="54.0" customHeight="1">
      <c r="A212" s="284">
        <v>34977.0</v>
      </c>
      <c r="B212" s="285" t="s">
        <v>21</v>
      </c>
      <c r="C212" s="299">
        <v>3000.0</v>
      </c>
      <c r="D212" s="285" t="s">
        <v>5223</v>
      </c>
      <c r="E212" s="287" t="s">
        <v>5224</v>
      </c>
      <c r="F212" s="288">
        <v>44322.0</v>
      </c>
      <c r="G212" s="288">
        <v>44319.0</v>
      </c>
      <c r="H212" s="288">
        <v>44319.0</v>
      </c>
      <c r="I212" s="288">
        <v>44333.0</v>
      </c>
      <c r="J212" s="294"/>
      <c r="K212" s="294"/>
      <c r="L212" s="290" t="s">
        <v>5225</v>
      </c>
      <c r="M212" s="285" t="s">
        <v>497</v>
      </c>
      <c r="N212" s="299" t="s">
        <v>2554</v>
      </c>
      <c r="O212" s="300">
        <v>21210.0</v>
      </c>
      <c r="P212" s="198"/>
      <c r="Q212" s="198"/>
      <c r="R212" s="198"/>
      <c r="S212" s="198"/>
      <c r="T212" s="198"/>
      <c r="U212" s="198"/>
      <c r="V212" s="198"/>
      <c r="W212" s="198"/>
      <c r="X212" s="198"/>
      <c r="Y212" s="198"/>
      <c r="Z212" s="198"/>
    </row>
    <row r="213" ht="54.0" customHeight="1">
      <c r="A213" s="284">
        <v>35216.0</v>
      </c>
      <c r="B213" s="285" t="s">
        <v>25</v>
      </c>
      <c r="C213" s="299">
        <v>1129.0</v>
      </c>
      <c r="D213" s="285" t="s">
        <v>5226</v>
      </c>
      <c r="E213" s="287" t="s">
        <v>4804</v>
      </c>
      <c r="F213" s="288">
        <v>44322.0</v>
      </c>
      <c r="G213" s="288">
        <v>44319.0</v>
      </c>
      <c r="H213" s="288">
        <v>44319.0</v>
      </c>
      <c r="I213" s="288">
        <v>44328.0</v>
      </c>
      <c r="J213" s="294"/>
      <c r="K213" s="294"/>
      <c r="L213" s="290" t="s">
        <v>5227</v>
      </c>
      <c r="M213" s="285" t="s">
        <v>497</v>
      </c>
      <c r="N213" s="299" t="s">
        <v>2604</v>
      </c>
      <c r="O213" s="300">
        <v>17847.34</v>
      </c>
      <c r="P213" s="198"/>
      <c r="Q213" s="198"/>
      <c r="R213" s="198"/>
      <c r="S213" s="198"/>
      <c r="T213" s="198"/>
      <c r="U213" s="198"/>
      <c r="V213" s="198"/>
      <c r="W213" s="198"/>
      <c r="X213" s="198"/>
      <c r="Y213" s="198"/>
      <c r="Z213" s="198"/>
    </row>
    <row r="214" ht="51.0" customHeight="1">
      <c r="A214" s="284">
        <v>35339.0</v>
      </c>
      <c r="B214" s="299" t="s">
        <v>21</v>
      </c>
      <c r="C214" s="299">
        <v>666.0</v>
      </c>
      <c r="D214" s="285" t="s">
        <v>5228</v>
      </c>
      <c r="E214" s="287" t="s">
        <v>5229</v>
      </c>
      <c r="F214" s="288">
        <v>44321.0</v>
      </c>
      <c r="G214" s="288">
        <v>44312.0</v>
      </c>
      <c r="H214" s="288">
        <v>44312.0</v>
      </c>
      <c r="I214" s="288">
        <v>44323.0</v>
      </c>
      <c r="J214" s="294"/>
      <c r="K214" s="294"/>
      <c r="L214" s="290" t="s">
        <v>5230</v>
      </c>
      <c r="M214" s="285" t="s">
        <v>4635</v>
      </c>
      <c r="N214" s="299" t="s">
        <v>2621</v>
      </c>
      <c r="O214" s="300">
        <v>60815.77</v>
      </c>
      <c r="P214" s="198"/>
      <c r="Q214" s="198"/>
      <c r="R214" s="198"/>
      <c r="S214" s="198"/>
      <c r="T214" s="198"/>
      <c r="U214" s="198"/>
      <c r="V214" s="198"/>
      <c r="W214" s="198"/>
      <c r="X214" s="198"/>
      <c r="Y214" s="198"/>
      <c r="Z214" s="198"/>
    </row>
    <row r="215" ht="54.0" customHeight="1">
      <c r="A215" s="284">
        <v>35063.0</v>
      </c>
      <c r="B215" s="299" t="s">
        <v>21</v>
      </c>
      <c r="C215" s="299">
        <v>1526.0</v>
      </c>
      <c r="D215" s="285" t="s">
        <v>5231</v>
      </c>
      <c r="E215" s="287" t="s">
        <v>5214</v>
      </c>
      <c r="F215" s="288">
        <v>44320.0</v>
      </c>
      <c r="G215" s="288">
        <v>44302.0</v>
      </c>
      <c r="H215" s="288">
        <v>44302.0</v>
      </c>
      <c r="I215" s="288">
        <v>44326.0</v>
      </c>
      <c r="J215" s="294"/>
      <c r="K215" s="294"/>
      <c r="L215" s="290" t="s">
        <v>5232</v>
      </c>
      <c r="M215" s="285" t="s">
        <v>497</v>
      </c>
      <c r="N215" s="299" t="s">
        <v>2554</v>
      </c>
      <c r="O215" s="300">
        <v>31762.05</v>
      </c>
      <c r="P215" s="198"/>
      <c r="Q215" s="198"/>
      <c r="R215" s="198"/>
      <c r="S215" s="198"/>
      <c r="T215" s="198"/>
      <c r="U215" s="198"/>
      <c r="V215" s="198"/>
      <c r="W215" s="198"/>
      <c r="X215" s="198"/>
      <c r="Y215" s="198"/>
      <c r="Z215" s="198"/>
    </row>
    <row r="216" ht="54.75" customHeight="1">
      <c r="A216" s="284">
        <v>35397.0</v>
      </c>
      <c r="B216" s="299" t="s">
        <v>21</v>
      </c>
      <c r="C216" s="299">
        <v>920.0</v>
      </c>
      <c r="D216" s="285" t="s">
        <v>5233</v>
      </c>
      <c r="E216" s="287" t="s">
        <v>5234</v>
      </c>
      <c r="F216" s="288">
        <v>44318.0</v>
      </c>
      <c r="G216" s="288">
        <v>44313.0</v>
      </c>
      <c r="H216" s="288">
        <v>44313.0</v>
      </c>
      <c r="I216" s="288">
        <v>44329.0</v>
      </c>
      <c r="J216" s="294"/>
      <c r="K216" s="294"/>
      <c r="L216" s="290" t="s">
        <v>5235</v>
      </c>
      <c r="M216" s="285" t="s">
        <v>4635</v>
      </c>
      <c r="N216" s="299" t="s">
        <v>2621</v>
      </c>
      <c r="O216" s="300">
        <v>87855.48</v>
      </c>
      <c r="P216" s="198"/>
      <c r="Q216" s="198"/>
      <c r="R216" s="198"/>
      <c r="S216" s="198"/>
      <c r="T216" s="198"/>
      <c r="U216" s="198"/>
      <c r="V216" s="198"/>
      <c r="W216" s="198"/>
      <c r="X216" s="198"/>
      <c r="Y216" s="198"/>
      <c r="Z216" s="198"/>
    </row>
    <row r="217" ht="54.0" customHeight="1">
      <c r="A217" s="284">
        <v>34978.0</v>
      </c>
      <c r="B217" s="285" t="s">
        <v>715</v>
      </c>
      <c r="C217" s="299">
        <v>3000.0</v>
      </c>
      <c r="D217" s="367" t="s">
        <v>5236</v>
      </c>
      <c r="E217" s="287" t="s">
        <v>5224</v>
      </c>
      <c r="F217" s="288">
        <v>44317.0</v>
      </c>
      <c r="G217" s="288">
        <v>44307.0</v>
      </c>
      <c r="H217" s="288">
        <v>44307.0</v>
      </c>
      <c r="I217" s="288">
        <v>44320.0</v>
      </c>
      <c r="J217" s="294"/>
      <c r="K217" s="294"/>
      <c r="L217" s="290" t="s">
        <v>5237</v>
      </c>
      <c r="M217" s="285" t="s">
        <v>497</v>
      </c>
      <c r="N217" s="286" t="s">
        <v>2554</v>
      </c>
      <c r="O217" s="300">
        <v>21210.0</v>
      </c>
      <c r="P217" s="198"/>
      <c r="Q217" s="198"/>
      <c r="R217" s="198"/>
      <c r="S217" s="198"/>
      <c r="T217" s="198"/>
      <c r="U217" s="198"/>
      <c r="V217" s="198"/>
      <c r="W217" s="198"/>
      <c r="X217" s="198"/>
      <c r="Y217" s="198"/>
      <c r="Z217" s="198"/>
    </row>
    <row r="218" ht="56.25" customHeight="1">
      <c r="A218" s="284">
        <v>34976.0</v>
      </c>
      <c r="B218" s="285" t="s">
        <v>715</v>
      </c>
      <c r="C218" s="299">
        <v>3000.0</v>
      </c>
      <c r="D218" s="367" t="s">
        <v>5238</v>
      </c>
      <c r="E218" s="287" t="s">
        <v>5239</v>
      </c>
      <c r="F218" s="288">
        <v>44311.0</v>
      </c>
      <c r="G218" s="288">
        <v>44301.0</v>
      </c>
      <c r="H218" s="288">
        <v>44301.0</v>
      </c>
      <c r="I218" s="288">
        <v>44313.0</v>
      </c>
      <c r="J218" s="294"/>
      <c r="K218" s="294"/>
      <c r="L218" s="290" t="s">
        <v>5240</v>
      </c>
      <c r="M218" s="285" t="s">
        <v>497</v>
      </c>
      <c r="N218" s="286" t="s">
        <v>2554</v>
      </c>
      <c r="O218" s="300">
        <v>20610.0</v>
      </c>
      <c r="P218" s="198"/>
      <c r="Q218" s="198"/>
      <c r="R218" s="198"/>
      <c r="S218" s="198"/>
      <c r="T218" s="198"/>
      <c r="U218" s="198"/>
      <c r="V218" s="198"/>
      <c r="W218" s="198"/>
      <c r="X218" s="198"/>
      <c r="Y218" s="198"/>
      <c r="Z218" s="198"/>
    </row>
    <row r="219" ht="54.0" customHeight="1">
      <c r="A219" s="284">
        <v>34994.0</v>
      </c>
      <c r="B219" s="285" t="s">
        <v>715</v>
      </c>
      <c r="C219" s="299">
        <v>990.0</v>
      </c>
      <c r="D219" s="285" t="s">
        <v>5241</v>
      </c>
      <c r="E219" s="287" t="s">
        <v>3740</v>
      </c>
      <c r="F219" s="288">
        <v>44308.0</v>
      </c>
      <c r="G219" s="288">
        <v>44308.0</v>
      </c>
      <c r="H219" s="288">
        <v>44308.0</v>
      </c>
      <c r="I219" s="288">
        <v>44312.0</v>
      </c>
      <c r="J219" s="294"/>
      <c r="K219" s="294"/>
      <c r="L219" s="290" t="s">
        <v>5242</v>
      </c>
      <c r="M219" s="285" t="s">
        <v>497</v>
      </c>
      <c r="N219" s="299" t="s">
        <v>4711</v>
      </c>
      <c r="O219" s="300">
        <v>20993.35</v>
      </c>
      <c r="P219" s="198"/>
      <c r="Q219" s="198"/>
      <c r="R219" s="198"/>
      <c r="S219" s="198"/>
      <c r="T219" s="198"/>
      <c r="U219" s="198"/>
      <c r="V219" s="198"/>
      <c r="W219" s="198"/>
      <c r="X219" s="198"/>
      <c r="Y219" s="198"/>
      <c r="Z219" s="198"/>
    </row>
    <row r="220" ht="54.0" customHeight="1">
      <c r="A220" s="284">
        <v>35027.0</v>
      </c>
      <c r="B220" s="285" t="s">
        <v>715</v>
      </c>
      <c r="C220" s="299">
        <v>1800.0</v>
      </c>
      <c r="D220" s="367" t="s">
        <v>5243</v>
      </c>
      <c r="E220" s="287" t="s">
        <v>675</v>
      </c>
      <c r="F220" s="288">
        <v>44308.0</v>
      </c>
      <c r="G220" s="288">
        <v>44305.0</v>
      </c>
      <c r="H220" s="288">
        <v>44305.0</v>
      </c>
      <c r="I220" s="288">
        <v>44315.0</v>
      </c>
      <c r="J220" s="294"/>
      <c r="K220" s="294"/>
      <c r="L220" s="290" t="s">
        <v>5244</v>
      </c>
      <c r="M220" s="285" t="s">
        <v>497</v>
      </c>
      <c r="N220" s="299" t="s">
        <v>5091</v>
      </c>
      <c r="O220" s="300">
        <v>18593.4</v>
      </c>
      <c r="P220" s="198"/>
      <c r="Q220" s="198"/>
      <c r="R220" s="198"/>
      <c r="S220" s="198"/>
      <c r="T220" s="198"/>
      <c r="U220" s="198"/>
      <c r="V220" s="198"/>
      <c r="W220" s="198"/>
      <c r="X220" s="198"/>
      <c r="Y220" s="198"/>
      <c r="Z220" s="198"/>
    </row>
    <row r="221" ht="54.0" customHeight="1">
      <c r="A221" s="284">
        <v>35323.0</v>
      </c>
      <c r="B221" s="285" t="s">
        <v>715</v>
      </c>
      <c r="C221" s="299">
        <v>994.0</v>
      </c>
      <c r="D221" s="285" t="s">
        <v>5245</v>
      </c>
      <c r="E221" s="287" t="s">
        <v>5246</v>
      </c>
      <c r="F221" s="288">
        <v>44307.0</v>
      </c>
      <c r="G221" s="288">
        <v>44306.0</v>
      </c>
      <c r="H221" s="288">
        <v>44306.0</v>
      </c>
      <c r="I221" s="288">
        <v>44312.0</v>
      </c>
      <c r="J221" s="294"/>
      <c r="K221" s="294"/>
      <c r="L221" s="290" t="s">
        <v>5247</v>
      </c>
      <c r="M221" s="285" t="s">
        <v>4635</v>
      </c>
      <c r="N221" s="299" t="s">
        <v>2621</v>
      </c>
      <c r="O221" s="300">
        <v>44246.1</v>
      </c>
      <c r="P221" s="198"/>
      <c r="Q221" s="198"/>
      <c r="R221" s="198"/>
      <c r="S221" s="198"/>
      <c r="T221" s="198"/>
      <c r="U221" s="198"/>
      <c r="V221" s="198"/>
      <c r="W221" s="198"/>
      <c r="X221" s="198"/>
      <c r="Y221" s="198"/>
      <c r="Z221" s="198"/>
    </row>
    <row r="222" ht="42.75" customHeight="1">
      <c r="A222" s="284">
        <v>35151.0</v>
      </c>
      <c r="B222" s="285" t="s">
        <v>21</v>
      </c>
      <c r="C222" s="299">
        <v>1470.0</v>
      </c>
      <c r="D222" s="285" t="s">
        <v>5248</v>
      </c>
      <c r="E222" s="287" t="s">
        <v>5249</v>
      </c>
      <c r="F222" s="288">
        <v>44303.0</v>
      </c>
      <c r="G222" s="305">
        <v>44294.0</v>
      </c>
      <c r="H222" s="305">
        <v>44294.0</v>
      </c>
      <c r="I222" s="305">
        <v>44312.0</v>
      </c>
      <c r="J222" s="294"/>
      <c r="K222" s="294"/>
      <c r="L222" s="290" t="s">
        <v>5250</v>
      </c>
      <c r="M222" s="285" t="s">
        <v>497</v>
      </c>
      <c r="N222" s="286" t="s">
        <v>2554</v>
      </c>
      <c r="O222" s="300">
        <v>38091.0</v>
      </c>
      <c r="P222" s="198"/>
      <c r="Q222" s="198"/>
      <c r="R222" s="198"/>
      <c r="S222" s="198"/>
      <c r="T222" s="198"/>
      <c r="U222" s="198"/>
      <c r="V222" s="198"/>
      <c r="W222" s="198"/>
      <c r="X222" s="198"/>
      <c r="Y222" s="198"/>
      <c r="Z222" s="198"/>
    </row>
    <row r="223" ht="53.25" customHeight="1">
      <c r="A223" s="284">
        <v>34677.0</v>
      </c>
      <c r="B223" s="285" t="s">
        <v>21</v>
      </c>
      <c r="C223" s="299" t="s">
        <v>5251</v>
      </c>
      <c r="D223" s="285" t="s">
        <v>5252</v>
      </c>
      <c r="E223" s="287" t="s">
        <v>5253</v>
      </c>
      <c r="F223" s="288">
        <v>44302.0</v>
      </c>
      <c r="G223" s="285" t="s">
        <v>28</v>
      </c>
      <c r="H223" s="285" t="s">
        <v>28</v>
      </c>
      <c r="I223" s="382" t="s">
        <v>5254</v>
      </c>
      <c r="J223" s="294"/>
      <c r="K223" s="294"/>
      <c r="L223" s="290" t="s">
        <v>5255</v>
      </c>
      <c r="M223" s="285" t="s">
        <v>4841</v>
      </c>
      <c r="N223" s="299" t="s">
        <v>4841</v>
      </c>
      <c r="O223" s="300" t="s">
        <v>4841</v>
      </c>
      <c r="P223" s="198"/>
      <c r="Q223" s="198"/>
      <c r="R223" s="198"/>
      <c r="S223" s="198"/>
      <c r="T223" s="198"/>
      <c r="U223" s="198"/>
      <c r="V223" s="198"/>
      <c r="W223" s="198"/>
      <c r="X223" s="198"/>
      <c r="Y223" s="198"/>
      <c r="Z223" s="198"/>
    </row>
    <row r="224" ht="42.75" customHeight="1">
      <c r="A224" s="284">
        <v>35313.0</v>
      </c>
      <c r="B224" s="285" t="s">
        <v>21</v>
      </c>
      <c r="C224" s="299">
        <v>1169.0</v>
      </c>
      <c r="D224" s="285" t="s">
        <v>5256</v>
      </c>
      <c r="E224" s="287" t="s">
        <v>5257</v>
      </c>
      <c r="F224" s="288">
        <v>44302.0</v>
      </c>
      <c r="G224" s="288">
        <v>44299.0</v>
      </c>
      <c r="H224" s="288">
        <v>44299.0</v>
      </c>
      <c r="I224" s="288">
        <v>44313.0</v>
      </c>
      <c r="J224" s="294"/>
      <c r="K224" s="294"/>
      <c r="L224" s="290" t="s">
        <v>5258</v>
      </c>
      <c r="M224" s="285" t="s">
        <v>4635</v>
      </c>
      <c r="N224" s="299" t="s">
        <v>2621</v>
      </c>
      <c r="O224" s="300">
        <v>122376.3</v>
      </c>
      <c r="P224" s="198"/>
      <c r="Q224" s="198"/>
      <c r="R224" s="198"/>
      <c r="S224" s="198"/>
      <c r="T224" s="198"/>
      <c r="U224" s="198"/>
      <c r="V224" s="198"/>
      <c r="W224" s="198"/>
      <c r="X224" s="198"/>
      <c r="Y224" s="198"/>
      <c r="Z224" s="198"/>
    </row>
    <row r="225" ht="42.0" customHeight="1">
      <c r="A225" s="284">
        <v>35266.0</v>
      </c>
      <c r="B225" s="285" t="s">
        <v>715</v>
      </c>
      <c r="C225" s="299">
        <v>1079.0</v>
      </c>
      <c r="D225" s="367" t="s">
        <v>5259</v>
      </c>
      <c r="E225" s="287" t="s">
        <v>5260</v>
      </c>
      <c r="F225" s="288">
        <v>44299.0</v>
      </c>
      <c r="G225" s="288">
        <v>44292.0</v>
      </c>
      <c r="H225" s="288">
        <v>44292.0</v>
      </c>
      <c r="I225" s="288">
        <v>44305.0</v>
      </c>
      <c r="J225" s="294"/>
      <c r="K225" s="294"/>
      <c r="L225" s="290" t="s">
        <v>5261</v>
      </c>
      <c r="M225" s="285" t="s">
        <v>4635</v>
      </c>
      <c r="N225" s="299" t="s">
        <v>2621</v>
      </c>
      <c r="O225" s="300">
        <v>47899.92</v>
      </c>
      <c r="P225" s="198"/>
      <c r="Q225" s="198"/>
      <c r="R225" s="198"/>
      <c r="S225" s="198"/>
      <c r="T225" s="198"/>
      <c r="U225" s="198"/>
      <c r="V225" s="198"/>
      <c r="W225" s="198"/>
      <c r="X225" s="198"/>
      <c r="Y225" s="198"/>
      <c r="Z225" s="198"/>
    </row>
    <row r="226" ht="42.0" customHeight="1">
      <c r="A226" s="284">
        <v>34992.0</v>
      </c>
      <c r="B226" s="285" t="s">
        <v>25</v>
      </c>
      <c r="C226" s="299">
        <v>990.0</v>
      </c>
      <c r="D226" s="285" t="s">
        <v>5262</v>
      </c>
      <c r="E226" s="287" t="s">
        <v>3740</v>
      </c>
      <c r="F226" s="288">
        <v>44299.0</v>
      </c>
      <c r="G226" s="288">
        <v>44287.0</v>
      </c>
      <c r="H226" s="288">
        <v>44287.0</v>
      </c>
      <c r="I226" s="288">
        <v>44305.0</v>
      </c>
      <c r="J226" s="294"/>
      <c r="K226" s="294"/>
      <c r="L226" s="290" t="s">
        <v>5263</v>
      </c>
      <c r="M226" s="285" t="s">
        <v>497</v>
      </c>
      <c r="N226" s="299" t="s">
        <v>4711</v>
      </c>
      <c r="O226" s="300">
        <v>20993.35</v>
      </c>
      <c r="P226" s="198"/>
      <c r="Q226" s="198"/>
      <c r="R226" s="198"/>
      <c r="S226" s="198"/>
      <c r="T226" s="198"/>
      <c r="U226" s="198"/>
      <c r="V226" s="198"/>
      <c r="W226" s="198"/>
      <c r="X226" s="198"/>
      <c r="Y226" s="198"/>
      <c r="Z226" s="198"/>
    </row>
    <row r="227" ht="42.75" customHeight="1">
      <c r="A227" s="284">
        <v>35127.0</v>
      </c>
      <c r="B227" s="285" t="s">
        <v>21</v>
      </c>
      <c r="C227" s="299">
        <v>322.0</v>
      </c>
      <c r="D227" s="285" t="s">
        <v>5264</v>
      </c>
      <c r="E227" s="287" t="s">
        <v>5265</v>
      </c>
      <c r="F227" s="288">
        <v>44296.0</v>
      </c>
      <c r="G227" s="288">
        <v>44277.0</v>
      </c>
      <c r="H227" s="288">
        <v>44277.0</v>
      </c>
      <c r="I227" s="288">
        <v>44306.0</v>
      </c>
      <c r="J227" s="294"/>
      <c r="K227" s="294"/>
      <c r="L227" s="290" t="s">
        <v>5266</v>
      </c>
      <c r="M227" s="285" t="s">
        <v>4745</v>
      </c>
      <c r="N227" s="286" t="s">
        <v>4746</v>
      </c>
      <c r="O227" s="300">
        <v>43256.5</v>
      </c>
      <c r="P227" s="198"/>
      <c r="Q227" s="198"/>
      <c r="R227" s="198"/>
      <c r="S227" s="198"/>
      <c r="T227" s="198"/>
      <c r="U227" s="198"/>
      <c r="V227" s="198"/>
      <c r="W227" s="198"/>
      <c r="X227" s="198"/>
      <c r="Y227" s="198"/>
      <c r="Z227" s="198"/>
    </row>
    <row r="228" ht="39.75" customHeight="1">
      <c r="A228" s="284">
        <v>35346.0</v>
      </c>
      <c r="B228" s="285" t="s">
        <v>4924</v>
      </c>
      <c r="C228" s="299">
        <v>240.0</v>
      </c>
      <c r="D228" s="285" t="s">
        <v>4925</v>
      </c>
      <c r="E228" s="287" t="s">
        <v>5249</v>
      </c>
      <c r="F228" s="288">
        <v>44292.0</v>
      </c>
      <c r="G228" s="288">
        <v>44293.0</v>
      </c>
      <c r="H228" s="288">
        <v>44293.0</v>
      </c>
      <c r="I228" s="288">
        <v>44293.0</v>
      </c>
      <c r="J228" s="294"/>
      <c r="K228" s="294"/>
      <c r="L228" s="290" t="s">
        <v>5267</v>
      </c>
      <c r="M228" s="285" t="s">
        <v>497</v>
      </c>
      <c r="N228" s="286" t="s">
        <v>2554</v>
      </c>
      <c r="O228" s="300">
        <v>8250.0</v>
      </c>
      <c r="P228" s="198"/>
      <c r="Q228" s="198"/>
      <c r="R228" s="198"/>
      <c r="S228" s="198"/>
      <c r="T228" s="198"/>
      <c r="U228" s="198"/>
      <c r="V228" s="198"/>
      <c r="W228" s="198"/>
      <c r="X228" s="198"/>
      <c r="Y228" s="198"/>
      <c r="Z228" s="198"/>
    </row>
    <row r="229" ht="44.25" customHeight="1">
      <c r="A229" s="284">
        <v>34974.0</v>
      </c>
      <c r="B229" s="285" t="s">
        <v>21</v>
      </c>
      <c r="C229" s="299">
        <v>2100.0</v>
      </c>
      <c r="D229" s="285" t="s">
        <v>5268</v>
      </c>
      <c r="E229" s="287" t="s">
        <v>5269</v>
      </c>
      <c r="F229" s="288">
        <v>44292.0</v>
      </c>
      <c r="G229" s="288">
        <v>44288.0</v>
      </c>
      <c r="H229" s="288">
        <v>44288.0</v>
      </c>
      <c r="I229" s="288">
        <v>44301.0</v>
      </c>
      <c r="J229" s="294" t="s">
        <v>5270</v>
      </c>
      <c r="K229" s="294" t="s">
        <v>5271</v>
      </c>
      <c r="L229" s="290" t="s">
        <v>5272</v>
      </c>
      <c r="M229" s="285" t="s">
        <v>497</v>
      </c>
      <c r="N229" s="286" t="s">
        <v>2554</v>
      </c>
      <c r="O229" s="300">
        <v>28812.0</v>
      </c>
      <c r="P229" s="198"/>
      <c r="Q229" s="198"/>
      <c r="R229" s="198"/>
      <c r="S229" s="198"/>
      <c r="T229" s="198"/>
      <c r="U229" s="198"/>
      <c r="V229" s="198"/>
      <c r="W229" s="198"/>
      <c r="X229" s="198"/>
      <c r="Y229" s="198"/>
      <c r="Z229" s="198"/>
    </row>
    <row r="230" ht="43.5" customHeight="1">
      <c r="A230" s="284">
        <v>34975.0</v>
      </c>
      <c r="B230" s="285" t="s">
        <v>21</v>
      </c>
      <c r="C230" s="299">
        <v>3000.0</v>
      </c>
      <c r="D230" s="285" t="s">
        <v>5273</v>
      </c>
      <c r="E230" s="287" t="s">
        <v>5239</v>
      </c>
      <c r="F230" s="288">
        <v>44292.0</v>
      </c>
      <c r="G230" s="288">
        <v>44288.0</v>
      </c>
      <c r="H230" s="288">
        <v>44288.0</v>
      </c>
      <c r="I230" s="288">
        <v>44300.0</v>
      </c>
      <c r="J230" s="294" t="s">
        <v>5270</v>
      </c>
      <c r="K230" s="294" t="s">
        <v>5271</v>
      </c>
      <c r="L230" s="290" t="s">
        <v>5274</v>
      </c>
      <c r="M230" s="285" t="s">
        <v>497</v>
      </c>
      <c r="N230" s="286" t="s">
        <v>2554</v>
      </c>
      <c r="O230" s="300">
        <v>20610.0</v>
      </c>
      <c r="P230" s="198"/>
      <c r="Q230" s="198"/>
      <c r="R230" s="198"/>
      <c r="S230" s="198"/>
      <c r="T230" s="198"/>
      <c r="U230" s="198"/>
      <c r="V230" s="198"/>
      <c r="W230" s="198"/>
      <c r="X230" s="198"/>
      <c r="Y230" s="198"/>
      <c r="Z230" s="198"/>
    </row>
    <row r="231" ht="42.0" customHeight="1">
      <c r="A231" s="284">
        <v>34898.0</v>
      </c>
      <c r="B231" s="296" t="s">
        <v>21</v>
      </c>
      <c r="C231" s="299">
        <v>3000.0</v>
      </c>
      <c r="D231" s="285" t="s">
        <v>5275</v>
      </c>
      <c r="E231" s="287" t="s">
        <v>5276</v>
      </c>
      <c r="F231" s="288">
        <v>44290.0</v>
      </c>
      <c r="G231" s="288">
        <v>44274.0</v>
      </c>
      <c r="H231" s="288">
        <v>44274.0</v>
      </c>
      <c r="I231" s="288">
        <v>44299.0</v>
      </c>
      <c r="J231" s="294" t="s">
        <v>5270</v>
      </c>
      <c r="K231" s="294" t="s">
        <v>5271</v>
      </c>
      <c r="L231" s="290" t="s">
        <v>5277</v>
      </c>
      <c r="M231" s="285" t="s">
        <v>497</v>
      </c>
      <c r="N231" s="286" t="s">
        <v>2554</v>
      </c>
      <c r="O231" s="300">
        <v>21210.0</v>
      </c>
      <c r="P231" s="198"/>
      <c r="Q231" s="198"/>
      <c r="R231" s="198"/>
      <c r="S231" s="198"/>
      <c r="T231" s="198"/>
      <c r="U231" s="198"/>
      <c r="V231" s="198"/>
      <c r="W231" s="198"/>
      <c r="X231" s="198"/>
      <c r="Y231" s="198"/>
      <c r="Z231" s="198"/>
    </row>
    <row r="232" ht="42.0" customHeight="1">
      <c r="A232" s="284">
        <v>35310.0</v>
      </c>
      <c r="B232" s="285" t="s">
        <v>715</v>
      </c>
      <c r="C232" s="299">
        <v>944.0</v>
      </c>
      <c r="D232" s="285" t="s">
        <v>5278</v>
      </c>
      <c r="E232" s="287" t="s">
        <v>5279</v>
      </c>
      <c r="F232" s="288">
        <v>44289.0</v>
      </c>
      <c r="G232" s="288">
        <v>44284.0</v>
      </c>
      <c r="H232" s="288">
        <v>44284.0</v>
      </c>
      <c r="I232" s="288">
        <v>44293.0</v>
      </c>
      <c r="J232" s="294"/>
      <c r="K232" s="294"/>
      <c r="L232" s="290" t="s">
        <v>5280</v>
      </c>
      <c r="M232" s="285" t="s">
        <v>4635</v>
      </c>
      <c r="N232" s="286" t="s">
        <v>2621</v>
      </c>
      <c r="O232" s="300">
        <v>42864.6</v>
      </c>
      <c r="P232" s="198"/>
      <c r="Q232" s="198"/>
      <c r="R232" s="198"/>
      <c r="S232" s="198"/>
      <c r="T232" s="198"/>
      <c r="U232" s="198"/>
      <c r="V232" s="198"/>
      <c r="W232" s="198"/>
      <c r="X232" s="198"/>
      <c r="Y232" s="198"/>
      <c r="Z232" s="198"/>
    </row>
    <row r="233" ht="42.0" customHeight="1">
      <c r="A233" s="284">
        <v>35070.0</v>
      </c>
      <c r="B233" s="285" t="s">
        <v>21</v>
      </c>
      <c r="C233" s="299">
        <v>1199.0</v>
      </c>
      <c r="D233" s="285" t="s">
        <v>5281</v>
      </c>
      <c r="E233" s="287" t="s">
        <v>4804</v>
      </c>
      <c r="F233" s="288">
        <v>44288.0</v>
      </c>
      <c r="G233" s="288">
        <v>44271.0</v>
      </c>
      <c r="H233" s="288">
        <v>44271.0</v>
      </c>
      <c r="I233" s="288">
        <v>44295.0</v>
      </c>
      <c r="J233" s="294"/>
      <c r="K233" s="294"/>
      <c r="L233" s="290" t="s">
        <v>5282</v>
      </c>
      <c r="M233" s="285" t="s">
        <v>497</v>
      </c>
      <c r="N233" s="286" t="s">
        <v>2604</v>
      </c>
      <c r="O233" s="300">
        <v>18376.6</v>
      </c>
      <c r="P233" s="198"/>
      <c r="Q233" s="198"/>
      <c r="R233" s="198"/>
      <c r="S233" s="198"/>
      <c r="T233" s="198"/>
      <c r="U233" s="198"/>
      <c r="V233" s="198"/>
      <c r="W233" s="198"/>
      <c r="X233" s="198"/>
      <c r="Y233" s="198"/>
      <c r="Z233" s="198"/>
    </row>
    <row r="234" ht="42.0" customHeight="1">
      <c r="A234" s="284">
        <v>34900.0</v>
      </c>
      <c r="B234" s="285" t="s">
        <v>715</v>
      </c>
      <c r="C234" s="299">
        <v>3000.0</v>
      </c>
      <c r="D234" s="285" t="s">
        <v>5283</v>
      </c>
      <c r="E234" s="287" t="s">
        <v>5276</v>
      </c>
      <c r="F234" s="288">
        <v>44287.0</v>
      </c>
      <c r="G234" s="288">
        <v>44284.0</v>
      </c>
      <c r="H234" s="288">
        <v>44291.0</v>
      </c>
      <c r="I234" s="288">
        <v>44295.0</v>
      </c>
      <c r="J234" s="294"/>
      <c r="K234" s="294"/>
      <c r="L234" s="290" t="s">
        <v>5284</v>
      </c>
      <c r="M234" s="285" t="s">
        <v>497</v>
      </c>
      <c r="N234" s="286" t="s">
        <v>2554</v>
      </c>
      <c r="O234" s="300">
        <v>21210.0</v>
      </c>
      <c r="P234" s="198"/>
      <c r="Q234" s="198"/>
      <c r="R234" s="198"/>
      <c r="S234" s="198"/>
      <c r="T234" s="198"/>
      <c r="U234" s="198"/>
      <c r="V234" s="198"/>
      <c r="W234" s="198"/>
      <c r="X234" s="198"/>
      <c r="Y234" s="198"/>
      <c r="Z234" s="198"/>
    </row>
    <row r="235" ht="42.0" customHeight="1">
      <c r="A235" s="284">
        <v>35338.0</v>
      </c>
      <c r="B235" s="285" t="s">
        <v>21</v>
      </c>
      <c r="C235" s="299">
        <v>1317.0</v>
      </c>
      <c r="D235" s="285" t="s">
        <v>5285</v>
      </c>
      <c r="E235" s="383" t="s">
        <v>5286</v>
      </c>
      <c r="F235" s="288">
        <v>44287.0</v>
      </c>
      <c r="G235" s="288">
        <v>44284.0</v>
      </c>
      <c r="H235" s="288">
        <v>44284.0</v>
      </c>
      <c r="I235" s="288">
        <v>44288.0</v>
      </c>
      <c r="J235" s="294"/>
      <c r="K235" s="294"/>
      <c r="L235" s="290" t="s">
        <v>5287</v>
      </c>
      <c r="M235" s="285" t="s">
        <v>4635</v>
      </c>
      <c r="N235" s="299" t="s">
        <v>2621</v>
      </c>
      <c r="O235" s="300">
        <v>39774.0</v>
      </c>
      <c r="P235" s="198"/>
      <c r="Q235" s="198"/>
      <c r="R235" s="198"/>
      <c r="S235" s="198"/>
      <c r="T235" s="198"/>
      <c r="U235" s="198"/>
      <c r="V235" s="198"/>
      <c r="W235" s="198"/>
      <c r="X235" s="198"/>
      <c r="Y235" s="198"/>
      <c r="Z235" s="198"/>
    </row>
    <row r="236" ht="42.0" customHeight="1">
      <c r="A236" s="284">
        <v>34867.0</v>
      </c>
      <c r="B236" s="285" t="s">
        <v>21</v>
      </c>
      <c r="C236" s="299">
        <v>900.0</v>
      </c>
      <c r="D236" s="285" t="s">
        <v>5288</v>
      </c>
      <c r="E236" s="287" t="s">
        <v>3740</v>
      </c>
      <c r="F236" s="288">
        <v>44287.0</v>
      </c>
      <c r="G236" s="288">
        <v>44256.0</v>
      </c>
      <c r="H236" s="288">
        <v>44256.0</v>
      </c>
      <c r="I236" s="288">
        <v>44293.0</v>
      </c>
      <c r="J236" s="294"/>
      <c r="K236" s="294"/>
      <c r="L236" s="290" t="s">
        <v>5289</v>
      </c>
      <c r="M236" s="285" t="s">
        <v>497</v>
      </c>
      <c r="N236" s="299" t="s">
        <v>4711</v>
      </c>
      <c r="O236" s="300">
        <v>19084.86</v>
      </c>
      <c r="P236" s="198"/>
      <c r="Q236" s="198"/>
      <c r="R236" s="198"/>
      <c r="S236" s="198"/>
      <c r="T236" s="198"/>
      <c r="U236" s="198"/>
      <c r="V236" s="198"/>
      <c r="W236" s="198"/>
      <c r="X236" s="198"/>
      <c r="Y236" s="198"/>
      <c r="Z236" s="198"/>
    </row>
    <row r="237" ht="42.0" customHeight="1">
      <c r="A237" s="284">
        <v>35304.0</v>
      </c>
      <c r="B237" s="285" t="s">
        <v>715</v>
      </c>
      <c r="C237" s="299">
        <v>944.0</v>
      </c>
      <c r="D237" s="285" t="s">
        <v>5290</v>
      </c>
      <c r="E237" s="287" t="s">
        <v>5291</v>
      </c>
      <c r="F237" s="288">
        <v>44286.0</v>
      </c>
      <c r="G237" s="288">
        <v>44277.0</v>
      </c>
      <c r="H237" s="288">
        <v>44277.0</v>
      </c>
      <c r="I237" s="288">
        <v>44292.0</v>
      </c>
      <c r="J237" s="294"/>
      <c r="K237" s="294"/>
      <c r="L237" s="290" t="s">
        <v>5292</v>
      </c>
      <c r="M237" s="285"/>
      <c r="N237" s="286"/>
      <c r="O237" s="300"/>
      <c r="P237" s="198"/>
      <c r="Q237" s="198"/>
      <c r="R237" s="198"/>
      <c r="S237" s="198"/>
      <c r="T237" s="198"/>
      <c r="U237" s="198"/>
      <c r="V237" s="198"/>
      <c r="W237" s="198"/>
      <c r="X237" s="198"/>
      <c r="Y237" s="198"/>
      <c r="Z237" s="198"/>
    </row>
    <row r="238" ht="47.25" customHeight="1">
      <c r="A238" s="284">
        <v>35128.0</v>
      </c>
      <c r="B238" s="285" t="s">
        <v>715</v>
      </c>
      <c r="C238" s="299">
        <v>317.0</v>
      </c>
      <c r="D238" s="285" t="s">
        <v>5293</v>
      </c>
      <c r="E238" s="326" t="s">
        <v>5294</v>
      </c>
      <c r="F238" s="288">
        <v>44285.0</v>
      </c>
      <c r="G238" s="288">
        <v>44284.0</v>
      </c>
      <c r="H238" s="288">
        <v>44284.0</v>
      </c>
      <c r="I238" s="288">
        <v>44295.0</v>
      </c>
      <c r="J238" s="294"/>
      <c r="K238" s="294"/>
      <c r="L238" s="290" t="s">
        <v>5295</v>
      </c>
      <c r="M238" s="285"/>
      <c r="N238" s="286"/>
      <c r="O238" s="300"/>
      <c r="P238" s="198"/>
      <c r="Q238" s="198"/>
      <c r="R238" s="198"/>
      <c r="S238" s="198"/>
      <c r="T238" s="198"/>
      <c r="U238" s="198"/>
      <c r="V238" s="198"/>
      <c r="W238" s="198"/>
      <c r="X238" s="198"/>
      <c r="Y238" s="198"/>
      <c r="Z238" s="198"/>
    </row>
    <row r="239" ht="42.0" customHeight="1">
      <c r="A239" s="284" t="s">
        <v>5296</v>
      </c>
      <c r="B239" s="285" t="s">
        <v>21</v>
      </c>
      <c r="C239" s="299" t="s">
        <v>5297</v>
      </c>
      <c r="D239" s="285" t="s">
        <v>5298</v>
      </c>
      <c r="E239" s="35" t="s">
        <v>5299</v>
      </c>
      <c r="F239" s="288">
        <v>44284.0</v>
      </c>
      <c r="G239" s="288">
        <v>44266.0</v>
      </c>
      <c r="H239" s="288">
        <v>44266.0</v>
      </c>
      <c r="I239" s="288">
        <v>44293.0</v>
      </c>
      <c r="J239" s="294"/>
      <c r="K239" s="294"/>
      <c r="L239" s="290" t="s">
        <v>5300</v>
      </c>
      <c r="M239" s="285"/>
      <c r="N239" s="286"/>
      <c r="O239" s="300"/>
      <c r="P239" s="198"/>
      <c r="Q239" s="198"/>
      <c r="R239" s="198"/>
      <c r="S239" s="198"/>
      <c r="T239" s="198"/>
      <c r="U239" s="198"/>
      <c r="V239" s="198"/>
      <c r="W239" s="198"/>
      <c r="X239" s="198"/>
      <c r="Y239" s="198"/>
      <c r="Z239" s="198"/>
    </row>
    <row r="240" ht="43.5" customHeight="1">
      <c r="A240" s="284">
        <v>35024.0</v>
      </c>
      <c r="B240" s="285" t="s">
        <v>715</v>
      </c>
      <c r="C240" s="299">
        <v>1800.0</v>
      </c>
      <c r="D240" s="285" t="s">
        <v>5301</v>
      </c>
      <c r="E240" s="287" t="s">
        <v>675</v>
      </c>
      <c r="F240" s="288">
        <v>44283.0</v>
      </c>
      <c r="G240" s="288">
        <v>44279.0</v>
      </c>
      <c r="H240" s="288">
        <v>44279.0</v>
      </c>
      <c r="I240" s="288">
        <v>44288.0</v>
      </c>
      <c r="J240" s="294"/>
      <c r="K240" s="294"/>
      <c r="L240" s="290" t="s">
        <v>5302</v>
      </c>
      <c r="M240" s="285"/>
      <c r="N240" s="286"/>
      <c r="O240" s="300"/>
      <c r="P240" s="198"/>
      <c r="Q240" s="198"/>
      <c r="R240" s="198"/>
      <c r="S240" s="198"/>
      <c r="T240" s="198"/>
      <c r="U240" s="198"/>
      <c r="V240" s="198"/>
      <c r="W240" s="198"/>
      <c r="X240" s="198"/>
      <c r="Y240" s="198"/>
      <c r="Z240" s="198"/>
    </row>
    <row r="241" ht="57.0" customHeight="1">
      <c r="A241" s="284">
        <v>34877.0</v>
      </c>
      <c r="B241" s="285" t="s">
        <v>715</v>
      </c>
      <c r="C241" s="299">
        <v>800.0</v>
      </c>
      <c r="D241" s="285" t="s">
        <v>5303</v>
      </c>
      <c r="E241" s="287" t="s">
        <v>5304</v>
      </c>
      <c r="F241" s="288">
        <v>44283.0</v>
      </c>
      <c r="G241" s="288">
        <v>44277.0</v>
      </c>
      <c r="H241" s="288">
        <v>44277.0</v>
      </c>
      <c r="I241" s="288">
        <v>44291.0</v>
      </c>
      <c r="J241" s="294"/>
      <c r="K241" s="294"/>
      <c r="L241" s="290" t="s">
        <v>5305</v>
      </c>
      <c r="M241" s="285"/>
      <c r="N241" s="286"/>
      <c r="O241" s="300"/>
      <c r="P241" s="198"/>
      <c r="Q241" s="198"/>
      <c r="R241" s="198"/>
      <c r="S241" s="198"/>
      <c r="T241" s="198"/>
      <c r="U241" s="198"/>
      <c r="V241" s="198"/>
      <c r="W241" s="198"/>
      <c r="X241" s="198"/>
      <c r="Y241" s="198"/>
      <c r="Z241" s="198"/>
    </row>
    <row r="242" ht="54.75" customHeight="1">
      <c r="A242" s="284">
        <v>34896.0</v>
      </c>
      <c r="B242" s="285" t="s">
        <v>21</v>
      </c>
      <c r="C242" s="299">
        <v>3000.0</v>
      </c>
      <c r="D242" s="285" t="s">
        <v>5306</v>
      </c>
      <c r="E242" s="287" t="s">
        <v>5307</v>
      </c>
      <c r="F242" s="288">
        <v>44276.0</v>
      </c>
      <c r="G242" s="288">
        <v>44270.0</v>
      </c>
      <c r="H242" s="288">
        <v>44270.0</v>
      </c>
      <c r="I242" s="288">
        <v>44285.0</v>
      </c>
      <c r="J242" s="294" t="s">
        <v>5270</v>
      </c>
      <c r="K242" s="294" t="s">
        <v>5271</v>
      </c>
      <c r="L242" s="290" t="s">
        <v>5308</v>
      </c>
      <c r="M242" s="285" t="s">
        <v>497</v>
      </c>
      <c r="N242" s="286" t="s">
        <v>2554</v>
      </c>
      <c r="O242" s="300">
        <v>20610.0</v>
      </c>
      <c r="P242" s="198"/>
      <c r="Q242" s="198"/>
      <c r="R242" s="198"/>
      <c r="S242" s="198"/>
      <c r="T242" s="198"/>
      <c r="U242" s="198"/>
      <c r="V242" s="198"/>
      <c r="W242" s="198"/>
      <c r="X242" s="198"/>
      <c r="Y242" s="198"/>
      <c r="Z242" s="198"/>
    </row>
    <row r="243" ht="57.0" customHeight="1">
      <c r="A243" s="284">
        <v>35220.0</v>
      </c>
      <c r="B243" s="285" t="s">
        <v>21</v>
      </c>
      <c r="C243" s="299" t="s">
        <v>5309</v>
      </c>
      <c r="D243" s="285" t="s">
        <v>5310</v>
      </c>
      <c r="E243" s="287" t="s">
        <v>4477</v>
      </c>
      <c r="F243" s="288">
        <v>44274.0</v>
      </c>
      <c r="G243" s="288">
        <v>44277.0</v>
      </c>
      <c r="H243" s="288">
        <v>44277.0</v>
      </c>
      <c r="I243" s="288">
        <v>44293.0</v>
      </c>
      <c r="J243" s="294"/>
      <c r="K243" s="294"/>
      <c r="L243" s="290" t="s">
        <v>5311</v>
      </c>
      <c r="M243" s="285"/>
      <c r="N243" s="286"/>
      <c r="O243" s="300"/>
      <c r="P243" s="198"/>
      <c r="Q243" s="198"/>
      <c r="R243" s="198"/>
      <c r="S243" s="198"/>
      <c r="T243" s="198"/>
      <c r="U243" s="198"/>
      <c r="V243" s="198"/>
      <c r="W243" s="198"/>
      <c r="X243" s="198"/>
      <c r="Y243" s="198"/>
      <c r="Z243" s="198"/>
    </row>
    <row r="244" ht="42.0" customHeight="1">
      <c r="A244" s="284">
        <v>35162.0</v>
      </c>
      <c r="B244" s="285" t="s">
        <v>21</v>
      </c>
      <c r="C244" s="299">
        <v>554.0</v>
      </c>
      <c r="D244" s="285" t="s">
        <v>5312</v>
      </c>
      <c r="E244" s="287" t="s">
        <v>5313</v>
      </c>
      <c r="F244" s="288">
        <v>44273.0</v>
      </c>
      <c r="G244" s="288">
        <v>44250.0</v>
      </c>
      <c r="H244" s="288">
        <v>44250.0</v>
      </c>
      <c r="I244" s="288">
        <v>44284.0</v>
      </c>
      <c r="J244" s="294" t="s">
        <v>5270</v>
      </c>
      <c r="K244" s="294" t="s">
        <v>3744</v>
      </c>
      <c r="L244" s="290" t="s">
        <v>5314</v>
      </c>
      <c r="M244" s="285"/>
      <c r="N244" s="286"/>
      <c r="O244" s="300"/>
      <c r="P244" s="198"/>
      <c r="Q244" s="198"/>
      <c r="R244" s="198"/>
      <c r="S244" s="198"/>
      <c r="T244" s="198"/>
      <c r="U244" s="198"/>
      <c r="V244" s="198"/>
      <c r="W244" s="198"/>
      <c r="X244" s="198"/>
      <c r="Y244" s="198"/>
      <c r="Z244" s="198"/>
    </row>
    <row r="245" ht="42.0" customHeight="1">
      <c r="A245" s="284">
        <v>34899.0</v>
      </c>
      <c r="B245" s="285" t="s">
        <v>715</v>
      </c>
      <c r="C245" s="299">
        <v>3000.0</v>
      </c>
      <c r="D245" s="285" t="s">
        <v>5315</v>
      </c>
      <c r="E245" s="287" t="s">
        <v>5307</v>
      </c>
      <c r="F245" s="288">
        <v>44271.0</v>
      </c>
      <c r="G245" s="288">
        <v>44266.0</v>
      </c>
      <c r="H245" s="288">
        <v>44266.0</v>
      </c>
      <c r="I245" s="288">
        <v>44280.0</v>
      </c>
      <c r="J245" s="294"/>
      <c r="K245" s="294"/>
      <c r="L245" s="290" t="s">
        <v>5316</v>
      </c>
      <c r="M245" s="285" t="s">
        <v>497</v>
      </c>
      <c r="N245" s="286" t="s">
        <v>2554</v>
      </c>
      <c r="O245" s="300">
        <v>20610.0</v>
      </c>
      <c r="P245" s="198"/>
      <c r="Q245" s="198"/>
      <c r="R245" s="198"/>
      <c r="S245" s="198"/>
      <c r="T245" s="198"/>
      <c r="U245" s="198"/>
      <c r="V245" s="198"/>
      <c r="W245" s="198"/>
      <c r="X245" s="198"/>
      <c r="Y245" s="198"/>
      <c r="Z245" s="198"/>
    </row>
    <row r="246" ht="42.0" customHeight="1">
      <c r="A246" s="284">
        <v>34865.0</v>
      </c>
      <c r="B246" s="285" t="s">
        <v>715</v>
      </c>
      <c r="C246" s="299">
        <v>1437.0</v>
      </c>
      <c r="D246" s="285" t="s">
        <v>5317</v>
      </c>
      <c r="E246" s="287" t="s">
        <v>5318</v>
      </c>
      <c r="F246" s="288">
        <v>44270.0</v>
      </c>
      <c r="G246" s="288">
        <v>44266.0</v>
      </c>
      <c r="H246" s="288">
        <v>44266.0</v>
      </c>
      <c r="I246" s="288">
        <v>44277.0</v>
      </c>
      <c r="J246" s="294"/>
      <c r="K246" s="294"/>
      <c r="L246" s="290" t="s">
        <v>5319</v>
      </c>
      <c r="M246" s="285"/>
      <c r="N246" s="286"/>
      <c r="O246" s="300"/>
      <c r="P246" s="198"/>
      <c r="Q246" s="198"/>
      <c r="R246" s="198"/>
      <c r="S246" s="198"/>
      <c r="T246" s="198"/>
      <c r="U246" s="198"/>
      <c r="V246" s="198"/>
      <c r="W246" s="198"/>
      <c r="X246" s="198"/>
      <c r="Y246" s="198"/>
      <c r="Z246" s="198"/>
    </row>
    <row r="247" ht="42.0" customHeight="1">
      <c r="A247" s="284">
        <v>34991.0</v>
      </c>
      <c r="B247" s="285" t="s">
        <v>715</v>
      </c>
      <c r="C247" s="299">
        <v>1290.0</v>
      </c>
      <c r="D247" s="285" t="s">
        <v>5320</v>
      </c>
      <c r="E247" s="287" t="s">
        <v>5321</v>
      </c>
      <c r="F247" s="288">
        <v>44270.0</v>
      </c>
      <c r="G247" s="288">
        <v>44266.0</v>
      </c>
      <c r="H247" s="288">
        <v>44266.0</v>
      </c>
      <c r="I247" s="288">
        <v>44278.0</v>
      </c>
      <c r="J247" s="294"/>
      <c r="K247" s="294"/>
      <c r="L247" s="290" t="s">
        <v>5322</v>
      </c>
      <c r="M247" s="285"/>
      <c r="N247" s="286"/>
      <c r="O247" s="300"/>
      <c r="P247" s="198"/>
      <c r="Q247" s="198"/>
      <c r="R247" s="198"/>
      <c r="S247" s="198"/>
      <c r="T247" s="198"/>
      <c r="U247" s="198"/>
      <c r="V247" s="198"/>
      <c r="W247" s="198"/>
      <c r="X247" s="198"/>
      <c r="Y247" s="198"/>
      <c r="Z247" s="198"/>
    </row>
    <row r="248" ht="42.0" customHeight="1">
      <c r="A248" s="284">
        <v>35221.0</v>
      </c>
      <c r="B248" s="285" t="s">
        <v>715</v>
      </c>
      <c r="C248" s="299">
        <v>1680.0</v>
      </c>
      <c r="D248" s="285" t="s">
        <v>5323</v>
      </c>
      <c r="E248" s="287" t="s">
        <v>3723</v>
      </c>
      <c r="F248" s="288">
        <v>44270.0</v>
      </c>
      <c r="G248" s="288">
        <v>44266.0</v>
      </c>
      <c r="H248" s="288">
        <v>44266.0</v>
      </c>
      <c r="I248" s="288">
        <v>44274.0</v>
      </c>
      <c r="J248" s="294"/>
      <c r="K248" s="294"/>
      <c r="L248" s="290" t="s">
        <v>5324</v>
      </c>
      <c r="M248" s="285"/>
      <c r="N248" s="286"/>
      <c r="O248" s="300"/>
      <c r="P248" s="198"/>
      <c r="Q248" s="198"/>
      <c r="R248" s="198"/>
      <c r="S248" s="198"/>
      <c r="T248" s="198"/>
      <c r="U248" s="198"/>
      <c r="V248" s="198"/>
      <c r="W248" s="198"/>
      <c r="X248" s="198"/>
      <c r="Y248" s="198"/>
      <c r="Z248" s="198"/>
    </row>
    <row r="249" ht="42.0" customHeight="1">
      <c r="A249" s="284">
        <v>34989.0</v>
      </c>
      <c r="B249" s="285" t="s">
        <v>21</v>
      </c>
      <c r="C249" s="299">
        <v>1290.0</v>
      </c>
      <c r="D249" s="285" t="s">
        <v>5325</v>
      </c>
      <c r="E249" s="287" t="s">
        <v>5326</v>
      </c>
      <c r="F249" s="288">
        <v>44270.0</v>
      </c>
      <c r="G249" s="288">
        <v>44253.0</v>
      </c>
      <c r="H249" s="288">
        <v>44253.0</v>
      </c>
      <c r="I249" s="288">
        <v>44273.0</v>
      </c>
      <c r="J249" s="294"/>
      <c r="K249" s="294"/>
      <c r="L249" s="290" t="s">
        <v>5327</v>
      </c>
      <c r="M249" s="285" t="s">
        <v>497</v>
      </c>
      <c r="N249" s="286" t="s">
        <v>2554</v>
      </c>
      <c r="O249" s="300">
        <v>44247.0</v>
      </c>
      <c r="P249" s="198"/>
      <c r="Q249" s="198"/>
      <c r="R249" s="198"/>
      <c r="S249" s="198"/>
      <c r="T249" s="198"/>
      <c r="U249" s="198"/>
      <c r="V249" s="198"/>
      <c r="W249" s="198"/>
      <c r="X249" s="198"/>
      <c r="Y249" s="198"/>
      <c r="Z249" s="198"/>
    </row>
    <row r="250" ht="42.0" customHeight="1">
      <c r="A250" s="284">
        <v>34854.0</v>
      </c>
      <c r="B250" s="285" t="s">
        <v>21</v>
      </c>
      <c r="C250" s="299">
        <v>3000.0</v>
      </c>
      <c r="D250" s="285" t="s">
        <v>5328</v>
      </c>
      <c r="E250" s="287" t="s">
        <v>5329</v>
      </c>
      <c r="F250" s="288">
        <v>44270.0</v>
      </c>
      <c r="G250" s="288">
        <v>44253.0</v>
      </c>
      <c r="H250" s="288">
        <v>44253.0</v>
      </c>
      <c r="I250" s="288">
        <v>44277.0</v>
      </c>
      <c r="J250" s="294" t="s">
        <v>5270</v>
      </c>
      <c r="K250" s="294" t="s">
        <v>5271</v>
      </c>
      <c r="L250" s="290" t="s">
        <v>5330</v>
      </c>
      <c r="M250" s="285" t="s">
        <v>497</v>
      </c>
      <c r="N250" s="286" t="s">
        <v>2554</v>
      </c>
      <c r="O250" s="300">
        <v>20700.0</v>
      </c>
      <c r="P250" s="198"/>
      <c r="Q250" s="198"/>
      <c r="R250" s="198"/>
      <c r="S250" s="198"/>
      <c r="T250" s="198"/>
      <c r="U250" s="198"/>
      <c r="V250" s="198"/>
      <c r="W250" s="198"/>
      <c r="X250" s="198"/>
      <c r="Y250" s="198"/>
      <c r="Z250" s="198"/>
    </row>
    <row r="251" ht="42.0" customHeight="1">
      <c r="A251" s="284">
        <v>35257.0</v>
      </c>
      <c r="B251" s="285" t="s">
        <v>715</v>
      </c>
      <c r="C251" s="299">
        <v>859.0</v>
      </c>
      <c r="D251" s="367" t="s">
        <v>5331</v>
      </c>
      <c r="E251" s="287" t="s">
        <v>3743</v>
      </c>
      <c r="F251" s="288">
        <v>44268.0</v>
      </c>
      <c r="G251" s="288">
        <v>44264.0</v>
      </c>
      <c r="H251" s="288">
        <v>44264.0</v>
      </c>
      <c r="I251" s="288">
        <v>44278.0</v>
      </c>
      <c r="J251" s="294"/>
      <c r="K251" s="294"/>
      <c r="L251" s="290" t="s">
        <v>5332</v>
      </c>
      <c r="M251" s="285"/>
      <c r="N251" s="286"/>
      <c r="O251" s="300"/>
      <c r="P251" s="198"/>
      <c r="Q251" s="198"/>
      <c r="R251" s="198"/>
      <c r="S251" s="198"/>
      <c r="T251" s="198"/>
      <c r="U251" s="198"/>
      <c r="V251" s="198"/>
      <c r="W251" s="198"/>
      <c r="X251" s="198"/>
      <c r="Y251" s="198"/>
      <c r="Z251" s="198"/>
    </row>
    <row r="252" ht="42.0" customHeight="1">
      <c r="A252" s="284">
        <v>34969.0</v>
      </c>
      <c r="B252" s="285" t="s">
        <v>715</v>
      </c>
      <c r="C252" s="299">
        <v>1008.0</v>
      </c>
      <c r="D252" s="285" t="s">
        <v>5333</v>
      </c>
      <c r="E252" s="287" t="s">
        <v>5049</v>
      </c>
      <c r="F252" s="288">
        <v>44267.0</v>
      </c>
      <c r="G252" s="288">
        <v>44263.0</v>
      </c>
      <c r="H252" s="288">
        <v>44263.0</v>
      </c>
      <c r="I252" s="288">
        <v>44271.0</v>
      </c>
      <c r="J252" s="294"/>
      <c r="K252" s="294"/>
      <c r="L252" s="290" t="s">
        <v>5334</v>
      </c>
      <c r="M252" s="285"/>
      <c r="N252" s="286"/>
      <c r="O252" s="300"/>
      <c r="P252" s="198"/>
      <c r="Q252" s="198"/>
      <c r="R252" s="198"/>
      <c r="S252" s="198"/>
      <c r="T252" s="198"/>
      <c r="U252" s="198"/>
      <c r="V252" s="198"/>
      <c r="W252" s="198"/>
      <c r="X252" s="198"/>
      <c r="Y252" s="198"/>
      <c r="Z252" s="198"/>
    </row>
    <row r="253" ht="42.0" customHeight="1">
      <c r="A253" s="284">
        <v>35212.0</v>
      </c>
      <c r="B253" s="285" t="s">
        <v>21</v>
      </c>
      <c r="C253" s="299">
        <v>525.0</v>
      </c>
      <c r="D253" s="285" t="s">
        <v>5335</v>
      </c>
      <c r="E253" s="287" t="s">
        <v>5336</v>
      </c>
      <c r="F253" s="288">
        <v>44267.0</v>
      </c>
      <c r="G253" s="288">
        <v>44257.0</v>
      </c>
      <c r="H253" s="288">
        <v>44257.0</v>
      </c>
      <c r="I253" s="288">
        <v>44271.0</v>
      </c>
      <c r="J253" s="294"/>
      <c r="K253" s="294"/>
      <c r="L253" s="290" t="s">
        <v>5337</v>
      </c>
      <c r="M253" s="285"/>
      <c r="N253" s="286"/>
      <c r="O253" s="300"/>
      <c r="P253" s="198"/>
      <c r="Q253" s="198"/>
      <c r="R253" s="198"/>
      <c r="S253" s="198"/>
      <c r="T253" s="198"/>
      <c r="U253" s="198"/>
      <c r="V253" s="198"/>
      <c r="W253" s="198"/>
      <c r="X253" s="198"/>
      <c r="Y253" s="198"/>
      <c r="Z253" s="198"/>
    </row>
    <row r="254" ht="42.0" customHeight="1">
      <c r="A254" s="284">
        <v>34813.0</v>
      </c>
      <c r="B254" s="285" t="s">
        <v>21</v>
      </c>
      <c r="C254" s="299" t="s">
        <v>5338</v>
      </c>
      <c r="D254" s="285" t="s">
        <v>5339</v>
      </c>
      <c r="E254" s="287" t="s">
        <v>5340</v>
      </c>
      <c r="F254" s="288">
        <v>44265.0</v>
      </c>
      <c r="G254" s="288">
        <v>44267.0</v>
      </c>
      <c r="H254" s="288">
        <v>44267.0</v>
      </c>
      <c r="I254" s="288">
        <v>44267.0</v>
      </c>
      <c r="J254" s="294"/>
      <c r="K254" s="294"/>
      <c r="L254" s="290" t="s">
        <v>5341</v>
      </c>
      <c r="M254" s="285"/>
      <c r="N254" s="286"/>
      <c r="O254" s="300"/>
      <c r="P254" s="198"/>
      <c r="Q254" s="198"/>
      <c r="R254" s="198"/>
      <c r="S254" s="198"/>
      <c r="T254" s="198"/>
      <c r="U254" s="198"/>
      <c r="V254" s="198"/>
      <c r="W254" s="198"/>
      <c r="X254" s="198"/>
      <c r="Y254" s="198"/>
      <c r="Z254" s="198"/>
    </row>
    <row r="255" ht="42.0" customHeight="1">
      <c r="A255" s="284">
        <v>34562.0</v>
      </c>
      <c r="B255" s="285" t="s">
        <v>21</v>
      </c>
      <c r="C255" s="286" t="s">
        <v>5342</v>
      </c>
      <c r="D255" s="285" t="s">
        <v>5343</v>
      </c>
      <c r="E255" s="287" t="s">
        <v>5344</v>
      </c>
      <c r="F255" s="288">
        <v>44262.0</v>
      </c>
      <c r="G255" s="288">
        <v>44250.0</v>
      </c>
      <c r="H255" s="288">
        <v>44250.0</v>
      </c>
      <c r="I255" s="288">
        <v>44273.0</v>
      </c>
      <c r="J255" s="289"/>
      <c r="K255" s="289"/>
      <c r="L255" s="290" t="s">
        <v>5345</v>
      </c>
      <c r="M255" s="285"/>
      <c r="N255" s="286"/>
      <c r="O255" s="291"/>
      <c r="P255" s="198"/>
      <c r="Q255" s="198"/>
      <c r="R255" s="198"/>
      <c r="S255" s="198"/>
      <c r="T255" s="198"/>
      <c r="U255" s="198"/>
      <c r="V255" s="198"/>
      <c r="W255" s="198"/>
      <c r="X255" s="198"/>
      <c r="Y255" s="198"/>
      <c r="Z255" s="198"/>
    </row>
    <row r="256" ht="42.0" customHeight="1">
      <c r="A256" s="284">
        <v>35222.0</v>
      </c>
      <c r="B256" s="285" t="s">
        <v>715</v>
      </c>
      <c r="C256" s="299">
        <v>1180.0</v>
      </c>
      <c r="D256" s="367" t="s">
        <v>5346</v>
      </c>
      <c r="E256" s="287" t="s">
        <v>5347</v>
      </c>
      <c r="F256" s="288">
        <v>44261.0</v>
      </c>
      <c r="G256" s="288">
        <v>44253.0</v>
      </c>
      <c r="H256" s="288">
        <v>44253.0</v>
      </c>
      <c r="I256" s="288">
        <v>44266.0</v>
      </c>
      <c r="J256" s="294"/>
      <c r="K256" s="294"/>
      <c r="L256" s="290" t="s">
        <v>5348</v>
      </c>
      <c r="M256" s="285"/>
      <c r="N256" s="286"/>
      <c r="O256" s="300"/>
      <c r="P256" s="198"/>
      <c r="Q256" s="198"/>
      <c r="R256" s="198"/>
      <c r="S256" s="198"/>
      <c r="T256" s="198"/>
      <c r="U256" s="198"/>
      <c r="V256" s="198"/>
      <c r="W256" s="198"/>
      <c r="X256" s="198"/>
      <c r="Y256" s="198"/>
      <c r="Z256" s="198"/>
    </row>
    <row r="257" ht="42.0" customHeight="1">
      <c r="A257" s="284">
        <v>35047.0</v>
      </c>
      <c r="B257" s="285" t="s">
        <v>21</v>
      </c>
      <c r="C257" s="299" t="s">
        <v>5349</v>
      </c>
      <c r="D257" s="285" t="s">
        <v>5350</v>
      </c>
      <c r="E257" s="287" t="s">
        <v>5351</v>
      </c>
      <c r="F257" s="288">
        <v>44261.0</v>
      </c>
      <c r="G257" s="288">
        <v>44249.0</v>
      </c>
      <c r="H257" s="288">
        <v>44249.0</v>
      </c>
      <c r="I257" s="288">
        <v>44273.0</v>
      </c>
      <c r="J257" s="294"/>
      <c r="K257" s="294"/>
      <c r="L257" s="290" t="s">
        <v>5352</v>
      </c>
      <c r="M257" s="285"/>
      <c r="N257" s="286"/>
      <c r="O257" s="300"/>
      <c r="P257" s="198"/>
      <c r="Q257" s="198"/>
      <c r="R257" s="198"/>
      <c r="S257" s="198"/>
      <c r="T257" s="198"/>
      <c r="U257" s="198"/>
      <c r="V257" s="198"/>
      <c r="W257" s="198"/>
      <c r="X257" s="198"/>
      <c r="Y257" s="198"/>
      <c r="Z257" s="198"/>
    </row>
    <row r="258" ht="42.0" customHeight="1">
      <c r="A258" s="284">
        <v>34868.0</v>
      </c>
      <c r="B258" s="285" t="s">
        <v>715</v>
      </c>
      <c r="C258" s="299">
        <v>924.0</v>
      </c>
      <c r="D258" s="367" t="s">
        <v>5353</v>
      </c>
      <c r="E258" s="287" t="s">
        <v>3740</v>
      </c>
      <c r="F258" s="288">
        <v>44260.0</v>
      </c>
      <c r="G258" s="288">
        <v>44260.0</v>
      </c>
      <c r="H258" s="288">
        <v>44260.0</v>
      </c>
      <c r="I258" s="288">
        <v>44264.0</v>
      </c>
      <c r="J258" s="294"/>
      <c r="K258" s="294"/>
      <c r="L258" s="290" t="s">
        <v>5354</v>
      </c>
      <c r="M258" s="285"/>
      <c r="N258" s="286"/>
      <c r="O258" s="300"/>
      <c r="P258" s="198"/>
      <c r="Q258" s="198"/>
      <c r="R258" s="198"/>
      <c r="S258" s="198"/>
      <c r="T258" s="198"/>
      <c r="U258" s="198"/>
      <c r="V258" s="198"/>
      <c r="W258" s="198"/>
      <c r="X258" s="198"/>
      <c r="Y258" s="198"/>
      <c r="Z258" s="198"/>
    </row>
    <row r="259" ht="42.0" customHeight="1">
      <c r="A259" s="284">
        <v>34990.0</v>
      </c>
      <c r="B259" s="285" t="s">
        <v>21</v>
      </c>
      <c r="C259" s="299">
        <v>1600.0</v>
      </c>
      <c r="D259" s="285" t="s">
        <v>5355</v>
      </c>
      <c r="E259" s="287" t="s">
        <v>3826</v>
      </c>
      <c r="F259" s="288">
        <v>44260.0</v>
      </c>
      <c r="G259" s="288">
        <v>44243.0</v>
      </c>
      <c r="H259" s="288">
        <v>44243.0</v>
      </c>
      <c r="I259" s="288">
        <v>44267.0</v>
      </c>
      <c r="J259" s="294"/>
      <c r="K259" s="294"/>
      <c r="L259" s="290" t="s">
        <v>5356</v>
      </c>
      <c r="M259" s="285" t="s">
        <v>497</v>
      </c>
      <c r="N259" s="286" t="s">
        <v>2554</v>
      </c>
      <c r="O259" s="300">
        <v>35736.0</v>
      </c>
      <c r="P259" s="198"/>
      <c r="Q259" s="198"/>
      <c r="R259" s="198"/>
      <c r="S259" s="198"/>
      <c r="T259" s="198"/>
      <c r="U259" s="198"/>
      <c r="V259" s="198"/>
      <c r="W259" s="198"/>
      <c r="X259" s="198"/>
      <c r="Y259" s="198"/>
      <c r="Z259" s="198"/>
    </row>
    <row r="260" ht="42.0" customHeight="1">
      <c r="A260" s="284">
        <v>34866.0</v>
      </c>
      <c r="B260" s="285" t="s">
        <v>25</v>
      </c>
      <c r="C260" s="299">
        <v>900.0</v>
      </c>
      <c r="D260" s="285" t="s">
        <v>5357</v>
      </c>
      <c r="E260" s="287" t="s">
        <v>3740</v>
      </c>
      <c r="F260" s="288">
        <v>44257.0</v>
      </c>
      <c r="G260" s="288">
        <v>44256.0</v>
      </c>
      <c r="H260" s="288">
        <v>44256.0</v>
      </c>
      <c r="I260" s="288">
        <v>44265.0</v>
      </c>
      <c r="J260" s="294"/>
      <c r="K260" s="294"/>
      <c r="L260" s="290" t="s">
        <v>5358</v>
      </c>
      <c r="M260" s="285"/>
      <c r="N260" s="286"/>
      <c r="O260" s="300"/>
      <c r="P260" s="198"/>
      <c r="Q260" s="198"/>
      <c r="R260" s="198"/>
      <c r="S260" s="198"/>
      <c r="T260" s="198"/>
      <c r="U260" s="198"/>
      <c r="V260" s="198"/>
      <c r="W260" s="198"/>
      <c r="X260" s="198"/>
      <c r="Y260" s="198"/>
      <c r="Z260" s="198"/>
    </row>
    <row r="261" ht="42.0" customHeight="1">
      <c r="A261" s="284">
        <v>35213.0</v>
      </c>
      <c r="B261" s="285" t="s">
        <v>715</v>
      </c>
      <c r="C261" s="299">
        <v>930.0</v>
      </c>
      <c r="D261" s="285" t="s">
        <v>5359</v>
      </c>
      <c r="E261" s="287" t="s">
        <v>5360</v>
      </c>
      <c r="F261" s="288">
        <v>44255.0</v>
      </c>
      <c r="G261" s="288">
        <v>44246.0</v>
      </c>
      <c r="H261" s="288">
        <v>44246.0</v>
      </c>
      <c r="I261" s="369">
        <v>44260.0</v>
      </c>
      <c r="J261" s="294"/>
      <c r="K261" s="294"/>
      <c r="L261" s="290" t="s">
        <v>5361</v>
      </c>
      <c r="M261" s="285"/>
      <c r="N261" s="299"/>
      <c r="O261" s="300"/>
      <c r="P261" s="198"/>
      <c r="Q261" s="198"/>
      <c r="R261" s="198"/>
      <c r="S261" s="198"/>
      <c r="T261" s="198"/>
      <c r="U261" s="198"/>
      <c r="V261" s="198"/>
      <c r="W261" s="198"/>
      <c r="X261" s="198"/>
      <c r="Y261" s="198"/>
      <c r="Z261" s="198"/>
    </row>
    <row r="262" ht="42.0" customHeight="1">
      <c r="A262" s="284">
        <v>35252.0</v>
      </c>
      <c r="B262" s="285" t="s">
        <v>4960</v>
      </c>
      <c r="C262" s="299">
        <v>26.0</v>
      </c>
      <c r="D262" s="285" t="s">
        <v>4925</v>
      </c>
      <c r="E262" s="287" t="s">
        <v>5362</v>
      </c>
      <c r="F262" s="288">
        <v>44252.0</v>
      </c>
      <c r="G262" s="288">
        <v>44251.0</v>
      </c>
      <c r="H262" s="288">
        <v>44251.0</v>
      </c>
      <c r="I262" s="288">
        <v>44252.0</v>
      </c>
      <c r="J262" s="294"/>
      <c r="K262" s="294"/>
      <c r="L262" s="290" t="s">
        <v>5363</v>
      </c>
      <c r="M262" s="285"/>
      <c r="N262" s="286"/>
      <c r="O262" s="300"/>
      <c r="P262" s="198"/>
      <c r="Q262" s="198"/>
      <c r="R262" s="198"/>
      <c r="S262" s="198"/>
      <c r="T262" s="198"/>
      <c r="U262" s="198"/>
      <c r="V262" s="198"/>
      <c r="W262" s="198"/>
      <c r="X262" s="198"/>
      <c r="Y262" s="198"/>
      <c r="Z262" s="198"/>
    </row>
    <row r="263" ht="42.0" customHeight="1">
      <c r="A263" s="284">
        <v>34966.0</v>
      </c>
      <c r="B263" s="285" t="s">
        <v>21</v>
      </c>
      <c r="C263" s="299">
        <v>836.0</v>
      </c>
      <c r="D263" s="285" t="s">
        <v>5364</v>
      </c>
      <c r="E263" s="287" t="s">
        <v>4804</v>
      </c>
      <c r="F263" s="288">
        <v>44250.0</v>
      </c>
      <c r="G263" s="288">
        <v>44236.0</v>
      </c>
      <c r="H263" s="288">
        <v>44236.0</v>
      </c>
      <c r="I263" s="288">
        <v>44259.0</v>
      </c>
      <c r="J263" s="294"/>
      <c r="K263" s="294"/>
      <c r="L263" s="290" t="s">
        <v>5365</v>
      </c>
      <c r="M263" s="285" t="s">
        <v>497</v>
      </c>
      <c r="N263" s="286" t="s">
        <v>5366</v>
      </c>
      <c r="O263" s="300">
        <v>12843.3</v>
      </c>
      <c r="P263" s="198"/>
      <c r="Q263" s="198"/>
      <c r="R263" s="198"/>
      <c r="S263" s="198"/>
      <c r="T263" s="198"/>
      <c r="U263" s="198"/>
      <c r="V263" s="198"/>
      <c r="W263" s="198"/>
      <c r="X263" s="198"/>
      <c r="Y263" s="198"/>
      <c r="Z263" s="198"/>
    </row>
    <row r="264" ht="42.0" customHeight="1">
      <c r="A264" s="284">
        <v>34641.0</v>
      </c>
      <c r="B264" s="285" t="s">
        <v>21</v>
      </c>
      <c r="C264" s="286">
        <v>970.0</v>
      </c>
      <c r="D264" s="285" t="s">
        <v>5367</v>
      </c>
      <c r="E264" s="287" t="s">
        <v>5368</v>
      </c>
      <c r="F264" s="288">
        <v>44246.0</v>
      </c>
      <c r="G264" s="372">
        <v>44244.0</v>
      </c>
      <c r="H264" s="372">
        <v>44244.0</v>
      </c>
      <c r="I264" s="372">
        <v>44258.0</v>
      </c>
      <c r="J264" s="294"/>
      <c r="K264" s="294"/>
      <c r="L264" s="290" t="s">
        <v>5369</v>
      </c>
      <c r="M264" s="285"/>
      <c r="N264" s="286"/>
      <c r="O264" s="291"/>
      <c r="P264" s="198"/>
      <c r="Q264" s="198"/>
      <c r="R264" s="198"/>
      <c r="S264" s="198"/>
      <c r="T264" s="198"/>
      <c r="U264" s="198"/>
      <c r="V264" s="198"/>
      <c r="W264" s="198"/>
      <c r="X264" s="198"/>
      <c r="Y264" s="198"/>
      <c r="Z264" s="198"/>
    </row>
    <row r="265" ht="42.0" customHeight="1">
      <c r="A265" s="284">
        <v>34875.0</v>
      </c>
      <c r="B265" s="285" t="s">
        <v>21</v>
      </c>
      <c r="C265" s="286">
        <v>800.0</v>
      </c>
      <c r="D265" s="285" t="s">
        <v>5370</v>
      </c>
      <c r="E265" s="287" t="s">
        <v>5304</v>
      </c>
      <c r="F265" s="288">
        <v>44245.0</v>
      </c>
      <c r="G265" s="288">
        <v>44244.0</v>
      </c>
      <c r="H265" s="288">
        <v>44244.0</v>
      </c>
      <c r="I265" s="288">
        <v>44263.0</v>
      </c>
      <c r="J265" s="289"/>
      <c r="K265" s="289"/>
      <c r="L265" s="290" t="s">
        <v>5371</v>
      </c>
      <c r="M265" s="285"/>
      <c r="N265" s="286"/>
      <c r="O265" s="291"/>
      <c r="P265" s="198"/>
      <c r="Q265" s="198"/>
      <c r="R265" s="198"/>
      <c r="S265" s="198"/>
      <c r="T265" s="198"/>
      <c r="U265" s="198"/>
      <c r="V265" s="198"/>
      <c r="W265" s="198"/>
      <c r="X265" s="198"/>
      <c r="Y265" s="198"/>
      <c r="Z265" s="198"/>
    </row>
    <row r="266" ht="42.0" customHeight="1">
      <c r="A266" s="284">
        <v>34853.0</v>
      </c>
      <c r="B266" s="285" t="s">
        <v>21</v>
      </c>
      <c r="C266" s="286">
        <v>3000.0</v>
      </c>
      <c r="D266" s="285" t="s">
        <v>5372</v>
      </c>
      <c r="E266" s="287" t="s">
        <v>5373</v>
      </c>
      <c r="F266" s="288">
        <v>44243.0</v>
      </c>
      <c r="G266" s="372">
        <v>44218.0</v>
      </c>
      <c r="H266" s="372">
        <v>44218.0</v>
      </c>
      <c r="I266" s="288">
        <v>44252.0</v>
      </c>
      <c r="J266" s="294"/>
      <c r="K266" s="294"/>
      <c r="L266" s="290" t="s">
        <v>5374</v>
      </c>
      <c r="M266" s="285" t="s">
        <v>497</v>
      </c>
      <c r="N266" s="286" t="s">
        <v>2554</v>
      </c>
      <c r="O266" s="291">
        <v>21210.4</v>
      </c>
      <c r="P266" s="198"/>
      <c r="Q266" s="198"/>
      <c r="R266" s="198"/>
      <c r="S266" s="198"/>
      <c r="T266" s="198"/>
      <c r="U266" s="198"/>
      <c r="V266" s="198"/>
      <c r="W266" s="198"/>
      <c r="X266" s="198"/>
      <c r="Y266" s="198"/>
      <c r="Z266" s="198"/>
    </row>
    <row r="267" ht="42.0" customHeight="1">
      <c r="A267" s="284">
        <v>35109.0</v>
      </c>
      <c r="B267" s="285" t="s">
        <v>21</v>
      </c>
      <c r="C267" s="286">
        <v>944.0</v>
      </c>
      <c r="D267" s="285" t="s">
        <v>5375</v>
      </c>
      <c r="E267" s="287" t="s">
        <v>5376</v>
      </c>
      <c r="F267" s="288">
        <v>44243.0</v>
      </c>
      <c r="G267" s="288">
        <v>44208.0</v>
      </c>
      <c r="H267" s="288">
        <v>44208.0</v>
      </c>
      <c r="I267" s="288">
        <v>44245.0</v>
      </c>
      <c r="J267" s="294"/>
      <c r="K267" s="294"/>
      <c r="L267" s="290" t="s">
        <v>5377</v>
      </c>
      <c r="M267" s="285"/>
      <c r="N267" s="286"/>
      <c r="O267" s="291"/>
      <c r="P267" s="198"/>
      <c r="Q267" s="198"/>
      <c r="R267" s="198"/>
      <c r="S267" s="198"/>
      <c r="T267" s="198"/>
      <c r="U267" s="198"/>
      <c r="V267" s="198"/>
      <c r="W267" s="198"/>
      <c r="X267" s="198"/>
      <c r="Y267" s="198"/>
      <c r="Z267" s="198"/>
    </row>
    <row r="268" ht="42.0" customHeight="1">
      <c r="A268" s="284">
        <v>34719.0</v>
      </c>
      <c r="B268" s="285" t="s">
        <v>25</v>
      </c>
      <c r="C268" s="299">
        <v>2100.0</v>
      </c>
      <c r="D268" s="285" t="s">
        <v>5378</v>
      </c>
      <c r="E268" s="287" t="s">
        <v>5269</v>
      </c>
      <c r="F268" s="288">
        <v>44241.0</v>
      </c>
      <c r="G268" s="288">
        <v>44237.0</v>
      </c>
      <c r="H268" s="288">
        <v>44237.0</v>
      </c>
      <c r="I268" s="288">
        <v>44252.0</v>
      </c>
      <c r="J268" s="294"/>
      <c r="K268" s="294"/>
      <c r="L268" s="290" t="s">
        <v>5377</v>
      </c>
      <c r="M268" s="285" t="s">
        <v>497</v>
      </c>
      <c r="N268" s="286" t="s">
        <v>2554</v>
      </c>
      <c r="O268" s="300">
        <v>28812.0</v>
      </c>
      <c r="P268" s="198"/>
      <c r="Q268" s="198"/>
      <c r="R268" s="198"/>
      <c r="S268" s="198"/>
      <c r="T268" s="198"/>
      <c r="U268" s="198"/>
      <c r="V268" s="198"/>
      <c r="W268" s="198"/>
      <c r="X268" s="198"/>
      <c r="Y268" s="198"/>
      <c r="Z268" s="198"/>
    </row>
    <row r="269" ht="42.0" customHeight="1">
      <c r="A269" s="284">
        <v>35163.0</v>
      </c>
      <c r="B269" s="285" t="s">
        <v>21</v>
      </c>
      <c r="C269" s="299">
        <v>1461.0</v>
      </c>
      <c r="D269" s="285" t="s">
        <v>5379</v>
      </c>
      <c r="E269" s="287" t="s">
        <v>5380</v>
      </c>
      <c r="F269" s="288">
        <v>44240.0</v>
      </c>
      <c r="G269" s="288">
        <v>44228.0</v>
      </c>
      <c r="H269" s="288">
        <v>44228.0</v>
      </c>
      <c r="I269" s="288">
        <v>44249.0</v>
      </c>
      <c r="J269" s="294" t="s">
        <v>5270</v>
      </c>
      <c r="K269" s="294" t="s">
        <v>5381</v>
      </c>
      <c r="L269" s="290" t="s">
        <v>5382</v>
      </c>
      <c r="M269" s="285"/>
      <c r="N269" s="286"/>
      <c r="O269" s="300"/>
      <c r="P269" s="198"/>
      <c r="Q269" s="198"/>
      <c r="R269" s="198"/>
      <c r="S269" s="198"/>
      <c r="T269" s="198"/>
      <c r="U269" s="198"/>
      <c r="V269" s="198"/>
      <c r="W269" s="198"/>
      <c r="X269" s="198"/>
      <c r="Y269" s="198"/>
      <c r="Z269" s="198"/>
    </row>
    <row r="270" ht="42.0" customHeight="1">
      <c r="A270" s="284">
        <v>35175.0</v>
      </c>
      <c r="B270" s="285" t="s">
        <v>715</v>
      </c>
      <c r="C270" s="299">
        <v>1230.0</v>
      </c>
      <c r="D270" s="285" t="s">
        <v>5383</v>
      </c>
      <c r="E270" s="287" t="s">
        <v>5198</v>
      </c>
      <c r="F270" s="288">
        <v>44239.0</v>
      </c>
      <c r="G270" s="372">
        <v>44235.0</v>
      </c>
      <c r="H270" s="372">
        <v>44235.0</v>
      </c>
      <c r="I270" s="372">
        <v>44249.0</v>
      </c>
      <c r="J270" s="294"/>
      <c r="K270" s="294"/>
      <c r="L270" s="290" t="s">
        <v>5384</v>
      </c>
      <c r="M270" s="285"/>
      <c r="N270" s="299"/>
      <c r="O270" s="300"/>
      <c r="P270" s="198"/>
      <c r="Q270" s="198"/>
      <c r="R270" s="198"/>
      <c r="S270" s="198"/>
      <c r="T270" s="198"/>
      <c r="U270" s="198"/>
      <c r="V270" s="198"/>
      <c r="W270" s="198"/>
      <c r="X270" s="198"/>
      <c r="Y270" s="198"/>
      <c r="Z270" s="198"/>
    </row>
    <row r="271" ht="42.0" customHeight="1">
      <c r="A271" s="284">
        <v>34723.0</v>
      </c>
      <c r="B271" s="285" t="s">
        <v>715</v>
      </c>
      <c r="C271" s="299">
        <v>2100.0</v>
      </c>
      <c r="D271" s="285" t="s">
        <v>5385</v>
      </c>
      <c r="E271" s="287" t="s">
        <v>5269</v>
      </c>
      <c r="F271" s="288">
        <v>44238.0</v>
      </c>
      <c r="G271" s="288">
        <v>44236.0</v>
      </c>
      <c r="H271" s="288">
        <v>44236.0</v>
      </c>
      <c r="I271" s="288">
        <v>44252.0</v>
      </c>
      <c r="J271" s="294"/>
      <c r="K271" s="294"/>
      <c r="L271" s="290" t="s">
        <v>5386</v>
      </c>
      <c r="M271" s="285" t="s">
        <v>497</v>
      </c>
      <c r="N271" s="286" t="s">
        <v>2554</v>
      </c>
      <c r="O271" s="300">
        <v>28812.0</v>
      </c>
      <c r="P271" s="198"/>
      <c r="Q271" s="157"/>
      <c r="R271" s="157"/>
      <c r="S271" s="157"/>
      <c r="T271" s="157"/>
      <c r="U271" s="157"/>
      <c r="V271" s="157"/>
      <c r="W271" s="157"/>
      <c r="X271" s="157"/>
      <c r="Y271" s="157"/>
      <c r="Z271" s="157"/>
    </row>
    <row r="272" ht="42.0" customHeight="1">
      <c r="A272" s="284">
        <v>34849.0</v>
      </c>
      <c r="B272" s="285" t="s">
        <v>715</v>
      </c>
      <c r="C272" s="299">
        <v>2300.0</v>
      </c>
      <c r="D272" s="285" t="s">
        <v>5387</v>
      </c>
      <c r="E272" s="287" t="s">
        <v>5388</v>
      </c>
      <c r="F272" s="288">
        <v>44238.0</v>
      </c>
      <c r="G272" s="288">
        <v>44235.0</v>
      </c>
      <c r="H272" s="288">
        <v>44235.0</v>
      </c>
      <c r="I272" s="288">
        <v>44256.0</v>
      </c>
      <c r="J272" s="294"/>
      <c r="K272" s="294"/>
      <c r="L272" s="290" t="s">
        <v>5389</v>
      </c>
      <c r="M272" s="285" t="s">
        <v>497</v>
      </c>
      <c r="N272" s="286" t="s">
        <v>2554</v>
      </c>
      <c r="O272" s="300">
        <v>32752.0</v>
      </c>
      <c r="P272" s="366"/>
      <c r="Q272" s="366"/>
      <c r="R272" s="366"/>
      <c r="S272" s="366"/>
      <c r="T272" s="366"/>
      <c r="U272" s="366"/>
      <c r="V272" s="366"/>
      <c r="W272" s="366"/>
      <c r="X272" s="366"/>
      <c r="Y272" s="366"/>
      <c r="Z272" s="366"/>
    </row>
    <row r="273" ht="42.0" customHeight="1">
      <c r="A273" s="284">
        <v>35090.0</v>
      </c>
      <c r="B273" s="292" t="s">
        <v>715</v>
      </c>
      <c r="C273" s="286">
        <v>588.0</v>
      </c>
      <c r="D273" s="285" t="s">
        <v>5390</v>
      </c>
      <c r="E273" s="287" t="s">
        <v>5391</v>
      </c>
      <c r="F273" s="288">
        <v>44232.0</v>
      </c>
      <c r="G273" s="372">
        <v>44229.0</v>
      </c>
      <c r="H273" s="372">
        <v>44230.0</v>
      </c>
      <c r="I273" s="384">
        <v>44245.0</v>
      </c>
      <c r="J273" s="294"/>
      <c r="K273" s="294"/>
      <c r="L273" s="290" t="s">
        <v>5392</v>
      </c>
      <c r="M273" s="285"/>
      <c r="N273" s="286"/>
      <c r="O273" s="291"/>
      <c r="P273" s="366"/>
      <c r="Q273" s="366"/>
      <c r="R273" s="366"/>
      <c r="S273" s="366"/>
      <c r="T273" s="366"/>
      <c r="U273" s="366"/>
      <c r="V273" s="366"/>
      <c r="W273" s="366"/>
      <c r="X273" s="366"/>
      <c r="Y273" s="366"/>
      <c r="Z273" s="366"/>
    </row>
    <row r="274" ht="42.0" customHeight="1">
      <c r="A274" s="284">
        <v>34575.0</v>
      </c>
      <c r="B274" s="285" t="s">
        <v>21</v>
      </c>
      <c r="C274" s="286">
        <v>1860.0</v>
      </c>
      <c r="D274" s="285" t="s">
        <v>5393</v>
      </c>
      <c r="E274" s="287" t="s">
        <v>5394</v>
      </c>
      <c r="F274" s="288">
        <v>44232.0</v>
      </c>
      <c r="G274" s="372">
        <v>44218.0</v>
      </c>
      <c r="H274" s="384">
        <v>44218.0</v>
      </c>
      <c r="I274" s="372">
        <v>44237.0</v>
      </c>
      <c r="J274" s="294" t="s">
        <v>5270</v>
      </c>
      <c r="K274" s="294" t="s">
        <v>3744</v>
      </c>
      <c r="L274" s="290" t="s">
        <v>5395</v>
      </c>
      <c r="M274" s="285"/>
      <c r="N274" s="286"/>
      <c r="O274" s="291"/>
      <c r="P274" s="366"/>
      <c r="Q274" s="342"/>
      <c r="R274" s="342"/>
      <c r="S274" s="342"/>
      <c r="T274" s="342"/>
      <c r="U274" s="342"/>
      <c r="V274" s="342"/>
      <c r="W274" s="342"/>
      <c r="X274" s="342"/>
      <c r="Y274" s="342"/>
      <c r="Z274" s="342"/>
    </row>
    <row r="275" ht="42.0" customHeight="1">
      <c r="A275" s="284">
        <v>34718.0</v>
      </c>
      <c r="B275" s="285" t="s">
        <v>21</v>
      </c>
      <c r="C275" s="286">
        <v>2100.0</v>
      </c>
      <c r="D275" s="285" t="s">
        <v>5396</v>
      </c>
      <c r="E275" s="287" t="s">
        <v>5269</v>
      </c>
      <c r="F275" s="288">
        <v>44231.0</v>
      </c>
      <c r="G275" s="288">
        <v>44209.0</v>
      </c>
      <c r="H275" s="288">
        <v>44209.0</v>
      </c>
      <c r="I275" s="288">
        <v>44243.0</v>
      </c>
      <c r="J275" s="294" t="s">
        <v>5270</v>
      </c>
      <c r="K275" s="294" t="s">
        <v>3744</v>
      </c>
      <c r="L275" s="290" t="s">
        <v>5397</v>
      </c>
      <c r="M275" s="285" t="s">
        <v>497</v>
      </c>
      <c r="N275" s="286" t="s">
        <v>2554</v>
      </c>
      <c r="O275" s="291">
        <v>28812.0</v>
      </c>
      <c r="P275" s="366"/>
      <c r="Q275" s="342"/>
      <c r="R275" s="342"/>
      <c r="S275" s="342"/>
      <c r="T275" s="342"/>
      <c r="U275" s="342"/>
      <c r="V275" s="342"/>
      <c r="W275" s="342"/>
      <c r="X275" s="342"/>
      <c r="Y275" s="342"/>
      <c r="Z275" s="342"/>
    </row>
    <row r="276" ht="42.0" customHeight="1">
      <c r="A276" s="284">
        <v>34812.0</v>
      </c>
      <c r="B276" s="285" t="s">
        <v>21</v>
      </c>
      <c r="C276" s="286">
        <v>6300.0</v>
      </c>
      <c r="D276" s="285" t="s">
        <v>5398</v>
      </c>
      <c r="E276" s="287" t="s">
        <v>5399</v>
      </c>
      <c r="F276" s="288">
        <v>44230.0</v>
      </c>
      <c r="G276" s="288">
        <v>44221.0</v>
      </c>
      <c r="H276" s="288">
        <v>44221.0</v>
      </c>
      <c r="I276" s="288">
        <v>44236.0</v>
      </c>
      <c r="J276" s="294"/>
      <c r="K276" s="294"/>
      <c r="L276" s="290" t="s">
        <v>5400</v>
      </c>
      <c r="M276" s="285"/>
      <c r="N276" s="286"/>
      <c r="O276" s="291"/>
      <c r="P276" s="366"/>
      <c r="Q276" s="342"/>
      <c r="R276" s="342"/>
      <c r="S276" s="342"/>
      <c r="T276" s="342"/>
      <c r="U276" s="342"/>
      <c r="V276" s="342"/>
      <c r="W276" s="342"/>
      <c r="X276" s="342"/>
      <c r="Y276" s="342"/>
      <c r="Z276" s="342"/>
    </row>
    <row r="277" ht="42.0" customHeight="1">
      <c r="A277" s="284">
        <v>35107.0</v>
      </c>
      <c r="B277" s="285" t="s">
        <v>21</v>
      </c>
      <c r="C277" s="286">
        <v>1503.0</v>
      </c>
      <c r="D277" s="285" t="s">
        <v>5401</v>
      </c>
      <c r="E277" s="287" t="s">
        <v>5402</v>
      </c>
      <c r="F277" s="288">
        <v>44230.0</v>
      </c>
      <c r="G277" s="288">
        <v>44217.0</v>
      </c>
      <c r="H277" s="288">
        <v>44217.0</v>
      </c>
      <c r="I277" s="288">
        <v>44238.0</v>
      </c>
      <c r="J277" s="294" t="s">
        <v>5270</v>
      </c>
      <c r="K277" s="294" t="s">
        <v>5271</v>
      </c>
      <c r="L277" s="290" t="s">
        <v>5403</v>
      </c>
      <c r="M277" s="285"/>
      <c r="N277" s="286"/>
      <c r="O277" s="291"/>
      <c r="P277" s="366"/>
      <c r="Q277" s="342"/>
      <c r="R277" s="342"/>
      <c r="S277" s="342"/>
      <c r="T277" s="342"/>
      <c r="U277" s="342"/>
      <c r="V277" s="342"/>
      <c r="W277" s="342"/>
      <c r="X277" s="342"/>
      <c r="Y277" s="342"/>
      <c r="Z277" s="342"/>
    </row>
    <row r="278" ht="41.25" customHeight="1">
      <c r="A278" s="284">
        <v>35176.0</v>
      </c>
      <c r="B278" s="285" t="s">
        <v>21</v>
      </c>
      <c r="C278" s="299">
        <v>1190.0</v>
      </c>
      <c r="D278" s="285" t="s">
        <v>5404</v>
      </c>
      <c r="E278" s="287" t="s">
        <v>5405</v>
      </c>
      <c r="F278" s="288">
        <v>44229.0</v>
      </c>
      <c r="G278" s="288">
        <v>44225.0</v>
      </c>
      <c r="H278" s="288">
        <v>44225.0</v>
      </c>
      <c r="I278" s="288">
        <v>44235.0</v>
      </c>
      <c r="J278" s="294"/>
      <c r="K278" s="294"/>
      <c r="L278" s="290" t="s">
        <v>5406</v>
      </c>
      <c r="M278" s="285"/>
      <c r="N278" s="299"/>
      <c r="O278" s="300"/>
      <c r="P278" s="366"/>
      <c r="Q278" s="342"/>
      <c r="R278" s="342"/>
      <c r="S278" s="342"/>
      <c r="T278" s="342"/>
      <c r="U278" s="342"/>
      <c r="V278" s="342"/>
      <c r="W278" s="342"/>
      <c r="X278" s="342"/>
      <c r="Y278" s="342"/>
      <c r="Z278" s="342"/>
    </row>
    <row r="279" ht="42.0" customHeight="1">
      <c r="A279" s="284">
        <v>35062.0</v>
      </c>
      <c r="B279" s="285" t="s">
        <v>21</v>
      </c>
      <c r="C279" s="286">
        <v>570.0</v>
      </c>
      <c r="D279" s="285" t="s">
        <v>5407</v>
      </c>
      <c r="E279" s="287" t="s">
        <v>5408</v>
      </c>
      <c r="F279" s="288">
        <v>44225.0</v>
      </c>
      <c r="G279" s="372">
        <v>44216.0</v>
      </c>
      <c r="H279" s="372">
        <v>44216.0</v>
      </c>
      <c r="I279" s="372">
        <v>44230.0</v>
      </c>
      <c r="J279" s="294" t="s">
        <v>5270</v>
      </c>
      <c r="K279" s="294" t="s">
        <v>5271</v>
      </c>
      <c r="L279" s="290" t="s">
        <v>5409</v>
      </c>
      <c r="M279" s="285"/>
      <c r="N279" s="286"/>
      <c r="O279" s="291"/>
      <c r="P279" s="366"/>
      <c r="Q279" s="342"/>
      <c r="R279" s="342"/>
      <c r="S279" s="342"/>
      <c r="T279" s="342"/>
      <c r="U279" s="342"/>
      <c r="V279" s="342"/>
      <c r="W279" s="342"/>
      <c r="X279" s="342"/>
      <c r="Y279" s="342"/>
      <c r="Z279" s="342"/>
    </row>
    <row r="280" ht="42.0" customHeight="1">
      <c r="A280" s="284">
        <v>35052.0</v>
      </c>
      <c r="B280" s="292" t="s">
        <v>715</v>
      </c>
      <c r="C280" s="286">
        <v>989.0</v>
      </c>
      <c r="D280" s="285" t="s">
        <v>5410</v>
      </c>
      <c r="E280" s="287" t="s">
        <v>5411</v>
      </c>
      <c r="F280" s="288">
        <v>44224.0</v>
      </c>
      <c r="G280" s="288">
        <v>44221.0</v>
      </c>
      <c r="H280" s="288">
        <v>44221.0</v>
      </c>
      <c r="I280" s="288">
        <v>44237.0</v>
      </c>
      <c r="J280" s="294"/>
      <c r="K280" s="294"/>
      <c r="L280" s="290" t="s">
        <v>5412</v>
      </c>
      <c r="M280" s="285"/>
      <c r="N280" s="286"/>
      <c r="O280" s="291"/>
      <c r="P280" s="366"/>
      <c r="Q280" s="342"/>
      <c r="R280" s="342"/>
      <c r="S280" s="342"/>
      <c r="T280" s="342"/>
      <c r="U280" s="342"/>
      <c r="V280" s="342"/>
      <c r="W280" s="342"/>
      <c r="X280" s="342"/>
      <c r="Y280" s="342"/>
      <c r="Z280" s="342"/>
    </row>
    <row r="281" ht="42.0" customHeight="1">
      <c r="A281" s="284">
        <v>35194.0</v>
      </c>
      <c r="B281" s="285" t="s">
        <v>21</v>
      </c>
      <c r="C281" s="299">
        <v>18.0</v>
      </c>
      <c r="D281" s="285" t="s">
        <v>4925</v>
      </c>
      <c r="E281" s="287" t="s">
        <v>5413</v>
      </c>
      <c r="F281" s="288">
        <v>44221.0</v>
      </c>
      <c r="G281" s="288">
        <v>44222.0</v>
      </c>
      <c r="H281" s="288">
        <v>44222.0</v>
      </c>
      <c r="I281" s="288">
        <v>44223.0</v>
      </c>
      <c r="J281" s="294"/>
      <c r="K281" s="294"/>
      <c r="L281" s="290" t="s">
        <v>5414</v>
      </c>
      <c r="M281" s="285"/>
      <c r="N281" s="299"/>
      <c r="O281" s="300"/>
      <c r="P281" s="366"/>
      <c r="Q281" s="342"/>
      <c r="R281" s="342"/>
      <c r="S281" s="342"/>
      <c r="T281" s="342"/>
      <c r="U281" s="342"/>
      <c r="V281" s="342"/>
      <c r="W281" s="342"/>
      <c r="X281" s="342"/>
      <c r="Y281" s="342"/>
      <c r="Z281" s="342"/>
    </row>
    <row r="282" ht="42.0" customHeight="1">
      <c r="A282" s="284">
        <v>35112.0</v>
      </c>
      <c r="B282" s="292" t="s">
        <v>715</v>
      </c>
      <c r="C282" s="286">
        <v>1150.0</v>
      </c>
      <c r="D282" s="285" t="s">
        <v>5415</v>
      </c>
      <c r="E282" s="287" t="s">
        <v>5416</v>
      </c>
      <c r="F282" s="288">
        <v>44221.0</v>
      </c>
      <c r="G282" s="288">
        <v>44217.0</v>
      </c>
      <c r="H282" s="288">
        <v>44217.0</v>
      </c>
      <c r="I282" s="288">
        <v>44236.0</v>
      </c>
      <c r="J282" s="294"/>
      <c r="K282" s="294"/>
      <c r="L282" s="290" t="s">
        <v>5417</v>
      </c>
      <c r="M282" s="285"/>
      <c r="N282" s="286"/>
      <c r="O282" s="291"/>
      <c r="P282" s="366"/>
      <c r="Q282" s="342"/>
      <c r="R282" s="342"/>
      <c r="S282" s="342"/>
      <c r="T282" s="342"/>
      <c r="U282" s="342"/>
      <c r="V282" s="342"/>
      <c r="W282" s="342"/>
      <c r="X282" s="342"/>
      <c r="Y282" s="342"/>
      <c r="Z282" s="342"/>
    </row>
    <row r="283" ht="42.0" customHeight="1">
      <c r="A283" s="284">
        <v>34864.0</v>
      </c>
      <c r="B283" s="285" t="s">
        <v>21</v>
      </c>
      <c r="C283" s="286">
        <v>1443.0</v>
      </c>
      <c r="D283" s="285" t="s">
        <v>5418</v>
      </c>
      <c r="E283" s="287" t="s">
        <v>5419</v>
      </c>
      <c r="F283" s="288">
        <v>44221.0</v>
      </c>
      <c r="G283" s="288">
        <v>44217.0</v>
      </c>
      <c r="H283" s="288">
        <v>44217.0</v>
      </c>
      <c r="I283" s="288">
        <v>44229.0</v>
      </c>
      <c r="J283" s="289"/>
      <c r="K283" s="289"/>
      <c r="L283" s="290" t="s">
        <v>5420</v>
      </c>
      <c r="M283" s="285" t="s">
        <v>497</v>
      </c>
      <c r="N283" s="286" t="s">
        <v>2554</v>
      </c>
      <c r="O283" s="291">
        <v>42096.8</v>
      </c>
      <c r="P283" s="366"/>
      <c r="Q283" s="342"/>
      <c r="R283" s="342"/>
      <c r="S283" s="342"/>
      <c r="T283" s="342"/>
      <c r="U283" s="342"/>
      <c r="V283" s="342"/>
      <c r="W283" s="342"/>
      <c r="X283" s="342"/>
      <c r="Y283" s="342"/>
      <c r="Z283" s="342"/>
    </row>
    <row r="284" ht="41.25" customHeight="1">
      <c r="A284" s="284">
        <v>34627.0</v>
      </c>
      <c r="B284" s="292" t="s">
        <v>715</v>
      </c>
      <c r="C284" s="286">
        <v>1160.0</v>
      </c>
      <c r="D284" s="285" t="s">
        <v>5421</v>
      </c>
      <c r="E284" s="287" t="s">
        <v>3736</v>
      </c>
      <c r="F284" s="288">
        <v>44221.0</v>
      </c>
      <c r="G284" s="288">
        <v>44215.0</v>
      </c>
      <c r="H284" s="288">
        <v>44215.0</v>
      </c>
      <c r="I284" s="288">
        <v>44224.0</v>
      </c>
      <c r="J284" s="294"/>
      <c r="K284" s="294"/>
      <c r="L284" s="290" t="s">
        <v>5422</v>
      </c>
      <c r="M284" s="285" t="s">
        <v>497</v>
      </c>
      <c r="N284" s="286" t="s">
        <v>2554</v>
      </c>
      <c r="O284" s="291">
        <v>31865.2</v>
      </c>
      <c r="P284" s="366"/>
      <c r="Q284" s="342"/>
      <c r="R284" s="342"/>
      <c r="S284" s="342"/>
      <c r="T284" s="342"/>
      <c r="U284" s="342"/>
      <c r="V284" s="342"/>
      <c r="W284" s="342"/>
      <c r="X284" s="342"/>
      <c r="Y284" s="342"/>
      <c r="Z284" s="342"/>
    </row>
    <row r="285" ht="42.0" customHeight="1">
      <c r="A285" s="284">
        <v>34642.0</v>
      </c>
      <c r="B285" s="292" t="s">
        <v>715</v>
      </c>
      <c r="C285" s="286">
        <v>410.0</v>
      </c>
      <c r="D285" s="285" t="s">
        <v>5423</v>
      </c>
      <c r="E285" s="287" t="s">
        <v>5368</v>
      </c>
      <c r="F285" s="288">
        <v>44220.0</v>
      </c>
      <c r="G285" s="372">
        <v>44216.0</v>
      </c>
      <c r="H285" s="372">
        <v>44216.0</v>
      </c>
      <c r="I285" s="372">
        <v>44243.0</v>
      </c>
      <c r="J285" s="294"/>
      <c r="K285" s="294"/>
      <c r="L285" s="290" t="s">
        <v>5424</v>
      </c>
      <c r="M285" s="285"/>
      <c r="N285" s="286"/>
      <c r="O285" s="291"/>
      <c r="P285" s="366"/>
      <c r="Q285" s="342"/>
      <c r="R285" s="342"/>
      <c r="S285" s="342"/>
      <c r="T285" s="342"/>
      <c r="U285" s="342"/>
      <c r="V285" s="342"/>
      <c r="W285" s="342"/>
      <c r="X285" s="342"/>
      <c r="Y285" s="342"/>
      <c r="Z285" s="342"/>
    </row>
    <row r="286" ht="42.0" customHeight="1">
      <c r="A286" s="284">
        <v>34720.0</v>
      </c>
      <c r="B286" s="292" t="s">
        <v>715</v>
      </c>
      <c r="C286" s="286">
        <v>2100.0</v>
      </c>
      <c r="D286" s="285" t="s">
        <v>5425</v>
      </c>
      <c r="E286" s="287" t="s">
        <v>5426</v>
      </c>
      <c r="F286" s="288">
        <v>44217.0</v>
      </c>
      <c r="G286" s="288">
        <v>44217.0</v>
      </c>
      <c r="H286" s="288">
        <v>44217.0</v>
      </c>
      <c r="I286" s="288">
        <v>44230.0</v>
      </c>
      <c r="J286" s="294"/>
      <c r="K286" s="294"/>
      <c r="L286" s="290" t="s">
        <v>5427</v>
      </c>
      <c r="M286" s="285" t="s">
        <v>497</v>
      </c>
      <c r="N286" s="286" t="s">
        <v>2554</v>
      </c>
      <c r="O286" s="291">
        <v>28812.0</v>
      </c>
      <c r="P286" s="366"/>
      <c r="Q286" s="342"/>
      <c r="R286" s="342"/>
      <c r="S286" s="342"/>
      <c r="T286" s="342"/>
      <c r="U286" s="342"/>
      <c r="V286" s="342"/>
      <c r="W286" s="342"/>
      <c r="X286" s="342"/>
      <c r="Y286" s="342"/>
      <c r="Z286" s="342"/>
    </row>
    <row r="287" ht="42.0" customHeight="1">
      <c r="A287" s="284">
        <v>34722.0</v>
      </c>
      <c r="B287" s="292" t="s">
        <v>715</v>
      </c>
      <c r="C287" s="286">
        <v>1160.0</v>
      </c>
      <c r="D287" s="285" t="s">
        <v>5428</v>
      </c>
      <c r="E287" s="287" t="s">
        <v>3736</v>
      </c>
      <c r="F287" s="288">
        <v>44217.0</v>
      </c>
      <c r="G287" s="288">
        <v>44214.0</v>
      </c>
      <c r="H287" s="288">
        <v>44214.0</v>
      </c>
      <c r="I287" s="288">
        <v>44224.0</v>
      </c>
      <c r="J287" s="294"/>
      <c r="K287" s="294"/>
      <c r="L287" s="290" t="s">
        <v>5429</v>
      </c>
      <c r="M287" s="285" t="s">
        <v>497</v>
      </c>
      <c r="N287" s="286" t="s">
        <v>2554</v>
      </c>
      <c r="O287" s="291">
        <v>31865.2</v>
      </c>
      <c r="P287" s="366"/>
      <c r="Q287" s="342"/>
      <c r="R287" s="342"/>
      <c r="S287" s="342"/>
      <c r="T287" s="342"/>
      <c r="U287" s="342"/>
      <c r="V287" s="342"/>
      <c r="W287" s="342"/>
      <c r="X287" s="342"/>
      <c r="Y287" s="342"/>
      <c r="Z287" s="342"/>
    </row>
    <row r="288" ht="42.0" customHeight="1">
      <c r="A288" s="284">
        <v>34721.0</v>
      </c>
      <c r="B288" s="292" t="s">
        <v>715</v>
      </c>
      <c r="C288" s="286">
        <v>2100.0</v>
      </c>
      <c r="D288" s="285" t="s">
        <v>5430</v>
      </c>
      <c r="E288" s="287" t="s">
        <v>3736</v>
      </c>
      <c r="F288" s="288">
        <v>44217.0</v>
      </c>
      <c r="G288" s="288">
        <v>44214.0</v>
      </c>
      <c r="H288" s="288">
        <v>44214.0</v>
      </c>
      <c r="I288" s="288">
        <v>44243.0</v>
      </c>
      <c r="J288" s="294"/>
      <c r="K288" s="294"/>
      <c r="L288" s="290" t="s">
        <v>5431</v>
      </c>
      <c r="M288" s="285" t="s">
        <v>497</v>
      </c>
      <c r="N288" s="286" t="s">
        <v>2554</v>
      </c>
      <c r="O288" s="291">
        <v>31865.2</v>
      </c>
      <c r="P288" s="366"/>
      <c r="Q288" s="342"/>
      <c r="R288" s="342"/>
      <c r="S288" s="342"/>
      <c r="T288" s="342"/>
      <c r="U288" s="342"/>
      <c r="V288" s="342"/>
      <c r="W288" s="342"/>
      <c r="X288" s="342"/>
      <c r="Y288" s="342"/>
      <c r="Z288" s="342"/>
    </row>
    <row r="289" ht="42.0" customHeight="1">
      <c r="A289" s="284">
        <v>34665.0</v>
      </c>
      <c r="B289" s="292" t="s">
        <v>25</v>
      </c>
      <c r="C289" s="286" t="s">
        <v>5432</v>
      </c>
      <c r="D289" s="285" t="s">
        <v>5433</v>
      </c>
      <c r="E289" s="287" t="s">
        <v>5434</v>
      </c>
      <c r="F289" s="288">
        <v>44216.0</v>
      </c>
      <c r="G289" s="288">
        <v>44216.0</v>
      </c>
      <c r="H289" s="288">
        <v>44216.0</v>
      </c>
      <c r="I289" s="288">
        <v>44223.0</v>
      </c>
      <c r="J289" s="294"/>
      <c r="K289" s="294"/>
      <c r="L289" s="290" t="s">
        <v>5435</v>
      </c>
      <c r="M289" s="285"/>
      <c r="N289" s="286"/>
      <c r="O289" s="291"/>
      <c r="P289" s="366"/>
      <c r="Q289" s="342"/>
      <c r="R289" s="342"/>
      <c r="S289" s="342"/>
      <c r="T289" s="342"/>
      <c r="U289" s="342"/>
      <c r="V289" s="342"/>
      <c r="W289" s="342"/>
      <c r="X289" s="342"/>
      <c r="Y289" s="342"/>
      <c r="Z289" s="342"/>
    </row>
    <row r="290" ht="42.0" customHeight="1">
      <c r="A290" s="284">
        <v>34624.0</v>
      </c>
      <c r="B290" s="285" t="s">
        <v>25</v>
      </c>
      <c r="C290" s="299">
        <v>2100.0</v>
      </c>
      <c r="D290" s="285" t="s">
        <v>5436</v>
      </c>
      <c r="E290" s="287" t="s">
        <v>5269</v>
      </c>
      <c r="F290" s="288">
        <v>44216.0</v>
      </c>
      <c r="G290" s="288">
        <v>44209.0</v>
      </c>
      <c r="H290" s="288">
        <v>44209.0</v>
      </c>
      <c r="I290" s="288">
        <v>44222.0</v>
      </c>
      <c r="J290" s="294"/>
      <c r="K290" s="294"/>
      <c r="L290" s="290" t="s">
        <v>5437</v>
      </c>
      <c r="M290" s="285" t="s">
        <v>497</v>
      </c>
      <c r="N290" s="286" t="s">
        <v>2554</v>
      </c>
      <c r="O290" s="300">
        <v>28812.0</v>
      </c>
      <c r="P290" s="366"/>
      <c r="Q290" s="342"/>
      <c r="R290" s="342"/>
      <c r="S290" s="342"/>
      <c r="T290" s="342"/>
      <c r="U290" s="342"/>
      <c r="V290" s="342"/>
      <c r="W290" s="342"/>
      <c r="X290" s="342"/>
      <c r="Y290" s="342"/>
      <c r="Z290" s="342"/>
    </row>
    <row r="291" ht="42.0" customHeight="1">
      <c r="A291" s="284">
        <v>34902.0</v>
      </c>
      <c r="B291" s="292" t="s">
        <v>25</v>
      </c>
      <c r="C291" s="286">
        <v>1049.0</v>
      </c>
      <c r="D291" s="285" t="s">
        <v>5438</v>
      </c>
      <c r="E291" s="287" t="s">
        <v>4804</v>
      </c>
      <c r="F291" s="288">
        <v>44216.0</v>
      </c>
      <c r="G291" s="288">
        <v>44203.0</v>
      </c>
      <c r="H291" s="288">
        <v>44203.0</v>
      </c>
      <c r="I291" s="288">
        <v>44224.0</v>
      </c>
      <c r="J291" s="294"/>
      <c r="K291" s="294"/>
      <c r="L291" s="290" t="s">
        <v>5439</v>
      </c>
      <c r="M291" s="285" t="s">
        <v>497</v>
      </c>
      <c r="N291" s="286" t="s">
        <v>5366</v>
      </c>
      <c r="O291" s="291">
        <v>16252.28</v>
      </c>
      <c r="P291" s="366"/>
      <c r="Q291" s="342"/>
      <c r="R291" s="342"/>
      <c r="S291" s="342"/>
      <c r="T291" s="342"/>
      <c r="U291" s="342"/>
      <c r="V291" s="342"/>
      <c r="W291" s="342"/>
      <c r="X291" s="342"/>
      <c r="Y291" s="342"/>
      <c r="Z291" s="342"/>
    </row>
    <row r="292" ht="42.0" customHeight="1">
      <c r="A292" s="284" t="s">
        <v>5440</v>
      </c>
      <c r="B292" s="292" t="s">
        <v>25</v>
      </c>
      <c r="C292" s="286">
        <f>1150*2</f>
        <v>2300</v>
      </c>
      <c r="D292" s="285" t="s">
        <v>5441</v>
      </c>
      <c r="E292" s="287" t="s">
        <v>3949</v>
      </c>
      <c r="F292" s="288">
        <v>44216.0</v>
      </c>
      <c r="G292" s="288">
        <v>44203.0</v>
      </c>
      <c r="H292" s="288">
        <v>44203.0</v>
      </c>
      <c r="I292" s="288">
        <v>44224.0</v>
      </c>
      <c r="J292" s="294"/>
      <c r="K292" s="294"/>
      <c r="L292" s="290" t="s">
        <v>5442</v>
      </c>
      <c r="M292" s="285" t="s">
        <v>497</v>
      </c>
      <c r="N292" s="286" t="s">
        <v>5366</v>
      </c>
      <c r="O292" s="291">
        <f>19899.5*2</f>
        <v>39799</v>
      </c>
      <c r="P292" s="366"/>
      <c r="Q292" s="342"/>
      <c r="R292" s="342"/>
      <c r="S292" s="342"/>
      <c r="T292" s="342"/>
      <c r="U292" s="342"/>
      <c r="V292" s="342"/>
      <c r="W292" s="342"/>
      <c r="X292" s="342"/>
      <c r="Y292" s="342"/>
      <c r="Z292" s="342"/>
    </row>
    <row r="293" ht="44.25" customHeight="1">
      <c r="A293" s="284">
        <v>35058.0</v>
      </c>
      <c r="B293" s="285" t="s">
        <v>21</v>
      </c>
      <c r="C293" s="299">
        <v>8.0</v>
      </c>
      <c r="D293" s="285" t="s">
        <v>4925</v>
      </c>
      <c r="E293" s="287" t="s">
        <v>5443</v>
      </c>
      <c r="F293" s="288">
        <v>44216.0</v>
      </c>
      <c r="G293" s="367" t="s">
        <v>4841</v>
      </c>
      <c r="H293" s="367" t="s">
        <v>4841</v>
      </c>
      <c r="I293" s="288">
        <v>44230.0</v>
      </c>
      <c r="J293" s="294"/>
      <c r="K293" s="294"/>
      <c r="L293" s="290"/>
      <c r="M293" s="285"/>
      <c r="N293" s="286"/>
      <c r="O293" s="300"/>
      <c r="P293" s="366"/>
      <c r="Q293" s="342"/>
      <c r="R293" s="342"/>
      <c r="S293" s="342"/>
      <c r="T293" s="342"/>
      <c r="U293" s="342"/>
      <c r="V293" s="342"/>
      <c r="W293" s="342"/>
      <c r="X293" s="342"/>
      <c r="Y293" s="342"/>
      <c r="Z293" s="342"/>
    </row>
    <row r="294" ht="44.25" customHeight="1">
      <c r="A294" s="284">
        <v>34628.0</v>
      </c>
      <c r="B294" s="292" t="s">
        <v>715</v>
      </c>
      <c r="C294" s="286">
        <v>1160.0</v>
      </c>
      <c r="D294" s="285" t="s">
        <v>5444</v>
      </c>
      <c r="E294" s="287" t="s">
        <v>3736</v>
      </c>
      <c r="F294" s="288">
        <v>44212.0</v>
      </c>
      <c r="G294" s="288">
        <v>44208.0</v>
      </c>
      <c r="H294" s="288">
        <v>44208.0</v>
      </c>
      <c r="I294" s="288">
        <v>44221.0</v>
      </c>
      <c r="J294" s="294"/>
      <c r="K294" s="294"/>
      <c r="L294" s="290" t="s">
        <v>5445</v>
      </c>
      <c r="M294" s="285" t="s">
        <v>497</v>
      </c>
      <c r="N294" s="286" t="s">
        <v>2554</v>
      </c>
      <c r="O294" s="291">
        <v>31865.2</v>
      </c>
      <c r="P294" s="366"/>
      <c r="Q294" s="342"/>
      <c r="R294" s="342"/>
      <c r="S294" s="342"/>
      <c r="T294" s="342"/>
      <c r="U294" s="342"/>
      <c r="V294" s="342"/>
      <c r="W294" s="342"/>
      <c r="X294" s="342"/>
      <c r="Y294" s="342"/>
      <c r="Z294" s="342"/>
    </row>
    <row r="295" ht="38.25" customHeight="1">
      <c r="A295" s="284">
        <v>34717.0</v>
      </c>
      <c r="B295" s="292" t="s">
        <v>715</v>
      </c>
      <c r="C295" s="286">
        <v>2100.0</v>
      </c>
      <c r="D295" s="285" t="s">
        <v>5446</v>
      </c>
      <c r="E295" s="287" t="s">
        <v>5269</v>
      </c>
      <c r="F295" s="288">
        <v>44212.0</v>
      </c>
      <c r="G295" s="288">
        <v>44208.0</v>
      </c>
      <c r="H295" s="288">
        <v>44208.0</v>
      </c>
      <c r="I295" s="288">
        <v>44221.0</v>
      </c>
      <c r="J295" s="294"/>
      <c r="K295" s="294"/>
      <c r="L295" s="290" t="s">
        <v>5447</v>
      </c>
      <c r="M295" s="285" t="s">
        <v>497</v>
      </c>
      <c r="N295" s="286" t="s">
        <v>2554</v>
      </c>
      <c r="O295" s="291">
        <v>28812.0</v>
      </c>
      <c r="P295" s="366"/>
      <c r="Q295" s="342"/>
      <c r="R295" s="342"/>
      <c r="S295" s="342"/>
      <c r="T295" s="342"/>
      <c r="U295" s="342"/>
      <c r="V295" s="342"/>
      <c r="W295" s="342"/>
      <c r="X295" s="342"/>
      <c r="Y295" s="342"/>
      <c r="Z295" s="342"/>
    </row>
    <row r="296" ht="33.75" customHeight="1">
      <c r="A296" s="284">
        <v>35071.0</v>
      </c>
      <c r="B296" s="292" t="s">
        <v>715</v>
      </c>
      <c r="C296" s="286">
        <v>930.0</v>
      </c>
      <c r="D296" s="285" t="s">
        <v>5448</v>
      </c>
      <c r="E296" s="287" t="s">
        <v>3743</v>
      </c>
      <c r="F296" s="288">
        <v>44211.0</v>
      </c>
      <c r="G296" s="288">
        <v>44208.0</v>
      </c>
      <c r="H296" s="288">
        <v>44208.0</v>
      </c>
      <c r="I296" s="288">
        <v>44217.0</v>
      </c>
      <c r="J296" s="294"/>
      <c r="K296" s="294"/>
      <c r="L296" s="290" t="s">
        <v>5449</v>
      </c>
      <c r="M296" s="285"/>
      <c r="N296" s="286"/>
      <c r="O296" s="291"/>
      <c r="P296" s="366"/>
      <c r="Q296" s="342"/>
      <c r="R296" s="342"/>
      <c r="S296" s="342"/>
      <c r="T296" s="342"/>
      <c r="U296" s="342"/>
      <c r="V296" s="342"/>
      <c r="W296" s="342"/>
      <c r="X296" s="342"/>
      <c r="Y296" s="342"/>
      <c r="Z296" s="342"/>
    </row>
    <row r="297" ht="42.0" customHeight="1">
      <c r="A297" s="284">
        <v>35051.0</v>
      </c>
      <c r="B297" s="285" t="s">
        <v>25</v>
      </c>
      <c r="C297" s="299">
        <f>934+25</f>
        <v>959</v>
      </c>
      <c r="D297" s="285" t="s">
        <v>5450</v>
      </c>
      <c r="E297" s="287" t="s">
        <v>5451</v>
      </c>
      <c r="F297" s="288">
        <v>44210.0</v>
      </c>
      <c r="G297" s="288">
        <v>44207.0</v>
      </c>
      <c r="H297" s="288">
        <v>44207.0</v>
      </c>
      <c r="I297" s="288">
        <v>44223.0</v>
      </c>
      <c r="J297" s="294"/>
      <c r="K297" s="294"/>
      <c r="L297" s="290" t="s">
        <v>5452</v>
      </c>
      <c r="M297" s="285"/>
      <c r="N297" s="286"/>
      <c r="O297" s="300"/>
      <c r="P297" s="366"/>
      <c r="Q297" s="342"/>
      <c r="R297" s="342"/>
      <c r="S297" s="342"/>
      <c r="T297" s="342"/>
      <c r="U297" s="342"/>
      <c r="V297" s="342"/>
      <c r="W297" s="342"/>
      <c r="X297" s="342"/>
      <c r="Y297" s="342"/>
      <c r="Z297" s="342"/>
    </row>
    <row r="298" ht="42.0" customHeight="1">
      <c r="A298" s="284">
        <v>34508.0</v>
      </c>
      <c r="B298" s="285" t="s">
        <v>21</v>
      </c>
      <c r="C298" s="286">
        <v>1148.0</v>
      </c>
      <c r="D298" s="285" t="s">
        <v>5453</v>
      </c>
      <c r="E298" s="287" t="s">
        <v>3812</v>
      </c>
      <c r="F298" s="288">
        <v>44210.0</v>
      </c>
      <c r="G298" s="288">
        <v>44201.0</v>
      </c>
      <c r="H298" s="288">
        <v>44201.0</v>
      </c>
      <c r="I298" s="372">
        <v>44218.0</v>
      </c>
      <c r="J298" s="289"/>
      <c r="K298" s="289"/>
      <c r="L298" s="290" t="s">
        <v>5454</v>
      </c>
      <c r="M298" s="285"/>
      <c r="N298" s="286"/>
      <c r="O298" s="291"/>
      <c r="P298" s="366"/>
      <c r="Q298" s="342"/>
      <c r="R298" s="342"/>
      <c r="S298" s="342"/>
      <c r="T298" s="342"/>
      <c r="U298" s="342"/>
      <c r="V298" s="342"/>
      <c r="W298" s="342"/>
      <c r="X298" s="342"/>
      <c r="Y298" s="342"/>
      <c r="Z298" s="342"/>
    </row>
    <row r="299" ht="42.0" customHeight="1">
      <c r="A299" s="284">
        <v>34626.0</v>
      </c>
      <c r="B299" s="285" t="s">
        <v>25</v>
      </c>
      <c r="C299" s="299">
        <v>1160.0</v>
      </c>
      <c r="D299" s="285" t="s">
        <v>5455</v>
      </c>
      <c r="E299" s="287" t="s">
        <v>3736</v>
      </c>
      <c r="F299" s="288">
        <v>44209.0</v>
      </c>
      <c r="G299" s="288">
        <v>44194.0</v>
      </c>
      <c r="H299" s="288">
        <v>44194.0</v>
      </c>
      <c r="I299" s="288">
        <v>44217.0</v>
      </c>
      <c r="J299" s="294"/>
      <c r="K299" s="294"/>
      <c r="L299" s="290" t="s">
        <v>5456</v>
      </c>
      <c r="M299" s="285" t="s">
        <v>497</v>
      </c>
      <c r="N299" s="286" t="s">
        <v>2554</v>
      </c>
      <c r="O299" s="300">
        <v>31865.2</v>
      </c>
      <c r="P299" s="366"/>
      <c r="Q299" s="342"/>
      <c r="R299" s="342"/>
      <c r="S299" s="342"/>
      <c r="T299" s="342"/>
      <c r="U299" s="342"/>
      <c r="V299" s="342"/>
      <c r="W299" s="342"/>
      <c r="X299" s="342"/>
      <c r="Y299" s="342"/>
      <c r="Z299" s="342"/>
    </row>
    <row r="300" ht="33.75" customHeight="1">
      <c r="A300" s="284">
        <v>35110.0</v>
      </c>
      <c r="B300" s="285" t="s">
        <v>21</v>
      </c>
      <c r="C300" s="286">
        <v>1141.0</v>
      </c>
      <c r="D300" s="285" t="s">
        <v>5457</v>
      </c>
      <c r="E300" s="287" t="s">
        <v>5458</v>
      </c>
      <c r="F300" s="288">
        <v>44208.0</v>
      </c>
      <c r="G300" s="372">
        <v>44201.0</v>
      </c>
      <c r="H300" s="372">
        <v>44201.0</v>
      </c>
      <c r="I300" s="372">
        <v>44216.0</v>
      </c>
      <c r="J300" s="294"/>
      <c r="K300" s="294"/>
      <c r="L300" s="290" t="s">
        <v>5459</v>
      </c>
      <c r="M300" s="285"/>
      <c r="N300" s="286"/>
      <c r="O300" s="291"/>
      <c r="P300" s="198"/>
      <c r="Q300" s="157"/>
      <c r="R300" s="157"/>
      <c r="S300" s="157"/>
      <c r="T300" s="157"/>
      <c r="U300" s="157"/>
      <c r="V300" s="157"/>
      <c r="W300" s="157"/>
      <c r="X300" s="157"/>
      <c r="Y300" s="157"/>
      <c r="Z300" s="157"/>
    </row>
    <row r="301" ht="42.0" customHeight="1">
      <c r="A301" s="284">
        <v>35069.0</v>
      </c>
      <c r="B301" s="285" t="s">
        <v>21</v>
      </c>
      <c r="C301" s="286">
        <v>859.0</v>
      </c>
      <c r="D301" s="285" t="s">
        <v>5460</v>
      </c>
      <c r="E301" s="287" t="s">
        <v>3743</v>
      </c>
      <c r="F301" s="288">
        <v>44208.0</v>
      </c>
      <c r="G301" s="372">
        <v>44196.0</v>
      </c>
      <c r="H301" s="372">
        <v>44196.0</v>
      </c>
      <c r="I301" s="372">
        <v>44215.0</v>
      </c>
      <c r="J301" s="294"/>
      <c r="K301" s="294"/>
      <c r="L301" s="290" t="s">
        <v>5461</v>
      </c>
      <c r="M301" s="285"/>
      <c r="N301" s="286"/>
      <c r="O301" s="291"/>
      <c r="P301" s="198"/>
      <c r="Q301" s="157"/>
      <c r="R301" s="157"/>
      <c r="S301" s="157"/>
      <c r="T301" s="157"/>
      <c r="U301" s="157"/>
      <c r="V301" s="157"/>
      <c r="W301" s="157"/>
      <c r="X301" s="157"/>
      <c r="Y301" s="157"/>
      <c r="Z301" s="157"/>
    </row>
    <row r="302" ht="42.0" customHeight="1">
      <c r="A302" s="284">
        <v>34625.0</v>
      </c>
      <c r="B302" s="292" t="s">
        <v>715</v>
      </c>
      <c r="C302" s="286">
        <v>1160.0</v>
      </c>
      <c r="D302" s="285" t="s">
        <v>5462</v>
      </c>
      <c r="E302" s="287" t="s">
        <v>3736</v>
      </c>
      <c r="F302" s="288">
        <v>44205.0</v>
      </c>
      <c r="G302" s="288">
        <v>44203.0</v>
      </c>
      <c r="H302" s="288">
        <v>44203.0</v>
      </c>
      <c r="I302" s="288">
        <v>44208.0</v>
      </c>
      <c r="J302" s="294" t="s">
        <v>2535</v>
      </c>
      <c r="K302" s="294" t="s">
        <v>2535</v>
      </c>
      <c r="L302" s="290" t="s">
        <v>5463</v>
      </c>
      <c r="M302" s="285" t="s">
        <v>497</v>
      </c>
      <c r="N302" s="286" t="s">
        <v>2554</v>
      </c>
      <c r="O302" s="291">
        <v>31865.2</v>
      </c>
      <c r="P302" s="198"/>
      <c r="Q302" s="157"/>
      <c r="R302" s="157"/>
      <c r="S302" s="157"/>
      <c r="T302" s="157"/>
      <c r="U302" s="157"/>
      <c r="V302" s="157"/>
      <c r="W302" s="157"/>
      <c r="X302" s="157"/>
      <c r="Y302" s="157"/>
      <c r="Z302" s="157"/>
    </row>
    <row r="303" ht="42.0" customHeight="1">
      <c r="A303" s="284">
        <v>35068.0</v>
      </c>
      <c r="B303" s="285" t="s">
        <v>715</v>
      </c>
      <c r="C303" s="286">
        <v>1100.0</v>
      </c>
      <c r="D303" s="285" t="s">
        <v>5464</v>
      </c>
      <c r="E303" s="287" t="s">
        <v>5465</v>
      </c>
      <c r="F303" s="288">
        <v>44203.0</v>
      </c>
      <c r="G303" s="288">
        <v>44195.0</v>
      </c>
      <c r="H303" s="288">
        <v>44195.0</v>
      </c>
      <c r="I303" s="288">
        <v>43841.0</v>
      </c>
      <c r="J303" s="294"/>
      <c r="K303" s="294"/>
      <c r="L303" s="290" t="s">
        <v>5466</v>
      </c>
      <c r="M303" s="285"/>
      <c r="N303" s="286"/>
      <c r="O303" s="291"/>
      <c r="P303" s="198"/>
      <c r="Q303" s="157"/>
      <c r="R303" s="157"/>
      <c r="S303" s="157"/>
      <c r="T303" s="157"/>
      <c r="U303" s="157"/>
      <c r="V303" s="157"/>
      <c r="W303" s="157"/>
      <c r="X303" s="157"/>
      <c r="Y303" s="157"/>
      <c r="Z303" s="157"/>
    </row>
    <row r="304" ht="42.0" customHeight="1">
      <c r="A304" s="284">
        <v>34623.0</v>
      </c>
      <c r="B304" s="285" t="s">
        <v>21</v>
      </c>
      <c r="C304" s="286">
        <v>1160.0</v>
      </c>
      <c r="D304" s="285" t="s">
        <v>5467</v>
      </c>
      <c r="E304" s="287" t="s">
        <v>5468</v>
      </c>
      <c r="F304" s="288">
        <v>44202.0</v>
      </c>
      <c r="G304" s="288">
        <v>44201.0</v>
      </c>
      <c r="H304" s="293">
        <v>44201.0</v>
      </c>
      <c r="I304" s="293">
        <v>44210.0</v>
      </c>
      <c r="J304" s="289"/>
      <c r="K304" s="289"/>
      <c r="L304" s="290" t="s">
        <v>5469</v>
      </c>
      <c r="M304" s="285" t="s">
        <v>497</v>
      </c>
      <c r="N304" s="286" t="s">
        <v>2554</v>
      </c>
      <c r="O304" s="291">
        <v>31865.2</v>
      </c>
      <c r="P304" s="198"/>
      <c r="Q304" s="157"/>
      <c r="R304" s="157"/>
      <c r="S304" s="157"/>
      <c r="T304" s="157"/>
      <c r="U304" s="157"/>
      <c r="V304" s="157"/>
      <c r="W304" s="157"/>
      <c r="X304" s="157"/>
      <c r="Y304" s="157"/>
      <c r="Z304" s="157"/>
    </row>
    <row r="305" ht="42.0" customHeight="1">
      <c r="A305" s="284">
        <v>34622.0</v>
      </c>
      <c r="B305" s="285" t="s">
        <v>715</v>
      </c>
      <c r="C305" s="286">
        <v>2100.0</v>
      </c>
      <c r="D305" s="285" t="s">
        <v>5470</v>
      </c>
      <c r="E305" s="287" t="s">
        <v>5269</v>
      </c>
      <c r="F305" s="288">
        <v>44202.0</v>
      </c>
      <c r="G305" s="288">
        <v>44201.0</v>
      </c>
      <c r="H305" s="288">
        <v>44201.0</v>
      </c>
      <c r="I305" s="288">
        <v>44210.0</v>
      </c>
      <c r="J305" s="294" t="s">
        <v>2535</v>
      </c>
      <c r="K305" s="294" t="s">
        <v>2535</v>
      </c>
      <c r="L305" s="290" t="s">
        <v>5471</v>
      </c>
      <c r="M305" s="285" t="s">
        <v>497</v>
      </c>
      <c r="N305" s="286" t="s">
        <v>2554</v>
      </c>
      <c r="O305" s="291">
        <v>28812.0</v>
      </c>
      <c r="P305" s="198"/>
      <c r="Q305" s="198"/>
      <c r="R305" s="198"/>
      <c r="S305" s="198"/>
      <c r="T305" s="198"/>
      <c r="U305" s="198"/>
      <c r="V305" s="198"/>
      <c r="W305" s="198"/>
      <c r="X305" s="198"/>
      <c r="Y305" s="198"/>
      <c r="Z305" s="198"/>
    </row>
    <row r="306" ht="33.75" customHeight="1">
      <c r="A306" s="284">
        <v>34576.0</v>
      </c>
      <c r="B306" s="285" t="s">
        <v>715</v>
      </c>
      <c r="C306" s="286">
        <v>1860.0</v>
      </c>
      <c r="D306" s="285" t="s">
        <v>5472</v>
      </c>
      <c r="E306" s="287" t="s">
        <v>5394</v>
      </c>
      <c r="F306" s="288">
        <v>44199.0</v>
      </c>
      <c r="G306" s="288">
        <v>44196.0</v>
      </c>
      <c r="H306" s="288">
        <v>44196.0</v>
      </c>
      <c r="I306" s="285" t="s">
        <v>5473</v>
      </c>
      <c r="J306" s="294"/>
      <c r="K306" s="294"/>
      <c r="L306" s="290" t="s">
        <v>5463</v>
      </c>
      <c r="M306" s="285"/>
      <c r="N306" s="286"/>
      <c r="O306" s="291"/>
      <c r="P306" s="198"/>
      <c r="Q306" s="198"/>
      <c r="R306" s="198"/>
      <c r="S306" s="198"/>
      <c r="T306" s="198"/>
      <c r="U306" s="198"/>
      <c r="V306" s="198"/>
      <c r="W306" s="198"/>
      <c r="X306" s="198"/>
      <c r="Y306" s="198"/>
      <c r="Z306" s="198"/>
    </row>
    <row r="307" ht="42.0" customHeight="1">
      <c r="A307" s="284">
        <v>35050.0</v>
      </c>
      <c r="B307" s="285" t="s">
        <v>715</v>
      </c>
      <c r="C307" s="286">
        <v>930.0</v>
      </c>
      <c r="D307" s="285" t="s">
        <v>5474</v>
      </c>
      <c r="E307" s="287" t="s">
        <v>3743</v>
      </c>
      <c r="F307" s="288">
        <v>44197.0</v>
      </c>
      <c r="G307" s="288">
        <v>44194.0</v>
      </c>
      <c r="H307" s="288">
        <v>44194.0</v>
      </c>
      <c r="I307" s="372">
        <v>44209.0</v>
      </c>
      <c r="J307" s="294"/>
      <c r="K307" s="294"/>
      <c r="L307" s="290" t="s">
        <v>5475</v>
      </c>
      <c r="M307" s="285"/>
      <c r="N307" s="286"/>
      <c r="O307" s="291"/>
      <c r="P307" s="198"/>
      <c r="Q307" s="157"/>
      <c r="R307" s="157"/>
      <c r="S307" s="157"/>
      <c r="T307" s="157"/>
      <c r="U307" s="157"/>
      <c r="V307" s="157"/>
      <c r="W307" s="157"/>
      <c r="X307" s="157"/>
      <c r="Y307" s="157"/>
      <c r="Z307" s="157"/>
    </row>
    <row r="308" ht="42.0" customHeight="1">
      <c r="A308" s="284">
        <v>34753.0</v>
      </c>
      <c r="B308" s="285" t="s">
        <v>21</v>
      </c>
      <c r="C308" s="299">
        <v>946.0</v>
      </c>
      <c r="D308" s="285" t="s">
        <v>5476</v>
      </c>
      <c r="E308" s="287" t="s">
        <v>5477</v>
      </c>
      <c r="F308" s="288">
        <v>44195.0</v>
      </c>
      <c r="G308" s="288">
        <v>44183.0</v>
      </c>
      <c r="H308" s="288">
        <v>44183.0</v>
      </c>
      <c r="I308" s="288">
        <v>44203.0</v>
      </c>
      <c r="J308" s="289"/>
      <c r="K308" s="289"/>
      <c r="L308" s="290" t="s">
        <v>5478</v>
      </c>
      <c r="M308" s="285"/>
      <c r="N308" s="286"/>
      <c r="O308" s="300"/>
      <c r="P308" s="198"/>
      <c r="Q308" s="157"/>
      <c r="R308" s="157"/>
      <c r="S308" s="157"/>
      <c r="T308" s="157"/>
      <c r="U308" s="157"/>
      <c r="V308" s="157"/>
      <c r="W308" s="157"/>
      <c r="X308" s="157"/>
      <c r="Y308" s="157"/>
      <c r="Z308" s="157"/>
    </row>
    <row r="309" ht="42.0" customHeight="1">
      <c r="A309" s="284">
        <v>34621.0</v>
      </c>
      <c r="B309" s="285" t="s">
        <v>21</v>
      </c>
      <c r="C309" s="286">
        <v>3000.0</v>
      </c>
      <c r="D309" s="285" t="s">
        <v>5479</v>
      </c>
      <c r="E309" s="287" t="s">
        <v>5307</v>
      </c>
      <c r="F309" s="288">
        <v>44194.0</v>
      </c>
      <c r="G309" s="288">
        <v>44179.0</v>
      </c>
      <c r="H309" s="288">
        <v>44179.0</v>
      </c>
      <c r="I309" s="288">
        <v>44201.0</v>
      </c>
      <c r="J309" s="289"/>
      <c r="K309" s="289"/>
      <c r="L309" s="290" t="s">
        <v>5480</v>
      </c>
      <c r="M309" s="285" t="s">
        <v>497</v>
      </c>
      <c r="N309" s="286" t="s">
        <v>2554</v>
      </c>
      <c r="O309" s="291">
        <v>20610.0</v>
      </c>
      <c r="P309" s="366"/>
      <c r="Q309" s="366"/>
      <c r="R309" s="366"/>
      <c r="S309" s="366"/>
      <c r="T309" s="366"/>
      <c r="U309" s="366"/>
      <c r="V309" s="366"/>
      <c r="W309" s="366"/>
      <c r="X309" s="366"/>
      <c r="Y309" s="366"/>
      <c r="Z309" s="366"/>
    </row>
    <row r="310" ht="42.0" customHeight="1">
      <c r="A310" s="284">
        <v>34839.0</v>
      </c>
      <c r="B310" s="292" t="s">
        <v>25</v>
      </c>
      <c r="C310" s="286">
        <v>1436.0</v>
      </c>
      <c r="D310" s="285" t="s">
        <v>5481</v>
      </c>
      <c r="E310" s="287" t="s">
        <v>3812</v>
      </c>
      <c r="F310" s="288">
        <v>44190.0</v>
      </c>
      <c r="G310" s="288">
        <v>44186.0</v>
      </c>
      <c r="H310" s="288">
        <v>44186.0</v>
      </c>
      <c r="I310" s="288">
        <v>44203.0</v>
      </c>
      <c r="J310" s="294"/>
      <c r="K310" s="294"/>
      <c r="L310" s="290" t="s">
        <v>5482</v>
      </c>
      <c r="M310" s="285"/>
      <c r="N310" s="286"/>
      <c r="O310" s="291"/>
      <c r="P310" s="198"/>
      <c r="Q310" s="157"/>
      <c r="R310" s="157"/>
      <c r="S310" s="157"/>
      <c r="T310" s="157"/>
      <c r="U310" s="157"/>
      <c r="V310" s="157"/>
      <c r="W310" s="157"/>
      <c r="X310" s="157"/>
      <c r="Y310" s="157"/>
      <c r="Z310" s="157"/>
    </row>
    <row r="311" ht="42.0" customHeight="1">
      <c r="A311" s="284">
        <v>35005.0</v>
      </c>
      <c r="B311" s="285" t="s">
        <v>715</v>
      </c>
      <c r="C311" s="286">
        <v>1680.0</v>
      </c>
      <c r="D311" s="285" t="s">
        <v>5483</v>
      </c>
      <c r="E311" s="287" t="s">
        <v>3743</v>
      </c>
      <c r="F311" s="288">
        <v>44190.0</v>
      </c>
      <c r="G311" s="288">
        <v>44186.0</v>
      </c>
      <c r="H311" s="288">
        <v>44186.0</v>
      </c>
      <c r="I311" s="288">
        <v>44203.0</v>
      </c>
      <c r="J311" s="294" t="s">
        <v>2535</v>
      </c>
      <c r="K311" s="294" t="s">
        <v>2535</v>
      </c>
      <c r="L311" s="290" t="s">
        <v>5484</v>
      </c>
      <c r="M311" s="285"/>
      <c r="N311" s="286"/>
      <c r="O311" s="291"/>
      <c r="P311" s="198"/>
      <c r="Q311" s="157"/>
      <c r="R311" s="157"/>
      <c r="S311" s="157"/>
      <c r="T311" s="157"/>
      <c r="U311" s="157"/>
      <c r="V311" s="157"/>
      <c r="W311" s="157"/>
      <c r="X311" s="157"/>
      <c r="Y311" s="157"/>
      <c r="Z311" s="157"/>
    </row>
    <row r="312" ht="42.0" customHeight="1">
      <c r="A312" s="284">
        <v>34509.0</v>
      </c>
      <c r="B312" s="292" t="s">
        <v>25</v>
      </c>
      <c r="C312" s="286">
        <v>870.0</v>
      </c>
      <c r="D312" s="285" t="s">
        <v>5485</v>
      </c>
      <c r="E312" s="287" t="s">
        <v>3812</v>
      </c>
      <c r="F312" s="288">
        <v>44186.0</v>
      </c>
      <c r="G312" s="288">
        <v>44182.0</v>
      </c>
      <c r="H312" s="288">
        <v>44182.0</v>
      </c>
      <c r="I312" s="288">
        <v>44203.0</v>
      </c>
      <c r="J312" s="294" t="s">
        <v>2535</v>
      </c>
      <c r="K312" s="294" t="s">
        <v>2535</v>
      </c>
      <c r="L312" s="290" t="s">
        <v>5486</v>
      </c>
      <c r="M312" s="285"/>
      <c r="N312" s="286"/>
      <c r="O312" s="291"/>
      <c r="P312" s="198"/>
      <c r="Q312" s="157"/>
      <c r="R312" s="157"/>
      <c r="S312" s="157"/>
      <c r="T312" s="157"/>
      <c r="U312" s="157"/>
      <c r="V312" s="157"/>
      <c r="W312" s="157"/>
      <c r="X312" s="157"/>
      <c r="Y312" s="157"/>
      <c r="Z312" s="157"/>
    </row>
    <row r="313" ht="42.0" customHeight="1">
      <c r="A313" s="303">
        <v>34645.0</v>
      </c>
      <c r="B313" s="292" t="s">
        <v>25</v>
      </c>
      <c r="C313" s="286">
        <v>954.0</v>
      </c>
      <c r="D313" s="285" t="s">
        <v>5487</v>
      </c>
      <c r="E313" s="287" t="s">
        <v>3740</v>
      </c>
      <c r="F313" s="288">
        <v>44186.0</v>
      </c>
      <c r="G313" s="288">
        <v>44182.0</v>
      </c>
      <c r="H313" s="288">
        <v>44182.0</v>
      </c>
      <c r="I313" s="288">
        <v>44203.0</v>
      </c>
      <c r="J313" s="294" t="s">
        <v>2535</v>
      </c>
      <c r="K313" s="294" t="s">
        <v>2535</v>
      </c>
      <c r="L313" s="290" t="s">
        <v>5488</v>
      </c>
      <c r="M313" s="285"/>
      <c r="N313" s="286"/>
      <c r="O313" s="291"/>
      <c r="P313" s="198"/>
      <c r="Q313" s="157"/>
      <c r="R313" s="157"/>
      <c r="S313" s="157"/>
      <c r="T313" s="157"/>
      <c r="U313" s="157"/>
      <c r="V313" s="157"/>
      <c r="W313" s="157"/>
      <c r="X313" s="157"/>
      <c r="Y313" s="157"/>
      <c r="Z313" s="157"/>
    </row>
    <row r="314" ht="42.0" customHeight="1">
      <c r="A314" s="284">
        <v>34593.0</v>
      </c>
      <c r="B314" s="285" t="s">
        <v>715</v>
      </c>
      <c r="C314" s="286"/>
      <c r="D314" s="285" t="s">
        <v>5489</v>
      </c>
      <c r="E314" s="287" t="s">
        <v>2656</v>
      </c>
      <c r="F314" s="288">
        <v>44181.0</v>
      </c>
      <c r="G314" s="288">
        <v>44182.0</v>
      </c>
      <c r="H314" s="288">
        <v>44182.0</v>
      </c>
      <c r="I314" s="293">
        <v>44202.0</v>
      </c>
      <c r="J314" s="294"/>
      <c r="K314" s="294"/>
      <c r="L314" s="290" t="s">
        <v>5490</v>
      </c>
      <c r="M314" s="285"/>
      <c r="N314" s="286"/>
      <c r="O314" s="291"/>
      <c r="P314" s="198"/>
      <c r="Q314" s="157"/>
      <c r="R314" s="157"/>
      <c r="S314" s="157"/>
      <c r="T314" s="157"/>
      <c r="U314" s="157"/>
      <c r="V314" s="157"/>
      <c r="W314" s="157"/>
      <c r="X314" s="157"/>
      <c r="Y314" s="157"/>
      <c r="Z314" s="157"/>
    </row>
    <row r="315" ht="42.0" customHeight="1">
      <c r="A315" s="284">
        <v>34982.0</v>
      </c>
      <c r="B315" s="285" t="s">
        <v>715</v>
      </c>
      <c r="C315" s="286">
        <v>930.0</v>
      </c>
      <c r="D315" s="285" t="s">
        <v>5491</v>
      </c>
      <c r="E315" s="287" t="s">
        <v>3743</v>
      </c>
      <c r="F315" s="288">
        <v>44179.0</v>
      </c>
      <c r="G315" s="288">
        <v>44175.0</v>
      </c>
      <c r="H315" s="288">
        <v>44175.0</v>
      </c>
      <c r="I315" s="288">
        <v>44200.0</v>
      </c>
      <c r="J315" s="294" t="s">
        <v>2535</v>
      </c>
      <c r="K315" s="294" t="s">
        <v>2535</v>
      </c>
      <c r="L315" s="290" t="s">
        <v>5492</v>
      </c>
      <c r="M315" s="285"/>
      <c r="N315" s="286"/>
      <c r="O315" s="291"/>
      <c r="P315" s="198"/>
      <c r="Q315" s="157"/>
      <c r="R315" s="157"/>
      <c r="S315" s="157"/>
      <c r="T315" s="157"/>
      <c r="U315" s="157"/>
      <c r="V315" s="157"/>
      <c r="W315" s="157"/>
      <c r="X315" s="157"/>
      <c r="Y315" s="157"/>
      <c r="Z315" s="157"/>
    </row>
    <row r="316" ht="42.0" customHeight="1">
      <c r="A316" s="284">
        <v>34660.0</v>
      </c>
      <c r="B316" s="285" t="s">
        <v>25</v>
      </c>
      <c r="C316" s="286" t="s">
        <v>5493</v>
      </c>
      <c r="D316" s="285" t="s">
        <v>5494</v>
      </c>
      <c r="E316" s="287" t="s">
        <v>5495</v>
      </c>
      <c r="F316" s="288">
        <v>44178.0</v>
      </c>
      <c r="G316" s="288">
        <v>44183.0</v>
      </c>
      <c r="H316" s="288">
        <v>44183.0</v>
      </c>
      <c r="I316" s="288">
        <v>44202.0</v>
      </c>
      <c r="J316" s="294"/>
      <c r="K316" s="294"/>
      <c r="L316" s="290" t="s">
        <v>5496</v>
      </c>
      <c r="M316" s="285"/>
      <c r="N316" s="286"/>
      <c r="O316" s="291"/>
      <c r="P316" s="198"/>
      <c r="Q316" s="157"/>
      <c r="R316" s="157"/>
      <c r="S316" s="157"/>
      <c r="T316" s="157"/>
      <c r="U316" s="157"/>
      <c r="V316" s="157"/>
      <c r="W316" s="157"/>
      <c r="X316" s="157"/>
      <c r="Y316" s="157"/>
      <c r="Z316" s="157"/>
    </row>
    <row r="317" ht="12.75" customHeight="1">
      <c r="M317" s="385"/>
      <c r="P317" s="385"/>
    </row>
    <row r="318" ht="12.75" customHeight="1">
      <c r="M318" s="385"/>
      <c r="P318" s="385"/>
    </row>
    <row r="319" ht="12.75" customHeight="1">
      <c r="M319" s="385"/>
      <c r="P319" s="385"/>
    </row>
    <row r="320" ht="12.75" customHeight="1">
      <c r="M320" s="385"/>
      <c r="P320" s="385"/>
    </row>
    <row r="321" ht="12.75" customHeight="1">
      <c r="M321" s="385"/>
      <c r="P321" s="385"/>
    </row>
    <row r="322" ht="12.75" customHeight="1">
      <c r="M322" s="385"/>
      <c r="P322" s="385"/>
    </row>
    <row r="323" ht="12.75" customHeight="1">
      <c r="M323" s="385"/>
      <c r="P323" s="385"/>
    </row>
    <row r="324" ht="12.75" customHeight="1">
      <c r="M324" s="385"/>
      <c r="P324" s="385"/>
    </row>
    <row r="325" ht="12.75" customHeight="1">
      <c r="M325" s="385"/>
      <c r="P325" s="385"/>
    </row>
    <row r="326" ht="12.75" customHeight="1">
      <c r="M326" s="385"/>
      <c r="P326" s="385"/>
    </row>
    <row r="327" ht="12.75" customHeight="1">
      <c r="M327" s="385"/>
      <c r="P327" s="385"/>
    </row>
    <row r="328" ht="12.75" customHeight="1">
      <c r="M328" s="385"/>
      <c r="P328" s="385"/>
    </row>
    <row r="329" ht="12.75" customHeight="1">
      <c r="M329" s="385"/>
      <c r="P329" s="385"/>
    </row>
    <row r="330" ht="12.75" customHeight="1">
      <c r="M330" s="385"/>
      <c r="P330" s="385"/>
    </row>
    <row r="331" ht="12.75" customHeight="1">
      <c r="M331" s="385"/>
      <c r="P331" s="385"/>
    </row>
    <row r="332" ht="12.75" customHeight="1">
      <c r="M332" s="385"/>
      <c r="P332" s="385"/>
    </row>
    <row r="333" ht="12.75" customHeight="1">
      <c r="M333" s="385"/>
      <c r="P333" s="385"/>
    </row>
    <row r="334" ht="12.75" customHeight="1">
      <c r="M334" s="385"/>
      <c r="P334" s="385"/>
    </row>
    <row r="335" ht="12.75" customHeight="1">
      <c r="M335" s="385"/>
      <c r="P335" s="385"/>
    </row>
    <row r="336" ht="12.75" customHeight="1">
      <c r="M336" s="385"/>
      <c r="P336" s="385"/>
    </row>
    <row r="337" ht="12.75" customHeight="1">
      <c r="M337" s="385"/>
      <c r="P337" s="385"/>
    </row>
    <row r="338" ht="12.75" customHeight="1">
      <c r="M338" s="385"/>
      <c r="P338" s="385"/>
    </row>
    <row r="339" ht="12.75" customHeight="1">
      <c r="M339" s="385"/>
      <c r="P339" s="385"/>
    </row>
    <row r="340" ht="12.75" customHeight="1">
      <c r="M340" s="385"/>
      <c r="P340" s="385"/>
    </row>
    <row r="341" ht="12.75" customHeight="1">
      <c r="M341" s="385"/>
      <c r="P341" s="385"/>
    </row>
    <row r="342" ht="12.75" customHeight="1">
      <c r="M342" s="385"/>
      <c r="P342" s="385"/>
    </row>
    <row r="343" ht="12.75" customHeight="1">
      <c r="M343" s="385"/>
      <c r="P343" s="385"/>
    </row>
    <row r="344" ht="12.75" customHeight="1">
      <c r="M344" s="385"/>
      <c r="P344" s="385"/>
    </row>
    <row r="345" ht="12.75" customHeight="1">
      <c r="M345" s="385"/>
      <c r="P345" s="385"/>
    </row>
    <row r="346" ht="12.75" customHeight="1">
      <c r="M346" s="385"/>
      <c r="P346" s="385"/>
    </row>
    <row r="347" ht="12.75" customHeight="1">
      <c r="M347" s="385"/>
      <c r="P347" s="385"/>
    </row>
    <row r="348" ht="12.75" customHeight="1">
      <c r="M348" s="385"/>
      <c r="P348" s="385"/>
    </row>
    <row r="349" ht="12.75" customHeight="1">
      <c r="M349" s="385"/>
      <c r="P349" s="385"/>
    </row>
    <row r="350" ht="12.75" customHeight="1">
      <c r="M350" s="385"/>
      <c r="P350" s="385"/>
    </row>
    <row r="351" ht="12.75" customHeight="1">
      <c r="M351" s="385"/>
      <c r="P351" s="385"/>
    </row>
    <row r="352" ht="12.75" customHeight="1">
      <c r="M352" s="385"/>
      <c r="P352" s="385"/>
    </row>
    <row r="353" ht="12.75" customHeight="1">
      <c r="M353" s="385"/>
      <c r="P353" s="385"/>
    </row>
    <row r="354" ht="12.75" customHeight="1">
      <c r="M354" s="385"/>
      <c r="P354" s="385"/>
    </row>
    <row r="355" ht="12.75" customHeight="1">
      <c r="M355" s="385"/>
      <c r="P355" s="385"/>
    </row>
    <row r="356" ht="12.75" customHeight="1">
      <c r="M356" s="385"/>
      <c r="P356" s="385"/>
    </row>
    <row r="357" ht="12.75" customHeight="1">
      <c r="M357" s="385"/>
      <c r="P357" s="385"/>
    </row>
    <row r="358" ht="12.75" customHeight="1">
      <c r="M358" s="385"/>
      <c r="P358" s="385"/>
    </row>
    <row r="359" ht="12.75" customHeight="1">
      <c r="M359" s="385"/>
      <c r="P359" s="385"/>
    </row>
    <row r="360" ht="12.75" customHeight="1">
      <c r="M360" s="385"/>
      <c r="P360" s="385"/>
    </row>
    <row r="361" ht="12.75" customHeight="1">
      <c r="M361" s="385"/>
      <c r="P361" s="385"/>
    </row>
    <row r="362" ht="12.75" customHeight="1">
      <c r="M362" s="385"/>
      <c r="P362" s="385"/>
    </row>
    <row r="363" ht="12.75" customHeight="1">
      <c r="M363" s="385"/>
      <c r="P363" s="385"/>
    </row>
    <row r="364" ht="12.75" customHeight="1">
      <c r="M364" s="385"/>
      <c r="P364" s="385"/>
    </row>
    <row r="365" ht="12.75" customHeight="1">
      <c r="M365" s="385"/>
      <c r="P365" s="385"/>
    </row>
    <row r="366" ht="12.75" customHeight="1">
      <c r="M366" s="385"/>
      <c r="P366" s="385"/>
    </row>
    <row r="367" ht="12.75" customHeight="1">
      <c r="M367" s="385"/>
      <c r="P367" s="385"/>
    </row>
    <row r="368" ht="12.75" customHeight="1">
      <c r="M368" s="385"/>
      <c r="P368" s="385"/>
    </row>
    <row r="369" ht="12.75" customHeight="1">
      <c r="M369" s="385"/>
      <c r="P369" s="385"/>
    </row>
    <row r="370" ht="12.75" customHeight="1">
      <c r="M370" s="385"/>
      <c r="P370" s="385"/>
    </row>
    <row r="371" ht="12.75" customHeight="1">
      <c r="M371" s="385"/>
      <c r="P371" s="385"/>
    </row>
    <row r="372" ht="12.75" customHeight="1">
      <c r="M372" s="385"/>
      <c r="P372" s="385"/>
    </row>
    <row r="373" ht="12.75" customHeight="1">
      <c r="M373" s="385"/>
      <c r="P373" s="385"/>
    </row>
    <row r="374" ht="12.75" customHeight="1">
      <c r="M374" s="385"/>
      <c r="P374" s="385"/>
    </row>
    <row r="375" ht="12.75" customHeight="1">
      <c r="M375" s="385"/>
      <c r="P375" s="385"/>
    </row>
    <row r="376" ht="12.75" customHeight="1">
      <c r="M376" s="385"/>
      <c r="P376" s="385"/>
    </row>
    <row r="377" ht="12.75" customHeight="1">
      <c r="M377" s="385"/>
      <c r="P377" s="385"/>
    </row>
    <row r="378" ht="12.75" customHeight="1">
      <c r="M378" s="385"/>
      <c r="P378" s="385"/>
    </row>
    <row r="379" ht="12.75" customHeight="1">
      <c r="M379" s="385"/>
      <c r="P379" s="385"/>
    </row>
    <row r="380" ht="12.75" customHeight="1">
      <c r="M380" s="385"/>
      <c r="P380" s="385"/>
    </row>
    <row r="381" ht="12.75" customHeight="1">
      <c r="M381" s="385"/>
      <c r="P381" s="385"/>
    </row>
    <row r="382" ht="12.75" customHeight="1">
      <c r="M382" s="385"/>
      <c r="P382" s="385"/>
    </row>
    <row r="383" ht="12.75" customHeight="1">
      <c r="M383" s="385"/>
      <c r="P383" s="385"/>
    </row>
    <row r="384" ht="12.75" customHeight="1">
      <c r="M384" s="385"/>
      <c r="P384" s="385"/>
    </row>
    <row r="385" ht="12.75" customHeight="1">
      <c r="M385" s="385"/>
      <c r="P385" s="385"/>
    </row>
    <row r="386" ht="12.75" customHeight="1">
      <c r="M386" s="385"/>
      <c r="P386" s="385"/>
    </row>
    <row r="387" ht="12.75" customHeight="1">
      <c r="M387" s="385"/>
      <c r="P387" s="385"/>
    </row>
    <row r="388" ht="12.75" customHeight="1">
      <c r="M388" s="385"/>
      <c r="P388" s="385"/>
    </row>
    <row r="389" ht="12.75" customHeight="1">
      <c r="M389" s="385"/>
      <c r="P389" s="385"/>
    </row>
    <row r="390" ht="12.75" customHeight="1">
      <c r="M390" s="385"/>
      <c r="P390" s="385"/>
    </row>
    <row r="391" ht="12.75" customHeight="1">
      <c r="M391" s="385"/>
      <c r="P391" s="385"/>
    </row>
    <row r="392" ht="12.75" customHeight="1">
      <c r="M392" s="385"/>
      <c r="P392" s="385"/>
    </row>
    <row r="393" ht="12.75" customHeight="1">
      <c r="M393" s="385"/>
      <c r="P393" s="385"/>
    </row>
    <row r="394" ht="12.75" customHeight="1">
      <c r="M394" s="385"/>
      <c r="P394" s="385"/>
    </row>
    <row r="395" ht="12.75" customHeight="1">
      <c r="M395" s="385"/>
      <c r="P395" s="385"/>
    </row>
    <row r="396" ht="12.75" customHeight="1">
      <c r="M396" s="385"/>
      <c r="P396" s="385"/>
    </row>
    <row r="397" ht="12.75" customHeight="1">
      <c r="M397" s="385"/>
      <c r="P397" s="385"/>
    </row>
    <row r="398" ht="12.75" customHeight="1">
      <c r="M398" s="385"/>
      <c r="P398" s="385"/>
    </row>
    <row r="399" ht="12.75" customHeight="1">
      <c r="M399" s="385"/>
      <c r="P399" s="385"/>
    </row>
    <row r="400" ht="12.75" customHeight="1">
      <c r="M400" s="385"/>
      <c r="P400" s="385"/>
    </row>
    <row r="401" ht="12.75" customHeight="1">
      <c r="M401" s="385"/>
      <c r="P401" s="385"/>
    </row>
    <row r="402" ht="12.75" customHeight="1">
      <c r="M402" s="385"/>
      <c r="P402" s="385"/>
    </row>
    <row r="403" ht="12.75" customHeight="1">
      <c r="M403" s="385"/>
      <c r="P403" s="385"/>
    </row>
    <row r="404" ht="12.75" customHeight="1">
      <c r="M404" s="385"/>
      <c r="P404" s="385"/>
    </row>
    <row r="405" ht="12.75" customHeight="1">
      <c r="M405" s="385"/>
      <c r="P405" s="385"/>
    </row>
    <row r="406" ht="12.75" customHeight="1">
      <c r="M406" s="385"/>
      <c r="P406" s="385"/>
    </row>
    <row r="407" ht="12.75" customHeight="1">
      <c r="M407" s="385"/>
      <c r="P407" s="385"/>
    </row>
    <row r="408" ht="12.75" customHeight="1">
      <c r="M408" s="385"/>
      <c r="P408" s="385"/>
    </row>
    <row r="409" ht="12.75" customHeight="1">
      <c r="M409" s="385"/>
      <c r="P409" s="385"/>
    </row>
    <row r="410" ht="12.75" customHeight="1">
      <c r="M410" s="385"/>
      <c r="P410" s="385"/>
    </row>
    <row r="411" ht="12.75" customHeight="1">
      <c r="M411" s="385"/>
      <c r="P411" s="385"/>
    </row>
    <row r="412" ht="12.75" customHeight="1">
      <c r="M412" s="385"/>
      <c r="P412" s="385"/>
    </row>
    <row r="413" ht="12.75" customHeight="1">
      <c r="M413" s="385"/>
      <c r="P413" s="385"/>
    </row>
    <row r="414" ht="12.75" customHeight="1">
      <c r="M414" s="385"/>
      <c r="P414" s="385"/>
    </row>
    <row r="415" ht="12.75" customHeight="1">
      <c r="M415" s="385"/>
      <c r="P415" s="385"/>
    </row>
    <row r="416" ht="12.75" customHeight="1">
      <c r="M416" s="385"/>
      <c r="P416" s="385"/>
    </row>
    <row r="417" ht="12.75" customHeight="1">
      <c r="M417" s="385"/>
      <c r="P417" s="385"/>
    </row>
    <row r="418" ht="12.75" customHeight="1">
      <c r="M418" s="385"/>
      <c r="P418" s="385"/>
    </row>
    <row r="419" ht="12.75" customHeight="1">
      <c r="M419" s="385"/>
      <c r="P419" s="385"/>
    </row>
    <row r="420" ht="12.75" customHeight="1">
      <c r="M420" s="385"/>
      <c r="P420" s="385"/>
    </row>
    <row r="421" ht="12.75" customHeight="1">
      <c r="M421" s="385"/>
      <c r="P421" s="385"/>
    </row>
    <row r="422" ht="12.75" customHeight="1">
      <c r="M422" s="385"/>
      <c r="P422" s="385"/>
    </row>
    <row r="423" ht="12.75" customHeight="1">
      <c r="M423" s="385"/>
      <c r="P423" s="385"/>
    </row>
    <row r="424" ht="12.75" customHeight="1">
      <c r="M424" s="385"/>
      <c r="P424" s="385"/>
    </row>
    <row r="425" ht="12.75" customHeight="1">
      <c r="M425" s="385"/>
      <c r="P425" s="385"/>
    </row>
    <row r="426" ht="12.75" customHeight="1">
      <c r="M426" s="385"/>
      <c r="P426" s="385"/>
    </row>
    <row r="427" ht="12.75" customHeight="1">
      <c r="M427" s="385"/>
      <c r="P427" s="385"/>
    </row>
    <row r="428" ht="12.75" customHeight="1">
      <c r="M428" s="385"/>
      <c r="P428" s="385"/>
    </row>
    <row r="429" ht="12.75" customHeight="1">
      <c r="M429" s="385"/>
      <c r="P429" s="385"/>
    </row>
    <row r="430" ht="12.75" customHeight="1">
      <c r="M430" s="385"/>
      <c r="P430" s="385"/>
    </row>
    <row r="431" ht="12.75" customHeight="1">
      <c r="M431" s="385"/>
      <c r="P431" s="385"/>
    </row>
    <row r="432" ht="12.75" customHeight="1">
      <c r="M432" s="385"/>
      <c r="P432" s="385"/>
    </row>
    <row r="433" ht="12.75" customHeight="1">
      <c r="M433" s="385"/>
      <c r="P433" s="385"/>
    </row>
    <row r="434" ht="12.75" customHeight="1">
      <c r="M434" s="385"/>
      <c r="P434" s="385"/>
    </row>
    <row r="435" ht="12.75" customHeight="1">
      <c r="M435" s="385"/>
      <c r="P435" s="385"/>
    </row>
    <row r="436" ht="12.75" customHeight="1">
      <c r="M436" s="385"/>
      <c r="P436" s="385"/>
    </row>
    <row r="437" ht="12.75" customHeight="1">
      <c r="M437" s="385"/>
      <c r="P437" s="385"/>
    </row>
    <row r="438" ht="12.75" customHeight="1">
      <c r="M438" s="385"/>
      <c r="P438" s="385"/>
    </row>
    <row r="439" ht="12.75" customHeight="1">
      <c r="M439" s="385"/>
      <c r="P439" s="385"/>
    </row>
    <row r="440" ht="12.75" customHeight="1">
      <c r="M440" s="385"/>
      <c r="P440" s="385"/>
    </row>
    <row r="441" ht="12.75" customHeight="1">
      <c r="M441" s="385"/>
      <c r="P441" s="385"/>
    </row>
    <row r="442" ht="12.75" customHeight="1">
      <c r="M442" s="385"/>
      <c r="P442" s="385"/>
    </row>
    <row r="443" ht="12.75" customHeight="1">
      <c r="M443" s="385"/>
      <c r="P443" s="385"/>
    </row>
    <row r="444" ht="12.75" customHeight="1">
      <c r="M444" s="385"/>
      <c r="P444" s="385"/>
    </row>
    <row r="445" ht="12.75" customHeight="1">
      <c r="M445" s="385"/>
      <c r="P445" s="385"/>
    </row>
    <row r="446" ht="12.75" customHeight="1">
      <c r="M446" s="385"/>
      <c r="P446" s="385"/>
    </row>
    <row r="447" ht="12.75" customHeight="1">
      <c r="M447" s="385"/>
      <c r="P447" s="385"/>
    </row>
    <row r="448" ht="12.75" customHeight="1">
      <c r="M448" s="385"/>
      <c r="P448" s="385"/>
    </row>
    <row r="449" ht="12.75" customHeight="1">
      <c r="M449" s="385"/>
      <c r="P449" s="385"/>
    </row>
    <row r="450" ht="12.75" customHeight="1">
      <c r="M450" s="385"/>
      <c r="P450" s="385"/>
    </row>
    <row r="451" ht="12.75" customHeight="1">
      <c r="M451" s="385"/>
      <c r="P451" s="385"/>
    </row>
    <row r="452" ht="12.75" customHeight="1">
      <c r="M452" s="385"/>
      <c r="P452" s="385"/>
    </row>
    <row r="453" ht="12.75" customHeight="1">
      <c r="M453" s="385"/>
      <c r="P453" s="385"/>
    </row>
    <row r="454" ht="12.75" customHeight="1">
      <c r="M454" s="385"/>
      <c r="P454" s="385"/>
    </row>
    <row r="455" ht="12.75" customHeight="1">
      <c r="M455" s="385"/>
      <c r="P455" s="385"/>
    </row>
    <row r="456" ht="12.75" customHeight="1">
      <c r="M456" s="385"/>
      <c r="P456" s="385"/>
    </row>
    <row r="457" ht="12.75" customHeight="1">
      <c r="M457" s="385"/>
      <c r="P457" s="385"/>
    </row>
    <row r="458" ht="12.75" customHeight="1">
      <c r="M458" s="385"/>
      <c r="P458" s="385"/>
    </row>
    <row r="459" ht="12.75" customHeight="1">
      <c r="M459" s="385"/>
      <c r="P459" s="385"/>
    </row>
    <row r="460" ht="12.75" customHeight="1">
      <c r="M460" s="385"/>
      <c r="P460" s="385"/>
    </row>
    <row r="461" ht="12.75" customHeight="1">
      <c r="M461" s="385"/>
      <c r="P461" s="385"/>
    </row>
    <row r="462" ht="12.75" customHeight="1">
      <c r="M462" s="385"/>
      <c r="P462" s="385"/>
    </row>
    <row r="463" ht="12.75" customHeight="1">
      <c r="M463" s="385"/>
      <c r="P463" s="385"/>
    </row>
    <row r="464" ht="12.75" customHeight="1">
      <c r="M464" s="385"/>
      <c r="P464" s="385"/>
    </row>
    <row r="465" ht="12.75" customHeight="1">
      <c r="M465" s="385"/>
      <c r="P465" s="385"/>
    </row>
    <row r="466" ht="12.75" customHeight="1">
      <c r="M466" s="385"/>
      <c r="P466" s="385"/>
    </row>
    <row r="467" ht="12.75" customHeight="1">
      <c r="M467" s="385"/>
      <c r="P467" s="385"/>
    </row>
    <row r="468" ht="12.75" customHeight="1">
      <c r="M468" s="385"/>
      <c r="P468" s="385"/>
    </row>
    <row r="469" ht="12.75" customHeight="1">
      <c r="M469" s="385"/>
      <c r="P469" s="385"/>
    </row>
    <row r="470" ht="12.75" customHeight="1">
      <c r="M470" s="385"/>
      <c r="P470" s="385"/>
    </row>
    <row r="471" ht="12.75" customHeight="1">
      <c r="M471" s="385"/>
      <c r="P471" s="385"/>
    </row>
    <row r="472" ht="12.75" customHeight="1">
      <c r="M472" s="385"/>
      <c r="P472" s="385"/>
    </row>
    <row r="473" ht="12.75" customHeight="1">
      <c r="M473" s="385"/>
      <c r="P473" s="385"/>
    </row>
    <row r="474" ht="12.75" customHeight="1">
      <c r="M474" s="385"/>
      <c r="P474" s="385"/>
    </row>
    <row r="475" ht="12.75" customHeight="1">
      <c r="M475" s="385"/>
      <c r="P475" s="385"/>
    </row>
    <row r="476" ht="12.75" customHeight="1">
      <c r="M476" s="385"/>
      <c r="P476" s="385"/>
    </row>
    <row r="477" ht="12.75" customHeight="1">
      <c r="M477" s="385"/>
      <c r="P477" s="385"/>
    </row>
    <row r="478" ht="12.75" customHeight="1">
      <c r="M478" s="385"/>
      <c r="P478" s="385"/>
    </row>
    <row r="479" ht="12.75" customHeight="1">
      <c r="M479" s="385"/>
      <c r="P479" s="385"/>
    </row>
    <row r="480" ht="12.75" customHeight="1">
      <c r="M480" s="385"/>
      <c r="P480" s="385"/>
    </row>
    <row r="481" ht="12.75" customHeight="1">
      <c r="M481" s="385"/>
      <c r="P481" s="385"/>
    </row>
    <row r="482" ht="12.75" customHeight="1">
      <c r="M482" s="385"/>
      <c r="P482" s="385"/>
    </row>
    <row r="483" ht="12.75" customHeight="1">
      <c r="M483" s="385"/>
      <c r="P483" s="385"/>
    </row>
    <row r="484" ht="12.75" customHeight="1">
      <c r="M484" s="385"/>
      <c r="P484" s="385"/>
    </row>
    <row r="485" ht="12.75" customHeight="1">
      <c r="M485" s="385"/>
      <c r="P485" s="385"/>
    </row>
    <row r="486" ht="12.75" customHeight="1">
      <c r="M486" s="385"/>
      <c r="P486" s="385"/>
    </row>
    <row r="487" ht="12.75" customHeight="1">
      <c r="M487" s="385"/>
      <c r="P487" s="385"/>
    </row>
    <row r="488" ht="12.75" customHeight="1">
      <c r="M488" s="385"/>
      <c r="P488" s="385"/>
    </row>
    <row r="489" ht="12.75" customHeight="1">
      <c r="M489" s="385"/>
      <c r="P489" s="385"/>
    </row>
    <row r="490" ht="12.75" customHeight="1">
      <c r="M490" s="385"/>
      <c r="P490" s="385"/>
    </row>
    <row r="491" ht="12.75" customHeight="1">
      <c r="M491" s="385"/>
      <c r="P491" s="385"/>
    </row>
    <row r="492" ht="12.75" customHeight="1">
      <c r="M492" s="385"/>
      <c r="P492" s="385"/>
    </row>
    <row r="493" ht="12.75" customHeight="1">
      <c r="M493" s="385"/>
      <c r="P493" s="385"/>
    </row>
    <row r="494" ht="12.75" customHeight="1">
      <c r="M494" s="385"/>
      <c r="P494" s="385"/>
    </row>
    <row r="495" ht="12.75" customHeight="1">
      <c r="M495" s="385"/>
      <c r="P495" s="385"/>
    </row>
    <row r="496" ht="12.75" customHeight="1">
      <c r="M496" s="385"/>
      <c r="P496" s="385"/>
    </row>
    <row r="497" ht="12.75" customHeight="1">
      <c r="M497" s="385"/>
      <c r="P497" s="385"/>
    </row>
    <row r="498" ht="12.75" customHeight="1">
      <c r="M498" s="385"/>
      <c r="P498" s="385"/>
    </row>
    <row r="499" ht="12.75" customHeight="1">
      <c r="M499" s="385"/>
      <c r="P499" s="385"/>
    </row>
    <row r="500" ht="12.75" customHeight="1">
      <c r="M500" s="385"/>
      <c r="P500" s="385"/>
    </row>
    <row r="501" ht="12.75" customHeight="1">
      <c r="M501" s="385"/>
      <c r="P501" s="385"/>
    </row>
    <row r="502" ht="12.75" customHeight="1">
      <c r="M502" s="385"/>
      <c r="P502" s="385"/>
    </row>
    <row r="503" ht="12.75" customHeight="1">
      <c r="M503" s="385"/>
      <c r="P503" s="385"/>
    </row>
    <row r="504" ht="12.75" customHeight="1">
      <c r="M504" s="385"/>
      <c r="P504" s="385"/>
    </row>
    <row r="505" ht="12.75" customHeight="1">
      <c r="M505" s="385"/>
      <c r="P505" s="385"/>
    </row>
    <row r="506" ht="12.75" customHeight="1">
      <c r="M506" s="385"/>
      <c r="P506" s="385"/>
    </row>
    <row r="507" ht="12.75" customHeight="1">
      <c r="M507" s="385"/>
      <c r="P507" s="385"/>
    </row>
    <row r="508" ht="12.75" customHeight="1">
      <c r="M508" s="385"/>
      <c r="P508" s="385"/>
    </row>
    <row r="509" ht="12.75" customHeight="1">
      <c r="M509" s="385"/>
      <c r="P509" s="385"/>
    </row>
    <row r="510" ht="12.75" customHeight="1">
      <c r="M510" s="385"/>
      <c r="P510" s="385"/>
    </row>
    <row r="511" ht="12.75" customHeight="1">
      <c r="M511" s="385"/>
      <c r="P511" s="385"/>
    </row>
    <row r="512" ht="12.75" customHeight="1">
      <c r="M512" s="385"/>
      <c r="P512" s="385"/>
    </row>
    <row r="513" ht="12.75" customHeight="1">
      <c r="M513" s="385"/>
      <c r="P513" s="385"/>
    </row>
    <row r="514" ht="12.75" customHeight="1">
      <c r="M514" s="385"/>
      <c r="P514" s="385"/>
    </row>
    <row r="515" ht="12.75" customHeight="1">
      <c r="M515" s="385"/>
      <c r="P515" s="385"/>
    </row>
    <row r="516" ht="12.75" customHeight="1">
      <c r="M516" s="385"/>
      <c r="P516" s="385"/>
    </row>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Z$316">
    <sortState ref="A2:Z316">
      <sortCondition descending="1" ref="D2:D316"/>
      <sortCondition descending="1" ref="H2:H316"/>
      <sortCondition descending="1" ref="F2:F316"/>
    </sortState>
  </autoFilter>
  <customSheetViews>
    <customSheetView guid="{7D5F711D-5A8F-448B-80F8-7ED115B7D700}" filter="1" showAutoFilter="1">
      <autoFilter ref="$A$2:$Z$316">
        <sortState ref="A2:Z316">
          <sortCondition descending="1" ref="F2:F316"/>
        </sortState>
      </autoFilter>
      <extLst>
        <ext uri="GoogleSheetsCustomDataVersion1">
          <go:sheetsCustomData xmlns:go="http://customooxmlschemas.google.com/" filterViewId="1011595818"/>
        </ext>
      </extLst>
    </customSheetView>
    <customSheetView guid="{D323515A-3346-4B3A-AC6E-D498D2CE12A3}" filter="1" showAutoFilter="1">
      <autoFilter ref="$A$2:$Z$316">
        <sortState ref="A2:Z316">
          <sortCondition descending="1" ref="F2:F316"/>
        </sortState>
      </autoFilter>
      <extLst>
        <ext uri="GoogleSheetsCustomDataVersion1">
          <go:sheetsCustomData xmlns:go="http://customooxmlschemas.google.com/" filterViewId="1163665434"/>
        </ext>
      </extLst>
    </customSheetView>
    <customSheetView guid="{A68C8BD8-0AC8-4474-A1AC-D148C94E75F1}" filter="1" showAutoFilter="1">
      <autoFilter ref="$A$2:$Z$316">
        <sortState ref="A2:Z316">
          <sortCondition descending="1" ref="F2:F316"/>
        </sortState>
      </autoFilter>
      <extLst>
        <ext uri="GoogleSheetsCustomDataVersion1">
          <go:sheetsCustomData xmlns:go="http://customooxmlschemas.google.com/" filterViewId="1309134361"/>
        </ext>
      </extLst>
    </customSheetView>
    <customSheetView guid="{00B2829D-B7E0-4616-9A59-3B9A6276FFD8}" filter="1" showAutoFilter="1">
      <autoFilter ref="$A$2:$Z$316">
        <sortState ref="A2:Z316">
          <sortCondition descending="1" ref="F2:F316"/>
        </sortState>
      </autoFilter>
      <extLst>
        <ext uri="GoogleSheetsCustomDataVersion1">
          <go:sheetsCustomData xmlns:go="http://customooxmlschemas.google.com/" filterViewId="1561308594"/>
        </ext>
      </extLst>
    </customSheetView>
    <customSheetView guid="{95BBA70E-041C-4252-8140-8C60EDD1FE61}" filter="1" showAutoFilter="1">
      <autoFilter ref="$A$2:$Z$316">
        <sortState ref="A2:Z316">
          <sortCondition descending="1" ref="F2:F316"/>
        </sortState>
      </autoFilter>
      <extLst>
        <ext uri="GoogleSheetsCustomDataVersion1">
          <go:sheetsCustomData xmlns:go="http://customooxmlschemas.google.com/" filterViewId="1972584260"/>
        </ext>
      </extLst>
    </customSheetView>
    <customSheetView guid="{20EEC496-0D08-4E73-A8E0-60C165BF345B}" filter="1" showAutoFilter="1">
      <autoFilter ref="$A$2:$Z$316"/>
      <extLst>
        <ext uri="GoogleSheetsCustomDataVersion1">
          <go:sheetsCustomData xmlns:go="http://customooxmlschemas.google.com/" filterViewId="737584845"/>
        </ext>
      </extLst>
    </customSheetView>
  </customSheetView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81"/>
    <hyperlink r:id="rId77" ref="A83"/>
    <hyperlink r:id="rId78" ref="A84"/>
    <hyperlink r:id="rId79" ref="A85"/>
    <hyperlink r:id="rId80" ref="A86"/>
    <hyperlink r:id="rId81" ref="A87"/>
    <hyperlink r:id="rId82" ref="A88"/>
    <hyperlink r:id="rId83" ref="A90"/>
    <hyperlink r:id="rId84" ref="A91"/>
    <hyperlink r:id="rId85" ref="A92"/>
    <hyperlink r:id="rId86" ref="A93"/>
    <hyperlink r:id="rId87" ref="A94"/>
    <hyperlink r:id="rId88" ref="A95"/>
    <hyperlink r:id="rId89" ref="A96"/>
    <hyperlink r:id="rId90" ref="A97"/>
    <hyperlink r:id="rId91" ref="A98"/>
    <hyperlink r:id="rId92" ref="A99"/>
    <hyperlink r:id="rId93" ref="A100"/>
    <hyperlink r:id="rId94" ref="A101"/>
    <hyperlink r:id="rId95" ref="A102"/>
    <hyperlink r:id="rId96" ref="A103"/>
    <hyperlink r:id="rId97" ref="A104"/>
    <hyperlink r:id="rId98" ref="A105"/>
    <hyperlink r:id="rId99" ref="A106"/>
    <hyperlink r:id="rId100" ref="A107"/>
    <hyperlink r:id="rId101" ref="A108"/>
    <hyperlink r:id="rId102" ref="A109"/>
    <hyperlink r:id="rId103" ref="A110"/>
    <hyperlink r:id="rId104" ref="A111"/>
    <hyperlink r:id="rId105" ref="A112"/>
    <hyperlink r:id="rId106" ref="A113"/>
    <hyperlink r:id="rId107" ref="A114"/>
    <hyperlink r:id="rId108" ref="A115"/>
    <hyperlink r:id="rId109" ref="A116"/>
    <hyperlink r:id="rId110" ref="A117"/>
    <hyperlink r:id="rId111" ref="A118"/>
    <hyperlink r:id="rId112" ref="A119"/>
    <hyperlink r:id="rId113" ref="A120"/>
    <hyperlink r:id="rId114" ref="A121"/>
    <hyperlink r:id="rId115" ref="A122"/>
    <hyperlink r:id="rId116" ref="A123"/>
    <hyperlink r:id="rId117" ref="A124"/>
    <hyperlink r:id="rId118" ref="A125"/>
    <hyperlink r:id="rId119" ref="A126"/>
    <hyperlink r:id="rId120" ref="A127"/>
    <hyperlink r:id="rId121" ref="A128"/>
    <hyperlink r:id="rId122" ref="A129"/>
    <hyperlink r:id="rId123" ref="A130"/>
    <hyperlink r:id="rId124" ref="A131"/>
    <hyperlink r:id="rId125" ref="A132"/>
    <hyperlink r:id="rId126" ref="A133"/>
    <hyperlink r:id="rId127" ref="A134"/>
    <hyperlink r:id="rId128" ref="A135"/>
    <hyperlink r:id="rId129" ref="A136"/>
    <hyperlink r:id="rId130" ref="A137"/>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7"/>
    <hyperlink r:id="rId151" ref="A158"/>
    <hyperlink r:id="rId152" ref="A159"/>
    <hyperlink r:id="rId153" ref="A160"/>
    <hyperlink r:id="rId154" ref="A161"/>
    <hyperlink r:id="rId155" ref="A162"/>
    <hyperlink r:id="rId156" ref="A163"/>
    <hyperlink r:id="rId157" ref="A164"/>
    <hyperlink r:id="rId158" ref="A165"/>
    <hyperlink r:id="rId159" ref="A166"/>
    <hyperlink r:id="rId160" ref="A167"/>
    <hyperlink r:id="rId161" ref="A168"/>
    <hyperlink r:id="rId162" ref="A169"/>
    <hyperlink r:id="rId163" ref="A170"/>
    <hyperlink r:id="rId164" ref="A171"/>
    <hyperlink r:id="rId165" ref="A172"/>
    <hyperlink r:id="rId166" ref="A173"/>
    <hyperlink r:id="rId167" ref="A174"/>
    <hyperlink r:id="rId168" ref="A175"/>
    <hyperlink r:id="rId169" ref="A176"/>
    <hyperlink r:id="rId170" ref="A177"/>
    <hyperlink r:id="rId171" ref="A178"/>
    <hyperlink r:id="rId172" ref="A179"/>
    <hyperlink r:id="rId173" ref="A180"/>
    <hyperlink r:id="rId174" ref="A181"/>
    <hyperlink r:id="rId175" ref="A182"/>
    <hyperlink r:id="rId176" ref="A183"/>
    <hyperlink r:id="rId177" ref="A184"/>
    <hyperlink r:id="rId178" ref="A185"/>
    <hyperlink r:id="rId179" ref="A186"/>
    <hyperlink r:id="rId180" ref="G186"/>
    <hyperlink r:id="rId181" ref="A187"/>
    <hyperlink r:id="rId182" ref="A188"/>
    <hyperlink r:id="rId183" ref="A189"/>
    <hyperlink r:id="rId184" ref="A190"/>
    <hyperlink r:id="rId185" ref="A191"/>
    <hyperlink r:id="rId186" ref="A192"/>
    <hyperlink r:id="rId187" ref="A193"/>
    <hyperlink r:id="rId188" ref="A194"/>
    <hyperlink r:id="rId189" ref="A195"/>
    <hyperlink r:id="rId190" ref="A196"/>
    <hyperlink r:id="rId191" ref="A197"/>
    <hyperlink r:id="rId192" ref="A198"/>
    <hyperlink r:id="rId193" ref="A199"/>
    <hyperlink r:id="rId194" ref="A200"/>
    <hyperlink r:id="rId195" ref="A201"/>
    <hyperlink r:id="rId196" ref="A202"/>
    <hyperlink r:id="rId197" ref="A203"/>
    <hyperlink r:id="rId198" ref="A204"/>
    <hyperlink r:id="rId199" ref="A205"/>
    <hyperlink r:id="rId200" ref="A206"/>
    <hyperlink r:id="rId201" ref="I206"/>
    <hyperlink r:id="rId202" ref="A207"/>
    <hyperlink r:id="rId203" ref="A208"/>
    <hyperlink r:id="rId204" ref="A209"/>
    <hyperlink r:id="rId205" ref="A210"/>
    <hyperlink r:id="rId206" ref="A211"/>
    <hyperlink r:id="rId207" ref="A212"/>
    <hyperlink r:id="rId208" ref="A213"/>
    <hyperlink r:id="rId209" ref="A214"/>
    <hyperlink r:id="rId210" ref="A215"/>
    <hyperlink r:id="rId211" ref="A216"/>
    <hyperlink r:id="rId212" ref="A217"/>
    <hyperlink r:id="rId213" ref="A218"/>
    <hyperlink r:id="rId214" ref="A219"/>
    <hyperlink r:id="rId215" ref="A220"/>
    <hyperlink r:id="rId216" ref="A221"/>
    <hyperlink r:id="rId217" ref="A222"/>
    <hyperlink r:id="rId218" ref="A223"/>
    <hyperlink r:id="rId219" ref="I223"/>
    <hyperlink r:id="rId220" ref="A224"/>
    <hyperlink r:id="rId221" ref="A225"/>
    <hyperlink r:id="rId222" ref="A226"/>
    <hyperlink r:id="rId223" ref="A227"/>
    <hyperlink r:id="rId224" ref="A228"/>
    <hyperlink r:id="rId225" ref="A229"/>
    <hyperlink r:id="rId226" ref="A230"/>
    <hyperlink r:id="rId227" ref="A231"/>
    <hyperlink r:id="rId228" ref="A232"/>
    <hyperlink r:id="rId229" ref="A233"/>
    <hyperlink r:id="rId230" ref="A234"/>
    <hyperlink r:id="rId231" ref="A235"/>
    <hyperlink r:id="rId232" ref="A236"/>
    <hyperlink r:id="rId233" ref="A237"/>
    <hyperlink r:id="rId234" ref="A238"/>
    <hyperlink r:id="rId235" ref="A239"/>
    <hyperlink r:id="rId236" ref="A240"/>
    <hyperlink r:id="rId237" ref="A241"/>
    <hyperlink r:id="rId238" ref="A242"/>
    <hyperlink r:id="rId239" ref="A243"/>
    <hyperlink r:id="rId240" ref="A244"/>
    <hyperlink r:id="rId241" ref="A245"/>
    <hyperlink r:id="rId242" ref="A246"/>
    <hyperlink r:id="rId243" ref="A247"/>
    <hyperlink r:id="rId244" ref="A248"/>
    <hyperlink r:id="rId245" ref="A249"/>
    <hyperlink r:id="rId246" ref="A250"/>
    <hyperlink r:id="rId247" ref="A251"/>
    <hyperlink r:id="rId248" ref="A252"/>
    <hyperlink r:id="rId249" ref="A253"/>
    <hyperlink r:id="rId250" ref="A254"/>
    <hyperlink r:id="rId251" ref="A255"/>
    <hyperlink r:id="rId252" ref="A256"/>
    <hyperlink r:id="rId253" ref="A257"/>
    <hyperlink r:id="rId254" ref="A258"/>
    <hyperlink r:id="rId255" ref="A259"/>
    <hyperlink r:id="rId256" ref="A260"/>
    <hyperlink r:id="rId257" ref="A261"/>
    <hyperlink r:id="rId258" ref="A262"/>
    <hyperlink r:id="rId259" ref="A263"/>
    <hyperlink r:id="rId260" ref="A264"/>
    <hyperlink r:id="rId261" ref="A265"/>
    <hyperlink r:id="rId262" ref="A266"/>
    <hyperlink r:id="rId263" ref="A267"/>
    <hyperlink r:id="rId264" ref="A268"/>
    <hyperlink r:id="rId265" ref="A269"/>
    <hyperlink r:id="rId266" ref="A270"/>
    <hyperlink r:id="rId267" ref="A271"/>
    <hyperlink r:id="rId268" ref="A272"/>
    <hyperlink r:id="rId269" ref="A273"/>
    <hyperlink r:id="rId270" ref="A274"/>
    <hyperlink r:id="rId271" ref="A275"/>
    <hyperlink r:id="rId272" ref="A276"/>
    <hyperlink r:id="rId273" ref="A277"/>
    <hyperlink r:id="rId274" ref="A278"/>
    <hyperlink r:id="rId275" ref="A279"/>
    <hyperlink r:id="rId276" ref="A280"/>
    <hyperlink r:id="rId277" ref="A281"/>
    <hyperlink r:id="rId278" ref="A282"/>
    <hyperlink r:id="rId279" ref="A283"/>
    <hyperlink r:id="rId280" ref="A284"/>
    <hyperlink r:id="rId281" ref="A285"/>
    <hyperlink r:id="rId282" ref="A286"/>
    <hyperlink r:id="rId283" ref="A287"/>
    <hyperlink r:id="rId284" ref="A288"/>
    <hyperlink r:id="rId285" ref="A289"/>
    <hyperlink r:id="rId286" ref="A290"/>
    <hyperlink r:id="rId287" ref="A291"/>
    <hyperlink r:id="rId288" ref="A292"/>
    <hyperlink r:id="rId289" ref="A293"/>
    <hyperlink r:id="rId290" ref="A294"/>
    <hyperlink r:id="rId291" ref="A295"/>
    <hyperlink r:id="rId292" ref="A296"/>
    <hyperlink r:id="rId293" ref="A297"/>
    <hyperlink r:id="rId294" ref="A298"/>
    <hyperlink r:id="rId295" ref="A299"/>
    <hyperlink r:id="rId296" ref="A300"/>
    <hyperlink r:id="rId297" ref="A301"/>
    <hyperlink r:id="rId298" ref="A302"/>
    <hyperlink r:id="rId299" ref="A303"/>
    <hyperlink r:id="rId300" ref="A304"/>
    <hyperlink r:id="rId301" ref="A305"/>
    <hyperlink r:id="rId302" ref="A306"/>
    <hyperlink r:id="rId303" ref="A307"/>
    <hyperlink r:id="rId304" ref="A308"/>
    <hyperlink r:id="rId305" ref="A309"/>
    <hyperlink r:id="rId306" ref="A310"/>
    <hyperlink r:id="rId307" ref="A311"/>
    <hyperlink r:id="rId308" ref="A312"/>
    <hyperlink r:id="rId309" ref="A313"/>
    <hyperlink r:id="rId310" ref="A314"/>
    <hyperlink r:id="rId311" ref="A315"/>
    <hyperlink r:id="rId312" ref="A316"/>
  </hyperlinks>
  <printOptions gridLines="1" horizontalCentered="1"/>
  <pageMargins bottom="0.75" footer="0.0" header="0.0" left="0.7" right="0.7" top="0.75"/>
  <pageSetup fitToHeight="0" cellComments="atEnd" orientation="landscape" pageOrder="overThenDown"/>
  <drawing r:id="rId31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43"/>
    <col customWidth="1" min="2" max="2" width="22.86"/>
    <col customWidth="1" min="3" max="6" width="14.43"/>
  </cols>
  <sheetData>
    <row r="1" ht="12.75" customHeight="1">
      <c r="A1" s="386" t="s">
        <v>2017</v>
      </c>
      <c r="E1" s="161"/>
      <c r="F1" s="251" t="s">
        <v>5497</v>
      </c>
      <c r="N1" s="161"/>
      <c r="O1" s="161"/>
      <c r="P1" s="161"/>
      <c r="Q1" s="161"/>
      <c r="R1" s="161"/>
      <c r="S1" s="161"/>
      <c r="T1" s="161"/>
      <c r="U1" s="161"/>
      <c r="V1" s="161"/>
      <c r="W1" s="161"/>
      <c r="X1" s="161"/>
    </row>
    <row r="2" ht="12.75" customHeight="1">
      <c r="A2" s="158" t="s">
        <v>5498</v>
      </c>
      <c r="B2" s="159"/>
      <c r="C2" s="159"/>
      <c r="D2" s="160"/>
      <c r="E2" s="161"/>
      <c r="F2" s="161"/>
      <c r="G2" s="161"/>
      <c r="H2" s="161"/>
      <c r="I2" s="161"/>
      <c r="J2" s="161"/>
      <c r="K2" s="161"/>
      <c r="L2" s="161"/>
      <c r="M2" s="161"/>
      <c r="N2" s="161"/>
      <c r="O2" s="161"/>
      <c r="P2" s="161"/>
      <c r="Q2" s="161"/>
      <c r="R2" s="161"/>
      <c r="S2" s="161"/>
      <c r="T2" s="161"/>
      <c r="U2" s="161"/>
      <c r="V2" s="161"/>
      <c r="W2" s="161"/>
      <c r="X2" s="161"/>
    </row>
    <row r="3" ht="12.75" customHeight="1">
      <c r="A3" s="161"/>
      <c r="B3" s="161"/>
      <c r="C3" s="161"/>
      <c r="D3" s="161"/>
      <c r="E3" s="161"/>
      <c r="F3" s="161"/>
      <c r="G3" s="161"/>
      <c r="H3" s="161"/>
      <c r="I3" s="161"/>
      <c r="J3" s="161"/>
      <c r="K3" s="161"/>
      <c r="L3" s="161"/>
      <c r="M3" s="161"/>
      <c r="N3" s="161"/>
      <c r="O3" s="161"/>
      <c r="P3" s="161"/>
      <c r="Q3" s="161"/>
      <c r="R3" s="161"/>
      <c r="S3" s="161"/>
      <c r="T3" s="161"/>
      <c r="U3" s="161"/>
      <c r="V3" s="161"/>
      <c r="W3" s="161"/>
      <c r="X3" s="161"/>
    </row>
    <row r="4" ht="12.75" customHeight="1">
      <c r="A4" s="162" t="str">
        <f>HYPERLINK("www.emodal.com","EModal.com Payment ")</f>
        <v>EModal.com Payment </v>
      </c>
      <c r="B4" s="144"/>
      <c r="C4" s="144"/>
      <c r="D4" s="163"/>
      <c r="E4" s="161"/>
      <c r="F4" s="161"/>
      <c r="G4" s="161"/>
      <c r="H4" s="161"/>
      <c r="I4" s="161"/>
      <c r="J4" s="161"/>
      <c r="K4" s="161"/>
      <c r="L4" s="161"/>
      <c r="M4" s="161"/>
      <c r="N4" s="161"/>
      <c r="O4" s="161"/>
      <c r="P4" s="161"/>
      <c r="Q4" s="161"/>
      <c r="R4" s="161"/>
      <c r="S4" s="161"/>
      <c r="T4" s="161"/>
      <c r="U4" s="161"/>
      <c r="V4" s="161"/>
      <c r="W4" s="161"/>
      <c r="X4" s="161"/>
    </row>
    <row r="5" ht="12.75" customHeight="1">
      <c r="A5" s="164" t="s">
        <v>2019</v>
      </c>
      <c r="B5" s="164" t="s">
        <v>10</v>
      </c>
      <c r="C5" s="164" t="s">
        <v>5499</v>
      </c>
      <c r="D5" s="164" t="s">
        <v>5500</v>
      </c>
      <c r="E5" s="161"/>
      <c r="F5" s="161"/>
      <c r="G5" s="161"/>
      <c r="H5" s="161"/>
      <c r="I5" s="161"/>
      <c r="J5" s="161"/>
      <c r="K5" s="161"/>
      <c r="L5" s="161"/>
      <c r="M5" s="161"/>
      <c r="N5" s="161"/>
      <c r="O5" s="161"/>
      <c r="P5" s="161"/>
      <c r="Q5" s="161"/>
      <c r="R5" s="161"/>
      <c r="S5" s="161"/>
      <c r="T5" s="161"/>
      <c r="U5" s="161"/>
      <c r="V5" s="161"/>
      <c r="W5" s="161"/>
      <c r="X5" s="161"/>
    </row>
    <row r="6" ht="12.75" customHeight="1">
      <c r="A6" s="165">
        <v>35029.0</v>
      </c>
      <c r="B6" s="165" t="s">
        <v>3368</v>
      </c>
      <c r="C6" s="166">
        <v>44185.0</v>
      </c>
      <c r="D6" s="165" t="s">
        <v>2526</v>
      </c>
      <c r="E6" s="387"/>
      <c r="F6" s="212"/>
      <c r="G6" s="161"/>
      <c r="H6" s="161"/>
      <c r="I6" s="161"/>
      <c r="J6" s="161"/>
      <c r="K6" s="161"/>
      <c r="L6" s="161"/>
      <c r="M6" s="161"/>
      <c r="N6" s="161"/>
      <c r="O6" s="161"/>
      <c r="P6" s="161"/>
      <c r="Q6" s="161"/>
      <c r="R6" s="161"/>
      <c r="S6" s="161"/>
      <c r="T6" s="161"/>
      <c r="U6" s="161"/>
      <c r="V6" s="161"/>
      <c r="W6" s="161"/>
      <c r="X6" s="161"/>
    </row>
    <row r="7" ht="12.75" customHeight="1">
      <c r="A7" s="165">
        <v>34621.0</v>
      </c>
      <c r="B7" s="165" t="s">
        <v>5479</v>
      </c>
      <c r="C7" s="166">
        <v>44181.0</v>
      </c>
      <c r="D7" s="165" t="s">
        <v>2526</v>
      </c>
      <c r="E7" s="387"/>
      <c r="F7" s="161"/>
      <c r="G7" s="161"/>
      <c r="H7" s="161"/>
      <c r="I7" s="161"/>
      <c r="J7" s="161"/>
      <c r="K7" s="161"/>
      <c r="L7" s="161"/>
      <c r="M7" s="161"/>
      <c r="N7" s="161"/>
      <c r="O7" s="161"/>
      <c r="P7" s="161"/>
      <c r="Q7" s="161"/>
      <c r="R7" s="161"/>
      <c r="S7" s="161"/>
      <c r="T7" s="161"/>
      <c r="U7" s="161"/>
      <c r="V7" s="161"/>
      <c r="W7" s="161"/>
      <c r="X7" s="161"/>
    </row>
    <row r="8" ht="12.75" customHeight="1">
      <c r="A8" s="165">
        <v>34799.0</v>
      </c>
      <c r="B8" s="165" t="s">
        <v>3708</v>
      </c>
      <c r="C8" s="166">
        <v>44179.0</v>
      </c>
      <c r="D8" s="165" t="s">
        <v>2526</v>
      </c>
      <c r="E8" s="387"/>
      <c r="F8" s="161"/>
      <c r="G8" s="161"/>
      <c r="H8" s="161"/>
      <c r="I8" s="161"/>
      <c r="J8" s="161"/>
      <c r="K8" s="161"/>
      <c r="L8" s="161"/>
      <c r="M8" s="161"/>
      <c r="N8" s="161"/>
      <c r="O8" s="161"/>
      <c r="P8" s="161"/>
      <c r="Q8" s="161"/>
      <c r="R8" s="161"/>
      <c r="S8" s="161"/>
      <c r="T8" s="161"/>
      <c r="U8" s="161"/>
      <c r="V8" s="161"/>
      <c r="W8" s="161"/>
      <c r="X8" s="161"/>
    </row>
    <row r="9" ht="12.75" customHeight="1">
      <c r="A9" s="165">
        <v>34952.0</v>
      </c>
      <c r="B9" s="161" t="s">
        <v>3377</v>
      </c>
      <c r="C9" s="166">
        <v>44174.0</v>
      </c>
      <c r="D9" s="165" t="s">
        <v>2526</v>
      </c>
      <c r="E9" s="387"/>
      <c r="F9" s="161"/>
      <c r="G9" s="161"/>
      <c r="H9" s="161"/>
      <c r="I9" s="161"/>
      <c r="J9" s="161"/>
      <c r="K9" s="161"/>
      <c r="L9" s="161"/>
      <c r="M9" s="161"/>
      <c r="N9" s="161"/>
      <c r="O9" s="161"/>
      <c r="P9" s="161"/>
      <c r="Q9" s="161"/>
      <c r="R9" s="161"/>
      <c r="S9" s="161"/>
      <c r="T9" s="161"/>
      <c r="U9" s="161"/>
      <c r="V9" s="161"/>
      <c r="W9" s="161"/>
      <c r="X9" s="161"/>
    </row>
    <row r="10" ht="12.75" customHeight="1">
      <c r="A10" s="165">
        <v>34979.0</v>
      </c>
      <c r="B10" s="165" t="s">
        <v>3398</v>
      </c>
      <c r="C10" s="166">
        <v>44166.0</v>
      </c>
      <c r="D10" s="165" t="s">
        <v>2526</v>
      </c>
      <c r="E10" s="387"/>
      <c r="F10" s="161"/>
      <c r="G10" s="161"/>
      <c r="H10" s="161"/>
      <c r="I10" s="161"/>
      <c r="J10" s="161"/>
      <c r="K10" s="161"/>
      <c r="L10" s="161"/>
      <c r="M10" s="161"/>
      <c r="N10" s="161"/>
      <c r="O10" s="161"/>
      <c r="P10" s="161"/>
      <c r="Q10" s="161"/>
      <c r="R10" s="161"/>
      <c r="S10" s="161"/>
      <c r="T10" s="161"/>
      <c r="U10" s="161"/>
      <c r="V10" s="161"/>
      <c r="W10" s="161"/>
      <c r="X10" s="161"/>
    </row>
    <row r="11" ht="12.75" customHeight="1">
      <c r="A11" s="165">
        <v>34961.0</v>
      </c>
      <c r="B11" s="161" t="s">
        <v>3719</v>
      </c>
      <c r="C11" s="166">
        <v>44166.0</v>
      </c>
      <c r="D11" s="165" t="s">
        <v>2526</v>
      </c>
      <c r="E11" s="161"/>
      <c r="F11" s="161"/>
      <c r="G11" s="161"/>
      <c r="H11" s="161"/>
      <c r="I11" s="161"/>
      <c r="J11" s="161"/>
      <c r="K11" s="161"/>
      <c r="L11" s="161"/>
      <c r="M11" s="161"/>
      <c r="N11" s="161"/>
      <c r="O11" s="161"/>
      <c r="P11" s="161"/>
      <c r="Q11" s="161"/>
      <c r="R11" s="161"/>
      <c r="S11" s="161"/>
      <c r="T11" s="161"/>
      <c r="U11" s="161"/>
      <c r="V11" s="161"/>
      <c r="W11" s="161"/>
      <c r="X11" s="161"/>
    </row>
    <row r="12" ht="12.75" customHeight="1">
      <c r="A12" s="165">
        <v>34932.0</v>
      </c>
      <c r="B12" s="165" t="s">
        <v>5501</v>
      </c>
      <c r="C12" s="166">
        <v>44166.0</v>
      </c>
      <c r="D12" s="165" t="s">
        <v>2526</v>
      </c>
      <c r="E12" s="161"/>
      <c r="F12" s="161"/>
      <c r="G12" s="161"/>
      <c r="H12" s="161"/>
      <c r="I12" s="161"/>
      <c r="J12" s="161"/>
      <c r="K12" s="161"/>
      <c r="L12" s="161"/>
      <c r="M12" s="161"/>
      <c r="N12" s="161"/>
      <c r="O12" s="161"/>
      <c r="P12" s="161"/>
      <c r="Q12" s="161"/>
      <c r="R12" s="161"/>
      <c r="S12" s="161"/>
      <c r="T12" s="161"/>
      <c r="U12" s="161"/>
      <c r="V12" s="161"/>
      <c r="W12" s="161"/>
      <c r="X12" s="161"/>
    </row>
    <row r="13" ht="12.75" customHeight="1">
      <c r="A13" s="165">
        <v>34506.0</v>
      </c>
      <c r="B13" s="161" t="s">
        <v>3811</v>
      </c>
      <c r="C13" s="166">
        <v>44154.0</v>
      </c>
      <c r="D13" s="165" t="s">
        <v>2526</v>
      </c>
      <c r="E13" s="161"/>
      <c r="F13" s="161"/>
      <c r="G13" s="161"/>
      <c r="H13" s="161"/>
      <c r="I13" s="161"/>
      <c r="J13" s="161"/>
      <c r="K13" s="161"/>
      <c r="L13" s="161"/>
      <c r="M13" s="161"/>
      <c r="N13" s="161"/>
      <c r="O13" s="161"/>
      <c r="P13" s="161"/>
      <c r="Q13" s="161"/>
      <c r="R13" s="161"/>
      <c r="S13" s="161"/>
      <c r="T13" s="161"/>
      <c r="U13" s="161"/>
      <c r="V13" s="161"/>
      <c r="W13" s="161"/>
      <c r="X13" s="161"/>
    </row>
    <row r="14" ht="12.75" customHeight="1">
      <c r="A14" s="165">
        <v>34555.0</v>
      </c>
      <c r="B14" s="165" t="s">
        <v>3818</v>
      </c>
      <c r="C14" s="166">
        <v>44151.0</v>
      </c>
      <c r="D14" s="165" t="s">
        <v>2526</v>
      </c>
      <c r="E14" s="161"/>
      <c r="F14" s="161"/>
      <c r="G14" s="161"/>
      <c r="H14" s="161"/>
      <c r="I14" s="161"/>
      <c r="J14" s="161"/>
      <c r="K14" s="161"/>
      <c r="L14" s="161"/>
      <c r="M14" s="161"/>
      <c r="N14" s="161"/>
      <c r="O14" s="161"/>
      <c r="P14" s="161"/>
      <c r="Q14" s="161"/>
      <c r="R14" s="161"/>
      <c r="S14" s="161"/>
      <c r="T14" s="161"/>
      <c r="U14" s="161"/>
      <c r="V14" s="161"/>
      <c r="W14" s="161"/>
      <c r="X14" s="161"/>
    </row>
    <row r="15" ht="12.75" customHeight="1">
      <c r="A15" s="165">
        <v>34412.0</v>
      </c>
      <c r="B15" s="165" t="s">
        <v>3739</v>
      </c>
      <c r="C15" s="166">
        <v>44151.0</v>
      </c>
      <c r="D15" s="165" t="s">
        <v>2526</v>
      </c>
      <c r="E15" s="161"/>
      <c r="F15" s="161"/>
      <c r="G15" s="161"/>
      <c r="H15" s="161"/>
      <c r="I15" s="161"/>
      <c r="J15" s="161"/>
      <c r="K15" s="161"/>
      <c r="L15" s="161"/>
      <c r="M15" s="161"/>
      <c r="N15" s="161"/>
      <c r="O15" s="161"/>
      <c r="P15" s="161"/>
      <c r="Q15" s="161"/>
      <c r="R15" s="161"/>
      <c r="S15" s="161"/>
      <c r="T15" s="161"/>
      <c r="U15" s="161"/>
      <c r="V15" s="161"/>
      <c r="W15" s="161"/>
      <c r="X15" s="161"/>
    </row>
    <row r="16" ht="12.75" customHeight="1">
      <c r="A16" s="165">
        <v>34710.0</v>
      </c>
      <c r="B16" s="165" t="s">
        <v>3808</v>
      </c>
      <c r="C16" s="166">
        <v>44148.0</v>
      </c>
      <c r="D16" s="165" t="s">
        <v>2526</v>
      </c>
      <c r="E16" s="161"/>
      <c r="F16" s="161"/>
      <c r="G16" s="161"/>
      <c r="H16" s="161"/>
      <c r="I16" s="161"/>
      <c r="J16" s="161"/>
      <c r="K16" s="161"/>
      <c r="L16" s="161"/>
      <c r="M16" s="161"/>
      <c r="N16" s="161"/>
      <c r="O16" s="161"/>
      <c r="P16" s="161"/>
      <c r="Q16" s="161"/>
      <c r="R16" s="161"/>
      <c r="S16" s="161"/>
      <c r="T16" s="161"/>
      <c r="U16" s="161"/>
      <c r="V16" s="161"/>
      <c r="W16" s="161"/>
      <c r="X16" s="161"/>
    </row>
    <row r="17" ht="12.75" customHeight="1">
      <c r="A17" s="165">
        <v>34908.0</v>
      </c>
      <c r="B17" s="165" t="s">
        <v>3772</v>
      </c>
      <c r="C17" s="166">
        <v>44148.0</v>
      </c>
      <c r="D17" s="165" t="s">
        <v>2526</v>
      </c>
      <c r="E17" s="161"/>
      <c r="F17" s="161"/>
      <c r="G17" s="161"/>
      <c r="H17" s="161"/>
      <c r="I17" s="161"/>
      <c r="J17" s="161"/>
      <c r="K17" s="161"/>
      <c r="L17" s="161"/>
      <c r="M17" s="161"/>
      <c r="N17" s="161"/>
      <c r="O17" s="161"/>
      <c r="P17" s="161"/>
      <c r="Q17" s="161"/>
      <c r="R17" s="161"/>
      <c r="S17" s="161"/>
      <c r="T17" s="161"/>
      <c r="U17" s="161"/>
      <c r="V17" s="161"/>
      <c r="W17" s="161"/>
      <c r="X17" s="161"/>
    </row>
    <row r="18" ht="12.75" customHeight="1">
      <c r="A18" s="165">
        <v>34905.0</v>
      </c>
      <c r="B18" s="165" t="s">
        <v>3769</v>
      </c>
      <c r="C18" s="166">
        <v>44148.0</v>
      </c>
      <c r="D18" s="165" t="s">
        <v>2526</v>
      </c>
      <c r="E18" s="161"/>
      <c r="F18" s="161"/>
      <c r="G18" s="161"/>
      <c r="H18" s="161"/>
      <c r="I18" s="161"/>
      <c r="J18" s="161"/>
      <c r="K18" s="161"/>
      <c r="L18" s="161"/>
      <c r="M18" s="161"/>
      <c r="N18" s="161"/>
      <c r="O18" s="161"/>
      <c r="P18" s="161"/>
      <c r="Q18" s="161"/>
      <c r="R18" s="161"/>
      <c r="S18" s="161"/>
      <c r="T18" s="161"/>
      <c r="U18" s="161"/>
      <c r="V18" s="161"/>
      <c r="W18" s="161"/>
      <c r="X18" s="161"/>
    </row>
    <row r="19" ht="12.75" customHeight="1">
      <c r="A19" s="165">
        <v>34260.0</v>
      </c>
      <c r="B19" s="165" t="s">
        <v>3878</v>
      </c>
      <c r="C19" s="166">
        <v>44130.0</v>
      </c>
      <c r="D19" s="165" t="s">
        <v>2526</v>
      </c>
      <c r="E19" s="161"/>
      <c r="F19" s="161"/>
      <c r="G19" s="161"/>
      <c r="H19" s="161"/>
      <c r="I19" s="161"/>
      <c r="J19" s="161"/>
      <c r="K19" s="161"/>
      <c r="L19" s="161"/>
      <c r="M19" s="161"/>
      <c r="N19" s="161"/>
      <c r="O19" s="161"/>
      <c r="P19" s="161"/>
      <c r="Q19" s="161"/>
      <c r="R19" s="161"/>
      <c r="S19" s="161"/>
      <c r="T19" s="161"/>
      <c r="U19" s="161"/>
      <c r="V19" s="161"/>
      <c r="W19" s="161"/>
      <c r="X19" s="161"/>
    </row>
    <row r="20" ht="12.75" customHeight="1">
      <c r="A20" s="165">
        <v>34838.0</v>
      </c>
      <c r="B20" s="165" t="s">
        <v>3882</v>
      </c>
      <c r="C20" s="166">
        <v>44126.0</v>
      </c>
      <c r="D20" s="165" t="s">
        <v>2526</v>
      </c>
      <c r="E20" s="161"/>
      <c r="F20" s="161"/>
      <c r="G20" s="161"/>
      <c r="H20" s="161"/>
      <c r="I20" s="161"/>
      <c r="J20" s="161"/>
      <c r="K20" s="161"/>
      <c r="L20" s="161"/>
      <c r="M20" s="161"/>
      <c r="N20" s="161"/>
      <c r="O20" s="161"/>
      <c r="P20" s="161"/>
      <c r="Q20" s="161"/>
      <c r="R20" s="161"/>
      <c r="S20" s="161"/>
      <c r="T20" s="161"/>
      <c r="U20" s="161"/>
      <c r="V20" s="161"/>
      <c r="W20" s="161"/>
      <c r="X20" s="161"/>
    </row>
    <row r="21" ht="12.75" customHeight="1">
      <c r="A21" s="165">
        <v>34772.0</v>
      </c>
      <c r="B21" s="165" t="s">
        <v>3887</v>
      </c>
      <c r="C21" s="166">
        <v>44126.0</v>
      </c>
      <c r="D21" s="165" t="s">
        <v>2526</v>
      </c>
      <c r="E21" s="161"/>
      <c r="F21" s="161"/>
      <c r="G21" s="161"/>
      <c r="H21" s="161"/>
      <c r="I21" s="161"/>
      <c r="J21" s="161"/>
      <c r="K21" s="161"/>
      <c r="L21" s="161"/>
      <c r="M21" s="161"/>
      <c r="N21" s="161"/>
      <c r="O21" s="161"/>
      <c r="P21" s="161"/>
      <c r="Q21" s="161"/>
      <c r="R21" s="161"/>
      <c r="S21" s="161"/>
      <c r="T21" s="161"/>
      <c r="U21" s="161"/>
      <c r="V21" s="161"/>
      <c r="W21" s="161"/>
      <c r="X21" s="161"/>
    </row>
    <row r="22" ht="12.75" customHeight="1">
      <c r="A22" s="165">
        <v>34771.0</v>
      </c>
      <c r="B22" s="165" t="s">
        <v>3885</v>
      </c>
      <c r="C22" s="166">
        <v>44126.0</v>
      </c>
      <c r="D22" s="165" t="s">
        <v>2526</v>
      </c>
      <c r="E22" s="161"/>
      <c r="F22" s="161"/>
      <c r="G22" s="161"/>
      <c r="H22" s="161"/>
      <c r="I22" s="161"/>
      <c r="J22" s="161"/>
      <c r="K22" s="161"/>
      <c r="L22" s="161"/>
      <c r="M22" s="161"/>
      <c r="N22" s="161"/>
      <c r="O22" s="161"/>
      <c r="P22" s="161"/>
      <c r="Q22" s="161"/>
      <c r="R22" s="161"/>
      <c r="S22" s="161"/>
      <c r="T22" s="161"/>
      <c r="U22" s="161"/>
      <c r="V22" s="161"/>
      <c r="W22" s="161"/>
      <c r="X22" s="161"/>
    </row>
    <row r="23" ht="12.75" customHeight="1">
      <c r="A23" s="165">
        <v>34372.0</v>
      </c>
      <c r="B23" s="165" t="s">
        <v>3902</v>
      </c>
      <c r="C23" s="166">
        <v>44119.0</v>
      </c>
      <c r="D23" s="165" t="s">
        <v>2526</v>
      </c>
      <c r="E23" s="161"/>
      <c r="F23" s="161"/>
      <c r="G23" s="161"/>
      <c r="H23" s="161"/>
      <c r="I23" s="161"/>
      <c r="J23" s="161"/>
      <c r="K23" s="161"/>
      <c r="L23" s="161"/>
      <c r="M23" s="161"/>
      <c r="N23" s="161"/>
      <c r="O23" s="161"/>
      <c r="P23" s="161"/>
      <c r="Q23" s="161"/>
      <c r="R23" s="161"/>
      <c r="S23" s="161"/>
      <c r="T23" s="161"/>
      <c r="U23" s="161"/>
      <c r="V23" s="161"/>
      <c r="W23" s="161"/>
      <c r="X23" s="161"/>
    </row>
    <row r="24" ht="12.75" customHeight="1">
      <c r="A24" s="165">
        <v>34486.0</v>
      </c>
      <c r="B24" s="161" t="s">
        <v>3929</v>
      </c>
      <c r="C24" s="166">
        <v>44119.0</v>
      </c>
      <c r="D24" s="165" t="s">
        <v>2526</v>
      </c>
      <c r="E24" s="161"/>
      <c r="F24" s="161"/>
      <c r="G24" s="161"/>
      <c r="H24" s="161"/>
      <c r="I24" s="161"/>
      <c r="J24" s="161"/>
      <c r="K24" s="161"/>
      <c r="L24" s="161"/>
      <c r="M24" s="161"/>
      <c r="N24" s="161"/>
      <c r="O24" s="161"/>
      <c r="P24" s="161"/>
      <c r="Q24" s="161"/>
      <c r="R24" s="161"/>
      <c r="S24" s="161"/>
      <c r="T24" s="161"/>
      <c r="U24" s="161"/>
      <c r="V24" s="161"/>
      <c r="W24" s="161"/>
      <c r="X24" s="161"/>
    </row>
    <row r="25" ht="12.75" customHeight="1">
      <c r="A25" s="165">
        <v>34741.0</v>
      </c>
      <c r="B25" s="165" t="s">
        <v>3449</v>
      </c>
      <c r="C25" s="166">
        <v>44095.0</v>
      </c>
      <c r="D25" s="165" t="s">
        <v>2526</v>
      </c>
      <c r="E25" s="161"/>
      <c r="F25" s="161"/>
      <c r="G25" s="161"/>
      <c r="H25" s="161"/>
      <c r="I25" s="161"/>
      <c r="J25" s="161"/>
      <c r="K25" s="161"/>
      <c r="L25" s="161"/>
      <c r="M25" s="161"/>
      <c r="N25" s="161"/>
      <c r="O25" s="161"/>
      <c r="P25" s="161"/>
      <c r="Q25" s="161"/>
      <c r="R25" s="161"/>
      <c r="S25" s="161"/>
      <c r="T25" s="161"/>
      <c r="U25" s="161"/>
      <c r="V25" s="161"/>
      <c r="W25" s="161"/>
      <c r="X25" s="161"/>
    </row>
    <row r="26" ht="12.75" customHeight="1">
      <c r="A26" s="165">
        <v>34744.0</v>
      </c>
      <c r="B26" s="165" t="s">
        <v>4002</v>
      </c>
      <c r="C26" s="166">
        <v>44095.0</v>
      </c>
      <c r="D26" s="165" t="s">
        <v>2526</v>
      </c>
      <c r="E26" s="161"/>
      <c r="F26" s="161"/>
      <c r="G26" s="161"/>
      <c r="H26" s="161"/>
      <c r="I26" s="161"/>
      <c r="J26" s="161"/>
      <c r="K26" s="161"/>
      <c r="L26" s="161"/>
      <c r="M26" s="161"/>
      <c r="N26" s="161"/>
      <c r="O26" s="161"/>
      <c r="P26" s="161"/>
      <c r="Q26" s="161"/>
      <c r="R26" s="161"/>
      <c r="S26" s="161"/>
      <c r="T26" s="161"/>
      <c r="U26" s="161"/>
      <c r="V26" s="161"/>
      <c r="W26" s="161"/>
      <c r="X26" s="161"/>
    </row>
    <row r="27" ht="12.75" customHeight="1">
      <c r="A27" s="165">
        <v>34380.0</v>
      </c>
      <c r="B27" s="165" t="s">
        <v>3945</v>
      </c>
      <c r="C27" s="166">
        <v>44095.0</v>
      </c>
      <c r="D27" s="165" t="s">
        <v>2526</v>
      </c>
      <c r="E27" s="161"/>
      <c r="F27" s="161"/>
      <c r="G27" s="161"/>
      <c r="H27" s="161"/>
      <c r="I27" s="161"/>
      <c r="J27" s="161"/>
      <c r="K27" s="161"/>
      <c r="L27" s="161"/>
      <c r="M27" s="161"/>
      <c r="N27" s="161"/>
      <c r="O27" s="161"/>
      <c r="P27" s="161"/>
      <c r="Q27" s="161"/>
      <c r="R27" s="161"/>
      <c r="S27" s="161"/>
      <c r="T27" s="161"/>
      <c r="U27" s="161"/>
      <c r="V27" s="161"/>
      <c r="W27" s="161"/>
      <c r="X27" s="161"/>
    </row>
    <row r="28" ht="12.75" customHeight="1">
      <c r="A28" s="165">
        <v>34766.0</v>
      </c>
      <c r="B28" s="161" t="s">
        <v>3942</v>
      </c>
      <c r="C28" s="166">
        <v>44095.0</v>
      </c>
      <c r="D28" s="165" t="s">
        <v>2526</v>
      </c>
      <c r="E28" s="161"/>
      <c r="F28" s="161"/>
      <c r="G28" s="161"/>
      <c r="H28" s="161"/>
      <c r="I28" s="161"/>
      <c r="J28" s="161"/>
      <c r="K28" s="161"/>
      <c r="L28" s="161"/>
      <c r="M28" s="161"/>
      <c r="N28" s="161"/>
      <c r="O28" s="161"/>
      <c r="P28" s="161"/>
      <c r="Q28" s="161"/>
      <c r="R28" s="161"/>
      <c r="S28" s="161"/>
      <c r="T28" s="161"/>
      <c r="U28" s="161"/>
      <c r="V28" s="161"/>
      <c r="W28" s="161"/>
      <c r="X28" s="161"/>
    </row>
    <row r="29" ht="12.75" customHeight="1">
      <c r="A29" s="165">
        <v>34267.0</v>
      </c>
      <c r="B29" s="165" t="s">
        <v>4024</v>
      </c>
      <c r="C29" s="166">
        <v>44090.0</v>
      </c>
      <c r="D29" s="165" t="s">
        <v>2526</v>
      </c>
      <c r="E29" s="161"/>
      <c r="F29" s="161"/>
      <c r="G29" s="161"/>
      <c r="H29" s="161"/>
      <c r="I29" s="161"/>
      <c r="J29" s="161"/>
      <c r="K29" s="161"/>
      <c r="L29" s="161"/>
      <c r="M29" s="161"/>
      <c r="N29" s="161"/>
      <c r="O29" s="161"/>
      <c r="P29" s="161"/>
      <c r="Q29" s="161"/>
      <c r="R29" s="161"/>
      <c r="S29" s="161"/>
      <c r="T29" s="161"/>
      <c r="U29" s="161"/>
      <c r="V29" s="161"/>
      <c r="W29" s="161"/>
      <c r="X29" s="161"/>
    </row>
    <row r="30" ht="12.75" customHeight="1">
      <c r="A30" s="165">
        <v>34700.0</v>
      </c>
      <c r="B30" s="161" t="s">
        <v>4039</v>
      </c>
      <c r="C30" s="166">
        <v>44085.0</v>
      </c>
      <c r="D30" s="165" t="s">
        <v>2526</v>
      </c>
      <c r="E30" s="161"/>
      <c r="F30" s="161"/>
      <c r="G30" s="161"/>
      <c r="H30" s="161"/>
      <c r="I30" s="161"/>
      <c r="J30" s="161"/>
      <c r="K30" s="161"/>
      <c r="L30" s="161"/>
      <c r="M30" s="161"/>
      <c r="N30" s="161"/>
      <c r="O30" s="161"/>
      <c r="P30" s="161"/>
      <c r="Q30" s="161"/>
      <c r="R30" s="161"/>
      <c r="S30" s="161"/>
      <c r="T30" s="161"/>
      <c r="U30" s="161"/>
      <c r="V30" s="161"/>
      <c r="W30" s="161"/>
      <c r="X30" s="161"/>
    </row>
    <row r="31" ht="12.75" customHeight="1">
      <c r="A31" s="165">
        <v>34689.0</v>
      </c>
      <c r="B31" s="165" t="s">
        <v>4044</v>
      </c>
      <c r="C31" s="166">
        <v>44085.0</v>
      </c>
      <c r="D31" s="165" t="s">
        <v>2526</v>
      </c>
      <c r="E31" s="161"/>
      <c r="F31" s="161"/>
      <c r="G31" s="161"/>
      <c r="H31" s="161"/>
      <c r="I31" s="161"/>
      <c r="J31" s="161"/>
      <c r="K31" s="161"/>
      <c r="L31" s="161"/>
      <c r="M31" s="161"/>
      <c r="N31" s="161"/>
      <c r="O31" s="161"/>
      <c r="P31" s="161"/>
      <c r="Q31" s="161"/>
      <c r="R31" s="161"/>
      <c r="S31" s="161"/>
      <c r="T31" s="161"/>
      <c r="U31" s="161"/>
      <c r="V31" s="161"/>
      <c r="W31" s="161"/>
      <c r="X31" s="161"/>
    </row>
    <row r="32" ht="12.75" customHeight="1">
      <c r="A32" s="165">
        <v>34693.0</v>
      </c>
      <c r="B32" s="161" t="s">
        <v>4041</v>
      </c>
      <c r="C32" s="166">
        <v>44085.0</v>
      </c>
      <c r="D32" s="165" t="s">
        <v>2526</v>
      </c>
      <c r="E32" s="161"/>
      <c r="F32" s="161"/>
      <c r="G32" s="161"/>
      <c r="H32" s="161"/>
      <c r="I32" s="161"/>
      <c r="J32" s="161"/>
      <c r="K32" s="161"/>
      <c r="L32" s="161"/>
      <c r="M32" s="161"/>
      <c r="N32" s="161"/>
      <c r="O32" s="161"/>
      <c r="P32" s="161"/>
      <c r="Q32" s="161"/>
      <c r="R32" s="161"/>
      <c r="S32" s="161"/>
      <c r="T32" s="161"/>
      <c r="U32" s="161"/>
      <c r="V32" s="161"/>
      <c r="W32" s="161"/>
      <c r="X32" s="161"/>
    </row>
    <row r="33" ht="12.75" customHeight="1">
      <c r="A33" s="165">
        <v>34610.0</v>
      </c>
      <c r="B33" s="165" t="s">
        <v>5502</v>
      </c>
      <c r="C33" s="166">
        <v>44075.0</v>
      </c>
      <c r="D33" s="165" t="s">
        <v>2526</v>
      </c>
      <c r="E33" s="161"/>
      <c r="F33" s="161"/>
      <c r="G33" s="161"/>
      <c r="H33" s="161"/>
      <c r="I33" s="161"/>
      <c r="J33" s="161"/>
      <c r="K33" s="161"/>
      <c r="L33" s="161"/>
      <c r="M33" s="161"/>
      <c r="N33" s="161"/>
      <c r="O33" s="161"/>
      <c r="P33" s="161"/>
      <c r="Q33" s="161"/>
      <c r="R33" s="161"/>
      <c r="S33" s="161"/>
      <c r="T33" s="161"/>
      <c r="U33" s="161"/>
      <c r="V33" s="161"/>
      <c r="W33" s="161"/>
      <c r="X33" s="161"/>
    </row>
    <row r="34" ht="12.75" customHeight="1">
      <c r="A34" s="165">
        <v>34634.0</v>
      </c>
      <c r="B34" s="165" t="s">
        <v>5503</v>
      </c>
      <c r="C34" s="166">
        <v>44075.0</v>
      </c>
      <c r="D34" s="165" t="s">
        <v>2526</v>
      </c>
      <c r="E34" s="161"/>
      <c r="F34" s="161"/>
      <c r="G34" s="161"/>
      <c r="H34" s="161"/>
      <c r="I34" s="161"/>
      <c r="J34" s="161"/>
      <c r="K34" s="161"/>
      <c r="L34" s="161"/>
      <c r="M34" s="161"/>
      <c r="N34" s="161"/>
      <c r="O34" s="161"/>
      <c r="P34" s="161"/>
      <c r="Q34" s="161"/>
      <c r="R34" s="161"/>
      <c r="S34" s="161"/>
      <c r="T34" s="161"/>
      <c r="U34" s="161"/>
      <c r="V34" s="161"/>
      <c r="W34" s="161"/>
      <c r="X34" s="161"/>
    </row>
    <row r="35" ht="12.75" customHeight="1">
      <c r="A35" s="165">
        <v>34634.0</v>
      </c>
      <c r="B35" s="165" t="s">
        <v>5504</v>
      </c>
      <c r="C35" s="166">
        <v>44074.0</v>
      </c>
      <c r="D35" s="165" t="s">
        <v>2526</v>
      </c>
      <c r="E35" s="161"/>
      <c r="F35" s="161"/>
      <c r="G35" s="161"/>
      <c r="H35" s="161"/>
      <c r="I35" s="161"/>
      <c r="J35" s="161"/>
      <c r="K35" s="161"/>
      <c r="L35" s="161"/>
      <c r="M35" s="161"/>
      <c r="N35" s="161"/>
      <c r="O35" s="161"/>
      <c r="P35" s="161"/>
      <c r="Q35" s="161"/>
      <c r="R35" s="161"/>
      <c r="S35" s="161"/>
      <c r="T35" s="161"/>
      <c r="U35" s="161"/>
      <c r="V35" s="161"/>
      <c r="W35" s="161"/>
      <c r="X35" s="161"/>
    </row>
    <row r="36" ht="12.75" customHeight="1">
      <c r="A36" s="165">
        <v>34614.0</v>
      </c>
      <c r="B36" s="165" t="s">
        <v>4088</v>
      </c>
      <c r="C36" s="166">
        <v>44070.0</v>
      </c>
      <c r="D36" s="165" t="s">
        <v>2526</v>
      </c>
      <c r="E36" s="161"/>
      <c r="F36" s="161"/>
      <c r="G36" s="161"/>
      <c r="H36" s="161"/>
      <c r="I36" s="161"/>
      <c r="J36" s="161"/>
      <c r="K36" s="161"/>
      <c r="L36" s="161"/>
      <c r="M36" s="161"/>
      <c r="N36" s="161"/>
      <c r="O36" s="161"/>
      <c r="P36" s="161"/>
      <c r="Q36" s="161"/>
      <c r="R36" s="161"/>
      <c r="S36" s="161"/>
      <c r="T36" s="161"/>
      <c r="U36" s="161"/>
      <c r="V36" s="161"/>
      <c r="W36" s="161"/>
      <c r="X36" s="161"/>
    </row>
    <row r="37" ht="12.75" customHeight="1">
      <c r="A37" s="165">
        <v>34638.0</v>
      </c>
      <c r="B37" s="165" t="s">
        <v>4101</v>
      </c>
      <c r="C37" s="166">
        <v>44069.0</v>
      </c>
      <c r="D37" s="165" t="s">
        <v>2526</v>
      </c>
      <c r="E37" s="161"/>
      <c r="F37" s="161"/>
      <c r="G37" s="161"/>
      <c r="H37" s="161"/>
      <c r="I37" s="161"/>
      <c r="J37" s="161"/>
      <c r="K37" s="161"/>
      <c r="L37" s="161"/>
      <c r="M37" s="161"/>
      <c r="N37" s="161"/>
      <c r="O37" s="161"/>
      <c r="P37" s="161"/>
      <c r="Q37" s="161"/>
      <c r="R37" s="161"/>
      <c r="S37" s="161"/>
      <c r="T37" s="161"/>
      <c r="U37" s="161"/>
      <c r="V37" s="161"/>
      <c r="W37" s="161"/>
      <c r="X37" s="161"/>
    </row>
    <row r="38" ht="12.75" customHeight="1">
      <c r="A38" s="165">
        <v>34695.0</v>
      </c>
      <c r="B38" s="165" t="s">
        <v>4080</v>
      </c>
      <c r="C38" s="166">
        <v>44069.0</v>
      </c>
      <c r="D38" s="165" t="s">
        <v>2526</v>
      </c>
      <c r="E38" s="161"/>
      <c r="F38" s="161"/>
      <c r="G38" s="161"/>
      <c r="H38" s="161"/>
      <c r="I38" s="161"/>
      <c r="J38" s="161"/>
      <c r="K38" s="161"/>
      <c r="L38" s="161"/>
      <c r="M38" s="161"/>
      <c r="N38" s="161"/>
      <c r="O38" s="161"/>
      <c r="P38" s="161"/>
      <c r="Q38" s="161"/>
      <c r="R38" s="161"/>
      <c r="S38" s="161"/>
      <c r="T38" s="161"/>
      <c r="U38" s="161"/>
      <c r="V38" s="161"/>
      <c r="W38" s="161"/>
      <c r="X38" s="161"/>
    </row>
    <row r="39" ht="12.75" customHeight="1">
      <c r="A39" s="165">
        <v>34552.0</v>
      </c>
      <c r="B39" s="165" t="s">
        <v>4124</v>
      </c>
      <c r="C39" s="166">
        <v>44060.0</v>
      </c>
      <c r="D39" s="165" t="s">
        <v>2526</v>
      </c>
      <c r="E39" s="161"/>
      <c r="F39" s="161"/>
      <c r="G39" s="161"/>
      <c r="H39" s="161"/>
      <c r="I39" s="161"/>
      <c r="J39" s="161"/>
      <c r="K39" s="161"/>
      <c r="L39" s="161"/>
      <c r="M39" s="161"/>
      <c r="N39" s="161"/>
      <c r="O39" s="161"/>
      <c r="P39" s="161"/>
      <c r="Q39" s="161"/>
      <c r="R39" s="161"/>
      <c r="S39" s="161"/>
      <c r="T39" s="161"/>
      <c r="U39" s="161"/>
      <c r="V39" s="161"/>
      <c r="W39" s="161"/>
      <c r="X39" s="161"/>
    </row>
    <row r="40" ht="12.75" customHeight="1">
      <c r="A40" s="165">
        <v>34171.0</v>
      </c>
      <c r="B40" s="165" t="s">
        <v>4133</v>
      </c>
      <c r="C40" s="166">
        <v>44054.0</v>
      </c>
      <c r="D40" s="165" t="s">
        <v>2526</v>
      </c>
      <c r="E40" s="161"/>
      <c r="F40" s="161"/>
      <c r="G40" s="161"/>
      <c r="H40" s="161"/>
      <c r="I40" s="161"/>
      <c r="J40" s="161"/>
      <c r="K40" s="161"/>
      <c r="L40" s="161"/>
      <c r="M40" s="161"/>
      <c r="N40" s="161"/>
      <c r="O40" s="161"/>
      <c r="P40" s="161"/>
      <c r="Q40" s="161"/>
      <c r="R40" s="161"/>
      <c r="S40" s="161"/>
      <c r="T40" s="161"/>
      <c r="U40" s="161"/>
      <c r="V40" s="161"/>
      <c r="W40" s="161"/>
      <c r="X40" s="161"/>
    </row>
    <row r="41" ht="12.75" customHeight="1">
      <c r="A41" s="165">
        <v>34475.0</v>
      </c>
      <c r="B41" s="165" t="s">
        <v>4136</v>
      </c>
      <c r="C41" s="166">
        <v>44054.0</v>
      </c>
      <c r="D41" s="165" t="s">
        <v>2526</v>
      </c>
      <c r="E41" s="161"/>
      <c r="F41" s="161"/>
      <c r="G41" s="161"/>
      <c r="H41" s="161"/>
      <c r="I41" s="161"/>
      <c r="J41" s="161"/>
      <c r="K41" s="161"/>
      <c r="L41" s="161"/>
      <c r="M41" s="161"/>
      <c r="N41" s="161"/>
      <c r="O41" s="161"/>
      <c r="P41" s="161"/>
      <c r="Q41" s="161"/>
      <c r="R41" s="161"/>
      <c r="S41" s="161"/>
      <c r="T41" s="161"/>
      <c r="U41" s="161"/>
      <c r="V41" s="161"/>
      <c r="W41" s="161"/>
      <c r="X41" s="161"/>
    </row>
    <row r="42" ht="12.75" customHeight="1">
      <c r="A42" s="165">
        <v>34656.0</v>
      </c>
      <c r="B42" s="165" t="s">
        <v>3491</v>
      </c>
      <c r="C42" s="166">
        <v>44054.0</v>
      </c>
      <c r="D42" s="165" t="s">
        <v>2526</v>
      </c>
      <c r="E42" s="161"/>
      <c r="F42" s="161"/>
      <c r="G42" s="161"/>
      <c r="H42" s="161"/>
      <c r="I42" s="161"/>
      <c r="J42" s="161"/>
      <c r="K42" s="161"/>
      <c r="L42" s="161"/>
      <c r="M42" s="161"/>
      <c r="N42" s="161"/>
      <c r="O42" s="161"/>
      <c r="P42" s="161"/>
      <c r="Q42" s="161"/>
      <c r="R42" s="161"/>
      <c r="S42" s="161"/>
      <c r="T42" s="161"/>
      <c r="U42" s="161"/>
      <c r="V42" s="161"/>
      <c r="W42" s="161"/>
      <c r="X42" s="161"/>
    </row>
    <row r="43" ht="12.75" customHeight="1">
      <c r="A43" s="165">
        <v>34107.0</v>
      </c>
      <c r="B43" s="165" t="s">
        <v>4151</v>
      </c>
      <c r="C43" s="166">
        <v>44050.0</v>
      </c>
      <c r="D43" s="165" t="s">
        <v>2526</v>
      </c>
      <c r="E43" s="161"/>
      <c r="F43" s="161"/>
      <c r="G43" s="161"/>
      <c r="H43" s="161"/>
      <c r="I43" s="161"/>
      <c r="J43" s="161"/>
      <c r="K43" s="161"/>
      <c r="L43" s="161"/>
      <c r="M43" s="161"/>
      <c r="N43" s="161"/>
      <c r="O43" s="161"/>
      <c r="P43" s="161"/>
      <c r="Q43" s="161"/>
      <c r="R43" s="161"/>
      <c r="S43" s="161"/>
      <c r="T43" s="161"/>
      <c r="U43" s="161"/>
      <c r="V43" s="161"/>
      <c r="W43" s="161"/>
      <c r="X43" s="161"/>
    </row>
    <row r="44" ht="12.75" customHeight="1">
      <c r="A44" s="165">
        <v>34274.0</v>
      </c>
      <c r="B44" s="165" t="s">
        <v>4166</v>
      </c>
      <c r="C44" s="166">
        <v>44050.0</v>
      </c>
      <c r="D44" s="165" t="s">
        <v>2526</v>
      </c>
      <c r="E44" s="161"/>
      <c r="F44" s="161"/>
      <c r="G44" s="161"/>
      <c r="H44" s="161"/>
      <c r="I44" s="161"/>
      <c r="J44" s="161"/>
      <c r="K44" s="161"/>
      <c r="L44" s="161"/>
      <c r="M44" s="161"/>
      <c r="N44" s="161"/>
      <c r="O44" s="161"/>
      <c r="P44" s="161"/>
      <c r="Q44" s="161"/>
      <c r="R44" s="161"/>
      <c r="S44" s="161"/>
      <c r="T44" s="161"/>
      <c r="U44" s="161"/>
      <c r="V44" s="161"/>
      <c r="W44" s="161"/>
      <c r="X44" s="161"/>
    </row>
    <row r="45" ht="12.75" customHeight="1">
      <c r="A45" s="165">
        <v>34581.0</v>
      </c>
      <c r="B45" s="165" t="s">
        <v>4171</v>
      </c>
      <c r="C45" s="166">
        <v>44050.0</v>
      </c>
      <c r="D45" s="165" t="s">
        <v>2526</v>
      </c>
      <c r="E45" s="161"/>
      <c r="F45" s="161"/>
      <c r="G45" s="161"/>
      <c r="H45" s="161"/>
      <c r="I45" s="161"/>
      <c r="J45" s="161"/>
      <c r="K45" s="161"/>
      <c r="L45" s="161"/>
      <c r="M45" s="161"/>
      <c r="N45" s="161"/>
      <c r="O45" s="161"/>
      <c r="P45" s="161"/>
      <c r="Q45" s="161"/>
      <c r="R45" s="161"/>
      <c r="S45" s="161"/>
      <c r="T45" s="161"/>
      <c r="U45" s="161"/>
      <c r="V45" s="161"/>
      <c r="W45" s="161"/>
      <c r="X45" s="161"/>
    </row>
    <row r="46" ht="12.75" customHeight="1">
      <c r="A46" s="165">
        <v>34558.0</v>
      </c>
      <c r="B46" s="215" t="s">
        <v>3495</v>
      </c>
      <c r="C46" s="166">
        <v>44050.0</v>
      </c>
      <c r="D46" s="165" t="s">
        <v>2526</v>
      </c>
      <c r="E46" s="161"/>
      <c r="F46" s="161"/>
      <c r="G46" s="161"/>
      <c r="H46" s="161"/>
      <c r="I46" s="161"/>
      <c r="J46" s="161"/>
      <c r="K46" s="161"/>
      <c r="L46" s="161"/>
      <c r="M46" s="161"/>
      <c r="N46" s="161"/>
      <c r="O46" s="161"/>
      <c r="P46" s="161"/>
      <c r="Q46" s="161"/>
      <c r="R46" s="161"/>
      <c r="S46" s="161"/>
      <c r="T46" s="161"/>
      <c r="U46" s="161"/>
      <c r="V46" s="161"/>
      <c r="W46" s="161"/>
      <c r="X46" s="161"/>
    </row>
    <row r="47" ht="12.75" customHeight="1">
      <c r="A47" s="165">
        <v>34424.0</v>
      </c>
      <c r="B47" s="165" t="s">
        <v>4174</v>
      </c>
      <c r="C47" s="166">
        <v>44050.0</v>
      </c>
      <c r="D47" s="165" t="s">
        <v>2526</v>
      </c>
      <c r="E47" s="161"/>
      <c r="F47" s="161"/>
      <c r="G47" s="161"/>
      <c r="H47" s="161"/>
      <c r="I47" s="161"/>
      <c r="J47" s="161"/>
      <c r="K47" s="161"/>
      <c r="L47" s="161"/>
      <c r="M47" s="161"/>
      <c r="N47" s="161"/>
      <c r="O47" s="161"/>
      <c r="P47" s="161"/>
      <c r="Q47" s="161"/>
      <c r="R47" s="161"/>
      <c r="S47" s="161"/>
      <c r="T47" s="161"/>
      <c r="U47" s="161"/>
      <c r="V47" s="161"/>
      <c r="W47" s="161"/>
      <c r="X47" s="161"/>
    </row>
    <row r="48" ht="12.75" customHeight="1">
      <c r="A48" s="165">
        <v>34526.0</v>
      </c>
      <c r="B48" s="165" t="s">
        <v>5505</v>
      </c>
      <c r="C48" s="166">
        <v>44043.0</v>
      </c>
      <c r="D48" s="165" t="s">
        <v>2526</v>
      </c>
      <c r="E48" s="161"/>
      <c r="F48" s="161"/>
      <c r="G48" s="161"/>
      <c r="H48" s="161"/>
      <c r="I48" s="161"/>
      <c r="J48" s="161"/>
      <c r="K48" s="161"/>
      <c r="L48" s="161"/>
      <c r="M48" s="161"/>
      <c r="N48" s="161"/>
      <c r="O48" s="161"/>
      <c r="P48" s="161"/>
      <c r="Q48" s="161"/>
      <c r="R48" s="161"/>
      <c r="S48" s="161"/>
      <c r="T48" s="161"/>
      <c r="U48" s="161"/>
      <c r="V48" s="161"/>
      <c r="W48" s="161"/>
      <c r="X48" s="161"/>
    </row>
    <row r="49" ht="12.75" customHeight="1">
      <c r="A49" s="165">
        <v>34526.0</v>
      </c>
      <c r="B49" s="165" t="s">
        <v>5506</v>
      </c>
      <c r="C49" s="166">
        <v>44043.0</v>
      </c>
      <c r="D49" s="165" t="s">
        <v>2526</v>
      </c>
      <c r="E49" s="161"/>
      <c r="F49" s="161"/>
      <c r="G49" s="161"/>
      <c r="H49" s="161"/>
      <c r="I49" s="161"/>
      <c r="J49" s="161"/>
      <c r="K49" s="161"/>
      <c r="L49" s="161"/>
      <c r="M49" s="161"/>
      <c r="N49" s="161"/>
      <c r="O49" s="161"/>
      <c r="P49" s="161"/>
      <c r="Q49" s="161"/>
      <c r="R49" s="161"/>
      <c r="S49" s="161"/>
      <c r="T49" s="161"/>
      <c r="U49" s="161"/>
      <c r="V49" s="161"/>
      <c r="W49" s="161"/>
      <c r="X49" s="161"/>
    </row>
    <row r="50" ht="12.75" customHeight="1">
      <c r="A50" s="165">
        <v>34536.0</v>
      </c>
      <c r="B50" s="215" t="s">
        <v>4192</v>
      </c>
      <c r="C50" s="166">
        <v>44041.0</v>
      </c>
      <c r="D50" s="165" t="s">
        <v>2526</v>
      </c>
      <c r="E50" s="161"/>
      <c r="F50" s="161"/>
      <c r="G50" s="161"/>
      <c r="H50" s="161"/>
      <c r="I50" s="161"/>
      <c r="J50" s="161"/>
      <c r="K50" s="161"/>
      <c r="L50" s="161"/>
      <c r="M50" s="161"/>
      <c r="N50" s="161"/>
      <c r="O50" s="161"/>
      <c r="P50" s="161"/>
      <c r="Q50" s="161"/>
      <c r="R50" s="161"/>
      <c r="S50" s="161"/>
      <c r="T50" s="161"/>
      <c r="U50" s="161"/>
      <c r="V50" s="161"/>
      <c r="W50" s="161"/>
      <c r="X50" s="161"/>
    </row>
    <row r="51" ht="12.75" customHeight="1">
      <c r="A51" s="165">
        <v>34516.0</v>
      </c>
      <c r="B51" s="165" t="s">
        <v>4203</v>
      </c>
      <c r="C51" s="166">
        <v>44039.0</v>
      </c>
      <c r="D51" s="165" t="s">
        <v>2526</v>
      </c>
      <c r="E51" s="161"/>
      <c r="F51" s="161"/>
      <c r="G51" s="161"/>
      <c r="H51" s="161"/>
      <c r="I51" s="161"/>
      <c r="J51" s="161"/>
      <c r="K51" s="161"/>
      <c r="L51" s="161"/>
      <c r="M51" s="161"/>
      <c r="N51" s="161"/>
      <c r="O51" s="161"/>
      <c r="P51" s="161"/>
      <c r="Q51" s="161"/>
      <c r="R51" s="161"/>
      <c r="S51" s="161"/>
      <c r="T51" s="161"/>
      <c r="U51" s="161"/>
      <c r="V51" s="161"/>
      <c r="W51" s="161"/>
      <c r="X51" s="161"/>
    </row>
    <row r="52" ht="12.75" customHeight="1">
      <c r="A52" s="165">
        <v>34510.0</v>
      </c>
      <c r="B52" s="165" t="s">
        <v>3531</v>
      </c>
      <c r="C52" s="166">
        <v>44022.0</v>
      </c>
      <c r="D52" s="165" t="s">
        <v>2526</v>
      </c>
      <c r="E52" s="161"/>
      <c r="F52" s="161"/>
      <c r="G52" s="161"/>
      <c r="H52" s="161"/>
      <c r="I52" s="161"/>
      <c r="J52" s="161"/>
      <c r="K52" s="161"/>
      <c r="L52" s="161"/>
      <c r="M52" s="161"/>
      <c r="N52" s="161"/>
      <c r="O52" s="161"/>
      <c r="P52" s="161"/>
      <c r="Q52" s="161"/>
      <c r="R52" s="161"/>
      <c r="S52" s="161"/>
      <c r="T52" s="161"/>
      <c r="U52" s="161"/>
      <c r="V52" s="161"/>
      <c r="W52" s="161"/>
      <c r="X52" s="161"/>
    </row>
    <row r="53" ht="12.75" customHeight="1">
      <c r="A53" s="165">
        <v>34342.0</v>
      </c>
      <c r="B53" s="165" t="s">
        <v>4273</v>
      </c>
      <c r="C53" s="166">
        <v>44021.0</v>
      </c>
      <c r="D53" s="165" t="s">
        <v>2526</v>
      </c>
      <c r="E53" s="161"/>
      <c r="F53" s="161"/>
      <c r="G53" s="161"/>
      <c r="H53" s="161"/>
      <c r="I53" s="161"/>
      <c r="J53" s="161"/>
      <c r="K53" s="161"/>
      <c r="L53" s="161"/>
      <c r="M53" s="161"/>
      <c r="N53" s="161"/>
      <c r="O53" s="161"/>
      <c r="P53" s="161"/>
      <c r="Q53" s="161"/>
      <c r="R53" s="161"/>
      <c r="S53" s="161"/>
      <c r="T53" s="161"/>
      <c r="U53" s="161"/>
      <c r="V53" s="161"/>
      <c r="W53" s="161"/>
      <c r="X53" s="161"/>
    </row>
    <row r="54" ht="12.75" customHeight="1">
      <c r="A54" s="165">
        <v>34340.0</v>
      </c>
      <c r="B54" s="165" t="s">
        <v>5507</v>
      </c>
      <c r="C54" s="166">
        <v>44021.0</v>
      </c>
      <c r="D54" s="165" t="s">
        <v>2526</v>
      </c>
      <c r="E54" s="161"/>
      <c r="F54" s="161"/>
      <c r="G54" s="161"/>
      <c r="H54" s="161"/>
      <c r="I54" s="161"/>
      <c r="J54" s="161"/>
      <c r="K54" s="161"/>
      <c r="L54" s="161"/>
      <c r="M54" s="161"/>
      <c r="N54" s="161"/>
      <c r="O54" s="161"/>
      <c r="P54" s="161"/>
      <c r="Q54" s="161"/>
      <c r="R54" s="161"/>
      <c r="S54" s="161"/>
      <c r="T54" s="161"/>
      <c r="U54" s="161"/>
      <c r="V54" s="161"/>
      <c r="W54" s="161"/>
      <c r="X54" s="161"/>
    </row>
    <row r="55" ht="12.75" customHeight="1">
      <c r="A55" s="165">
        <v>34422.0</v>
      </c>
      <c r="B55" s="165" t="s">
        <v>4264</v>
      </c>
      <c r="C55" s="166">
        <v>44019.0</v>
      </c>
      <c r="D55" s="165" t="s">
        <v>2526</v>
      </c>
      <c r="E55" s="161"/>
      <c r="F55" s="161"/>
      <c r="G55" s="161"/>
      <c r="H55" s="161"/>
      <c r="I55" s="161"/>
      <c r="J55" s="161"/>
      <c r="K55" s="161"/>
      <c r="L55" s="161"/>
      <c r="M55" s="161"/>
      <c r="N55" s="161"/>
      <c r="O55" s="161"/>
      <c r="P55" s="161"/>
      <c r="Q55" s="161"/>
      <c r="R55" s="161"/>
      <c r="S55" s="161"/>
      <c r="T55" s="161"/>
      <c r="U55" s="161"/>
      <c r="V55" s="161"/>
      <c r="W55" s="161"/>
      <c r="X55" s="161"/>
    </row>
    <row r="56" ht="12.75" customHeight="1">
      <c r="A56" s="165">
        <v>34435.0</v>
      </c>
      <c r="B56" s="165" t="s">
        <v>4267</v>
      </c>
      <c r="C56" s="166">
        <v>44019.0</v>
      </c>
      <c r="D56" s="165" t="s">
        <v>2526</v>
      </c>
      <c r="E56" s="161"/>
      <c r="F56" s="161"/>
      <c r="G56" s="161"/>
      <c r="H56" s="161"/>
      <c r="I56" s="161"/>
      <c r="J56" s="161"/>
      <c r="K56" s="161"/>
      <c r="L56" s="161"/>
      <c r="M56" s="161"/>
      <c r="N56" s="161"/>
      <c r="O56" s="161"/>
      <c r="P56" s="161"/>
      <c r="Q56" s="161"/>
      <c r="R56" s="161"/>
      <c r="S56" s="161"/>
      <c r="T56" s="161"/>
      <c r="U56" s="161"/>
      <c r="V56" s="161"/>
      <c r="W56" s="161"/>
      <c r="X56" s="161"/>
    </row>
    <row r="57" ht="12.75" customHeight="1">
      <c r="A57" s="165">
        <v>34428.0</v>
      </c>
      <c r="B57" s="165" t="s">
        <v>5508</v>
      </c>
      <c r="C57" s="166">
        <v>44015.0</v>
      </c>
      <c r="D57" s="165" t="s">
        <v>2526</v>
      </c>
      <c r="E57" s="161"/>
      <c r="F57" s="161"/>
      <c r="G57" s="161"/>
      <c r="H57" s="161"/>
      <c r="I57" s="161"/>
      <c r="J57" s="161"/>
      <c r="K57" s="161"/>
      <c r="L57" s="161"/>
      <c r="M57" s="161"/>
      <c r="N57" s="161"/>
      <c r="O57" s="161"/>
      <c r="P57" s="161"/>
      <c r="Q57" s="161"/>
      <c r="R57" s="161"/>
      <c r="S57" s="161"/>
      <c r="T57" s="161"/>
      <c r="U57" s="161"/>
      <c r="V57" s="161"/>
      <c r="W57" s="161"/>
      <c r="X57" s="161"/>
    </row>
    <row r="58" ht="12.75" customHeight="1">
      <c r="A58" s="165">
        <v>34420.0</v>
      </c>
      <c r="B58" s="165" t="s">
        <v>4306</v>
      </c>
      <c r="C58" s="166">
        <v>44008.0</v>
      </c>
      <c r="D58" s="165" t="s">
        <v>2526</v>
      </c>
      <c r="E58" s="161"/>
      <c r="F58" s="161"/>
      <c r="G58" s="161"/>
      <c r="H58" s="161"/>
      <c r="I58" s="161"/>
      <c r="J58" s="161"/>
      <c r="K58" s="161"/>
      <c r="L58" s="161"/>
      <c r="M58" s="161"/>
      <c r="N58" s="161"/>
      <c r="O58" s="161"/>
      <c r="P58" s="161"/>
      <c r="Q58" s="161"/>
      <c r="R58" s="161"/>
      <c r="S58" s="161"/>
      <c r="T58" s="161"/>
      <c r="U58" s="161"/>
      <c r="V58" s="161"/>
      <c r="W58" s="161"/>
      <c r="X58" s="161"/>
    </row>
    <row r="59" ht="12.75" customHeight="1">
      <c r="A59" s="165">
        <v>34275.0</v>
      </c>
      <c r="B59" s="165" t="s">
        <v>4338</v>
      </c>
      <c r="C59" s="166">
        <v>43991.0</v>
      </c>
      <c r="D59" s="165" t="s">
        <v>2526</v>
      </c>
      <c r="E59" s="161"/>
      <c r="F59" s="161"/>
      <c r="G59" s="161"/>
      <c r="H59" s="161"/>
      <c r="I59" s="161"/>
      <c r="J59" s="161"/>
      <c r="K59" s="161"/>
      <c r="L59" s="161"/>
      <c r="M59" s="161"/>
      <c r="N59" s="161"/>
      <c r="O59" s="161"/>
      <c r="P59" s="161"/>
      <c r="Q59" s="161"/>
      <c r="R59" s="161"/>
      <c r="S59" s="161"/>
      <c r="T59" s="161"/>
      <c r="U59" s="161"/>
      <c r="V59" s="161"/>
      <c r="W59" s="161"/>
      <c r="X59" s="161"/>
    </row>
    <row r="60" ht="12.75" customHeight="1">
      <c r="A60" s="165">
        <v>34405.0</v>
      </c>
      <c r="B60" s="165" t="s">
        <v>3557</v>
      </c>
      <c r="C60" s="166">
        <v>43991.0</v>
      </c>
      <c r="D60" s="165" t="s">
        <v>2526</v>
      </c>
      <c r="E60" s="161"/>
      <c r="F60" s="161"/>
      <c r="G60" s="161"/>
      <c r="H60" s="161"/>
      <c r="I60" s="161"/>
      <c r="J60" s="161"/>
      <c r="K60" s="161"/>
      <c r="L60" s="161"/>
      <c r="M60" s="161"/>
      <c r="N60" s="161"/>
      <c r="O60" s="161"/>
      <c r="P60" s="161"/>
      <c r="Q60" s="161"/>
      <c r="R60" s="161"/>
      <c r="S60" s="161"/>
      <c r="T60" s="161"/>
      <c r="U60" s="161"/>
      <c r="V60" s="161"/>
      <c r="W60" s="161"/>
      <c r="X60" s="161"/>
    </row>
    <row r="61" ht="12.75" customHeight="1">
      <c r="A61" s="165">
        <v>34362.0</v>
      </c>
      <c r="B61" s="165" t="s">
        <v>4349</v>
      </c>
      <c r="C61" s="166">
        <v>43991.0</v>
      </c>
      <c r="D61" s="165" t="s">
        <v>2526</v>
      </c>
      <c r="E61" s="161"/>
      <c r="F61" s="161"/>
      <c r="G61" s="161"/>
      <c r="H61" s="161"/>
      <c r="I61" s="161"/>
      <c r="J61" s="161"/>
      <c r="K61" s="161"/>
      <c r="L61" s="161"/>
      <c r="M61" s="161"/>
      <c r="N61" s="161"/>
      <c r="O61" s="161"/>
      <c r="P61" s="161"/>
      <c r="Q61" s="161"/>
      <c r="R61" s="161"/>
      <c r="S61" s="161"/>
      <c r="T61" s="161"/>
      <c r="U61" s="161"/>
      <c r="V61" s="161"/>
      <c r="W61" s="161"/>
      <c r="X61" s="161"/>
    </row>
    <row r="62" ht="12.75" customHeight="1">
      <c r="A62" s="165">
        <v>34410.0</v>
      </c>
      <c r="B62" s="388" t="s">
        <v>4406</v>
      </c>
      <c r="C62" s="170">
        <v>43970.0</v>
      </c>
      <c r="D62" s="165" t="s">
        <v>2755</v>
      </c>
      <c r="E62" s="161"/>
      <c r="F62" s="161"/>
      <c r="G62" s="161"/>
      <c r="H62" s="161"/>
      <c r="I62" s="161"/>
      <c r="J62" s="161"/>
      <c r="K62" s="161"/>
      <c r="L62" s="161"/>
      <c r="M62" s="161"/>
      <c r="N62" s="161"/>
      <c r="O62" s="161"/>
      <c r="P62" s="161"/>
      <c r="Q62" s="161"/>
      <c r="R62" s="161"/>
      <c r="S62" s="161"/>
      <c r="T62" s="161"/>
      <c r="U62" s="161"/>
      <c r="V62" s="161"/>
      <c r="W62" s="161"/>
      <c r="X62" s="161"/>
    </row>
    <row r="63" ht="12.75" customHeight="1">
      <c r="A63" s="165">
        <v>34290.0</v>
      </c>
      <c r="B63" s="388" t="s">
        <v>4399</v>
      </c>
      <c r="C63" s="170">
        <v>43970.0</v>
      </c>
      <c r="D63" s="165" t="s">
        <v>2755</v>
      </c>
      <c r="E63" s="161"/>
      <c r="F63" s="161"/>
      <c r="G63" s="161"/>
      <c r="H63" s="161"/>
      <c r="I63" s="161"/>
      <c r="J63" s="161"/>
      <c r="K63" s="161"/>
      <c r="L63" s="161"/>
      <c r="M63" s="161"/>
      <c r="N63" s="161"/>
      <c r="O63" s="161"/>
      <c r="P63" s="161"/>
      <c r="Q63" s="161"/>
      <c r="R63" s="161"/>
      <c r="S63" s="161"/>
      <c r="T63" s="161"/>
      <c r="U63" s="161"/>
      <c r="V63" s="161"/>
      <c r="W63" s="161"/>
      <c r="X63" s="161"/>
    </row>
    <row r="64" ht="12.75" customHeight="1">
      <c r="A64" s="165">
        <v>34302.0</v>
      </c>
      <c r="B64" s="388" t="s">
        <v>4417</v>
      </c>
      <c r="C64" s="170">
        <v>43962.0</v>
      </c>
      <c r="D64" s="165" t="s">
        <v>2755</v>
      </c>
      <c r="E64" s="161"/>
      <c r="F64" s="161"/>
      <c r="G64" s="161"/>
      <c r="H64" s="161"/>
      <c r="I64" s="161"/>
      <c r="J64" s="161"/>
      <c r="K64" s="161"/>
      <c r="L64" s="161"/>
      <c r="M64" s="161"/>
      <c r="N64" s="161"/>
      <c r="O64" s="161"/>
      <c r="P64" s="161"/>
      <c r="Q64" s="161"/>
      <c r="R64" s="161"/>
      <c r="S64" s="161"/>
      <c r="T64" s="161"/>
      <c r="U64" s="161"/>
      <c r="V64" s="161"/>
      <c r="W64" s="161"/>
      <c r="X64" s="161"/>
    </row>
    <row r="65" ht="12.75" customHeight="1">
      <c r="A65" s="165">
        <v>34271.0</v>
      </c>
      <c r="B65" s="388" t="s">
        <v>4423</v>
      </c>
      <c r="C65" s="170">
        <v>43958.0</v>
      </c>
      <c r="D65" s="165" t="s">
        <v>2755</v>
      </c>
      <c r="E65" s="161"/>
      <c r="F65" s="161"/>
      <c r="G65" s="161"/>
      <c r="H65" s="161"/>
      <c r="I65" s="161"/>
      <c r="J65" s="161"/>
      <c r="K65" s="161"/>
      <c r="L65" s="161"/>
      <c r="M65" s="161"/>
      <c r="N65" s="161"/>
      <c r="O65" s="161"/>
      <c r="P65" s="161"/>
      <c r="Q65" s="161"/>
      <c r="R65" s="161"/>
      <c r="S65" s="161"/>
      <c r="T65" s="161"/>
      <c r="U65" s="161"/>
      <c r="V65" s="161"/>
      <c r="W65" s="161"/>
      <c r="X65" s="161"/>
    </row>
    <row r="66" ht="12.75" customHeight="1">
      <c r="A66" s="165">
        <v>34255.0</v>
      </c>
      <c r="B66" s="388" t="s">
        <v>3588</v>
      </c>
      <c r="C66" s="170">
        <v>43949.0</v>
      </c>
      <c r="D66" s="165" t="s">
        <v>2755</v>
      </c>
      <c r="E66" s="161"/>
      <c r="F66" s="161"/>
      <c r="G66" s="161"/>
      <c r="H66" s="161"/>
      <c r="I66" s="161"/>
      <c r="J66" s="161"/>
      <c r="K66" s="161"/>
      <c r="L66" s="161"/>
      <c r="M66" s="161"/>
      <c r="N66" s="161"/>
      <c r="O66" s="161"/>
      <c r="P66" s="161"/>
      <c r="Q66" s="161"/>
      <c r="R66" s="161"/>
      <c r="S66" s="161"/>
      <c r="T66" s="161"/>
      <c r="U66" s="161"/>
      <c r="V66" s="161"/>
      <c r="W66" s="161"/>
      <c r="X66" s="161"/>
    </row>
    <row r="67" ht="12.75" customHeight="1">
      <c r="A67" s="165">
        <v>34229.0</v>
      </c>
      <c r="B67" s="165" t="s">
        <v>5509</v>
      </c>
      <c r="C67" s="170">
        <v>43944.0</v>
      </c>
      <c r="D67" s="165" t="s">
        <v>2755</v>
      </c>
      <c r="E67" s="161"/>
      <c r="F67" s="161"/>
      <c r="G67" s="161"/>
      <c r="H67" s="161"/>
      <c r="I67" s="161"/>
      <c r="J67" s="161"/>
      <c r="K67" s="161"/>
      <c r="L67" s="161"/>
      <c r="M67" s="161"/>
      <c r="N67" s="161"/>
      <c r="O67" s="161"/>
      <c r="P67" s="161"/>
      <c r="Q67" s="161"/>
      <c r="R67" s="161"/>
      <c r="S67" s="161"/>
      <c r="T67" s="161"/>
      <c r="U67" s="161"/>
      <c r="V67" s="161"/>
      <c r="W67" s="161"/>
      <c r="X67" s="161"/>
    </row>
    <row r="68" ht="12.75" customHeight="1">
      <c r="A68" s="165">
        <v>33998.0</v>
      </c>
      <c r="B68" s="165" t="s">
        <v>4431</v>
      </c>
      <c r="C68" s="171">
        <v>43944.0</v>
      </c>
      <c r="D68" s="165" t="s">
        <v>2755</v>
      </c>
      <c r="E68" s="161"/>
      <c r="F68" s="161"/>
      <c r="G68" s="161"/>
      <c r="H68" s="161"/>
      <c r="I68" s="161"/>
      <c r="J68" s="161"/>
      <c r="K68" s="161"/>
      <c r="L68" s="161"/>
      <c r="M68" s="161"/>
      <c r="N68" s="161"/>
      <c r="O68" s="161"/>
      <c r="P68" s="161"/>
      <c r="Q68" s="161"/>
      <c r="R68" s="161"/>
      <c r="S68" s="161"/>
      <c r="T68" s="161"/>
      <c r="U68" s="161"/>
      <c r="V68" s="161"/>
      <c r="W68" s="161"/>
      <c r="X68" s="161"/>
    </row>
    <row r="69" ht="12.75" customHeight="1">
      <c r="A69" s="165">
        <v>34149.0</v>
      </c>
      <c r="B69" s="165" t="s">
        <v>5510</v>
      </c>
      <c r="C69" s="170">
        <v>43941.0</v>
      </c>
      <c r="D69" s="165" t="s">
        <v>2755</v>
      </c>
      <c r="E69" s="161"/>
      <c r="F69" s="161"/>
      <c r="G69" s="161"/>
      <c r="H69" s="161"/>
      <c r="I69" s="161"/>
      <c r="J69" s="161"/>
      <c r="K69" s="161"/>
      <c r="L69" s="161"/>
      <c r="M69" s="161"/>
      <c r="N69" s="161"/>
      <c r="O69" s="161"/>
      <c r="P69" s="161"/>
      <c r="Q69" s="161"/>
      <c r="R69" s="161"/>
      <c r="S69" s="161"/>
      <c r="T69" s="161"/>
      <c r="U69" s="161"/>
      <c r="V69" s="161"/>
      <c r="W69" s="161"/>
      <c r="X69" s="161"/>
    </row>
    <row r="70" ht="12.75" customHeight="1">
      <c r="A70" s="165">
        <v>34228.0</v>
      </c>
      <c r="B70" s="388" t="s">
        <v>4474</v>
      </c>
      <c r="C70" s="170">
        <v>43930.0</v>
      </c>
      <c r="D70" s="165" t="s">
        <v>2755</v>
      </c>
      <c r="E70" s="161"/>
      <c r="F70" s="161"/>
      <c r="G70" s="161"/>
      <c r="H70" s="161"/>
      <c r="I70" s="161"/>
      <c r="J70" s="161"/>
      <c r="K70" s="161"/>
      <c r="L70" s="161"/>
      <c r="M70" s="161"/>
      <c r="N70" s="161"/>
      <c r="O70" s="161"/>
      <c r="P70" s="161"/>
      <c r="Q70" s="161"/>
      <c r="R70" s="161"/>
      <c r="S70" s="161"/>
      <c r="T70" s="161"/>
      <c r="U70" s="161"/>
      <c r="V70" s="161"/>
      <c r="W70" s="161"/>
      <c r="X70" s="161"/>
    </row>
    <row r="71" ht="12.75" customHeight="1">
      <c r="A71" s="165">
        <v>34235.0</v>
      </c>
      <c r="B71" s="165" t="s">
        <v>3611</v>
      </c>
      <c r="C71" s="170">
        <v>43929.0</v>
      </c>
      <c r="D71" s="165" t="s">
        <v>2755</v>
      </c>
      <c r="E71" s="161"/>
      <c r="F71" s="161"/>
      <c r="G71" s="161"/>
      <c r="H71" s="161"/>
      <c r="I71" s="161"/>
      <c r="J71" s="161"/>
      <c r="K71" s="161"/>
      <c r="L71" s="161"/>
      <c r="M71" s="161"/>
      <c r="N71" s="161"/>
      <c r="O71" s="161"/>
      <c r="P71" s="161"/>
      <c r="Q71" s="161"/>
      <c r="R71" s="161"/>
      <c r="S71" s="161"/>
      <c r="T71" s="161"/>
      <c r="U71" s="161"/>
      <c r="V71" s="161"/>
      <c r="W71" s="161"/>
      <c r="X71" s="161"/>
    </row>
    <row r="72" ht="12.75" customHeight="1">
      <c r="A72" s="165">
        <v>34183.0</v>
      </c>
      <c r="B72" s="165" t="s">
        <v>3617</v>
      </c>
      <c r="C72" s="166">
        <v>43920.0</v>
      </c>
      <c r="D72" s="165" t="s">
        <v>2755</v>
      </c>
      <c r="E72" s="161"/>
      <c r="F72" s="161"/>
      <c r="G72" s="161"/>
      <c r="H72" s="161"/>
      <c r="I72" s="161"/>
      <c r="J72" s="161"/>
      <c r="K72" s="161"/>
      <c r="L72" s="161"/>
      <c r="M72" s="161"/>
      <c r="N72" s="161"/>
      <c r="O72" s="161"/>
      <c r="P72" s="161"/>
      <c r="Q72" s="161"/>
      <c r="R72" s="161"/>
      <c r="S72" s="161"/>
      <c r="T72" s="161"/>
      <c r="U72" s="161"/>
      <c r="V72" s="161"/>
      <c r="W72" s="161"/>
      <c r="X72" s="161"/>
    </row>
    <row r="73" ht="12.75" customHeight="1">
      <c r="A73" s="165">
        <v>34204.0</v>
      </c>
      <c r="B73" s="165" t="s">
        <v>3621</v>
      </c>
      <c r="C73" s="166">
        <v>43916.0</v>
      </c>
      <c r="D73" s="165" t="s">
        <v>2755</v>
      </c>
      <c r="E73" s="161"/>
      <c r="F73" s="161"/>
      <c r="G73" s="161"/>
      <c r="H73" s="161"/>
      <c r="I73" s="161"/>
      <c r="J73" s="161"/>
      <c r="K73" s="161"/>
      <c r="L73" s="161"/>
      <c r="M73" s="161"/>
      <c r="N73" s="161"/>
      <c r="O73" s="161"/>
      <c r="P73" s="161"/>
      <c r="Q73" s="161"/>
      <c r="R73" s="161"/>
      <c r="S73" s="161"/>
      <c r="T73" s="161"/>
      <c r="U73" s="161"/>
      <c r="V73" s="161"/>
      <c r="W73" s="161"/>
      <c r="X73" s="161"/>
    </row>
    <row r="74" ht="12.75" customHeight="1">
      <c r="A74" s="165">
        <v>34014.0</v>
      </c>
      <c r="B74" s="165" t="s">
        <v>4500</v>
      </c>
      <c r="C74" s="170">
        <v>43914.0</v>
      </c>
      <c r="D74" s="165" t="s">
        <v>2755</v>
      </c>
      <c r="E74" s="161"/>
      <c r="F74" s="161"/>
      <c r="G74" s="161"/>
      <c r="H74" s="161"/>
      <c r="I74" s="161"/>
      <c r="J74" s="161"/>
      <c r="K74" s="161"/>
      <c r="L74" s="161"/>
      <c r="M74" s="161"/>
      <c r="N74" s="161"/>
      <c r="O74" s="161"/>
      <c r="P74" s="161"/>
      <c r="Q74" s="161"/>
      <c r="R74" s="161"/>
      <c r="S74" s="161"/>
      <c r="T74" s="161"/>
      <c r="U74" s="161"/>
      <c r="V74" s="161"/>
      <c r="W74" s="161"/>
      <c r="X74" s="161"/>
    </row>
    <row r="75" ht="12.75" customHeight="1">
      <c r="A75" s="165">
        <v>34127.0</v>
      </c>
      <c r="B75" s="165" t="s">
        <v>5511</v>
      </c>
      <c r="C75" s="166">
        <v>43900.0</v>
      </c>
      <c r="D75" s="165" t="s">
        <v>2526</v>
      </c>
      <c r="E75" s="161"/>
      <c r="F75" s="161"/>
      <c r="G75" s="161"/>
      <c r="H75" s="161"/>
      <c r="I75" s="161"/>
      <c r="J75" s="161"/>
      <c r="K75" s="161"/>
      <c r="L75" s="161"/>
      <c r="M75" s="161"/>
      <c r="N75" s="161"/>
      <c r="O75" s="161"/>
      <c r="P75" s="161"/>
      <c r="Q75" s="161"/>
      <c r="R75" s="161"/>
      <c r="S75" s="161"/>
      <c r="T75" s="161"/>
      <c r="U75" s="161"/>
      <c r="V75" s="161"/>
      <c r="W75" s="161"/>
      <c r="X75" s="161"/>
    </row>
    <row r="76" ht="12.75" customHeight="1">
      <c r="A76" s="165">
        <v>34126.0</v>
      </c>
      <c r="B76" s="165" t="s">
        <v>3647</v>
      </c>
      <c r="C76" s="166">
        <v>43887.0</v>
      </c>
      <c r="D76" s="165" t="s">
        <v>2526</v>
      </c>
      <c r="E76" s="161"/>
      <c r="F76" s="161"/>
      <c r="G76" s="161"/>
      <c r="H76" s="161"/>
      <c r="I76" s="161"/>
      <c r="J76" s="161"/>
      <c r="K76" s="161"/>
      <c r="L76" s="161"/>
      <c r="M76" s="161"/>
      <c r="N76" s="161"/>
      <c r="O76" s="161"/>
      <c r="P76" s="161"/>
      <c r="Q76" s="161"/>
      <c r="R76" s="161"/>
      <c r="S76" s="161"/>
      <c r="T76" s="161"/>
      <c r="U76" s="161"/>
      <c r="V76" s="161"/>
      <c r="W76" s="161"/>
      <c r="X76" s="161"/>
    </row>
    <row r="77" ht="12.75" customHeight="1">
      <c r="A77" s="165">
        <v>33907.0</v>
      </c>
      <c r="B77" s="165" t="s">
        <v>4513</v>
      </c>
      <c r="C77" s="170">
        <v>43886.0</v>
      </c>
      <c r="D77" s="165" t="s">
        <v>2526</v>
      </c>
      <c r="E77" s="161"/>
      <c r="F77" s="161"/>
      <c r="G77" s="161"/>
      <c r="H77" s="161"/>
      <c r="I77" s="161"/>
      <c r="J77" s="161"/>
      <c r="K77" s="161"/>
      <c r="L77" s="161"/>
      <c r="M77" s="161"/>
      <c r="N77" s="161"/>
      <c r="O77" s="161"/>
      <c r="P77" s="161"/>
      <c r="Q77" s="161"/>
      <c r="R77" s="161"/>
      <c r="S77" s="161"/>
      <c r="T77" s="161"/>
      <c r="U77" s="161"/>
      <c r="V77" s="161"/>
      <c r="W77" s="161"/>
      <c r="X77" s="161"/>
    </row>
    <row r="78" ht="12.75" customHeight="1">
      <c r="A78" s="165">
        <v>33910.0</v>
      </c>
      <c r="B78" s="165" t="s">
        <v>4537</v>
      </c>
      <c r="C78" s="170">
        <v>43875.0</v>
      </c>
      <c r="D78" s="165" t="s">
        <v>2526</v>
      </c>
      <c r="E78" s="161"/>
      <c r="F78" s="161"/>
      <c r="G78" s="161"/>
      <c r="H78" s="161"/>
      <c r="I78" s="161"/>
      <c r="J78" s="161"/>
      <c r="K78" s="161"/>
      <c r="L78" s="161"/>
      <c r="M78" s="161"/>
      <c r="N78" s="161"/>
      <c r="O78" s="161"/>
      <c r="P78" s="161"/>
      <c r="Q78" s="161"/>
      <c r="R78" s="161"/>
      <c r="S78" s="161"/>
      <c r="T78" s="161"/>
      <c r="U78" s="161"/>
      <c r="V78" s="161"/>
      <c r="W78" s="161"/>
      <c r="X78" s="161"/>
    </row>
    <row r="79" ht="12.75" customHeight="1">
      <c r="A79" s="165">
        <v>34064.0</v>
      </c>
      <c r="B79" s="165" t="s">
        <v>4549</v>
      </c>
      <c r="C79" s="170">
        <v>43866.0</v>
      </c>
      <c r="D79" s="165" t="s">
        <v>2755</v>
      </c>
      <c r="E79" s="161"/>
      <c r="F79" s="161"/>
      <c r="G79" s="161"/>
      <c r="H79" s="161"/>
      <c r="I79" s="161"/>
      <c r="J79" s="161"/>
      <c r="K79" s="161"/>
      <c r="L79" s="161"/>
      <c r="M79" s="161"/>
      <c r="N79" s="161"/>
      <c r="O79" s="161"/>
      <c r="P79" s="161"/>
      <c r="Q79" s="161"/>
      <c r="R79" s="161"/>
      <c r="S79" s="161"/>
      <c r="T79" s="161"/>
      <c r="U79" s="161"/>
      <c r="V79" s="161"/>
      <c r="W79" s="161"/>
      <c r="X79" s="161"/>
    </row>
    <row r="80" ht="12.75" customHeight="1">
      <c r="A80" s="165">
        <v>33462.0</v>
      </c>
      <c r="B80" s="165" t="s">
        <v>4562</v>
      </c>
      <c r="C80" s="170">
        <v>43865.0</v>
      </c>
      <c r="D80" s="165" t="s">
        <v>2755</v>
      </c>
      <c r="E80" s="161"/>
      <c r="F80" s="161"/>
      <c r="G80" s="161"/>
      <c r="H80" s="161"/>
      <c r="I80" s="161"/>
      <c r="J80" s="161"/>
      <c r="K80" s="161"/>
      <c r="L80" s="161"/>
      <c r="M80" s="161"/>
      <c r="N80" s="161"/>
      <c r="O80" s="161"/>
      <c r="P80" s="161"/>
      <c r="Q80" s="161"/>
      <c r="R80" s="161"/>
      <c r="S80" s="161"/>
      <c r="T80" s="161"/>
      <c r="U80" s="161"/>
      <c r="V80" s="161"/>
      <c r="W80" s="161"/>
      <c r="X80" s="161"/>
    </row>
    <row r="81" ht="12.75" customHeight="1">
      <c r="A81" s="165">
        <v>33840.0</v>
      </c>
      <c r="B81" s="215" t="s">
        <v>4565</v>
      </c>
      <c r="C81" s="170">
        <v>43859.0</v>
      </c>
      <c r="D81" s="165" t="s">
        <v>2755</v>
      </c>
      <c r="E81" s="161"/>
      <c r="F81" s="161"/>
      <c r="G81" s="161"/>
      <c r="H81" s="161"/>
      <c r="I81" s="161"/>
      <c r="J81" s="161"/>
      <c r="K81" s="161"/>
      <c r="L81" s="161"/>
      <c r="M81" s="161"/>
      <c r="N81" s="161"/>
      <c r="O81" s="161"/>
      <c r="P81" s="161"/>
      <c r="Q81" s="161"/>
      <c r="R81" s="161"/>
      <c r="S81" s="161"/>
      <c r="T81" s="161"/>
      <c r="U81" s="161"/>
      <c r="V81" s="161"/>
      <c r="W81" s="161"/>
      <c r="X81" s="161"/>
    </row>
    <row r="82" ht="12.75" customHeight="1">
      <c r="A82" s="165">
        <v>33968.0</v>
      </c>
      <c r="B82" s="215" t="s">
        <v>4581</v>
      </c>
      <c r="C82" s="170">
        <v>43847.0</v>
      </c>
      <c r="D82" s="165" t="s">
        <v>2755</v>
      </c>
      <c r="E82" s="161"/>
      <c r="F82" s="161"/>
      <c r="G82" s="161"/>
      <c r="H82" s="161"/>
      <c r="I82" s="161"/>
      <c r="J82" s="161"/>
      <c r="K82" s="161"/>
      <c r="L82" s="161"/>
      <c r="M82" s="161"/>
      <c r="N82" s="161"/>
      <c r="O82" s="161"/>
      <c r="P82" s="161"/>
      <c r="Q82" s="161"/>
      <c r="R82" s="161"/>
      <c r="S82" s="161"/>
      <c r="T82" s="161"/>
      <c r="U82" s="161"/>
      <c r="V82" s="161"/>
      <c r="W82" s="161"/>
      <c r="X82" s="161"/>
    </row>
    <row r="83" ht="12.75" customHeight="1">
      <c r="A83" s="165">
        <v>33967.0</v>
      </c>
      <c r="B83" s="215" t="s">
        <v>4579</v>
      </c>
      <c r="C83" s="170">
        <v>43847.0</v>
      </c>
      <c r="D83" s="165" t="s">
        <v>2755</v>
      </c>
      <c r="E83" s="161"/>
      <c r="F83" s="161"/>
      <c r="G83" s="161"/>
      <c r="H83" s="161"/>
      <c r="I83" s="161"/>
      <c r="J83" s="161"/>
      <c r="K83" s="161"/>
      <c r="L83" s="161"/>
      <c r="M83" s="161"/>
      <c r="N83" s="161"/>
      <c r="O83" s="161"/>
      <c r="P83" s="161"/>
      <c r="Q83" s="161"/>
      <c r="R83" s="161"/>
      <c r="S83" s="161"/>
      <c r="T83" s="161"/>
      <c r="U83" s="161"/>
      <c r="V83" s="161"/>
      <c r="W83" s="161"/>
      <c r="X83" s="161"/>
    </row>
    <row r="84" ht="12.75" customHeight="1">
      <c r="A84" s="165">
        <v>33390.0</v>
      </c>
      <c r="B84" s="165" t="s">
        <v>5512</v>
      </c>
      <c r="C84" s="170">
        <v>43843.0</v>
      </c>
      <c r="D84" s="165" t="s">
        <v>2755</v>
      </c>
      <c r="E84" s="161"/>
      <c r="F84" s="161"/>
      <c r="G84" s="161"/>
      <c r="H84" s="161"/>
      <c r="I84" s="161"/>
      <c r="J84" s="161"/>
      <c r="K84" s="161"/>
      <c r="L84" s="161"/>
      <c r="M84" s="161"/>
      <c r="N84" s="161"/>
      <c r="O84" s="161"/>
      <c r="P84" s="161"/>
      <c r="Q84" s="161"/>
      <c r="R84" s="161"/>
      <c r="S84" s="161"/>
      <c r="T84" s="161"/>
      <c r="U84" s="161"/>
      <c r="V84" s="161"/>
      <c r="W84" s="161"/>
      <c r="X84" s="161"/>
    </row>
    <row r="85" ht="12.75" customHeight="1">
      <c r="A85" s="165">
        <v>33964.0</v>
      </c>
      <c r="B85" s="165" t="s">
        <v>4598</v>
      </c>
      <c r="C85" s="170">
        <v>43840.0</v>
      </c>
      <c r="D85" s="165" t="s">
        <v>2755</v>
      </c>
      <c r="E85" s="161"/>
      <c r="F85" s="161"/>
      <c r="G85" s="161"/>
      <c r="H85" s="161"/>
      <c r="I85" s="161"/>
      <c r="J85" s="161"/>
      <c r="K85" s="161"/>
      <c r="L85" s="161"/>
      <c r="M85" s="161"/>
      <c r="N85" s="161"/>
      <c r="O85" s="161"/>
      <c r="P85" s="161"/>
      <c r="Q85" s="161"/>
      <c r="R85" s="161"/>
      <c r="S85" s="161"/>
      <c r="T85" s="161"/>
      <c r="U85" s="161"/>
      <c r="V85" s="161"/>
      <c r="W85" s="161"/>
      <c r="X85" s="161"/>
    </row>
    <row r="86" ht="12.75" customHeight="1">
      <c r="A86" s="165">
        <v>33589.0</v>
      </c>
      <c r="B86" s="215" t="s">
        <v>4596</v>
      </c>
      <c r="C86" s="170">
        <v>43837.0</v>
      </c>
      <c r="D86" s="165" t="s">
        <v>2755</v>
      </c>
      <c r="E86" s="161"/>
      <c r="F86" s="161"/>
      <c r="G86" s="161"/>
      <c r="H86" s="161"/>
      <c r="I86" s="161"/>
      <c r="J86" s="161"/>
      <c r="K86" s="161"/>
      <c r="L86" s="161"/>
      <c r="M86" s="161"/>
      <c r="N86" s="161"/>
      <c r="O86" s="161"/>
      <c r="P86" s="161"/>
      <c r="Q86" s="161"/>
      <c r="R86" s="161"/>
      <c r="S86" s="161"/>
      <c r="T86" s="161"/>
      <c r="U86" s="161"/>
      <c r="V86" s="161"/>
      <c r="W86" s="161"/>
      <c r="X86" s="161"/>
    </row>
    <row r="87" ht="12.75" customHeight="1">
      <c r="A87" s="165">
        <v>33916.0</v>
      </c>
      <c r="B87" s="215" t="s">
        <v>4611</v>
      </c>
      <c r="C87" s="170">
        <v>43836.0</v>
      </c>
      <c r="D87" s="165" t="s">
        <v>2755</v>
      </c>
      <c r="E87" s="161"/>
      <c r="F87" s="161"/>
      <c r="G87" s="161"/>
      <c r="H87" s="161"/>
      <c r="I87" s="161"/>
      <c r="J87" s="161"/>
      <c r="K87" s="161"/>
      <c r="L87" s="161"/>
      <c r="M87" s="161"/>
      <c r="N87" s="161"/>
      <c r="O87" s="161"/>
      <c r="P87" s="161"/>
      <c r="Q87" s="161"/>
      <c r="R87" s="161"/>
      <c r="S87" s="161"/>
      <c r="T87" s="161"/>
      <c r="U87" s="161"/>
      <c r="V87" s="161"/>
      <c r="W87" s="161"/>
      <c r="X87" s="161"/>
    </row>
    <row r="88" ht="12.75" customHeight="1">
      <c r="A88" s="165">
        <v>33963.0</v>
      </c>
      <c r="B88" s="215" t="s">
        <v>4616</v>
      </c>
      <c r="C88" s="170">
        <v>43836.0</v>
      </c>
      <c r="D88" s="165" t="s">
        <v>2755</v>
      </c>
      <c r="E88" s="161"/>
      <c r="F88" s="161"/>
      <c r="G88" s="161"/>
      <c r="H88" s="161"/>
      <c r="I88" s="161"/>
      <c r="J88" s="161"/>
      <c r="K88" s="161"/>
      <c r="L88" s="161"/>
      <c r="M88" s="161"/>
      <c r="N88" s="161"/>
      <c r="O88" s="161"/>
      <c r="P88" s="161"/>
      <c r="Q88" s="161"/>
      <c r="R88" s="161"/>
      <c r="S88" s="161"/>
      <c r="T88" s="161"/>
      <c r="U88" s="161"/>
      <c r="V88" s="161"/>
      <c r="W88" s="161"/>
      <c r="X88" s="161"/>
    </row>
    <row r="89" ht="12.75" customHeight="1">
      <c r="A89" s="165"/>
      <c r="B89" s="165"/>
      <c r="C89" s="165"/>
      <c r="D89" s="165"/>
      <c r="E89" s="161"/>
      <c r="F89" s="161"/>
      <c r="G89" s="161"/>
      <c r="H89" s="161"/>
      <c r="I89" s="161"/>
      <c r="J89" s="161"/>
      <c r="K89" s="161"/>
      <c r="L89" s="161"/>
      <c r="M89" s="161"/>
      <c r="N89" s="161"/>
      <c r="O89" s="161"/>
      <c r="P89" s="161"/>
      <c r="Q89" s="161"/>
      <c r="R89" s="161"/>
      <c r="S89" s="161"/>
      <c r="T89" s="161"/>
      <c r="U89" s="161"/>
      <c r="V89" s="161"/>
      <c r="W89" s="161"/>
      <c r="X89" s="161"/>
    </row>
    <row r="90" ht="12.75" customHeight="1">
      <c r="A90" s="165"/>
      <c r="B90" s="165"/>
      <c r="C90" s="165"/>
      <c r="D90" s="165"/>
      <c r="E90" s="161"/>
      <c r="F90" s="161"/>
      <c r="G90" s="161"/>
      <c r="H90" s="161"/>
      <c r="I90" s="161"/>
      <c r="J90" s="161"/>
      <c r="K90" s="161"/>
      <c r="L90" s="161"/>
      <c r="M90" s="161"/>
      <c r="N90" s="161"/>
      <c r="O90" s="161"/>
      <c r="P90" s="161"/>
      <c r="Q90" s="161"/>
      <c r="R90" s="161"/>
      <c r="S90" s="161"/>
      <c r="T90" s="161"/>
      <c r="U90" s="161"/>
      <c r="V90" s="161"/>
      <c r="W90" s="161"/>
      <c r="X90" s="161"/>
    </row>
    <row r="91" ht="12.75" customHeight="1">
      <c r="A91" s="165"/>
      <c r="B91" s="165"/>
      <c r="C91" s="165"/>
      <c r="D91" s="165"/>
      <c r="E91" s="161"/>
      <c r="F91" s="161"/>
      <c r="G91" s="161"/>
      <c r="H91" s="161"/>
      <c r="I91" s="161"/>
      <c r="J91" s="161"/>
      <c r="K91" s="161"/>
      <c r="L91" s="161"/>
      <c r="M91" s="161"/>
      <c r="N91" s="161"/>
      <c r="O91" s="161"/>
      <c r="P91" s="161"/>
      <c r="Q91" s="161"/>
      <c r="R91" s="161"/>
      <c r="S91" s="161"/>
      <c r="T91" s="161"/>
      <c r="U91" s="161"/>
      <c r="V91" s="161"/>
      <c r="W91" s="161"/>
      <c r="X91" s="161"/>
    </row>
    <row r="92" ht="12.75" customHeight="1">
      <c r="A92" s="165"/>
      <c r="B92" s="165"/>
      <c r="C92" s="165"/>
      <c r="D92" s="165"/>
      <c r="E92" s="161"/>
      <c r="F92" s="161"/>
      <c r="G92" s="161"/>
      <c r="H92" s="161"/>
      <c r="I92" s="161"/>
      <c r="J92" s="161"/>
      <c r="K92" s="161"/>
      <c r="L92" s="161"/>
      <c r="M92" s="161"/>
      <c r="N92" s="161"/>
      <c r="O92" s="161"/>
      <c r="P92" s="161"/>
      <c r="Q92" s="161"/>
      <c r="R92" s="161"/>
      <c r="S92" s="161"/>
      <c r="T92" s="161"/>
      <c r="U92" s="161"/>
      <c r="V92" s="161"/>
      <c r="W92" s="161"/>
      <c r="X92" s="161"/>
    </row>
    <row r="93" ht="12.75" customHeight="1">
      <c r="A93" s="165"/>
      <c r="B93" s="165"/>
      <c r="C93" s="165"/>
      <c r="D93" s="165"/>
      <c r="E93" s="161"/>
      <c r="F93" s="161"/>
      <c r="G93" s="161"/>
      <c r="H93" s="161"/>
      <c r="I93" s="161"/>
      <c r="J93" s="161"/>
      <c r="K93" s="161"/>
      <c r="L93" s="161"/>
      <c r="M93" s="161"/>
      <c r="N93" s="161"/>
      <c r="O93" s="161"/>
      <c r="P93" s="161"/>
      <c r="Q93" s="161"/>
      <c r="R93" s="161"/>
      <c r="S93" s="161"/>
      <c r="T93" s="161"/>
      <c r="U93" s="161"/>
      <c r="V93" s="161"/>
      <c r="W93" s="161"/>
      <c r="X93" s="161"/>
    </row>
    <row r="94" ht="12.75" customHeight="1">
      <c r="A94" s="165"/>
      <c r="B94" s="165"/>
      <c r="C94" s="165"/>
      <c r="D94" s="165"/>
      <c r="E94" s="161"/>
      <c r="F94" s="161"/>
      <c r="G94" s="161"/>
      <c r="H94" s="161"/>
      <c r="I94" s="161"/>
      <c r="J94" s="161"/>
      <c r="K94" s="161"/>
      <c r="L94" s="161"/>
      <c r="M94" s="161"/>
      <c r="N94" s="161"/>
      <c r="O94" s="161"/>
      <c r="P94" s="161"/>
      <c r="Q94" s="161"/>
      <c r="R94" s="161"/>
      <c r="S94" s="161"/>
      <c r="T94" s="161"/>
      <c r="U94" s="161"/>
      <c r="V94" s="161"/>
      <c r="W94" s="161"/>
      <c r="X94" s="161"/>
    </row>
    <row r="95" ht="12.75" customHeight="1">
      <c r="A95" s="165"/>
      <c r="B95" s="165"/>
      <c r="C95" s="165"/>
      <c r="D95" s="165"/>
      <c r="E95" s="161"/>
      <c r="F95" s="161"/>
      <c r="G95" s="161"/>
      <c r="H95" s="161"/>
      <c r="I95" s="161"/>
      <c r="J95" s="161"/>
      <c r="K95" s="161"/>
      <c r="L95" s="161"/>
      <c r="M95" s="161"/>
      <c r="N95" s="161"/>
      <c r="O95" s="161"/>
      <c r="P95" s="161"/>
      <c r="Q95" s="161"/>
      <c r="R95" s="161"/>
      <c r="S95" s="161"/>
      <c r="T95" s="161"/>
      <c r="U95" s="161"/>
      <c r="V95" s="161"/>
      <c r="W95" s="161"/>
      <c r="X95" s="161"/>
    </row>
    <row r="96" ht="12.75" customHeight="1">
      <c r="A96" s="165"/>
      <c r="B96" s="165"/>
      <c r="C96" s="165"/>
      <c r="D96" s="165"/>
      <c r="E96" s="161"/>
      <c r="F96" s="161"/>
      <c r="G96" s="161"/>
      <c r="H96" s="161"/>
      <c r="I96" s="161"/>
      <c r="J96" s="161"/>
      <c r="K96" s="161"/>
      <c r="L96" s="161"/>
      <c r="M96" s="161"/>
      <c r="N96" s="161"/>
      <c r="O96" s="161"/>
      <c r="P96" s="161"/>
      <c r="Q96" s="161"/>
      <c r="R96" s="161"/>
      <c r="S96" s="161"/>
      <c r="T96" s="161"/>
      <c r="U96" s="161"/>
      <c r="V96" s="161"/>
      <c r="W96" s="161"/>
      <c r="X96" s="161"/>
    </row>
    <row r="97" ht="12.75" customHeight="1">
      <c r="A97" s="165"/>
      <c r="B97" s="165"/>
      <c r="C97" s="165"/>
      <c r="D97" s="165"/>
      <c r="E97" s="161"/>
      <c r="F97" s="161"/>
      <c r="G97" s="161"/>
      <c r="H97" s="161"/>
      <c r="I97" s="161"/>
      <c r="J97" s="161"/>
      <c r="K97" s="161"/>
      <c r="L97" s="161"/>
      <c r="M97" s="161"/>
      <c r="N97" s="161"/>
      <c r="O97" s="161"/>
      <c r="P97" s="161"/>
      <c r="Q97" s="161"/>
      <c r="R97" s="161"/>
      <c r="S97" s="161"/>
      <c r="T97" s="161"/>
      <c r="U97" s="161"/>
      <c r="V97" s="161"/>
      <c r="W97" s="161"/>
      <c r="X97" s="161"/>
    </row>
    <row r="98" ht="12.75" customHeight="1">
      <c r="A98" s="165"/>
      <c r="B98" s="165"/>
      <c r="C98" s="165"/>
      <c r="D98" s="165"/>
      <c r="E98" s="161"/>
      <c r="F98" s="161"/>
      <c r="G98" s="161"/>
      <c r="H98" s="161"/>
      <c r="I98" s="161"/>
      <c r="J98" s="161"/>
      <c r="K98" s="161"/>
      <c r="L98" s="161"/>
      <c r="M98" s="161"/>
      <c r="N98" s="161"/>
      <c r="O98" s="161"/>
      <c r="P98" s="161"/>
      <c r="Q98" s="161"/>
      <c r="R98" s="161"/>
      <c r="S98" s="161"/>
      <c r="T98" s="161"/>
      <c r="U98" s="161"/>
      <c r="V98" s="161"/>
      <c r="W98" s="161"/>
      <c r="X98" s="161"/>
    </row>
    <row r="99" ht="12.75" customHeight="1">
      <c r="A99" s="165"/>
      <c r="B99" s="165"/>
      <c r="C99" s="165"/>
      <c r="D99" s="165"/>
      <c r="E99" s="161"/>
      <c r="F99" s="161"/>
      <c r="G99" s="161"/>
      <c r="H99" s="161"/>
      <c r="I99" s="161"/>
      <c r="J99" s="161"/>
      <c r="K99" s="161"/>
      <c r="L99" s="161"/>
      <c r="M99" s="161"/>
      <c r="N99" s="161"/>
      <c r="O99" s="161"/>
      <c r="P99" s="161"/>
      <c r="Q99" s="161"/>
      <c r="R99" s="161"/>
      <c r="S99" s="161"/>
      <c r="T99" s="161"/>
      <c r="U99" s="161"/>
      <c r="V99" s="161"/>
      <c r="W99" s="161"/>
      <c r="X99" s="161"/>
    </row>
    <row r="100" ht="12.75" customHeight="1">
      <c r="A100" s="165"/>
      <c r="B100" s="165"/>
      <c r="C100" s="165"/>
      <c r="D100" s="165"/>
      <c r="E100" s="161"/>
      <c r="F100" s="161"/>
      <c r="G100" s="161"/>
      <c r="H100" s="161"/>
      <c r="I100" s="161"/>
      <c r="J100" s="161"/>
      <c r="K100" s="161"/>
      <c r="L100" s="161"/>
      <c r="M100" s="161"/>
      <c r="N100" s="161"/>
      <c r="O100" s="161"/>
      <c r="P100" s="161"/>
      <c r="Q100" s="161"/>
      <c r="R100" s="161"/>
      <c r="S100" s="161"/>
      <c r="T100" s="161"/>
      <c r="U100" s="161"/>
      <c r="V100" s="161"/>
      <c r="W100" s="161"/>
      <c r="X100" s="161"/>
    </row>
    <row r="101" ht="12.75" customHeight="1">
      <c r="A101" s="165"/>
      <c r="B101" s="165"/>
      <c r="C101" s="165"/>
      <c r="D101" s="165"/>
      <c r="E101" s="161"/>
      <c r="F101" s="161"/>
      <c r="G101" s="161"/>
      <c r="H101" s="161"/>
      <c r="I101" s="161"/>
      <c r="J101" s="161"/>
      <c r="K101" s="161"/>
      <c r="L101" s="161"/>
      <c r="M101" s="161"/>
      <c r="N101" s="161"/>
      <c r="O101" s="161"/>
      <c r="P101" s="161"/>
      <c r="Q101" s="161"/>
      <c r="R101" s="161"/>
      <c r="S101" s="161"/>
      <c r="T101" s="161"/>
      <c r="U101" s="161"/>
      <c r="V101" s="161"/>
      <c r="W101" s="161"/>
      <c r="X101" s="161"/>
    </row>
    <row r="102" ht="12.75" customHeight="1">
      <c r="A102" s="165"/>
      <c r="B102" s="165"/>
      <c r="C102" s="165"/>
      <c r="D102" s="165"/>
      <c r="E102" s="161"/>
      <c r="F102" s="161"/>
      <c r="G102" s="161"/>
      <c r="H102" s="161"/>
      <c r="I102" s="161"/>
      <c r="J102" s="161"/>
      <c r="K102" s="161"/>
      <c r="L102" s="161"/>
      <c r="M102" s="161"/>
      <c r="N102" s="161"/>
      <c r="O102" s="161"/>
      <c r="P102" s="161"/>
      <c r="Q102" s="161"/>
      <c r="R102" s="161"/>
      <c r="S102" s="161"/>
      <c r="T102" s="161"/>
      <c r="U102" s="161"/>
      <c r="V102" s="161"/>
      <c r="W102" s="161"/>
      <c r="X102" s="161"/>
    </row>
    <row r="103" ht="12.75" customHeight="1">
      <c r="A103" s="161"/>
      <c r="B103" s="161"/>
      <c r="C103" s="161"/>
      <c r="D103" s="161"/>
      <c r="E103" s="161"/>
      <c r="F103" s="161"/>
      <c r="G103" s="161"/>
      <c r="H103" s="161"/>
      <c r="I103" s="161"/>
      <c r="J103" s="161"/>
      <c r="K103" s="161"/>
      <c r="L103" s="161"/>
      <c r="M103" s="161"/>
      <c r="N103" s="161"/>
      <c r="O103" s="161"/>
      <c r="P103" s="161"/>
      <c r="Q103" s="161"/>
      <c r="R103" s="161"/>
      <c r="S103" s="161"/>
      <c r="T103" s="161"/>
      <c r="U103" s="161"/>
      <c r="V103" s="161"/>
      <c r="W103" s="161"/>
      <c r="X103" s="161"/>
    </row>
    <row r="104" ht="12.75" customHeight="1">
      <c r="A104" s="161"/>
      <c r="B104" s="161"/>
      <c r="C104" s="161"/>
      <c r="D104" s="161"/>
      <c r="E104" s="161"/>
      <c r="F104" s="161"/>
      <c r="G104" s="161"/>
      <c r="H104" s="161"/>
      <c r="I104" s="161"/>
      <c r="J104" s="161"/>
      <c r="K104" s="161"/>
      <c r="L104" s="161"/>
      <c r="M104" s="161"/>
      <c r="N104" s="161"/>
      <c r="O104" s="161"/>
      <c r="P104" s="161"/>
      <c r="Q104" s="161"/>
      <c r="R104" s="161"/>
      <c r="S104" s="161"/>
      <c r="T104" s="161"/>
      <c r="U104" s="161"/>
      <c r="V104" s="161"/>
      <c r="W104" s="161"/>
      <c r="X104" s="161"/>
    </row>
    <row r="105" ht="12.75" customHeight="1">
      <c r="A105" s="161"/>
      <c r="B105" s="161"/>
      <c r="C105" s="161"/>
      <c r="D105" s="161"/>
      <c r="E105" s="161"/>
      <c r="F105" s="161"/>
      <c r="G105" s="161"/>
      <c r="H105" s="161"/>
      <c r="I105" s="161"/>
      <c r="J105" s="161"/>
      <c r="K105" s="161"/>
      <c r="L105" s="161"/>
      <c r="M105" s="161"/>
      <c r="N105" s="161"/>
      <c r="O105" s="161"/>
      <c r="P105" s="161"/>
      <c r="Q105" s="161"/>
      <c r="R105" s="161"/>
      <c r="S105" s="161"/>
      <c r="T105" s="161"/>
      <c r="U105" s="161"/>
      <c r="V105" s="161"/>
      <c r="W105" s="161"/>
      <c r="X105" s="161"/>
    </row>
    <row r="106" ht="12.75" customHeight="1">
      <c r="A106" s="161"/>
      <c r="B106" s="161"/>
      <c r="C106" s="161"/>
      <c r="D106" s="161"/>
      <c r="E106" s="161"/>
      <c r="F106" s="161"/>
      <c r="G106" s="161"/>
      <c r="H106" s="161"/>
      <c r="I106" s="161"/>
      <c r="J106" s="161"/>
      <c r="K106" s="161"/>
      <c r="L106" s="161"/>
      <c r="M106" s="161"/>
      <c r="N106" s="161"/>
      <c r="O106" s="161"/>
      <c r="P106" s="161"/>
      <c r="Q106" s="161"/>
      <c r="R106" s="161"/>
      <c r="S106" s="161"/>
      <c r="T106" s="161"/>
      <c r="U106" s="161"/>
      <c r="V106" s="161"/>
      <c r="W106" s="161"/>
      <c r="X106" s="161"/>
    </row>
    <row r="107" ht="12.75" customHeight="1">
      <c r="A107" s="161"/>
      <c r="B107" s="161"/>
      <c r="C107" s="161"/>
      <c r="D107" s="161"/>
      <c r="E107" s="161"/>
      <c r="F107" s="161"/>
      <c r="G107" s="161"/>
      <c r="H107" s="161"/>
      <c r="I107" s="161"/>
      <c r="J107" s="161"/>
      <c r="K107" s="161"/>
      <c r="L107" s="161"/>
      <c r="M107" s="161"/>
      <c r="N107" s="161"/>
      <c r="O107" s="161"/>
      <c r="P107" s="161"/>
      <c r="Q107" s="161"/>
      <c r="R107" s="161"/>
      <c r="S107" s="161"/>
      <c r="T107" s="161"/>
      <c r="U107" s="161"/>
      <c r="V107" s="161"/>
      <c r="W107" s="161"/>
      <c r="X107" s="161"/>
    </row>
    <row r="108" ht="12.75" customHeight="1">
      <c r="A108" s="161"/>
      <c r="B108" s="161"/>
      <c r="C108" s="161"/>
      <c r="D108" s="161"/>
      <c r="E108" s="161"/>
      <c r="F108" s="161"/>
      <c r="G108" s="161"/>
      <c r="H108" s="161"/>
      <c r="I108" s="161"/>
      <c r="J108" s="161"/>
      <c r="K108" s="161"/>
      <c r="L108" s="161"/>
      <c r="M108" s="161"/>
      <c r="N108" s="161"/>
      <c r="O108" s="161"/>
      <c r="P108" s="161"/>
      <c r="Q108" s="161"/>
      <c r="R108" s="161"/>
      <c r="S108" s="161"/>
      <c r="T108" s="161"/>
      <c r="U108" s="161"/>
      <c r="V108" s="161"/>
      <c r="W108" s="161"/>
      <c r="X108" s="161"/>
    </row>
    <row r="109" ht="12.75" customHeight="1">
      <c r="A109" s="161"/>
      <c r="B109" s="161"/>
      <c r="C109" s="161"/>
      <c r="D109" s="161"/>
      <c r="E109" s="161"/>
      <c r="F109" s="161"/>
      <c r="G109" s="161"/>
      <c r="H109" s="161"/>
      <c r="I109" s="161"/>
      <c r="J109" s="161"/>
      <c r="K109" s="161"/>
      <c r="L109" s="161"/>
      <c r="M109" s="161"/>
      <c r="N109" s="161"/>
      <c r="O109" s="161"/>
      <c r="P109" s="161"/>
      <c r="Q109" s="161"/>
      <c r="R109" s="161"/>
      <c r="S109" s="161"/>
      <c r="T109" s="161"/>
      <c r="U109" s="161"/>
      <c r="V109" s="161"/>
      <c r="W109" s="161"/>
      <c r="X109" s="161"/>
    </row>
    <row r="110" ht="12.75" customHeight="1">
      <c r="A110" s="161"/>
      <c r="B110" s="161"/>
      <c r="C110" s="161"/>
      <c r="D110" s="161"/>
      <c r="E110" s="161"/>
      <c r="F110" s="161"/>
      <c r="G110" s="161"/>
      <c r="H110" s="161"/>
      <c r="I110" s="161"/>
      <c r="J110" s="161"/>
      <c r="K110" s="161"/>
      <c r="L110" s="161"/>
      <c r="M110" s="161"/>
      <c r="N110" s="161"/>
      <c r="O110" s="161"/>
      <c r="P110" s="161"/>
      <c r="Q110" s="161"/>
      <c r="R110" s="161"/>
      <c r="S110" s="161"/>
      <c r="T110" s="161"/>
      <c r="U110" s="161"/>
      <c r="V110" s="161"/>
      <c r="W110" s="161"/>
      <c r="X110" s="161"/>
    </row>
    <row r="111" ht="12.75" customHeight="1">
      <c r="A111" s="161"/>
      <c r="B111" s="161"/>
      <c r="C111" s="161"/>
      <c r="D111" s="161"/>
      <c r="E111" s="161"/>
      <c r="F111" s="161"/>
      <c r="G111" s="161"/>
      <c r="H111" s="161"/>
      <c r="I111" s="161"/>
      <c r="J111" s="161"/>
      <c r="K111" s="161"/>
      <c r="L111" s="161"/>
      <c r="M111" s="161"/>
      <c r="N111" s="161"/>
      <c r="O111" s="161"/>
      <c r="P111" s="161"/>
      <c r="Q111" s="161"/>
      <c r="R111" s="161"/>
      <c r="S111" s="161"/>
      <c r="T111" s="161"/>
      <c r="U111" s="161"/>
      <c r="V111" s="161"/>
      <c r="W111" s="161"/>
      <c r="X111" s="161"/>
    </row>
    <row r="112" ht="12.75" customHeight="1">
      <c r="A112" s="161"/>
      <c r="B112" s="161"/>
      <c r="C112" s="161"/>
      <c r="D112" s="161"/>
      <c r="E112" s="161"/>
      <c r="F112" s="161"/>
      <c r="G112" s="161"/>
      <c r="H112" s="161"/>
      <c r="I112" s="161"/>
      <c r="J112" s="161"/>
      <c r="K112" s="161"/>
      <c r="L112" s="161"/>
      <c r="M112" s="161"/>
      <c r="N112" s="161"/>
      <c r="O112" s="161"/>
      <c r="P112" s="161"/>
      <c r="Q112" s="161"/>
      <c r="R112" s="161"/>
      <c r="S112" s="161"/>
      <c r="T112" s="161"/>
      <c r="U112" s="161"/>
      <c r="V112" s="161"/>
      <c r="W112" s="161"/>
      <c r="X112" s="161"/>
    </row>
    <row r="113" ht="12.75" customHeight="1">
      <c r="A113" s="161"/>
      <c r="B113" s="161"/>
      <c r="C113" s="161"/>
      <c r="D113" s="161"/>
      <c r="E113" s="161"/>
      <c r="F113" s="161"/>
      <c r="G113" s="161"/>
      <c r="H113" s="161"/>
      <c r="I113" s="161"/>
      <c r="J113" s="161"/>
      <c r="K113" s="161"/>
      <c r="L113" s="161"/>
      <c r="M113" s="161"/>
      <c r="N113" s="161"/>
      <c r="O113" s="161"/>
      <c r="P113" s="161"/>
      <c r="Q113" s="161"/>
      <c r="R113" s="161"/>
      <c r="S113" s="161"/>
      <c r="T113" s="161"/>
      <c r="U113" s="161"/>
      <c r="V113" s="161"/>
      <c r="W113" s="161"/>
      <c r="X113" s="161"/>
    </row>
    <row r="114" ht="12.75" customHeight="1">
      <c r="A114" s="161"/>
      <c r="B114" s="161"/>
      <c r="C114" s="161"/>
      <c r="D114" s="161"/>
      <c r="E114" s="161"/>
      <c r="F114" s="161"/>
      <c r="G114" s="161"/>
      <c r="H114" s="161"/>
      <c r="I114" s="161"/>
      <c r="J114" s="161"/>
      <c r="K114" s="161"/>
      <c r="L114" s="161"/>
      <c r="M114" s="161"/>
      <c r="N114" s="161"/>
      <c r="O114" s="161"/>
      <c r="P114" s="161"/>
      <c r="Q114" s="161"/>
      <c r="R114" s="161"/>
      <c r="S114" s="161"/>
      <c r="T114" s="161"/>
      <c r="U114" s="161"/>
      <c r="V114" s="161"/>
      <c r="W114" s="161"/>
      <c r="X114" s="161"/>
    </row>
    <row r="115" ht="12.75" customHeight="1">
      <c r="A115" s="161"/>
      <c r="B115" s="161"/>
      <c r="C115" s="161"/>
      <c r="D115" s="161"/>
      <c r="E115" s="161"/>
      <c r="F115" s="161"/>
      <c r="G115" s="161"/>
      <c r="H115" s="161"/>
      <c r="I115" s="161"/>
      <c r="J115" s="161"/>
      <c r="K115" s="161"/>
      <c r="L115" s="161"/>
      <c r="M115" s="161"/>
      <c r="N115" s="161"/>
      <c r="O115" s="161"/>
      <c r="P115" s="161"/>
      <c r="Q115" s="161"/>
      <c r="R115" s="161"/>
      <c r="S115" s="161"/>
      <c r="T115" s="161"/>
      <c r="U115" s="161"/>
      <c r="V115" s="161"/>
      <c r="W115" s="161"/>
      <c r="X115" s="161"/>
    </row>
    <row r="116" ht="12.75" customHeight="1">
      <c r="A116" s="161"/>
      <c r="B116" s="161"/>
      <c r="C116" s="161"/>
      <c r="D116" s="161"/>
      <c r="E116" s="161"/>
      <c r="F116" s="161"/>
      <c r="G116" s="161"/>
      <c r="H116" s="161"/>
      <c r="I116" s="161"/>
      <c r="J116" s="161"/>
      <c r="K116" s="161"/>
      <c r="L116" s="161"/>
      <c r="M116" s="161"/>
      <c r="N116" s="161"/>
      <c r="O116" s="161"/>
      <c r="P116" s="161"/>
      <c r="Q116" s="161"/>
      <c r="R116" s="161"/>
      <c r="S116" s="161"/>
      <c r="T116" s="161"/>
      <c r="U116" s="161"/>
      <c r="V116" s="161"/>
      <c r="W116" s="161"/>
      <c r="X116" s="161"/>
    </row>
    <row r="117" ht="12.75" customHeight="1">
      <c r="A117" s="161"/>
      <c r="B117" s="161"/>
      <c r="C117" s="161"/>
      <c r="D117" s="161"/>
      <c r="E117" s="161"/>
      <c r="F117" s="161"/>
      <c r="G117" s="161"/>
      <c r="H117" s="161"/>
      <c r="I117" s="161"/>
      <c r="J117" s="161"/>
      <c r="K117" s="161"/>
      <c r="L117" s="161"/>
      <c r="M117" s="161"/>
      <c r="N117" s="161"/>
      <c r="O117" s="161"/>
      <c r="P117" s="161"/>
      <c r="Q117" s="161"/>
      <c r="R117" s="161"/>
      <c r="S117" s="161"/>
      <c r="T117" s="161"/>
      <c r="U117" s="161"/>
      <c r="V117" s="161"/>
      <c r="W117" s="161"/>
      <c r="X117" s="161"/>
    </row>
    <row r="118" ht="12.75" customHeight="1">
      <c r="A118" s="161"/>
      <c r="B118" s="161"/>
      <c r="C118" s="161"/>
      <c r="D118" s="161"/>
      <c r="E118" s="161"/>
      <c r="F118" s="161"/>
      <c r="G118" s="161"/>
      <c r="H118" s="161"/>
      <c r="I118" s="161"/>
      <c r="J118" s="161"/>
      <c r="K118" s="161"/>
      <c r="L118" s="161"/>
      <c r="M118" s="161"/>
      <c r="N118" s="161"/>
      <c r="O118" s="161"/>
      <c r="P118" s="161"/>
      <c r="Q118" s="161"/>
      <c r="R118" s="161"/>
      <c r="S118" s="161"/>
      <c r="T118" s="161"/>
      <c r="U118" s="161"/>
      <c r="V118" s="161"/>
      <c r="W118" s="161"/>
      <c r="X118" s="161"/>
    </row>
    <row r="119" ht="12.75" customHeight="1">
      <c r="A119" s="161"/>
      <c r="B119" s="161"/>
      <c r="C119" s="161"/>
      <c r="D119" s="161"/>
      <c r="E119" s="161"/>
      <c r="F119" s="161"/>
      <c r="G119" s="161"/>
      <c r="H119" s="161"/>
      <c r="I119" s="161"/>
      <c r="J119" s="161"/>
      <c r="K119" s="161"/>
      <c r="L119" s="161"/>
      <c r="M119" s="161"/>
      <c r="N119" s="161"/>
      <c r="O119" s="161"/>
      <c r="P119" s="161"/>
      <c r="Q119" s="161"/>
      <c r="R119" s="161"/>
      <c r="S119" s="161"/>
      <c r="T119" s="161"/>
      <c r="U119" s="161"/>
      <c r="V119" s="161"/>
      <c r="W119" s="161"/>
      <c r="X119" s="161"/>
    </row>
    <row r="120" ht="12.75" customHeight="1">
      <c r="A120" s="161"/>
      <c r="B120" s="161"/>
      <c r="C120" s="161"/>
      <c r="D120" s="161"/>
      <c r="E120" s="161"/>
      <c r="F120" s="161"/>
      <c r="G120" s="161"/>
      <c r="H120" s="161"/>
      <c r="I120" s="161"/>
      <c r="J120" s="161"/>
      <c r="K120" s="161"/>
      <c r="L120" s="161"/>
      <c r="M120" s="161"/>
      <c r="N120" s="161"/>
      <c r="O120" s="161"/>
      <c r="P120" s="161"/>
      <c r="Q120" s="161"/>
      <c r="R120" s="161"/>
      <c r="S120" s="161"/>
      <c r="T120" s="161"/>
      <c r="U120" s="161"/>
      <c r="V120" s="161"/>
      <c r="W120" s="161"/>
      <c r="X120" s="161"/>
    </row>
    <row r="121" ht="12.75" customHeight="1">
      <c r="A121" s="161"/>
      <c r="B121" s="161"/>
      <c r="C121" s="161"/>
      <c r="D121" s="161"/>
      <c r="E121" s="161"/>
      <c r="F121" s="161"/>
      <c r="G121" s="161"/>
      <c r="H121" s="161"/>
      <c r="I121" s="161"/>
      <c r="J121" s="161"/>
      <c r="K121" s="161"/>
      <c r="L121" s="161"/>
      <c r="M121" s="161"/>
      <c r="N121" s="161"/>
      <c r="O121" s="161"/>
      <c r="P121" s="161"/>
      <c r="Q121" s="161"/>
      <c r="R121" s="161"/>
      <c r="S121" s="161"/>
      <c r="T121" s="161"/>
      <c r="U121" s="161"/>
      <c r="V121" s="161"/>
      <c r="W121" s="161"/>
      <c r="X121" s="161"/>
    </row>
    <row r="122" ht="12.75" customHeight="1">
      <c r="A122" s="161"/>
      <c r="B122" s="161"/>
      <c r="C122" s="161"/>
      <c r="D122" s="161"/>
      <c r="E122" s="161"/>
      <c r="F122" s="161"/>
      <c r="G122" s="161"/>
      <c r="H122" s="161"/>
      <c r="I122" s="161"/>
      <c r="J122" s="161"/>
      <c r="K122" s="161"/>
      <c r="L122" s="161"/>
      <c r="M122" s="161"/>
      <c r="N122" s="161"/>
      <c r="O122" s="161"/>
      <c r="P122" s="161"/>
      <c r="Q122" s="161"/>
      <c r="R122" s="161"/>
      <c r="S122" s="161"/>
      <c r="T122" s="161"/>
      <c r="U122" s="161"/>
      <c r="V122" s="161"/>
      <c r="W122" s="161"/>
      <c r="X122" s="161"/>
    </row>
    <row r="123" ht="12.75" customHeight="1">
      <c r="A123" s="161"/>
      <c r="B123" s="161"/>
      <c r="C123" s="161"/>
      <c r="D123" s="161"/>
      <c r="E123" s="161"/>
      <c r="F123" s="161"/>
      <c r="G123" s="161"/>
      <c r="H123" s="161"/>
      <c r="I123" s="161"/>
      <c r="J123" s="161"/>
      <c r="K123" s="161"/>
      <c r="L123" s="161"/>
      <c r="M123" s="161"/>
      <c r="N123" s="161"/>
      <c r="O123" s="161"/>
      <c r="P123" s="161"/>
      <c r="Q123" s="161"/>
      <c r="R123" s="161"/>
      <c r="S123" s="161"/>
      <c r="T123" s="161"/>
      <c r="U123" s="161"/>
      <c r="V123" s="161"/>
      <c r="W123" s="161"/>
      <c r="X123" s="161"/>
    </row>
    <row r="124" ht="12.75" customHeight="1">
      <c r="A124" s="161"/>
      <c r="B124" s="161"/>
      <c r="C124" s="161"/>
      <c r="D124" s="161"/>
      <c r="E124" s="161"/>
      <c r="F124" s="161"/>
      <c r="G124" s="161"/>
      <c r="H124" s="161"/>
      <c r="I124" s="161"/>
      <c r="J124" s="161"/>
      <c r="K124" s="161"/>
      <c r="L124" s="161"/>
      <c r="M124" s="161"/>
      <c r="N124" s="161"/>
      <c r="O124" s="161"/>
      <c r="P124" s="161"/>
      <c r="Q124" s="161"/>
      <c r="R124" s="161"/>
      <c r="S124" s="161"/>
      <c r="T124" s="161"/>
      <c r="U124" s="161"/>
      <c r="V124" s="161"/>
      <c r="W124" s="161"/>
      <c r="X124" s="161"/>
    </row>
    <row r="125" ht="12.75" customHeight="1">
      <c r="A125" s="161"/>
      <c r="B125" s="161"/>
      <c r="C125" s="161"/>
      <c r="D125" s="161"/>
      <c r="E125" s="161"/>
      <c r="F125" s="161"/>
      <c r="G125" s="161"/>
      <c r="H125" s="161"/>
      <c r="I125" s="161"/>
      <c r="J125" s="161"/>
      <c r="K125" s="161"/>
      <c r="L125" s="161"/>
      <c r="M125" s="161"/>
      <c r="N125" s="161"/>
      <c r="O125" s="161"/>
      <c r="P125" s="161"/>
      <c r="Q125" s="161"/>
      <c r="R125" s="161"/>
      <c r="S125" s="161"/>
      <c r="T125" s="161"/>
      <c r="U125" s="161"/>
      <c r="V125" s="161"/>
      <c r="W125" s="161"/>
      <c r="X125" s="161"/>
    </row>
    <row r="126" ht="12.75" customHeight="1">
      <c r="A126" s="161"/>
      <c r="B126" s="161"/>
      <c r="C126" s="161"/>
      <c r="D126" s="161"/>
      <c r="E126" s="161"/>
      <c r="F126" s="161"/>
      <c r="G126" s="161"/>
      <c r="H126" s="161"/>
      <c r="I126" s="161"/>
      <c r="J126" s="161"/>
      <c r="K126" s="161"/>
      <c r="L126" s="161"/>
      <c r="M126" s="161"/>
      <c r="N126" s="161"/>
      <c r="O126" s="161"/>
      <c r="P126" s="161"/>
      <c r="Q126" s="161"/>
      <c r="R126" s="161"/>
      <c r="S126" s="161"/>
      <c r="T126" s="161"/>
      <c r="U126" s="161"/>
      <c r="V126" s="161"/>
      <c r="W126" s="161"/>
      <c r="X126" s="161"/>
    </row>
    <row r="127" ht="12.75" customHeight="1">
      <c r="A127" s="161"/>
      <c r="B127" s="161"/>
      <c r="C127" s="161"/>
      <c r="D127" s="161"/>
      <c r="E127" s="161"/>
      <c r="F127" s="161"/>
      <c r="G127" s="161"/>
      <c r="H127" s="161"/>
      <c r="I127" s="161"/>
      <c r="J127" s="161"/>
      <c r="K127" s="161"/>
      <c r="L127" s="161"/>
      <c r="M127" s="161"/>
      <c r="N127" s="161"/>
      <c r="O127" s="161"/>
      <c r="P127" s="161"/>
      <c r="Q127" s="161"/>
      <c r="R127" s="161"/>
      <c r="S127" s="161"/>
      <c r="T127" s="161"/>
      <c r="U127" s="161"/>
      <c r="V127" s="161"/>
      <c r="W127" s="161"/>
      <c r="X127" s="161"/>
    </row>
    <row r="128" ht="12.75" customHeight="1">
      <c r="A128" s="161"/>
      <c r="B128" s="161"/>
      <c r="C128" s="161"/>
      <c r="D128" s="161"/>
      <c r="E128" s="161"/>
      <c r="F128" s="161"/>
      <c r="G128" s="161"/>
      <c r="H128" s="161"/>
      <c r="I128" s="161"/>
      <c r="J128" s="161"/>
      <c r="K128" s="161"/>
      <c r="L128" s="161"/>
      <c r="M128" s="161"/>
      <c r="N128" s="161"/>
      <c r="O128" s="161"/>
      <c r="P128" s="161"/>
      <c r="Q128" s="161"/>
      <c r="R128" s="161"/>
      <c r="S128" s="161"/>
      <c r="T128" s="161"/>
      <c r="U128" s="161"/>
      <c r="V128" s="161"/>
      <c r="W128" s="161"/>
      <c r="X128" s="161"/>
    </row>
    <row r="129" ht="12.75" customHeight="1">
      <c r="A129" s="161"/>
      <c r="B129" s="161"/>
      <c r="C129" s="161"/>
      <c r="D129" s="161"/>
      <c r="E129" s="161"/>
      <c r="F129" s="161"/>
      <c r="G129" s="161"/>
      <c r="H129" s="161"/>
      <c r="I129" s="161"/>
      <c r="J129" s="161"/>
      <c r="K129" s="161"/>
      <c r="L129" s="161"/>
      <c r="M129" s="161"/>
      <c r="N129" s="161"/>
      <c r="O129" s="161"/>
      <c r="P129" s="161"/>
      <c r="Q129" s="161"/>
      <c r="R129" s="161"/>
      <c r="S129" s="161"/>
      <c r="T129" s="161"/>
      <c r="U129" s="161"/>
      <c r="V129" s="161"/>
      <c r="W129" s="161"/>
      <c r="X129" s="161"/>
    </row>
    <row r="130" ht="12.75" customHeight="1">
      <c r="A130" s="161"/>
      <c r="B130" s="161"/>
      <c r="C130" s="161"/>
      <c r="D130" s="161"/>
      <c r="E130" s="161"/>
      <c r="F130" s="161"/>
      <c r="G130" s="161"/>
      <c r="H130" s="161"/>
      <c r="I130" s="161"/>
      <c r="J130" s="161"/>
      <c r="K130" s="161"/>
      <c r="L130" s="161"/>
      <c r="M130" s="161"/>
      <c r="N130" s="161"/>
      <c r="O130" s="161"/>
      <c r="P130" s="161"/>
      <c r="Q130" s="161"/>
      <c r="R130" s="161"/>
      <c r="S130" s="161"/>
      <c r="T130" s="161"/>
      <c r="U130" s="161"/>
      <c r="V130" s="161"/>
      <c r="W130" s="161"/>
      <c r="X130" s="161"/>
    </row>
    <row r="131" ht="12.75" customHeight="1">
      <c r="A131" s="161"/>
      <c r="B131" s="161"/>
      <c r="C131" s="161"/>
      <c r="D131" s="161"/>
      <c r="E131" s="161"/>
      <c r="F131" s="161"/>
      <c r="G131" s="161"/>
      <c r="H131" s="161"/>
      <c r="I131" s="161"/>
      <c r="J131" s="161"/>
      <c r="K131" s="161"/>
      <c r="L131" s="161"/>
      <c r="M131" s="161"/>
      <c r="N131" s="161"/>
      <c r="O131" s="161"/>
      <c r="P131" s="161"/>
      <c r="Q131" s="161"/>
      <c r="R131" s="161"/>
      <c r="S131" s="161"/>
      <c r="T131" s="161"/>
      <c r="U131" s="161"/>
      <c r="V131" s="161"/>
      <c r="W131" s="161"/>
      <c r="X131" s="161"/>
    </row>
    <row r="132" ht="12.75" customHeight="1">
      <c r="A132" s="161"/>
      <c r="B132" s="161"/>
      <c r="C132" s="161"/>
      <c r="D132" s="161"/>
      <c r="E132" s="161"/>
      <c r="F132" s="161"/>
      <c r="G132" s="161"/>
      <c r="H132" s="161"/>
      <c r="I132" s="161"/>
      <c r="J132" s="161"/>
      <c r="K132" s="161"/>
      <c r="L132" s="161"/>
      <c r="M132" s="161"/>
      <c r="N132" s="161"/>
      <c r="O132" s="161"/>
      <c r="P132" s="161"/>
      <c r="Q132" s="161"/>
      <c r="R132" s="161"/>
      <c r="S132" s="161"/>
      <c r="T132" s="161"/>
      <c r="U132" s="161"/>
      <c r="V132" s="161"/>
      <c r="W132" s="161"/>
      <c r="X132" s="161"/>
    </row>
    <row r="133" ht="12.75" customHeight="1">
      <c r="A133" s="161"/>
      <c r="B133" s="161"/>
      <c r="C133" s="161"/>
      <c r="D133" s="161"/>
      <c r="E133" s="161"/>
      <c r="F133" s="161"/>
      <c r="G133" s="161"/>
      <c r="H133" s="161"/>
      <c r="I133" s="161"/>
      <c r="J133" s="161"/>
      <c r="K133" s="161"/>
      <c r="L133" s="161"/>
      <c r="M133" s="161"/>
      <c r="N133" s="161"/>
      <c r="O133" s="161"/>
      <c r="P133" s="161"/>
      <c r="Q133" s="161"/>
      <c r="R133" s="161"/>
      <c r="S133" s="161"/>
      <c r="T133" s="161"/>
      <c r="U133" s="161"/>
      <c r="V133" s="161"/>
      <c r="W133" s="161"/>
      <c r="X133" s="161"/>
    </row>
    <row r="134" ht="12.75" customHeight="1">
      <c r="A134" s="161"/>
      <c r="B134" s="161"/>
      <c r="C134" s="161"/>
      <c r="D134" s="161"/>
      <c r="E134" s="161"/>
      <c r="F134" s="161"/>
      <c r="G134" s="161"/>
      <c r="H134" s="161"/>
      <c r="I134" s="161"/>
      <c r="J134" s="161"/>
      <c r="K134" s="161"/>
      <c r="L134" s="161"/>
      <c r="M134" s="161"/>
      <c r="N134" s="161"/>
      <c r="O134" s="161"/>
      <c r="P134" s="161"/>
      <c r="Q134" s="161"/>
      <c r="R134" s="161"/>
      <c r="S134" s="161"/>
      <c r="T134" s="161"/>
      <c r="U134" s="161"/>
      <c r="V134" s="161"/>
      <c r="W134" s="161"/>
      <c r="X134" s="161"/>
    </row>
    <row r="135" ht="12.75" customHeight="1">
      <c r="A135" s="161"/>
      <c r="B135" s="161"/>
      <c r="C135" s="161"/>
      <c r="D135" s="161"/>
      <c r="E135" s="161"/>
      <c r="F135" s="161"/>
      <c r="G135" s="161"/>
      <c r="H135" s="161"/>
      <c r="I135" s="161"/>
      <c r="J135" s="161"/>
      <c r="K135" s="161"/>
      <c r="L135" s="161"/>
      <c r="M135" s="161"/>
      <c r="N135" s="161"/>
      <c r="O135" s="161"/>
      <c r="P135" s="161"/>
      <c r="Q135" s="161"/>
      <c r="R135" s="161"/>
      <c r="S135" s="161"/>
      <c r="T135" s="161"/>
      <c r="U135" s="161"/>
      <c r="V135" s="161"/>
      <c r="W135" s="161"/>
      <c r="X135" s="161"/>
    </row>
    <row r="136" ht="12.75" customHeight="1">
      <c r="A136" s="161"/>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row>
    <row r="137" ht="12.75" customHeight="1">
      <c r="A137" s="161"/>
      <c r="B137" s="161"/>
      <c r="C137" s="161"/>
      <c r="D137" s="161"/>
      <c r="E137" s="161"/>
      <c r="F137" s="161"/>
      <c r="G137" s="161"/>
      <c r="H137" s="161"/>
      <c r="I137" s="161"/>
      <c r="J137" s="161"/>
      <c r="K137" s="161"/>
      <c r="L137" s="161"/>
      <c r="M137" s="161"/>
      <c r="N137" s="161"/>
      <c r="O137" s="161"/>
      <c r="P137" s="161"/>
      <c r="Q137" s="161"/>
      <c r="R137" s="161"/>
      <c r="S137" s="161"/>
      <c r="T137" s="161"/>
      <c r="U137" s="161"/>
      <c r="V137" s="161"/>
      <c r="W137" s="161"/>
      <c r="X137" s="161"/>
    </row>
    <row r="138" ht="12.75" customHeight="1">
      <c r="A138" s="161"/>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row>
    <row r="139" ht="12.75" customHeight="1">
      <c r="A139" s="161"/>
      <c r="B139" s="161"/>
      <c r="C139" s="161"/>
      <c r="D139" s="161"/>
      <c r="E139" s="161"/>
      <c r="F139" s="161"/>
      <c r="G139" s="161"/>
      <c r="H139" s="161"/>
      <c r="I139" s="161"/>
      <c r="J139" s="161"/>
      <c r="K139" s="161"/>
      <c r="L139" s="161"/>
      <c r="M139" s="161"/>
      <c r="N139" s="161"/>
      <c r="O139" s="161"/>
      <c r="P139" s="161"/>
      <c r="Q139" s="161"/>
      <c r="R139" s="161"/>
      <c r="S139" s="161"/>
      <c r="T139" s="161"/>
      <c r="U139" s="161"/>
      <c r="V139" s="161"/>
      <c r="W139" s="161"/>
      <c r="X139" s="161"/>
    </row>
    <row r="140" ht="12.75" customHeight="1">
      <c r="A140" s="161"/>
      <c r="B140" s="161"/>
      <c r="C140" s="161"/>
      <c r="D140" s="161"/>
      <c r="E140" s="161"/>
      <c r="F140" s="161"/>
      <c r="G140" s="161"/>
      <c r="H140" s="161"/>
      <c r="I140" s="161"/>
      <c r="J140" s="161"/>
      <c r="K140" s="161"/>
      <c r="L140" s="161"/>
      <c r="M140" s="161"/>
      <c r="N140" s="161"/>
      <c r="O140" s="161"/>
      <c r="P140" s="161"/>
      <c r="Q140" s="161"/>
      <c r="R140" s="161"/>
      <c r="S140" s="161"/>
      <c r="T140" s="161"/>
      <c r="U140" s="161"/>
      <c r="V140" s="161"/>
      <c r="W140" s="161"/>
      <c r="X140" s="161"/>
    </row>
    <row r="141" ht="12.75" customHeight="1">
      <c r="A141" s="161"/>
      <c r="B141" s="161"/>
      <c r="C141" s="161"/>
      <c r="D141" s="161"/>
      <c r="E141" s="161"/>
      <c r="F141" s="161"/>
      <c r="G141" s="161"/>
      <c r="H141" s="161"/>
      <c r="I141" s="161"/>
      <c r="J141" s="161"/>
      <c r="K141" s="161"/>
      <c r="L141" s="161"/>
      <c r="M141" s="161"/>
      <c r="N141" s="161"/>
      <c r="O141" s="161"/>
      <c r="P141" s="161"/>
      <c r="Q141" s="161"/>
      <c r="R141" s="161"/>
      <c r="S141" s="161"/>
      <c r="T141" s="161"/>
      <c r="U141" s="161"/>
      <c r="V141" s="161"/>
      <c r="W141" s="161"/>
      <c r="X141" s="161"/>
    </row>
    <row r="142" ht="12.75" customHeight="1">
      <c r="A142" s="161"/>
      <c r="B142" s="161"/>
      <c r="C142" s="161"/>
      <c r="D142" s="161"/>
      <c r="E142" s="161"/>
      <c r="F142" s="161"/>
      <c r="G142" s="161"/>
      <c r="H142" s="161"/>
      <c r="I142" s="161"/>
      <c r="J142" s="161"/>
      <c r="K142" s="161"/>
      <c r="L142" s="161"/>
      <c r="M142" s="161"/>
      <c r="N142" s="161"/>
      <c r="O142" s="161"/>
      <c r="P142" s="161"/>
      <c r="Q142" s="161"/>
      <c r="R142" s="161"/>
      <c r="S142" s="161"/>
      <c r="T142" s="161"/>
      <c r="U142" s="161"/>
      <c r="V142" s="161"/>
      <c r="W142" s="161"/>
      <c r="X142" s="161"/>
    </row>
    <row r="143" ht="12.75" customHeight="1">
      <c r="A143" s="161"/>
      <c r="B143" s="161"/>
      <c r="C143" s="161"/>
      <c r="D143" s="161"/>
      <c r="E143" s="161"/>
      <c r="F143" s="161"/>
      <c r="G143" s="161"/>
      <c r="H143" s="161"/>
      <c r="I143" s="161"/>
      <c r="J143" s="161"/>
      <c r="K143" s="161"/>
      <c r="L143" s="161"/>
      <c r="M143" s="161"/>
      <c r="N143" s="161"/>
      <c r="O143" s="161"/>
      <c r="P143" s="161"/>
      <c r="Q143" s="161"/>
      <c r="R143" s="161"/>
      <c r="S143" s="161"/>
      <c r="T143" s="161"/>
      <c r="U143" s="161"/>
      <c r="V143" s="161"/>
      <c r="W143" s="161"/>
      <c r="X143" s="161"/>
    </row>
    <row r="144" ht="12.75" customHeight="1">
      <c r="A144" s="161"/>
      <c r="B144" s="161"/>
      <c r="C144" s="161"/>
      <c r="D144" s="161"/>
      <c r="E144" s="161"/>
      <c r="F144" s="161"/>
      <c r="G144" s="161"/>
      <c r="H144" s="161"/>
      <c r="I144" s="161"/>
      <c r="J144" s="161"/>
      <c r="K144" s="161"/>
      <c r="L144" s="161"/>
      <c r="M144" s="161"/>
      <c r="N144" s="161"/>
      <c r="O144" s="161"/>
      <c r="P144" s="161"/>
      <c r="Q144" s="161"/>
      <c r="R144" s="161"/>
      <c r="S144" s="161"/>
      <c r="T144" s="161"/>
      <c r="U144" s="161"/>
      <c r="V144" s="161"/>
      <c r="W144" s="161"/>
      <c r="X144" s="161"/>
    </row>
    <row r="145" ht="12.75" customHeight="1">
      <c r="A145" s="161"/>
      <c r="B145" s="161"/>
      <c r="C145" s="161"/>
      <c r="D145" s="161"/>
      <c r="E145" s="161"/>
      <c r="F145" s="161"/>
      <c r="G145" s="161"/>
      <c r="H145" s="161"/>
      <c r="I145" s="161"/>
      <c r="J145" s="161"/>
      <c r="K145" s="161"/>
      <c r="L145" s="161"/>
      <c r="M145" s="161"/>
      <c r="N145" s="161"/>
      <c r="O145" s="161"/>
      <c r="P145" s="161"/>
      <c r="Q145" s="161"/>
      <c r="R145" s="161"/>
      <c r="S145" s="161"/>
      <c r="T145" s="161"/>
      <c r="U145" s="161"/>
      <c r="V145" s="161"/>
      <c r="W145" s="161"/>
      <c r="X145" s="161"/>
    </row>
    <row r="146" ht="12.75" customHeight="1">
      <c r="A146" s="161"/>
      <c r="B146" s="161"/>
      <c r="C146" s="161"/>
      <c r="D146" s="161"/>
      <c r="E146" s="161"/>
      <c r="F146" s="161"/>
      <c r="G146" s="161"/>
      <c r="H146" s="161"/>
      <c r="I146" s="161"/>
      <c r="J146" s="161"/>
      <c r="K146" s="161"/>
      <c r="L146" s="161"/>
      <c r="M146" s="161"/>
      <c r="N146" s="161"/>
      <c r="O146" s="161"/>
      <c r="P146" s="161"/>
      <c r="Q146" s="161"/>
      <c r="R146" s="161"/>
      <c r="S146" s="161"/>
      <c r="T146" s="161"/>
      <c r="U146" s="161"/>
      <c r="V146" s="161"/>
      <c r="W146" s="161"/>
      <c r="X146" s="161"/>
    </row>
    <row r="147" ht="12.75" customHeight="1">
      <c r="A147" s="161"/>
      <c r="B147" s="161"/>
      <c r="C147" s="161"/>
      <c r="D147" s="161"/>
      <c r="E147" s="161"/>
      <c r="F147" s="161"/>
      <c r="G147" s="161"/>
      <c r="H147" s="161"/>
      <c r="I147" s="161"/>
      <c r="J147" s="161"/>
      <c r="K147" s="161"/>
      <c r="L147" s="161"/>
      <c r="M147" s="161"/>
      <c r="N147" s="161"/>
      <c r="O147" s="161"/>
      <c r="P147" s="161"/>
      <c r="Q147" s="161"/>
      <c r="R147" s="161"/>
      <c r="S147" s="161"/>
      <c r="T147" s="161"/>
      <c r="U147" s="161"/>
      <c r="V147" s="161"/>
      <c r="W147" s="161"/>
      <c r="X147" s="161"/>
    </row>
    <row r="148" ht="12.75" customHeight="1">
      <c r="A148" s="161"/>
      <c r="B148" s="161"/>
      <c r="C148" s="161"/>
      <c r="D148" s="161"/>
      <c r="E148" s="161"/>
      <c r="F148" s="161"/>
      <c r="G148" s="161"/>
      <c r="H148" s="161"/>
      <c r="I148" s="161"/>
      <c r="J148" s="161"/>
      <c r="K148" s="161"/>
      <c r="L148" s="161"/>
      <c r="M148" s="161"/>
      <c r="N148" s="161"/>
      <c r="O148" s="161"/>
      <c r="P148" s="161"/>
      <c r="Q148" s="161"/>
      <c r="R148" s="161"/>
      <c r="S148" s="161"/>
      <c r="T148" s="161"/>
      <c r="U148" s="161"/>
      <c r="V148" s="161"/>
      <c r="W148" s="161"/>
      <c r="X148" s="161"/>
    </row>
    <row r="149" ht="12.75" customHeight="1">
      <c r="A149" s="161"/>
      <c r="B149" s="161"/>
      <c r="C149" s="161"/>
      <c r="D149" s="161"/>
      <c r="E149" s="161"/>
      <c r="F149" s="161"/>
      <c r="G149" s="161"/>
      <c r="H149" s="161"/>
      <c r="I149" s="161"/>
      <c r="J149" s="161"/>
      <c r="K149" s="161"/>
      <c r="L149" s="161"/>
      <c r="M149" s="161"/>
      <c r="N149" s="161"/>
      <c r="O149" s="161"/>
      <c r="P149" s="161"/>
      <c r="Q149" s="161"/>
      <c r="R149" s="161"/>
      <c r="S149" s="161"/>
      <c r="T149" s="161"/>
      <c r="U149" s="161"/>
      <c r="V149" s="161"/>
      <c r="W149" s="161"/>
      <c r="X149" s="161"/>
    </row>
    <row r="150" ht="12.75" customHeight="1">
      <c r="A150" s="161"/>
      <c r="B150" s="161"/>
      <c r="C150" s="161"/>
      <c r="D150" s="161"/>
      <c r="E150" s="161"/>
      <c r="F150" s="161"/>
      <c r="G150" s="161"/>
      <c r="H150" s="161"/>
      <c r="I150" s="161"/>
      <c r="J150" s="161"/>
      <c r="K150" s="161"/>
      <c r="L150" s="161"/>
      <c r="M150" s="161"/>
      <c r="N150" s="161"/>
      <c r="O150" s="161"/>
      <c r="P150" s="161"/>
      <c r="Q150" s="161"/>
      <c r="R150" s="161"/>
      <c r="S150" s="161"/>
      <c r="T150" s="161"/>
      <c r="U150" s="161"/>
      <c r="V150" s="161"/>
      <c r="W150" s="161"/>
      <c r="X150" s="161"/>
    </row>
    <row r="151" ht="12.75" customHeight="1">
      <c r="A151" s="161"/>
      <c r="B151" s="161"/>
      <c r="C151" s="161"/>
      <c r="D151" s="161"/>
      <c r="E151" s="161"/>
      <c r="F151" s="161"/>
      <c r="G151" s="161"/>
      <c r="H151" s="161"/>
      <c r="I151" s="161"/>
      <c r="J151" s="161"/>
      <c r="K151" s="161"/>
      <c r="L151" s="161"/>
      <c r="M151" s="161"/>
      <c r="N151" s="161"/>
      <c r="O151" s="161"/>
      <c r="P151" s="161"/>
      <c r="Q151" s="161"/>
      <c r="R151" s="161"/>
      <c r="S151" s="161"/>
      <c r="T151" s="161"/>
      <c r="U151" s="161"/>
      <c r="V151" s="161"/>
      <c r="W151" s="161"/>
      <c r="X151" s="161"/>
    </row>
    <row r="152" ht="12.75" customHeight="1">
      <c r="A152" s="161"/>
      <c r="B152" s="161"/>
      <c r="C152" s="161"/>
      <c r="D152" s="161"/>
      <c r="E152" s="161"/>
      <c r="F152" s="161"/>
      <c r="G152" s="161"/>
      <c r="H152" s="161"/>
      <c r="I152" s="161"/>
      <c r="J152" s="161"/>
      <c r="K152" s="161"/>
      <c r="L152" s="161"/>
      <c r="M152" s="161"/>
      <c r="N152" s="161"/>
      <c r="O152" s="161"/>
      <c r="P152" s="161"/>
      <c r="Q152" s="161"/>
      <c r="R152" s="161"/>
      <c r="S152" s="161"/>
      <c r="T152" s="161"/>
      <c r="U152" s="161"/>
      <c r="V152" s="161"/>
      <c r="W152" s="161"/>
      <c r="X152" s="161"/>
    </row>
    <row r="153" ht="12.75" customHeight="1">
      <c r="A153" s="161"/>
      <c r="B153" s="161"/>
      <c r="C153" s="161"/>
      <c r="D153" s="161"/>
      <c r="E153" s="161"/>
      <c r="F153" s="161"/>
      <c r="G153" s="161"/>
      <c r="H153" s="161"/>
      <c r="I153" s="161"/>
      <c r="J153" s="161"/>
      <c r="K153" s="161"/>
      <c r="L153" s="161"/>
      <c r="M153" s="161"/>
      <c r="N153" s="161"/>
      <c r="O153" s="161"/>
      <c r="P153" s="161"/>
      <c r="Q153" s="161"/>
      <c r="R153" s="161"/>
      <c r="S153" s="161"/>
      <c r="T153" s="161"/>
      <c r="U153" s="161"/>
      <c r="V153" s="161"/>
      <c r="W153" s="161"/>
      <c r="X153" s="161"/>
    </row>
    <row r="154" ht="12.75" customHeight="1">
      <c r="A154" s="161"/>
      <c r="B154" s="161"/>
      <c r="C154" s="161"/>
      <c r="D154" s="161"/>
      <c r="E154" s="161"/>
      <c r="F154" s="161"/>
      <c r="G154" s="161"/>
      <c r="H154" s="161"/>
      <c r="I154" s="161"/>
      <c r="J154" s="161"/>
      <c r="K154" s="161"/>
      <c r="L154" s="161"/>
      <c r="M154" s="161"/>
      <c r="N154" s="161"/>
      <c r="O154" s="161"/>
      <c r="P154" s="161"/>
      <c r="Q154" s="161"/>
      <c r="R154" s="161"/>
      <c r="S154" s="161"/>
      <c r="T154" s="161"/>
      <c r="U154" s="161"/>
      <c r="V154" s="161"/>
      <c r="W154" s="161"/>
      <c r="X154" s="161"/>
    </row>
    <row r="155" ht="12.75" customHeight="1">
      <c r="A155" s="161"/>
      <c r="B155" s="161"/>
      <c r="C155" s="161"/>
      <c r="D155" s="161"/>
      <c r="E155" s="161"/>
      <c r="F155" s="161"/>
      <c r="G155" s="161"/>
      <c r="H155" s="161"/>
      <c r="I155" s="161"/>
      <c r="J155" s="161"/>
      <c r="K155" s="161"/>
      <c r="L155" s="161"/>
      <c r="M155" s="161"/>
      <c r="N155" s="161"/>
      <c r="O155" s="161"/>
      <c r="P155" s="161"/>
      <c r="Q155" s="161"/>
      <c r="R155" s="161"/>
      <c r="S155" s="161"/>
      <c r="T155" s="161"/>
      <c r="U155" s="161"/>
      <c r="V155" s="161"/>
      <c r="W155" s="161"/>
      <c r="X155" s="161"/>
    </row>
    <row r="156" ht="12.75" customHeight="1">
      <c r="A156" s="161"/>
      <c r="B156" s="161"/>
      <c r="C156" s="161"/>
      <c r="D156" s="161"/>
      <c r="E156" s="161"/>
      <c r="F156" s="161"/>
      <c r="G156" s="161"/>
      <c r="H156" s="161"/>
      <c r="I156" s="161"/>
      <c r="J156" s="161"/>
      <c r="K156" s="161"/>
      <c r="L156" s="161"/>
      <c r="M156" s="161"/>
      <c r="N156" s="161"/>
      <c r="O156" s="161"/>
      <c r="P156" s="161"/>
      <c r="Q156" s="161"/>
      <c r="R156" s="161"/>
      <c r="S156" s="161"/>
      <c r="T156" s="161"/>
      <c r="U156" s="161"/>
      <c r="V156" s="161"/>
      <c r="W156" s="161"/>
      <c r="X156" s="161"/>
    </row>
    <row r="157" ht="12.75" customHeight="1">
      <c r="A157" s="161"/>
      <c r="B157" s="161"/>
      <c r="C157" s="161"/>
      <c r="D157" s="161"/>
      <c r="E157" s="161"/>
      <c r="F157" s="161"/>
      <c r="G157" s="161"/>
      <c r="H157" s="161"/>
      <c r="I157" s="161"/>
      <c r="J157" s="161"/>
      <c r="K157" s="161"/>
      <c r="L157" s="161"/>
      <c r="M157" s="161"/>
      <c r="N157" s="161"/>
      <c r="O157" s="161"/>
      <c r="P157" s="161"/>
      <c r="Q157" s="161"/>
      <c r="R157" s="161"/>
      <c r="S157" s="161"/>
      <c r="T157" s="161"/>
      <c r="U157" s="161"/>
      <c r="V157" s="161"/>
      <c r="W157" s="161"/>
      <c r="X157" s="161"/>
    </row>
    <row r="158" ht="12.75" customHeight="1">
      <c r="A158" s="161"/>
      <c r="B158" s="161"/>
      <c r="C158" s="161"/>
      <c r="D158" s="161"/>
      <c r="E158" s="161"/>
      <c r="F158" s="161"/>
      <c r="G158" s="161"/>
      <c r="H158" s="161"/>
      <c r="I158" s="161"/>
      <c r="J158" s="161"/>
      <c r="K158" s="161"/>
      <c r="L158" s="161"/>
      <c r="M158" s="161"/>
      <c r="N158" s="161"/>
      <c r="O158" s="161"/>
      <c r="P158" s="161"/>
      <c r="Q158" s="161"/>
      <c r="R158" s="161"/>
      <c r="S158" s="161"/>
      <c r="T158" s="161"/>
      <c r="U158" s="161"/>
      <c r="V158" s="161"/>
      <c r="W158" s="161"/>
      <c r="X158" s="161"/>
    </row>
    <row r="159" ht="12.75" customHeight="1">
      <c r="A159" s="161"/>
      <c r="B159" s="161"/>
      <c r="C159" s="161"/>
      <c r="D159" s="161"/>
      <c r="E159" s="161"/>
      <c r="F159" s="161"/>
      <c r="G159" s="161"/>
      <c r="H159" s="161"/>
      <c r="I159" s="161"/>
      <c r="J159" s="161"/>
      <c r="K159" s="161"/>
      <c r="L159" s="161"/>
      <c r="M159" s="161"/>
      <c r="N159" s="161"/>
      <c r="O159" s="161"/>
      <c r="P159" s="161"/>
      <c r="Q159" s="161"/>
      <c r="R159" s="161"/>
      <c r="S159" s="161"/>
      <c r="T159" s="161"/>
      <c r="U159" s="161"/>
      <c r="V159" s="161"/>
      <c r="W159" s="161"/>
      <c r="X159" s="161"/>
    </row>
    <row r="160" ht="12.75" customHeight="1">
      <c r="A160" s="161"/>
      <c r="B160" s="161"/>
      <c r="C160" s="161"/>
      <c r="D160" s="161"/>
      <c r="E160" s="161"/>
      <c r="F160" s="161"/>
      <c r="G160" s="161"/>
      <c r="H160" s="161"/>
      <c r="I160" s="161"/>
      <c r="J160" s="161"/>
      <c r="K160" s="161"/>
      <c r="L160" s="161"/>
      <c r="M160" s="161"/>
      <c r="N160" s="161"/>
      <c r="O160" s="161"/>
      <c r="P160" s="161"/>
      <c r="Q160" s="161"/>
      <c r="R160" s="161"/>
      <c r="S160" s="161"/>
      <c r="T160" s="161"/>
      <c r="U160" s="161"/>
      <c r="V160" s="161"/>
      <c r="W160" s="161"/>
      <c r="X160" s="161"/>
    </row>
    <row r="161" ht="12.75" customHeight="1">
      <c r="A161" s="161"/>
      <c r="B161" s="161"/>
      <c r="C161" s="161"/>
      <c r="D161" s="161"/>
      <c r="E161" s="161"/>
      <c r="F161" s="161"/>
      <c r="G161" s="161"/>
      <c r="H161" s="161"/>
      <c r="I161" s="161"/>
      <c r="J161" s="161"/>
      <c r="K161" s="161"/>
      <c r="L161" s="161"/>
      <c r="M161" s="161"/>
      <c r="N161" s="161"/>
      <c r="O161" s="161"/>
      <c r="P161" s="161"/>
      <c r="Q161" s="161"/>
      <c r="R161" s="161"/>
      <c r="S161" s="161"/>
      <c r="T161" s="161"/>
      <c r="U161" s="161"/>
      <c r="V161" s="161"/>
      <c r="W161" s="161"/>
      <c r="X161" s="161"/>
    </row>
    <row r="162" ht="12.75" customHeight="1">
      <c r="A162" s="161"/>
      <c r="B162" s="161"/>
      <c r="C162" s="161"/>
      <c r="D162" s="161"/>
      <c r="E162" s="161"/>
      <c r="F162" s="161"/>
      <c r="G162" s="161"/>
      <c r="H162" s="161"/>
      <c r="I162" s="161"/>
      <c r="J162" s="161"/>
      <c r="K162" s="161"/>
      <c r="L162" s="161"/>
      <c r="M162" s="161"/>
      <c r="N162" s="161"/>
      <c r="O162" s="161"/>
      <c r="P162" s="161"/>
      <c r="Q162" s="161"/>
      <c r="R162" s="161"/>
      <c r="S162" s="161"/>
      <c r="T162" s="161"/>
      <c r="U162" s="161"/>
      <c r="V162" s="161"/>
      <c r="W162" s="161"/>
      <c r="X162" s="161"/>
    </row>
    <row r="163" ht="12.75" customHeight="1">
      <c r="A163" s="161"/>
      <c r="B163" s="161"/>
      <c r="C163" s="161"/>
      <c r="D163" s="161"/>
      <c r="E163" s="161"/>
      <c r="F163" s="161"/>
      <c r="G163" s="161"/>
      <c r="H163" s="161"/>
      <c r="I163" s="161"/>
      <c r="J163" s="161"/>
      <c r="K163" s="161"/>
      <c r="L163" s="161"/>
      <c r="M163" s="161"/>
      <c r="N163" s="161"/>
      <c r="O163" s="161"/>
      <c r="P163" s="161"/>
      <c r="Q163" s="161"/>
      <c r="R163" s="161"/>
      <c r="S163" s="161"/>
      <c r="T163" s="161"/>
      <c r="U163" s="161"/>
      <c r="V163" s="161"/>
      <c r="W163" s="161"/>
      <c r="X163" s="161"/>
    </row>
    <row r="164" ht="12.75" customHeight="1">
      <c r="A164" s="161"/>
      <c r="B164" s="161"/>
      <c r="C164" s="161"/>
      <c r="D164" s="161"/>
      <c r="E164" s="161"/>
      <c r="F164" s="161"/>
      <c r="G164" s="161"/>
      <c r="H164" s="161"/>
      <c r="I164" s="161"/>
      <c r="J164" s="161"/>
      <c r="K164" s="161"/>
      <c r="L164" s="161"/>
      <c r="M164" s="161"/>
      <c r="N164" s="161"/>
      <c r="O164" s="161"/>
      <c r="P164" s="161"/>
      <c r="Q164" s="161"/>
      <c r="R164" s="161"/>
      <c r="S164" s="161"/>
      <c r="T164" s="161"/>
      <c r="U164" s="161"/>
      <c r="V164" s="161"/>
      <c r="W164" s="161"/>
      <c r="X164" s="161"/>
    </row>
    <row r="165" ht="12.75" customHeight="1">
      <c r="A165" s="161"/>
      <c r="B165" s="161"/>
      <c r="C165" s="161"/>
      <c r="D165" s="161"/>
      <c r="E165" s="161"/>
      <c r="F165" s="161"/>
      <c r="G165" s="161"/>
      <c r="H165" s="161"/>
      <c r="I165" s="161"/>
      <c r="J165" s="161"/>
      <c r="K165" s="161"/>
      <c r="L165" s="161"/>
      <c r="M165" s="161"/>
      <c r="N165" s="161"/>
      <c r="O165" s="161"/>
      <c r="P165" s="161"/>
      <c r="Q165" s="161"/>
      <c r="R165" s="161"/>
      <c r="S165" s="161"/>
      <c r="T165" s="161"/>
      <c r="U165" s="161"/>
      <c r="V165" s="161"/>
      <c r="W165" s="161"/>
      <c r="X165" s="161"/>
    </row>
    <row r="166" ht="12.75" customHeight="1">
      <c r="A166" s="161"/>
      <c r="B166" s="161"/>
      <c r="C166" s="161"/>
      <c r="D166" s="161"/>
      <c r="E166" s="161"/>
      <c r="F166" s="161"/>
      <c r="G166" s="161"/>
      <c r="H166" s="161"/>
      <c r="I166" s="161"/>
      <c r="J166" s="161"/>
      <c r="K166" s="161"/>
      <c r="L166" s="161"/>
      <c r="M166" s="161"/>
      <c r="N166" s="161"/>
      <c r="O166" s="161"/>
      <c r="P166" s="161"/>
      <c r="Q166" s="161"/>
      <c r="R166" s="161"/>
      <c r="S166" s="161"/>
      <c r="T166" s="161"/>
      <c r="U166" s="161"/>
      <c r="V166" s="161"/>
      <c r="W166" s="161"/>
      <c r="X166" s="161"/>
    </row>
    <row r="167" ht="12.75" customHeight="1">
      <c r="A167" s="161"/>
      <c r="B167" s="161"/>
      <c r="C167" s="161"/>
      <c r="D167" s="161"/>
      <c r="E167" s="161"/>
      <c r="F167" s="161"/>
      <c r="G167" s="161"/>
      <c r="H167" s="161"/>
      <c r="I167" s="161"/>
      <c r="J167" s="161"/>
      <c r="K167" s="161"/>
      <c r="L167" s="161"/>
      <c r="M167" s="161"/>
      <c r="N167" s="161"/>
      <c r="O167" s="161"/>
      <c r="P167" s="161"/>
      <c r="Q167" s="161"/>
      <c r="R167" s="161"/>
      <c r="S167" s="161"/>
      <c r="T167" s="161"/>
      <c r="U167" s="161"/>
      <c r="V167" s="161"/>
      <c r="W167" s="161"/>
      <c r="X167" s="161"/>
    </row>
    <row r="168" ht="12.75" customHeight="1">
      <c r="A168" s="161"/>
      <c r="B168" s="161"/>
      <c r="C168" s="161"/>
      <c r="D168" s="161"/>
      <c r="E168" s="161"/>
      <c r="F168" s="161"/>
      <c r="G168" s="161"/>
      <c r="H168" s="161"/>
      <c r="I168" s="161"/>
      <c r="J168" s="161"/>
      <c r="K168" s="161"/>
      <c r="L168" s="161"/>
      <c r="M168" s="161"/>
      <c r="N168" s="161"/>
      <c r="O168" s="161"/>
      <c r="P168" s="161"/>
      <c r="Q168" s="161"/>
      <c r="R168" s="161"/>
      <c r="S168" s="161"/>
      <c r="T168" s="161"/>
      <c r="U168" s="161"/>
      <c r="V168" s="161"/>
      <c r="W168" s="161"/>
      <c r="X168" s="161"/>
    </row>
    <row r="169" ht="12.75" customHeight="1">
      <c r="A169" s="161"/>
      <c r="B169" s="161"/>
      <c r="C169" s="161"/>
      <c r="D169" s="161"/>
      <c r="E169" s="161"/>
      <c r="F169" s="161"/>
      <c r="G169" s="161"/>
      <c r="H169" s="161"/>
      <c r="I169" s="161"/>
      <c r="J169" s="161"/>
      <c r="K169" s="161"/>
      <c r="L169" s="161"/>
      <c r="M169" s="161"/>
      <c r="N169" s="161"/>
      <c r="O169" s="161"/>
      <c r="P169" s="161"/>
      <c r="Q169" s="161"/>
      <c r="R169" s="161"/>
      <c r="S169" s="161"/>
      <c r="T169" s="161"/>
      <c r="U169" s="161"/>
      <c r="V169" s="161"/>
      <c r="W169" s="161"/>
      <c r="X169" s="161"/>
    </row>
    <row r="170" ht="12.75" customHeight="1">
      <c r="A170" s="161"/>
      <c r="B170" s="161"/>
      <c r="C170" s="161"/>
      <c r="D170" s="161"/>
      <c r="E170" s="161"/>
      <c r="F170" s="161"/>
      <c r="G170" s="161"/>
      <c r="H170" s="161"/>
      <c r="I170" s="161"/>
      <c r="J170" s="161"/>
      <c r="K170" s="161"/>
      <c r="L170" s="161"/>
      <c r="M170" s="161"/>
      <c r="N170" s="161"/>
      <c r="O170" s="161"/>
      <c r="P170" s="161"/>
      <c r="Q170" s="161"/>
      <c r="R170" s="161"/>
      <c r="S170" s="161"/>
      <c r="T170" s="161"/>
      <c r="U170" s="161"/>
      <c r="V170" s="161"/>
      <c r="W170" s="161"/>
      <c r="X170" s="161"/>
    </row>
    <row r="171" ht="12.75" customHeight="1">
      <c r="A171" s="161"/>
      <c r="B171" s="161"/>
      <c r="C171" s="161"/>
      <c r="D171" s="161"/>
      <c r="E171" s="161"/>
      <c r="F171" s="161"/>
      <c r="G171" s="161"/>
      <c r="H171" s="161"/>
      <c r="I171" s="161"/>
      <c r="J171" s="161"/>
      <c r="K171" s="161"/>
      <c r="L171" s="161"/>
      <c r="M171" s="161"/>
      <c r="N171" s="161"/>
      <c r="O171" s="161"/>
      <c r="P171" s="161"/>
      <c r="Q171" s="161"/>
      <c r="R171" s="161"/>
      <c r="S171" s="161"/>
      <c r="T171" s="161"/>
      <c r="U171" s="161"/>
      <c r="V171" s="161"/>
      <c r="W171" s="161"/>
      <c r="X171" s="161"/>
    </row>
    <row r="172" ht="12.75" customHeight="1">
      <c r="A172" s="161"/>
      <c r="B172" s="161"/>
      <c r="C172" s="161"/>
      <c r="D172" s="161"/>
      <c r="E172" s="161"/>
      <c r="F172" s="161"/>
      <c r="G172" s="161"/>
      <c r="H172" s="161"/>
      <c r="I172" s="161"/>
      <c r="J172" s="161"/>
      <c r="K172" s="161"/>
      <c r="L172" s="161"/>
      <c r="M172" s="161"/>
      <c r="N172" s="161"/>
      <c r="O172" s="161"/>
      <c r="P172" s="161"/>
      <c r="Q172" s="161"/>
      <c r="R172" s="161"/>
      <c r="S172" s="161"/>
      <c r="T172" s="161"/>
      <c r="U172" s="161"/>
      <c r="V172" s="161"/>
      <c r="W172" s="161"/>
      <c r="X172" s="161"/>
    </row>
    <row r="173" ht="12.75" customHeight="1">
      <c r="A173" s="16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row>
    <row r="174" ht="12.75" customHeight="1">
      <c r="A174" s="161"/>
      <c r="B174" s="161"/>
      <c r="C174" s="161"/>
      <c r="D174" s="161"/>
      <c r="E174" s="161"/>
      <c r="F174" s="161"/>
      <c r="G174" s="161"/>
      <c r="H174" s="161"/>
      <c r="I174" s="161"/>
      <c r="J174" s="161"/>
      <c r="K174" s="161"/>
      <c r="L174" s="161"/>
      <c r="M174" s="161"/>
      <c r="N174" s="161"/>
      <c r="O174" s="161"/>
      <c r="P174" s="161"/>
      <c r="Q174" s="161"/>
      <c r="R174" s="161"/>
      <c r="S174" s="161"/>
      <c r="T174" s="161"/>
      <c r="U174" s="161"/>
      <c r="V174" s="161"/>
      <c r="W174" s="161"/>
      <c r="X174" s="161"/>
    </row>
    <row r="175" ht="12.75" customHeight="1">
      <c r="A175" s="161"/>
      <c r="B175" s="161"/>
      <c r="C175" s="161"/>
      <c r="D175" s="161"/>
      <c r="E175" s="161"/>
      <c r="F175" s="161"/>
      <c r="G175" s="161"/>
      <c r="H175" s="161"/>
      <c r="I175" s="161"/>
      <c r="J175" s="161"/>
      <c r="K175" s="161"/>
      <c r="L175" s="161"/>
      <c r="M175" s="161"/>
      <c r="N175" s="161"/>
      <c r="O175" s="161"/>
      <c r="P175" s="161"/>
      <c r="Q175" s="161"/>
      <c r="R175" s="161"/>
      <c r="S175" s="161"/>
      <c r="T175" s="161"/>
      <c r="U175" s="161"/>
      <c r="V175" s="161"/>
      <c r="W175" s="161"/>
      <c r="X175" s="161"/>
    </row>
    <row r="176" ht="12.75" customHeight="1">
      <c r="A176" s="161"/>
      <c r="B176" s="161"/>
      <c r="C176" s="161"/>
      <c r="D176" s="161"/>
      <c r="E176" s="161"/>
      <c r="F176" s="161"/>
      <c r="G176" s="161"/>
      <c r="H176" s="161"/>
      <c r="I176" s="161"/>
      <c r="J176" s="161"/>
      <c r="K176" s="161"/>
      <c r="L176" s="161"/>
      <c r="M176" s="161"/>
      <c r="N176" s="161"/>
      <c r="O176" s="161"/>
      <c r="P176" s="161"/>
      <c r="Q176" s="161"/>
      <c r="R176" s="161"/>
      <c r="S176" s="161"/>
      <c r="T176" s="161"/>
      <c r="U176" s="161"/>
      <c r="V176" s="161"/>
      <c r="W176" s="161"/>
      <c r="X176" s="161"/>
    </row>
    <row r="177" ht="12.75" customHeight="1">
      <c r="A177" s="161"/>
      <c r="B177" s="161"/>
      <c r="C177" s="161"/>
      <c r="D177" s="161"/>
      <c r="E177" s="161"/>
      <c r="F177" s="161"/>
      <c r="G177" s="161"/>
      <c r="H177" s="161"/>
      <c r="I177" s="161"/>
      <c r="J177" s="161"/>
      <c r="K177" s="161"/>
      <c r="L177" s="161"/>
      <c r="M177" s="161"/>
      <c r="N177" s="161"/>
      <c r="O177" s="161"/>
      <c r="P177" s="161"/>
      <c r="Q177" s="161"/>
      <c r="R177" s="161"/>
      <c r="S177" s="161"/>
      <c r="T177" s="161"/>
      <c r="U177" s="161"/>
      <c r="V177" s="161"/>
      <c r="W177" s="161"/>
      <c r="X177" s="161"/>
    </row>
    <row r="178" ht="12.75" customHeight="1">
      <c r="A178" s="161"/>
      <c r="B178" s="161"/>
      <c r="C178" s="161"/>
      <c r="D178" s="161"/>
      <c r="E178" s="161"/>
      <c r="F178" s="161"/>
      <c r="G178" s="161"/>
      <c r="H178" s="161"/>
      <c r="I178" s="161"/>
      <c r="J178" s="161"/>
      <c r="K178" s="161"/>
      <c r="L178" s="161"/>
      <c r="M178" s="161"/>
      <c r="N178" s="161"/>
      <c r="O178" s="161"/>
      <c r="P178" s="161"/>
      <c r="Q178" s="161"/>
      <c r="R178" s="161"/>
      <c r="S178" s="161"/>
      <c r="T178" s="161"/>
      <c r="U178" s="161"/>
      <c r="V178" s="161"/>
      <c r="W178" s="161"/>
      <c r="X178" s="161"/>
    </row>
    <row r="179" ht="12.75" customHeight="1">
      <c r="A179" s="161"/>
      <c r="B179" s="161"/>
      <c r="C179" s="161"/>
      <c r="D179" s="161"/>
      <c r="E179" s="161"/>
      <c r="F179" s="161"/>
      <c r="G179" s="161"/>
      <c r="H179" s="161"/>
      <c r="I179" s="161"/>
      <c r="J179" s="161"/>
      <c r="K179" s="161"/>
      <c r="L179" s="161"/>
      <c r="M179" s="161"/>
      <c r="N179" s="161"/>
      <c r="O179" s="161"/>
      <c r="P179" s="161"/>
      <c r="Q179" s="161"/>
      <c r="R179" s="161"/>
      <c r="S179" s="161"/>
      <c r="T179" s="161"/>
      <c r="U179" s="161"/>
      <c r="V179" s="161"/>
      <c r="W179" s="161"/>
      <c r="X179" s="161"/>
    </row>
    <row r="180" ht="12.75" customHeight="1">
      <c r="A180" s="161"/>
      <c r="B180" s="161"/>
      <c r="C180" s="161"/>
      <c r="D180" s="161"/>
      <c r="E180" s="161"/>
      <c r="F180" s="161"/>
      <c r="G180" s="161"/>
      <c r="H180" s="161"/>
      <c r="I180" s="161"/>
      <c r="J180" s="161"/>
      <c r="K180" s="161"/>
      <c r="L180" s="161"/>
      <c r="M180" s="161"/>
      <c r="N180" s="161"/>
      <c r="O180" s="161"/>
      <c r="P180" s="161"/>
      <c r="Q180" s="161"/>
      <c r="R180" s="161"/>
      <c r="S180" s="161"/>
      <c r="T180" s="161"/>
      <c r="U180" s="161"/>
      <c r="V180" s="161"/>
      <c r="W180" s="161"/>
      <c r="X180" s="161"/>
    </row>
    <row r="181" ht="12.75" customHeight="1">
      <c r="A181" s="161"/>
      <c r="B181" s="161"/>
      <c r="C181" s="161"/>
      <c r="D181" s="161"/>
      <c r="E181" s="161"/>
      <c r="F181" s="161"/>
      <c r="G181" s="161"/>
      <c r="H181" s="161"/>
      <c r="I181" s="161"/>
      <c r="J181" s="161"/>
      <c r="K181" s="161"/>
      <c r="L181" s="161"/>
      <c r="M181" s="161"/>
      <c r="N181" s="161"/>
      <c r="O181" s="161"/>
      <c r="P181" s="161"/>
      <c r="Q181" s="161"/>
      <c r="R181" s="161"/>
      <c r="S181" s="161"/>
      <c r="T181" s="161"/>
      <c r="U181" s="161"/>
      <c r="V181" s="161"/>
      <c r="W181" s="161"/>
      <c r="X181" s="161"/>
    </row>
    <row r="182" ht="12.75" customHeight="1">
      <c r="A182" s="161"/>
      <c r="B182" s="161"/>
      <c r="C182" s="161"/>
      <c r="D182" s="161"/>
      <c r="E182" s="161"/>
      <c r="F182" s="161"/>
      <c r="G182" s="161"/>
      <c r="H182" s="161"/>
      <c r="I182" s="161"/>
      <c r="J182" s="161"/>
      <c r="K182" s="161"/>
      <c r="L182" s="161"/>
      <c r="M182" s="161"/>
      <c r="N182" s="161"/>
      <c r="O182" s="161"/>
      <c r="P182" s="161"/>
      <c r="Q182" s="161"/>
      <c r="R182" s="161"/>
      <c r="S182" s="161"/>
      <c r="T182" s="161"/>
      <c r="U182" s="161"/>
      <c r="V182" s="161"/>
      <c r="W182" s="161"/>
      <c r="X182" s="161"/>
    </row>
    <row r="183" ht="12.75" customHeight="1">
      <c r="A183" s="161"/>
      <c r="B183" s="161"/>
      <c r="C183" s="161"/>
      <c r="D183" s="161"/>
      <c r="E183" s="161"/>
      <c r="F183" s="161"/>
      <c r="G183" s="161"/>
      <c r="H183" s="161"/>
      <c r="I183" s="161"/>
      <c r="J183" s="161"/>
      <c r="K183" s="161"/>
      <c r="L183" s="161"/>
      <c r="M183" s="161"/>
      <c r="N183" s="161"/>
      <c r="O183" s="161"/>
      <c r="P183" s="161"/>
      <c r="Q183" s="161"/>
      <c r="R183" s="161"/>
      <c r="S183" s="161"/>
      <c r="T183" s="161"/>
      <c r="U183" s="161"/>
      <c r="V183" s="161"/>
      <c r="W183" s="161"/>
      <c r="X183" s="161"/>
    </row>
    <row r="184" ht="12.75" customHeight="1">
      <c r="A184" s="161"/>
      <c r="B184" s="161"/>
      <c r="C184" s="161"/>
      <c r="D184" s="161"/>
      <c r="E184" s="161"/>
      <c r="F184" s="161"/>
      <c r="G184" s="161"/>
      <c r="H184" s="161"/>
      <c r="I184" s="161"/>
      <c r="J184" s="161"/>
      <c r="K184" s="161"/>
      <c r="L184" s="161"/>
      <c r="M184" s="161"/>
      <c r="N184" s="161"/>
      <c r="O184" s="161"/>
      <c r="P184" s="161"/>
      <c r="Q184" s="161"/>
      <c r="R184" s="161"/>
      <c r="S184" s="161"/>
      <c r="T184" s="161"/>
      <c r="U184" s="161"/>
      <c r="V184" s="161"/>
      <c r="W184" s="161"/>
      <c r="X184" s="161"/>
    </row>
    <row r="185" ht="12.75" customHeight="1">
      <c r="A185" s="161"/>
      <c r="B185" s="161"/>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row>
    <row r="186" ht="12.75" customHeight="1">
      <c r="A186" s="161"/>
      <c r="B186" s="161"/>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row>
    <row r="187" ht="12.75" customHeight="1">
      <c r="A187" s="161"/>
      <c r="B187" s="161"/>
      <c r="C187" s="161"/>
      <c r="D187" s="161"/>
      <c r="E187" s="161"/>
      <c r="F187" s="161"/>
      <c r="G187" s="161"/>
      <c r="H187" s="161"/>
      <c r="I187" s="161"/>
      <c r="J187" s="161"/>
      <c r="K187" s="161"/>
      <c r="L187" s="161"/>
      <c r="M187" s="161"/>
      <c r="N187" s="161"/>
      <c r="O187" s="161"/>
      <c r="P187" s="161"/>
      <c r="Q187" s="161"/>
      <c r="R187" s="161"/>
      <c r="S187" s="161"/>
      <c r="T187" s="161"/>
      <c r="U187" s="161"/>
      <c r="V187" s="161"/>
      <c r="W187" s="161"/>
      <c r="X187" s="161"/>
    </row>
    <row r="188" ht="12.75" customHeight="1">
      <c r="A188" s="161"/>
      <c r="B188" s="161"/>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row>
    <row r="189" ht="12.75" customHeight="1">
      <c r="A189" s="161"/>
      <c r="B189" s="161"/>
      <c r="C189" s="161"/>
      <c r="D189" s="161"/>
      <c r="E189" s="161"/>
      <c r="F189" s="161"/>
      <c r="G189" s="161"/>
      <c r="H189" s="161"/>
      <c r="I189" s="161"/>
      <c r="J189" s="161"/>
      <c r="K189" s="161"/>
      <c r="L189" s="161"/>
      <c r="M189" s="161"/>
      <c r="N189" s="161"/>
      <c r="O189" s="161"/>
      <c r="P189" s="161"/>
      <c r="Q189" s="161"/>
      <c r="R189" s="161"/>
      <c r="S189" s="161"/>
      <c r="T189" s="161"/>
      <c r="U189" s="161"/>
      <c r="V189" s="161"/>
      <c r="W189" s="161"/>
      <c r="X189" s="161"/>
    </row>
    <row r="190" ht="12.75" customHeight="1">
      <c r="A190" s="161"/>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row>
    <row r="191" ht="12.75" customHeight="1">
      <c r="A191" s="161"/>
      <c r="B191" s="161"/>
      <c r="C191" s="161"/>
      <c r="D191" s="161"/>
      <c r="E191" s="161"/>
      <c r="F191" s="161"/>
      <c r="G191" s="161"/>
      <c r="H191" s="161"/>
      <c r="I191" s="161"/>
      <c r="J191" s="161"/>
      <c r="K191" s="161"/>
      <c r="L191" s="161"/>
      <c r="M191" s="161"/>
      <c r="N191" s="161"/>
      <c r="O191" s="161"/>
      <c r="P191" s="161"/>
      <c r="Q191" s="161"/>
      <c r="R191" s="161"/>
      <c r="S191" s="161"/>
      <c r="T191" s="161"/>
      <c r="U191" s="161"/>
      <c r="V191" s="161"/>
      <c r="W191" s="161"/>
      <c r="X191" s="161"/>
    </row>
    <row r="192" ht="12.75" customHeight="1">
      <c r="A192" s="161"/>
      <c r="B192" s="161"/>
      <c r="C192" s="161"/>
      <c r="D192" s="161"/>
      <c r="E192" s="161"/>
      <c r="F192" s="161"/>
      <c r="G192" s="161"/>
      <c r="H192" s="161"/>
      <c r="I192" s="161"/>
      <c r="J192" s="161"/>
      <c r="K192" s="161"/>
      <c r="L192" s="161"/>
      <c r="M192" s="161"/>
      <c r="N192" s="161"/>
      <c r="O192" s="161"/>
      <c r="P192" s="161"/>
      <c r="Q192" s="161"/>
      <c r="R192" s="161"/>
      <c r="S192" s="161"/>
      <c r="T192" s="161"/>
      <c r="U192" s="161"/>
      <c r="V192" s="161"/>
      <c r="W192" s="161"/>
      <c r="X192" s="161"/>
    </row>
    <row r="193" ht="12.75" customHeight="1">
      <c r="A193" s="161"/>
      <c r="B193" s="161"/>
      <c r="C193" s="161"/>
      <c r="D193" s="161"/>
      <c r="E193" s="161"/>
      <c r="F193" s="161"/>
      <c r="G193" s="161"/>
      <c r="H193" s="161"/>
      <c r="I193" s="161"/>
      <c r="J193" s="161"/>
      <c r="K193" s="161"/>
      <c r="L193" s="161"/>
      <c r="M193" s="161"/>
      <c r="N193" s="161"/>
      <c r="O193" s="161"/>
      <c r="P193" s="161"/>
      <c r="Q193" s="161"/>
      <c r="R193" s="161"/>
      <c r="S193" s="161"/>
      <c r="T193" s="161"/>
      <c r="U193" s="161"/>
      <c r="V193" s="161"/>
      <c r="W193" s="161"/>
      <c r="X193" s="161"/>
    </row>
    <row r="194" ht="12.75" customHeight="1">
      <c r="A194" s="161"/>
      <c r="B194" s="161"/>
      <c r="C194" s="161"/>
      <c r="D194" s="161"/>
      <c r="E194" s="161"/>
      <c r="F194" s="161"/>
      <c r="G194" s="161"/>
      <c r="H194" s="161"/>
      <c r="I194" s="161"/>
      <c r="J194" s="161"/>
      <c r="K194" s="161"/>
      <c r="L194" s="161"/>
      <c r="M194" s="161"/>
      <c r="N194" s="161"/>
      <c r="O194" s="161"/>
      <c r="P194" s="161"/>
      <c r="Q194" s="161"/>
      <c r="R194" s="161"/>
      <c r="S194" s="161"/>
      <c r="T194" s="161"/>
      <c r="U194" s="161"/>
      <c r="V194" s="161"/>
      <c r="W194" s="161"/>
      <c r="X194" s="161"/>
    </row>
    <row r="195" ht="12.75" customHeight="1">
      <c r="A195" s="161"/>
      <c r="B195" s="161"/>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row>
    <row r="196" ht="12.75" customHeight="1">
      <c r="A196" s="161"/>
      <c r="B196" s="161"/>
      <c r="C196" s="161"/>
      <c r="D196" s="161"/>
      <c r="E196" s="161"/>
      <c r="F196" s="161"/>
      <c r="G196" s="161"/>
      <c r="H196" s="161"/>
      <c r="I196" s="161"/>
      <c r="J196" s="161"/>
      <c r="K196" s="161"/>
      <c r="L196" s="161"/>
      <c r="M196" s="161"/>
      <c r="N196" s="161"/>
      <c r="O196" s="161"/>
      <c r="P196" s="161"/>
      <c r="Q196" s="161"/>
      <c r="R196" s="161"/>
      <c r="S196" s="161"/>
      <c r="T196" s="161"/>
      <c r="U196" s="161"/>
      <c r="V196" s="161"/>
      <c r="W196" s="161"/>
      <c r="X196" s="161"/>
    </row>
    <row r="197" ht="12.75" customHeight="1">
      <c r="A197" s="161"/>
      <c r="B197" s="161"/>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row>
    <row r="198" ht="12.75" customHeight="1">
      <c r="A198" s="161"/>
      <c r="B198" s="161"/>
      <c r="C198" s="161"/>
      <c r="D198" s="161"/>
      <c r="E198" s="161"/>
      <c r="F198" s="161"/>
      <c r="G198" s="161"/>
      <c r="H198" s="161"/>
      <c r="I198" s="161"/>
      <c r="J198" s="161"/>
      <c r="K198" s="161"/>
      <c r="L198" s="161"/>
      <c r="M198" s="161"/>
      <c r="N198" s="161"/>
      <c r="O198" s="161"/>
      <c r="P198" s="161"/>
      <c r="Q198" s="161"/>
      <c r="R198" s="161"/>
      <c r="S198" s="161"/>
      <c r="T198" s="161"/>
      <c r="U198" s="161"/>
      <c r="V198" s="161"/>
      <c r="W198" s="161"/>
      <c r="X198" s="161"/>
    </row>
    <row r="199" ht="12.75" customHeight="1">
      <c r="A199" s="161"/>
      <c r="B199" s="161"/>
      <c r="C199" s="161"/>
      <c r="D199" s="161"/>
      <c r="E199" s="161"/>
      <c r="F199" s="161"/>
      <c r="G199" s="161"/>
      <c r="H199" s="161"/>
      <c r="I199" s="161"/>
      <c r="J199" s="161"/>
      <c r="K199" s="161"/>
      <c r="L199" s="161"/>
      <c r="M199" s="161"/>
      <c r="N199" s="161"/>
      <c r="O199" s="161"/>
      <c r="P199" s="161"/>
      <c r="Q199" s="161"/>
      <c r="R199" s="161"/>
      <c r="S199" s="161"/>
      <c r="T199" s="161"/>
      <c r="U199" s="161"/>
      <c r="V199" s="161"/>
      <c r="W199" s="161"/>
      <c r="X199" s="161"/>
    </row>
    <row r="200" ht="12.75" customHeight="1">
      <c r="A200" s="161"/>
      <c r="B200" s="161"/>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row>
    <row r="201" ht="12.75" customHeight="1">
      <c r="A201" s="161"/>
      <c r="B201" s="161"/>
      <c r="C201" s="161"/>
      <c r="D201" s="161"/>
      <c r="E201" s="161"/>
      <c r="F201" s="161"/>
      <c r="G201" s="161"/>
      <c r="H201" s="161"/>
      <c r="I201" s="161"/>
      <c r="J201" s="161"/>
      <c r="K201" s="161"/>
      <c r="L201" s="161"/>
      <c r="M201" s="161"/>
      <c r="N201" s="161"/>
      <c r="O201" s="161"/>
      <c r="P201" s="161"/>
      <c r="Q201" s="161"/>
      <c r="R201" s="161"/>
      <c r="S201" s="161"/>
      <c r="T201" s="161"/>
      <c r="U201" s="161"/>
      <c r="V201" s="161"/>
      <c r="W201" s="161"/>
      <c r="X201" s="161"/>
    </row>
    <row r="202" ht="12.75" customHeight="1">
      <c r="A202" s="161"/>
      <c r="B202" s="161"/>
      <c r="C202" s="161"/>
      <c r="D202" s="161"/>
      <c r="E202" s="161"/>
      <c r="F202" s="161"/>
      <c r="G202" s="161"/>
      <c r="H202" s="161"/>
      <c r="I202" s="161"/>
      <c r="J202" s="161"/>
      <c r="K202" s="161"/>
      <c r="L202" s="161"/>
      <c r="M202" s="161"/>
      <c r="N202" s="161"/>
      <c r="O202" s="161"/>
      <c r="P202" s="161"/>
      <c r="Q202" s="161"/>
      <c r="R202" s="161"/>
      <c r="S202" s="161"/>
      <c r="T202" s="161"/>
      <c r="U202" s="161"/>
      <c r="V202" s="161"/>
      <c r="W202" s="161"/>
      <c r="X202" s="161"/>
    </row>
    <row r="203" ht="12.75" customHeight="1">
      <c r="A203" s="161"/>
      <c r="B203" s="161"/>
      <c r="C203" s="161"/>
      <c r="D203" s="161"/>
      <c r="E203" s="161"/>
      <c r="F203" s="161"/>
      <c r="G203" s="161"/>
      <c r="H203" s="161"/>
      <c r="I203" s="161"/>
      <c r="J203" s="161"/>
      <c r="K203" s="161"/>
      <c r="L203" s="161"/>
      <c r="M203" s="161"/>
      <c r="N203" s="161"/>
      <c r="O203" s="161"/>
      <c r="P203" s="161"/>
      <c r="Q203" s="161"/>
      <c r="R203" s="161"/>
      <c r="S203" s="161"/>
      <c r="T203" s="161"/>
      <c r="U203" s="161"/>
      <c r="V203" s="161"/>
      <c r="W203" s="161"/>
      <c r="X203" s="161"/>
    </row>
    <row r="204" ht="12.75" customHeight="1">
      <c r="A204" s="161"/>
      <c r="B204" s="161"/>
      <c r="C204" s="161"/>
      <c r="D204" s="161"/>
      <c r="E204" s="161"/>
      <c r="F204" s="161"/>
      <c r="G204" s="161"/>
      <c r="H204" s="161"/>
      <c r="I204" s="161"/>
      <c r="J204" s="161"/>
      <c r="K204" s="161"/>
      <c r="L204" s="161"/>
      <c r="M204" s="161"/>
      <c r="N204" s="161"/>
      <c r="O204" s="161"/>
      <c r="P204" s="161"/>
      <c r="Q204" s="161"/>
      <c r="R204" s="161"/>
      <c r="S204" s="161"/>
      <c r="T204" s="161"/>
      <c r="U204" s="161"/>
      <c r="V204" s="161"/>
      <c r="W204" s="161"/>
      <c r="X204" s="161"/>
    </row>
    <row r="205" ht="12.75" customHeight="1">
      <c r="A205" s="161"/>
      <c r="B205" s="161"/>
      <c r="C205" s="161"/>
      <c r="D205" s="161"/>
      <c r="E205" s="161"/>
      <c r="F205" s="161"/>
      <c r="G205" s="161"/>
      <c r="H205" s="161"/>
      <c r="I205" s="161"/>
      <c r="J205" s="161"/>
      <c r="K205" s="161"/>
      <c r="L205" s="161"/>
      <c r="M205" s="161"/>
      <c r="N205" s="161"/>
      <c r="O205" s="161"/>
      <c r="P205" s="161"/>
      <c r="Q205" s="161"/>
      <c r="R205" s="161"/>
      <c r="S205" s="161"/>
      <c r="T205" s="161"/>
      <c r="U205" s="161"/>
      <c r="V205" s="161"/>
      <c r="W205" s="161"/>
      <c r="X205" s="161"/>
    </row>
    <row r="206" ht="12.75" customHeight="1">
      <c r="A206" s="161"/>
      <c r="B206" s="161"/>
      <c r="C206" s="161"/>
      <c r="D206" s="161"/>
      <c r="E206" s="161"/>
      <c r="F206" s="161"/>
      <c r="G206" s="161"/>
      <c r="H206" s="161"/>
      <c r="I206" s="161"/>
      <c r="J206" s="161"/>
      <c r="K206" s="161"/>
      <c r="L206" s="161"/>
      <c r="M206" s="161"/>
      <c r="N206" s="161"/>
      <c r="O206" s="161"/>
      <c r="P206" s="161"/>
      <c r="Q206" s="161"/>
      <c r="R206" s="161"/>
      <c r="S206" s="161"/>
      <c r="T206" s="161"/>
      <c r="U206" s="161"/>
      <c r="V206" s="161"/>
      <c r="W206" s="161"/>
      <c r="X206" s="161"/>
    </row>
    <row r="207" ht="12.75" customHeight="1">
      <c r="A207" s="161"/>
      <c r="B207" s="161"/>
      <c r="C207" s="161"/>
      <c r="D207" s="161"/>
      <c r="E207" s="161"/>
      <c r="F207" s="161"/>
      <c r="G207" s="161"/>
      <c r="H207" s="161"/>
      <c r="I207" s="161"/>
      <c r="J207" s="161"/>
      <c r="K207" s="161"/>
      <c r="L207" s="161"/>
      <c r="M207" s="161"/>
      <c r="N207" s="161"/>
      <c r="O207" s="161"/>
      <c r="P207" s="161"/>
      <c r="Q207" s="161"/>
      <c r="R207" s="161"/>
      <c r="S207" s="161"/>
      <c r="T207" s="161"/>
      <c r="U207" s="161"/>
      <c r="V207" s="161"/>
      <c r="W207" s="161"/>
      <c r="X207" s="161"/>
    </row>
    <row r="208" ht="12.75" customHeight="1">
      <c r="A208" s="161"/>
      <c r="B208" s="161"/>
      <c r="C208" s="161"/>
      <c r="D208" s="161"/>
      <c r="E208" s="161"/>
      <c r="F208" s="161"/>
      <c r="G208" s="161"/>
      <c r="H208" s="161"/>
      <c r="I208" s="161"/>
      <c r="J208" s="161"/>
      <c r="K208" s="161"/>
      <c r="L208" s="161"/>
      <c r="M208" s="161"/>
      <c r="N208" s="161"/>
      <c r="O208" s="161"/>
      <c r="P208" s="161"/>
      <c r="Q208" s="161"/>
      <c r="R208" s="161"/>
      <c r="S208" s="161"/>
      <c r="T208" s="161"/>
      <c r="U208" s="161"/>
      <c r="V208" s="161"/>
      <c r="W208" s="161"/>
      <c r="X208" s="161"/>
    </row>
    <row r="209" ht="12.75" customHeight="1">
      <c r="A209" s="161"/>
      <c r="B209" s="161"/>
      <c r="C209" s="161"/>
      <c r="D209" s="161"/>
      <c r="E209" s="161"/>
      <c r="F209" s="161"/>
      <c r="G209" s="161"/>
      <c r="H209" s="161"/>
      <c r="I209" s="161"/>
      <c r="J209" s="161"/>
      <c r="K209" s="161"/>
      <c r="L209" s="161"/>
      <c r="M209" s="161"/>
      <c r="N209" s="161"/>
      <c r="O209" s="161"/>
      <c r="P209" s="161"/>
      <c r="Q209" s="161"/>
      <c r="R209" s="161"/>
      <c r="S209" s="161"/>
      <c r="T209" s="161"/>
      <c r="U209" s="161"/>
      <c r="V209" s="161"/>
      <c r="W209" s="161"/>
      <c r="X209" s="161"/>
    </row>
    <row r="210" ht="12.75" customHeight="1">
      <c r="A210" s="161"/>
      <c r="B210" s="161"/>
      <c r="C210" s="161"/>
      <c r="D210" s="161"/>
      <c r="E210" s="161"/>
      <c r="F210" s="161"/>
      <c r="G210" s="161"/>
      <c r="H210" s="161"/>
      <c r="I210" s="161"/>
      <c r="J210" s="161"/>
      <c r="K210" s="161"/>
      <c r="L210" s="161"/>
      <c r="M210" s="161"/>
      <c r="N210" s="161"/>
      <c r="O210" s="161"/>
      <c r="P210" s="161"/>
      <c r="Q210" s="161"/>
      <c r="R210" s="161"/>
      <c r="S210" s="161"/>
      <c r="T210" s="161"/>
      <c r="U210" s="161"/>
      <c r="V210" s="161"/>
      <c r="W210" s="161"/>
      <c r="X210" s="161"/>
    </row>
    <row r="211" ht="12.75" customHeight="1">
      <c r="A211" s="161"/>
      <c r="B211" s="161"/>
      <c r="C211" s="161"/>
      <c r="D211" s="161"/>
      <c r="E211" s="161"/>
      <c r="F211" s="161"/>
      <c r="G211" s="161"/>
      <c r="H211" s="161"/>
      <c r="I211" s="161"/>
      <c r="J211" s="161"/>
      <c r="K211" s="161"/>
      <c r="L211" s="161"/>
      <c r="M211" s="161"/>
      <c r="N211" s="161"/>
      <c r="O211" s="161"/>
      <c r="P211" s="161"/>
      <c r="Q211" s="161"/>
      <c r="R211" s="161"/>
      <c r="S211" s="161"/>
      <c r="T211" s="161"/>
      <c r="U211" s="161"/>
      <c r="V211" s="161"/>
      <c r="W211" s="161"/>
      <c r="X211" s="161"/>
    </row>
    <row r="212" ht="12.75" customHeight="1">
      <c r="A212" s="161"/>
      <c r="B212" s="161"/>
      <c r="C212" s="161"/>
      <c r="D212" s="161"/>
      <c r="E212" s="161"/>
      <c r="F212" s="161"/>
      <c r="G212" s="161"/>
      <c r="H212" s="161"/>
      <c r="I212" s="161"/>
      <c r="J212" s="161"/>
      <c r="K212" s="161"/>
      <c r="L212" s="161"/>
      <c r="M212" s="161"/>
      <c r="N212" s="161"/>
      <c r="O212" s="161"/>
      <c r="P212" s="161"/>
      <c r="Q212" s="161"/>
      <c r="R212" s="161"/>
      <c r="S212" s="161"/>
      <c r="T212" s="161"/>
      <c r="U212" s="161"/>
      <c r="V212" s="161"/>
      <c r="W212" s="161"/>
      <c r="X212" s="161"/>
    </row>
    <row r="213" ht="12.75" customHeight="1">
      <c r="A213" s="161"/>
      <c r="B213" s="161"/>
      <c r="C213" s="161"/>
      <c r="D213" s="161"/>
      <c r="E213" s="161"/>
      <c r="F213" s="161"/>
      <c r="G213" s="161"/>
      <c r="H213" s="161"/>
      <c r="I213" s="161"/>
      <c r="J213" s="161"/>
      <c r="K213" s="161"/>
      <c r="L213" s="161"/>
      <c r="M213" s="161"/>
      <c r="N213" s="161"/>
      <c r="O213" s="161"/>
      <c r="P213" s="161"/>
      <c r="Q213" s="161"/>
      <c r="R213" s="161"/>
      <c r="S213" s="161"/>
      <c r="T213" s="161"/>
      <c r="U213" s="161"/>
      <c r="V213" s="161"/>
      <c r="W213" s="161"/>
      <c r="X213" s="161"/>
    </row>
    <row r="214" ht="12.75" customHeight="1">
      <c r="A214" s="161"/>
      <c r="B214" s="161"/>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row>
    <row r="215" ht="12.75" customHeight="1">
      <c r="A215" s="161"/>
      <c r="B215" s="161"/>
      <c r="C215" s="161"/>
      <c r="D215" s="161"/>
      <c r="E215" s="161"/>
      <c r="F215" s="161"/>
      <c r="G215" s="161"/>
      <c r="H215" s="161"/>
      <c r="I215" s="161"/>
      <c r="J215" s="161"/>
      <c r="K215" s="161"/>
      <c r="L215" s="161"/>
      <c r="M215" s="161"/>
      <c r="N215" s="161"/>
      <c r="O215" s="161"/>
      <c r="P215" s="161"/>
      <c r="Q215" s="161"/>
      <c r="R215" s="161"/>
      <c r="S215" s="161"/>
      <c r="T215" s="161"/>
      <c r="U215" s="161"/>
      <c r="V215" s="161"/>
      <c r="W215" s="161"/>
      <c r="X215" s="161"/>
    </row>
    <row r="216" ht="12.75" customHeight="1">
      <c r="A216" s="161"/>
      <c r="B216" s="161"/>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row>
    <row r="217" ht="12.75" customHeight="1">
      <c r="A217" s="161"/>
      <c r="B217" s="161"/>
      <c r="C217" s="161"/>
      <c r="D217" s="161"/>
      <c r="E217" s="161"/>
      <c r="F217" s="161"/>
      <c r="G217" s="161"/>
      <c r="H217" s="161"/>
      <c r="I217" s="161"/>
      <c r="J217" s="161"/>
      <c r="K217" s="161"/>
      <c r="L217" s="161"/>
      <c r="M217" s="161"/>
      <c r="N217" s="161"/>
      <c r="O217" s="161"/>
      <c r="P217" s="161"/>
      <c r="Q217" s="161"/>
      <c r="R217" s="161"/>
      <c r="S217" s="161"/>
      <c r="T217" s="161"/>
      <c r="U217" s="161"/>
      <c r="V217" s="161"/>
      <c r="W217" s="161"/>
      <c r="X217" s="161"/>
    </row>
    <row r="218" ht="12.75" customHeight="1">
      <c r="A218" s="161"/>
      <c r="B218" s="161"/>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row>
    <row r="219" ht="12.75" customHeight="1">
      <c r="A219" s="161"/>
      <c r="B219" s="161"/>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row>
    <row r="220" ht="12.75" customHeight="1">
      <c r="A220" s="161"/>
      <c r="B220" s="161"/>
      <c r="C220" s="161"/>
      <c r="D220" s="161"/>
      <c r="E220" s="161"/>
      <c r="F220" s="161"/>
      <c r="G220" s="161"/>
      <c r="H220" s="161"/>
      <c r="I220" s="161"/>
      <c r="J220" s="161"/>
      <c r="K220" s="161"/>
      <c r="L220" s="161"/>
      <c r="M220" s="161"/>
      <c r="N220" s="161"/>
      <c r="O220" s="161"/>
      <c r="P220" s="161"/>
      <c r="Q220" s="161"/>
      <c r="R220" s="161"/>
      <c r="S220" s="161"/>
      <c r="T220" s="161"/>
      <c r="U220" s="161"/>
      <c r="V220" s="161"/>
      <c r="W220" s="161"/>
      <c r="X220" s="161"/>
    </row>
    <row r="221" ht="12.75" customHeight="1">
      <c r="A221" s="161"/>
      <c r="B221" s="161"/>
      <c r="C221" s="161"/>
      <c r="D221" s="161"/>
      <c r="E221" s="161"/>
      <c r="F221" s="161"/>
      <c r="G221" s="161"/>
      <c r="H221" s="161"/>
      <c r="I221" s="161"/>
      <c r="J221" s="161"/>
      <c r="K221" s="161"/>
      <c r="L221" s="161"/>
      <c r="M221" s="161"/>
      <c r="N221" s="161"/>
      <c r="O221" s="161"/>
      <c r="P221" s="161"/>
      <c r="Q221" s="161"/>
      <c r="R221" s="161"/>
      <c r="S221" s="161"/>
      <c r="T221" s="161"/>
      <c r="U221" s="161"/>
      <c r="V221" s="161"/>
      <c r="W221" s="161"/>
      <c r="X221" s="161"/>
    </row>
    <row r="222" ht="12.75" customHeight="1">
      <c r="A222" s="161"/>
      <c r="B222" s="161"/>
      <c r="C222" s="161"/>
      <c r="D222" s="161"/>
      <c r="E222" s="161"/>
      <c r="F222" s="161"/>
      <c r="G222" s="161"/>
      <c r="H222" s="161"/>
      <c r="I222" s="161"/>
      <c r="J222" s="161"/>
      <c r="K222" s="161"/>
      <c r="L222" s="161"/>
      <c r="M222" s="161"/>
      <c r="N222" s="161"/>
      <c r="O222" s="161"/>
      <c r="P222" s="161"/>
      <c r="Q222" s="161"/>
      <c r="R222" s="161"/>
      <c r="S222" s="161"/>
      <c r="T222" s="161"/>
      <c r="U222" s="161"/>
      <c r="V222" s="161"/>
      <c r="W222" s="161"/>
      <c r="X222" s="161"/>
    </row>
    <row r="223" ht="12.75" customHeight="1">
      <c r="A223" s="161"/>
      <c r="B223" s="161"/>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row>
    <row r="224" ht="12.75" customHeight="1">
      <c r="A224" s="161"/>
      <c r="B224" s="161"/>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row>
    <row r="225" ht="12.75" customHeight="1">
      <c r="A225" s="161"/>
      <c r="B225" s="161"/>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row>
    <row r="226" ht="12.75" customHeight="1">
      <c r="A226" s="161"/>
      <c r="B226" s="161"/>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row>
    <row r="227" ht="12.75" customHeight="1">
      <c r="A227" s="161"/>
      <c r="B227" s="161"/>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row>
    <row r="228" ht="12.75" customHeight="1">
      <c r="A228" s="161"/>
      <c r="B228" s="161"/>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row>
    <row r="229" ht="12.75" customHeight="1">
      <c r="A229" s="161"/>
      <c r="B229" s="161"/>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row>
    <row r="230" ht="12.75" customHeight="1">
      <c r="A230" s="161"/>
      <c r="B230" s="161"/>
      <c r="C230" s="161"/>
      <c r="D230" s="161"/>
      <c r="E230" s="161"/>
      <c r="F230" s="161"/>
      <c r="G230" s="161"/>
      <c r="H230" s="161"/>
      <c r="I230" s="161"/>
      <c r="J230" s="161"/>
      <c r="K230" s="161"/>
      <c r="L230" s="161"/>
      <c r="M230" s="161"/>
      <c r="N230" s="161"/>
      <c r="O230" s="161"/>
      <c r="P230" s="161"/>
      <c r="Q230" s="161"/>
      <c r="R230" s="161"/>
      <c r="S230" s="161"/>
      <c r="T230" s="161"/>
      <c r="U230" s="161"/>
      <c r="V230" s="161"/>
      <c r="W230" s="161"/>
      <c r="X230" s="161"/>
    </row>
    <row r="231" ht="12.75" customHeight="1">
      <c r="A231" s="161"/>
      <c r="B231" s="161"/>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row>
    <row r="232" ht="12.75" customHeight="1">
      <c r="A232" s="161"/>
      <c r="B232" s="161"/>
      <c r="C232" s="161"/>
      <c r="D232" s="161"/>
      <c r="E232" s="161"/>
      <c r="F232" s="161"/>
      <c r="G232" s="161"/>
      <c r="H232" s="161"/>
      <c r="I232" s="161"/>
      <c r="J232" s="161"/>
      <c r="K232" s="161"/>
      <c r="L232" s="161"/>
      <c r="M232" s="161"/>
      <c r="N232" s="161"/>
      <c r="O232" s="161"/>
      <c r="P232" s="161"/>
      <c r="Q232" s="161"/>
      <c r="R232" s="161"/>
      <c r="S232" s="161"/>
      <c r="T232" s="161"/>
      <c r="U232" s="161"/>
      <c r="V232" s="161"/>
      <c r="W232" s="161"/>
      <c r="X232" s="161"/>
    </row>
    <row r="233" ht="12.75" customHeight="1">
      <c r="A233" s="161"/>
      <c r="B233" s="161"/>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row>
    <row r="234" ht="12.75" customHeight="1">
      <c r="A234" s="161"/>
      <c r="B234" s="161"/>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row>
    <row r="235" ht="12.75" customHeight="1">
      <c r="A235" s="161"/>
      <c r="B235" s="161"/>
      <c r="C235" s="161"/>
      <c r="D235" s="161"/>
      <c r="E235" s="161"/>
      <c r="F235" s="161"/>
      <c r="G235" s="161"/>
      <c r="H235" s="161"/>
      <c r="I235" s="161"/>
      <c r="J235" s="161"/>
      <c r="K235" s="161"/>
      <c r="L235" s="161"/>
      <c r="M235" s="161"/>
      <c r="N235" s="161"/>
      <c r="O235" s="161"/>
      <c r="P235" s="161"/>
      <c r="Q235" s="161"/>
      <c r="R235" s="161"/>
      <c r="S235" s="161"/>
      <c r="T235" s="161"/>
      <c r="U235" s="161"/>
      <c r="V235" s="161"/>
      <c r="W235" s="161"/>
      <c r="X235" s="161"/>
    </row>
    <row r="236" ht="12.75" customHeight="1">
      <c r="A236" s="161"/>
      <c r="B236" s="161"/>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row>
    <row r="237" ht="12.75" customHeight="1">
      <c r="A237" s="161"/>
      <c r="B237" s="161"/>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row>
    <row r="238" ht="12.75" customHeight="1">
      <c r="A238" s="161"/>
      <c r="B238" s="161"/>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row>
    <row r="239" ht="12.75" customHeight="1">
      <c r="A239" s="161"/>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row>
    <row r="240" ht="12.75" customHeight="1">
      <c r="A240" s="161"/>
      <c r="B240" s="161"/>
      <c r="C240" s="161"/>
      <c r="D240" s="161"/>
      <c r="E240" s="161"/>
      <c r="F240" s="161"/>
      <c r="G240" s="161"/>
      <c r="H240" s="161"/>
      <c r="I240" s="161"/>
      <c r="J240" s="161"/>
      <c r="K240" s="161"/>
      <c r="L240" s="161"/>
      <c r="M240" s="161"/>
      <c r="N240" s="161"/>
      <c r="O240" s="161"/>
      <c r="P240" s="161"/>
      <c r="Q240" s="161"/>
      <c r="R240" s="161"/>
      <c r="S240" s="161"/>
      <c r="T240" s="161"/>
      <c r="U240" s="161"/>
      <c r="V240" s="161"/>
      <c r="W240" s="161"/>
      <c r="X240" s="161"/>
    </row>
    <row r="241" ht="12.75" customHeight="1">
      <c r="A241" s="161"/>
      <c r="B241" s="161"/>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row>
    <row r="242" ht="12.75" customHeight="1">
      <c r="A242" s="161"/>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row>
    <row r="243" ht="12.75" customHeight="1">
      <c r="A243" s="161"/>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row>
    <row r="244" ht="12.75" customHeight="1">
      <c r="A244" s="161"/>
      <c r="B244" s="161"/>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row>
    <row r="245" ht="12.75" customHeight="1">
      <c r="A245" s="161"/>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row>
    <row r="246" ht="12.75" customHeight="1">
      <c r="A246" s="161"/>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row>
    <row r="247" ht="12.75" customHeight="1">
      <c r="A247" s="161"/>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row>
    <row r="248" ht="12.75" customHeight="1">
      <c r="A248" s="161"/>
      <c r="B248" s="161"/>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row>
    <row r="249" ht="12.75" customHeight="1">
      <c r="A249" s="161"/>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row>
    <row r="250" ht="12.75" customHeight="1">
      <c r="A250" s="161"/>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row>
    <row r="251" ht="12.75" customHeight="1">
      <c r="A251" s="161"/>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row>
    <row r="252" ht="12.75" customHeight="1">
      <c r="A252" s="161"/>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row>
    <row r="253" ht="12.75" customHeight="1">
      <c r="A253" s="161"/>
      <c r="B253" s="161"/>
      <c r="C253" s="161"/>
      <c r="D253" s="161"/>
      <c r="E253" s="161"/>
      <c r="F253" s="161"/>
      <c r="G253" s="161"/>
      <c r="H253" s="161"/>
      <c r="I253" s="161"/>
      <c r="J253" s="161"/>
      <c r="K253" s="161"/>
      <c r="L253" s="161"/>
      <c r="M253" s="161"/>
      <c r="N253" s="161"/>
      <c r="O253" s="161"/>
      <c r="P253" s="161"/>
      <c r="Q253" s="161"/>
      <c r="R253" s="161"/>
      <c r="S253" s="161"/>
      <c r="T253" s="161"/>
      <c r="U253" s="161"/>
      <c r="V253" s="161"/>
      <c r="W253" s="161"/>
      <c r="X253" s="161"/>
    </row>
    <row r="254" ht="12.75" customHeight="1">
      <c r="A254" s="161"/>
      <c r="B254" s="161"/>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row>
    <row r="255" ht="12.75" customHeight="1">
      <c r="A255" s="161"/>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row>
    <row r="256" ht="12.75" customHeight="1">
      <c r="A256" s="161"/>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row>
    <row r="257" ht="12.75" customHeight="1">
      <c r="A257" s="161"/>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row>
    <row r="258" ht="12.75" customHeight="1">
      <c r="A258" s="161"/>
      <c r="B258" s="161"/>
      <c r="C258" s="161"/>
      <c r="D258" s="161"/>
      <c r="E258" s="161"/>
      <c r="F258" s="161"/>
      <c r="G258" s="161"/>
      <c r="H258" s="161"/>
      <c r="I258" s="161"/>
      <c r="J258" s="161"/>
      <c r="K258" s="161"/>
      <c r="L258" s="161"/>
      <c r="M258" s="161"/>
      <c r="N258" s="161"/>
      <c r="O258" s="161"/>
      <c r="P258" s="161"/>
      <c r="Q258" s="161"/>
      <c r="R258" s="161"/>
      <c r="S258" s="161"/>
      <c r="T258" s="161"/>
      <c r="U258" s="161"/>
      <c r="V258" s="161"/>
      <c r="W258" s="161"/>
      <c r="X258" s="161"/>
    </row>
    <row r="259" ht="12.75" customHeight="1">
      <c r="A259" s="161"/>
      <c r="B259" s="161"/>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row>
    <row r="260" ht="12.75" customHeight="1">
      <c r="A260" s="161"/>
      <c r="B260" s="161"/>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row>
    <row r="261" ht="12.75" customHeight="1">
      <c r="A261" s="161"/>
      <c r="B261" s="161"/>
      <c r="C261" s="161"/>
      <c r="D261" s="161"/>
      <c r="E261" s="161"/>
      <c r="F261" s="161"/>
      <c r="G261" s="161"/>
      <c r="H261" s="161"/>
      <c r="I261" s="161"/>
      <c r="J261" s="161"/>
      <c r="K261" s="161"/>
      <c r="L261" s="161"/>
      <c r="M261" s="161"/>
      <c r="N261" s="161"/>
      <c r="O261" s="161"/>
      <c r="P261" s="161"/>
      <c r="Q261" s="161"/>
      <c r="R261" s="161"/>
      <c r="S261" s="161"/>
      <c r="T261" s="161"/>
      <c r="U261" s="161"/>
      <c r="V261" s="161"/>
      <c r="W261" s="161"/>
      <c r="X261" s="161"/>
    </row>
    <row r="262" ht="12.75" customHeight="1">
      <c r="A262" s="161"/>
      <c r="B262" s="161"/>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row>
    <row r="263" ht="12.75" customHeight="1">
      <c r="A263" s="161"/>
      <c r="B263" s="161"/>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row>
    <row r="264" ht="12.75" customHeight="1">
      <c r="A264" s="161"/>
      <c r="B264" s="161"/>
      <c r="C264" s="161"/>
      <c r="D264" s="161"/>
      <c r="E264" s="161"/>
      <c r="F264" s="161"/>
      <c r="G264" s="161"/>
      <c r="H264" s="161"/>
      <c r="I264" s="161"/>
      <c r="J264" s="161"/>
      <c r="K264" s="161"/>
      <c r="L264" s="161"/>
      <c r="M264" s="161"/>
      <c r="N264" s="161"/>
      <c r="O264" s="161"/>
      <c r="P264" s="161"/>
      <c r="Q264" s="161"/>
      <c r="R264" s="161"/>
      <c r="S264" s="161"/>
      <c r="T264" s="161"/>
      <c r="U264" s="161"/>
      <c r="V264" s="161"/>
      <c r="W264" s="161"/>
      <c r="X264" s="161"/>
    </row>
    <row r="265" ht="12.75" customHeight="1">
      <c r="A265" s="161"/>
      <c r="B265" s="161"/>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row>
    <row r="266" ht="12.75" customHeight="1">
      <c r="A266" s="161"/>
      <c r="B266" s="161"/>
      <c r="C266" s="161"/>
      <c r="D266" s="161"/>
      <c r="E266" s="161"/>
      <c r="F266" s="161"/>
      <c r="G266" s="161"/>
      <c r="H266" s="161"/>
      <c r="I266" s="161"/>
      <c r="J266" s="161"/>
      <c r="K266" s="161"/>
      <c r="L266" s="161"/>
      <c r="M266" s="161"/>
      <c r="N266" s="161"/>
      <c r="O266" s="161"/>
      <c r="P266" s="161"/>
      <c r="Q266" s="161"/>
      <c r="R266" s="161"/>
      <c r="S266" s="161"/>
      <c r="T266" s="161"/>
      <c r="U266" s="161"/>
      <c r="V266" s="161"/>
      <c r="W266" s="161"/>
      <c r="X266" s="161"/>
    </row>
    <row r="267" ht="12.75" customHeight="1">
      <c r="A267" s="161"/>
      <c r="B267" s="161"/>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row>
    <row r="268" ht="12.75" customHeight="1">
      <c r="A268" s="161"/>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row>
    <row r="269" ht="12.75" customHeight="1">
      <c r="A269" s="161"/>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row>
    <row r="270" ht="12.75" customHeight="1">
      <c r="A270" s="161"/>
      <c r="B270" s="161"/>
      <c r="C270" s="161"/>
      <c r="D270" s="161"/>
      <c r="E270" s="161"/>
      <c r="F270" s="161"/>
      <c r="G270" s="161"/>
      <c r="H270" s="161"/>
      <c r="I270" s="161"/>
      <c r="J270" s="161"/>
      <c r="K270" s="161"/>
      <c r="L270" s="161"/>
      <c r="M270" s="161"/>
      <c r="N270" s="161"/>
      <c r="O270" s="161"/>
      <c r="P270" s="161"/>
      <c r="Q270" s="161"/>
      <c r="R270" s="161"/>
      <c r="S270" s="161"/>
      <c r="T270" s="161"/>
      <c r="U270" s="161"/>
      <c r="V270" s="161"/>
      <c r="W270" s="161"/>
      <c r="X270" s="161"/>
    </row>
    <row r="271" ht="12.75" customHeight="1">
      <c r="A271" s="161"/>
      <c r="B271" s="161"/>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row>
    <row r="272" ht="12.75" customHeight="1">
      <c r="A272" s="161"/>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row>
    <row r="273" ht="12.75" customHeight="1">
      <c r="A273" s="161"/>
      <c r="B273" s="161"/>
      <c r="C273" s="161"/>
      <c r="D273" s="161"/>
      <c r="E273" s="161"/>
      <c r="F273" s="161"/>
      <c r="G273" s="161"/>
      <c r="H273" s="161"/>
      <c r="I273" s="161"/>
      <c r="J273" s="161"/>
      <c r="K273" s="161"/>
      <c r="L273" s="161"/>
      <c r="M273" s="161"/>
      <c r="N273" s="161"/>
      <c r="O273" s="161"/>
      <c r="P273" s="161"/>
      <c r="Q273" s="161"/>
      <c r="R273" s="161"/>
      <c r="S273" s="161"/>
      <c r="T273" s="161"/>
      <c r="U273" s="161"/>
      <c r="V273" s="161"/>
      <c r="W273" s="161"/>
      <c r="X273" s="161"/>
    </row>
    <row r="274" ht="12.75" customHeight="1">
      <c r="A274" s="161"/>
      <c r="B274" s="161"/>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row>
    <row r="275" ht="12.75" customHeight="1">
      <c r="A275" s="161"/>
      <c r="B275" s="161"/>
      <c r="C275" s="161"/>
      <c r="D275" s="161"/>
      <c r="E275" s="161"/>
      <c r="F275" s="161"/>
      <c r="G275" s="161"/>
      <c r="H275" s="161"/>
      <c r="I275" s="161"/>
      <c r="J275" s="161"/>
      <c r="K275" s="161"/>
      <c r="L275" s="161"/>
      <c r="M275" s="161"/>
      <c r="N275" s="161"/>
      <c r="O275" s="161"/>
      <c r="P275" s="161"/>
      <c r="Q275" s="161"/>
      <c r="R275" s="161"/>
      <c r="S275" s="161"/>
      <c r="T275" s="161"/>
      <c r="U275" s="161"/>
      <c r="V275" s="161"/>
      <c r="W275" s="161"/>
      <c r="X275" s="161"/>
    </row>
    <row r="276" ht="12.75" customHeight="1">
      <c r="A276" s="161"/>
      <c r="B276" s="161"/>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row>
    <row r="277" ht="12.75" customHeight="1">
      <c r="A277" s="161"/>
      <c r="B277" s="161"/>
      <c r="C277" s="161"/>
      <c r="D277" s="161"/>
      <c r="E277" s="161"/>
      <c r="F277" s="161"/>
      <c r="G277" s="161"/>
      <c r="H277" s="161"/>
      <c r="I277" s="161"/>
      <c r="J277" s="161"/>
      <c r="K277" s="161"/>
      <c r="L277" s="161"/>
      <c r="M277" s="161"/>
      <c r="N277" s="161"/>
      <c r="O277" s="161"/>
      <c r="P277" s="161"/>
      <c r="Q277" s="161"/>
      <c r="R277" s="161"/>
      <c r="S277" s="161"/>
      <c r="T277" s="161"/>
      <c r="U277" s="161"/>
      <c r="V277" s="161"/>
      <c r="W277" s="161"/>
      <c r="X277" s="161"/>
    </row>
    <row r="278" ht="12.75" customHeight="1">
      <c r="A278" s="161"/>
      <c r="B278" s="161"/>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row>
    <row r="279" ht="12.75" customHeight="1">
      <c r="A279" s="16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row>
    <row r="280" ht="12.75" customHeight="1">
      <c r="A280" s="161"/>
      <c r="B280" s="161"/>
      <c r="C280" s="161"/>
      <c r="D280" s="161"/>
      <c r="E280" s="161"/>
      <c r="F280" s="161"/>
      <c r="G280" s="161"/>
      <c r="H280" s="161"/>
      <c r="I280" s="161"/>
      <c r="J280" s="161"/>
      <c r="K280" s="161"/>
      <c r="L280" s="161"/>
      <c r="M280" s="161"/>
      <c r="N280" s="161"/>
      <c r="O280" s="161"/>
      <c r="P280" s="161"/>
      <c r="Q280" s="161"/>
      <c r="R280" s="161"/>
      <c r="S280" s="161"/>
      <c r="T280" s="161"/>
      <c r="U280" s="161"/>
      <c r="V280" s="161"/>
      <c r="W280" s="161"/>
      <c r="X280" s="161"/>
    </row>
    <row r="281" ht="12.75" customHeight="1">
      <c r="A281" s="161"/>
      <c r="B281" s="161"/>
      <c r="C281" s="161"/>
      <c r="D281" s="161"/>
      <c r="E281" s="161"/>
      <c r="F281" s="161"/>
      <c r="G281" s="161"/>
      <c r="H281" s="161"/>
      <c r="I281" s="161"/>
      <c r="J281" s="161"/>
      <c r="K281" s="161"/>
      <c r="L281" s="161"/>
      <c r="M281" s="161"/>
      <c r="N281" s="161"/>
      <c r="O281" s="161"/>
      <c r="P281" s="161"/>
      <c r="Q281" s="161"/>
      <c r="R281" s="161"/>
      <c r="S281" s="161"/>
      <c r="T281" s="161"/>
      <c r="U281" s="161"/>
      <c r="V281" s="161"/>
      <c r="W281" s="161"/>
      <c r="X281" s="161"/>
    </row>
    <row r="282" ht="12.75" customHeight="1">
      <c r="A282" s="16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row>
    <row r="283" ht="12.75" customHeight="1">
      <c r="A283" s="16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row>
    <row r="284" ht="12.75" customHeight="1">
      <c r="A284" s="16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row>
    <row r="285" ht="12.75" customHeight="1">
      <c r="A285" s="16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row>
    <row r="286" ht="12.75" customHeight="1">
      <c r="A286" s="16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row>
    <row r="287" ht="12.75" customHeight="1">
      <c r="A287" s="16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row>
    <row r="288" ht="12.75" customHeight="1">
      <c r="A288" s="16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D$88">
    <sortState ref="A5:D88">
      <sortCondition descending="1" ref="C5:C88"/>
    </sortState>
  </autoFilter>
  <mergeCells count="4">
    <mergeCell ref="A1:D1"/>
    <mergeCell ref="F1:M1"/>
    <mergeCell ref="A2:D2"/>
    <mergeCell ref="A4:D4"/>
  </mergeCells>
  <hyperlinks>
    <hyperlink r:id="rId1" ref="A1"/>
  </hyperlinks>
  <printOptions/>
  <pageMargins bottom="0.75" footer="0.0" header="0.0" left="0.7" right="0.7" top="0.75"/>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4.43"/>
    <col customWidth="1" min="3" max="3" width="11.29"/>
    <col customWidth="1" min="4" max="4" width="18.43"/>
    <col customWidth="1" min="5" max="5" width="42.71"/>
    <col customWidth="1" min="6" max="6" width="13.14"/>
    <col customWidth="1" min="7" max="7" width="21.71"/>
    <col customWidth="1" min="8" max="8" width="53.43"/>
    <col customWidth="1" min="9" max="9" width="14.29"/>
    <col customWidth="1" min="10" max="10" width="13.43"/>
    <col customWidth="1" min="11" max="11" width="43.0"/>
    <col customWidth="1" min="12" max="12" width="23.29"/>
  </cols>
  <sheetData>
    <row r="1" ht="33.75" customHeight="1">
      <c r="A1" s="218"/>
      <c r="B1" s="389" t="s">
        <v>5513</v>
      </c>
      <c r="C1" s="180"/>
      <c r="D1" s="390" t="s">
        <v>5514</v>
      </c>
      <c r="E1" s="182" t="s">
        <v>1674</v>
      </c>
      <c r="F1" s="182" t="s">
        <v>4630</v>
      </c>
      <c r="G1" s="184" t="s">
        <v>2106</v>
      </c>
      <c r="H1" s="184" t="s">
        <v>2107</v>
      </c>
      <c r="I1" s="164"/>
      <c r="J1" s="164"/>
      <c r="K1" s="182"/>
      <c r="L1" s="189"/>
      <c r="M1" s="189"/>
      <c r="N1" s="189"/>
      <c r="O1" s="189"/>
      <c r="P1" s="189"/>
      <c r="Q1" s="189"/>
      <c r="R1" s="189"/>
      <c r="S1" s="189"/>
      <c r="T1" s="189"/>
      <c r="U1" s="189"/>
      <c r="V1" s="189"/>
      <c r="W1" s="189"/>
      <c r="X1" s="189"/>
    </row>
    <row r="2" ht="12.75" customHeight="1">
      <c r="A2" s="185" t="s">
        <v>2108</v>
      </c>
      <c r="B2" s="185" t="s">
        <v>5515</v>
      </c>
      <c r="C2" s="185" t="s">
        <v>2110</v>
      </c>
      <c r="D2" s="226" t="s">
        <v>10</v>
      </c>
      <c r="E2" s="185" t="s">
        <v>11</v>
      </c>
      <c r="F2" s="187" t="s">
        <v>12</v>
      </c>
      <c r="G2" s="187" t="s">
        <v>12</v>
      </c>
      <c r="H2" s="187" t="s">
        <v>12</v>
      </c>
      <c r="I2" s="257" t="s">
        <v>2111</v>
      </c>
      <c r="J2" s="257" t="s">
        <v>2112</v>
      </c>
      <c r="K2" s="185" t="s">
        <v>2113</v>
      </c>
      <c r="L2" s="189"/>
      <c r="M2" s="189"/>
      <c r="N2" s="189"/>
      <c r="O2" s="189"/>
      <c r="P2" s="189"/>
      <c r="Q2" s="189"/>
      <c r="R2" s="189"/>
      <c r="S2" s="189"/>
      <c r="T2" s="189"/>
      <c r="U2" s="189"/>
      <c r="V2" s="189"/>
      <c r="W2" s="189"/>
      <c r="X2" s="189"/>
    </row>
    <row r="3" ht="72.0" customHeight="1">
      <c r="A3" s="258">
        <v>8.600001599E9</v>
      </c>
      <c r="B3" s="165" t="s">
        <v>14</v>
      </c>
      <c r="C3" s="215" t="s">
        <v>3436</v>
      </c>
      <c r="D3" s="215" t="s">
        <v>5516</v>
      </c>
      <c r="E3" s="391" t="s">
        <v>5517</v>
      </c>
      <c r="F3" s="233">
        <v>44550.0</v>
      </c>
      <c r="G3" s="194" t="s">
        <v>5518</v>
      </c>
      <c r="H3" s="193">
        <v>44558.0</v>
      </c>
      <c r="I3" s="195" t="s">
        <v>2117</v>
      </c>
      <c r="J3" s="196" t="s">
        <v>2117</v>
      </c>
      <c r="K3" s="210" t="s">
        <v>5519</v>
      </c>
      <c r="L3" s="392"/>
      <c r="M3" s="157"/>
      <c r="N3" s="157"/>
      <c r="O3" s="157"/>
      <c r="P3" s="157"/>
      <c r="Q3" s="157"/>
      <c r="R3" s="157"/>
      <c r="S3" s="157"/>
      <c r="T3" s="157"/>
      <c r="U3" s="157"/>
      <c r="V3" s="157"/>
      <c r="W3" s="157"/>
      <c r="X3" s="157"/>
    </row>
    <row r="4" ht="47.25" customHeight="1">
      <c r="A4" s="258">
        <v>8.600001602E9</v>
      </c>
      <c r="B4" s="165" t="s">
        <v>14</v>
      </c>
      <c r="C4" s="215" t="s">
        <v>5520</v>
      </c>
      <c r="D4" s="393" t="s">
        <v>5521</v>
      </c>
      <c r="E4" s="213" t="s">
        <v>5522</v>
      </c>
      <c r="F4" s="233">
        <v>44550.0</v>
      </c>
      <c r="G4" s="194">
        <v>44552.0</v>
      </c>
      <c r="H4" s="194">
        <v>44552.0</v>
      </c>
      <c r="I4" s="195" t="s">
        <v>2117</v>
      </c>
      <c r="J4" s="196" t="s">
        <v>2117</v>
      </c>
      <c r="K4" s="394" t="s">
        <v>5523</v>
      </c>
      <c r="L4" s="157"/>
      <c r="M4" s="157"/>
      <c r="N4" s="157"/>
      <c r="O4" s="157"/>
      <c r="P4" s="157"/>
      <c r="Q4" s="157"/>
      <c r="R4" s="157"/>
      <c r="S4" s="157"/>
      <c r="T4" s="157"/>
      <c r="U4" s="157"/>
      <c r="V4" s="157"/>
      <c r="W4" s="157"/>
      <c r="X4" s="157"/>
    </row>
    <row r="5" ht="47.25" customHeight="1">
      <c r="A5" s="258">
        <v>8.50000013E9</v>
      </c>
      <c r="B5" s="165" t="s">
        <v>14</v>
      </c>
      <c r="C5" s="215" t="s">
        <v>5520</v>
      </c>
      <c r="D5" s="215" t="s">
        <v>5524</v>
      </c>
      <c r="E5" s="207" t="s">
        <v>2116</v>
      </c>
      <c r="F5" s="233">
        <v>44548.0</v>
      </c>
      <c r="G5" s="194">
        <v>44546.0</v>
      </c>
      <c r="H5" s="215" t="s">
        <v>5525</v>
      </c>
      <c r="I5" s="195" t="s">
        <v>2117</v>
      </c>
      <c r="J5" s="196" t="s">
        <v>2117</v>
      </c>
      <c r="K5" s="210" t="s">
        <v>5526</v>
      </c>
      <c r="L5" s="157"/>
      <c r="M5" s="157"/>
      <c r="N5" s="157"/>
      <c r="O5" s="157"/>
      <c r="P5" s="157"/>
      <c r="Q5" s="157"/>
      <c r="R5" s="157"/>
      <c r="S5" s="157"/>
      <c r="T5" s="157"/>
      <c r="U5" s="157"/>
      <c r="V5" s="157"/>
      <c r="W5" s="157"/>
      <c r="X5" s="157"/>
    </row>
    <row r="6" ht="42.75" customHeight="1">
      <c r="A6" s="258">
        <v>8.500000129E9</v>
      </c>
      <c r="B6" s="191" t="s">
        <v>14</v>
      </c>
      <c r="C6" s="215" t="s">
        <v>3620</v>
      </c>
      <c r="D6" s="215" t="s">
        <v>5527</v>
      </c>
      <c r="E6" s="395" t="s">
        <v>5528</v>
      </c>
      <c r="F6" s="233">
        <v>44546.0</v>
      </c>
      <c r="G6" s="194">
        <v>44545.0</v>
      </c>
      <c r="H6" s="194">
        <v>44551.0</v>
      </c>
      <c r="I6" s="195" t="s">
        <v>2117</v>
      </c>
      <c r="J6" s="196" t="s">
        <v>2117</v>
      </c>
      <c r="K6" s="210" t="s">
        <v>5529</v>
      </c>
      <c r="L6" s="157"/>
      <c r="M6" s="157"/>
      <c r="N6" s="157"/>
      <c r="O6" s="157"/>
      <c r="P6" s="157"/>
      <c r="Q6" s="157"/>
      <c r="R6" s="157"/>
      <c r="S6" s="157"/>
      <c r="T6" s="157"/>
      <c r="U6" s="157"/>
      <c r="V6" s="157"/>
      <c r="W6" s="157"/>
      <c r="X6" s="157"/>
    </row>
    <row r="7" ht="45.0" customHeight="1">
      <c r="A7" s="258">
        <v>8.600001598E9</v>
      </c>
      <c r="B7" s="165" t="s">
        <v>14</v>
      </c>
      <c r="C7" s="215" t="s">
        <v>5530</v>
      </c>
      <c r="D7" s="215" t="s">
        <v>5531</v>
      </c>
      <c r="E7" s="207" t="s">
        <v>5532</v>
      </c>
      <c r="F7" s="233">
        <v>44545.0</v>
      </c>
      <c r="G7" s="220">
        <v>44530.0</v>
      </c>
      <c r="H7" s="215" t="s">
        <v>5533</v>
      </c>
      <c r="I7" s="195" t="s">
        <v>2117</v>
      </c>
      <c r="J7" s="196" t="s">
        <v>2117</v>
      </c>
      <c r="K7" s="210" t="s">
        <v>5534</v>
      </c>
      <c r="L7" s="157"/>
      <c r="M7" s="157"/>
      <c r="N7" s="157"/>
      <c r="O7" s="157"/>
      <c r="P7" s="157"/>
      <c r="Q7" s="157"/>
      <c r="R7" s="157"/>
      <c r="S7" s="157"/>
      <c r="T7" s="157"/>
      <c r="U7" s="157"/>
      <c r="V7" s="157"/>
      <c r="W7" s="157"/>
      <c r="X7" s="157"/>
    </row>
    <row r="8" ht="42.75" customHeight="1">
      <c r="A8" s="258">
        <v>8.600001579E9</v>
      </c>
      <c r="B8" s="165" t="s">
        <v>14</v>
      </c>
      <c r="C8" s="215" t="s">
        <v>5535</v>
      </c>
      <c r="D8" s="215" t="s">
        <v>5536</v>
      </c>
      <c r="E8" s="207" t="s">
        <v>5537</v>
      </c>
      <c r="F8" s="233">
        <v>44545.0</v>
      </c>
      <c r="G8" s="194">
        <v>44545.0</v>
      </c>
      <c r="H8" s="194">
        <v>44550.0</v>
      </c>
      <c r="I8" s="195" t="s">
        <v>2117</v>
      </c>
      <c r="J8" s="196" t="s">
        <v>2117</v>
      </c>
      <c r="K8" s="210" t="s">
        <v>5538</v>
      </c>
      <c r="L8" s="157"/>
      <c r="M8" s="157"/>
      <c r="N8" s="157"/>
      <c r="O8" s="157"/>
      <c r="P8" s="157"/>
      <c r="Q8" s="157"/>
      <c r="R8" s="157"/>
      <c r="S8" s="157"/>
      <c r="T8" s="157"/>
      <c r="U8" s="157"/>
      <c r="V8" s="157"/>
      <c r="W8" s="157"/>
      <c r="X8" s="157"/>
    </row>
    <row r="9" ht="52.5" customHeight="1">
      <c r="A9" s="258">
        <v>8.500000124E9</v>
      </c>
      <c r="B9" s="165" t="s">
        <v>25</v>
      </c>
      <c r="C9" s="215" t="s">
        <v>5539</v>
      </c>
      <c r="D9" s="396" t="s">
        <v>5540</v>
      </c>
      <c r="E9" s="213" t="s">
        <v>2116</v>
      </c>
      <c r="F9" s="233">
        <v>44542.0</v>
      </c>
      <c r="G9" s="220">
        <v>44515.0</v>
      </c>
      <c r="H9" s="215" t="s">
        <v>5541</v>
      </c>
      <c r="I9" s="195" t="s">
        <v>2117</v>
      </c>
      <c r="J9" s="196" t="s">
        <v>2117</v>
      </c>
      <c r="K9" s="210" t="s">
        <v>5542</v>
      </c>
      <c r="L9" s="397"/>
      <c r="M9" s="157"/>
      <c r="N9" s="157"/>
      <c r="O9" s="157"/>
      <c r="P9" s="157"/>
      <c r="Q9" s="157"/>
      <c r="R9" s="157"/>
      <c r="S9" s="157"/>
      <c r="T9" s="157"/>
      <c r="U9" s="157"/>
      <c r="V9" s="157"/>
      <c r="W9" s="157"/>
      <c r="X9" s="157"/>
    </row>
    <row r="10" ht="42.0" customHeight="1">
      <c r="A10" s="258">
        <v>8.600001584E9</v>
      </c>
      <c r="B10" s="165" t="s">
        <v>25</v>
      </c>
      <c r="C10" s="215" t="s">
        <v>3471</v>
      </c>
      <c r="D10" s="396" t="s">
        <v>5543</v>
      </c>
      <c r="E10" s="218" t="s">
        <v>5544</v>
      </c>
      <c r="F10" s="233">
        <v>44542.0</v>
      </c>
      <c r="G10" s="194">
        <v>44504.0</v>
      </c>
      <c r="H10" s="398">
        <v>44551.0</v>
      </c>
      <c r="I10" s="195" t="s">
        <v>2117</v>
      </c>
      <c r="J10" s="195" t="s">
        <v>2117</v>
      </c>
      <c r="K10" s="210" t="s">
        <v>5545</v>
      </c>
      <c r="L10" s="157"/>
      <c r="M10" s="157"/>
      <c r="N10" s="157"/>
      <c r="O10" s="157"/>
      <c r="P10" s="157"/>
      <c r="Q10" s="157"/>
      <c r="R10" s="157"/>
      <c r="S10" s="157"/>
      <c r="T10" s="157"/>
      <c r="U10" s="157"/>
      <c r="V10" s="157"/>
      <c r="W10" s="157"/>
      <c r="X10" s="157"/>
    </row>
    <row r="11" ht="43.5" customHeight="1">
      <c r="A11" s="258">
        <v>8.600001568E9</v>
      </c>
      <c r="B11" s="165" t="s">
        <v>25</v>
      </c>
      <c r="C11" s="215" t="s">
        <v>5546</v>
      </c>
      <c r="D11" s="215" t="s">
        <v>5547</v>
      </c>
      <c r="E11" s="213" t="s">
        <v>5548</v>
      </c>
      <c r="F11" s="233">
        <v>44539.0</v>
      </c>
      <c r="G11" s="194">
        <v>44538.0</v>
      </c>
      <c r="H11" s="215" t="s">
        <v>5549</v>
      </c>
      <c r="I11" s="195" t="s">
        <v>2117</v>
      </c>
      <c r="J11" s="196" t="s">
        <v>2117</v>
      </c>
      <c r="K11" s="210" t="s">
        <v>5550</v>
      </c>
      <c r="L11" s="157"/>
      <c r="M11" s="157"/>
      <c r="N11" s="157"/>
      <c r="O11" s="157"/>
      <c r="P11" s="157"/>
      <c r="Q11" s="157"/>
      <c r="R11" s="157"/>
      <c r="S11" s="157"/>
      <c r="T11" s="157"/>
      <c r="U11" s="157"/>
      <c r="V11" s="157"/>
      <c r="W11" s="157"/>
      <c r="X11" s="157"/>
    </row>
    <row r="12" ht="42.75" customHeight="1">
      <c r="A12" s="258">
        <v>8.600001545E9</v>
      </c>
      <c r="B12" s="165" t="s">
        <v>14</v>
      </c>
      <c r="C12" s="215" t="s">
        <v>3436</v>
      </c>
      <c r="D12" s="215" t="s">
        <v>5551</v>
      </c>
      <c r="E12" s="207" t="s">
        <v>5552</v>
      </c>
      <c r="F12" s="233">
        <v>44539.0</v>
      </c>
      <c r="G12" s="220">
        <v>44533.0</v>
      </c>
      <c r="H12" s="193">
        <v>44545.0</v>
      </c>
      <c r="I12" s="195" t="s">
        <v>2117</v>
      </c>
      <c r="J12" s="196" t="s">
        <v>2117</v>
      </c>
      <c r="K12" s="210" t="s">
        <v>5553</v>
      </c>
      <c r="L12" s="157"/>
      <c r="M12" s="157"/>
      <c r="N12" s="157"/>
      <c r="O12" s="157"/>
      <c r="P12" s="157"/>
      <c r="Q12" s="157"/>
      <c r="R12" s="157"/>
      <c r="S12" s="157"/>
      <c r="T12" s="157"/>
      <c r="U12" s="157"/>
      <c r="V12" s="157"/>
      <c r="W12" s="157"/>
      <c r="X12" s="157"/>
    </row>
    <row r="13" ht="43.5" customHeight="1">
      <c r="A13" s="258">
        <v>8.500000128E9</v>
      </c>
      <c r="B13" s="165" t="s">
        <v>14</v>
      </c>
      <c r="C13" s="215" t="s">
        <v>5539</v>
      </c>
      <c r="D13" s="215" t="s">
        <v>5554</v>
      </c>
      <c r="E13" s="207" t="s">
        <v>2116</v>
      </c>
      <c r="F13" s="233">
        <v>44536.0</v>
      </c>
      <c r="G13" s="220">
        <v>44524.0</v>
      </c>
      <c r="H13" s="215" t="s">
        <v>5555</v>
      </c>
      <c r="I13" s="195" t="s">
        <v>2117</v>
      </c>
      <c r="J13" s="196" t="s">
        <v>2117</v>
      </c>
      <c r="K13" s="210" t="s">
        <v>5556</v>
      </c>
      <c r="L13" s="157"/>
      <c r="M13" s="157"/>
      <c r="N13" s="157"/>
      <c r="O13" s="157"/>
      <c r="P13" s="157"/>
      <c r="Q13" s="157"/>
      <c r="R13" s="157"/>
      <c r="S13" s="157"/>
      <c r="T13" s="157"/>
      <c r="U13" s="157"/>
      <c r="V13" s="157"/>
      <c r="W13" s="157"/>
      <c r="X13" s="157"/>
    </row>
    <row r="14" ht="44.25" customHeight="1">
      <c r="A14" s="258">
        <v>8.600001586E9</v>
      </c>
      <c r="B14" s="165" t="s">
        <v>14</v>
      </c>
      <c r="C14" s="215" t="s">
        <v>5557</v>
      </c>
      <c r="D14" s="264" t="s">
        <v>5558</v>
      </c>
      <c r="E14" s="213" t="s">
        <v>5559</v>
      </c>
      <c r="F14" s="233">
        <v>44533.0</v>
      </c>
      <c r="G14" s="194">
        <v>44530.0</v>
      </c>
      <c r="H14" s="194">
        <v>44552.0</v>
      </c>
      <c r="I14" s="195" t="s">
        <v>2117</v>
      </c>
      <c r="J14" s="196" t="s">
        <v>2117</v>
      </c>
      <c r="K14" s="210" t="s">
        <v>5560</v>
      </c>
      <c r="L14" s="157"/>
      <c r="M14" s="157"/>
      <c r="N14" s="157"/>
      <c r="O14" s="157"/>
      <c r="P14" s="157"/>
      <c r="Q14" s="157"/>
      <c r="R14" s="157"/>
      <c r="S14" s="157"/>
      <c r="T14" s="157"/>
      <c r="U14" s="157"/>
      <c r="V14" s="157"/>
      <c r="W14" s="157"/>
      <c r="X14" s="157"/>
    </row>
    <row r="15" ht="57.75" customHeight="1">
      <c r="A15" s="258">
        <v>8.600001589E9</v>
      </c>
      <c r="B15" s="191" t="s">
        <v>21</v>
      </c>
      <c r="C15" s="215" t="s">
        <v>5561</v>
      </c>
      <c r="D15" s="215" t="s">
        <v>5562</v>
      </c>
      <c r="E15" s="218" t="s">
        <v>5563</v>
      </c>
      <c r="F15" s="194">
        <v>44532.0</v>
      </c>
      <c r="G15" s="399">
        <v>44531.0</v>
      </c>
      <c r="H15" s="400" t="s">
        <v>5564</v>
      </c>
      <c r="I15" s="215" t="s">
        <v>5565</v>
      </c>
      <c r="J15" s="401"/>
      <c r="K15" s="210" t="s">
        <v>5566</v>
      </c>
      <c r="L15" s="157"/>
      <c r="M15" s="157"/>
      <c r="N15" s="157"/>
      <c r="O15" s="157"/>
      <c r="P15" s="157"/>
      <c r="Q15" s="157"/>
      <c r="R15" s="157"/>
      <c r="S15" s="157"/>
      <c r="T15" s="157"/>
      <c r="U15" s="157"/>
      <c r="V15" s="157"/>
      <c r="W15" s="157"/>
      <c r="X15" s="157"/>
    </row>
    <row r="16" ht="87.75" customHeight="1">
      <c r="A16" s="258">
        <v>8.600001573E9</v>
      </c>
      <c r="B16" s="165" t="s">
        <v>14</v>
      </c>
      <c r="C16" s="215" t="s">
        <v>5567</v>
      </c>
      <c r="D16" s="393" t="s">
        <v>5568</v>
      </c>
      <c r="E16" s="207" t="s">
        <v>5569</v>
      </c>
      <c r="F16" s="233">
        <v>44524.0</v>
      </c>
      <c r="G16" s="220">
        <v>44509.0</v>
      </c>
      <c r="H16" s="400" t="s">
        <v>5570</v>
      </c>
      <c r="I16" s="195" t="s">
        <v>2117</v>
      </c>
      <c r="J16" s="196" t="s">
        <v>2117</v>
      </c>
      <c r="K16" s="210" t="s">
        <v>5571</v>
      </c>
      <c r="L16" s="157"/>
      <c r="M16" s="157"/>
      <c r="N16" s="157"/>
      <c r="O16" s="157"/>
      <c r="P16" s="157"/>
      <c r="Q16" s="157"/>
      <c r="R16" s="157"/>
      <c r="S16" s="157"/>
      <c r="T16" s="157"/>
      <c r="U16" s="157"/>
      <c r="V16" s="157"/>
      <c r="W16" s="157"/>
      <c r="X16" s="157"/>
    </row>
    <row r="17" ht="56.25" customHeight="1">
      <c r="A17" s="258">
        <v>8.600001569E9</v>
      </c>
      <c r="B17" s="191" t="s">
        <v>21</v>
      </c>
      <c r="C17" s="215" t="s">
        <v>5572</v>
      </c>
      <c r="D17" s="215" t="s">
        <v>5573</v>
      </c>
      <c r="E17" s="207" t="s">
        <v>5574</v>
      </c>
      <c r="F17" s="194">
        <v>44522.0</v>
      </c>
      <c r="G17" s="194">
        <v>44517.0</v>
      </c>
      <c r="H17" s="264" t="s">
        <v>5575</v>
      </c>
      <c r="I17" s="402"/>
      <c r="J17" s="401"/>
      <c r="K17" s="210" t="s">
        <v>5576</v>
      </c>
      <c r="L17" s="157"/>
      <c r="M17" s="157"/>
      <c r="N17" s="157"/>
      <c r="O17" s="157"/>
      <c r="P17" s="157"/>
      <c r="Q17" s="157"/>
      <c r="R17" s="157"/>
      <c r="S17" s="157"/>
      <c r="T17" s="157"/>
      <c r="U17" s="157"/>
      <c r="V17" s="157"/>
      <c r="W17" s="157"/>
      <c r="X17" s="157"/>
    </row>
    <row r="18" ht="43.5" customHeight="1">
      <c r="A18" s="258">
        <v>8.600001549E9</v>
      </c>
      <c r="B18" s="403" t="s">
        <v>21</v>
      </c>
      <c r="C18" s="215" t="s">
        <v>5577</v>
      </c>
      <c r="D18" s="404" t="s">
        <v>5578</v>
      </c>
      <c r="E18" s="213" t="s">
        <v>5559</v>
      </c>
      <c r="F18" s="194">
        <v>44517.0</v>
      </c>
      <c r="G18" s="194">
        <v>44553.0</v>
      </c>
      <c r="H18" s="193">
        <v>44553.0</v>
      </c>
      <c r="I18" s="402"/>
      <c r="J18" s="401"/>
      <c r="K18" s="210" t="s">
        <v>5579</v>
      </c>
      <c r="L18" s="157"/>
      <c r="M18" s="157"/>
      <c r="N18" s="157"/>
      <c r="O18" s="157"/>
      <c r="P18" s="157"/>
      <c r="Q18" s="157"/>
      <c r="R18" s="157"/>
      <c r="S18" s="157"/>
      <c r="T18" s="157"/>
      <c r="U18" s="157"/>
      <c r="V18" s="157"/>
      <c r="W18" s="157"/>
      <c r="X18" s="157"/>
    </row>
    <row r="19" ht="50.25" customHeight="1">
      <c r="A19" s="258">
        <v>8.50000012E9</v>
      </c>
      <c r="B19" s="165" t="s">
        <v>25</v>
      </c>
      <c r="C19" s="215" t="s">
        <v>5580</v>
      </c>
      <c r="D19" s="215" t="s">
        <v>5578</v>
      </c>
      <c r="E19" s="207" t="s">
        <v>5581</v>
      </c>
      <c r="F19" s="233">
        <v>44512.0</v>
      </c>
      <c r="G19" s="220">
        <v>44504.0</v>
      </c>
      <c r="H19" s="259">
        <v>44547.0</v>
      </c>
      <c r="I19" s="195" t="s">
        <v>2117</v>
      </c>
      <c r="J19" s="196" t="s">
        <v>2117</v>
      </c>
      <c r="K19" s="210" t="s">
        <v>5582</v>
      </c>
      <c r="L19" s="157"/>
      <c r="M19" s="157"/>
      <c r="N19" s="157"/>
      <c r="O19" s="157"/>
      <c r="P19" s="157"/>
      <c r="Q19" s="157"/>
      <c r="R19" s="157"/>
      <c r="S19" s="157"/>
      <c r="T19" s="157"/>
      <c r="U19" s="157"/>
      <c r="V19" s="157"/>
      <c r="W19" s="157"/>
      <c r="X19" s="157"/>
    </row>
    <row r="20" ht="56.25" customHeight="1">
      <c r="A20" s="258">
        <v>8.600001605E9</v>
      </c>
      <c r="B20" s="165" t="s">
        <v>4356</v>
      </c>
      <c r="C20" s="215" t="s">
        <v>3386</v>
      </c>
      <c r="D20" s="396" t="s">
        <v>5583</v>
      </c>
      <c r="E20" s="218" t="s">
        <v>5584</v>
      </c>
      <c r="F20" s="233">
        <v>44510.0</v>
      </c>
      <c r="G20" s="220">
        <v>44510.0</v>
      </c>
      <c r="H20" s="215" t="s">
        <v>5585</v>
      </c>
      <c r="I20" s="402"/>
      <c r="J20" s="401"/>
      <c r="K20" s="210" t="s">
        <v>5586</v>
      </c>
      <c r="L20" s="157"/>
      <c r="M20" s="157"/>
      <c r="N20" s="157"/>
      <c r="O20" s="157"/>
      <c r="P20" s="157"/>
      <c r="Q20" s="157"/>
      <c r="R20" s="157"/>
      <c r="S20" s="157"/>
      <c r="T20" s="157"/>
      <c r="U20" s="157"/>
      <c r="V20" s="157"/>
      <c r="W20" s="157"/>
      <c r="X20" s="157"/>
    </row>
    <row r="21" ht="43.5" customHeight="1">
      <c r="A21" s="258">
        <v>8.600001604E9</v>
      </c>
      <c r="B21" s="165" t="s">
        <v>25</v>
      </c>
      <c r="C21" s="215" t="s">
        <v>3646</v>
      </c>
      <c r="D21" s="396" t="s">
        <v>5587</v>
      </c>
      <c r="E21" s="213" t="s">
        <v>5588</v>
      </c>
      <c r="F21" s="233">
        <v>44510.0</v>
      </c>
      <c r="G21" s="220">
        <v>44510.0</v>
      </c>
      <c r="H21" s="405">
        <v>44533.0</v>
      </c>
      <c r="I21" s="195" t="s">
        <v>2117</v>
      </c>
      <c r="J21" s="196" t="s">
        <v>2117</v>
      </c>
      <c r="K21" s="210" t="s">
        <v>5589</v>
      </c>
      <c r="L21" s="157"/>
      <c r="M21" s="157"/>
      <c r="N21" s="157"/>
      <c r="O21" s="157"/>
      <c r="P21" s="157"/>
      <c r="Q21" s="157"/>
      <c r="R21" s="157"/>
      <c r="S21" s="157"/>
      <c r="T21" s="157"/>
      <c r="U21" s="157"/>
      <c r="V21" s="157"/>
      <c r="W21" s="157"/>
      <c r="X21" s="157"/>
    </row>
    <row r="22" ht="44.25" customHeight="1">
      <c r="A22" s="258">
        <v>8.600001567E9</v>
      </c>
      <c r="B22" s="165" t="s">
        <v>25</v>
      </c>
      <c r="C22" s="215" t="s">
        <v>5590</v>
      </c>
      <c r="D22" s="396" t="s">
        <v>5591</v>
      </c>
      <c r="E22" s="213" t="s">
        <v>5592</v>
      </c>
      <c r="F22" s="233">
        <v>44510.0</v>
      </c>
      <c r="G22" s="220">
        <v>44504.0</v>
      </c>
      <c r="H22" s="405">
        <v>44519.0</v>
      </c>
      <c r="I22" s="195" t="s">
        <v>2117</v>
      </c>
      <c r="J22" s="196" t="s">
        <v>2117</v>
      </c>
      <c r="K22" s="210" t="s">
        <v>5593</v>
      </c>
      <c r="L22" s="157"/>
      <c r="M22" s="157"/>
      <c r="N22" s="157"/>
      <c r="O22" s="157"/>
      <c r="P22" s="157"/>
      <c r="Q22" s="157"/>
      <c r="R22" s="157"/>
      <c r="S22" s="157"/>
      <c r="T22" s="157"/>
      <c r="U22" s="157"/>
      <c r="V22" s="157"/>
      <c r="W22" s="157"/>
      <c r="X22" s="157"/>
    </row>
    <row r="23" ht="44.25" customHeight="1">
      <c r="A23" s="258">
        <v>8.600001543E9</v>
      </c>
      <c r="B23" s="165" t="s">
        <v>4356</v>
      </c>
      <c r="C23" s="215" t="s">
        <v>3436</v>
      </c>
      <c r="D23" s="215" t="s">
        <v>5594</v>
      </c>
      <c r="E23" s="213" t="s">
        <v>5595</v>
      </c>
      <c r="F23" s="194">
        <v>44504.0</v>
      </c>
      <c r="G23" s="220">
        <v>44476.0</v>
      </c>
      <c r="H23" s="215" t="s">
        <v>5596</v>
      </c>
      <c r="I23" s="402"/>
      <c r="J23" s="401"/>
      <c r="K23" s="210" t="s">
        <v>5597</v>
      </c>
      <c r="L23" s="157"/>
      <c r="M23" s="157"/>
      <c r="N23" s="157"/>
      <c r="O23" s="157"/>
      <c r="P23" s="157"/>
      <c r="Q23" s="157"/>
      <c r="R23" s="157"/>
      <c r="S23" s="157"/>
      <c r="T23" s="157"/>
      <c r="U23" s="157"/>
      <c r="V23" s="157"/>
      <c r="W23" s="157"/>
      <c r="X23" s="157"/>
    </row>
    <row r="24" ht="44.25" customHeight="1">
      <c r="A24" s="258">
        <v>8.600001548E9</v>
      </c>
      <c r="B24" s="165" t="s">
        <v>14</v>
      </c>
      <c r="C24" s="215" t="s">
        <v>5598</v>
      </c>
      <c r="D24" s="215" t="s">
        <v>5599</v>
      </c>
      <c r="E24" s="207" t="s">
        <v>5600</v>
      </c>
      <c r="F24" s="233">
        <v>44503.0</v>
      </c>
      <c r="G24" s="220">
        <v>44495.0</v>
      </c>
      <c r="H24" s="193">
        <v>44509.0</v>
      </c>
      <c r="I24" s="195" t="s">
        <v>2117</v>
      </c>
      <c r="J24" s="196" t="s">
        <v>2117</v>
      </c>
      <c r="K24" s="210" t="s">
        <v>5601</v>
      </c>
      <c r="L24" s="157"/>
      <c r="M24" s="157"/>
      <c r="N24" s="157"/>
      <c r="O24" s="157"/>
      <c r="P24" s="157"/>
      <c r="Q24" s="157"/>
      <c r="R24" s="157"/>
      <c r="S24" s="157"/>
      <c r="T24" s="157"/>
      <c r="U24" s="157"/>
      <c r="V24" s="157"/>
      <c r="W24" s="157"/>
      <c r="X24" s="157"/>
    </row>
    <row r="25" ht="63.75" customHeight="1">
      <c r="A25" s="258">
        <v>8.500000121E9</v>
      </c>
      <c r="B25" s="165" t="s">
        <v>14</v>
      </c>
      <c r="C25" s="215" t="s">
        <v>3471</v>
      </c>
      <c r="D25" s="215" t="s">
        <v>5602</v>
      </c>
      <c r="E25" s="207" t="s">
        <v>2116</v>
      </c>
      <c r="F25" s="233">
        <v>44493.0</v>
      </c>
      <c r="G25" s="220">
        <v>44481.0</v>
      </c>
      <c r="H25" s="193">
        <v>44497.0</v>
      </c>
      <c r="I25" s="195" t="s">
        <v>2117</v>
      </c>
      <c r="J25" s="196" t="s">
        <v>2117</v>
      </c>
      <c r="K25" s="210" t="s">
        <v>5603</v>
      </c>
      <c r="L25" s="157"/>
      <c r="M25" s="157"/>
      <c r="N25" s="157"/>
      <c r="O25" s="157"/>
      <c r="P25" s="157"/>
      <c r="Q25" s="157"/>
      <c r="R25" s="157"/>
      <c r="S25" s="157"/>
      <c r="T25" s="157"/>
      <c r="U25" s="157"/>
      <c r="V25" s="157"/>
      <c r="W25" s="157"/>
      <c r="X25" s="157"/>
    </row>
    <row r="26" ht="43.5" customHeight="1">
      <c r="A26" s="258">
        <v>8.600001526E9</v>
      </c>
      <c r="B26" s="165" t="s">
        <v>14</v>
      </c>
      <c r="C26" s="215" t="s">
        <v>5604</v>
      </c>
      <c r="D26" s="215" t="s">
        <v>5605</v>
      </c>
      <c r="E26" s="207" t="s">
        <v>5606</v>
      </c>
      <c r="F26" s="233">
        <v>44482.0</v>
      </c>
      <c r="G26" s="220">
        <v>44481.0</v>
      </c>
      <c r="H26" s="193">
        <v>44489.0</v>
      </c>
      <c r="I26" s="195" t="s">
        <v>2117</v>
      </c>
      <c r="J26" s="196" t="s">
        <v>2117</v>
      </c>
      <c r="K26" s="210" t="s">
        <v>5607</v>
      </c>
      <c r="L26" s="157"/>
      <c r="M26" s="157"/>
      <c r="N26" s="157"/>
      <c r="O26" s="157"/>
      <c r="P26" s="157"/>
      <c r="Q26" s="157"/>
      <c r="R26" s="157"/>
      <c r="S26" s="157"/>
      <c r="T26" s="157"/>
      <c r="U26" s="157"/>
      <c r="V26" s="157"/>
      <c r="W26" s="157"/>
      <c r="X26" s="157"/>
    </row>
    <row r="27" ht="59.25" customHeight="1">
      <c r="A27" s="258">
        <v>8.60000152E9</v>
      </c>
      <c r="B27" s="165" t="s">
        <v>14</v>
      </c>
      <c r="C27" s="215" t="s">
        <v>3436</v>
      </c>
      <c r="D27" s="215" t="s">
        <v>5608</v>
      </c>
      <c r="E27" s="213" t="s">
        <v>5609</v>
      </c>
      <c r="F27" s="233">
        <v>44482.0</v>
      </c>
      <c r="G27" s="220">
        <v>44481.0</v>
      </c>
      <c r="H27" s="193">
        <v>44489.0</v>
      </c>
      <c r="I27" s="195" t="s">
        <v>2117</v>
      </c>
      <c r="J27" s="196" t="s">
        <v>2117</v>
      </c>
      <c r="K27" s="210" t="s">
        <v>5610</v>
      </c>
      <c r="L27" s="157"/>
      <c r="M27" s="157"/>
      <c r="N27" s="157"/>
      <c r="O27" s="157"/>
      <c r="P27" s="157"/>
      <c r="Q27" s="157"/>
      <c r="R27" s="157"/>
      <c r="S27" s="157"/>
      <c r="T27" s="157"/>
      <c r="U27" s="157"/>
      <c r="V27" s="157"/>
      <c r="W27" s="157"/>
      <c r="X27" s="157"/>
    </row>
    <row r="28" ht="42.75" customHeight="1">
      <c r="A28" s="258">
        <v>8.600001516E9</v>
      </c>
      <c r="B28" s="191" t="s">
        <v>14</v>
      </c>
      <c r="C28" s="215" t="s">
        <v>3436</v>
      </c>
      <c r="D28" s="215" t="s">
        <v>5611</v>
      </c>
      <c r="E28" s="207" t="s">
        <v>5612</v>
      </c>
      <c r="F28" s="233">
        <v>44477.0</v>
      </c>
      <c r="G28" s="220">
        <v>44469.0</v>
      </c>
      <c r="H28" s="193">
        <v>44483.0</v>
      </c>
      <c r="I28" s="195" t="s">
        <v>2117</v>
      </c>
      <c r="J28" s="196" t="s">
        <v>2117</v>
      </c>
      <c r="K28" s="210" t="s">
        <v>5613</v>
      </c>
      <c r="L28" s="157"/>
      <c r="M28" s="157"/>
      <c r="N28" s="157"/>
      <c r="O28" s="157"/>
      <c r="P28" s="157"/>
      <c r="Q28" s="157"/>
      <c r="R28" s="157"/>
      <c r="S28" s="157"/>
      <c r="T28" s="157"/>
      <c r="U28" s="157"/>
      <c r="V28" s="157"/>
      <c r="W28" s="157"/>
      <c r="X28" s="157"/>
    </row>
    <row r="29" ht="15.75" customHeight="1">
      <c r="A29" s="258">
        <v>8.600001525E9</v>
      </c>
      <c r="B29" s="191" t="s">
        <v>14</v>
      </c>
      <c r="C29" s="215" t="s">
        <v>5614</v>
      </c>
      <c r="D29" s="215" t="s">
        <v>5615</v>
      </c>
      <c r="E29" s="213" t="s">
        <v>5616</v>
      </c>
      <c r="F29" s="233">
        <v>44475.0</v>
      </c>
      <c r="G29" s="220">
        <v>44468.0</v>
      </c>
      <c r="H29" s="191" t="s">
        <v>5617</v>
      </c>
      <c r="I29" s="195" t="s">
        <v>2117</v>
      </c>
      <c r="J29" s="196" t="s">
        <v>2117</v>
      </c>
      <c r="K29" s="210" t="s">
        <v>5618</v>
      </c>
      <c r="L29" s="157"/>
      <c r="M29" s="157"/>
      <c r="N29" s="157"/>
      <c r="O29" s="157"/>
      <c r="P29" s="157"/>
      <c r="Q29" s="157"/>
      <c r="R29" s="157"/>
      <c r="S29" s="157"/>
      <c r="T29" s="157"/>
      <c r="U29" s="157"/>
      <c r="V29" s="157"/>
      <c r="W29" s="157"/>
      <c r="X29" s="157"/>
    </row>
    <row r="30" ht="52.5" customHeight="1">
      <c r="A30" s="258">
        <v>8.600001542E9</v>
      </c>
      <c r="B30" s="191" t="s">
        <v>25</v>
      </c>
      <c r="C30" s="215" t="s">
        <v>5604</v>
      </c>
      <c r="D30" s="215" t="s">
        <v>5619</v>
      </c>
      <c r="E30" s="213" t="s">
        <v>5620</v>
      </c>
      <c r="F30" s="194">
        <v>44473.0</v>
      </c>
      <c r="G30" s="220">
        <v>44463.0</v>
      </c>
      <c r="H30" s="194">
        <v>44511.0</v>
      </c>
      <c r="I30" s="195" t="s">
        <v>2117</v>
      </c>
      <c r="J30" s="196" t="s">
        <v>2117</v>
      </c>
      <c r="K30" s="210" t="s">
        <v>5621</v>
      </c>
      <c r="L30" s="157"/>
      <c r="M30" s="157"/>
      <c r="N30" s="157"/>
      <c r="O30" s="157"/>
      <c r="P30" s="157"/>
      <c r="Q30" s="157"/>
      <c r="R30" s="157"/>
      <c r="S30" s="157"/>
      <c r="T30" s="157"/>
      <c r="U30" s="157"/>
      <c r="V30" s="157"/>
      <c r="W30" s="157"/>
      <c r="X30" s="157"/>
    </row>
    <row r="31" ht="57.0" customHeight="1">
      <c r="A31" s="258">
        <v>8.600001554E9</v>
      </c>
      <c r="B31" s="165" t="s">
        <v>4356</v>
      </c>
      <c r="C31" s="191" t="s">
        <v>3390</v>
      </c>
      <c r="D31" s="191" t="s">
        <v>5622</v>
      </c>
      <c r="E31" s="213" t="s">
        <v>5623</v>
      </c>
      <c r="F31" s="194">
        <v>44469.0</v>
      </c>
      <c r="G31" s="220">
        <v>44466.0</v>
      </c>
      <c r="H31" s="191" t="s">
        <v>5624</v>
      </c>
      <c r="I31" s="165" t="s">
        <v>5270</v>
      </c>
      <c r="J31" s="267" t="s">
        <v>2154</v>
      </c>
      <c r="K31" s="214" t="s">
        <v>5625</v>
      </c>
      <c r="L31" s="157"/>
      <c r="M31" s="157"/>
      <c r="N31" s="157"/>
      <c r="O31" s="157"/>
      <c r="P31" s="157"/>
      <c r="Q31" s="157"/>
      <c r="R31" s="157"/>
      <c r="S31" s="157"/>
      <c r="T31" s="157"/>
      <c r="U31" s="157"/>
      <c r="V31" s="157"/>
      <c r="W31" s="157"/>
      <c r="X31" s="157"/>
    </row>
    <row r="32" ht="42.75" customHeight="1">
      <c r="A32" s="258">
        <v>8.60000151E9</v>
      </c>
      <c r="B32" s="165" t="s">
        <v>25</v>
      </c>
      <c r="C32" s="215" t="s">
        <v>5626</v>
      </c>
      <c r="D32" s="215" t="s">
        <v>5627</v>
      </c>
      <c r="E32" s="213" t="s">
        <v>5628</v>
      </c>
      <c r="F32" s="194">
        <v>44469.0</v>
      </c>
      <c r="G32" s="220">
        <v>44463.0</v>
      </c>
      <c r="H32" s="215" t="s">
        <v>5629</v>
      </c>
      <c r="I32" s="195" t="s">
        <v>2117</v>
      </c>
      <c r="J32" s="196" t="s">
        <v>2117</v>
      </c>
      <c r="K32" s="210" t="s">
        <v>5630</v>
      </c>
      <c r="L32" s="157"/>
      <c r="M32" s="157"/>
      <c r="N32" s="157"/>
      <c r="O32" s="157"/>
      <c r="P32" s="157"/>
      <c r="Q32" s="157"/>
      <c r="R32" s="157"/>
      <c r="S32" s="157"/>
      <c r="T32" s="157"/>
      <c r="U32" s="157"/>
      <c r="V32" s="157"/>
      <c r="W32" s="157"/>
      <c r="X32" s="157"/>
    </row>
    <row r="33" ht="45.0" customHeight="1">
      <c r="A33" s="258">
        <v>8.600001503E9</v>
      </c>
      <c r="B33" s="191" t="s">
        <v>14</v>
      </c>
      <c r="C33" s="215" t="s">
        <v>5520</v>
      </c>
      <c r="D33" s="215" t="s">
        <v>5631</v>
      </c>
      <c r="E33" s="213" t="s">
        <v>5632</v>
      </c>
      <c r="F33" s="233">
        <v>44468.0</v>
      </c>
      <c r="G33" s="220">
        <v>44466.0</v>
      </c>
      <c r="H33" s="194">
        <v>44476.0</v>
      </c>
      <c r="I33" s="195" t="s">
        <v>2117</v>
      </c>
      <c r="J33" s="196" t="s">
        <v>2117</v>
      </c>
      <c r="K33" s="210" t="s">
        <v>5633</v>
      </c>
      <c r="L33" s="157"/>
      <c r="M33" s="157"/>
      <c r="N33" s="157"/>
      <c r="O33" s="157"/>
      <c r="P33" s="157"/>
      <c r="Q33" s="157"/>
      <c r="R33" s="157"/>
      <c r="S33" s="157"/>
      <c r="T33" s="157"/>
      <c r="U33" s="157"/>
      <c r="V33" s="157"/>
      <c r="W33" s="157"/>
      <c r="X33" s="157"/>
    </row>
    <row r="34" ht="56.25" customHeight="1">
      <c r="A34" s="258">
        <v>8.600001513E9</v>
      </c>
      <c r="B34" s="191" t="s">
        <v>21</v>
      </c>
      <c r="C34" s="215" t="s">
        <v>5634</v>
      </c>
      <c r="D34" s="215" t="s">
        <v>5635</v>
      </c>
      <c r="E34" s="213" t="s">
        <v>5636</v>
      </c>
      <c r="F34" s="194">
        <v>44466.0</v>
      </c>
      <c r="G34" s="220">
        <v>44460.0</v>
      </c>
      <c r="H34" s="215" t="s">
        <v>5637</v>
      </c>
      <c r="I34" s="165" t="s">
        <v>5270</v>
      </c>
      <c r="J34" s="267" t="s">
        <v>2154</v>
      </c>
      <c r="K34" s="210" t="s">
        <v>5638</v>
      </c>
      <c r="L34" s="157"/>
      <c r="M34" s="157"/>
      <c r="N34" s="157"/>
      <c r="O34" s="157"/>
      <c r="P34" s="157"/>
      <c r="Q34" s="157"/>
      <c r="R34" s="157"/>
      <c r="S34" s="157"/>
      <c r="T34" s="157"/>
      <c r="U34" s="157"/>
      <c r="V34" s="157"/>
      <c r="W34" s="157"/>
      <c r="X34" s="157"/>
    </row>
    <row r="35" ht="43.5" customHeight="1">
      <c r="A35" s="258">
        <v>8.600001523E9</v>
      </c>
      <c r="B35" s="165" t="s">
        <v>14</v>
      </c>
      <c r="C35" s="215" t="s">
        <v>3390</v>
      </c>
      <c r="D35" s="215" t="s">
        <v>5639</v>
      </c>
      <c r="E35" s="207" t="s">
        <v>5552</v>
      </c>
      <c r="F35" s="233">
        <v>44462.0</v>
      </c>
      <c r="G35" s="220">
        <v>44460.0</v>
      </c>
      <c r="H35" s="193">
        <v>44468.0</v>
      </c>
      <c r="I35" s="195" t="s">
        <v>2117</v>
      </c>
      <c r="J35" s="196" t="s">
        <v>2117</v>
      </c>
      <c r="K35" s="210" t="s">
        <v>5640</v>
      </c>
      <c r="L35" s="157"/>
      <c r="M35" s="157"/>
      <c r="N35" s="157"/>
      <c r="O35" s="157"/>
      <c r="P35" s="157"/>
      <c r="Q35" s="157"/>
      <c r="R35" s="157"/>
      <c r="S35" s="157"/>
      <c r="T35" s="157"/>
      <c r="U35" s="157"/>
      <c r="V35" s="157"/>
      <c r="W35" s="157"/>
      <c r="X35" s="157"/>
    </row>
    <row r="36" ht="43.5" customHeight="1">
      <c r="A36" s="258">
        <v>8.600001474E9</v>
      </c>
      <c r="B36" s="165" t="s">
        <v>14</v>
      </c>
      <c r="C36" s="215" t="s">
        <v>5598</v>
      </c>
      <c r="D36" s="215" t="s">
        <v>5641</v>
      </c>
      <c r="E36" s="213" t="s">
        <v>5642</v>
      </c>
      <c r="F36" s="233">
        <v>44461.0</v>
      </c>
      <c r="G36" s="220">
        <v>44455.0</v>
      </c>
      <c r="H36" s="194">
        <v>44469.0</v>
      </c>
      <c r="I36" s="195" t="s">
        <v>2117</v>
      </c>
      <c r="J36" s="196" t="s">
        <v>2117</v>
      </c>
      <c r="K36" s="210" t="s">
        <v>5643</v>
      </c>
      <c r="L36" s="157"/>
      <c r="M36" s="157"/>
      <c r="N36" s="157"/>
      <c r="O36" s="157"/>
      <c r="P36" s="157"/>
      <c r="Q36" s="157"/>
      <c r="R36" s="157"/>
      <c r="S36" s="157"/>
      <c r="T36" s="157"/>
      <c r="U36" s="157"/>
      <c r="V36" s="157"/>
      <c r="W36" s="157"/>
      <c r="X36" s="157"/>
    </row>
    <row r="37" ht="44.25" customHeight="1">
      <c r="A37" s="258">
        <v>8.500000118E9</v>
      </c>
      <c r="B37" s="165" t="s">
        <v>14</v>
      </c>
      <c r="C37" s="215" t="s">
        <v>3646</v>
      </c>
      <c r="D37" s="215" t="s">
        <v>5644</v>
      </c>
      <c r="E37" s="207" t="s">
        <v>2116</v>
      </c>
      <c r="F37" s="233">
        <v>44460.0</v>
      </c>
      <c r="G37" s="220">
        <v>44433.0</v>
      </c>
      <c r="H37" s="193">
        <v>44466.0</v>
      </c>
      <c r="I37" s="195" t="s">
        <v>2117</v>
      </c>
      <c r="J37" s="196" t="s">
        <v>2117</v>
      </c>
      <c r="K37" s="207" t="s">
        <v>5645</v>
      </c>
      <c r="L37" s="157"/>
      <c r="M37" s="157"/>
      <c r="N37" s="157"/>
      <c r="O37" s="157"/>
      <c r="P37" s="157"/>
      <c r="Q37" s="157"/>
      <c r="R37" s="157"/>
      <c r="S37" s="157"/>
      <c r="T37" s="157"/>
      <c r="U37" s="157"/>
      <c r="V37" s="157"/>
      <c r="W37" s="157"/>
      <c r="X37" s="157"/>
    </row>
    <row r="38" ht="45.75" customHeight="1">
      <c r="A38" s="258">
        <v>8.600001467E9</v>
      </c>
      <c r="B38" s="165" t="s">
        <v>14</v>
      </c>
      <c r="C38" s="215" t="s">
        <v>3436</v>
      </c>
      <c r="D38" s="215" t="s">
        <v>5646</v>
      </c>
      <c r="E38" s="207" t="s">
        <v>5647</v>
      </c>
      <c r="F38" s="233">
        <v>44448.0</v>
      </c>
      <c r="G38" s="220">
        <v>44447.0</v>
      </c>
      <c r="H38" s="220">
        <v>44456.0</v>
      </c>
      <c r="I38" s="195" t="s">
        <v>2117</v>
      </c>
      <c r="J38" s="196" t="s">
        <v>2117</v>
      </c>
      <c r="K38" s="210" t="s">
        <v>5648</v>
      </c>
      <c r="L38" s="157"/>
      <c r="M38" s="157"/>
      <c r="N38" s="157"/>
      <c r="O38" s="157"/>
      <c r="P38" s="157"/>
      <c r="Q38" s="157"/>
      <c r="R38" s="157"/>
      <c r="S38" s="157"/>
      <c r="T38" s="157"/>
      <c r="U38" s="157"/>
      <c r="V38" s="157"/>
      <c r="W38" s="157"/>
      <c r="X38" s="157"/>
    </row>
    <row r="39" ht="57.0" customHeight="1">
      <c r="A39" s="258">
        <v>8.600001481E9</v>
      </c>
      <c r="B39" s="165" t="s">
        <v>14</v>
      </c>
      <c r="C39" s="215" t="s">
        <v>5649</v>
      </c>
      <c r="D39" s="215" t="s">
        <v>5650</v>
      </c>
      <c r="E39" s="207" t="s">
        <v>5651</v>
      </c>
      <c r="F39" s="233">
        <v>44448.0</v>
      </c>
      <c r="G39" s="220">
        <v>44447.0</v>
      </c>
      <c r="H39" s="193">
        <v>44456.0</v>
      </c>
      <c r="I39" s="195" t="s">
        <v>2117</v>
      </c>
      <c r="J39" s="196" t="s">
        <v>2117</v>
      </c>
      <c r="K39" s="210" t="s">
        <v>5652</v>
      </c>
      <c r="L39" s="157"/>
      <c r="M39" s="157"/>
      <c r="N39" s="157"/>
      <c r="O39" s="157"/>
      <c r="P39" s="157"/>
      <c r="Q39" s="157"/>
      <c r="R39" s="157"/>
      <c r="S39" s="157"/>
      <c r="T39" s="157"/>
      <c r="U39" s="157"/>
      <c r="V39" s="157"/>
      <c r="W39" s="157"/>
      <c r="X39" s="157"/>
    </row>
    <row r="40" ht="55.5" customHeight="1">
      <c r="A40" s="258">
        <v>8.600001508E9</v>
      </c>
      <c r="B40" s="165" t="s">
        <v>4356</v>
      </c>
      <c r="C40" s="215" t="s">
        <v>3386</v>
      </c>
      <c r="D40" s="215" t="s">
        <v>5653</v>
      </c>
      <c r="E40" s="213" t="s">
        <v>5654</v>
      </c>
      <c r="F40" s="194">
        <v>44446.0</v>
      </c>
      <c r="G40" s="220">
        <v>44439.0</v>
      </c>
      <c r="H40" s="215" t="s">
        <v>5655</v>
      </c>
      <c r="I40" s="165" t="s">
        <v>5270</v>
      </c>
      <c r="J40" s="267" t="s">
        <v>2154</v>
      </c>
      <c r="K40" s="210" t="s">
        <v>5656</v>
      </c>
      <c r="L40" s="157"/>
      <c r="M40" s="157"/>
      <c r="N40" s="157"/>
      <c r="O40" s="157"/>
      <c r="P40" s="157"/>
      <c r="Q40" s="157"/>
      <c r="R40" s="157"/>
      <c r="S40" s="157"/>
      <c r="T40" s="157"/>
      <c r="U40" s="157"/>
      <c r="V40" s="157"/>
      <c r="W40" s="157"/>
      <c r="X40" s="157"/>
    </row>
    <row r="41" ht="44.25" customHeight="1">
      <c r="A41" s="258">
        <v>8.500000117E9</v>
      </c>
      <c r="B41" s="165" t="s">
        <v>14</v>
      </c>
      <c r="C41" s="215" t="s">
        <v>3646</v>
      </c>
      <c r="D41" s="215" t="s">
        <v>5657</v>
      </c>
      <c r="E41" s="213" t="s">
        <v>2116</v>
      </c>
      <c r="F41" s="233">
        <v>44444.0</v>
      </c>
      <c r="G41" s="220">
        <v>44431.0</v>
      </c>
      <c r="H41" s="194">
        <v>44449.0</v>
      </c>
      <c r="I41" s="195" t="s">
        <v>2117</v>
      </c>
      <c r="J41" s="196" t="s">
        <v>2117</v>
      </c>
      <c r="K41" s="210" t="s">
        <v>5658</v>
      </c>
      <c r="L41" s="157"/>
      <c r="M41" s="157"/>
      <c r="N41" s="157"/>
      <c r="O41" s="157"/>
      <c r="P41" s="157"/>
      <c r="Q41" s="157"/>
      <c r="R41" s="157"/>
      <c r="S41" s="157"/>
      <c r="T41" s="157"/>
      <c r="U41" s="157"/>
      <c r="V41" s="157"/>
      <c r="W41" s="157"/>
      <c r="X41" s="157"/>
    </row>
    <row r="42" ht="45.0" customHeight="1">
      <c r="A42" s="258">
        <v>8.60000149E9</v>
      </c>
      <c r="B42" s="165" t="s">
        <v>25</v>
      </c>
      <c r="C42" s="215" t="s">
        <v>5649</v>
      </c>
      <c r="D42" s="215" t="s">
        <v>5659</v>
      </c>
      <c r="E42" s="213" t="s">
        <v>5660</v>
      </c>
      <c r="F42" s="194">
        <v>44441.0</v>
      </c>
      <c r="G42" s="220">
        <v>44439.0</v>
      </c>
      <c r="H42" s="194">
        <v>44456.0</v>
      </c>
      <c r="I42" s="195" t="s">
        <v>2117</v>
      </c>
      <c r="J42" s="196" t="s">
        <v>2117</v>
      </c>
      <c r="K42" s="210" t="s">
        <v>5661</v>
      </c>
      <c r="L42" s="157"/>
      <c r="M42" s="157"/>
      <c r="N42" s="157"/>
      <c r="O42" s="157"/>
      <c r="P42" s="157"/>
      <c r="Q42" s="157"/>
      <c r="R42" s="157"/>
      <c r="S42" s="157"/>
      <c r="T42" s="157"/>
      <c r="U42" s="157"/>
      <c r="V42" s="157"/>
      <c r="W42" s="157"/>
      <c r="X42" s="157"/>
    </row>
    <row r="43" ht="15.75" customHeight="1">
      <c r="A43" s="258">
        <v>8.600001473E9</v>
      </c>
      <c r="B43" s="165" t="s">
        <v>14</v>
      </c>
      <c r="C43" s="215" t="s">
        <v>3475</v>
      </c>
      <c r="D43" s="215" t="s">
        <v>5662</v>
      </c>
      <c r="E43" s="213" t="s">
        <v>5663</v>
      </c>
      <c r="F43" s="233">
        <v>44436.0</v>
      </c>
      <c r="G43" s="220">
        <v>44425.0</v>
      </c>
      <c r="H43" s="193">
        <v>44446.0</v>
      </c>
      <c r="I43" s="195" t="s">
        <v>2117</v>
      </c>
      <c r="J43" s="196" t="s">
        <v>2117</v>
      </c>
      <c r="K43" s="210" t="s">
        <v>5664</v>
      </c>
      <c r="L43" s="157"/>
      <c r="M43" s="157"/>
      <c r="N43" s="157"/>
      <c r="O43" s="157"/>
      <c r="P43" s="157"/>
      <c r="Q43" s="157"/>
      <c r="R43" s="157"/>
      <c r="S43" s="157"/>
      <c r="T43" s="157"/>
      <c r="U43" s="157"/>
      <c r="V43" s="157"/>
      <c r="W43" s="157"/>
      <c r="X43" s="157"/>
    </row>
    <row r="44" ht="47.25" customHeight="1">
      <c r="A44" s="258">
        <v>8.600001482E9</v>
      </c>
      <c r="B44" s="165" t="s">
        <v>14</v>
      </c>
      <c r="C44" s="215" t="s">
        <v>5665</v>
      </c>
      <c r="D44" s="215" t="s">
        <v>5666</v>
      </c>
      <c r="E44" s="213" t="s">
        <v>5667</v>
      </c>
      <c r="F44" s="233">
        <v>44435.0</v>
      </c>
      <c r="G44" s="220">
        <v>44431.0</v>
      </c>
      <c r="H44" s="193">
        <v>44446.0</v>
      </c>
      <c r="I44" s="195" t="s">
        <v>2117</v>
      </c>
      <c r="J44" s="196" t="s">
        <v>2117</v>
      </c>
      <c r="K44" s="210" t="s">
        <v>5668</v>
      </c>
      <c r="L44" s="157"/>
      <c r="M44" s="157"/>
      <c r="N44" s="157"/>
      <c r="O44" s="157"/>
      <c r="P44" s="157"/>
      <c r="Q44" s="157"/>
      <c r="R44" s="157"/>
      <c r="S44" s="157"/>
      <c r="T44" s="157"/>
      <c r="U44" s="157"/>
      <c r="V44" s="157"/>
      <c r="W44" s="157"/>
      <c r="X44" s="157"/>
    </row>
    <row r="45" ht="46.5" customHeight="1">
      <c r="A45" s="258">
        <v>8.600001495E9</v>
      </c>
      <c r="B45" s="191" t="s">
        <v>25</v>
      </c>
      <c r="C45" s="215" t="s">
        <v>3376</v>
      </c>
      <c r="D45" s="215" t="s">
        <v>5669</v>
      </c>
      <c r="E45" s="213" t="s">
        <v>5670</v>
      </c>
      <c r="F45" s="233">
        <v>44435.0</v>
      </c>
      <c r="G45" s="220">
        <v>44433.0</v>
      </c>
      <c r="H45" s="193">
        <v>44455.0</v>
      </c>
      <c r="I45" s="195" t="s">
        <v>2117</v>
      </c>
      <c r="J45" s="196" t="s">
        <v>2117</v>
      </c>
      <c r="K45" s="207" t="s">
        <v>5671</v>
      </c>
      <c r="L45" s="157"/>
      <c r="M45" s="157"/>
      <c r="N45" s="157"/>
      <c r="O45" s="157"/>
      <c r="P45" s="157"/>
      <c r="Q45" s="157"/>
      <c r="R45" s="157"/>
      <c r="S45" s="157"/>
      <c r="T45" s="157"/>
      <c r="U45" s="157"/>
      <c r="V45" s="157"/>
      <c r="W45" s="157"/>
      <c r="X45" s="157"/>
    </row>
    <row r="46" ht="46.5" customHeight="1">
      <c r="A46" s="258">
        <v>8.500000116E9</v>
      </c>
      <c r="B46" s="165" t="s">
        <v>14</v>
      </c>
      <c r="C46" s="215" t="s">
        <v>5580</v>
      </c>
      <c r="D46" s="215" t="s">
        <v>5672</v>
      </c>
      <c r="E46" s="213" t="s">
        <v>5581</v>
      </c>
      <c r="F46" s="233">
        <v>44421.0</v>
      </c>
      <c r="G46" s="220">
        <v>44418.0</v>
      </c>
      <c r="H46" s="406">
        <v>44435.0</v>
      </c>
      <c r="I46" s="195" t="s">
        <v>2117</v>
      </c>
      <c r="J46" s="196" t="s">
        <v>2117</v>
      </c>
      <c r="K46" s="210" t="s">
        <v>5673</v>
      </c>
      <c r="L46" s="157"/>
      <c r="M46" s="157"/>
      <c r="N46" s="157"/>
      <c r="O46" s="157"/>
      <c r="P46" s="157"/>
      <c r="Q46" s="157"/>
      <c r="R46" s="157"/>
      <c r="S46" s="157"/>
      <c r="T46" s="157"/>
      <c r="U46" s="157"/>
      <c r="V46" s="157"/>
      <c r="W46" s="157"/>
      <c r="X46" s="157"/>
    </row>
    <row r="47" ht="42.75" customHeight="1">
      <c r="A47" s="258">
        <v>8.600001465E9</v>
      </c>
      <c r="B47" s="191" t="s">
        <v>21</v>
      </c>
      <c r="C47" s="215" t="s">
        <v>5674</v>
      </c>
      <c r="D47" s="215" t="s">
        <v>5675</v>
      </c>
      <c r="E47" s="213" t="s">
        <v>5676</v>
      </c>
      <c r="F47" s="233">
        <v>44420.0</v>
      </c>
      <c r="G47" s="220">
        <v>44412.0</v>
      </c>
      <c r="H47" s="405">
        <v>44438.0</v>
      </c>
      <c r="I47" s="165" t="s">
        <v>5270</v>
      </c>
      <c r="J47" s="267" t="s">
        <v>2154</v>
      </c>
      <c r="K47" s="210" t="s">
        <v>5677</v>
      </c>
      <c r="L47" s="157"/>
      <c r="M47" s="157"/>
      <c r="N47" s="157"/>
      <c r="O47" s="157"/>
      <c r="P47" s="157"/>
      <c r="Q47" s="157"/>
      <c r="R47" s="157"/>
      <c r="S47" s="157"/>
      <c r="T47" s="157"/>
      <c r="U47" s="157"/>
      <c r="V47" s="157"/>
      <c r="W47" s="157"/>
      <c r="X47" s="157"/>
    </row>
    <row r="48" ht="44.25" customHeight="1">
      <c r="A48" s="258">
        <v>8.600001409E9</v>
      </c>
      <c r="B48" s="191" t="s">
        <v>21</v>
      </c>
      <c r="C48" s="215" t="s">
        <v>5678</v>
      </c>
      <c r="D48" s="215" t="s">
        <v>5679</v>
      </c>
      <c r="E48" s="207" t="s">
        <v>5680</v>
      </c>
      <c r="F48" s="233">
        <v>44408.0</v>
      </c>
      <c r="G48" s="220">
        <v>44384.0</v>
      </c>
      <c r="H48" s="193">
        <v>44418.0</v>
      </c>
      <c r="I48" s="165" t="s">
        <v>5270</v>
      </c>
      <c r="J48" s="267" t="s">
        <v>2154</v>
      </c>
      <c r="K48" s="210" t="s">
        <v>5681</v>
      </c>
      <c r="L48" s="157"/>
      <c r="M48" s="157"/>
      <c r="N48" s="157"/>
      <c r="O48" s="157"/>
      <c r="P48" s="157"/>
      <c r="Q48" s="157"/>
      <c r="R48" s="157"/>
      <c r="S48" s="157"/>
      <c r="T48" s="157"/>
      <c r="U48" s="157"/>
      <c r="V48" s="157"/>
      <c r="W48" s="157"/>
      <c r="X48" s="157"/>
    </row>
    <row r="49" ht="43.5" customHeight="1">
      <c r="A49" s="258">
        <v>8.600001448E9</v>
      </c>
      <c r="B49" s="165" t="s">
        <v>25</v>
      </c>
      <c r="C49" s="215" t="s">
        <v>5577</v>
      </c>
      <c r="D49" s="215" t="s">
        <v>5682</v>
      </c>
      <c r="E49" s="207" t="s">
        <v>5559</v>
      </c>
      <c r="F49" s="194">
        <v>44406.0</v>
      </c>
      <c r="G49" s="220">
        <v>44403.0</v>
      </c>
      <c r="H49" s="194">
        <v>44425.0</v>
      </c>
      <c r="I49" s="195" t="s">
        <v>2117</v>
      </c>
      <c r="J49" s="196" t="s">
        <v>2117</v>
      </c>
      <c r="K49" s="210" t="s">
        <v>5683</v>
      </c>
      <c r="L49" s="157"/>
      <c r="M49" s="157"/>
      <c r="N49" s="157"/>
      <c r="O49" s="157"/>
      <c r="P49" s="157"/>
      <c r="Q49" s="157"/>
      <c r="R49" s="157"/>
      <c r="S49" s="157"/>
      <c r="T49" s="157"/>
      <c r="U49" s="157"/>
      <c r="V49" s="157"/>
      <c r="W49" s="157"/>
      <c r="X49" s="157"/>
    </row>
    <row r="50" ht="43.5" customHeight="1">
      <c r="A50" s="258">
        <v>8.600001436E9</v>
      </c>
      <c r="B50" s="191" t="s">
        <v>21</v>
      </c>
      <c r="C50" s="215" t="s">
        <v>3376</v>
      </c>
      <c r="D50" s="215" t="s">
        <v>5684</v>
      </c>
      <c r="E50" s="207" t="s">
        <v>5685</v>
      </c>
      <c r="F50" s="194">
        <v>44405.0</v>
      </c>
      <c r="G50" s="220">
        <v>44400.0</v>
      </c>
      <c r="H50" s="193">
        <v>44413.0</v>
      </c>
      <c r="I50" s="165" t="s">
        <v>5270</v>
      </c>
      <c r="J50" s="267" t="s">
        <v>2154</v>
      </c>
      <c r="K50" s="210" t="s">
        <v>5686</v>
      </c>
      <c r="L50" s="157"/>
      <c r="M50" s="157"/>
      <c r="N50" s="157"/>
      <c r="O50" s="157"/>
      <c r="P50" s="157"/>
      <c r="Q50" s="157"/>
      <c r="R50" s="157"/>
      <c r="S50" s="157"/>
      <c r="T50" s="157"/>
      <c r="U50" s="157"/>
      <c r="V50" s="157"/>
      <c r="W50" s="157"/>
      <c r="X50" s="157"/>
    </row>
    <row r="51" ht="45.0" customHeight="1">
      <c r="A51" s="258">
        <v>8.600001435E9</v>
      </c>
      <c r="B51" s="165" t="s">
        <v>25</v>
      </c>
      <c r="C51" s="215" t="s">
        <v>5687</v>
      </c>
      <c r="D51" s="215" t="s">
        <v>5688</v>
      </c>
      <c r="E51" s="207" t="s">
        <v>5616</v>
      </c>
      <c r="F51" s="194">
        <v>44403.0</v>
      </c>
      <c r="G51" s="220">
        <v>44398.0</v>
      </c>
      <c r="H51" s="215" t="s">
        <v>5689</v>
      </c>
      <c r="I51" s="195" t="s">
        <v>2117</v>
      </c>
      <c r="J51" s="196" t="s">
        <v>2117</v>
      </c>
      <c r="K51" s="210" t="s">
        <v>5690</v>
      </c>
      <c r="L51" s="157"/>
      <c r="M51" s="157"/>
      <c r="N51" s="157"/>
      <c r="O51" s="157"/>
      <c r="P51" s="157"/>
      <c r="Q51" s="157"/>
      <c r="R51" s="157"/>
      <c r="S51" s="157"/>
      <c r="T51" s="157"/>
      <c r="U51" s="157"/>
      <c r="V51" s="157"/>
      <c r="W51" s="157"/>
      <c r="X51" s="157"/>
    </row>
    <row r="52" ht="15.75" customHeight="1">
      <c r="A52" s="258">
        <v>8.600001444E9</v>
      </c>
      <c r="B52" s="165" t="s">
        <v>14</v>
      </c>
      <c r="C52" s="215" t="s">
        <v>5691</v>
      </c>
      <c r="D52" s="215" t="s">
        <v>5692</v>
      </c>
      <c r="E52" s="213" t="s">
        <v>5693</v>
      </c>
      <c r="F52" s="233">
        <v>44400.0</v>
      </c>
      <c r="G52" s="220">
        <v>44390.0</v>
      </c>
      <c r="H52" s="215" t="s">
        <v>5694</v>
      </c>
      <c r="I52" s="195" t="s">
        <v>2117</v>
      </c>
      <c r="J52" s="196" t="s">
        <v>2117</v>
      </c>
      <c r="K52" s="210" t="s">
        <v>5695</v>
      </c>
      <c r="L52" s="157"/>
      <c r="M52" s="157"/>
      <c r="N52" s="157"/>
      <c r="O52" s="157"/>
      <c r="P52" s="157"/>
      <c r="Q52" s="157"/>
      <c r="R52" s="157"/>
      <c r="S52" s="157"/>
      <c r="T52" s="157"/>
      <c r="U52" s="157"/>
      <c r="V52" s="157"/>
      <c r="W52" s="157"/>
      <c r="X52" s="157"/>
    </row>
    <row r="53" ht="42.75" customHeight="1">
      <c r="A53" s="258">
        <v>8.600001464E9</v>
      </c>
      <c r="B53" s="165" t="s">
        <v>25</v>
      </c>
      <c r="C53" s="215" t="s">
        <v>3436</v>
      </c>
      <c r="D53" s="215" t="s">
        <v>5696</v>
      </c>
      <c r="E53" s="213" t="s">
        <v>5697</v>
      </c>
      <c r="F53" s="194">
        <v>44396.0</v>
      </c>
      <c r="G53" s="220">
        <v>44392.0</v>
      </c>
      <c r="H53" s="193">
        <v>44404.0</v>
      </c>
      <c r="I53" s="195" t="s">
        <v>2117</v>
      </c>
      <c r="J53" s="196" t="s">
        <v>2117</v>
      </c>
      <c r="K53" s="210" t="s">
        <v>5698</v>
      </c>
      <c r="L53" s="157"/>
      <c r="M53" s="157"/>
      <c r="N53" s="157"/>
      <c r="O53" s="157"/>
      <c r="P53" s="157"/>
      <c r="Q53" s="157"/>
      <c r="R53" s="157"/>
      <c r="S53" s="157"/>
      <c r="T53" s="157"/>
      <c r="U53" s="157"/>
      <c r="V53" s="157"/>
      <c r="W53" s="157"/>
      <c r="X53" s="157"/>
    </row>
    <row r="54" ht="44.25" customHeight="1">
      <c r="A54" s="258">
        <v>8.600001426E9</v>
      </c>
      <c r="B54" s="165" t="s">
        <v>14</v>
      </c>
      <c r="C54" s="215" t="s">
        <v>5604</v>
      </c>
      <c r="D54" s="215" t="s">
        <v>5699</v>
      </c>
      <c r="E54" s="213" t="s">
        <v>5700</v>
      </c>
      <c r="F54" s="233">
        <v>44395.0</v>
      </c>
      <c r="G54" s="220">
        <v>44391.0</v>
      </c>
      <c r="H54" s="405">
        <v>44400.0</v>
      </c>
      <c r="I54" s="195" t="s">
        <v>2117</v>
      </c>
      <c r="J54" s="196" t="s">
        <v>2117</v>
      </c>
      <c r="K54" s="210" t="s">
        <v>5701</v>
      </c>
      <c r="L54" s="157"/>
      <c r="M54" s="157"/>
      <c r="N54" s="157"/>
      <c r="O54" s="157"/>
      <c r="P54" s="157"/>
      <c r="Q54" s="157"/>
      <c r="R54" s="157"/>
      <c r="S54" s="157"/>
      <c r="T54" s="157"/>
      <c r="U54" s="157"/>
      <c r="V54" s="157"/>
      <c r="W54" s="157"/>
      <c r="X54" s="157"/>
    </row>
    <row r="55" ht="44.25" customHeight="1">
      <c r="A55" s="258">
        <v>8.500000115E9</v>
      </c>
      <c r="B55" s="191" t="s">
        <v>21</v>
      </c>
      <c r="C55" s="215" t="s">
        <v>3420</v>
      </c>
      <c r="D55" s="215" t="s">
        <v>5702</v>
      </c>
      <c r="E55" s="213" t="s">
        <v>2116</v>
      </c>
      <c r="F55" s="194">
        <v>44394.0</v>
      </c>
      <c r="G55" s="220">
        <v>44375.0</v>
      </c>
      <c r="H55" s="194">
        <v>44412.0</v>
      </c>
      <c r="I55" s="165" t="s">
        <v>5270</v>
      </c>
      <c r="J55" s="267" t="s">
        <v>2154</v>
      </c>
      <c r="K55" s="210" t="s">
        <v>5703</v>
      </c>
      <c r="L55" s="157"/>
      <c r="M55" s="157"/>
      <c r="N55" s="157"/>
      <c r="O55" s="157"/>
      <c r="P55" s="157"/>
      <c r="Q55" s="157"/>
      <c r="R55" s="157"/>
      <c r="S55" s="157"/>
      <c r="T55" s="157"/>
      <c r="U55" s="157"/>
      <c r="V55" s="157"/>
      <c r="W55" s="157"/>
      <c r="X55" s="157"/>
    </row>
    <row r="56" ht="44.25" customHeight="1">
      <c r="A56" s="258">
        <v>8.500000114E9</v>
      </c>
      <c r="B56" s="165" t="s">
        <v>14</v>
      </c>
      <c r="C56" s="215" t="s">
        <v>3471</v>
      </c>
      <c r="D56" s="215" t="s">
        <v>5704</v>
      </c>
      <c r="E56" s="213" t="s">
        <v>2116</v>
      </c>
      <c r="F56" s="233">
        <v>44392.0</v>
      </c>
      <c r="G56" s="220">
        <v>44378.0</v>
      </c>
      <c r="H56" s="194">
        <v>44398.0</v>
      </c>
      <c r="I56" s="195" t="s">
        <v>2117</v>
      </c>
      <c r="J56" s="196" t="s">
        <v>2117</v>
      </c>
      <c r="K56" s="210" t="s">
        <v>5705</v>
      </c>
      <c r="L56" s="157"/>
      <c r="M56" s="157"/>
      <c r="N56" s="157"/>
      <c r="O56" s="157"/>
      <c r="P56" s="157"/>
      <c r="Q56" s="157"/>
      <c r="R56" s="157"/>
      <c r="S56" s="157"/>
      <c r="T56" s="157"/>
      <c r="U56" s="157"/>
      <c r="V56" s="157"/>
      <c r="W56" s="157"/>
      <c r="X56" s="157"/>
    </row>
    <row r="57" ht="40.5" customHeight="1">
      <c r="A57" s="258">
        <v>8.600001397E9</v>
      </c>
      <c r="B57" s="165" t="s">
        <v>21</v>
      </c>
      <c r="C57" s="215" t="s">
        <v>5678</v>
      </c>
      <c r="D57" s="215" t="s">
        <v>5706</v>
      </c>
      <c r="E57" s="213" t="s">
        <v>5707</v>
      </c>
      <c r="F57" s="233">
        <v>44391.0</v>
      </c>
      <c r="G57" s="220">
        <v>44371.0</v>
      </c>
      <c r="H57" s="194">
        <v>44403.0</v>
      </c>
      <c r="I57" s="165" t="s">
        <v>5270</v>
      </c>
      <c r="J57" s="267" t="s">
        <v>2154</v>
      </c>
      <c r="K57" s="210" t="s">
        <v>5708</v>
      </c>
      <c r="L57" s="157"/>
      <c r="M57" s="157"/>
      <c r="N57" s="157"/>
      <c r="O57" s="157"/>
      <c r="P57" s="157"/>
      <c r="Q57" s="157"/>
      <c r="R57" s="157"/>
      <c r="S57" s="157"/>
      <c r="T57" s="157"/>
      <c r="U57" s="157"/>
      <c r="V57" s="157"/>
      <c r="W57" s="157"/>
      <c r="X57" s="157"/>
    </row>
    <row r="58" ht="40.5" customHeight="1">
      <c r="A58" s="258">
        <v>8.600001418E9</v>
      </c>
      <c r="B58" s="165" t="s">
        <v>14</v>
      </c>
      <c r="C58" s="215" t="s">
        <v>3471</v>
      </c>
      <c r="D58" s="215" t="s">
        <v>5709</v>
      </c>
      <c r="E58" s="213" t="s">
        <v>5710</v>
      </c>
      <c r="F58" s="233">
        <v>44385.0</v>
      </c>
      <c r="G58" s="209">
        <v>44384.0</v>
      </c>
      <c r="H58" s="170">
        <v>44390.0</v>
      </c>
      <c r="I58" s="195" t="s">
        <v>2117</v>
      </c>
      <c r="J58" s="196" t="s">
        <v>2117</v>
      </c>
      <c r="K58" s="210" t="s">
        <v>5711</v>
      </c>
      <c r="L58" s="157"/>
      <c r="M58" s="157"/>
      <c r="N58" s="157"/>
      <c r="O58" s="157"/>
      <c r="P58" s="157"/>
      <c r="Q58" s="157"/>
      <c r="R58" s="157"/>
      <c r="S58" s="157"/>
      <c r="T58" s="157"/>
      <c r="U58" s="157"/>
      <c r="V58" s="157"/>
      <c r="W58" s="157"/>
      <c r="X58" s="157"/>
    </row>
    <row r="59" ht="40.5" customHeight="1">
      <c r="A59" s="258">
        <v>8.600001408E9</v>
      </c>
      <c r="B59" s="165" t="s">
        <v>14</v>
      </c>
      <c r="C59" s="215" t="s">
        <v>5712</v>
      </c>
      <c r="D59" s="215" t="s">
        <v>5713</v>
      </c>
      <c r="E59" s="213" t="s">
        <v>5714</v>
      </c>
      <c r="F59" s="233">
        <v>44381.0</v>
      </c>
      <c r="G59" s="209">
        <v>44377.0</v>
      </c>
      <c r="H59" s="165" t="s">
        <v>5715</v>
      </c>
      <c r="I59" s="195" t="s">
        <v>2117</v>
      </c>
      <c r="J59" s="196" t="s">
        <v>2117</v>
      </c>
      <c r="K59" s="210" t="s">
        <v>5716</v>
      </c>
      <c r="L59" s="157"/>
      <c r="M59" s="157"/>
      <c r="N59" s="157"/>
      <c r="O59" s="157"/>
      <c r="P59" s="157"/>
      <c r="Q59" s="157"/>
      <c r="R59" s="157"/>
      <c r="S59" s="157"/>
      <c r="T59" s="157"/>
      <c r="U59" s="157"/>
      <c r="V59" s="157"/>
      <c r="W59" s="157"/>
      <c r="X59" s="157"/>
    </row>
    <row r="60" ht="42.75" customHeight="1">
      <c r="A60" s="258">
        <v>8.600001422E9</v>
      </c>
      <c r="B60" s="165" t="s">
        <v>14</v>
      </c>
      <c r="C60" s="215" t="s">
        <v>5577</v>
      </c>
      <c r="D60" s="215" t="s">
        <v>5717</v>
      </c>
      <c r="E60" s="207" t="s">
        <v>5559</v>
      </c>
      <c r="F60" s="233">
        <v>44377.0</v>
      </c>
      <c r="G60" s="220">
        <v>44392.0</v>
      </c>
      <c r="H60" s="193">
        <v>44393.0</v>
      </c>
      <c r="I60" s="195" t="s">
        <v>2117</v>
      </c>
      <c r="J60" s="196" t="s">
        <v>2117</v>
      </c>
      <c r="K60" s="210" t="s">
        <v>5718</v>
      </c>
      <c r="L60" s="157"/>
      <c r="M60" s="157"/>
      <c r="N60" s="157"/>
      <c r="O60" s="157"/>
      <c r="P60" s="157"/>
      <c r="Q60" s="157"/>
      <c r="R60" s="157"/>
      <c r="S60" s="157"/>
      <c r="T60" s="157"/>
      <c r="U60" s="157"/>
      <c r="V60" s="157"/>
      <c r="W60" s="157"/>
      <c r="X60" s="157"/>
    </row>
    <row r="61" ht="45.0" customHeight="1">
      <c r="A61" s="258">
        <v>8.600001415E9</v>
      </c>
      <c r="B61" s="165" t="s">
        <v>14</v>
      </c>
      <c r="C61" s="215" t="s">
        <v>5719</v>
      </c>
      <c r="D61" s="215" t="s">
        <v>5720</v>
      </c>
      <c r="E61" s="207" t="s">
        <v>5680</v>
      </c>
      <c r="F61" s="194">
        <v>44375.0</v>
      </c>
      <c r="G61" s="220">
        <v>44372.0</v>
      </c>
      <c r="H61" s="191" t="s">
        <v>5721</v>
      </c>
      <c r="I61" s="195" t="s">
        <v>2117</v>
      </c>
      <c r="J61" s="196" t="s">
        <v>2117</v>
      </c>
      <c r="K61" s="210" t="s">
        <v>5722</v>
      </c>
      <c r="L61" s="157"/>
      <c r="M61" s="157"/>
      <c r="N61" s="157"/>
      <c r="O61" s="157"/>
      <c r="P61" s="157"/>
      <c r="Q61" s="157"/>
      <c r="R61" s="157"/>
      <c r="S61" s="157"/>
      <c r="T61" s="157"/>
      <c r="U61" s="157"/>
      <c r="V61" s="157"/>
      <c r="W61" s="157"/>
      <c r="X61" s="157"/>
    </row>
    <row r="62" ht="44.25" customHeight="1">
      <c r="A62" s="258">
        <v>8.600001413E9</v>
      </c>
      <c r="B62" s="191" t="s">
        <v>21</v>
      </c>
      <c r="C62" s="215" t="s">
        <v>3646</v>
      </c>
      <c r="D62" s="407" t="s">
        <v>5723</v>
      </c>
      <c r="E62" s="213" t="s">
        <v>5724</v>
      </c>
      <c r="F62" s="233">
        <v>44367.0</v>
      </c>
      <c r="G62" s="220">
        <v>44363.0</v>
      </c>
      <c r="H62" s="193">
        <v>44393.0</v>
      </c>
      <c r="I62" s="165" t="s">
        <v>5270</v>
      </c>
      <c r="J62" s="267" t="s">
        <v>2154</v>
      </c>
      <c r="K62" s="210" t="s">
        <v>5725</v>
      </c>
      <c r="L62" s="157"/>
      <c r="M62" s="157"/>
      <c r="N62" s="157"/>
      <c r="O62" s="157"/>
      <c r="P62" s="157"/>
      <c r="Q62" s="157"/>
      <c r="R62" s="157"/>
      <c r="S62" s="157"/>
      <c r="T62" s="157"/>
      <c r="U62" s="157"/>
      <c r="V62" s="157"/>
      <c r="W62" s="157"/>
      <c r="X62" s="157"/>
    </row>
    <row r="63" ht="40.5" customHeight="1">
      <c r="A63" s="258">
        <v>8.600001404E9</v>
      </c>
      <c r="B63" s="165" t="s">
        <v>25</v>
      </c>
      <c r="C63" s="215" t="s">
        <v>5726</v>
      </c>
      <c r="D63" s="215" t="s">
        <v>5727</v>
      </c>
      <c r="E63" s="207" t="s">
        <v>5680</v>
      </c>
      <c r="F63" s="233">
        <v>44365.0</v>
      </c>
      <c r="G63" s="220">
        <v>44365.0</v>
      </c>
      <c r="H63" s="194">
        <v>44372.0</v>
      </c>
      <c r="I63" s="195" t="s">
        <v>2117</v>
      </c>
      <c r="J63" s="196" t="s">
        <v>2117</v>
      </c>
      <c r="K63" s="210" t="s">
        <v>5728</v>
      </c>
      <c r="L63" s="157"/>
      <c r="M63" s="157"/>
      <c r="N63" s="157"/>
      <c r="O63" s="157"/>
      <c r="P63" s="157"/>
      <c r="Q63" s="157"/>
      <c r="R63" s="157"/>
      <c r="S63" s="157"/>
      <c r="T63" s="157"/>
      <c r="U63" s="157"/>
      <c r="V63" s="157"/>
      <c r="W63" s="157"/>
      <c r="X63" s="157"/>
    </row>
    <row r="64" ht="41.25" customHeight="1">
      <c r="A64" s="258">
        <v>8.600001393E9</v>
      </c>
      <c r="B64" s="191" t="s">
        <v>21</v>
      </c>
      <c r="C64" s="215" t="s">
        <v>5674</v>
      </c>
      <c r="D64" s="407" t="s">
        <v>5729</v>
      </c>
      <c r="E64" s="213" t="s">
        <v>5730</v>
      </c>
      <c r="F64" s="233">
        <v>44364.0</v>
      </c>
      <c r="G64" s="220">
        <v>44340.0</v>
      </c>
      <c r="H64" s="193">
        <v>44377.0</v>
      </c>
      <c r="I64" s="165" t="s">
        <v>5270</v>
      </c>
      <c r="J64" s="267" t="s">
        <v>2154</v>
      </c>
      <c r="K64" s="210" t="s">
        <v>5731</v>
      </c>
      <c r="L64" s="157"/>
      <c r="M64" s="157"/>
      <c r="N64" s="157"/>
      <c r="O64" s="157"/>
      <c r="P64" s="157"/>
      <c r="Q64" s="157"/>
      <c r="R64" s="157"/>
      <c r="S64" s="157"/>
      <c r="T64" s="157"/>
      <c r="U64" s="157"/>
      <c r="V64" s="157"/>
      <c r="W64" s="157"/>
      <c r="X64" s="157"/>
    </row>
    <row r="65" ht="42.0" customHeight="1">
      <c r="A65" s="258">
        <v>8.600001414E9</v>
      </c>
      <c r="B65" s="165" t="s">
        <v>25</v>
      </c>
      <c r="C65" s="215" t="s">
        <v>3412</v>
      </c>
      <c r="D65" s="215" t="s">
        <v>5732</v>
      </c>
      <c r="E65" s="213" t="s">
        <v>5733</v>
      </c>
      <c r="F65" s="233">
        <v>44360.0</v>
      </c>
      <c r="G65" s="220">
        <v>44356.0</v>
      </c>
      <c r="H65" s="194">
        <v>44365.0</v>
      </c>
      <c r="I65" s="195" t="s">
        <v>2117</v>
      </c>
      <c r="J65" s="196" t="s">
        <v>2117</v>
      </c>
      <c r="K65" s="210" t="s">
        <v>5734</v>
      </c>
      <c r="L65" s="157"/>
      <c r="M65" s="157"/>
      <c r="N65" s="157"/>
      <c r="O65" s="157"/>
      <c r="P65" s="157"/>
      <c r="Q65" s="157"/>
      <c r="R65" s="157"/>
      <c r="S65" s="157"/>
      <c r="T65" s="157"/>
      <c r="U65" s="157"/>
      <c r="V65" s="157"/>
      <c r="W65" s="157"/>
      <c r="X65" s="157"/>
    </row>
    <row r="66" ht="44.25" customHeight="1">
      <c r="A66" s="258">
        <v>8.600001402E9</v>
      </c>
      <c r="B66" s="165" t="s">
        <v>14</v>
      </c>
      <c r="C66" s="215" t="s">
        <v>5735</v>
      </c>
      <c r="D66" s="215" t="s">
        <v>5736</v>
      </c>
      <c r="E66" s="207" t="s">
        <v>3589</v>
      </c>
      <c r="F66" s="233">
        <v>44358.0</v>
      </c>
      <c r="G66" s="220">
        <v>44355.0</v>
      </c>
      <c r="H66" s="191" t="s">
        <v>5737</v>
      </c>
      <c r="I66" s="195" t="s">
        <v>2117</v>
      </c>
      <c r="J66" s="196" t="s">
        <v>2117</v>
      </c>
      <c r="K66" s="210" t="s">
        <v>5738</v>
      </c>
      <c r="L66" s="157"/>
      <c r="M66" s="157"/>
      <c r="N66" s="157"/>
      <c r="O66" s="157"/>
      <c r="P66" s="157"/>
      <c r="Q66" s="157"/>
      <c r="R66" s="157"/>
      <c r="S66" s="157"/>
      <c r="T66" s="157"/>
      <c r="U66" s="157"/>
      <c r="V66" s="157"/>
      <c r="W66" s="157"/>
      <c r="X66" s="157"/>
    </row>
    <row r="67" ht="42.0" customHeight="1">
      <c r="A67" s="258">
        <v>8.500000111E9</v>
      </c>
      <c r="B67" s="191" t="s">
        <v>21</v>
      </c>
      <c r="C67" s="215" t="s">
        <v>3420</v>
      </c>
      <c r="D67" s="215" t="s">
        <v>5739</v>
      </c>
      <c r="E67" s="213" t="s">
        <v>2116</v>
      </c>
      <c r="F67" s="233">
        <v>44358.0</v>
      </c>
      <c r="G67" s="220">
        <v>44340.0</v>
      </c>
      <c r="H67" s="194">
        <v>44369.0</v>
      </c>
      <c r="I67" s="165" t="s">
        <v>5270</v>
      </c>
      <c r="J67" s="267" t="s">
        <v>2154</v>
      </c>
      <c r="K67" s="210" t="s">
        <v>5740</v>
      </c>
      <c r="L67" s="157"/>
      <c r="M67" s="157"/>
      <c r="N67" s="157"/>
      <c r="O67" s="157"/>
      <c r="P67" s="157"/>
      <c r="Q67" s="157"/>
      <c r="R67" s="157"/>
      <c r="S67" s="157"/>
      <c r="T67" s="157"/>
      <c r="U67" s="157"/>
      <c r="V67" s="157"/>
      <c r="W67" s="157"/>
      <c r="X67" s="157"/>
    </row>
    <row r="68" ht="39.0" customHeight="1">
      <c r="A68" s="258">
        <v>8.600001362E9</v>
      </c>
      <c r="B68" s="191" t="s">
        <v>21</v>
      </c>
      <c r="C68" s="215" t="s">
        <v>5520</v>
      </c>
      <c r="D68" s="215" t="s">
        <v>5741</v>
      </c>
      <c r="E68" s="213" t="s">
        <v>5742</v>
      </c>
      <c r="F68" s="233">
        <v>44358.0</v>
      </c>
      <c r="G68" s="220">
        <v>44333.0</v>
      </c>
      <c r="H68" s="194">
        <v>44368.0</v>
      </c>
      <c r="I68" s="165" t="s">
        <v>5270</v>
      </c>
      <c r="J68" s="267" t="s">
        <v>2154</v>
      </c>
      <c r="K68" s="210" t="s">
        <v>5743</v>
      </c>
      <c r="L68" s="157"/>
      <c r="M68" s="157"/>
      <c r="N68" s="157"/>
      <c r="O68" s="157"/>
      <c r="P68" s="157"/>
      <c r="Q68" s="157"/>
      <c r="R68" s="157"/>
      <c r="S68" s="157"/>
      <c r="T68" s="157"/>
      <c r="U68" s="157"/>
      <c r="V68" s="157"/>
      <c r="W68" s="157"/>
      <c r="X68" s="157"/>
    </row>
    <row r="69" ht="40.5" customHeight="1">
      <c r="A69" s="258">
        <v>8.600001396E9</v>
      </c>
      <c r="B69" s="165" t="s">
        <v>25</v>
      </c>
      <c r="C69" s="215" t="s">
        <v>5744</v>
      </c>
      <c r="D69" s="215" t="s">
        <v>5745</v>
      </c>
      <c r="E69" s="213" t="s">
        <v>5746</v>
      </c>
      <c r="F69" s="233">
        <v>44357.0</v>
      </c>
      <c r="G69" s="220">
        <v>44357.0</v>
      </c>
      <c r="H69" s="191" t="s">
        <v>5747</v>
      </c>
      <c r="I69" s="195" t="s">
        <v>2117</v>
      </c>
      <c r="J69" s="196" t="s">
        <v>2117</v>
      </c>
      <c r="K69" s="210" t="s">
        <v>5748</v>
      </c>
      <c r="L69" s="157"/>
      <c r="M69" s="157"/>
      <c r="N69" s="157"/>
      <c r="O69" s="157"/>
      <c r="P69" s="157"/>
      <c r="Q69" s="157"/>
      <c r="R69" s="157"/>
      <c r="S69" s="157"/>
      <c r="T69" s="157"/>
      <c r="U69" s="157"/>
      <c r="V69" s="157"/>
      <c r="W69" s="157"/>
      <c r="X69" s="157"/>
    </row>
    <row r="70" ht="42.75" customHeight="1">
      <c r="A70" s="258">
        <v>8.600001356E9</v>
      </c>
      <c r="B70" s="165" t="s">
        <v>14</v>
      </c>
      <c r="C70" s="215" t="s">
        <v>5749</v>
      </c>
      <c r="D70" s="215" t="s">
        <v>5750</v>
      </c>
      <c r="E70" s="207" t="s">
        <v>5751</v>
      </c>
      <c r="F70" s="233">
        <v>44342.0</v>
      </c>
      <c r="G70" s="220">
        <v>44335.0</v>
      </c>
      <c r="H70" s="215" t="s">
        <v>5752</v>
      </c>
      <c r="I70" s="195" t="s">
        <v>2117</v>
      </c>
      <c r="J70" s="196" t="s">
        <v>2117</v>
      </c>
      <c r="K70" s="207" t="s">
        <v>5753</v>
      </c>
      <c r="L70" s="157"/>
      <c r="M70" s="157"/>
      <c r="N70" s="157"/>
      <c r="O70" s="157"/>
      <c r="P70" s="157"/>
      <c r="Q70" s="157"/>
      <c r="R70" s="157"/>
      <c r="S70" s="157"/>
      <c r="T70" s="157"/>
      <c r="U70" s="157"/>
      <c r="V70" s="157"/>
      <c r="W70" s="157"/>
      <c r="X70" s="157"/>
    </row>
    <row r="71" ht="40.5" customHeight="1">
      <c r="A71" s="258">
        <v>8.600001381E9</v>
      </c>
      <c r="B71" s="165" t="s">
        <v>14</v>
      </c>
      <c r="C71" s="215" t="s">
        <v>5577</v>
      </c>
      <c r="D71" s="215" t="s">
        <v>5754</v>
      </c>
      <c r="E71" s="213" t="s">
        <v>5559</v>
      </c>
      <c r="F71" s="233">
        <v>44342.0</v>
      </c>
      <c r="G71" s="220">
        <v>44335.0</v>
      </c>
      <c r="H71" s="193">
        <v>44354.0</v>
      </c>
      <c r="I71" s="195" t="s">
        <v>2117</v>
      </c>
      <c r="J71" s="196" t="s">
        <v>2117</v>
      </c>
      <c r="K71" s="210" t="s">
        <v>5755</v>
      </c>
      <c r="L71" s="157"/>
      <c r="M71" s="157"/>
      <c r="N71" s="157"/>
      <c r="O71" s="157"/>
      <c r="P71" s="157"/>
      <c r="Q71" s="157"/>
      <c r="R71" s="157"/>
      <c r="S71" s="157"/>
      <c r="T71" s="157"/>
      <c r="U71" s="157"/>
      <c r="V71" s="157"/>
      <c r="W71" s="157"/>
      <c r="X71" s="157"/>
    </row>
    <row r="72" ht="40.5" customHeight="1">
      <c r="A72" s="264">
        <v>8.600001383E9</v>
      </c>
      <c r="B72" s="191" t="s">
        <v>21</v>
      </c>
      <c r="C72" s="215" t="s">
        <v>3436</v>
      </c>
      <c r="D72" s="215" t="s">
        <v>5756</v>
      </c>
      <c r="E72" s="207" t="s">
        <v>5517</v>
      </c>
      <c r="F72" s="233">
        <v>44339.0</v>
      </c>
      <c r="G72" s="220">
        <v>44335.0</v>
      </c>
      <c r="H72" s="193">
        <v>44355.0</v>
      </c>
      <c r="I72" s="165" t="s">
        <v>5757</v>
      </c>
      <c r="J72" s="196" t="s">
        <v>2117</v>
      </c>
      <c r="K72" s="210" t="s">
        <v>5758</v>
      </c>
      <c r="L72" s="157"/>
      <c r="M72" s="157"/>
      <c r="N72" s="157"/>
      <c r="O72" s="157"/>
      <c r="P72" s="157"/>
      <c r="Q72" s="157"/>
      <c r="R72" s="157"/>
      <c r="S72" s="157"/>
      <c r="T72" s="157"/>
      <c r="U72" s="157"/>
      <c r="V72" s="157"/>
      <c r="W72" s="157"/>
      <c r="X72" s="157"/>
    </row>
    <row r="73" ht="40.5" customHeight="1">
      <c r="A73" s="258">
        <v>8.600001382E9</v>
      </c>
      <c r="B73" s="165" t="s">
        <v>25</v>
      </c>
      <c r="C73" s="215" t="s">
        <v>3404</v>
      </c>
      <c r="D73" s="215" t="s">
        <v>5759</v>
      </c>
      <c r="E73" s="213" t="s">
        <v>5760</v>
      </c>
      <c r="F73" s="233">
        <v>44337.0</v>
      </c>
      <c r="G73" s="194">
        <v>44337.0</v>
      </c>
      <c r="H73" s="194">
        <v>44349.0</v>
      </c>
      <c r="I73" s="195" t="s">
        <v>2117</v>
      </c>
      <c r="J73" s="196" t="s">
        <v>2117</v>
      </c>
      <c r="K73" s="210" t="s">
        <v>5761</v>
      </c>
      <c r="L73" s="157"/>
      <c r="M73" s="157"/>
      <c r="N73" s="157"/>
      <c r="O73" s="157"/>
      <c r="P73" s="157"/>
      <c r="Q73" s="157"/>
      <c r="R73" s="157"/>
      <c r="S73" s="157"/>
      <c r="T73" s="157"/>
      <c r="U73" s="157"/>
      <c r="V73" s="157"/>
      <c r="W73" s="157"/>
      <c r="X73" s="157"/>
    </row>
    <row r="74" ht="40.5" customHeight="1">
      <c r="A74" s="258">
        <v>8.600001392E9</v>
      </c>
      <c r="B74" s="165" t="s">
        <v>25</v>
      </c>
      <c r="C74" s="215" t="s">
        <v>2419</v>
      </c>
      <c r="D74" s="215" t="s">
        <v>5762</v>
      </c>
      <c r="E74" s="207" t="s">
        <v>5763</v>
      </c>
      <c r="F74" s="233">
        <v>44337.0</v>
      </c>
      <c r="G74" s="194">
        <v>44337.0</v>
      </c>
      <c r="H74" s="193">
        <v>44356.0</v>
      </c>
      <c r="I74" s="195" t="s">
        <v>2117</v>
      </c>
      <c r="J74" s="196" t="s">
        <v>2117</v>
      </c>
      <c r="K74" s="210" t="s">
        <v>5764</v>
      </c>
      <c r="L74" s="157"/>
      <c r="M74" s="157"/>
      <c r="N74" s="157"/>
      <c r="O74" s="157"/>
      <c r="P74" s="157"/>
      <c r="Q74" s="157"/>
      <c r="R74" s="157"/>
      <c r="S74" s="157"/>
      <c r="T74" s="157"/>
      <c r="U74" s="157"/>
      <c r="V74" s="157"/>
      <c r="W74" s="157"/>
      <c r="X74" s="157"/>
    </row>
    <row r="75" ht="40.5" customHeight="1">
      <c r="A75" s="258">
        <v>8.600001352E9</v>
      </c>
      <c r="B75" s="165" t="s">
        <v>21</v>
      </c>
      <c r="C75" s="215" t="s">
        <v>5577</v>
      </c>
      <c r="D75" s="215" t="s">
        <v>5765</v>
      </c>
      <c r="E75" s="207" t="s">
        <v>5559</v>
      </c>
      <c r="F75" s="233">
        <v>44336.0</v>
      </c>
      <c r="G75" s="220">
        <v>44335.0</v>
      </c>
      <c r="H75" s="194">
        <v>44335.0</v>
      </c>
      <c r="I75" s="165" t="s">
        <v>5757</v>
      </c>
      <c r="J75" s="196" t="s">
        <v>2117</v>
      </c>
      <c r="K75" s="210" t="s">
        <v>5766</v>
      </c>
      <c r="L75" s="157"/>
      <c r="M75" s="157"/>
      <c r="N75" s="157"/>
      <c r="O75" s="157"/>
      <c r="P75" s="157"/>
      <c r="Q75" s="157"/>
      <c r="R75" s="157"/>
      <c r="S75" s="157"/>
      <c r="T75" s="157"/>
      <c r="U75" s="157"/>
      <c r="V75" s="157"/>
      <c r="W75" s="157"/>
      <c r="X75" s="157"/>
    </row>
    <row r="76" ht="40.5" customHeight="1">
      <c r="A76" s="258">
        <v>8.600001368E9</v>
      </c>
      <c r="B76" s="165" t="s">
        <v>14</v>
      </c>
      <c r="C76" s="215" t="s">
        <v>5767</v>
      </c>
      <c r="D76" s="215" t="s">
        <v>5768</v>
      </c>
      <c r="E76" s="213" t="s">
        <v>5769</v>
      </c>
      <c r="F76" s="233">
        <v>44336.0</v>
      </c>
      <c r="G76" s="220">
        <v>44333.0</v>
      </c>
      <c r="H76" s="191" t="s">
        <v>5770</v>
      </c>
      <c r="I76" s="195" t="s">
        <v>2117</v>
      </c>
      <c r="J76" s="196" t="s">
        <v>2117</v>
      </c>
      <c r="K76" s="210" t="s">
        <v>5771</v>
      </c>
      <c r="L76" s="157"/>
      <c r="M76" s="157"/>
      <c r="N76" s="157"/>
      <c r="O76" s="157"/>
      <c r="P76" s="157"/>
      <c r="Q76" s="157"/>
      <c r="R76" s="157"/>
      <c r="S76" s="157"/>
      <c r="T76" s="157"/>
      <c r="U76" s="157"/>
      <c r="V76" s="157"/>
      <c r="W76" s="157"/>
      <c r="X76" s="157"/>
    </row>
    <row r="77" ht="40.5" customHeight="1">
      <c r="A77" s="258">
        <v>8.600001371E9</v>
      </c>
      <c r="B77" s="165" t="s">
        <v>14</v>
      </c>
      <c r="C77" s="215" t="s">
        <v>5665</v>
      </c>
      <c r="D77" s="215" t="s">
        <v>5772</v>
      </c>
      <c r="E77" s="213" t="s">
        <v>5773</v>
      </c>
      <c r="F77" s="233">
        <v>44334.0</v>
      </c>
      <c r="G77" s="220">
        <v>44329.0</v>
      </c>
      <c r="H77" s="194">
        <v>44348.0</v>
      </c>
      <c r="I77" s="195" t="s">
        <v>2117</v>
      </c>
      <c r="J77" s="196" t="s">
        <v>2117</v>
      </c>
      <c r="K77" s="207" t="s">
        <v>5774</v>
      </c>
      <c r="L77" s="157"/>
      <c r="M77" s="157"/>
      <c r="N77" s="157"/>
      <c r="O77" s="157"/>
      <c r="P77" s="157"/>
      <c r="Q77" s="157"/>
      <c r="R77" s="157"/>
      <c r="S77" s="157"/>
      <c r="T77" s="157"/>
      <c r="U77" s="157"/>
      <c r="V77" s="157"/>
      <c r="W77" s="157"/>
      <c r="X77" s="157"/>
    </row>
    <row r="78" ht="41.25" customHeight="1">
      <c r="A78" s="258">
        <v>8.600001363E9</v>
      </c>
      <c r="B78" s="165" t="s">
        <v>25</v>
      </c>
      <c r="C78" s="215" t="s">
        <v>5775</v>
      </c>
      <c r="D78" s="215" t="s">
        <v>5776</v>
      </c>
      <c r="E78" s="213" t="s">
        <v>5777</v>
      </c>
      <c r="F78" s="233">
        <v>44333.0</v>
      </c>
      <c r="G78" s="194">
        <v>44333.0</v>
      </c>
      <c r="H78" s="191" t="s">
        <v>5778</v>
      </c>
      <c r="I78" s="195" t="s">
        <v>2117</v>
      </c>
      <c r="J78" s="196" t="s">
        <v>2117</v>
      </c>
      <c r="K78" s="210" t="s">
        <v>5779</v>
      </c>
      <c r="L78" s="157"/>
      <c r="M78" s="157"/>
      <c r="N78" s="157"/>
      <c r="O78" s="157"/>
      <c r="P78" s="157"/>
      <c r="Q78" s="157"/>
      <c r="R78" s="157"/>
      <c r="S78" s="157"/>
      <c r="T78" s="157"/>
      <c r="U78" s="157"/>
      <c r="V78" s="157"/>
      <c r="W78" s="157"/>
      <c r="X78" s="157"/>
    </row>
    <row r="79" ht="42.75" customHeight="1">
      <c r="A79" s="258">
        <v>8.500000108E9</v>
      </c>
      <c r="B79" s="191" t="s">
        <v>21</v>
      </c>
      <c r="C79" s="215" t="s">
        <v>3380</v>
      </c>
      <c r="D79" s="215" t="s">
        <v>5780</v>
      </c>
      <c r="E79" s="213" t="s">
        <v>5781</v>
      </c>
      <c r="F79" s="233">
        <v>44333.0</v>
      </c>
      <c r="G79" s="220">
        <v>44333.0</v>
      </c>
      <c r="H79" s="194">
        <v>44340.0</v>
      </c>
      <c r="I79" s="165" t="s">
        <v>5757</v>
      </c>
      <c r="J79" s="196" t="s">
        <v>2117</v>
      </c>
      <c r="K79" s="210" t="s">
        <v>5782</v>
      </c>
      <c r="L79" s="157"/>
      <c r="M79" s="157"/>
      <c r="N79" s="157"/>
      <c r="O79" s="157"/>
      <c r="P79" s="157"/>
      <c r="Q79" s="157"/>
      <c r="R79" s="157"/>
      <c r="S79" s="157"/>
      <c r="T79" s="157"/>
      <c r="U79" s="157"/>
      <c r="V79" s="157"/>
      <c r="W79" s="157"/>
      <c r="X79" s="157"/>
    </row>
    <row r="80" ht="40.5" customHeight="1">
      <c r="A80" s="258">
        <v>8.6000014E9</v>
      </c>
      <c r="B80" s="165" t="s">
        <v>14</v>
      </c>
      <c r="C80" s="204" t="s">
        <v>5783</v>
      </c>
      <c r="D80" s="215" t="s">
        <v>5784</v>
      </c>
      <c r="E80" s="213" t="s">
        <v>5785</v>
      </c>
      <c r="F80" s="233">
        <v>44331.0</v>
      </c>
      <c r="G80" s="220">
        <v>44333.0</v>
      </c>
      <c r="H80" s="220">
        <v>44334.0</v>
      </c>
      <c r="I80" s="195" t="s">
        <v>2117</v>
      </c>
      <c r="J80" s="196" t="s">
        <v>2117</v>
      </c>
      <c r="K80" s="210" t="s">
        <v>5786</v>
      </c>
      <c r="L80" s="157"/>
      <c r="M80" s="157"/>
      <c r="N80" s="157"/>
      <c r="O80" s="157"/>
      <c r="P80" s="157"/>
      <c r="Q80" s="157"/>
      <c r="R80" s="157"/>
      <c r="S80" s="157"/>
      <c r="T80" s="157"/>
      <c r="U80" s="157"/>
      <c r="V80" s="157"/>
      <c r="W80" s="157"/>
      <c r="X80" s="157"/>
    </row>
    <row r="81" ht="43.5" customHeight="1">
      <c r="A81" s="258">
        <v>8.600001349E9</v>
      </c>
      <c r="B81" s="191" t="s">
        <v>21</v>
      </c>
      <c r="C81" s="215" t="s">
        <v>5787</v>
      </c>
      <c r="D81" s="215" t="s">
        <v>5788</v>
      </c>
      <c r="E81" s="213" t="s">
        <v>5789</v>
      </c>
      <c r="F81" s="233">
        <v>44326.0</v>
      </c>
      <c r="G81" s="220">
        <v>44322.0</v>
      </c>
      <c r="H81" s="215" t="s">
        <v>5790</v>
      </c>
      <c r="I81" s="165" t="s">
        <v>5757</v>
      </c>
      <c r="J81" s="196" t="s">
        <v>2117</v>
      </c>
      <c r="K81" s="210" t="s">
        <v>5791</v>
      </c>
      <c r="L81" s="157"/>
      <c r="M81" s="157"/>
      <c r="N81" s="157"/>
      <c r="O81" s="157"/>
      <c r="P81" s="157"/>
      <c r="Q81" s="157"/>
      <c r="R81" s="157"/>
      <c r="S81" s="157"/>
      <c r="T81" s="157"/>
      <c r="U81" s="157"/>
      <c r="V81" s="157"/>
      <c r="W81" s="157"/>
      <c r="X81" s="157"/>
    </row>
    <row r="82" ht="45.0" customHeight="1">
      <c r="A82" s="258">
        <v>8.600001357E9</v>
      </c>
      <c r="B82" s="191" t="s">
        <v>21</v>
      </c>
      <c r="C82" s="215" t="s">
        <v>5792</v>
      </c>
      <c r="D82" s="215" t="s">
        <v>5793</v>
      </c>
      <c r="E82" s="213" t="s">
        <v>5794</v>
      </c>
      <c r="F82" s="233">
        <v>44324.0</v>
      </c>
      <c r="G82" s="220">
        <v>44320.0</v>
      </c>
      <c r="H82" s="215" t="s">
        <v>5795</v>
      </c>
      <c r="I82" s="165" t="s">
        <v>5757</v>
      </c>
      <c r="J82" s="196" t="s">
        <v>2117</v>
      </c>
      <c r="K82" s="210" t="s">
        <v>5796</v>
      </c>
      <c r="L82" s="157"/>
      <c r="M82" s="157"/>
      <c r="N82" s="157"/>
      <c r="O82" s="157"/>
      <c r="P82" s="157"/>
      <c r="Q82" s="157"/>
      <c r="R82" s="157"/>
      <c r="S82" s="157"/>
      <c r="T82" s="157"/>
      <c r="U82" s="157"/>
      <c r="V82" s="157"/>
      <c r="W82" s="157"/>
      <c r="X82" s="157"/>
    </row>
    <row r="83" ht="40.5" customHeight="1">
      <c r="A83" s="258">
        <v>8.500000109E9</v>
      </c>
      <c r="B83" s="165" t="s">
        <v>14</v>
      </c>
      <c r="C83" s="215" t="s">
        <v>3646</v>
      </c>
      <c r="D83" s="215" t="s">
        <v>5797</v>
      </c>
      <c r="E83" s="213" t="s">
        <v>2116</v>
      </c>
      <c r="F83" s="233">
        <v>44317.0</v>
      </c>
      <c r="G83" s="220">
        <v>44312.0</v>
      </c>
      <c r="H83" s="194">
        <v>44316.0</v>
      </c>
      <c r="I83" s="195" t="s">
        <v>2117</v>
      </c>
      <c r="J83" s="196" t="s">
        <v>2117</v>
      </c>
      <c r="K83" s="210" t="s">
        <v>5798</v>
      </c>
      <c r="L83" s="157"/>
      <c r="M83" s="157"/>
      <c r="N83" s="157"/>
      <c r="O83" s="157"/>
      <c r="P83" s="157"/>
      <c r="Q83" s="157"/>
      <c r="R83" s="157"/>
      <c r="S83" s="157"/>
      <c r="T83" s="157"/>
      <c r="U83" s="157"/>
      <c r="V83" s="157"/>
      <c r="W83" s="157"/>
      <c r="X83" s="157"/>
    </row>
    <row r="84" ht="40.5" customHeight="1">
      <c r="A84" s="258">
        <v>8.600001334E9</v>
      </c>
      <c r="B84" s="165" t="s">
        <v>14</v>
      </c>
      <c r="C84" s="215" t="s">
        <v>5561</v>
      </c>
      <c r="D84" s="215" t="s">
        <v>5799</v>
      </c>
      <c r="E84" s="213" t="s">
        <v>5800</v>
      </c>
      <c r="F84" s="233">
        <v>44310.0</v>
      </c>
      <c r="G84" s="220">
        <v>44305.0</v>
      </c>
      <c r="H84" s="193">
        <v>44314.0</v>
      </c>
      <c r="I84" s="195" t="s">
        <v>2117</v>
      </c>
      <c r="J84" s="196" t="s">
        <v>2117</v>
      </c>
      <c r="K84" s="207" t="s">
        <v>5801</v>
      </c>
      <c r="L84" s="157"/>
      <c r="M84" s="157"/>
      <c r="N84" s="157"/>
      <c r="O84" s="157"/>
      <c r="P84" s="157"/>
      <c r="Q84" s="157"/>
      <c r="R84" s="157"/>
      <c r="S84" s="157"/>
      <c r="T84" s="157"/>
      <c r="U84" s="157"/>
      <c r="V84" s="157"/>
      <c r="W84" s="157"/>
      <c r="X84" s="157"/>
    </row>
    <row r="85" ht="40.5" customHeight="1">
      <c r="A85" s="258">
        <v>8.600001335E9</v>
      </c>
      <c r="B85" s="165" t="s">
        <v>25</v>
      </c>
      <c r="C85" s="215" t="s">
        <v>3376</v>
      </c>
      <c r="D85" s="215" t="s">
        <v>5802</v>
      </c>
      <c r="E85" s="213" t="s">
        <v>5803</v>
      </c>
      <c r="F85" s="233">
        <v>44309.0</v>
      </c>
      <c r="G85" s="220">
        <v>44305.0</v>
      </c>
      <c r="H85" s="194">
        <v>44323.0</v>
      </c>
      <c r="I85" s="195" t="s">
        <v>2117</v>
      </c>
      <c r="J85" s="196" t="s">
        <v>2117</v>
      </c>
      <c r="K85" s="207" t="s">
        <v>5804</v>
      </c>
      <c r="L85" s="157"/>
      <c r="M85" s="157"/>
      <c r="N85" s="157"/>
      <c r="O85" s="157"/>
      <c r="P85" s="157"/>
      <c r="Q85" s="157"/>
      <c r="R85" s="157"/>
      <c r="S85" s="157"/>
      <c r="T85" s="157"/>
      <c r="U85" s="157"/>
      <c r="V85" s="157"/>
      <c r="W85" s="157"/>
      <c r="X85" s="157"/>
    </row>
    <row r="86" ht="40.5" customHeight="1">
      <c r="A86" s="258">
        <v>8.60000132E9</v>
      </c>
      <c r="B86" s="165" t="s">
        <v>14</v>
      </c>
      <c r="C86" s="215" t="s">
        <v>5539</v>
      </c>
      <c r="D86" s="215" t="s">
        <v>5805</v>
      </c>
      <c r="E86" s="213" t="s">
        <v>5806</v>
      </c>
      <c r="F86" s="233">
        <v>44308.0</v>
      </c>
      <c r="G86" s="220">
        <v>44305.0</v>
      </c>
      <c r="H86" s="191" t="s">
        <v>5807</v>
      </c>
      <c r="I86" s="195" t="s">
        <v>2117</v>
      </c>
      <c r="J86" s="196" t="s">
        <v>2117</v>
      </c>
      <c r="K86" s="207" t="s">
        <v>5808</v>
      </c>
      <c r="L86" s="157"/>
      <c r="M86" s="157"/>
      <c r="N86" s="157"/>
      <c r="O86" s="157"/>
      <c r="P86" s="157"/>
      <c r="Q86" s="157"/>
      <c r="R86" s="157"/>
      <c r="S86" s="157"/>
      <c r="T86" s="157"/>
      <c r="U86" s="157"/>
      <c r="V86" s="157"/>
      <c r="W86" s="157"/>
      <c r="X86" s="157"/>
    </row>
    <row r="87" ht="40.5" customHeight="1">
      <c r="A87" s="258">
        <v>8.600001343E9</v>
      </c>
      <c r="B87" s="191" t="s">
        <v>25</v>
      </c>
      <c r="C87" s="215" t="s">
        <v>3436</v>
      </c>
      <c r="D87" s="215" t="s">
        <v>5809</v>
      </c>
      <c r="E87" s="213" t="s">
        <v>5810</v>
      </c>
      <c r="F87" s="233">
        <v>44303.0</v>
      </c>
      <c r="G87" s="220">
        <v>44302.0</v>
      </c>
      <c r="H87" s="193">
        <v>44307.0</v>
      </c>
      <c r="I87" s="195" t="s">
        <v>2117</v>
      </c>
      <c r="J87" s="196" t="s">
        <v>2117</v>
      </c>
      <c r="K87" s="207" t="s">
        <v>5811</v>
      </c>
      <c r="L87" s="157"/>
      <c r="M87" s="157"/>
      <c r="N87" s="157"/>
      <c r="O87" s="157"/>
      <c r="P87" s="157"/>
      <c r="Q87" s="157"/>
      <c r="R87" s="157"/>
      <c r="S87" s="157"/>
      <c r="T87" s="157"/>
      <c r="U87" s="157"/>
      <c r="V87" s="157"/>
      <c r="W87" s="157"/>
      <c r="X87" s="157"/>
    </row>
    <row r="88" ht="45.75" customHeight="1">
      <c r="A88" s="258">
        <v>8.600001299E9</v>
      </c>
      <c r="B88" s="191" t="s">
        <v>21</v>
      </c>
      <c r="C88" s="215" t="s">
        <v>5726</v>
      </c>
      <c r="D88" s="215" t="s">
        <v>5812</v>
      </c>
      <c r="E88" s="213" t="s">
        <v>5813</v>
      </c>
      <c r="F88" s="233">
        <v>44301.0</v>
      </c>
      <c r="G88" s="220">
        <v>44284.0</v>
      </c>
      <c r="H88" s="193">
        <v>44309.0</v>
      </c>
      <c r="I88" s="165" t="s">
        <v>5270</v>
      </c>
      <c r="J88" s="267" t="s">
        <v>2154</v>
      </c>
      <c r="K88" s="210" t="s">
        <v>5814</v>
      </c>
      <c r="L88" s="157"/>
      <c r="M88" s="157"/>
      <c r="N88" s="157"/>
      <c r="O88" s="157"/>
      <c r="P88" s="157"/>
      <c r="Q88" s="157"/>
      <c r="R88" s="157"/>
      <c r="S88" s="157"/>
      <c r="T88" s="157"/>
      <c r="U88" s="157"/>
      <c r="V88" s="157"/>
      <c r="W88" s="157"/>
      <c r="X88" s="157"/>
    </row>
    <row r="89" ht="40.5" customHeight="1">
      <c r="A89" s="258">
        <v>8.500000107E9</v>
      </c>
      <c r="B89" s="165" t="s">
        <v>14</v>
      </c>
      <c r="C89" s="215" t="s">
        <v>5815</v>
      </c>
      <c r="D89" s="215" t="s">
        <v>5816</v>
      </c>
      <c r="E89" s="207" t="s">
        <v>2116</v>
      </c>
      <c r="F89" s="233">
        <v>44295.0</v>
      </c>
      <c r="G89" s="233">
        <v>44291.0</v>
      </c>
      <c r="H89" s="193">
        <v>44295.0</v>
      </c>
      <c r="I89" s="195" t="s">
        <v>2117</v>
      </c>
      <c r="J89" s="196" t="s">
        <v>2117</v>
      </c>
      <c r="K89" s="214" t="s">
        <v>5817</v>
      </c>
      <c r="L89" s="157"/>
      <c r="M89" s="157"/>
      <c r="N89" s="157"/>
      <c r="O89" s="157"/>
      <c r="P89" s="157"/>
      <c r="Q89" s="157"/>
      <c r="R89" s="157"/>
      <c r="S89" s="157"/>
      <c r="T89" s="157"/>
      <c r="U89" s="157"/>
      <c r="V89" s="157"/>
      <c r="W89" s="157"/>
      <c r="X89" s="157"/>
    </row>
    <row r="90" ht="40.5" customHeight="1">
      <c r="A90" s="408">
        <v>8.60000133E9</v>
      </c>
      <c r="B90" s="204" t="s">
        <v>14</v>
      </c>
      <c r="C90" s="215" t="s">
        <v>3386</v>
      </c>
      <c r="D90" s="215" t="s">
        <v>5818</v>
      </c>
      <c r="E90" s="207" t="s">
        <v>5559</v>
      </c>
      <c r="F90" s="233">
        <v>44291.0</v>
      </c>
      <c r="G90" s="233">
        <v>44284.0</v>
      </c>
      <c r="H90" s="193">
        <v>44294.0</v>
      </c>
      <c r="I90" s="195" t="s">
        <v>2117</v>
      </c>
      <c r="J90" s="196" t="s">
        <v>2117</v>
      </c>
      <c r="K90" s="207" t="s">
        <v>5819</v>
      </c>
      <c r="L90" s="157"/>
      <c r="M90" s="157"/>
      <c r="N90" s="157"/>
      <c r="O90" s="157"/>
      <c r="P90" s="157"/>
      <c r="Q90" s="157"/>
      <c r="R90" s="157"/>
      <c r="S90" s="157"/>
      <c r="T90" s="157"/>
      <c r="U90" s="157"/>
      <c r="V90" s="157"/>
      <c r="W90" s="157"/>
      <c r="X90" s="157"/>
    </row>
    <row r="91" ht="40.5" customHeight="1">
      <c r="A91" s="408">
        <v>8.600001321E9</v>
      </c>
      <c r="B91" s="215" t="s">
        <v>21</v>
      </c>
      <c r="C91" s="215" t="s">
        <v>5674</v>
      </c>
      <c r="D91" s="215" t="s">
        <v>5820</v>
      </c>
      <c r="E91" s="207" t="s">
        <v>5821</v>
      </c>
      <c r="F91" s="233">
        <v>44290.0</v>
      </c>
      <c r="G91" s="233">
        <v>44284.0</v>
      </c>
      <c r="H91" s="193">
        <v>44294.0</v>
      </c>
      <c r="I91" s="165" t="s">
        <v>5270</v>
      </c>
      <c r="J91" s="267" t="s">
        <v>2154</v>
      </c>
      <c r="K91" s="207" t="s">
        <v>5822</v>
      </c>
      <c r="L91" s="157"/>
      <c r="M91" s="157"/>
      <c r="N91" s="157"/>
      <c r="O91" s="157"/>
      <c r="P91" s="157"/>
      <c r="Q91" s="157"/>
      <c r="R91" s="157"/>
      <c r="S91" s="157"/>
      <c r="T91" s="157"/>
      <c r="U91" s="157"/>
      <c r="V91" s="157"/>
      <c r="W91" s="157"/>
      <c r="X91" s="157"/>
    </row>
    <row r="92" ht="40.5" customHeight="1">
      <c r="A92" s="408">
        <v>8.600001329E9</v>
      </c>
      <c r="B92" s="204" t="s">
        <v>25</v>
      </c>
      <c r="C92" s="215" t="s">
        <v>3372</v>
      </c>
      <c r="D92" s="215" t="s">
        <v>5823</v>
      </c>
      <c r="E92" s="207" t="s">
        <v>5824</v>
      </c>
      <c r="F92" s="233">
        <v>44289.0</v>
      </c>
      <c r="G92" s="233">
        <v>44277.0</v>
      </c>
      <c r="H92" s="193">
        <v>44293.0</v>
      </c>
      <c r="I92" s="195" t="s">
        <v>2117</v>
      </c>
      <c r="J92" s="196" t="s">
        <v>2117</v>
      </c>
      <c r="K92" s="210" t="s">
        <v>5825</v>
      </c>
      <c r="L92" s="157"/>
      <c r="M92" s="157"/>
      <c r="N92" s="157"/>
      <c r="O92" s="157"/>
      <c r="P92" s="157"/>
      <c r="Q92" s="157"/>
      <c r="R92" s="157"/>
      <c r="S92" s="157"/>
      <c r="T92" s="157"/>
      <c r="U92" s="157"/>
      <c r="V92" s="157"/>
      <c r="W92" s="157"/>
      <c r="X92" s="157"/>
    </row>
    <row r="93" ht="40.5" customHeight="1">
      <c r="A93" s="258">
        <v>8.600001308E9</v>
      </c>
      <c r="B93" s="191" t="s">
        <v>25</v>
      </c>
      <c r="C93" s="215" t="s">
        <v>5826</v>
      </c>
      <c r="D93" s="215" t="s">
        <v>5827</v>
      </c>
      <c r="E93" s="213" t="s">
        <v>5828</v>
      </c>
      <c r="F93" s="233">
        <v>44280.0</v>
      </c>
      <c r="G93" s="220">
        <v>44277.0</v>
      </c>
      <c r="H93" s="220">
        <v>44284.0</v>
      </c>
      <c r="I93" s="195" t="s">
        <v>2117</v>
      </c>
      <c r="J93" s="196" t="s">
        <v>2117</v>
      </c>
      <c r="K93" s="207" t="s">
        <v>5829</v>
      </c>
      <c r="L93" s="157"/>
      <c r="M93" s="157"/>
      <c r="N93" s="157"/>
      <c r="O93" s="157"/>
      <c r="P93" s="157"/>
      <c r="Q93" s="157"/>
      <c r="R93" s="157"/>
      <c r="S93" s="157"/>
      <c r="T93" s="157"/>
      <c r="U93" s="157"/>
      <c r="V93" s="157"/>
      <c r="W93" s="157"/>
      <c r="X93" s="157"/>
    </row>
    <row r="94" ht="15.75" customHeight="1">
      <c r="A94" s="258">
        <v>8.600001296E9</v>
      </c>
      <c r="B94" s="165" t="s">
        <v>14</v>
      </c>
      <c r="C94" s="215" t="s">
        <v>5561</v>
      </c>
      <c r="D94" s="215" t="s">
        <v>5830</v>
      </c>
      <c r="E94" s="214" t="s">
        <v>5831</v>
      </c>
      <c r="F94" s="233">
        <v>44279.0</v>
      </c>
      <c r="G94" s="220">
        <v>44278.0</v>
      </c>
      <c r="H94" s="191" t="s">
        <v>5832</v>
      </c>
      <c r="I94" s="195" t="s">
        <v>2117</v>
      </c>
      <c r="J94" s="196" t="s">
        <v>2117</v>
      </c>
      <c r="K94" s="210" t="s">
        <v>5833</v>
      </c>
      <c r="L94" s="157"/>
      <c r="M94" s="157"/>
      <c r="N94" s="157"/>
      <c r="O94" s="157"/>
      <c r="P94" s="157"/>
      <c r="Q94" s="157"/>
      <c r="R94" s="157"/>
      <c r="S94" s="157"/>
      <c r="T94" s="157"/>
      <c r="U94" s="157"/>
      <c r="V94" s="157"/>
      <c r="W94" s="157"/>
      <c r="X94" s="157"/>
    </row>
    <row r="95" ht="48.0" customHeight="1">
      <c r="A95" s="258">
        <v>8.600001313E9</v>
      </c>
      <c r="B95" s="165" t="s">
        <v>14</v>
      </c>
      <c r="C95" s="215" t="s">
        <v>5834</v>
      </c>
      <c r="D95" s="215" t="s">
        <v>5835</v>
      </c>
      <c r="E95" s="213" t="s">
        <v>5836</v>
      </c>
      <c r="F95" s="233">
        <v>44278.0</v>
      </c>
      <c r="G95" s="220" t="s">
        <v>4099</v>
      </c>
      <c r="H95" s="191" t="s">
        <v>5837</v>
      </c>
      <c r="I95" s="195" t="s">
        <v>2117</v>
      </c>
      <c r="J95" s="196" t="s">
        <v>2117</v>
      </c>
      <c r="K95" s="181" t="s">
        <v>5838</v>
      </c>
      <c r="L95" s="157"/>
      <c r="M95" s="157"/>
      <c r="N95" s="157"/>
      <c r="O95" s="157"/>
      <c r="P95" s="157"/>
      <c r="Q95" s="157"/>
      <c r="R95" s="157"/>
      <c r="S95" s="157"/>
      <c r="T95" s="157"/>
      <c r="U95" s="157"/>
      <c r="V95" s="157"/>
      <c r="W95" s="157"/>
      <c r="X95" s="157"/>
    </row>
    <row r="96" ht="40.5" customHeight="1">
      <c r="A96" s="258">
        <v>8.600001306E9</v>
      </c>
      <c r="B96" s="165" t="s">
        <v>14</v>
      </c>
      <c r="C96" s="215" t="s">
        <v>5665</v>
      </c>
      <c r="D96" s="215" t="s">
        <v>5839</v>
      </c>
      <c r="E96" s="214" t="s">
        <v>2359</v>
      </c>
      <c r="F96" s="233">
        <v>44274.0</v>
      </c>
      <c r="G96" s="220">
        <v>44272.0</v>
      </c>
      <c r="H96" s="409">
        <v>44280.0</v>
      </c>
      <c r="I96" s="195" t="s">
        <v>2117</v>
      </c>
      <c r="J96" s="196" t="s">
        <v>2117</v>
      </c>
      <c r="K96" s="207" t="s">
        <v>5840</v>
      </c>
      <c r="L96" s="157"/>
      <c r="M96" s="157"/>
      <c r="N96" s="157"/>
      <c r="O96" s="157"/>
      <c r="P96" s="157"/>
      <c r="Q96" s="157"/>
      <c r="R96" s="157"/>
      <c r="S96" s="157"/>
      <c r="T96" s="157"/>
      <c r="U96" s="157"/>
      <c r="V96" s="157"/>
      <c r="W96" s="157"/>
      <c r="X96" s="157"/>
    </row>
    <row r="97" ht="40.5" customHeight="1">
      <c r="A97" s="258">
        <v>8.500000106E9</v>
      </c>
      <c r="B97" s="165" t="s">
        <v>14</v>
      </c>
      <c r="C97" s="215" t="s">
        <v>3420</v>
      </c>
      <c r="D97" s="204" t="s">
        <v>5841</v>
      </c>
      <c r="E97" s="214" t="s">
        <v>2116</v>
      </c>
      <c r="F97" s="233">
        <v>44271.0</v>
      </c>
      <c r="G97" s="220">
        <v>44263.0</v>
      </c>
      <c r="H97" s="194">
        <v>44274.0</v>
      </c>
      <c r="I97" s="195" t="s">
        <v>2117</v>
      </c>
      <c r="J97" s="196" t="s">
        <v>2117</v>
      </c>
      <c r="K97" s="210" t="s">
        <v>5842</v>
      </c>
      <c r="L97" s="157"/>
      <c r="M97" s="157"/>
      <c r="N97" s="157"/>
      <c r="O97" s="157"/>
      <c r="P97" s="157"/>
      <c r="Q97" s="157"/>
      <c r="R97" s="157"/>
      <c r="S97" s="157"/>
      <c r="T97" s="157"/>
      <c r="U97" s="157"/>
      <c r="V97" s="157"/>
      <c r="W97" s="157"/>
      <c r="X97" s="157"/>
    </row>
    <row r="98" ht="39.75" customHeight="1">
      <c r="A98" s="258">
        <v>8.600001263E9</v>
      </c>
      <c r="B98" s="191" t="s">
        <v>21</v>
      </c>
      <c r="C98" s="215" t="s">
        <v>5604</v>
      </c>
      <c r="D98" s="215" t="s">
        <v>5843</v>
      </c>
      <c r="E98" s="213" t="s">
        <v>5844</v>
      </c>
      <c r="F98" s="233">
        <v>44270.0</v>
      </c>
      <c r="G98" s="220">
        <v>44256.0</v>
      </c>
      <c r="H98" s="194">
        <v>44274.0</v>
      </c>
      <c r="I98" s="165" t="s">
        <v>5270</v>
      </c>
      <c r="J98" s="267" t="s">
        <v>2154</v>
      </c>
      <c r="K98" s="210" t="s">
        <v>5845</v>
      </c>
      <c r="L98" s="198"/>
      <c r="M98" s="198"/>
      <c r="N98" s="198"/>
      <c r="O98" s="198"/>
      <c r="P98" s="198"/>
      <c r="Q98" s="198"/>
      <c r="R98" s="198"/>
      <c r="S98" s="198"/>
      <c r="T98" s="198"/>
      <c r="U98" s="198"/>
      <c r="V98" s="198"/>
      <c r="W98" s="198"/>
      <c r="X98" s="198"/>
    </row>
    <row r="99" ht="40.5" customHeight="1">
      <c r="A99" s="258">
        <v>8.600001282E9</v>
      </c>
      <c r="B99" s="191" t="s">
        <v>25</v>
      </c>
      <c r="C99" s="215" t="s">
        <v>5846</v>
      </c>
      <c r="D99" s="215" t="s">
        <v>5847</v>
      </c>
      <c r="E99" s="207" t="s">
        <v>5848</v>
      </c>
      <c r="F99" s="233">
        <v>44258.0</v>
      </c>
      <c r="G99" s="220">
        <v>44250.0</v>
      </c>
      <c r="H99" s="194">
        <v>44265.0</v>
      </c>
      <c r="I99" s="195" t="s">
        <v>2117</v>
      </c>
      <c r="J99" s="196" t="s">
        <v>2117</v>
      </c>
      <c r="K99" s="210" t="s">
        <v>5849</v>
      </c>
      <c r="L99" s="198"/>
      <c r="M99" s="198"/>
      <c r="N99" s="198"/>
      <c r="O99" s="198"/>
      <c r="P99" s="198"/>
      <c r="Q99" s="198"/>
      <c r="R99" s="198"/>
      <c r="S99" s="198"/>
      <c r="T99" s="198"/>
      <c r="U99" s="198"/>
      <c r="V99" s="198"/>
      <c r="W99" s="198"/>
      <c r="X99" s="198"/>
    </row>
    <row r="100" ht="60.0" customHeight="1">
      <c r="A100" s="258">
        <v>8.600001292E9</v>
      </c>
      <c r="B100" s="165" t="s">
        <v>14</v>
      </c>
      <c r="C100" s="215" t="s">
        <v>5850</v>
      </c>
      <c r="D100" s="215" t="s">
        <v>5851</v>
      </c>
      <c r="E100" s="213" t="s">
        <v>5852</v>
      </c>
      <c r="F100" s="233">
        <v>44256.0</v>
      </c>
      <c r="G100" s="220">
        <v>44253.0</v>
      </c>
      <c r="H100" s="191" t="s">
        <v>5853</v>
      </c>
      <c r="I100" s="195" t="s">
        <v>2117</v>
      </c>
      <c r="J100" s="196" t="s">
        <v>2117</v>
      </c>
      <c r="K100" s="210" t="s">
        <v>5854</v>
      </c>
      <c r="L100" s="198"/>
      <c r="M100" s="198"/>
      <c r="N100" s="198"/>
      <c r="O100" s="198"/>
      <c r="P100" s="198"/>
      <c r="Q100" s="198"/>
      <c r="R100" s="198"/>
      <c r="S100" s="198"/>
      <c r="T100" s="198"/>
      <c r="U100" s="198"/>
      <c r="V100" s="198"/>
      <c r="W100" s="198"/>
      <c r="X100" s="198"/>
    </row>
    <row r="101" ht="41.25" customHeight="1">
      <c r="A101" s="258">
        <v>8.600001275E9</v>
      </c>
      <c r="B101" s="165" t="s">
        <v>21</v>
      </c>
      <c r="C101" s="215" t="s">
        <v>3420</v>
      </c>
      <c r="D101" s="215" t="s">
        <v>5855</v>
      </c>
      <c r="E101" s="207" t="s">
        <v>5856</v>
      </c>
      <c r="F101" s="233">
        <v>44252.0</v>
      </c>
      <c r="G101" s="220">
        <v>44249.0</v>
      </c>
      <c r="H101" s="194">
        <v>44259.0</v>
      </c>
      <c r="I101" s="165" t="s">
        <v>5270</v>
      </c>
      <c r="J101" s="267" t="s">
        <v>2154</v>
      </c>
      <c r="K101" s="210" t="s">
        <v>5857</v>
      </c>
      <c r="L101" s="198"/>
      <c r="M101" s="198"/>
      <c r="N101" s="198"/>
      <c r="O101" s="198"/>
      <c r="P101" s="198"/>
      <c r="Q101" s="198"/>
      <c r="R101" s="198"/>
      <c r="S101" s="198"/>
      <c r="T101" s="198"/>
      <c r="U101" s="198"/>
      <c r="V101" s="198"/>
      <c r="W101" s="198"/>
      <c r="X101" s="198"/>
    </row>
    <row r="102" ht="45.75" customHeight="1">
      <c r="A102" s="258">
        <v>8.600001252E9</v>
      </c>
      <c r="B102" s="165" t="s">
        <v>14</v>
      </c>
      <c r="C102" s="215" t="s">
        <v>5858</v>
      </c>
      <c r="D102" s="215" t="s">
        <v>5859</v>
      </c>
      <c r="E102" s="213" t="s">
        <v>5860</v>
      </c>
      <c r="F102" s="233">
        <v>44245.0</v>
      </c>
      <c r="G102" s="209">
        <v>44236.0</v>
      </c>
      <c r="H102" s="165" t="s">
        <v>5861</v>
      </c>
      <c r="I102" s="195" t="s">
        <v>2117</v>
      </c>
      <c r="J102" s="196" t="s">
        <v>2117</v>
      </c>
      <c r="K102" s="210" t="s">
        <v>5862</v>
      </c>
      <c r="L102" s="198"/>
      <c r="M102" s="198"/>
      <c r="N102" s="198"/>
      <c r="O102" s="198"/>
      <c r="P102" s="198"/>
      <c r="Q102" s="198"/>
      <c r="R102" s="198"/>
      <c r="S102" s="198"/>
      <c r="T102" s="198"/>
      <c r="U102" s="198"/>
      <c r="V102" s="198"/>
      <c r="W102" s="198"/>
      <c r="X102" s="198"/>
    </row>
    <row r="103" ht="40.5" customHeight="1">
      <c r="A103" s="258">
        <v>8.500000105E9</v>
      </c>
      <c r="B103" s="165" t="s">
        <v>21</v>
      </c>
      <c r="C103" s="215" t="s">
        <v>3420</v>
      </c>
      <c r="D103" s="215" t="s">
        <v>5863</v>
      </c>
      <c r="E103" s="213" t="s">
        <v>2116</v>
      </c>
      <c r="F103" s="233">
        <v>44245.0</v>
      </c>
      <c r="G103" s="220">
        <v>44231.0</v>
      </c>
      <c r="H103" s="194">
        <v>44253.0</v>
      </c>
      <c r="I103" s="165" t="s">
        <v>5270</v>
      </c>
      <c r="J103" s="267" t="s">
        <v>2154</v>
      </c>
      <c r="K103" s="210" t="s">
        <v>5864</v>
      </c>
      <c r="L103" s="157"/>
      <c r="M103" s="157"/>
      <c r="N103" s="157"/>
      <c r="O103" s="157"/>
      <c r="P103" s="157"/>
      <c r="Q103" s="157"/>
      <c r="R103" s="157"/>
      <c r="S103" s="157"/>
      <c r="T103" s="157"/>
      <c r="U103" s="157"/>
      <c r="V103" s="157"/>
      <c r="W103" s="157"/>
      <c r="X103" s="157"/>
    </row>
    <row r="104" ht="40.5" customHeight="1">
      <c r="A104" s="258">
        <v>8.600001276E9</v>
      </c>
      <c r="B104" s="191" t="s">
        <v>25</v>
      </c>
      <c r="C104" s="215" t="s">
        <v>3376</v>
      </c>
      <c r="D104" s="215" t="s">
        <v>5865</v>
      </c>
      <c r="E104" s="213" t="s">
        <v>5866</v>
      </c>
      <c r="F104" s="233">
        <v>44239.0</v>
      </c>
      <c r="G104" s="220">
        <v>44231.0</v>
      </c>
      <c r="H104" s="220">
        <v>44251.0</v>
      </c>
      <c r="I104" s="195" t="s">
        <v>2117</v>
      </c>
      <c r="J104" s="196" t="s">
        <v>2117</v>
      </c>
      <c r="K104" s="210" t="s">
        <v>5867</v>
      </c>
      <c r="L104" s="157"/>
      <c r="M104" s="157"/>
      <c r="N104" s="157"/>
      <c r="O104" s="157"/>
      <c r="P104" s="157"/>
      <c r="Q104" s="157"/>
      <c r="R104" s="157"/>
      <c r="S104" s="157"/>
      <c r="T104" s="157"/>
      <c r="U104" s="157"/>
      <c r="V104" s="157"/>
      <c r="W104" s="157"/>
      <c r="X104" s="157"/>
    </row>
    <row r="105" ht="40.5" customHeight="1">
      <c r="A105" s="258">
        <v>8.600001256E9</v>
      </c>
      <c r="B105" s="191" t="s">
        <v>21</v>
      </c>
      <c r="C105" s="215" t="s">
        <v>3646</v>
      </c>
      <c r="D105" s="215" t="s">
        <v>5868</v>
      </c>
      <c r="E105" s="207" t="s">
        <v>5869</v>
      </c>
      <c r="F105" s="233">
        <v>44238.0</v>
      </c>
      <c r="G105" s="220">
        <v>44232.0</v>
      </c>
      <c r="H105" s="220">
        <v>44245.0</v>
      </c>
      <c r="I105" s="165" t="s">
        <v>5270</v>
      </c>
      <c r="J105" s="267" t="s">
        <v>2154</v>
      </c>
      <c r="K105" s="210" t="s">
        <v>5870</v>
      </c>
      <c r="L105" s="157"/>
      <c r="M105" s="157"/>
      <c r="N105" s="157"/>
      <c r="O105" s="157"/>
      <c r="P105" s="157"/>
      <c r="Q105" s="157"/>
      <c r="R105" s="157"/>
      <c r="S105" s="157"/>
      <c r="T105" s="157"/>
      <c r="U105" s="157"/>
      <c r="V105" s="157"/>
      <c r="W105" s="157"/>
      <c r="X105" s="157"/>
    </row>
    <row r="106" ht="40.5" customHeight="1">
      <c r="A106" s="258">
        <v>8.60000125E9</v>
      </c>
      <c r="B106" s="191" t="s">
        <v>21</v>
      </c>
      <c r="C106" s="215" t="s">
        <v>5649</v>
      </c>
      <c r="D106" s="215" t="s">
        <v>5871</v>
      </c>
      <c r="E106" s="207" t="s">
        <v>5872</v>
      </c>
      <c r="F106" s="233">
        <v>44231.0</v>
      </c>
      <c r="G106" s="220">
        <v>44229.0</v>
      </c>
      <c r="H106" s="220">
        <v>44231.0</v>
      </c>
      <c r="I106" s="165" t="s">
        <v>5270</v>
      </c>
      <c r="J106" s="267" t="s">
        <v>2154</v>
      </c>
      <c r="K106" s="210" t="s">
        <v>5873</v>
      </c>
      <c r="L106" s="157"/>
      <c r="M106" s="157"/>
      <c r="N106" s="157"/>
      <c r="O106" s="157"/>
      <c r="P106" s="157"/>
      <c r="Q106" s="157"/>
      <c r="R106" s="157"/>
      <c r="S106" s="157"/>
      <c r="T106" s="157"/>
      <c r="U106" s="157"/>
      <c r="V106" s="157"/>
      <c r="W106" s="157"/>
      <c r="X106" s="157"/>
    </row>
    <row r="107" ht="40.5" customHeight="1">
      <c r="A107" s="258">
        <v>8.600001262E9</v>
      </c>
      <c r="B107" s="165" t="s">
        <v>25</v>
      </c>
      <c r="C107" s="215" t="s">
        <v>3436</v>
      </c>
      <c r="D107" s="215" t="s">
        <v>5874</v>
      </c>
      <c r="E107" s="213" t="s">
        <v>5875</v>
      </c>
      <c r="F107" s="233">
        <v>44229.0</v>
      </c>
      <c r="G107" s="220">
        <v>44225.0</v>
      </c>
      <c r="H107" s="220">
        <v>44243.0</v>
      </c>
      <c r="I107" s="195" t="s">
        <v>2117</v>
      </c>
      <c r="J107" s="196" t="s">
        <v>2117</v>
      </c>
      <c r="K107" s="210" t="s">
        <v>5876</v>
      </c>
      <c r="L107" s="157"/>
      <c r="M107" s="157"/>
      <c r="N107" s="157"/>
      <c r="O107" s="157"/>
      <c r="P107" s="157"/>
      <c r="Q107" s="157"/>
      <c r="R107" s="157"/>
      <c r="S107" s="157"/>
      <c r="T107" s="157"/>
      <c r="U107" s="157"/>
      <c r="V107" s="157"/>
      <c r="W107" s="157"/>
      <c r="X107" s="157"/>
    </row>
    <row r="108" ht="40.5" customHeight="1">
      <c r="A108" s="258">
        <v>8.600001254E9</v>
      </c>
      <c r="B108" s="165" t="s">
        <v>14</v>
      </c>
      <c r="C108" s="215" t="s">
        <v>5877</v>
      </c>
      <c r="D108" s="215" t="s">
        <v>5878</v>
      </c>
      <c r="E108" s="214" t="s">
        <v>5879</v>
      </c>
      <c r="F108" s="233">
        <v>44226.0</v>
      </c>
      <c r="G108" s="220">
        <v>44222.0</v>
      </c>
      <c r="H108" s="220">
        <v>44236.0</v>
      </c>
      <c r="I108" s="195" t="s">
        <v>2117</v>
      </c>
      <c r="J108" s="196" t="s">
        <v>2117</v>
      </c>
      <c r="K108" s="210" t="s">
        <v>5880</v>
      </c>
      <c r="L108" s="157"/>
      <c r="M108" s="157"/>
      <c r="N108" s="157"/>
      <c r="O108" s="157"/>
      <c r="P108" s="157"/>
      <c r="Q108" s="157"/>
      <c r="R108" s="157"/>
      <c r="S108" s="157"/>
      <c r="T108" s="157"/>
      <c r="U108" s="157"/>
      <c r="V108" s="157"/>
      <c r="W108" s="157"/>
      <c r="X108" s="157"/>
    </row>
    <row r="109" ht="40.5" customHeight="1">
      <c r="A109" s="258">
        <v>8.600001247E9</v>
      </c>
      <c r="B109" s="191" t="s">
        <v>25</v>
      </c>
      <c r="C109" s="215" t="s">
        <v>5881</v>
      </c>
      <c r="D109" s="215" t="s">
        <v>5882</v>
      </c>
      <c r="E109" s="214" t="s">
        <v>5883</v>
      </c>
      <c r="F109" s="233">
        <v>44225.0</v>
      </c>
      <c r="G109" s="220">
        <v>44209.0</v>
      </c>
      <c r="H109" s="165" t="s">
        <v>5884</v>
      </c>
      <c r="I109" s="195" t="s">
        <v>2117</v>
      </c>
      <c r="J109" s="196" t="s">
        <v>2117</v>
      </c>
      <c r="K109" s="210" t="s">
        <v>5885</v>
      </c>
      <c r="L109" s="157"/>
      <c r="M109" s="157"/>
      <c r="N109" s="157"/>
      <c r="O109" s="157"/>
      <c r="P109" s="157"/>
      <c r="Q109" s="157"/>
      <c r="R109" s="157"/>
      <c r="S109" s="157"/>
      <c r="T109" s="157"/>
      <c r="U109" s="157"/>
      <c r="V109" s="157"/>
      <c r="W109" s="157"/>
      <c r="X109" s="157"/>
    </row>
    <row r="110" ht="40.5" customHeight="1">
      <c r="A110" s="258">
        <v>8.600001251E9</v>
      </c>
      <c r="B110" s="165" t="s">
        <v>14</v>
      </c>
      <c r="C110" s="215" t="s">
        <v>3454</v>
      </c>
      <c r="D110" s="215" t="s">
        <v>5886</v>
      </c>
      <c r="E110" s="207" t="s">
        <v>5680</v>
      </c>
      <c r="F110" s="233">
        <v>44220.0</v>
      </c>
      <c r="G110" s="220">
        <v>44217.0</v>
      </c>
      <c r="H110" s="220">
        <v>44238.0</v>
      </c>
      <c r="I110" s="195" t="s">
        <v>2117</v>
      </c>
      <c r="J110" s="196" t="s">
        <v>2117</v>
      </c>
      <c r="K110" s="210" t="s">
        <v>5887</v>
      </c>
      <c r="L110" s="157"/>
      <c r="M110" s="157"/>
      <c r="N110" s="157"/>
      <c r="O110" s="157"/>
      <c r="P110" s="157"/>
      <c r="Q110" s="157"/>
      <c r="R110" s="157"/>
      <c r="S110" s="157"/>
      <c r="T110" s="157"/>
      <c r="U110" s="157"/>
      <c r="V110" s="157"/>
      <c r="W110" s="157"/>
      <c r="X110" s="157"/>
    </row>
    <row r="111" ht="40.5" customHeight="1">
      <c r="A111" s="258">
        <v>8.500000104E9</v>
      </c>
      <c r="B111" s="165" t="s">
        <v>14</v>
      </c>
      <c r="C111" s="215" t="s">
        <v>5674</v>
      </c>
      <c r="D111" s="215" t="s">
        <v>5888</v>
      </c>
      <c r="E111" s="213" t="s">
        <v>5889</v>
      </c>
      <c r="F111" s="233">
        <v>44218.0</v>
      </c>
      <c r="G111" s="220">
        <v>44216.0</v>
      </c>
      <c r="H111" s="220">
        <v>44225.0</v>
      </c>
      <c r="I111" s="195" t="s">
        <v>2117</v>
      </c>
      <c r="J111" s="196" t="s">
        <v>2117</v>
      </c>
      <c r="K111" s="210" t="s">
        <v>5890</v>
      </c>
      <c r="L111" s="157"/>
      <c r="M111" s="157"/>
      <c r="N111" s="157"/>
      <c r="O111" s="157"/>
      <c r="P111" s="157"/>
      <c r="Q111" s="157"/>
      <c r="R111" s="157"/>
      <c r="S111" s="157"/>
      <c r="T111" s="157"/>
      <c r="U111" s="157"/>
      <c r="V111" s="157"/>
      <c r="W111" s="157"/>
      <c r="X111" s="157"/>
    </row>
    <row r="112" ht="40.5" customHeight="1">
      <c r="A112" s="258">
        <v>8.600001233E9</v>
      </c>
      <c r="B112" s="165" t="s">
        <v>14</v>
      </c>
      <c r="C112" s="215" t="s">
        <v>5749</v>
      </c>
      <c r="D112" s="215" t="s">
        <v>5891</v>
      </c>
      <c r="E112" s="213" t="s">
        <v>5892</v>
      </c>
      <c r="F112" s="233">
        <v>44218.0</v>
      </c>
      <c r="G112" s="220">
        <v>44216.0</v>
      </c>
      <c r="H112" s="220" t="s">
        <v>5893</v>
      </c>
      <c r="I112" s="195" t="s">
        <v>2117</v>
      </c>
      <c r="J112" s="196" t="s">
        <v>2117</v>
      </c>
      <c r="K112" s="210" t="s">
        <v>5894</v>
      </c>
      <c r="L112" s="198"/>
      <c r="M112" s="198"/>
      <c r="N112" s="198"/>
      <c r="O112" s="198"/>
      <c r="P112" s="198"/>
      <c r="Q112" s="198"/>
      <c r="R112" s="198"/>
      <c r="S112" s="198"/>
      <c r="T112" s="198"/>
      <c r="U112" s="198"/>
      <c r="V112" s="198"/>
      <c r="W112" s="198"/>
      <c r="X112" s="198"/>
    </row>
    <row r="113" ht="40.5" customHeight="1">
      <c r="A113" s="258">
        <v>8.60000124E9</v>
      </c>
      <c r="B113" s="165" t="s">
        <v>14</v>
      </c>
      <c r="C113" s="215" t="s">
        <v>3471</v>
      </c>
      <c r="D113" s="215" t="s">
        <v>5895</v>
      </c>
      <c r="E113" s="213" t="s">
        <v>5896</v>
      </c>
      <c r="F113" s="233">
        <v>44214.0</v>
      </c>
      <c r="G113" s="209">
        <v>44211.0</v>
      </c>
      <c r="H113" s="209">
        <v>44222.0</v>
      </c>
      <c r="I113" s="195" t="s">
        <v>2117</v>
      </c>
      <c r="J113" s="196" t="s">
        <v>2117</v>
      </c>
      <c r="K113" s="210" t="s">
        <v>5897</v>
      </c>
      <c r="L113" s="198"/>
      <c r="M113" s="198"/>
      <c r="N113" s="198"/>
      <c r="O113" s="198"/>
      <c r="P113" s="198"/>
      <c r="Q113" s="198"/>
      <c r="R113" s="198"/>
      <c r="S113" s="198"/>
      <c r="T113" s="198"/>
      <c r="U113" s="198"/>
      <c r="V113" s="198"/>
      <c r="W113" s="198"/>
      <c r="X113" s="198"/>
    </row>
    <row r="114" ht="40.5" customHeight="1">
      <c r="A114" s="258">
        <v>8.600001239E9</v>
      </c>
      <c r="B114" s="165" t="s">
        <v>21</v>
      </c>
      <c r="C114" s="215" t="s">
        <v>5674</v>
      </c>
      <c r="D114" s="215" t="s">
        <v>5898</v>
      </c>
      <c r="E114" s="213" t="s">
        <v>5896</v>
      </c>
      <c r="F114" s="233">
        <v>44206.0</v>
      </c>
      <c r="G114" s="220">
        <v>44194.0</v>
      </c>
      <c r="H114" s="220">
        <v>44208.0</v>
      </c>
      <c r="I114" s="191" t="s">
        <v>5270</v>
      </c>
      <c r="J114" s="410" t="s">
        <v>2154</v>
      </c>
      <c r="K114" s="210" t="s">
        <v>5899</v>
      </c>
      <c r="L114" s="157"/>
      <c r="M114" s="157"/>
      <c r="N114" s="157"/>
      <c r="O114" s="157"/>
      <c r="P114" s="157"/>
      <c r="Q114" s="157"/>
      <c r="R114" s="157"/>
      <c r="S114" s="157"/>
      <c r="T114" s="157"/>
      <c r="U114" s="157"/>
      <c r="V114" s="157"/>
      <c r="W114" s="157"/>
      <c r="X114" s="157"/>
    </row>
    <row r="115" ht="40.5" customHeight="1">
      <c r="A115" s="258">
        <v>8.600001222E9</v>
      </c>
      <c r="B115" s="165" t="s">
        <v>21</v>
      </c>
      <c r="C115" s="215" t="s">
        <v>5674</v>
      </c>
      <c r="D115" s="215" t="s">
        <v>5900</v>
      </c>
      <c r="E115" s="207" t="s">
        <v>5559</v>
      </c>
      <c r="F115" s="233">
        <v>44202.0</v>
      </c>
      <c r="G115" s="220">
        <v>44196.0</v>
      </c>
      <c r="H115" s="220">
        <v>44210.0</v>
      </c>
      <c r="I115" s="191" t="s">
        <v>5270</v>
      </c>
      <c r="J115" s="410" t="s">
        <v>2154</v>
      </c>
      <c r="K115" s="210" t="s">
        <v>5901</v>
      </c>
      <c r="L115" s="198"/>
      <c r="M115" s="198"/>
      <c r="N115" s="198"/>
      <c r="O115" s="198"/>
      <c r="P115" s="198"/>
      <c r="Q115" s="198"/>
      <c r="R115" s="198"/>
      <c r="S115" s="198"/>
      <c r="T115" s="198"/>
      <c r="U115" s="198"/>
      <c r="V115" s="198"/>
      <c r="W115" s="198"/>
      <c r="X115" s="198"/>
    </row>
    <row r="116" ht="40.5" customHeight="1">
      <c r="A116" s="258">
        <v>8.600001224E9</v>
      </c>
      <c r="B116" s="165" t="s">
        <v>21</v>
      </c>
      <c r="C116" s="215" t="s">
        <v>5674</v>
      </c>
      <c r="D116" s="215" t="s">
        <v>5902</v>
      </c>
      <c r="E116" s="213" t="s">
        <v>5903</v>
      </c>
      <c r="F116" s="233">
        <v>44198.0</v>
      </c>
      <c r="G116" s="220">
        <v>44201.0</v>
      </c>
      <c r="H116" s="220">
        <v>44209.0</v>
      </c>
      <c r="I116" s="191" t="s">
        <v>5270</v>
      </c>
      <c r="J116" s="410" t="s">
        <v>2154</v>
      </c>
      <c r="K116" s="210" t="s">
        <v>5904</v>
      </c>
      <c r="L116" s="157"/>
      <c r="M116" s="157"/>
      <c r="N116" s="157"/>
      <c r="O116" s="157"/>
      <c r="P116" s="157"/>
      <c r="Q116" s="157"/>
      <c r="R116" s="157"/>
      <c r="S116" s="157"/>
      <c r="T116" s="157"/>
      <c r="U116" s="157"/>
      <c r="V116" s="157"/>
      <c r="W116" s="157"/>
      <c r="X116" s="157"/>
    </row>
    <row r="117" ht="40.5" customHeight="1">
      <c r="A117" s="258">
        <v>8.60000123E9</v>
      </c>
      <c r="B117" s="165" t="s">
        <v>14</v>
      </c>
      <c r="C117" s="215" t="s">
        <v>5749</v>
      </c>
      <c r="D117" s="215" t="s">
        <v>5905</v>
      </c>
      <c r="E117" s="213" t="s">
        <v>5906</v>
      </c>
      <c r="F117" s="233">
        <v>44193.0</v>
      </c>
      <c r="G117" s="220">
        <v>44193.0</v>
      </c>
      <c r="H117" s="220">
        <v>44201.0</v>
      </c>
      <c r="I117" s="195" t="s">
        <v>2117</v>
      </c>
      <c r="J117" s="196" t="s">
        <v>2117</v>
      </c>
      <c r="K117" s="210" t="s">
        <v>5907</v>
      </c>
      <c r="L117" s="157"/>
      <c r="M117" s="157"/>
      <c r="N117" s="157"/>
      <c r="O117" s="157"/>
      <c r="P117" s="157"/>
      <c r="Q117" s="157"/>
      <c r="R117" s="157"/>
      <c r="S117" s="157"/>
      <c r="T117" s="157"/>
      <c r="U117" s="157"/>
      <c r="V117" s="157"/>
      <c r="W117" s="157"/>
      <c r="X117" s="157"/>
    </row>
    <row r="118" ht="40.5" customHeight="1">
      <c r="A118" s="258">
        <v>8.600001223E9</v>
      </c>
      <c r="B118" s="165" t="s">
        <v>25</v>
      </c>
      <c r="C118" s="215" t="s">
        <v>3372</v>
      </c>
      <c r="D118" s="215" t="s">
        <v>5908</v>
      </c>
      <c r="E118" s="213" t="s">
        <v>5909</v>
      </c>
      <c r="F118" s="233">
        <v>44191.0</v>
      </c>
      <c r="G118" s="220">
        <v>44183.0</v>
      </c>
      <c r="H118" s="220">
        <v>44202.0</v>
      </c>
      <c r="I118" s="195" t="s">
        <v>2117</v>
      </c>
      <c r="J118" s="196" t="s">
        <v>2117</v>
      </c>
      <c r="K118" s="210" t="s">
        <v>5910</v>
      </c>
      <c r="L118" s="157"/>
      <c r="M118" s="157"/>
      <c r="N118" s="157"/>
      <c r="O118" s="157"/>
      <c r="P118" s="157"/>
      <c r="Q118" s="157"/>
      <c r="R118" s="157"/>
      <c r="S118" s="157"/>
      <c r="T118" s="157"/>
      <c r="U118" s="157"/>
      <c r="V118" s="157"/>
      <c r="W118" s="157"/>
      <c r="X118" s="157"/>
    </row>
    <row r="119" ht="40.5" customHeight="1">
      <c r="A119" s="258">
        <v>8.600001235E9</v>
      </c>
      <c r="B119" s="165" t="s">
        <v>25</v>
      </c>
      <c r="C119" s="215" t="s">
        <v>3430</v>
      </c>
      <c r="D119" s="215" t="s">
        <v>5911</v>
      </c>
      <c r="E119" s="213" t="s">
        <v>5896</v>
      </c>
      <c r="F119" s="220">
        <v>44182.0</v>
      </c>
      <c r="G119" s="220">
        <v>44210.0</v>
      </c>
      <c r="H119" s="220">
        <v>44210.0</v>
      </c>
      <c r="I119" s="195" t="s">
        <v>2117</v>
      </c>
      <c r="J119" s="196" t="s">
        <v>2117</v>
      </c>
      <c r="K119" s="210" t="s">
        <v>5912</v>
      </c>
      <c r="L119" s="157"/>
      <c r="M119" s="157"/>
      <c r="N119" s="157"/>
      <c r="O119" s="157"/>
      <c r="P119" s="157"/>
      <c r="Q119" s="157"/>
      <c r="R119" s="157"/>
      <c r="S119" s="157"/>
      <c r="T119" s="157"/>
      <c r="U119" s="157"/>
      <c r="V119" s="157"/>
      <c r="W119" s="157"/>
      <c r="X119" s="157"/>
    </row>
    <row r="120" ht="12.75" customHeight="1">
      <c r="H120" s="411"/>
    </row>
    <row r="121" ht="12.75" customHeight="1">
      <c r="H121" s="411"/>
    </row>
    <row r="122" ht="12.75" customHeight="1">
      <c r="H122" s="411"/>
    </row>
    <row r="123" ht="12.75" customHeight="1">
      <c r="H123" s="411"/>
    </row>
    <row r="124" ht="12.75" customHeight="1">
      <c r="H124" s="411"/>
    </row>
    <row r="125" ht="12.75" customHeight="1">
      <c r="H125" s="411"/>
    </row>
    <row r="126" ht="12.75" customHeight="1">
      <c r="H126" s="411"/>
    </row>
    <row r="127" ht="12.75" customHeight="1">
      <c r="H127" s="411"/>
    </row>
    <row r="128" ht="12.75" customHeight="1">
      <c r="H128" s="411"/>
    </row>
    <row r="129" ht="12.75" customHeight="1">
      <c r="H129" s="411"/>
    </row>
    <row r="130" ht="12.75" customHeight="1">
      <c r="H130" s="411"/>
    </row>
    <row r="131" ht="12.75" customHeight="1">
      <c r="H131" s="411"/>
    </row>
    <row r="132" ht="12.75" customHeight="1">
      <c r="H132" s="411"/>
    </row>
    <row r="133" ht="12.75" customHeight="1">
      <c r="H133" s="411"/>
    </row>
    <row r="134" ht="12.75" customHeight="1">
      <c r="H134" s="411"/>
    </row>
    <row r="135" ht="12.75" customHeight="1">
      <c r="H135" s="411"/>
    </row>
    <row r="136" ht="12.75" customHeight="1">
      <c r="H136" s="411"/>
    </row>
    <row r="137" ht="12.75" customHeight="1">
      <c r="H137" s="411"/>
    </row>
    <row r="138" ht="12.75" customHeight="1">
      <c r="H138" s="411"/>
    </row>
    <row r="139" ht="12.75" customHeight="1">
      <c r="H139" s="411"/>
    </row>
    <row r="140" ht="12.75" customHeight="1">
      <c r="H140" s="411"/>
    </row>
    <row r="141" ht="12.75" customHeight="1">
      <c r="H141" s="411"/>
    </row>
    <row r="142" ht="12.75" customHeight="1">
      <c r="H142" s="411"/>
    </row>
    <row r="143" ht="12.75" customHeight="1">
      <c r="H143" s="411"/>
    </row>
    <row r="144" ht="12.75" customHeight="1">
      <c r="H144" s="411"/>
    </row>
    <row r="145" ht="12.75" customHeight="1">
      <c r="H145" s="411"/>
    </row>
    <row r="146" ht="12.75" customHeight="1">
      <c r="H146" s="411"/>
    </row>
    <row r="147" ht="12.75" customHeight="1">
      <c r="H147" s="411"/>
    </row>
    <row r="148" ht="12.75" customHeight="1">
      <c r="H148" s="411"/>
    </row>
    <row r="149" ht="12.75" customHeight="1">
      <c r="H149" s="411"/>
    </row>
    <row r="150" ht="12.75" customHeight="1">
      <c r="H150" s="411"/>
    </row>
    <row r="151" ht="12.75" customHeight="1">
      <c r="H151" s="411"/>
    </row>
    <row r="152" ht="12.75" customHeight="1">
      <c r="H152" s="411"/>
    </row>
    <row r="153" ht="12.75" customHeight="1">
      <c r="H153" s="411"/>
    </row>
    <row r="154" ht="12.75" customHeight="1">
      <c r="H154" s="411"/>
    </row>
    <row r="155" ht="12.75" customHeight="1">
      <c r="H155" s="411"/>
    </row>
    <row r="156" ht="12.75" customHeight="1">
      <c r="H156" s="411"/>
    </row>
    <row r="157" ht="12.75" customHeight="1">
      <c r="H157" s="411"/>
    </row>
    <row r="158" ht="12.75" customHeight="1">
      <c r="H158" s="411"/>
    </row>
    <row r="159" ht="12.75" customHeight="1">
      <c r="H159" s="411"/>
    </row>
    <row r="160" ht="12.75" customHeight="1">
      <c r="H160" s="411"/>
    </row>
    <row r="161" ht="12.75" customHeight="1">
      <c r="H161" s="411"/>
    </row>
    <row r="162" ht="12.75" customHeight="1">
      <c r="H162" s="411"/>
    </row>
    <row r="163" ht="12.75" customHeight="1">
      <c r="H163" s="411"/>
    </row>
    <row r="164" ht="12.75" customHeight="1">
      <c r="H164" s="411"/>
    </row>
    <row r="165" ht="12.75" customHeight="1">
      <c r="H165" s="411"/>
    </row>
    <row r="166" ht="12.75" customHeight="1">
      <c r="H166" s="411"/>
    </row>
    <row r="167" ht="12.75" customHeight="1">
      <c r="H167" s="411"/>
    </row>
    <row r="168" ht="12.75" customHeight="1">
      <c r="H168" s="411"/>
    </row>
    <row r="169" ht="12.75" customHeight="1">
      <c r="H169" s="411"/>
    </row>
    <row r="170" ht="12.75" customHeight="1">
      <c r="H170" s="411"/>
    </row>
    <row r="171" ht="12.75" customHeight="1">
      <c r="H171" s="411"/>
    </row>
    <row r="172" ht="12.75" customHeight="1">
      <c r="H172" s="411"/>
    </row>
    <row r="173" ht="12.75" customHeight="1">
      <c r="H173" s="411"/>
    </row>
    <row r="174" ht="12.75" customHeight="1">
      <c r="H174" s="411"/>
    </row>
    <row r="175" ht="12.75" customHeight="1">
      <c r="H175" s="411"/>
    </row>
    <row r="176" ht="12.75" customHeight="1">
      <c r="H176" s="411"/>
    </row>
    <row r="177" ht="12.75" customHeight="1">
      <c r="H177" s="411"/>
    </row>
    <row r="178" ht="12.75" customHeight="1">
      <c r="H178" s="411"/>
    </row>
    <row r="179" ht="12.75" customHeight="1">
      <c r="H179" s="411"/>
    </row>
    <row r="180" ht="12.75" customHeight="1">
      <c r="H180" s="411"/>
    </row>
    <row r="181" ht="12.75" customHeight="1">
      <c r="H181" s="411"/>
    </row>
    <row r="182" ht="12.75" customHeight="1">
      <c r="H182" s="411"/>
    </row>
    <row r="183" ht="12.75" customHeight="1">
      <c r="H183" s="411"/>
    </row>
    <row r="184" ht="12.75" customHeight="1">
      <c r="H184" s="411"/>
    </row>
    <row r="185" ht="12.75" customHeight="1">
      <c r="H185" s="411"/>
    </row>
    <row r="186" ht="12.75" customHeight="1">
      <c r="H186" s="411"/>
    </row>
    <row r="187" ht="12.75" customHeight="1">
      <c r="H187" s="411"/>
    </row>
    <row r="188" ht="12.75" customHeight="1">
      <c r="H188" s="411"/>
    </row>
    <row r="189" ht="12.75" customHeight="1">
      <c r="H189" s="411"/>
    </row>
    <row r="190" ht="12.75" customHeight="1">
      <c r="H190" s="411"/>
    </row>
    <row r="191" ht="12.75" customHeight="1">
      <c r="H191" s="411"/>
    </row>
    <row r="192" ht="12.75" customHeight="1">
      <c r="H192" s="411"/>
    </row>
    <row r="193" ht="12.75" customHeight="1">
      <c r="H193" s="411"/>
    </row>
    <row r="194" ht="12.75" customHeight="1">
      <c r="H194" s="411"/>
    </row>
    <row r="195" ht="12.75" customHeight="1">
      <c r="H195" s="411"/>
    </row>
    <row r="196" ht="12.75" customHeight="1">
      <c r="H196" s="411"/>
    </row>
    <row r="197" ht="12.75" customHeight="1">
      <c r="H197" s="411"/>
    </row>
    <row r="198" ht="12.75" customHeight="1">
      <c r="H198" s="411"/>
    </row>
    <row r="199" ht="12.75" customHeight="1">
      <c r="H199" s="411"/>
    </row>
    <row r="200" ht="12.75" customHeight="1">
      <c r="H200" s="411"/>
    </row>
    <row r="201" ht="12.75" customHeight="1">
      <c r="H201" s="411"/>
    </row>
    <row r="202" ht="12.75" customHeight="1">
      <c r="H202" s="411"/>
    </row>
    <row r="203" ht="12.75" customHeight="1">
      <c r="H203" s="411"/>
    </row>
    <row r="204" ht="12.75" customHeight="1">
      <c r="H204" s="411"/>
    </row>
    <row r="205" ht="12.75" customHeight="1">
      <c r="H205" s="411"/>
    </row>
    <row r="206" ht="12.75" customHeight="1">
      <c r="H206" s="411"/>
    </row>
    <row r="207" ht="12.75" customHeight="1">
      <c r="H207" s="411"/>
    </row>
    <row r="208" ht="12.75" customHeight="1">
      <c r="H208" s="411"/>
    </row>
    <row r="209" ht="12.75" customHeight="1">
      <c r="H209" s="411"/>
    </row>
    <row r="210" ht="12.75" customHeight="1">
      <c r="H210" s="411"/>
    </row>
    <row r="211" ht="12.75" customHeight="1">
      <c r="H211" s="411"/>
    </row>
    <row r="212" ht="12.75" customHeight="1">
      <c r="H212" s="411"/>
    </row>
    <row r="213" ht="12.75" customHeight="1">
      <c r="H213" s="411"/>
    </row>
    <row r="214" ht="12.75" customHeight="1">
      <c r="H214" s="411"/>
    </row>
    <row r="215" ht="12.75" customHeight="1">
      <c r="H215" s="411"/>
    </row>
    <row r="216" ht="12.75" customHeight="1">
      <c r="H216" s="411"/>
    </row>
    <row r="217" ht="12.75" customHeight="1">
      <c r="H217" s="411"/>
    </row>
    <row r="218" ht="12.75" customHeight="1">
      <c r="H218" s="411"/>
    </row>
    <row r="219" ht="12.75" customHeight="1">
      <c r="H219" s="411"/>
    </row>
    <row r="220" ht="12.75" customHeight="1">
      <c r="H220" s="411"/>
    </row>
    <row r="221" ht="12.75" customHeight="1">
      <c r="H221" s="411"/>
    </row>
    <row r="222" ht="12.75" customHeight="1">
      <c r="H222" s="411"/>
    </row>
    <row r="223" ht="12.75" customHeight="1">
      <c r="H223" s="411"/>
    </row>
    <row r="224" ht="12.75" customHeight="1">
      <c r="H224" s="411"/>
    </row>
    <row r="225" ht="12.75" customHeight="1">
      <c r="H225" s="411"/>
    </row>
    <row r="226" ht="12.75" customHeight="1">
      <c r="H226" s="411"/>
    </row>
    <row r="227" ht="12.75" customHeight="1">
      <c r="H227" s="411"/>
    </row>
    <row r="228" ht="12.75" customHeight="1">
      <c r="H228" s="411"/>
    </row>
    <row r="229" ht="12.75" customHeight="1">
      <c r="H229" s="411"/>
    </row>
    <row r="230" ht="12.75" customHeight="1">
      <c r="H230" s="411"/>
    </row>
    <row r="231" ht="12.75" customHeight="1">
      <c r="H231" s="411"/>
    </row>
    <row r="232" ht="12.75" customHeight="1">
      <c r="H232" s="411"/>
    </row>
    <row r="233" ht="12.75" customHeight="1">
      <c r="H233" s="411"/>
    </row>
    <row r="234" ht="12.75" customHeight="1">
      <c r="H234" s="411"/>
    </row>
    <row r="235" ht="12.75" customHeight="1">
      <c r="H235" s="411"/>
    </row>
    <row r="236" ht="12.75" customHeight="1">
      <c r="H236" s="411"/>
    </row>
    <row r="237" ht="12.75" customHeight="1">
      <c r="H237" s="411"/>
    </row>
    <row r="238" ht="12.75" customHeight="1">
      <c r="H238" s="411"/>
    </row>
    <row r="239" ht="12.75" customHeight="1">
      <c r="H239" s="411"/>
    </row>
    <row r="240" ht="12.75" customHeight="1">
      <c r="H240" s="411"/>
    </row>
    <row r="241" ht="12.75" customHeight="1">
      <c r="H241" s="411"/>
    </row>
    <row r="242" ht="12.75" customHeight="1">
      <c r="H242" s="411"/>
    </row>
    <row r="243" ht="12.75" customHeight="1">
      <c r="H243" s="411"/>
    </row>
    <row r="244" ht="12.75" customHeight="1">
      <c r="H244" s="411"/>
    </row>
    <row r="245" ht="12.75" customHeight="1">
      <c r="H245" s="411"/>
    </row>
    <row r="246" ht="12.75" customHeight="1">
      <c r="H246" s="411"/>
    </row>
    <row r="247" ht="12.75" customHeight="1">
      <c r="H247" s="411"/>
    </row>
    <row r="248" ht="12.75" customHeight="1">
      <c r="H248" s="411"/>
    </row>
    <row r="249" ht="12.75" customHeight="1">
      <c r="H249" s="411"/>
    </row>
    <row r="250" ht="12.75" customHeight="1">
      <c r="H250" s="411"/>
    </row>
    <row r="251" ht="12.75" customHeight="1">
      <c r="H251" s="411"/>
    </row>
    <row r="252" ht="12.75" customHeight="1">
      <c r="H252" s="411"/>
    </row>
    <row r="253" ht="12.75" customHeight="1">
      <c r="H253" s="411"/>
    </row>
    <row r="254" ht="12.75" customHeight="1">
      <c r="H254" s="411"/>
    </row>
    <row r="255" ht="12.75" customHeight="1">
      <c r="H255" s="411"/>
    </row>
    <row r="256" ht="12.75" customHeight="1">
      <c r="H256" s="411"/>
    </row>
    <row r="257" ht="12.75" customHeight="1">
      <c r="H257" s="411"/>
    </row>
    <row r="258" ht="12.75" customHeight="1">
      <c r="H258" s="411"/>
    </row>
    <row r="259" ht="12.75" customHeight="1">
      <c r="H259" s="411"/>
    </row>
    <row r="260" ht="12.75" customHeight="1">
      <c r="H260" s="411"/>
    </row>
    <row r="261" ht="12.75" customHeight="1">
      <c r="H261" s="411"/>
    </row>
    <row r="262" ht="12.75" customHeight="1">
      <c r="H262" s="411"/>
    </row>
    <row r="263" ht="12.75" customHeight="1">
      <c r="H263" s="411"/>
    </row>
    <row r="264" ht="12.75" customHeight="1">
      <c r="H264" s="411"/>
    </row>
    <row r="265" ht="12.75" customHeight="1">
      <c r="H265" s="411"/>
    </row>
    <row r="266" ht="12.75" customHeight="1">
      <c r="H266" s="411"/>
    </row>
    <row r="267" ht="12.75" customHeight="1">
      <c r="H267" s="411"/>
    </row>
    <row r="268" ht="12.75" customHeight="1">
      <c r="H268" s="411"/>
    </row>
    <row r="269" ht="12.75" customHeight="1">
      <c r="H269" s="411"/>
    </row>
    <row r="270" ht="12.75" customHeight="1">
      <c r="H270" s="411"/>
    </row>
    <row r="271" ht="12.75" customHeight="1">
      <c r="H271" s="411"/>
    </row>
    <row r="272" ht="12.75" customHeight="1">
      <c r="H272" s="411"/>
    </row>
    <row r="273" ht="12.75" customHeight="1">
      <c r="H273" s="411"/>
    </row>
    <row r="274" ht="12.75" customHeight="1">
      <c r="H274" s="411"/>
    </row>
    <row r="275" ht="12.75" customHeight="1">
      <c r="H275" s="411"/>
    </row>
    <row r="276" ht="12.75" customHeight="1">
      <c r="H276" s="411"/>
    </row>
    <row r="277" ht="12.75" customHeight="1">
      <c r="H277" s="411"/>
    </row>
    <row r="278" ht="12.75" customHeight="1">
      <c r="H278" s="411"/>
    </row>
    <row r="279" ht="12.75" customHeight="1">
      <c r="H279" s="411"/>
    </row>
    <row r="280" ht="12.75" customHeight="1">
      <c r="H280" s="411"/>
    </row>
    <row r="281" ht="12.75" customHeight="1">
      <c r="H281" s="411"/>
    </row>
    <row r="282" ht="12.75" customHeight="1">
      <c r="H282" s="411"/>
    </row>
    <row r="283" ht="12.75" customHeight="1">
      <c r="H283" s="411"/>
    </row>
    <row r="284" ht="12.75" customHeight="1">
      <c r="H284" s="411"/>
    </row>
    <row r="285" ht="12.75" customHeight="1">
      <c r="H285" s="411"/>
    </row>
    <row r="286" ht="12.75" customHeight="1">
      <c r="H286" s="411"/>
    </row>
    <row r="287" ht="12.75" customHeight="1">
      <c r="H287" s="411"/>
    </row>
    <row r="288" ht="12.75" customHeight="1">
      <c r="H288" s="411"/>
    </row>
    <row r="289" ht="12.75" customHeight="1">
      <c r="H289" s="411"/>
    </row>
    <row r="290" ht="12.75" customHeight="1">
      <c r="H290" s="411"/>
    </row>
    <row r="291" ht="12.75" customHeight="1">
      <c r="H291" s="411"/>
    </row>
    <row r="292" ht="12.75" customHeight="1">
      <c r="H292" s="411"/>
    </row>
    <row r="293" ht="12.75" customHeight="1">
      <c r="H293" s="411"/>
    </row>
    <row r="294" ht="12.75" customHeight="1">
      <c r="H294" s="411"/>
    </row>
    <row r="295" ht="12.75" customHeight="1">
      <c r="H295" s="411"/>
    </row>
    <row r="296" ht="12.75" customHeight="1">
      <c r="H296" s="411"/>
    </row>
    <row r="297" ht="12.75" customHeight="1">
      <c r="H297" s="411"/>
    </row>
    <row r="298" ht="12.75" customHeight="1">
      <c r="H298" s="411"/>
    </row>
    <row r="299" ht="12.75" customHeight="1">
      <c r="H299" s="411"/>
    </row>
    <row r="300" ht="12.75" customHeight="1">
      <c r="H300" s="411"/>
    </row>
    <row r="301" ht="12.75" customHeight="1">
      <c r="H301" s="411"/>
    </row>
    <row r="302" ht="12.75" customHeight="1">
      <c r="H302" s="411"/>
    </row>
    <row r="303" ht="12.75" customHeight="1">
      <c r="H303" s="411"/>
    </row>
    <row r="304" ht="12.75" customHeight="1">
      <c r="H304" s="411"/>
    </row>
    <row r="305" ht="12.75" customHeight="1">
      <c r="H305" s="411"/>
    </row>
    <row r="306" ht="12.75" customHeight="1">
      <c r="H306" s="411"/>
    </row>
    <row r="307" ht="12.75" customHeight="1">
      <c r="H307" s="411"/>
    </row>
    <row r="308" ht="12.75" customHeight="1">
      <c r="H308" s="411"/>
    </row>
    <row r="309" ht="12.75" customHeight="1">
      <c r="H309" s="411"/>
    </row>
    <row r="310" ht="12.75" customHeight="1">
      <c r="H310" s="411"/>
    </row>
    <row r="311" ht="12.75" customHeight="1">
      <c r="H311" s="411"/>
    </row>
    <row r="312" ht="12.75" customHeight="1">
      <c r="H312" s="411"/>
    </row>
    <row r="313" ht="12.75" customHeight="1">
      <c r="H313" s="411"/>
    </row>
    <row r="314" ht="12.75" customHeight="1">
      <c r="H314" s="411"/>
    </row>
    <row r="315" ht="12.75" customHeight="1">
      <c r="H315" s="411"/>
    </row>
    <row r="316" ht="12.75" customHeight="1">
      <c r="H316" s="411"/>
    </row>
    <row r="317" ht="12.75" customHeight="1">
      <c r="H317" s="411"/>
    </row>
    <row r="318" ht="12.75" customHeight="1">
      <c r="H318" s="411"/>
    </row>
    <row r="319" ht="12.75" customHeight="1">
      <c r="H319" s="411"/>
    </row>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K$119">
    <sortState ref="A2:K119">
      <sortCondition descending="1" ref="F2:F119"/>
    </sortState>
  </autoFilter>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3"/>
    <hyperlink r:id="rId71" ref="A74"/>
    <hyperlink r:id="rId72" ref="A75"/>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 r:id="rId90" ref="A93"/>
    <hyperlink r:id="rId91" ref="A94"/>
    <hyperlink r:id="rId92" ref="A95"/>
    <hyperlink r:id="rId93" ref="A96"/>
    <hyperlink r:id="rId94" ref="A97"/>
    <hyperlink r:id="rId95" ref="A98"/>
    <hyperlink r:id="rId96" ref="A99"/>
    <hyperlink r:id="rId97" ref="A100"/>
    <hyperlink r:id="rId98" ref="A101"/>
    <hyperlink r:id="rId99" ref="A102"/>
    <hyperlink r:id="rId100" ref="A103"/>
    <hyperlink r:id="rId101" ref="A104"/>
    <hyperlink r:id="rId102" ref="A105"/>
    <hyperlink r:id="rId103" ref="A106"/>
    <hyperlink r:id="rId104" ref="A107"/>
    <hyperlink r:id="rId105" ref="A108"/>
    <hyperlink r:id="rId106" ref="A109"/>
    <hyperlink r:id="rId107" ref="A110"/>
    <hyperlink r:id="rId108" ref="A111"/>
    <hyperlink r:id="rId109" ref="A112"/>
    <hyperlink r:id="rId110" ref="A113"/>
    <hyperlink r:id="rId111" ref="A114"/>
    <hyperlink r:id="rId112" ref="A115"/>
    <hyperlink r:id="rId113" ref="A116"/>
    <hyperlink r:id="rId114" ref="A117"/>
    <hyperlink r:id="rId115" ref="A118"/>
    <hyperlink r:id="rId116" ref="A119"/>
  </hyperlinks>
  <printOptions/>
  <pageMargins bottom="0.75" footer="0.0" header="0.0" left="0.7" right="0.7" top="0.75"/>
  <pageSetup orientation="landscape"/>
  <drawing r:id="rId11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29"/>
    <col customWidth="1" min="2" max="2" width="14.14"/>
    <col customWidth="1" min="3" max="3" width="12.43"/>
    <col customWidth="1" min="4" max="4" width="18.43"/>
    <col customWidth="1" min="5" max="5" width="35.14"/>
    <col customWidth="1" min="6" max="6" width="11.86"/>
    <col customWidth="1" min="7" max="7" width="13.29"/>
    <col customWidth="1" min="8" max="8" width="14.43"/>
    <col customWidth="1" min="9" max="9" width="62.86"/>
    <col customWidth="1" min="10" max="10" width="13.43"/>
    <col customWidth="1" min="11" max="11" width="12.29"/>
    <col customWidth="1" min="12" max="12" width="40.29"/>
    <col customWidth="1" min="14" max="14" width="21.86"/>
  </cols>
  <sheetData>
    <row r="1" ht="33.75" customHeight="1">
      <c r="A1" s="412" t="s">
        <v>5913</v>
      </c>
      <c r="B1" s="389" t="s">
        <v>5513</v>
      </c>
      <c r="C1" s="180"/>
      <c r="D1" s="390" t="s">
        <v>5514</v>
      </c>
      <c r="E1" s="182" t="s">
        <v>1674</v>
      </c>
      <c r="F1" s="182" t="s">
        <v>5914</v>
      </c>
      <c r="G1" s="182" t="s">
        <v>5915</v>
      </c>
      <c r="H1" s="184" t="s">
        <v>2106</v>
      </c>
      <c r="I1" s="184" t="s">
        <v>2107</v>
      </c>
      <c r="J1" s="164"/>
      <c r="K1" s="164"/>
      <c r="L1" s="182"/>
      <c r="M1" s="189"/>
      <c r="N1" s="189"/>
      <c r="O1" s="189"/>
      <c r="P1" s="189"/>
      <c r="Q1" s="189"/>
      <c r="R1" s="189"/>
      <c r="S1" s="189"/>
      <c r="T1" s="189"/>
      <c r="U1" s="189"/>
      <c r="V1" s="189"/>
      <c r="W1" s="189"/>
      <c r="X1" s="189"/>
      <c r="Y1" s="189"/>
    </row>
    <row r="2" ht="12.75" customHeight="1">
      <c r="A2" s="185" t="s">
        <v>2108</v>
      </c>
      <c r="B2" s="413" t="s">
        <v>5515</v>
      </c>
      <c r="C2" s="185" t="s">
        <v>2110</v>
      </c>
      <c r="D2" s="226" t="s">
        <v>10</v>
      </c>
      <c r="E2" s="185" t="s">
        <v>11</v>
      </c>
      <c r="F2" s="185" t="s">
        <v>5916</v>
      </c>
      <c r="G2" s="187" t="s">
        <v>12</v>
      </c>
      <c r="H2" s="187" t="s">
        <v>12</v>
      </c>
      <c r="I2" s="187" t="s">
        <v>12</v>
      </c>
      <c r="J2" s="257" t="s">
        <v>2111</v>
      </c>
      <c r="K2" s="257" t="s">
        <v>2112</v>
      </c>
      <c r="L2" s="185" t="s">
        <v>2113</v>
      </c>
      <c r="M2" s="189"/>
      <c r="N2" s="189"/>
      <c r="O2" s="189"/>
      <c r="P2" s="189"/>
      <c r="Q2" s="189"/>
      <c r="R2" s="189"/>
      <c r="S2" s="189"/>
      <c r="T2" s="189"/>
      <c r="U2" s="189"/>
      <c r="V2" s="189"/>
      <c r="W2" s="189"/>
      <c r="X2" s="189"/>
      <c r="Y2" s="189"/>
    </row>
    <row r="3" ht="60.0" customHeight="1">
      <c r="A3" s="243">
        <v>8.60000216E9</v>
      </c>
      <c r="B3" s="215" t="s">
        <v>25</v>
      </c>
      <c r="C3" s="215" t="s">
        <v>3372</v>
      </c>
      <c r="D3" s="215" t="s">
        <v>5917</v>
      </c>
      <c r="E3" s="207" t="s">
        <v>5918</v>
      </c>
      <c r="F3" s="215" t="s">
        <v>5919</v>
      </c>
      <c r="G3" s="233">
        <v>44923.0</v>
      </c>
      <c r="H3" s="220">
        <v>44923.0</v>
      </c>
      <c r="I3" s="405">
        <v>44930.0</v>
      </c>
      <c r="J3" s="220"/>
      <c r="K3" s="220"/>
      <c r="L3" s="207" t="s">
        <v>5920</v>
      </c>
      <c r="M3" s="157"/>
      <c r="N3" s="157"/>
      <c r="O3" s="157"/>
      <c r="P3" s="157"/>
      <c r="Q3" s="157"/>
      <c r="R3" s="157"/>
      <c r="S3" s="157"/>
      <c r="T3" s="157"/>
      <c r="U3" s="157"/>
      <c r="V3" s="157"/>
      <c r="W3" s="157"/>
      <c r="X3" s="157"/>
      <c r="Y3" s="157"/>
    </row>
    <row r="4" ht="60.0" customHeight="1">
      <c r="A4" s="243">
        <v>8.600002139E9</v>
      </c>
      <c r="B4" s="191" t="s">
        <v>21</v>
      </c>
      <c r="C4" s="215" t="s">
        <v>5877</v>
      </c>
      <c r="D4" s="215" t="s">
        <v>5921</v>
      </c>
      <c r="E4" s="207" t="s">
        <v>5922</v>
      </c>
      <c r="F4" s="215" t="s">
        <v>5919</v>
      </c>
      <c r="G4" s="233">
        <v>44917.0</v>
      </c>
      <c r="H4" s="220">
        <v>44915.0</v>
      </c>
      <c r="I4" s="405" t="s">
        <v>5923</v>
      </c>
      <c r="J4" s="220"/>
      <c r="K4" s="220"/>
      <c r="L4" s="207" t="s">
        <v>5924</v>
      </c>
      <c r="M4" s="157"/>
      <c r="N4" s="157"/>
      <c r="O4" s="157"/>
      <c r="P4" s="157"/>
      <c r="Q4" s="157"/>
      <c r="R4" s="157"/>
      <c r="S4" s="157"/>
      <c r="T4" s="157"/>
      <c r="U4" s="157"/>
      <c r="V4" s="157"/>
      <c r="W4" s="157"/>
      <c r="X4" s="157"/>
      <c r="Y4" s="157"/>
    </row>
    <row r="5" ht="60.0" customHeight="1">
      <c r="A5" s="243">
        <v>8.600002141E9</v>
      </c>
      <c r="B5" s="191" t="s">
        <v>21</v>
      </c>
      <c r="C5" s="215" t="s">
        <v>3376</v>
      </c>
      <c r="D5" s="215" t="s">
        <v>5925</v>
      </c>
      <c r="E5" s="207" t="s">
        <v>5926</v>
      </c>
      <c r="F5" s="215" t="s">
        <v>5919</v>
      </c>
      <c r="G5" s="233">
        <v>44915.0</v>
      </c>
      <c r="H5" s="220">
        <v>44901.0</v>
      </c>
      <c r="I5" s="405">
        <v>44937.0</v>
      </c>
      <c r="J5" s="220"/>
      <c r="K5" s="220"/>
      <c r="L5" s="207" t="s">
        <v>5927</v>
      </c>
      <c r="M5" s="157"/>
      <c r="N5" s="157"/>
      <c r="O5" s="157"/>
      <c r="P5" s="157"/>
      <c r="Q5" s="157"/>
      <c r="R5" s="157"/>
      <c r="S5" s="157"/>
      <c r="T5" s="157"/>
      <c r="U5" s="157"/>
      <c r="V5" s="157"/>
      <c r="W5" s="157"/>
      <c r="X5" s="157"/>
      <c r="Y5" s="157"/>
    </row>
    <row r="6" ht="60.0" customHeight="1">
      <c r="A6" s="243">
        <v>8.60000214E9</v>
      </c>
      <c r="B6" s="215" t="s">
        <v>14</v>
      </c>
      <c r="C6" s="215" t="s">
        <v>5928</v>
      </c>
      <c r="D6" s="215" t="s">
        <v>5929</v>
      </c>
      <c r="E6" s="207" t="s">
        <v>5922</v>
      </c>
      <c r="F6" s="215" t="s">
        <v>5919</v>
      </c>
      <c r="G6" s="233">
        <v>44912.0</v>
      </c>
      <c r="H6" s="220">
        <v>44907.0</v>
      </c>
      <c r="I6" s="405">
        <v>44917.0</v>
      </c>
      <c r="J6" s="220"/>
      <c r="K6" s="220"/>
      <c r="L6" s="207" t="s">
        <v>5930</v>
      </c>
      <c r="M6" s="157"/>
      <c r="N6" s="157"/>
      <c r="O6" s="157"/>
      <c r="P6" s="157"/>
      <c r="Q6" s="157"/>
      <c r="R6" s="157"/>
      <c r="S6" s="157"/>
      <c r="T6" s="157"/>
      <c r="U6" s="157"/>
      <c r="V6" s="157"/>
      <c r="W6" s="157"/>
      <c r="X6" s="157"/>
      <c r="Y6" s="157"/>
    </row>
    <row r="7" ht="60.0" customHeight="1">
      <c r="A7" s="243">
        <v>8.500000156E9</v>
      </c>
      <c r="B7" s="215" t="s">
        <v>14</v>
      </c>
      <c r="C7" s="215" t="s">
        <v>5580</v>
      </c>
      <c r="D7" s="393" t="s">
        <v>5931</v>
      </c>
      <c r="E7" s="207" t="s">
        <v>5932</v>
      </c>
      <c r="F7" s="215" t="s">
        <v>5919</v>
      </c>
      <c r="G7" s="233">
        <v>44907.0</v>
      </c>
      <c r="H7" s="220">
        <v>44903.0</v>
      </c>
      <c r="I7" s="405">
        <v>44914.0</v>
      </c>
      <c r="J7" s="220"/>
      <c r="K7" s="220"/>
      <c r="L7" s="207" t="s">
        <v>5933</v>
      </c>
      <c r="M7" s="157"/>
      <c r="N7" s="157"/>
      <c r="O7" s="157"/>
      <c r="P7" s="157"/>
      <c r="Q7" s="157"/>
      <c r="R7" s="157"/>
      <c r="S7" s="157"/>
      <c r="T7" s="157"/>
      <c r="U7" s="157"/>
      <c r="V7" s="157"/>
      <c r="W7" s="157"/>
      <c r="X7" s="157"/>
      <c r="Y7" s="157"/>
    </row>
    <row r="8" ht="60.0" customHeight="1">
      <c r="A8" s="243">
        <v>8.600002135E9</v>
      </c>
      <c r="B8" s="215" t="s">
        <v>14</v>
      </c>
      <c r="C8" s="215" t="s">
        <v>5934</v>
      </c>
      <c r="D8" s="215" t="s">
        <v>5935</v>
      </c>
      <c r="E8" s="207" t="s">
        <v>5936</v>
      </c>
      <c r="F8" s="215" t="s">
        <v>5919</v>
      </c>
      <c r="G8" s="233">
        <v>44905.0</v>
      </c>
      <c r="H8" s="220">
        <v>44901.0</v>
      </c>
      <c r="I8" s="215" t="s">
        <v>5937</v>
      </c>
      <c r="J8" s="220"/>
      <c r="K8" s="220"/>
      <c r="L8" s="207" t="s">
        <v>5938</v>
      </c>
      <c r="M8" s="157"/>
      <c r="N8" s="157"/>
      <c r="O8" s="157"/>
      <c r="P8" s="157"/>
      <c r="Q8" s="157"/>
      <c r="R8" s="157"/>
      <c r="S8" s="157"/>
      <c r="T8" s="157"/>
      <c r="U8" s="157"/>
      <c r="V8" s="157"/>
      <c r="W8" s="157"/>
      <c r="X8" s="157"/>
      <c r="Y8" s="157"/>
    </row>
    <row r="9" ht="60.0" customHeight="1">
      <c r="A9" s="243">
        <v>8.500000157E9</v>
      </c>
      <c r="B9" s="191" t="s">
        <v>25</v>
      </c>
      <c r="C9" s="215" t="s">
        <v>3376</v>
      </c>
      <c r="D9" s="215" t="s">
        <v>5939</v>
      </c>
      <c r="E9" s="207" t="s">
        <v>5932</v>
      </c>
      <c r="F9" s="215" t="s">
        <v>5919</v>
      </c>
      <c r="G9" s="233">
        <v>44901.0</v>
      </c>
      <c r="H9" s="220">
        <v>44887.0</v>
      </c>
      <c r="I9" s="405">
        <v>44910.0</v>
      </c>
      <c r="J9" s="220"/>
      <c r="K9" s="220"/>
      <c r="L9" s="207" t="s">
        <v>5940</v>
      </c>
      <c r="M9" s="157"/>
      <c r="N9" s="157"/>
      <c r="O9" s="157"/>
      <c r="P9" s="157"/>
      <c r="Q9" s="157"/>
      <c r="R9" s="157"/>
      <c r="S9" s="157"/>
      <c r="T9" s="157"/>
      <c r="U9" s="157"/>
      <c r="V9" s="157"/>
      <c r="W9" s="157"/>
      <c r="X9" s="157"/>
      <c r="Y9" s="157"/>
    </row>
    <row r="10" ht="60.0" customHeight="1">
      <c r="A10" s="243">
        <v>8.600002147E9</v>
      </c>
      <c r="B10" s="215" t="s">
        <v>25</v>
      </c>
      <c r="C10" s="215" t="s">
        <v>3376</v>
      </c>
      <c r="D10" s="215" t="s">
        <v>5941</v>
      </c>
      <c r="E10" s="207" t="s">
        <v>5942</v>
      </c>
      <c r="F10" s="215" t="s">
        <v>5919</v>
      </c>
      <c r="G10" s="233">
        <v>44900.0</v>
      </c>
      <c r="H10" s="220">
        <v>44901.0</v>
      </c>
      <c r="I10" s="405">
        <v>44903.0</v>
      </c>
      <c r="J10" s="220"/>
      <c r="K10" s="220"/>
      <c r="L10" s="207" t="s">
        <v>5943</v>
      </c>
      <c r="M10" s="157"/>
      <c r="N10" s="157"/>
      <c r="O10" s="157"/>
      <c r="P10" s="157"/>
      <c r="Q10" s="157"/>
      <c r="R10" s="157"/>
      <c r="S10" s="157"/>
      <c r="T10" s="157"/>
      <c r="U10" s="157"/>
      <c r="V10" s="157"/>
      <c r="W10" s="157"/>
      <c r="X10" s="157"/>
      <c r="Y10" s="157"/>
    </row>
    <row r="11" ht="60.0" customHeight="1">
      <c r="A11" s="243">
        <v>8.600002111E9</v>
      </c>
      <c r="B11" s="215" t="s">
        <v>14</v>
      </c>
      <c r="C11" s="215" t="s">
        <v>3454</v>
      </c>
      <c r="D11" s="215" t="s">
        <v>5944</v>
      </c>
      <c r="E11" s="207" t="s">
        <v>3589</v>
      </c>
      <c r="F11" s="215" t="s">
        <v>5919</v>
      </c>
      <c r="G11" s="233">
        <v>44895.0</v>
      </c>
      <c r="H11" s="220">
        <v>44881.0</v>
      </c>
      <c r="I11" s="405">
        <v>44901.0</v>
      </c>
      <c r="J11" s="220"/>
      <c r="K11" s="220"/>
      <c r="L11" s="207" t="s">
        <v>5945</v>
      </c>
      <c r="M11" s="157"/>
      <c r="N11" s="157"/>
      <c r="O11" s="157"/>
      <c r="P11" s="157"/>
      <c r="Q11" s="157"/>
      <c r="R11" s="157"/>
      <c r="S11" s="157"/>
      <c r="T11" s="157"/>
      <c r="U11" s="157"/>
      <c r="V11" s="157"/>
      <c r="W11" s="157"/>
      <c r="X11" s="157"/>
      <c r="Y11" s="157"/>
    </row>
    <row r="12" ht="80.25" customHeight="1">
      <c r="A12" s="243">
        <v>8.600002112E9</v>
      </c>
      <c r="B12" s="215" t="s">
        <v>14</v>
      </c>
      <c r="C12" s="215" t="s">
        <v>5946</v>
      </c>
      <c r="D12" s="215" t="s">
        <v>5947</v>
      </c>
      <c r="E12" s="207" t="s">
        <v>5948</v>
      </c>
      <c r="F12" s="215" t="s">
        <v>5919</v>
      </c>
      <c r="G12" s="233">
        <v>44888.0</v>
      </c>
      <c r="H12" s="220">
        <v>44886.0</v>
      </c>
      <c r="I12" s="215" t="s">
        <v>5949</v>
      </c>
      <c r="J12" s="220"/>
      <c r="K12" s="220"/>
      <c r="L12" s="207" t="s">
        <v>5950</v>
      </c>
      <c r="M12" s="157"/>
      <c r="N12" s="157"/>
      <c r="O12" s="157"/>
      <c r="P12" s="157"/>
      <c r="Q12" s="157"/>
      <c r="R12" s="157"/>
      <c r="S12" s="157"/>
      <c r="T12" s="157"/>
      <c r="U12" s="157"/>
      <c r="V12" s="157"/>
      <c r="W12" s="157"/>
      <c r="X12" s="157"/>
      <c r="Y12" s="157"/>
    </row>
    <row r="13" ht="60.75" customHeight="1">
      <c r="A13" s="243">
        <v>8.600002116E9</v>
      </c>
      <c r="B13" s="191" t="s">
        <v>21</v>
      </c>
      <c r="C13" s="215" t="s">
        <v>3390</v>
      </c>
      <c r="D13" s="215" t="s">
        <v>5951</v>
      </c>
      <c r="E13" s="207" t="s">
        <v>5952</v>
      </c>
      <c r="F13" s="215" t="s">
        <v>5919</v>
      </c>
      <c r="G13" s="233">
        <v>44884.0</v>
      </c>
      <c r="H13" s="233">
        <v>44878.0</v>
      </c>
      <c r="I13" s="405">
        <v>44890.0</v>
      </c>
      <c r="J13" s="414"/>
      <c r="K13" s="414"/>
      <c r="L13" s="207" t="s">
        <v>5953</v>
      </c>
      <c r="M13" s="157"/>
      <c r="N13" s="157"/>
      <c r="O13" s="157"/>
      <c r="P13" s="157"/>
      <c r="Q13" s="157"/>
      <c r="R13" s="157"/>
      <c r="S13" s="157"/>
      <c r="T13" s="157"/>
      <c r="U13" s="157"/>
      <c r="V13" s="157"/>
      <c r="W13" s="157"/>
      <c r="X13" s="157"/>
      <c r="Y13" s="157"/>
    </row>
    <row r="14" ht="60.0" customHeight="1">
      <c r="A14" s="243">
        <v>8.60000211E9</v>
      </c>
      <c r="B14" s="191" t="s">
        <v>25</v>
      </c>
      <c r="C14" s="215" t="s">
        <v>3430</v>
      </c>
      <c r="D14" s="215" t="s">
        <v>5954</v>
      </c>
      <c r="E14" s="207" t="s">
        <v>5955</v>
      </c>
      <c r="F14" s="215" t="s">
        <v>5919</v>
      </c>
      <c r="G14" s="233">
        <v>44881.0</v>
      </c>
      <c r="H14" s="220">
        <v>44880.0</v>
      </c>
      <c r="I14" s="405">
        <v>44893.0</v>
      </c>
      <c r="J14" s="220"/>
      <c r="K14" s="220"/>
      <c r="L14" s="207" t="s">
        <v>5956</v>
      </c>
      <c r="M14" s="157"/>
      <c r="N14" s="157"/>
      <c r="O14" s="157"/>
      <c r="P14" s="157"/>
      <c r="Q14" s="157"/>
      <c r="R14" s="157"/>
      <c r="S14" s="157"/>
      <c r="T14" s="157"/>
      <c r="U14" s="157"/>
      <c r="V14" s="157"/>
      <c r="W14" s="157"/>
      <c r="X14" s="157"/>
      <c r="Y14" s="157"/>
    </row>
    <row r="15" ht="60.0" customHeight="1">
      <c r="A15" s="243">
        <v>8.600002108E9</v>
      </c>
      <c r="B15" s="191" t="s">
        <v>4356</v>
      </c>
      <c r="C15" s="215" t="s">
        <v>5957</v>
      </c>
      <c r="D15" s="215" t="s">
        <v>5958</v>
      </c>
      <c r="E15" s="207" t="s">
        <v>5959</v>
      </c>
      <c r="F15" s="215" t="s">
        <v>5919</v>
      </c>
      <c r="G15" s="233">
        <v>44881.0</v>
      </c>
      <c r="H15" s="220">
        <v>44895.0</v>
      </c>
      <c r="I15" s="405">
        <v>44896.0</v>
      </c>
      <c r="J15" s="220"/>
      <c r="K15" s="220"/>
      <c r="L15" s="207" t="s">
        <v>5960</v>
      </c>
      <c r="M15" s="157"/>
      <c r="N15" s="157"/>
      <c r="O15" s="157"/>
      <c r="P15" s="157"/>
      <c r="Q15" s="157"/>
      <c r="R15" s="157"/>
      <c r="S15" s="157"/>
      <c r="T15" s="157"/>
      <c r="U15" s="157"/>
      <c r="V15" s="157"/>
      <c r="W15" s="157"/>
      <c r="X15" s="157"/>
      <c r="Y15" s="157"/>
    </row>
    <row r="16" ht="60.0" customHeight="1">
      <c r="A16" s="243">
        <v>8.6000021E9</v>
      </c>
      <c r="B16" s="191" t="s">
        <v>25</v>
      </c>
      <c r="C16" s="215" t="s">
        <v>5577</v>
      </c>
      <c r="D16" s="215" t="s">
        <v>5961</v>
      </c>
      <c r="E16" s="207" t="s">
        <v>5962</v>
      </c>
      <c r="F16" s="215" t="s">
        <v>5919</v>
      </c>
      <c r="G16" s="233">
        <v>44881.0</v>
      </c>
      <c r="H16" s="220">
        <v>44880.0</v>
      </c>
      <c r="I16" s="405">
        <v>44888.0</v>
      </c>
      <c r="J16" s="220"/>
      <c r="K16" s="220"/>
      <c r="L16" s="207" t="s">
        <v>5963</v>
      </c>
      <c r="M16" s="157"/>
      <c r="N16" s="157"/>
      <c r="O16" s="157"/>
      <c r="P16" s="157"/>
      <c r="Q16" s="157"/>
      <c r="R16" s="157"/>
      <c r="S16" s="157"/>
      <c r="T16" s="157"/>
      <c r="U16" s="157"/>
      <c r="V16" s="157"/>
      <c r="W16" s="157"/>
      <c r="X16" s="157"/>
      <c r="Y16" s="157"/>
    </row>
    <row r="17" ht="60.0" customHeight="1">
      <c r="A17" s="243">
        <v>8.600002101E9</v>
      </c>
      <c r="B17" s="215" t="s">
        <v>14</v>
      </c>
      <c r="C17" s="215" t="s">
        <v>3436</v>
      </c>
      <c r="D17" s="215" t="s">
        <v>5964</v>
      </c>
      <c r="E17" s="207" t="s">
        <v>5962</v>
      </c>
      <c r="F17" s="215" t="s">
        <v>5965</v>
      </c>
      <c r="G17" s="233">
        <v>44880.0</v>
      </c>
      <c r="H17" s="220">
        <v>44873.0</v>
      </c>
      <c r="I17" s="405">
        <v>44887.0</v>
      </c>
      <c r="J17" s="220"/>
      <c r="K17" s="220"/>
      <c r="L17" s="207" t="s">
        <v>5966</v>
      </c>
      <c r="M17" s="157"/>
      <c r="N17" s="157"/>
      <c r="O17" s="157"/>
      <c r="P17" s="157"/>
      <c r="Q17" s="157"/>
      <c r="R17" s="157"/>
      <c r="S17" s="157"/>
      <c r="T17" s="157"/>
      <c r="U17" s="157"/>
      <c r="V17" s="157"/>
      <c r="W17" s="157"/>
      <c r="X17" s="157"/>
      <c r="Y17" s="157"/>
    </row>
    <row r="18" ht="64.5" customHeight="1">
      <c r="A18" s="243">
        <v>8.600002064E9</v>
      </c>
      <c r="B18" s="215" t="s">
        <v>14</v>
      </c>
      <c r="C18" s="215" t="s">
        <v>3386</v>
      </c>
      <c r="D18" s="215" t="s">
        <v>5967</v>
      </c>
      <c r="E18" s="207" t="s">
        <v>5968</v>
      </c>
      <c r="F18" s="215" t="s">
        <v>5919</v>
      </c>
      <c r="G18" s="233">
        <v>44860.0</v>
      </c>
      <c r="H18" s="220">
        <v>44852.0</v>
      </c>
      <c r="I18" s="405">
        <v>44865.0</v>
      </c>
      <c r="J18" s="220"/>
      <c r="K18" s="220"/>
      <c r="L18" s="207" t="s">
        <v>5969</v>
      </c>
      <c r="M18" s="157"/>
      <c r="N18" s="157"/>
      <c r="O18" s="157"/>
      <c r="P18" s="157"/>
      <c r="Q18" s="157"/>
      <c r="R18" s="157"/>
      <c r="S18" s="157"/>
      <c r="T18" s="157"/>
      <c r="U18" s="157"/>
      <c r="V18" s="157"/>
      <c r="W18" s="157"/>
      <c r="X18" s="157"/>
      <c r="Y18" s="157"/>
    </row>
    <row r="19" ht="73.5" customHeight="1">
      <c r="A19" s="243">
        <v>8.600002065E9</v>
      </c>
      <c r="B19" s="191" t="s">
        <v>25</v>
      </c>
      <c r="C19" s="215" t="s">
        <v>3372</v>
      </c>
      <c r="D19" s="215" t="s">
        <v>5970</v>
      </c>
      <c r="E19" s="207" t="s">
        <v>5971</v>
      </c>
      <c r="F19" s="215" t="s">
        <v>5919</v>
      </c>
      <c r="G19" s="233">
        <v>44857.0</v>
      </c>
      <c r="H19" s="220">
        <v>44855.0</v>
      </c>
      <c r="I19" s="405">
        <v>44861.0</v>
      </c>
      <c r="J19" s="220"/>
      <c r="K19" s="220"/>
      <c r="L19" s="207" t="s">
        <v>5972</v>
      </c>
      <c r="M19" s="157"/>
      <c r="N19" s="157"/>
      <c r="O19" s="157"/>
      <c r="P19" s="157"/>
      <c r="Q19" s="157"/>
      <c r="R19" s="157"/>
      <c r="S19" s="157"/>
      <c r="T19" s="157"/>
      <c r="U19" s="157"/>
      <c r="V19" s="157"/>
      <c r="W19" s="157"/>
      <c r="X19" s="157"/>
      <c r="Y19" s="157"/>
    </row>
    <row r="20" ht="91.5" customHeight="1">
      <c r="A20" s="243">
        <v>8.600002011E9</v>
      </c>
      <c r="B20" s="191" t="s">
        <v>21</v>
      </c>
      <c r="C20" s="215" t="s">
        <v>5973</v>
      </c>
      <c r="D20" s="215" t="s">
        <v>5974</v>
      </c>
      <c r="E20" s="207" t="s">
        <v>5663</v>
      </c>
      <c r="F20" s="215" t="s">
        <v>5919</v>
      </c>
      <c r="G20" s="233">
        <v>44856.0</v>
      </c>
      <c r="H20" s="220">
        <v>44852.0</v>
      </c>
      <c r="I20" s="215" t="s">
        <v>5975</v>
      </c>
      <c r="J20" s="414"/>
      <c r="K20" s="414"/>
      <c r="L20" s="207" t="s">
        <v>5976</v>
      </c>
      <c r="M20" s="157"/>
      <c r="N20" s="157"/>
      <c r="O20" s="157"/>
      <c r="P20" s="157"/>
      <c r="Q20" s="157"/>
      <c r="R20" s="157"/>
      <c r="S20" s="157"/>
      <c r="T20" s="157"/>
      <c r="U20" s="157"/>
      <c r="V20" s="157"/>
      <c r="W20" s="157"/>
      <c r="X20" s="157"/>
      <c r="Y20" s="157"/>
    </row>
    <row r="21" ht="62.25" customHeight="1">
      <c r="A21" s="243">
        <v>8.60000207E9</v>
      </c>
      <c r="B21" s="191" t="s">
        <v>4356</v>
      </c>
      <c r="C21" s="215" t="s">
        <v>5977</v>
      </c>
      <c r="D21" s="215" t="s">
        <v>5978</v>
      </c>
      <c r="E21" s="207" t="s">
        <v>5979</v>
      </c>
      <c r="F21" s="215" t="s">
        <v>5919</v>
      </c>
      <c r="G21" s="233">
        <v>44852.0</v>
      </c>
      <c r="H21" s="220">
        <v>44867.0</v>
      </c>
      <c r="I21" s="405">
        <v>44869.0</v>
      </c>
      <c r="J21" s="414"/>
      <c r="K21" s="414"/>
      <c r="L21" s="207" t="s">
        <v>5980</v>
      </c>
      <c r="M21" s="157"/>
      <c r="N21" s="157"/>
      <c r="O21" s="157"/>
      <c r="P21" s="157"/>
      <c r="Q21" s="157"/>
      <c r="R21" s="157"/>
      <c r="S21" s="157"/>
      <c r="T21" s="157"/>
      <c r="U21" s="157"/>
      <c r="V21" s="157"/>
      <c r="W21" s="157"/>
      <c r="X21" s="157"/>
      <c r="Y21" s="157"/>
    </row>
    <row r="22" ht="68.25" customHeight="1">
      <c r="A22" s="243">
        <v>8.600002062E9</v>
      </c>
      <c r="B22" s="215" t="s">
        <v>14</v>
      </c>
      <c r="C22" s="215" t="s">
        <v>3412</v>
      </c>
      <c r="D22" s="215" t="s">
        <v>5981</v>
      </c>
      <c r="E22" s="207" t="s">
        <v>5982</v>
      </c>
      <c r="F22" s="215" t="s">
        <v>5919</v>
      </c>
      <c r="G22" s="233">
        <v>44851.0</v>
      </c>
      <c r="H22" s="220">
        <v>44847.0</v>
      </c>
      <c r="I22" s="405">
        <v>44855.0</v>
      </c>
      <c r="J22" s="220"/>
      <c r="K22" s="220"/>
      <c r="L22" s="207" t="s">
        <v>5983</v>
      </c>
      <c r="M22" s="157"/>
      <c r="N22" s="157"/>
      <c r="O22" s="157"/>
      <c r="P22" s="157"/>
      <c r="Q22" s="157"/>
      <c r="R22" s="157"/>
      <c r="S22" s="157"/>
      <c r="T22" s="157"/>
      <c r="U22" s="157"/>
      <c r="V22" s="157"/>
      <c r="W22" s="157"/>
      <c r="X22" s="157"/>
      <c r="Y22" s="157"/>
    </row>
    <row r="23" ht="62.25" customHeight="1">
      <c r="A23" s="243">
        <v>8.600002063E9</v>
      </c>
      <c r="B23" s="191" t="s">
        <v>4356</v>
      </c>
      <c r="C23" s="215" t="s">
        <v>3423</v>
      </c>
      <c r="D23" s="215" t="s">
        <v>5984</v>
      </c>
      <c r="E23" s="207" t="s">
        <v>5952</v>
      </c>
      <c r="F23" s="215" t="s">
        <v>5919</v>
      </c>
      <c r="G23" s="233">
        <v>44841.0</v>
      </c>
      <c r="H23" s="220">
        <v>44852.0</v>
      </c>
      <c r="I23" s="405">
        <v>44854.0</v>
      </c>
      <c r="J23" s="414"/>
      <c r="K23" s="414"/>
      <c r="L23" s="207" t="s">
        <v>5985</v>
      </c>
      <c r="M23" s="157"/>
      <c r="N23" s="157"/>
      <c r="O23" s="157"/>
      <c r="P23" s="157"/>
      <c r="Q23" s="157"/>
      <c r="R23" s="157"/>
      <c r="S23" s="157"/>
      <c r="T23" s="157"/>
      <c r="U23" s="157"/>
      <c r="V23" s="157"/>
      <c r="W23" s="157"/>
      <c r="X23" s="157"/>
      <c r="Y23" s="157"/>
    </row>
    <row r="24" ht="66.75" customHeight="1">
      <c r="A24" s="243">
        <v>8.500000154E9</v>
      </c>
      <c r="B24" s="215" t="s">
        <v>14</v>
      </c>
      <c r="C24" s="215" t="s">
        <v>3646</v>
      </c>
      <c r="D24" s="215" t="s">
        <v>5986</v>
      </c>
      <c r="E24" s="207" t="s">
        <v>5680</v>
      </c>
      <c r="F24" s="215" t="s">
        <v>5919</v>
      </c>
      <c r="G24" s="233">
        <v>44841.0</v>
      </c>
      <c r="H24" s="220">
        <v>44838.0</v>
      </c>
      <c r="I24" s="405">
        <v>44846.0</v>
      </c>
      <c r="J24" s="220"/>
      <c r="K24" s="220"/>
      <c r="L24" s="207" t="s">
        <v>5987</v>
      </c>
      <c r="M24" s="157"/>
      <c r="N24" s="157"/>
      <c r="O24" s="157"/>
      <c r="P24" s="157"/>
      <c r="Q24" s="157"/>
      <c r="R24" s="157"/>
      <c r="S24" s="157"/>
      <c r="T24" s="157"/>
      <c r="U24" s="157"/>
      <c r="V24" s="157"/>
      <c r="W24" s="157"/>
      <c r="X24" s="157"/>
      <c r="Y24" s="157"/>
    </row>
    <row r="25" ht="84.75" customHeight="1">
      <c r="A25" s="243">
        <v>8.600002035E9</v>
      </c>
      <c r="B25" s="215" t="s">
        <v>14</v>
      </c>
      <c r="C25" s="215" t="s">
        <v>5988</v>
      </c>
      <c r="D25" s="215" t="s">
        <v>5989</v>
      </c>
      <c r="E25" s="207" t="s">
        <v>5922</v>
      </c>
      <c r="F25" s="215" t="s">
        <v>5919</v>
      </c>
      <c r="G25" s="233">
        <v>44835.0</v>
      </c>
      <c r="H25" s="220">
        <v>44826.0</v>
      </c>
      <c r="I25" s="215" t="s">
        <v>5990</v>
      </c>
      <c r="J25" s="220"/>
      <c r="K25" s="220"/>
      <c r="L25" s="207" t="s">
        <v>5991</v>
      </c>
      <c r="M25" s="157"/>
      <c r="N25" s="157"/>
      <c r="O25" s="157"/>
      <c r="P25" s="157"/>
      <c r="Q25" s="157"/>
      <c r="R25" s="157"/>
      <c r="S25" s="157"/>
      <c r="T25" s="157"/>
      <c r="U25" s="157"/>
      <c r="V25" s="157"/>
      <c r="W25" s="157"/>
      <c r="X25" s="157"/>
      <c r="Y25" s="157"/>
    </row>
    <row r="26" ht="59.25" customHeight="1">
      <c r="A26" s="243">
        <v>8.60000201E9</v>
      </c>
      <c r="B26" s="191" t="s">
        <v>25</v>
      </c>
      <c r="C26" s="215" t="s">
        <v>5928</v>
      </c>
      <c r="D26" s="215" t="s">
        <v>5992</v>
      </c>
      <c r="E26" s="207" t="s">
        <v>5993</v>
      </c>
      <c r="F26" s="215" t="s">
        <v>5919</v>
      </c>
      <c r="G26" s="233">
        <v>44833.0</v>
      </c>
      <c r="H26" s="220">
        <v>44832.0</v>
      </c>
      <c r="I26" s="405">
        <v>44838.0</v>
      </c>
      <c r="J26" s="220"/>
      <c r="K26" s="220"/>
      <c r="L26" s="207" t="s">
        <v>5994</v>
      </c>
      <c r="M26" s="157"/>
      <c r="N26" s="157"/>
      <c r="O26" s="157"/>
      <c r="P26" s="157"/>
      <c r="Q26" s="157"/>
      <c r="R26" s="157"/>
      <c r="S26" s="157"/>
      <c r="T26" s="157"/>
      <c r="U26" s="157"/>
      <c r="V26" s="157"/>
      <c r="W26" s="157"/>
      <c r="X26" s="157"/>
      <c r="Y26" s="157"/>
    </row>
    <row r="27" ht="83.25" customHeight="1">
      <c r="A27" s="243">
        <v>8.600002012E9</v>
      </c>
      <c r="B27" s="215" t="s">
        <v>14</v>
      </c>
      <c r="C27" s="215" t="s">
        <v>5995</v>
      </c>
      <c r="D27" s="215" t="s">
        <v>5996</v>
      </c>
      <c r="E27" s="207" t="s">
        <v>5685</v>
      </c>
      <c r="F27" s="215" t="s">
        <v>5919</v>
      </c>
      <c r="G27" s="233">
        <v>44827.0</v>
      </c>
      <c r="H27" s="220">
        <v>44820.0</v>
      </c>
      <c r="I27" s="215" t="s">
        <v>5997</v>
      </c>
      <c r="J27" s="220"/>
      <c r="K27" s="220"/>
      <c r="L27" s="213" t="s">
        <v>5998</v>
      </c>
      <c r="M27" s="157"/>
      <c r="N27" s="157"/>
      <c r="O27" s="157"/>
      <c r="P27" s="157"/>
      <c r="Q27" s="157"/>
      <c r="R27" s="157"/>
      <c r="S27" s="157"/>
      <c r="T27" s="157"/>
      <c r="U27" s="157"/>
      <c r="V27" s="157"/>
      <c r="W27" s="157"/>
      <c r="X27" s="157"/>
      <c r="Y27" s="157"/>
    </row>
    <row r="28" ht="76.5" customHeight="1">
      <c r="A28" s="243">
        <v>8.600001971E9</v>
      </c>
      <c r="B28" s="191" t="s">
        <v>21</v>
      </c>
      <c r="C28" s="215" t="s">
        <v>5999</v>
      </c>
      <c r="D28" s="215" t="s">
        <v>6000</v>
      </c>
      <c r="E28" s="207" t="s">
        <v>5922</v>
      </c>
      <c r="F28" s="215" t="s">
        <v>5919</v>
      </c>
      <c r="G28" s="233">
        <v>44817.0</v>
      </c>
      <c r="H28" s="220">
        <v>44788.0</v>
      </c>
      <c r="I28" s="215" t="s">
        <v>6001</v>
      </c>
      <c r="J28" s="414"/>
      <c r="K28" s="414"/>
      <c r="L28" s="207" t="s">
        <v>6002</v>
      </c>
      <c r="M28" s="157"/>
      <c r="N28" s="157"/>
      <c r="O28" s="157"/>
      <c r="P28" s="157"/>
      <c r="Q28" s="157"/>
      <c r="R28" s="157"/>
      <c r="S28" s="157"/>
      <c r="T28" s="157"/>
      <c r="U28" s="157"/>
      <c r="V28" s="157"/>
      <c r="W28" s="157"/>
      <c r="X28" s="157"/>
      <c r="Y28" s="157"/>
    </row>
    <row r="29" ht="64.5" customHeight="1">
      <c r="A29" s="243">
        <v>8.600002024E9</v>
      </c>
      <c r="B29" s="191" t="s">
        <v>25</v>
      </c>
      <c r="C29" s="215" t="s">
        <v>5561</v>
      </c>
      <c r="D29" s="215" t="s">
        <v>6003</v>
      </c>
      <c r="E29" s="207" t="s">
        <v>6004</v>
      </c>
      <c r="F29" s="215" t="s">
        <v>5919</v>
      </c>
      <c r="G29" s="220">
        <v>44813.0</v>
      </c>
      <c r="H29" s="220">
        <v>44811.0</v>
      </c>
      <c r="I29" s="215" t="s">
        <v>6005</v>
      </c>
      <c r="J29" s="220"/>
      <c r="K29" s="220"/>
      <c r="L29" s="207" t="s">
        <v>6006</v>
      </c>
      <c r="M29" s="157"/>
      <c r="N29" s="157"/>
      <c r="O29" s="157"/>
      <c r="P29" s="157"/>
      <c r="Q29" s="157"/>
      <c r="R29" s="157"/>
      <c r="S29" s="157"/>
      <c r="T29" s="157"/>
      <c r="U29" s="157"/>
      <c r="V29" s="157"/>
      <c r="W29" s="157"/>
      <c r="X29" s="157"/>
      <c r="Y29" s="157"/>
    </row>
    <row r="30" ht="63.0" customHeight="1">
      <c r="A30" s="243">
        <v>8.500000153E9</v>
      </c>
      <c r="B30" s="215" t="s">
        <v>14</v>
      </c>
      <c r="C30" s="215" t="s">
        <v>3646</v>
      </c>
      <c r="D30" s="215" t="s">
        <v>6007</v>
      </c>
      <c r="E30" s="207" t="s">
        <v>5680</v>
      </c>
      <c r="F30" s="215" t="s">
        <v>5919</v>
      </c>
      <c r="G30" s="233">
        <v>44812.0</v>
      </c>
      <c r="H30" s="220">
        <v>44804.0</v>
      </c>
      <c r="I30" s="405">
        <v>44824.0</v>
      </c>
      <c r="J30" s="220"/>
      <c r="K30" s="220"/>
      <c r="L30" s="207" t="s">
        <v>6008</v>
      </c>
      <c r="M30" s="157"/>
      <c r="N30" s="157"/>
      <c r="O30" s="157"/>
      <c r="P30" s="157"/>
      <c r="Q30" s="157"/>
      <c r="R30" s="157"/>
      <c r="S30" s="157"/>
      <c r="T30" s="157"/>
      <c r="U30" s="157"/>
      <c r="V30" s="157"/>
      <c r="W30" s="157"/>
      <c r="X30" s="157"/>
      <c r="Y30" s="157"/>
    </row>
    <row r="31" ht="75.0" customHeight="1">
      <c r="A31" s="243">
        <v>8.600002E9</v>
      </c>
      <c r="B31" s="215" t="s">
        <v>14</v>
      </c>
      <c r="C31" s="215" t="s">
        <v>6009</v>
      </c>
      <c r="D31" s="215" t="s">
        <v>6010</v>
      </c>
      <c r="E31" s="207" t="s">
        <v>6011</v>
      </c>
      <c r="F31" s="215" t="s">
        <v>5919</v>
      </c>
      <c r="G31" s="233">
        <v>44807.0</v>
      </c>
      <c r="H31" s="220">
        <v>44804.0</v>
      </c>
      <c r="I31" s="215" t="s">
        <v>6012</v>
      </c>
      <c r="J31" s="220"/>
      <c r="K31" s="220"/>
      <c r="L31" s="207" t="s">
        <v>6013</v>
      </c>
      <c r="M31" s="157"/>
      <c r="N31" s="157"/>
      <c r="O31" s="157"/>
      <c r="P31" s="157"/>
      <c r="Q31" s="157"/>
      <c r="R31" s="157"/>
      <c r="S31" s="157"/>
      <c r="T31" s="157"/>
      <c r="U31" s="157"/>
      <c r="V31" s="157"/>
      <c r="W31" s="157"/>
      <c r="X31" s="157"/>
      <c r="Y31" s="157"/>
    </row>
    <row r="32" ht="78.0" customHeight="1">
      <c r="A32" s="243">
        <v>8.600001991E9</v>
      </c>
      <c r="B32" s="215" t="s">
        <v>14</v>
      </c>
      <c r="C32" s="215" t="s">
        <v>6014</v>
      </c>
      <c r="D32" s="215" t="s">
        <v>6015</v>
      </c>
      <c r="E32" s="207" t="s">
        <v>6016</v>
      </c>
      <c r="F32" s="215" t="s">
        <v>5919</v>
      </c>
      <c r="G32" s="233">
        <v>44803.0</v>
      </c>
      <c r="H32" s="220">
        <v>44795.0</v>
      </c>
      <c r="I32" s="191" t="s">
        <v>6017</v>
      </c>
      <c r="J32" s="220"/>
      <c r="K32" s="220"/>
      <c r="L32" s="207" t="s">
        <v>6018</v>
      </c>
      <c r="M32" s="157"/>
      <c r="N32" s="157"/>
      <c r="O32" s="157"/>
      <c r="P32" s="157"/>
      <c r="Q32" s="157"/>
      <c r="R32" s="157"/>
      <c r="S32" s="157"/>
      <c r="T32" s="157"/>
      <c r="U32" s="157"/>
      <c r="V32" s="157"/>
      <c r="W32" s="157"/>
      <c r="X32" s="157"/>
      <c r="Y32" s="157"/>
    </row>
    <row r="33" ht="58.5" customHeight="1">
      <c r="A33" s="243">
        <v>8.600001936E9</v>
      </c>
      <c r="B33" s="215" t="s">
        <v>14</v>
      </c>
      <c r="C33" s="215" t="s">
        <v>5649</v>
      </c>
      <c r="D33" s="215" t="s">
        <v>6019</v>
      </c>
      <c r="E33" s="207" t="s">
        <v>6020</v>
      </c>
      <c r="F33" s="215" t="s">
        <v>5919</v>
      </c>
      <c r="G33" s="233">
        <v>44802.0</v>
      </c>
      <c r="H33" s="220">
        <v>44789.0</v>
      </c>
      <c r="I33" s="259">
        <v>44810.0</v>
      </c>
      <c r="J33" s="220"/>
      <c r="K33" s="220"/>
      <c r="L33" s="207" t="s">
        <v>6021</v>
      </c>
      <c r="M33" s="157"/>
      <c r="N33" s="157"/>
      <c r="O33" s="157"/>
      <c r="P33" s="157"/>
      <c r="Q33" s="157"/>
      <c r="R33" s="157"/>
      <c r="S33" s="157"/>
      <c r="T33" s="157"/>
      <c r="U33" s="157"/>
      <c r="V33" s="157"/>
      <c r="W33" s="157"/>
      <c r="X33" s="157"/>
      <c r="Y33" s="157"/>
    </row>
    <row r="34" ht="57.0" customHeight="1">
      <c r="A34" s="243">
        <v>8.600001921E9</v>
      </c>
      <c r="B34" s="215" t="s">
        <v>14</v>
      </c>
      <c r="C34" s="215" t="s">
        <v>3404</v>
      </c>
      <c r="D34" s="215" t="s">
        <v>6022</v>
      </c>
      <c r="E34" s="207" t="s">
        <v>5552</v>
      </c>
      <c r="F34" s="215" t="s">
        <v>5919</v>
      </c>
      <c r="G34" s="233">
        <v>44793.0</v>
      </c>
      <c r="H34" s="220">
        <v>44788.0</v>
      </c>
      <c r="I34" s="405">
        <v>44799.0</v>
      </c>
      <c r="J34" s="220"/>
      <c r="K34" s="220"/>
      <c r="L34" s="207" t="s">
        <v>6023</v>
      </c>
      <c r="M34" s="157"/>
      <c r="N34" s="157"/>
      <c r="O34" s="157"/>
      <c r="P34" s="157"/>
      <c r="Q34" s="157"/>
      <c r="R34" s="157"/>
      <c r="S34" s="157"/>
      <c r="T34" s="157"/>
      <c r="U34" s="157"/>
      <c r="V34" s="157"/>
      <c r="W34" s="157"/>
      <c r="X34" s="157"/>
      <c r="Y34" s="157"/>
    </row>
    <row r="35" ht="65.25" customHeight="1">
      <c r="A35" s="243">
        <v>8.600001916E9</v>
      </c>
      <c r="B35" s="215" t="s">
        <v>14</v>
      </c>
      <c r="C35" s="215" t="s">
        <v>3436</v>
      </c>
      <c r="D35" s="215" t="s">
        <v>6024</v>
      </c>
      <c r="E35" s="207" t="s">
        <v>5612</v>
      </c>
      <c r="F35" s="215" t="s">
        <v>5919</v>
      </c>
      <c r="G35" s="233">
        <v>44793.0</v>
      </c>
      <c r="H35" s="220">
        <v>44788.0</v>
      </c>
      <c r="I35" s="405">
        <v>44798.0</v>
      </c>
      <c r="J35" s="220"/>
      <c r="K35" s="220"/>
      <c r="L35" s="207" t="s">
        <v>6025</v>
      </c>
      <c r="M35" s="157"/>
      <c r="N35" s="157"/>
      <c r="O35" s="157"/>
      <c r="P35" s="157"/>
      <c r="Q35" s="157"/>
      <c r="R35" s="157"/>
      <c r="S35" s="157"/>
      <c r="T35" s="157"/>
      <c r="U35" s="157"/>
      <c r="V35" s="157"/>
      <c r="W35" s="157"/>
      <c r="X35" s="157"/>
      <c r="Y35" s="157"/>
    </row>
    <row r="36" ht="61.5" customHeight="1">
      <c r="A36" s="243">
        <v>8.600002003E9</v>
      </c>
      <c r="B36" s="191" t="s">
        <v>21</v>
      </c>
      <c r="C36" s="215" t="s">
        <v>3646</v>
      </c>
      <c r="D36" s="215" t="s">
        <v>6026</v>
      </c>
      <c r="E36" s="207" t="s">
        <v>6027</v>
      </c>
      <c r="F36" s="215" t="s">
        <v>5919</v>
      </c>
      <c r="G36" s="233">
        <v>44793.0</v>
      </c>
      <c r="H36" s="220">
        <v>44789.0</v>
      </c>
      <c r="I36" s="405">
        <v>44812.0</v>
      </c>
      <c r="J36" s="415"/>
      <c r="K36" s="416"/>
      <c r="L36" s="207" t="s">
        <v>6028</v>
      </c>
      <c r="M36" s="157"/>
      <c r="N36" s="157"/>
      <c r="O36" s="157"/>
      <c r="P36" s="157"/>
      <c r="Q36" s="157"/>
      <c r="R36" s="157"/>
      <c r="S36" s="157"/>
      <c r="T36" s="157"/>
      <c r="U36" s="157"/>
      <c r="V36" s="157"/>
      <c r="W36" s="157"/>
      <c r="X36" s="157"/>
      <c r="Y36" s="157"/>
    </row>
    <row r="37" ht="69.0" customHeight="1">
      <c r="A37" s="243">
        <v>8.600001988E9</v>
      </c>
      <c r="B37" s="191" t="s">
        <v>21</v>
      </c>
      <c r="C37" s="215" t="s">
        <v>5649</v>
      </c>
      <c r="D37" s="215" t="s">
        <v>6029</v>
      </c>
      <c r="E37" s="207" t="s">
        <v>6030</v>
      </c>
      <c r="F37" s="215" t="s">
        <v>5919</v>
      </c>
      <c r="G37" s="233">
        <v>44789.0</v>
      </c>
      <c r="H37" s="220">
        <v>44783.0</v>
      </c>
      <c r="I37" s="215" t="s">
        <v>6031</v>
      </c>
      <c r="J37" s="415"/>
      <c r="K37" s="416"/>
      <c r="L37" s="207" t="s">
        <v>6032</v>
      </c>
      <c r="M37" s="157"/>
      <c r="N37" s="157"/>
      <c r="O37" s="157"/>
      <c r="P37" s="157"/>
      <c r="Q37" s="157"/>
      <c r="R37" s="157"/>
      <c r="S37" s="157"/>
      <c r="T37" s="157"/>
      <c r="U37" s="157"/>
      <c r="V37" s="157"/>
      <c r="W37" s="157"/>
      <c r="X37" s="157"/>
      <c r="Y37" s="157"/>
    </row>
    <row r="38" ht="86.25" customHeight="1">
      <c r="A38" s="243">
        <v>8.600001972E9</v>
      </c>
      <c r="B38" s="191" t="s">
        <v>25</v>
      </c>
      <c r="C38" s="215" t="s">
        <v>6033</v>
      </c>
      <c r="D38" s="215" t="s">
        <v>6034</v>
      </c>
      <c r="E38" s="207" t="s">
        <v>6035</v>
      </c>
      <c r="F38" s="215" t="s">
        <v>5919</v>
      </c>
      <c r="G38" s="233">
        <v>44785.0</v>
      </c>
      <c r="H38" s="220">
        <v>44785.0</v>
      </c>
      <c r="I38" s="215" t="s">
        <v>6036</v>
      </c>
      <c r="J38" s="220"/>
      <c r="K38" s="260"/>
      <c r="L38" s="207" t="s">
        <v>6037</v>
      </c>
      <c r="M38" s="157"/>
      <c r="N38" s="157"/>
      <c r="O38" s="157"/>
      <c r="P38" s="157"/>
      <c r="Q38" s="157"/>
      <c r="R38" s="157"/>
      <c r="S38" s="157"/>
      <c r="T38" s="157"/>
      <c r="U38" s="157"/>
      <c r="V38" s="157"/>
      <c r="W38" s="157"/>
      <c r="X38" s="157"/>
      <c r="Y38" s="157"/>
    </row>
    <row r="39" ht="56.25" customHeight="1">
      <c r="A39" s="243">
        <v>8.600001901E9</v>
      </c>
      <c r="B39" s="215" t="s">
        <v>14</v>
      </c>
      <c r="C39" s="215" t="s">
        <v>3467</v>
      </c>
      <c r="D39" s="215" t="s">
        <v>6038</v>
      </c>
      <c r="E39" s="207" t="s">
        <v>5942</v>
      </c>
      <c r="F39" s="215" t="s">
        <v>5919</v>
      </c>
      <c r="G39" s="233">
        <v>44784.0</v>
      </c>
      <c r="H39" s="233">
        <v>44776.0</v>
      </c>
      <c r="I39" s="405">
        <v>44789.0</v>
      </c>
      <c r="J39" s="220"/>
      <c r="K39" s="260"/>
      <c r="L39" s="207" t="s">
        <v>6039</v>
      </c>
      <c r="M39" s="157"/>
      <c r="N39" s="157"/>
      <c r="O39" s="157"/>
      <c r="P39" s="157"/>
      <c r="Q39" s="157"/>
      <c r="R39" s="157"/>
      <c r="S39" s="157"/>
      <c r="T39" s="157"/>
      <c r="U39" s="157"/>
      <c r="V39" s="157"/>
      <c r="W39" s="157"/>
      <c r="X39" s="157"/>
      <c r="Y39" s="157"/>
    </row>
    <row r="40" ht="56.25" customHeight="1">
      <c r="A40" s="243">
        <v>8.600001969E9</v>
      </c>
      <c r="B40" s="215" t="s">
        <v>14</v>
      </c>
      <c r="C40" s="215" t="s">
        <v>5649</v>
      </c>
      <c r="D40" s="215" t="s">
        <v>6040</v>
      </c>
      <c r="E40" s="207" t="s">
        <v>6041</v>
      </c>
      <c r="F40" s="215" t="s">
        <v>5919</v>
      </c>
      <c r="G40" s="233">
        <v>44783.0</v>
      </c>
      <c r="H40" s="220">
        <v>44775.0</v>
      </c>
      <c r="I40" s="405">
        <v>44788.0</v>
      </c>
      <c r="J40" s="220"/>
      <c r="K40" s="260"/>
      <c r="L40" s="207" t="s">
        <v>6042</v>
      </c>
      <c r="M40" s="157"/>
      <c r="N40" s="157"/>
      <c r="O40" s="157"/>
      <c r="P40" s="157"/>
      <c r="Q40" s="157"/>
      <c r="R40" s="157"/>
      <c r="S40" s="157"/>
      <c r="T40" s="157"/>
      <c r="U40" s="157"/>
      <c r="V40" s="157"/>
      <c r="W40" s="157"/>
      <c r="X40" s="157"/>
      <c r="Y40" s="157"/>
    </row>
    <row r="41" ht="56.25" customHeight="1">
      <c r="A41" s="243">
        <v>8.600001987E9</v>
      </c>
      <c r="B41" s="191" t="s">
        <v>25</v>
      </c>
      <c r="C41" s="215" t="s">
        <v>5626</v>
      </c>
      <c r="D41" s="215" t="s">
        <v>6043</v>
      </c>
      <c r="E41" s="207" t="s">
        <v>6044</v>
      </c>
      <c r="F41" s="215" t="s">
        <v>5919</v>
      </c>
      <c r="G41" s="233">
        <v>44782.0</v>
      </c>
      <c r="H41" s="220">
        <v>44778.0</v>
      </c>
      <c r="I41" s="215" t="s">
        <v>6045</v>
      </c>
      <c r="J41" s="220"/>
      <c r="K41" s="260"/>
      <c r="L41" s="213" t="s">
        <v>6046</v>
      </c>
      <c r="M41" s="157"/>
      <c r="N41" s="157"/>
      <c r="O41" s="157"/>
      <c r="P41" s="157"/>
      <c r="Q41" s="157"/>
      <c r="R41" s="157"/>
      <c r="S41" s="157"/>
      <c r="T41" s="157"/>
      <c r="U41" s="157"/>
      <c r="V41" s="157"/>
      <c r="W41" s="157"/>
      <c r="X41" s="157"/>
      <c r="Y41" s="157"/>
    </row>
    <row r="42" ht="56.25" customHeight="1">
      <c r="A42" s="243">
        <v>8.600001933E9</v>
      </c>
      <c r="B42" s="191" t="s">
        <v>25</v>
      </c>
      <c r="C42" s="215" t="s">
        <v>5665</v>
      </c>
      <c r="D42" s="215" t="s">
        <v>6047</v>
      </c>
      <c r="E42" s="207" t="s">
        <v>5968</v>
      </c>
      <c r="F42" s="215" t="s">
        <v>5919</v>
      </c>
      <c r="G42" s="233">
        <v>44776.0</v>
      </c>
      <c r="H42" s="220">
        <v>44775.0</v>
      </c>
      <c r="I42" s="405">
        <v>44790.0</v>
      </c>
      <c r="J42" s="220"/>
      <c r="K42" s="260"/>
      <c r="L42" s="213" t="s">
        <v>6048</v>
      </c>
      <c r="M42" s="157"/>
      <c r="N42" s="157"/>
      <c r="O42" s="157"/>
      <c r="P42" s="157"/>
      <c r="Q42" s="157"/>
      <c r="R42" s="157"/>
      <c r="S42" s="157"/>
      <c r="T42" s="157"/>
      <c r="U42" s="157"/>
      <c r="V42" s="157"/>
      <c r="W42" s="157"/>
      <c r="X42" s="157"/>
      <c r="Y42" s="157"/>
    </row>
    <row r="43" ht="62.25" customHeight="1">
      <c r="A43" s="258">
        <v>8.600001883E9</v>
      </c>
      <c r="B43" s="215" t="s">
        <v>14</v>
      </c>
      <c r="C43" s="215" t="s">
        <v>5826</v>
      </c>
      <c r="D43" s="215" t="s">
        <v>6049</v>
      </c>
      <c r="E43" s="207" t="s">
        <v>6050</v>
      </c>
      <c r="F43" s="215" t="s">
        <v>5919</v>
      </c>
      <c r="G43" s="233">
        <v>44775.0</v>
      </c>
      <c r="H43" s="233">
        <v>44760.0</v>
      </c>
      <c r="I43" s="405">
        <v>44782.0</v>
      </c>
      <c r="J43" s="220"/>
      <c r="K43" s="260"/>
      <c r="L43" s="207" t="s">
        <v>6051</v>
      </c>
      <c r="M43" s="157"/>
      <c r="N43" s="157"/>
      <c r="O43" s="157"/>
      <c r="P43" s="157"/>
      <c r="Q43" s="157"/>
      <c r="R43" s="157"/>
      <c r="S43" s="157"/>
      <c r="T43" s="157"/>
      <c r="U43" s="157"/>
      <c r="V43" s="157"/>
      <c r="W43" s="157"/>
      <c r="X43" s="157"/>
      <c r="Y43" s="157"/>
    </row>
    <row r="44" ht="60.0" customHeight="1">
      <c r="A44" s="258">
        <v>8.500000147E9</v>
      </c>
      <c r="B44" s="215" t="s">
        <v>14</v>
      </c>
      <c r="C44" s="215" t="s">
        <v>3467</v>
      </c>
      <c r="D44" s="215" t="s">
        <v>6052</v>
      </c>
      <c r="E44" s="207" t="s">
        <v>5680</v>
      </c>
      <c r="F44" s="215" t="s">
        <v>5919</v>
      </c>
      <c r="G44" s="233">
        <v>44775.0</v>
      </c>
      <c r="H44" s="220">
        <v>44755.0</v>
      </c>
      <c r="I44" s="215" t="s">
        <v>6053</v>
      </c>
      <c r="J44" s="220"/>
      <c r="K44" s="260"/>
      <c r="L44" s="207" t="s">
        <v>6054</v>
      </c>
      <c r="M44" s="157"/>
      <c r="N44" s="157"/>
      <c r="O44" s="157"/>
      <c r="P44" s="157"/>
      <c r="Q44" s="157"/>
      <c r="R44" s="157"/>
      <c r="S44" s="157"/>
      <c r="T44" s="157"/>
      <c r="U44" s="157"/>
      <c r="V44" s="157"/>
      <c r="W44" s="157"/>
      <c r="X44" s="157"/>
      <c r="Y44" s="157"/>
    </row>
    <row r="45" ht="60.0" customHeight="1">
      <c r="A45" s="258">
        <v>8.500000151E9</v>
      </c>
      <c r="B45" s="191" t="s">
        <v>21</v>
      </c>
      <c r="C45" s="215" t="s">
        <v>3420</v>
      </c>
      <c r="D45" s="215" t="s">
        <v>6055</v>
      </c>
      <c r="E45" s="207" t="s">
        <v>5680</v>
      </c>
      <c r="F45" s="215" t="s">
        <v>5919</v>
      </c>
      <c r="G45" s="233">
        <v>44769.0</v>
      </c>
      <c r="H45" s="220">
        <v>44761.0</v>
      </c>
      <c r="I45" s="405">
        <v>44799.0</v>
      </c>
      <c r="J45" s="215"/>
      <c r="K45" s="417"/>
      <c r="L45" s="207" t="s">
        <v>6056</v>
      </c>
      <c r="M45" s="157"/>
      <c r="N45" s="157"/>
      <c r="O45" s="157"/>
      <c r="P45" s="157"/>
      <c r="Q45" s="157"/>
      <c r="R45" s="157"/>
      <c r="S45" s="157"/>
      <c r="T45" s="157"/>
      <c r="U45" s="157"/>
      <c r="V45" s="157"/>
      <c r="W45" s="157"/>
      <c r="X45" s="157"/>
      <c r="Y45" s="157"/>
    </row>
    <row r="46" ht="66.75" customHeight="1">
      <c r="A46" s="258">
        <v>8.600001952E9</v>
      </c>
      <c r="B46" s="191" t="s">
        <v>21</v>
      </c>
      <c r="C46" s="215" t="s">
        <v>3390</v>
      </c>
      <c r="D46" s="215" t="s">
        <v>6057</v>
      </c>
      <c r="E46" s="207" t="s">
        <v>5612</v>
      </c>
      <c r="F46" s="215" t="s">
        <v>5919</v>
      </c>
      <c r="G46" s="233">
        <v>44766.0</v>
      </c>
      <c r="H46" s="220">
        <v>44748.0</v>
      </c>
      <c r="I46" s="405">
        <v>44792.0</v>
      </c>
      <c r="J46" s="215"/>
      <c r="K46" s="418"/>
      <c r="L46" s="207" t="s">
        <v>6058</v>
      </c>
      <c r="M46" s="157"/>
      <c r="N46" s="157"/>
      <c r="O46" s="157"/>
      <c r="P46" s="157"/>
      <c r="Q46" s="157"/>
      <c r="R46" s="157"/>
      <c r="S46" s="157"/>
      <c r="T46" s="157"/>
      <c r="U46" s="157"/>
      <c r="V46" s="157"/>
      <c r="W46" s="157"/>
      <c r="X46" s="157"/>
      <c r="Y46" s="157"/>
    </row>
    <row r="47" ht="60.75" customHeight="1">
      <c r="A47" s="258">
        <v>8.600001934E9</v>
      </c>
      <c r="B47" s="215" t="s">
        <v>14</v>
      </c>
      <c r="C47" s="215" t="s">
        <v>3376</v>
      </c>
      <c r="D47" s="215" t="s">
        <v>6059</v>
      </c>
      <c r="E47" s="207" t="s">
        <v>6060</v>
      </c>
      <c r="F47" s="215" t="s">
        <v>5919</v>
      </c>
      <c r="G47" s="233">
        <v>44759.0</v>
      </c>
      <c r="H47" s="220">
        <v>44749.0</v>
      </c>
      <c r="I47" s="405">
        <v>44763.0</v>
      </c>
      <c r="J47" s="215"/>
      <c r="K47" s="236"/>
      <c r="L47" s="207" t="s">
        <v>6061</v>
      </c>
      <c r="M47" s="157"/>
      <c r="N47" s="157"/>
      <c r="O47" s="157"/>
      <c r="P47" s="157"/>
      <c r="Q47" s="157"/>
      <c r="R47" s="157"/>
      <c r="S47" s="157"/>
      <c r="T47" s="157"/>
      <c r="U47" s="157"/>
      <c r="V47" s="157"/>
      <c r="W47" s="157"/>
      <c r="X47" s="157"/>
      <c r="Y47" s="157"/>
    </row>
    <row r="48" ht="72.75" customHeight="1">
      <c r="A48" s="258">
        <v>8.600001917E9</v>
      </c>
      <c r="B48" s="191" t="s">
        <v>25</v>
      </c>
      <c r="C48" s="215" t="s">
        <v>6062</v>
      </c>
      <c r="D48" s="264" t="s">
        <v>6063</v>
      </c>
      <c r="E48" s="207" t="s">
        <v>6064</v>
      </c>
      <c r="F48" s="215" t="s">
        <v>5919</v>
      </c>
      <c r="G48" s="233">
        <v>44756.0</v>
      </c>
      <c r="H48" s="220">
        <v>44757.0</v>
      </c>
      <c r="I48" s="405" t="s">
        <v>6065</v>
      </c>
      <c r="J48" s="220"/>
      <c r="K48" s="260"/>
      <c r="L48" s="207" t="s">
        <v>6066</v>
      </c>
      <c r="M48" s="157"/>
      <c r="N48" s="157"/>
      <c r="O48" s="157"/>
      <c r="P48" s="157"/>
      <c r="Q48" s="157"/>
      <c r="R48" s="157"/>
      <c r="S48" s="157"/>
      <c r="T48" s="157"/>
      <c r="U48" s="157"/>
      <c r="V48" s="157"/>
      <c r="W48" s="157"/>
      <c r="X48" s="157"/>
      <c r="Y48" s="157"/>
    </row>
    <row r="49" ht="75.0" customHeight="1">
      <c r="A49" s="258">
        <v>8.600001954E9</v>
      </c>
      <c r="B49" s="191" t="s">
        <v>25</v>
      </c>
      <c r="C49" s="215" t="s">
        <v>3471</v>
      </c>
      <c r="D49" s="264" t="s">
        <v>6067</v>
      </c>
      <c r="E49" s="207" t="s">
        <v>5918</v>
      </c>
      <c r="F49" s="215" t="s">
        <v>5919</v>
      </c>
      <c r="G49" s="233">
        <v>44755.0</v>
      </c>
      <c r="H49" s="220">
        <v>44757.0</v>
      </c>
      <c r="I49" s="405">
        <v>44764.0</v>
      </c>
      <c r="J49" s="220"/>
      <c r="K49" s="260"/>
      <c r="L49" s="207" t="s">
        <v>6068</v>
      </c>
      <c r="M49" s="157"/>
      <c r="N49" s="157"/>
      <c r="O49" s="157"/>
      <c r="P49" s="157"/>
      <c r="Q49" s="157"/>
      <c r="R49" s="157"/>
      <c r="S49" s="157"/>
      <c r="T49" s="157"/>
      <c r="U49" s="157"/>
      <c r="V49" s="157"/>
      <c r="W49" s="157"/>
      <c r="X49" s="157"/>
      <c r="Y49" s="157"/>
    </row>
    <row r="50" ht="66.75" customHeight="1">
      <c r="A50" s="258">
        <v>8.600001935E9</v>
      </c>
      <c r="B50" s="215" t="s">
        <v>25</v>
      </c>
      <c r="C50" s="215" t="s">
        <v>3404</v>
      </c>
      <c r="D50" s="215" t="s">
        <v>6069</v>
      </c>
      <c r="E50" s="207" t="s">
        <v>6070</v>
      </c>
      <c r="F50" s="215" t="s">
        <v>5919</v>
      </c>
      <c r="G50" s="233">
        <v>44751.0</v>
      </c>
      <c r="H50" s="220">
        <v>44748.0</v>
      </c>
      <c r="I50" s="405">
        <v>44755.0</v>
      </c>
      <c r="J50" s="220"/>
      <c r="K50" s="260"/>
      <c r="L50" s="207" t="s">
        <v>6071</v>
      </c>
      <c r="M50" s="157"/>
      <c r="N50" s="157"/>
      <c r="O50" s="157"/>
      <c r="P50" s="157"/>
      <c r="Q50" s="157"/>
      <c r="R50" s="157"/>
      <c r="S50" s="157"/>
      <c r="T50" s="157"/>
      <c r="U50" s="157"/>
      <c r="V50" s="157"/>
      <c r="W50" s="157"/>
      <c r="X50" s="157"/>
      <c r="Y50" s="157"/>
    </row>
    <row r="51" ht="105.0" customHeight="1">
      <c r="A51" s="258">
        <v>8.600001924E9</v>
      </c>
      <c r="B51" s="215" t="s">
        <v>14</v>
      </c>
      <c r="C51" s="215" t="s">
        <v>6072</v>
      </c>
      <c r="D51" s="215" t="s">
        <v>6073</v>
      </c>
      <c r="E51" s="207" t="s">
        <v>6074</v>
      </c>
      <c r="F51" s="215" t="s">
        <v>5919</v>
      </c>
      <c r="G51" s="233">
        <v>44747.0</v>
      </c>
      <c r="H51" s="233">
        <v>44743.0</v>
      </c>
      <c r="I51" s="215" t="s">
        <v>6075</v>
      </c>
      <c r="J51" s="220"/>
      <c r="K51" s="260"/>
      <c r="L51" s="207" t="s">
        <v>6076</v>
      </c>
      <c r="M51" s="157"/>
      <c r="N51" s="157"/>
      <c r="O51" s="157"/>
      <c r="P51" s="157"/>
      <c r="Q51" s="157"/>
      <c r="R51" s="157"/>
      <c r="S51" s="157"/>
      <c r="T51" s="157"/>
      <c r="U51" s="157"/>
      <c r="V51" s="157"/>
      <c r="W51" s="157"/>
      <c r="X51" s="157"/>
      <c r="Y51" s="157"/>
    </row>
    <row r="52" ht="66.75" customHeight="1">
      <c r="A52" s="243">
        <v>8.600001897E9</v>
      </c>
      <c r="B52" s="191" t="s">
        <v>25</v>
      </c>
      <c r="C52" s="215" t="s">
        <v>5577</v>
      </c>
      <c r="D52" s="264" t="s">
        <v>6077</v>
      </c>
      <c r="E52" s="207" t="s">
        <v>5962</v>
      </c>
      <c r="F52" s="215" t="s">
        <v>5919</v>
      </c>
      <c r="G52" s="233">
        <v>44744.0</v>
      </c>
      <c r="H52" s="220">
        <v>44740.0</v>
      </c>
      <c r="I52" s="405">
        <v>44756.0</v>
      </c>
      <c r="J52" s="220"/>
      <c r="K52" s="260"/>
      <c r="L52" s="207" t="s">
        <v>6078</v>
      </c>
      <c r="M52" s="157"/>
      <c r="N52" s="157"/>
      <c r="O52" s="157"/>
      <c r="P52" s="157"/>
      <c r="Q52" s="157"/>
      <c r="R52" s="157"/>
      <c r="S52" s="157"/>
      <c r="T52" s="157"/>
      <c r="U52" s="157"/>
      <c r="V52" s="157"/>
      <c r="W52" s="157"/>
      <c r="X52" s="157"/>
      <c r="Y52" s="157"/>
    </row>
    <row r="53" ht="57.0" customHeight="1">
      <c r="A53" s="258">
        <v>8.600001836E9</v>
      </c>
      <c r="B53" s="215" t="s">
        <v>14</v>
      </c>
      <c r="C53" s="215" t="s">
        <v>3376</v>
      </c>
      <c r="D53" s="215" t="s">
        <v>6079</v>
      </c>
      <c r="E53" s="207" t="s">
        <v>6080</v>
      </c>
      <c r="F53" s="215" t="s">
        <v>5919</v>
      </c>
      <c r="G53" s="233">
        <v>44743.0</v>
      </c>
      <c r="H53" s="220">
        <v>44725.0</v>
      </c>
      <c r="I53" s="405">
        <v>44750.0</v>
      </c>
      <c r="J53" s="220"/>
      <c r="K53" s="260"/>
      <c r="L53" s="207" t="s">
        <v>6081</v>
      </c>
      <c r="M53" s="157"/>
      <c r="N53" s="157"/>
      <c r="O53" s="157"/>
      <c r="P53" s="157"/>
      <c r="Q53" s="157"/>
      <c r="R53" s="157"/>
      <c r="S53" s="157"/>
      <c r="T53" s="157"/>
      <c r="U53" s="157"/>
      <c r="V53" s="157"/>
      <c r="W53" s="157"/>
      <c r="X53" s="157"/>
      <c r="Y53" s="157"/>
    </row>
    <row r="54" ht="57.0" customHeight="1">
      <c r="A54" s="258">
        <v>8.60000184E9</v>
      </c>
      <c r="B54" s="191" t="s">
        <v>14</v>
      </c>
      <c r="C54" s="215" t="s">
        <v>3454</v>
      </c>
      <c r="D54" s="215" t="s">
        <v>6082</v>
      </c>
      <c r="E54" s="207" t="s">
        <v>6083</v>
      </c>
      <c r="F54" s="215" t="s">
        <v>5919</v>
      </c>
      <c r="G54" s="233">
        <v>44743.0</v>
      </c>
      <c r="H54" s="220">
        <v>44725.0</v>
      </c>
      <c r="I54" s="405">
        <v>44749.0</v>
      </c>
      <c r="J54" s="220"/>
      <c r="K54" s="260"/>
      <c r="L54" s="207" t="s">
        <v>6084</v>
      </c>
      <c r="M54" s="157"/>
      <c r="N54" s="157"/>
      <c r="O54" s="157"/>
      <c r="P54" s="157"/>
      <c r="Q54" s="157"/>
      <c r="R54" s="157"/>
      <c r="S54" s="157"/>
      <c r="T54" s="157"/>
      <c r="U54" s="157"/>
      <c r="V54" s="157"/>
      <c r="W54" s="157"/>
      <c r="X54" s="157"/>
      <c r="Y54" s="157"/>
    </row>
    <row r="55" ht="57.0" customHeight="1">
      <c r="A55" s="258">
        <v>8.600001909E9</v>
      </c>
      <c r="B55" s="191" t="s">
        <v>21</v>
      </c>
      <c r="C55" s="215" t="s">
        <v>5535</v>
      </c>
      <c r="D55" s="215" t="s">
        <v>6085</v>
      </c>
      <c r="E55" s="207" t="s">
        <v>5922</v>
      </c>
      <c r="F55" s="215" t="s">
        <v>5919</v>
      </c>
      <c r="G55" s="233">
        <v>44742.0</v>
      </c>
      <c r="H55" s="220">
        <v>44739.0</v>
      </c>
      <c r="I55" s="405">
        <v>44753.0</v>
      </c>
      <c r="J55" s="191"/>
      <c r="K55" s="260"/>
      <c r="L55" s="207" t="s">
        <v>6086</v>
      </c>
      <c r="M55" s="157"/>
      <c r="N55" s="157"/>
      <c r="O55" s="157"/>
      <c r="P55" s="157"/>
      <c r="Q55" s="157"/>
      <c r="R55" s="157"/>
      <c r="S55" s="157"/>
      <c r="T55" s="157"/>
      <c r="U55" s="157"/>
      <c r="V55" s="157"/>
      <c r="W55" s="157"/>
      <c r="X55" s="157"/>
      <c r="Y55" s="157"/>
    </row>
    <row r="56" ht="59.25" customHeight="1">
      <c r="A56" s="258">
        <v>8.600001908E9</v>
      </c>
      <c r="B56" s="191" t="s">
        <v>25</v>
      </c>
      <c r="C56" s="215" t="s">
        <v>3412</v>
      </c>
      <c r="D56" s="264" t="s">
        <v>6087</v>
      </c>
      <c r="E56" s="207" t="s">
        <v>5552</v>
      </c>
      <c r="F56" s="215" t="s">
        <v>5919</v>
      </c>
      <c r="G56" s="233">
        <v>44736.0</v>
      </c>
      <c r="H56" s="220">
        <v>44740.0</v>
      </c>
      <c r="I56" s="405">
        <v>44741.0</v>
      </c>
      <c r="J56" s="220"/>
      <c r="K56" s="260"/>
      <c r="L56" s="207" t="s">
        <v>6088</v>
      </c>
      <c r="M56" s="157"/>
      <c r="N56" s="157"/>
      <c r="O56" s="157"/>
      <c r="P56" s="157"/>
      <c r="Q56" s="157"/>
      <c r="R56" s="157"/>
      <c r="S56" s="157"/>
      <c r="T56" s="157"/>
      <c r="U56" s="157"/>
      <c r="V56" s="157"/>
      <c r="W56" s="157"/>
      <c r="X56" s="157"/>
      <c r="Y56" s="157"/>
    </row>
    <row r="57" ht="63.0" customHeight="1">
      <c r="A57" s="258">
        <v>8.600001907E9</v>
      </c>
      <c r="B57" s="191" t="s">
        <v>25</v>
      </c>
      <c r="C57" s="215" t="s">
        <v>5826</v>
      </c>
      <c r="D57" s="264" t="s">
        <v>6089</v>
      </c>
      <c r="E57" s="207" t="s">
        <v>6090</v>
      </c>
      <c r="F57" s="215" t="s">
        <v>5919</v>
      </c>
      <c r="G57" s="233">
        <v>44736.0</v>
      </c>
      <c r="H57" s="220">
        <v>44740.0</v>
      </c>
      <c r="I57" s="405">
        <v>44747.0</v>
      </c>
      <c r="J57" s="220"/>
      <c r="K57" s="260"/>
      <c r="L57" s="207" t="s">
        <v>6091</v>
      </c>
      <c r="M57" s="157"/>
      <c r="N57" s="157"/>
      <c r="O57" s="157"/>
      <c r="P57" s="157"/>
      <c r="Q57" s="157"/>
      <c r="R57" s="157"/>
      <c r="S57" s="157"/>
      <c r="T57" s="157"/>
      <c r="U57" s="157"/>
      <c r="V57" s="157"/>
      <c r="W57" s="157"/>
      <c r="X57" s="157"/>
      <c r="Y57" s="157"/>
    </row>
    <row r="58" ht="84.75" customHeight="1">
      <c r="A58" s="258">
        <v>8.60000183E9</v>
      </c>
      <c r="B58" s="191" t="s">
        <v>21</v>
      </c>
      <c r="C58" s="215" t="s">
        <v>5744</v>
      </c>
      <c r="D58" s="215" t="s">
        <v>6092</v>
      </c>
      <c r="E58" s="207" t="s">
        <v>5680</v>
      </c>
      <c r="F58" s="215" t="s">
        <v>5919</v>
      </c>
      <c r="G58" s="233">
        <v>44736.0</v>
      </c>
      <c r="H58" s="220">
        <v>44735.0</v>
      </c>
      <c r="I58" s="215" t="s">
        <v>6093</v>
      </c>
      <c r="J58" s="191"/>
      <c r="K58" s="260"/>
      <c r="L58" s="207" t="s">
        <v>6094</v>
      </c>
      <c r="M58" s="157"/>
      <c r="N58" s="157"/>
      <c r="O58" s="157"/>
      <c r="P58" s="157"/>
      <c r="Q58" s="157"/>
      <c r="R58" s="157"/>
      <c r="S58" s="157"/>
      <c r="T58" s="157"/>
      <c r="U58" s="157"/>
      <c r="V58" s="157"/>
      <c r="W58" s="157"/>
      <c r="X58" s="157"/>
      <c r="Y58" s="157"/>
    </row>
    <row r="59" ht="59.25" customHeight="1">
      <c r="A59" s="258">
        <v>8.60000189E9</v>
      </c>
      <c r="B59" s="215" t="s">
        <v>14</v>
      </c>
      <c r="C59" s="215" t="s">
        <v>6095</v>
      </c>
      <c r="D59" s="215" t="s">
        <v>6096</v>
      </c>
      <c r="E59" s="207" t="s">
        <v>5955</v>
      </c>
      <c r="F59" s="215" t="s">
        <v>5919</v>
      </c>
      <c r="G59" s="233">
        <v>44735.0</v>
      </c>
      <c r="H59" s="220">
        <v>44728.0</v>
      </c>
      <c r="I59" s="215" t="s">
        <v>6097</v>
      </c>
      <c r="J59" s="220"/>
      <c r="K59" s="260"/>
      <c r="L59" s="213" t="s">
        <v>6098</v>
      </c>
      <c r="M59" s="157"/>
      <c r="N59" s="157"/>
      <c r="O59" s="157"/>
      <c r="P59" s="157"/>
      <c r="Q59" s="157"/>
      <c r="R59" s="157"/>
      <c r="S59" s="157"/>
      <c r="T59" s="157"/>
      <c r="U59" s="157"/>
      <c r="V59" s="157"/>
      <c r="W59" s="157"/>
      <c r="X59" s="157"/>
      <c r="Y59" s="157"/>
    </row>
    <row r="60" ht="57.0" customHeight="1">
      <c r="A60" s="258">
        <v>8.600001811E9</v>
      </c>
      <c r="B60" s="191" t="s">
        <v>14</v>
      </c>
      <c r="C60" s="215" t="s">
        <v>5590</v>
      </c>
      <c r="D60" s="215" t="s">
        <v>6099</v>
      </c>
      <c r="E60" s="207" t="s">
        <v>6100</v>
      </c>
      <c r="F60" s="215" t="s">
        <v>5919</v>
      </c>
      <c r="G60" s="233">
        <v>44733.0</v>
      </c>
      <c r="H60" s="220">
        <v>44725.0</v>
      </c>
      <c r="I60" s="405">
        <v>44740.0</v>
      </c>
      <c r="J60" s="220"/>
      <c r="K60" s="260"/>
      <c r="L60" s="207" t="s">
        <v>6101</v>
      </c>
      <c r="M60" s="157"/>
      <c r="N60" s="157"/>
      <c r="O60" s="157"/>
      <c r="P60" s="157"/>
      <c r="Q60" s="157"/>
      <c r="R60" s="157"/>
      <c r="S60" s="157"/>
      <c r="T60" s="157"/>
      <c r="U60" s="157"/>
      <c r="V60" s="157"/>
      <c r="W60" s="157"/>
      <c r="X60" s="157"/>
      <c r="Y60" s="157"/>
    </row>
    <row r="61" ht="57.0" customHeight="1">
      <c r="A61" s="258">
        <v>8.600001812E9</v>
      </c>
      <c r="B61" s="191" t="s">
        <v>14</v>
      </c>
      <c r="C61" s="215" t="s">
        <v>3471</v>
      </c>
      <c r="D61" s="215" t="s">
        <v>6102</v>
      </c>
      <c r="E61" s="395" t="s">
        <v>6004</v>
      </c>
      <c r="F61" s="215" t="s">
        <v>5919</v>
      </c>
      <c r="G61" s="233">
        <v>44733.0</v>
      </c>
      <c r="H61" s="220">
        <v>44725.0</v>
      </c>
      <c r="I61" s="405">
        <v>44740.0</v>
      </c>
      <c r="J61" s="220"/>
      <c r="K61" s="260"/>
      <c r="L61" s="207" t="s">
        <v>6103</v>
      </c>
      <c r="M61" s="157"/>
      <c r="N61" s="157"/>
      <c r="O61" s="157"/>
      <c r="P61" s="157"/>
      <c r="Q61" s="157"/>
      <c r="R61" s="157"/>
      <c r="S61" s="157"/>
      <c r="T61" s="157"/>
      <c r="U61" s="157"/>
      <c r="V61" s="157"/>
      <c r="W61" s="157"/>
      <c r="X61" s="157"/>
      <c r="Y61" s="157"/>
    </row>
    <row r="62" ht="57.0" customHeight="1">
      <c r="A62" s="258">
        <v>8.600001888E9</v>
      </c>
      <c r="B62" s="191" t="s">
        <v>25</v>
      </c>
      <c r="C62" s="215" t="s">
        <v>5678</v>
      </c>
      <c r="D62" s="264" t="s">
        <v>6104</v>
      </c>
      <c r="E62" s="207" t="s">
        <v>6105</v>
      </c>
      <c r="F62" s="215" t="s">
        <v>5919</v>
      </c>
      <c r="G62" s="233">
        <v>44728.0</v>
      </c>
      <c r="H62" s="220">
        <v>44726.0</v>
      </c>
      <c r="I62" s="405">
        <v>44740.0</v>
      </c>
      <c r="J62" s="220"/>
      <c r="K62" s="260"/>
      <c r="L62" s="213" t="s">
        <v>6106</v>
      </c>
      <c r="M62" s="157"/>
      <c r="N62" s="157"/>
      <c r="O62" s="157"/>
      <c r="P62" s="157"/>
      <c r="Q62" s="157"/>
      <c r="R62" s="157"/>
      <c r="S62" s="157"/>
      <c r="T62" s="157"/>
      <c r="U62" s="157"/>
      <c r="V62" s="157"/>
      <c r="W62" s="157"/>
      <c r="X62" s="157"/>
      <c r="Y62" s="157"/>
    </row>
    <row r="63" ht="70.5" customHeight="1">
      <c r="A63" s="258">
        <v>8.600001863E9</v>
      </c>
      <c r="B63" s="191" t="s">
        <v>21</v>
      </c>
      <c r="C63" s="215" t="s">
        <v>6107</v>
      </c>
      <c r="D63" s="215" t="s">
        <v>6108</v>
      </c>
      <c r="E63" s="207" t="s">
        <v>6109</v>
      </c>
      <c r="F63" s="215" t="s">
        <v>5919</v>
      </c>
      <c r="G63" s="233">
        <v>44723.0</v>
      </c>
      <c r="H63" s="220">
        <v>44720.0</v>
      </c>
      <c r="I63" s="215" t="s">
        <v>6110</v>
      </c>
      <c r="J63" s="191"/>
      <c r="K63" s="260"/>
      <c r="L63" s="207" t="s">
        <v>6111</v>
      </c>
      <c r="M63" s="157"/>
      <c r="N63" s="157"/>
      <c r="O63" s="157"/>
      <c r="P63" s="157"/>
      <c r="Q63" s="157"/>
      <c r="R63" s="157"/>
      <c r="S63" s="157"/>
      <c r="T63" s="157"/>
      <c r="U63" s="157"/>
      <c r="V63" s="157"/>
      <c r="W63" s="157"/>
      <c r="X63" s="157"/>
      <c r="Y63" s="157"/>
    </row>
    <row r="64" ht="76.5" customHeight="1">
      <c r="A64" s="258">
        <v>8.6000019E9</v>
      </c>
      <c r="B64" s="191" t="s">
        <v>21</v>
      </c>
      <c r="C64" s="215" t="s">
        <v>5604</v>
      </c>
      <c r="D64" s="215" t="s">
        <v>6112</v>
      </c>
      <c r="E64" s="207" t="s">
        <v>6113</v>
      </c>
      <c r="F64" s="215" t="s">
        <v>5919</v>
      </c>
      <c r="G64" s="233">
        <v>44723.0</v>
      </c>
      <c r="H64" s="220">
        <v>44718.0</v>
      </c>
      <c r="I64" s="215" t="s">
        <v>6114</v>
      </c>
      <c r="J64" s="191"/>
      <c r="K64" s="260"/>
      <c r="L64" s="207" t="s">
        <v>6115</v>
      </c>
      <c r="M64" s="157"/>
      <c r="N64" s="157"/>
      <c r="O64" s="157"/>
      <c r="P64" s="157"/>
      <c r="Q64" s="157"/>
      <c r="R64" s="157"/>
      <c r="S64" s="157"/>
      <c r="T64" s="157"/>
      <c r="U64" s="157"/>
      <c r="V64" s="157"/>
      <c r="W64" s="157"/>
      <c r="X64" s="157"/>
      <c r="Y64" s="157"/>
    </row>
    <row r="65" ht="66.0" customHeight="1">
      <c r="A65" s="258">
        <v>8.60000187E9</v>
      </c>
      <c r="B65" s="191" t="s">
        <v>25</v>
      </c>
      <c r="C65" s="215" t="s">
        <v>5546</v>
      </c>
      <c r="D65" s="264" t="s">
        <v>6116</v>
      </c>
      <c r="E65" s="207" t="s">
        <v>6117</v>
      </c>
      <c r="F65" s="215" t="s">
        <v>5919</v>
      </c>
      <c r="G65" s="233">
        <v>44712.0</v>
      </c>
      <c r="H65" s="220">
        <v>44708.0</v>
      </c>
      <c r="I65" s="215" t="s">
        <v>6118</v>
      </c>
      <c r="J65" s="220"/>
      <c r="K65" s="260"/>
      <c r="L65" s="207" t="s">
        <v>6119</v>
      </c>
      <c r="M65" s="157"/>
      <c r="N65" s="157"/>
      <c r="O65" s="157"/>
      <c r="P65" s="157"/>
      <c r="Q65" s="157"/>
      <c r="R65" s="157"/>
      <c r="S65" s="157"/>
      <c r="T65" s="157"/>
      <c r="U65" s="157"/>
      <c r="V65" s="157"/>
      <c r="W65" s="157"/>
      <c r="X65" s="157"/>
      <c r="Y65" s="157"/>
    </row>
    <row r="66" ht="100.5" customHeight="1">
      <c r="A66" s="258">
        <v>8.60000186E9</v>
      </c>
      <c r="B66" s="215" t="s">
        <v>14</v>
      </c>
      <c r="C66" s="215" t="s">
        <v>6120</v>
      </c>
      <c r="D66" s="215" t="s">
        <v>6121</v>
      </c>
      <c r="E66" s="207" t="s">
        <v>6122</v>
      </c>
      <c r="F66" s="215" t="s">
        <v>5919</v>
      </c>
      <c r="G66" s="233">
        <v>44712.0</v>
      </c>
      <c r="H66" s="194">
        <v>44706.0</v>
      </c>
      <c r="I66" s="215" t="s">
        <v>6123</v>
      </c>
      <c r="J66" s="220"/>
      <c r="K66" s="260"/>
      <c r="L66" s="207" t="s">
        <v>6124</v>
      </c>
      <c r="M66" s="157"/>
      <c r="N66" s="157"/>
      <c r="O66" s="157"/>
      <c r="P66" s="157"/>
      <c r="Q66" s="157"/>
      <c r="R66" s="157"/>
      <c r="S66" s="157"/>
      <c r="T66" s="157"/>
      <c r="U66" s="157"/>
      <c r="V66" s="157"/>
      <c r="W66" s="157"/>
      <c r="X66" s="157"/>
      <c r="Y66" s="157"/>
    </row>
    <row r="67" ht="59.25" customHeight="1">
      <c r="A67" s="258">
        <v>8.600001668E9</v>
      </c>
      <c r="B67" s="191" t="s">
        <v>21</v>
      </c>
      <c r="C67" s="215" t="s">
        <v>5674</v>
      </c>
      <c r="D67" s="215" t="s">
        <v>6125</v>
      </c>
      <c r="E67" s="207" t="s">
        <v>6126</v>
      </c>
      <c r="F67" s="215" t="s">
        <v>5919</v>
      </c>
      <c r="G67" s="233">
        <v>44709.0</v>
      </c>
      <c r="H67" s="220">
        <v>44708.0</v>
      </c>
      <c r="I67" s="405">
        <v>44728.0</v>
      </c>
      <c r="J67" s="191"/>
      <c r="K67" s="260"/>
      <c r="L67" s="210" t="s">
        <v>6127</v>
      </c>
      <c r="M67" s="157"/>
      <c r="N67" s="157"/>
      <c r="O67" s="157"/>
      <c r="P67" s="157"/>
      <c r="Q67" s="157"/>
      <c r="R67" s="157"/>
      <c r="S67" s="157"/>
      <c r="T67" s="157"/>
      <c r="U67" s="157"/>
      <c r="V67" s="157"/>
      <c r="W67" s="157"/>
      <c r="X67" s="157"/>
      <c r="Y67" s="157"/>
    </row>
    <row r="68" ht="57.0" customHeight="1">
      <c r="A68" s="258">
        <v>8.600001855E9</v>
      </c>
      <c r="B68" s="191" t="s">
        <v>25</v>
      </c>
      <c r="C68" s="215" t="s">
        <v>5726</v>
      </c>
      <c r="D68" s="264" t="s">
        <v>6128</v>
      </c>
      <c r="E68" s="419" t="s">
        <v>6129</v>
      </c>
      <c r="F68" s="215" t="s">
        <v>5919</v>
      </c>
      <c r="G68" s="233">
        <v>44707.0</v>
      </c>
      <c r="H68" s="220">
        <v>44701.0</v>
      </c>
      <c r="I68" s="405">
        <v>44718.0</v>
      </c>
      <c r="J68" s="220"/>
      <c r="K68" s="260"/>
      <c r="L68" s="207" t="s">
        <v>6130</v>
      </c>
      <c r="M68" s="157"/>
      <c r="N68" s="157"/>
      <c r="O68" s="157"/>
      <c r="P68" s="157"/>
      <c r="Q68" s="157"/>
      <c r="R68" s="157"/>
      <c r="S68" s="157"/>
      <c r="T68" s="157"/>
      <c r="U68" s="157"/>
      <c r="V68" s="157"/>
      <c r="W68" s="157"/>
      <c r="X68" s="157"/>
      <c r="Y68" s="157"/>
    </row>
    <row r="69" ht="84.75" customHeight="1">
      <c r="A69" s="258">
        <v>8.600001831E9</v>
      </c>
      <c r="B69" s="191" t="s">
        <v>14</v>
      </c>
      <c r="C69" s="215" t="s">
        <v>6131</v>
      </c>
      <c r="D69" s="215" t="s">
        <v>6132</v>
      </c>
      <c r="E69" s="207" t="s">
        <v>5680</v>
      </c>
      <c r="F69" s="215" t="s">
        <v>5919</v>
      </c>
      <c r="G69" s="233">
        <v>44705.0</v>
      </c>
      <c r="H69" s="233">
        <v>44691.0</v>
      </c>
      <c r="I69" s="215" t="s">
        <v>6133</v>
      </c>
      <c r="J69" s="220"/>
      <c r="K69" s="260"/>
      <c r="L69" s="207" t="s">
        <v>6134</v>
      </c>
      <c r="M69" s="157"/>
      <c r="N69" s="157"/>
      <c r="O69" s="157"/>
      <c r="P69" s="157"/>
      <c r="Q69" s="157"/>
      <c r="R69" s="157"/>
      <c r="S69" s="157"/>
      <c r="T69" s="157"/>
      <c r="U69" s="157"/>
      <c r="V69" s="157"/>
      <c r="W69" s="157"/>
      <c r="X69" s="157"/>
      <c r="Y69" s="157"/>
    </row>
    <row r="70" ht="57.0" customHeight="1">
      <c r="A70" s="258">
        <v>8.500000141E9</v>
      </c>
      <c r="B70" s="191" t="s">
        <v>21</v>
      </c>
      <c r="C70" s="215" t="s">
        <v>3620</v>
      </c>
      <c r="D70" s="215" t="s">
        <v>6135</v>
      </c>
      <c r="E70" s="207" t="s">
        <v>5528</v>
      </c>
      <c r="F70" s="215" t="s">
        <v>5919</v>
      </c>
      <c r="G70" s="233">
        <v>44702.0</v>
      </c>
      <c r="H70" s="233">
        <v>44697.0</v>
      </c>
      <c r="I70" s="405">
        <v>44725.0</v>
      </c>
      <c r="J70" s="191"/>
      <c r="K70" s="260"/>
      <c r="L70" s="207" t="s">
        <v>6136</v>
      </c>
      <c r="M70" s="157"/>
      <c r="N70" s="157"/>
      <c r="O70" s="157"/>
      <c r="P70" s="157"/>
      <c r="Q70" s="157"/>
      <c r="R70" s="157"/>
      <c r="S70" s="157"/>
      <c r="T70" s="157"/>
      <c r="U70" s="157"/>
      <c r="V70" s="157"/>
      <c r="W70" s="157"/>
      <c r="X70" s="157"/>
      <c r="Y70" s="157"/>
    </row>
    <row r="71" ht="61.5" customHeight="1">
      <c r="A71" s="258">
        <v>8.600001837E9</v>
      </c>
      <c r="B71" s="191" t="s">
        <v>25</v>
      </c>
      <c r="C71" s="215" t="s">
        <v>3436</v>
      </c>
      <c r="D71" s="264" t="s">
        <v>6137</v>
      </c>
      <c r="E71" s="207" t="s">
        <v>5552</v>
      </c>
      <c r="F71" s="215" t="s">
        <v>5919</v>
      </c>
      <c r="G71" s="233">
        <v>44702.0</v>
      </c>
      <c r="H71" s="220">
        <v>44691.0</v>
      </c>
      <c r="I71" s="405">
        <v>44708.0</v>
      </c>
      <c r="J71" s="220"/>
      <c r="K71" s="260"/>
      <c r="L71" s="207" t="s">
        <v>6138</v>
      </c>
      <c r="M71" s="157"/>
      <c r="N71" s="157"/>
      <c r="O71" s="157"/>
      <c r="P71" s="157"/>
      <c r="Q71" s="157"/>
      <c r="R71" s="157"/>
      <c r="S71" s="157"/>
      <c r="T71" s="157"/>
      <c r="U71" s="157"/>
      <c r="V71" s="157"/>
      <c r="W71" s="157"/>
      <c r="X71" s="157"/>
      <c r="Y71" s="157"/>
    </row>
    <row r="72" ht="57.75" customHeight="1">
      <c r="A72" s="258">
        <v>8.600001842E9</v>
      </c>
      <c r="B72" s="191" t="s">
        <v>25</v>
      </c>
      <c r="C72" s="215" t="s">
        <v>3372</v>
      </c>
      <c r="D72" s="264" t="s">
        <v>6139</v>
      </c>
      <c r="E72" s="207" t="s">
        <v>6140</v>
      </c>
      <c r="F72" s="215" t="s">
        <v>5919</v>
      </c>
      <c r="G72" s="233">
        <v>44700.0</v>
      </c>
      <c r="H72" s="233">
        <v>44697.0</v>
      </c>
      <c r="I72" s="405">
        <v>44718.0</v>
      </c>
      <c r="J72" s="220"/>
      <c r="K72" s="260"/>
      <c r="L72" s="207" t="s">
        <v>6141</v>
      </c>
      <c r="M72" s="157"/>
      <c r="N72" s="157"/>
      <c r="O72" s="157"/>
      <c r="P72" s="157"/>
      <c r="Q72" s="157"/>
      <c r="R72" s="157"/>
      <c r="S72" s="157"/>
      <c r="T72" s="157"/>
      <c r="U72" s="157"/>
      <c r="V72" s="157"/>
      <c r="W72" s="157"/>
      <c r="X72" s="157"/>
      <c r="Y72" s="157"/>
    </row>
    <row r="73" ht="57.0" customHeight="1">
      <c r="A73" s="258">
        <v>8.600001833E9</v>
      </c>
      <c r="B73" s="215" t="s">
        <v>14</v>
      </c>
      <c r="C73" s="215" t="s">
        <v>5928</v>
      </c>
      <c r="D73" s="215" t="s">
        <v>6142</v>
      </c>
      <c r="E73" s="207" t="s">
        <v>5680</v>
      </c>
      <c r="F73" s="215" t="s">
        <v>5919</v>
      </c>
      <c r="G73" s="233">
        <v>44696.0</v>
      </c>
      <c r="H73" s="220">
        <v>44686.0</v>
      </c>
      <c r="I73" s="405">
        <v>44698.0</v>
      </c>
      <c r="J73" s="220"/>
      <c r="K73" s="260"/>
      <c r="L73" s="207" t="s">
        <v>6143</v>
      </c>
      <c r="M73" s="157"/>
      <c r="N73" s="157"/>
      <c r="O73" s="157"/>
      <c r="P73" s="157"/>
      <c r="Q73" s="157"/>
      <c r="R73" s="157"/>
      <c r="S73" s="157"/>
      <c r="T73" s="157"/>
      <c r="U73" s="157"/>
      <c r="V73" s="157"/>
      <c r="W73" s="157"/>
      <c r="X73" s="157"/>
      <c r="Y73" s="157"/>
    </row>
    <row r="74" ht="81.0" customHeight="1">
      <c r="A74" s="258">
        <v>8.600001832E9</v>
      </c>
      <c r="B74" s="191" t="s">
        <v>14</v>
      </c>
      <c r="C74" s="215" t="s">
        <v>6144</v>
      </c>
      <c r="D74" s="215" t="s">
        <v>6145</v>
      </c>
      <c r="E74" s="207" t="s">
        <v>5663</v>
      </c>
      <c r="F74" s="215" t="s">
        <v>5919</v>
      </c>
      <c r="G74" s="233">
        <v>44696.0</v>
      </c>
      <c r="H74" s="220">
        <v>44690.0</v>
      </c>
      <c r="I74" s="215" t="s">
        <v>6146</v>
      </c>
      <c r="J74" s="220"/>
      <c r="K74" s="260"/>
      <c r="L74" s="207" t="s">
        <v>6147</v>
      </c>
      <c r="M74" s="157"/>
      <c r="N74" s="157"/>
      <c r="O74" s="157"/>
      <c r="P74" s="157"/>
      <c r="Q74" s="157"/>
      <c r="R74" s="157"/>
      <c r="S74" s="157"/>
      <c r="T74" s="157"/>
      <c r="U74" s="157"/>
      <c r="V74" s="157"/>
      <c r="W74" s="157"/>
      <c r="X74" s="157"/>
      <c r="Y74" s="157"/>
    </row>
    <row r="75" ht="57.75" customHeight="1">
      <c r="A75" s="258">
        <v>8.600001825E9</v>
      </c>
      <c r="B75" s="191" t="s">
        <v>21</v>
      </c>
      <c r="C75" s="215" t="s">
        <v>2311</v>
      </c>
      <c r="D75" s="215" t="s">
        <v>6148</v>
      </c>
      <c r="E75" s="207" t="s">
        <v>6149</v>
      </c>
      <c r="F75" s="215" t="s">
        <v>5919</v>
      </c>
      <c r="G75" s="233">
        <v>44694.0</v>
      </c>
      <c r="H75" s="220">
        <v>44690.0</v>
      </c>
      <c r="I75" s="405">
        <v>44699.0</v>
      </c>
      <c r="J75" s="191"/>
      <c r="K75" s="260"/>
      <c r="L75" s="207" t="s">
        <v>6150</v>
      </c>
      <c r="M75" s="157"/>
      <c r="N75" s="157"/>
      <c r="O75" s="157"/>
      <c r="P75" s="157"/>
      <c r="Q75" s="157"/>
      <c r="R75" s="157"/>
      <c r="S75" s="157"/>
      <c r="T75" s="157"/>
      <c r="U75" s="157"/>
      <c r="V75" s="157"/>
      <c r="W75" s="157"/>
      <c r="X75" s="157"/>
      <c r="Y75" s="157"/>
    </row>
    <row r="76" ht="57.0" customHeight="1">
      <c r="A76" s="243">
        <v>8.600001745E9</v>
      </c>
      <c r="B76" s="191" t="s">
        <v>4356</v>
      </c>
      <c r="C76" s="215" t="s">
        <v>6151</v>
      </c>
      <c r="D76" s="215" t="s">
        <v>6152</v>
      </c>
      <c r="E76" s="207" t="s">
        <v>6153</v>
      </c>
      <c r="F76" s="215" t="s">
        <v>5919</v>
      </c>
      <c r="G76" s="233">
        <v>44693.0</v>
      </c>
      <c r="H76" s="220">
        <v>44705.0</v>
      </c>
      <c r="I76" s="405">
        <v>44705.0</v>
      </c>
      <c r="J76" s="191"/>
      <c r="K76" s="260"/>
      <c r="L76" s="210" t="s">
        <v>6154</v>
      </c>
      <c r="M76" s="157"/>
      <c r="N76" s="157"/>
      <c r="O76" s="157"/>
      <c r="P76" s="157"/>
      <c r="Q76" s="157"/>
      <c r="R76" s="157"/>
      <c r="S76" s="157"/>
      <c r="T76" s="157"/>
      <c r="U76" s="157"/>
      <c r="V76" s="157"/>
      <c r="W76" s="157"/>
      <c r="X76" s="157"/>
      <c r="Y76" s="157"/>
    </row>
    <row r="77" ht="57.0" customHeight="1">
      <c r="A77" s="258">
        <v>8.600001835E9</v>
      </c>
      <c r="B77" s="191" t="s">
        <v>21</v>
      </c>
      <c r="C77" s="215" t="s">
        <v>3401</v>
      </c>
      <c r="D77" s="215" t="s">
        <v>6155</v>
      </c>
      <c r="E77" s="207" t="s">
        <v>6156</v>
      </c>
      <c r="F77" s="215" t="s">
        <v>5919</v>
      </c>
      <c r="G77" s="233">
        <v>44693.0</v>
      </c>
      <c r="H77" s="220">
        <v>44685.0</v>
      </c>
      <c r="I77" s="405">
        <v>44698.0</v>
      </c>
      <c r="J77" s="191"/>
      <c r="K77" s="260"/>
      <c r="L77" s="207" t="s">
        <v>6157</v>
      </c>
      <c r="M77" s="157"/>
      <c r="N77" s="157"/>
      <c r="O77" s="157"/>
      <c r="P77" s="157"/>
      <c r="Q77" s="157"/>
      <c r="R77" s="157"/>
      <c r="S77" s="157"/>
      <c r="T77" s="157"/>
      <c r="U77" s="157"/>
      <c r="V77" s="157"/>
      <c r="W77" s="157"/>
      <c r="X77" s="157"/>
      <c r="Y77" s="157"/>
    </row>
    <row r="78" ht="57.0" customHeight="1">
      <c r="A78" s="258">
        <v>8.600001774E9</v>
      </c>
      <c r="B78" s="191" t="s">
        <v>14</v>
      </c>
      <c r="C78" s="215" t="s">
        <v>3436</v>
      </c>
      <c r="D78" s="215" t="s">
        <v>6158</v>
      </c>
      <c r="E78" s="207" t="s">
        <v>5552</v>
      </c>
      <c r="F78" s="215" t="s">
        <v>5919</v>
      </c>
      <c r="G78" s="233">
        <v>44692.0</v>
      </c>
      <c r="H78" s="220">
        <v>44676.0</v>
      </c>
      <c r="I78" s="405">
        <v>44697.0</v>
      </c>
      <c r="J78" s="220"/>
      <c r="K78" s="260"/>
      <c r="L78" s="207" t="s">
        <v>6159</v>
      </c>
      <c r="M78" s="157"/>
      <c r="N78" s="157"/>
      <c r="O78" s="157"/>
      <c r="P78" s="157"/>
      <c r="Q78" s="157"/>
      <c r="R78" s="157"/>
      <c r="S78" s="157"/>
      <c r="T78" s="157"/>
      <c r="U78" s="157"/>
      <c r="V78" s="157"/>
      <c r="W78" s="157"/>
      <c r="X78" s="157"/>
      <c r="Y78" s="157"/>
    </row>
    <row r="79" ht="57.0" customHeight="1">
      <c r="A79" s="258">
        <v>8.600001829E9</v>
      </c>
      <c r="B79" s="191" t="s">
        <v>25</v>
      </c>
      <c r="C79" s="215" t="s">
        <v>5665</v>
      </c>
      <c r="D79" s="264" t="s">
        <v>6160</v>
      </c>
      <c r="E79" s="207" t="s">
        <v>6161</v>
      </c>
      <c r="F79" s="215" t="s">
        <v>5919</v>
      </c>
      <c r="G79" s="233">
        <v>44691.0</v>
      </c>
      <c r="H79" s="220">
        <v>44686.0</v>
      </c>
      <c r="I79" s="405">
        <v>44694.0</v>
      </c>
      <c r="J79" s="220"/>
      <c r="K79" s="260"/>
      <c r="L79" s="207" t="s">
        <v>6162</v>
      </c>
      <c r="M79" s="157"/>
      <c r="N79" s="157"/>
      <c r="O79" s="157"/>
      <c r="P79" s="157"/>
      <c r="Q79" s="157"/>
      <c r="R79" s="157"/>
      <c r="S79" s="157"/>
      <c r="T79" s="157"/>
      <c r="U79" s="157"/>
      <c r="V79" s="157"/>
      <c r="W79" s="157"/>
      <c r="X79" s="157"/>
      <c r="Y79" s="157"/>
    </row>
    <row r="80" ht="57.0" customHeight="1">
      <c r="A80" s="258">
        <v>8.600001828E9</v>
      </c>
      <c r="B80" s="191" t="s">
        <v>25</v>
      </c>
      <c r="C80" s="215" t="s">
        <v>5934</v>
      </c>
      <c r="D80" s="215" t="s">
        <v>6163</v>
      </c>
      <c r="E80" s="207" t="s">
        <v>6164</v>
      </c>
      <c r="F80" s="215" t="s">
        <v>5919</v>
      </c>
      <c r="G80" s="233">
        <v>44687.0</v>
      </c>
      <c r="H80" s="220">
        <v>44682.0</v>
      </c>
      <c r="I80" s="215" t="s">
        <v>6165</v>
      </c>
      <c r="J80" s="220"/>
      <c r="K80" s="260"/>
      <c r="L80" s="207" t="s">
        <v>6166</v>
      </c>
      <c r="M80" s="157"/>
      <c r="N80" s="157"/>
      <c r="O80" s="157"/>
      <c r="P80" s="157"/>
      <c r="Q80" s="157"/>
      <c r="R80" s="157"/>
      <c r="S80" s="157"/>
      <c r="T80" s="157"/>
      <c r="U80" s="157"/>
      <c r="V80" s="157"/>
      <c r="W80" s="157"/>
      <c r="X80" s="157"/>
      <c r="Y80" s="157"/>
    </row>
    <row r="81" ht="57.0" customHeight="1">
      <c r="A81" s="258">
        <v>8.600001824E9</v>
      </c>
      <c r="B81" s="191" t="s">
        <v>25</v>
      </c>
      <c r="C81" s="215" t="s">
        <v>5577</v>
      </c>
      <c r="D81" s="215" t="s">
        <v>6167</v>
      </c>
      <c r="E81" s="207" t="s">
        <v>5962</v>
      </c>
      <c r="F81" s="215" t="s">
        <v>5919</v>
      </c>
      <c r="G81" s="233">
        <v>44687.0</v>
      </c>
      <c r="H81" s="220">
        <v>44682.0</v>
      </c>
      <c r="I81" s="405">
        <v>44694.0</v>
      </c>
      <c r="J81" s="220"/>
      <c r="K81" s="260"/>
      <c r="L81" s="207" t="s">
        <v>6168</v>
      </c>
      <c r="M81" s="157"/>
      <c r="N81" s="157"/>
      <c r="O81" s="157"/>
      <c r="P81" s="157"/>
      <c r="Q81" s="157"/>
      <c r="R81" s="157"/>
      <c r="S81" s="157"/>
      <c r="T81" s="157"/>
      <c r="U81" s="157"/>
      <c r="V81" s="157"/>
      <c r="W81" s="157"/>
      <c r="X81" s="157"/>
      <c r="Y81" s="157"/>
    </row>
    <row r="82" ht="62.25" customHeight="1">
      <c r="A82" s="258">
        <v>8.60000182E9</v>
      </c>
      <c r="B82" s="191" t="s">
        <v>21</v>
      </c>
      <c r="C82" s="215" t="s">
        <v>3390</v>
      </c>
      <c r="D82" s="215" t="s">
        <v>6169</v>
      </c>
      <c r="E82" s="207" t="s">
        <v>5600</v>
      </c>
      <c r="F82" s="215" t="s">
        <v>5919</v>
      </c>
      <c r="G82" s="233">
        <v>44684.0</v>
      </c>
      <c r="H82" s="233">
        <v>44677.0</v>
      </c>
      <c r="I82" s="405">
        <v>44692.0</v>
      </c>
      <c r="J82" s="191"/>
      <c r="K82" s="260"/>
      <c r="L82" s="207" t="s">
        <v>6170</v>
      </c>
      <c r="M82" s="157"/>
      <c r="N82" s="157"/>
      <c r="O82" s="157"/>
      <c r="P82" s="157"/>
      <c r="Q82" s="157"/>
      <c r="R82" s="157"/>
      <c r="S82" s="157"/>
      <c r="T82" s="157"/>
      <c r="U82" s="157"/>
      <c r="V82" s="157"/>
      <c r="W82" s="157"/>
      <c r="X82" s="157"/>
      <c r="Y82" s="157"/>
    </row>
    <row r="83" ht="57.0" customHeight="1">
      <c r="A83" s="258">
        <v>8.600001822E9</v>
      </c>
      <c r="B83" s="191" t="s">
        <v>14</v>
      </c>
      <c r="C83" s="215" t="s">
        <v>5928</v>
      </c>
      <c r="D83" s="215" t="s">
        <v>6171</v>
      </c>
      <c r="E83" s="207" t="s">
        <v>5955</v>
      </c>
      <c r="F83" s="215" t="s">
        <v>5919</v>
      </c>
      <c r="G83" s="233">
        <v>44682.0</v>
      </c>
      <c r="H83" s="220">
        <v>44677.0</v>
      </c>
      <c r="I83" s="405">
        <v>44685.0</v>
      </c>
      <c r="J83" s="220"/>
      <c r="K83" s="260"/>
      <c r="L83" s="207" t="s">
        <v>6172</v>
      </c>
      <c r="M83" s="157"/>
      <c r="N83" s="157"/>
      <c r="O83" s="157"/>
      <c r="P83" s="157"/>
      <c r="Q83" s="157"/>
      <c r="R83" s="157"/>
      <c r="S83" s="157"/>
      <c r="T83" s="157"/>
      <c r="U83" s="157"/>
      <c r="V83" s="157"/>
      <c r="W83" s="157"/>
      <c r="X83" s="157"/>
      <c r="Y83" s="157"/>
    </row>
    <row r="84" ht="58.5" customHeight="1">
      <c r="A84" s="258">
        <v>8.60000175E9</v>
      </c>
      <c r="B84" s="191" t="s">
        <v>14</v>
      </c>
      <c r="C84" s="215" t="s">
        <v>3436</v>
      </c>
      <c r="D84" s="215" t="s">
        <v>6173</v>
      </c>
      <c r="E84" s="207" t="s">
        <v>5612</v>
      </c>
      <c r="F84" s="215" t="s">
        <v>5919</v>
      </c>
      <c r="G84" s="233">
        <v>44681.0</v>
      </c>
      <c r="H84" s="220">
        <v>44664.0</v>
      </c>
      <c r="I84" s="405">
        <v>44686.0</v>
      </c>
      <c r="J84" s="220"/>
      <c r="K84" s="260"/>
      <c r="L84" s="207" t="s">
        <v>6174</v>
      </c>
      <c r="M84" s="157"/>
      <c r="N84" s="157"/>
      <c r="O84" s="157"/>
      <c r="P84" s="157"/>
      <c r="Q84" s="157"/>
      <c r="R84" s="157"/>
      <c r="S84" s="157"/>
      <c r="T84" s="157"/>
      <c r="U84" s="157"/>
      <c r="V84" s="157"/>
      <c r="W84" s="157"/>
      <c r="X84" s="157"/>
      <c r="Y84" s="157"/>
    </row>
    <row r="85" ht="57.0" customHeight="1">
      <c r="A85" s="258">
        <v>8.600001794E9</v>
      </c>
      <c r="B85" s="191" t="s">
        <v>25</v>
      </c>
      <c r="C85" s="215" t="s">
        <v>3390</v>
      </c>
      <c r="D85" s="215" t="s">
        <v>6175</v>
      </c>
      <c r="E85" s="207" t="s">
        <v>6176</v>
      </c>
      <c r="F85" s="215" t="s">
        <v>5919</v>
      </c>
      <c r="G85" s="233">
        <v>44674.0</v>
      </c>
      <c r="H85" s="220">
        <v>44669.0</v>
      </c>
      <c r="I85" s="405">
        <v>44679.0</v>
      </c>
      <c r="J85" s="220"/>
      <c r="K85" s="260"/>
      <c r="L85" s="207" t="s">
        <v>6177</v>
      </c>
      <c r="M85" s="157"/>
      <c r="N85" s="157"/>
      <c r="O85" s="157"/>
      <c r="P85" s="157"/>
      <c r="Q85" s="157"/>
      <c r="R85" s="157"/>
      <c r="S85" s="157"/>
      <c r="T85" s="157"/>
      <c r="U85" s="157"/>
      <c r="V85" s="157"/>
      <c r="W85" s="157"/>
      <c r="X85" s="157"/>
      <c r="Y85" s="157"/>
    </row>
    <row r="86" ht="57.0" customHeight="1">
      <c r="A86" s="258">
        <v>8.600001781E9</v>
      </c>
      <c r="B86" s="191" t="s">
        <v>21</v>
      </c>
      <c r="C86" s="215" t="s">
        <v>3467</v>
      </c>
      <c r="D86" s="215" t="s">
        <v>6178</v>
      </c>
      <c r="E86" s="207" t="s">
        <v>6179</v>
      </c>
      <c r="F86" s="215" t="s">
        <v>5919</v>
      </c>
      <c r="G86" s="233">
        <v>44671.0</v>
      </c>
      <c r="H86" s="220">
        <v>44662.0</v>
      </c>
      <c r="I86" s="405">
        <v>44673.0</v>
      </c>
      <c r="J86" s="220"/>
      <c r="K86" s="260"/>
      <c r="L86" s="207" t="s">
        <v>6180</v>
      </c>
      <c r="M86" s="157"/>
      <c r="N86" s="157"/>
      <c r="O86" s="157"/>
      <c r="P86" s="157"/>
      <c r="Q86" s="157"/>
      <c r="R86" s="157"/>
      <c r="S86" s="157"/>
      <c r="T86" s="157"/>
      <c r="U86" s="157"/>
      <c r="V86" s="157"/>
      <c r="W86" s="157"/>
      <c r="X86" s="157"/>
      <c r="Y86" s="157"/>
    </row>
    <row r="87" ht="57.75" customHeight="1">
      <c r="A87" s="258">
        <v>8.600001733E9</v>
      </c>
      <c r="B87" s="191" t="s">
        <v>14</v>
      </c>
      <c r="C87" s="215" t="s">
        <v>5928</v>
      </c>
      <c r="D87" s="215" t="s">
        <v>6181</v>
      </c>
      <c r="E87" s="207" t="s">
        <v>6182</v>
      </c>
      <c r="F87" s="215" t="s">
        <v>5919</v>
      </c>
      <c r="G87" s="233">
        <v>44670.0</v>
      </c>
      <c r="H87" s="220">
        <v>44655.0</v>
      </c>
      <c r="I87" s="405">
        <v>44677.0</v>
      </c>
      <c r="J87" s="220"/>
      <c r="K87" s="260"/>
      <c r="L87" s="207" t="s">
        <v>6183</v>
      </c>
      <c r="M87" s="157"/>
      <c r="N87" s="157"/>
      <c r="O87" s="157"/>
      <c r="P87" s="157"/>
      <c r="Q87" s="157"/>
      <c r="R87" s="157"/>
      <c r="S87" s="157"/>
      <c r="T87" s="157"/>
      <c r="U87" s="157"/>
      <c r="V87" s="157"/>
      <c r="W87" s="157"/>
      <c r="X87" s="157"/>
      <c r="Y87" s="157"/>
    </row>
    <row r="88" ht="58.5" customHeight="1">
      <c r="A88" s="258">
        <v>8.600001795E9</v>
      </c>
      <c r="B88" s="191" t="s">
        <v>25</v>
      </c>
      <c r="C88" s="215" t="s">
        <v>3430</v>
      </c>
      <c r="D88" s="215" t="s">
        <v>6184</v>
      </c>
      <c r="E88" s="207" t="s">
        <v>5600</v>
      </c>
      <c r="F88" s="215" t="s">
        <v>5919</v>
      </c>
      <c r="G88" s="233">
        <v>44669.0</v>
      </c>
      <c r="H88" s="233">
        <v>44663.0</v>
      </c>
      <c r="I88" s="405">
        <v>44680.0</v>
      </c>
      <c r="J88" s="220"/>
      <c r="K88" s="260"/>
      <c r="L88" s="207" t="s">
        <v>6185</v>
      </c>
      <c r="M88" s="157"/>
      <c r="N88" s="157"/>
      <c r="O88" s="157"/>
      <c r="P88" s="157"/>
      <c r="Q88" s="157"/>
      <c r="R88" s="157"/>
      <c r="S88" s="157"/>
      <c r="T88" s="157"/>
      <c r="U88" s="157"/>
      <c r="V88" s="157"/>
      <c r="W88" s="157"/>
      <c r="X88" s="157"/>
      <c r="Y88" s="157"/>
    </row>
    <row r="89" ht="58.5" customHeight="1">
      <c r="A89" s="258">
        <v>8.600001639E9</v>
      </c>
      <c r="B89" s="191" t="s">
        <v>21</v>
      </c>
      <c r="C89" s="215" t="s">
        <v>6186</v>
      </c>
      <c r="D89" s="215" t="s">
        <v>6187</v>
      </c>
      <c r="E89" s="207" t="s">
        <v>6188</v>
      </c>
      <c r="F89" s="191" t="s">
        <v>5919</v>
      </c>
      <c r="G89" s="194">
        <v>44662.0</v>
      </c>
      <c r="H89" s="220">
        <v>44655.0</v>
      </c>
      <c r="I89" s="191" t="s">
        <v>6189</v>
      </c>
      <c r="J89" s="402"/>
      <c r="K89" s="401"/>
      <c r="L89" s="210" t="s">
        <v>6190</v>
      </c>
      <c r="M89" s="157"/>
      <c r="N89" s="157"/>
      <c r="O89" s="157"/>
      <c r="P89" s="157"/>
      <c r="Q89" s="157"/>
      <c r="R89" s="157"/>
      <c r="S89" s="157"/>
      <c r="T89" s="157"/>
      <c r="U89" s="157"/>
      <c r="V89" s="157"/>
      <c r="W89" s="157"/>
      <c r="X89" s="157"/>
      <c r="Y89" s="157"/>
    </row>
    <row r="90" ht="58.5" customHeight="1">
      <c r="A90" s="258">
        <v>8.600001657E9</v>
      </c>
      <c r="B90" s="191" t="s">
        <v>21</v>
      </c>
      <c r="C90" s="215" t="s">
        <v>6191</v>
      </c>
      <c r="D90" s="215" t="s">
        <v>6192</v>
      </c>
      <c r="E90" s="207" t="s">
        <v>6193</v>
      </c>
      <c r="F90" s="215" t="s">
        <v>5919</v>
      </c>
      <c r="G90" s="233">
        <v>44662.0</v>
      </c>
      <c r="H90" s="233">
        <v>44657.0</v>
      </c>
      <c r="I90" s="191" t="s">
        <v>6194</v>
      </c>
      <c r="J90" s="402"/>
      <c r="K90" s="401"/>
      <c r="L90" s="210" t="s">
        <v>6195</v>
      </c>
      <c r="M90" s="157"/>
      <c r="N90" s="157"/>
      <c r="O90" s="157"/>
      <c r="P90" s="157"/>
      <c r="Q90" s="157"/>
      <c r="R90" s="157"/>
      <c r="S90" s="157"/>
      <c r="T90" s="157"/>
      <c r="U90" s="157"/>
      <c r="V90" s="157"/>
      <c r="W90" s="157"/>
      <c r="X90" s="157"/>
      <c r="Y90" s="157"/>
    </row>
    <row r="91" ht="57.0" customHeight="1">
      <c r="A91" s="258">
        <v>8.600001729E9</v>
      </c>
      <c r="B91" s="191" t="s">
        <v>14</v>
      </c>
      <c r="C91" s="215" t="s">
        <v>5590</v>
      </c>
      <c r="D91" s="215" t="s">
        <v>6196</v>
      </c>
      <c r="E91" s="207" t="s">
        <v>6197</v>
      </c>
      <c r="F91" s="215" t="s">
        <v>5919</v>
      </c>
      <c r="G91" s="233">
        <v>44660.0</v>
      </c>
      <c r="H91" s="233">
        <v>44648.0</v>
      </c>
      <c r="I91" s="405">
        <v>44669.0</v>
      </c>
      <c r="J91" s="220"/>
      <c r="K91" s="260"/>
      <c r="L91" s="207" t="s">
        <v>6198</v>
      </c>
      <c r="M91" s="157"/>
      <c r="N91" s="157"/>
      <c r="O91" s="157"/>
      <c r="P91" s="157"/>
      <c r="Q91" s="157"/>
      <c r="R91" s="157"/>
      <c r="S91" s="157"/>
      <c r="T91" s="157"/>
      <c r="U91" s="157"/>
      <c r="V91" s="157"/>
      <c r="W91" s="157"/>
      <c r="X91" s="157"/>
      <c r="Y91" s="157"/>
    </row>
    <row r="92" ht="66.75" customHeight="1">
      <c r="A92" s="258">
        <v>8.600001759E9</v>
      </c>
      <c r="B92" s="191" t="s">
        <v>14</v>
      </c>
      <c r="C92" s="215" t="s">
        <v>3380</v>
      </c>
      <c r="D92" s="215" t="s">
        <v>6199</v>
      </c>
      <c r="E92" s="207" t="s">
        <v>6200</v>
      </c>
      <c r="F92" s="215" t="s">
        <v>5919</v>
      </c>
      <c r="G92" s="233">
        <v>44651.0</v>
      </c>
      <c r="H92" s="220">
        <v>44648.0</v>
      </c>
      <c r="I92" s="405">
        <v>44662.0</v>
      </c>
      <c r="J92" s="220"/>
      <c r="K92" s="260"/>
      <c r="L92" s="207" t="s">
        <v>6201</v>
      </c>
      <c r="M92" s="157"/>
      <c r="N92" s="157"/>
      <c r="O92" s="157"/>
      <c r="P92" s="157"/>
      <c r="Q92" s="157"/>
      <c r="R92" s="157"/>
      <c r="S92" s="157"/>
      <c r="T92" s="157"/>
      <c r="U92" s="157"/>
      <c r="V92" s="157"/>
      <c r="W92" s="157"/>
      <c r="X92" s="157"/>
      <c r="Y92" s="157"/>
    </row>
    <row r="93" ht="59.25" customHeight="1">
      <c r="A93" s="258">
        <v>8.600001807E9</v>
      </c>
      <c r="B93" s="191" t="s">
        <v>4924</v>
      </c>
      <c r="C93" s="215" t="s">
        <v>5598</v>
      </c>
      <c r="D93" s="215" t="s">
        <v>4925</v>
      </c>
      <c r="E93" s="207" t="s">
        <v>5968</v>
      </c>
      <c r="F93" s="215" t="s">
        <v>5919</v>
      </c>
      <c r="G93" s="233">
        <v>44648.0</v>
      </c>
      <c r="H93" s="233">
        <v>44651.0</v>
      </c>
      <c r="I93" s="259">
        <v>44652.0</v>
      </c>
      <c r="J93" s="220"/>
      <c r="K93" s="260"/>
      <c r="L93" s="207" t="s">
        <v>6202</v>
      </c>
      <c r="M93" s="157"/>
      <c r="N93" s="157"/>
      <c r="O93" s="157"/>
      <c r="P93" s="157"/>
      <c r="Q93" s="157"/>
      <c r="R93" s="157"/>
      <c r="S93" s="157"/>
      <c r="T93" s="157"/>
      <c r="U93" s="157"/>
      <c r="V93" s="157"/>
      <c r="W93" s="157"/>
      <c r="X93" s="157"/>
      <c r="Y93" s="157"/>
    </row>
    <row r="94" ht="54.0" customHeight="1">
      <c r="A94" s="258">
        <v>8.600001804E9</v>
      </c>
      <c r="B94" s="191" t="s">
        <v>4960</v>
      </c>
      <c r="C94" s="215" t="s">
        <v>5604</v>
      </c>
      <c r="D94" s="215" t="s">
        <v>4925</v>
      </c>
      <c r="E94" s="207" t="s">
        <v>5612</v>
      </c>
      <c r="F94" s="215" t="s">
        <v>5919</v>
      </c>
      <c r="G94" s="233">
        <v>44646.0</v>
      </c>
      <c r="H94" s="233">
        <v>44648.0</v>
      </c>
      <c r="I94" s="259">
        <v>44648.0</v>
      </c>
      <c r="J94" s="220"/>
      <c r="K94" s="260"/>
      <c r="L94" s="207" t="s">
        <v>6203</v>
      </c>
      <c r="M94" s="157"/>
      <c r="N94" s="157"/>
      <c r="O94" s="157"/>
      <c r="P94" s="157"/>
      <c r="Q94" s="157"/>
      <c r="R94" s="157"/>
      <c r="S94" s="157"/>
      <c r="T94" s="157"/>
      <c r="U94" s="157"/>
      <c r="V94" s="157"/>
      <c r="W94" s="157"/>
      <c r="X94" s="157"/>
      <c r="Y94" s="157"/>
    </row>
    <row r="95" ht="64.5" customHeight="1">
      <c r="A95" s="258">
        <v>8.600001792E9</v>
      </c>
      <c r="B95" s="191" t="s">
        <v>6204</v>
      </c>
      <c r="C95" s="215" t="s">
        <v>5767</v>
      </c>
      <c r="D95" s="215" t="s">
        <v>4925</v>
      </c>
      <c r="E95" s="207" t="s">
        <v>5680</v>
      </c>
      <c r="F95" s="215" t="s">
        <v>5919</v>
      </c>
      <c r="G95" s="233">
        <v>44645.0</v>
      </c>
      <c r="H95" s="191" t="s">
        <v>6205</v>
      </c>
      <c r="I95" s="405">
        <v>44648.0</v>
      </c>
      <c r="J95" s="402"/>
      <c r="K95" s="401"/>
      <c r="L95" s="210" t="s">
        <v>6206</v>
      </c>
      <c r="M95" s="157"/>
      <c r="N95" s="157"/>
      <c r="O95" s="157"/>
      <c r="P95" s="157"/>
      <c r="Q95" s="157"/>
      <c r="R95" s="157"/>
      <c r="S95" s="157"/>
      <c r="T95" s="157"/>
      <c r="U95" s="157"/>
      <c r="V95" s="157"/>
      <c r="W95" s="157"/>
      <c r="X95" s="157"/>
      <c r="Y95" s="157"/>
    </row>
    <row r="96" ht="60.75" customHeight="1">
      <c r="A96" s="258">
        <v>8.60000176E9</v>
      </c>
      <c r="B96" s="191" t="s">
        <v>14</v>
      </c>
      <c r="C96" s="215" t="s">
        <v>5539</v>
      </c>
      <c r="D96" s="215" t="s">
        <v>6207</v>
      </c>
      <c r="E96" s="207" t="s">
        <v>6208</v>
      </c>
      <c r="F96" s="215" t="s">
        <v>5919</v>
      </c>
      <c r="G96" s="233">
        <v>44645.0</v>
      </c>
      <c r="H96" s="233">
        <v>44641.0</v>
      </c>
      <c r="I96" s="191" t="s">
        <v>6209</v>
      </c>
      <c r="J96" s="220"/>
      <c r="K96" s="260"/>
      <c r="L96" s="207" t="s">
        <v>6210</v>
      </c>
      <c r="M96" s="157"/>
      <c r="N96" s="157"/>
      <c r="O96" s="157"/>
      <c r="P96" s="157"/>
      <c r="Q96" s="157"/>
      <c r="R96" s="157"/>
      <c r="S96" s="157"/>
      <c r="T96" s="157"/>
      <c r="U96" s="157"/>
      <c r="V96" s="157"/>
      <c r="W96" s="157"/>
      <c r="X96" s="157"/>
      <c r="Y96" s="157"/>
    </row>
    <row r="97" ht="56.25" customHeight="1">
      <c r="A97" s="258">
        <v>8.600001803E9</v>
      </c>
      <c r="B97" s="191" t="s">
        <v>4924</v>
      </c>
      <c r="C97" s="215" t="s">
        <v>6211</v>
      </c>
      <c r="D97" s="215" t="s">
        <v>4925</v>
      </c>
      <c r="E97" s="207" t="s">
        <v>5612</v>
      </c>
      <c r="F97" s="215" t="s">
        <v>5919</v>
      </c>
      <c r="G97" s="233">
        <v>44644.0</v>
      </c>
      <c r="H97" s="233">
        <v>44655.0</v>
      </c>
      <c r="I97" s="405">
        <v>44650.0</v>
      </c>
      <c r="J97" s="220"/>
      <c r="K97" s="260"/>
      <c r="L97" s="207" t="s">
        <v>6212</v>
      </c>
      <c r="M97" s="157"/>
      <c r="N97" s="157"/>
      <c r="O97" s="157"/>
      <c r="P97" s="157"/>
      <c r="Q97" s="157"/>
      <c r="R97" s="157"/>
      <c r="S97" s="157"/>
      <c r="T97" s="157"/>
      <c r="U97" s="157"/>
      <c r="V97" s="157"/>
      <c r="W97" s="157"/>
      <c r="X97" s="157"/>
      <c r="Y97" s="157"/>
    </row>
    <row r="98" ht="54.0" customHeight="1">
      <c r="A98" s="258">
        <v>8.600001726E9</v>
      </c>
      <c r="B98" s="191" t="s">
        <v>14</v>
      </c>
      <c r="C98" s="215" t="s">
        <v>5634</v>
      </c>
      <c r="D98" s="215" t="s">
        <v>6213</v>
      </c>
      <c r="E98" s="207" t="s">
        <v>6214</v>
      </c>
      <c r="F98" s="215" t="s">
        <v>5919</v>
      </c>
      <c r="G98" s="233">
        <v>44641.0</v>
      </c>
      <c r="H98" s="220">
        <v>44627.0</v>
      </c>
      <c r="I98" s="215" t="s">
        <v>6215</v>
      </c>
      <c r="J98" s="220"/>
      <c r="K98" s="260"/>
      <c r="L98" s="207" t="s">
        <v>6216</v>
      </c>
      <c r="M98" s="157"/>
      <c r="N98" s="157"/>
      <c r="O98" s="157"/>
      <c r="P98" s="157"/>
      <c r="Q98" s="157"/>
      <c r="R98" s="157"/>
      <c r="S98" s="157"/>
      <c r="T98" s="157"/>
      <c r="U98" s="157"/>
      <c r="V98" s="157"/>
      <c r="W98" s="157"/>
      <c r="X98" s="157"/>
      <c r="Y98" s="157"/>
    </row>
    <row r="99" ht="54.0" customHeight="1">
      <c r="A99" s="258">
        <v>8.600001692E9</v>
      </c>
      <c r="B99" s="191" t="s">
        <v>14</v>
      </c>
      <c r="C99" s="215" t="s">
        <v>5792</v>
      </c>
      <c r="D99" s="215" t="s">
        <v>6217</v>
      </c>
      <c r="E99" s="395" t="s">
        <v>5942</v>
      </c>
      <c r="F99" s="215" t="s">
        <v>5919</v>
      </c>
      <c r="G99" s="233">
        <v>44640.0</v>
      </c>
      <c r="H99" s="233">
        <v>44627.0</v>
      </c>
      <c r="I99" s="259">
        <v>44645.0</v>
      </c>
      <c r="J99" s="220"/>
      <c r="K99" s="260"/>
      <c r="L99" s="207" t="s">
        <v>6218</v>
      </c>
      <c r="M99" s="157"/>
      <c r="N99" s="157"/>
      <c r="O99" s="157"/>
      <c r="P99" s="157"/>
      <c r="Q99" s="157"/>
      <c r="R99" s="157"/>
      <c r="S99" s="157"/>
      <c r="T99" s="157"/>
      <c r="U99" s="157"/>
      <c r="V99" s="157"/>
      <c r="W99" s="157"/>
      <c r="X99" s="157"/>
      <c r="Y99" s="157"/>
    </row>
    <row r="100" ht="54.0" customHeight="1">
      <c r="A100" s="258">
        <v>8.600001772E9</v>
      </c>
      <c r="B100" s="191" t="s">
        <v>4924</v>
      </c>
      <c r="C100" s="215" t="s">
        <v>5726</v>
      </c>
      <c r="D100" s="215" t="s">
        <v>4925</v>
      </c>
      <c r="E100" s="207" t="s">
        <v>5896</v>
      </c>
      <c r="F100" s="215" t="s">
        <v>5919</v>
      </c>
      <c r="G100" s="233">
        <v>44631.0</v>
      </c>
      <c r="H100" s="233">
        <v>44629.0</v>
      </c>
      <c r="I100" s="259">
        <v>44637.0</v>
      </c>
      <c r="J100" s="220"/>
      <c r="K100" s="260"/>
      <c r="L100" s="207" t="s">
        <v>6219</v>
      </c>
      <c r="M100" s="157"/>
      <c r="N100" s="157"/>
      <c r="O100" s="157"/>
      <c r="P100" s="157"/>
      <c r="Q100" s="157"/>
      <c r="R100" s="157"/>
      <c r="S100" s="157"/>
      <c r="T100" s="157"/>
      <c r="U100" s="157"/>
      <c r="V100" s="157"/>
      <c r="W100" s="157"/>
      <c r="X100" s="157"/>
      <c r="Y100" s="157"/>
    </row>
    <row r="101" ht="57.0" customHeight="1">
      <c r="A101" s="258">
        <v>8.600001737E9</v>
      </c>
      <c r="B101" s="191" t="s">
        <v>14</v>
      </c>
      <c r="C101" s="215" t="s">
        <v>5674</v>
      </c>
      <c r="D101" s="215" t="s">
        <v>6220</v>
      </c>
      <c r="E101" s="207" t="s">
        <v>6221</v>
      </c>
      <c r="F101" s="215" t="s">
        <v>5919</v>
      </c>
      <c r="G101" s="233">
        <v>44630.0</v>
      </c>
      <c r="H101" s="233">
        <v>44627.0</v>
      </c>
      <c r="I101" s="405">
        <v>44635.0</v>
      </c>
      <c r="J101" s="220"/>
      <c r="K101" s="260"/>
      <c r="L101" s="207" t="s">
        <v>6222</v>
      </c>
      <c r="M101" s="157"/>
      <c r="N101" s="157"/>
      <c r="O101" s="157"/>
      <c r="P101" s="157"/>
      <c r="Q101" s="157"/>
      <c r="R101" s="157"/>
      <c r="S101" s="157"/>
      <c r="T101" s="157"/>
      <c r="U101" s="157"/>
      <c r="V101" s="157"/>
      <c r="W101" s="157"/>
      <c r="X101" s="157"/>
      <c r="Y101" s="157"/>
    </row>
    <row r="102" ht="56.25" customHeight="1">
      <c r="A102" s="258">
        <v>8.500000137E9</v>
      </c>
      <c r="B102" s="165" t="s">
        <v>4356</v>
      </c>
      <c r="C102" s="215" t="s">
        <v>5580</v>
      </c>
      <c r="D102" s="215" t="s">
        <v>6223</v>
      </c>
      <c r="E102" s="207" t="s">
        <v>6224</v>
      </c>
      <c r="F102" s="215" t="s">
        <v>5919</v>
      </c>
      <c r="G102" s="233">
        <v>44629.0</v>
      </c>
      <c r="H102" s="233">
        <v>44655.0</v>
      </c>
      <c r="I102" s="405">
        <v>44652.0</v>
      </c>
      <c r="J102" s="402"/>
      <c r="K102" s="401"/>
      <c r="L102" s="210" t="s">
        <v>6225</v>
      </c>
      <c r="M102" s="157"/>
      <c r="N102" s="157"/>
      <c r="O102" s="157"/>
      <c r="P102" s="157"/>
      <c r="Q102" s="157"/>
      <c r="R102" s="157"/>
      <c r="S102" s="157"/>
      <c r="T102" s="157"/>
      <c r="U102" s="157"/>
      <c r="V102" s="157"/>
      <c r="W102" s="157"/>
      <c r="X102" s="157"/>
      <c r="Y102" s="157"/>
    </row>
    <row r="103" ht="56.25" customHeight="1">
      <c r="A103" s="258">
        <v>8.60000173E9</v>
      </c>
      <c r="B103" s="165" t="s">
        <v>25</v>
      </c>
      <c r="C103" s="215" t="s">
        <v>5665</v>
      </c>
      <c r="D103" s="215" t="s">
        <v>6223</v>
      </c>
      <c r="E103" s="207" t="s">
        <v>6226</v>
      </c>
      <c r="F103" s="215" t="s">
        <v>5919</v>
      </c>
      <c r="G103" s="233">
        <v>44629.0</v>
      </c>
      <c r="H103" s="233">
        <v>44628.0</v>
      </c>
      <c r="I103" s="405">
        <v>44649.0</v>
      </c>
      <c r="J103" s="220"/>
      <c r="K103" s="260"/>
      <c r="L103" s="210" t="s">
        <v>6227</v>
      </c>
      <c r="M103" s="157"/>
      <c r="N103" s="157"/>
      <c r="O103" s="157"/>
      <c r="P103" s="157"/>
      <c r="Q103" s="157"/>
      <c r="R103" s="157"/>
      <c r="S103" s="157"/>
      <c r="T103" s="157"/>
      <c r="U103" s="157"/>
      <c r="V103" s="157"/>
      <c r="W103" s="157"/>
      <c r="X103" s="157"/>
      <c r="Y103" s="157"/>
    </row>
    <row r="104" ht="53.25" customHeight="1">
      <c r="A104" s="258">
        <v>8.600001728E9</v>
      </c>
      <c r="B104" s="191" t="s">
        <v>21</v>
      </c>
      <c r="C104" s="215" t="s">
        <v>3416</v>
      </c>
      <c r="D104" s="215" t="s">
        <v>6228</v>
      </c>
      <c r="E104" s="207" t="s">
        <v>6229</v>
      </c>
      <c r="F104" s="215" t="s">
        <v>5919</v>
      </c>
      <c r="G104" s="233">
        <v>44627.0</v>
      </c>
      <c r="H104" s="233">
        <v>44609.0</v>
      </c>
      <c r="I104" s="405">
        <v>44651.0</v>
      </c>
      <c r="J104" s="402"/>
      <c r="K104" s="401"/>
      <c r="L104" s="210" t="s">
        <v>6230</v>
      </c>
      <c r="M104" s="157"/>
      <c r="N104" s="157"/>
      <c r="O104" s="157"/>
      <c r="P104" s="157"/>
      <c r="Q104" s="157"/>
      <c r="R104" s="157"/>
      <c r="S104" s="157"/>
      <c r="T104" s="157"/>
      <c r="U104" s="157"/>
      <c r="V104" s="157"/>
      <c r="W104" s="157"/>
      <c r="X104" s="157"/>
      <c r="Y104" s="157"/>
    </row>
    <row r="105" ht="56.25" customHeight="1">
      <c r="A105" s="258">
        <v>8.600001736E9</v>
      </c>
      <c r="B105" s="165" t="s">
        <v>25</v>
      </c>
      <c r="C105" s="215" t="s">
        <v>3471</v>
      </c>
      <c r="D105" s="396" t="s">
        <v>6231</v>
      </c>
      <c r="E105" s="207" t="s">
        <v>6232</v>
      </c>
      <c r="F105" s="215" t="s">
        <v>5919</v>
      </c>
      <c r="G105" s="233">
        <v>44624.0</v>
      </c>
      <c r="H105" s="220">
        <v>44621.0</v>
      </c>
      <c r="I105" s="405">
        <v>44630.0</v>
      </c>
      <c r="J105" s="220"/>
      <c r="K105" s="260"/>
      <c r="L105" s="210" t="s">
        <v>6233</v>
      </c>
      <c r="M105" s="157"/>
      <c r="N105" s="157"/>
      <c r="O105" s="157"/>
      <c r="P105" s="157"/>
      <c r="Q105" s="157"/>
      <c r="R105" s="157"/>
      <c r="S105" s="157"/>
      <c r="T105" s="157"/>
      <c r="U105" s="157"/>
      <c r="V105" s="157"/>
      <c r="W105" s="157"/>
      <c r="X105" s="157"/>
      <c r="Y105" s="157"/>
    </row>
    <row r="106" ht="57.0" customHeight="1">
      <c r="A106" s="258">
        <v>8.600001674E9</v>
      </c>
      <c r="B106" s="191" t="s">
        <v>14</v>
      </c>
      <c r="C106" s="215" t="s">
        <v>6234</v>
      </c>
      <c r="D106" s="215" t="s">
        <v>6235</v>
      </c>
      <c r="E106" s="207" t="s">
        <v>3589</v>
      </c>
      <c r="F106" s="215" t="s">
        <v>5919</v>
      </c>
      <c r="G106" s="233">
        <v>44624.0</v>
      </c>
      <c r="H106" s="220">
        <v>44582.0</v>
      </c>
      <c r="I106" s="215" t="s">
        <v>6236</v>
      </c>
      <c r="J106" s="220"/>
      <c r="K106" s="260"/>
      <c r="L106" s="207" t="s">
        <v>6237</v>
      </c>
      <c r="M106" s="157"/>
      <c r="N106" s="157"/>
      <c r="O106" s="157"/>
      <c r="P106" s="157"/>
      <c r="Q106" s="157"/>
      <c r="R106" s="157"/>
      <c r="S106" s="157"/>
      <c r="T106" s="157"/>
      <c r="U106" s="157"/>
      <c r="V106" s="157"/>
      <c r="W106" s="157"/>
      <c r="X106" s="157"/>
      <c r="Y106" s="157"/>
    </row>
    <row r="107" ht="52.5" customHeight="1">
      <c r="A107" s="258">
        <v>8.600001771E9</v>
      </c>
      <c r="B107" s="165" t="s">
        <v>6204</v>
      </c>
      <c r="C107" s="215" t="s">
        <v>3454</v>
      </c>
      <c r="D107" s="215" t="s">
        <v>4925</v>
      </c>
      <c r="E107" s="207" t="s">
        <v>5896</v>
      </c>
      <c r="F107" s="215" t="s">
        <v>5919</v>
      </c>
      <c r="G107" s="233">
        <v>44619.0</v>
      </c>
      <c r="H107" s="233">
        <v>44621.0</v>
      </c>
      <c r="I107" s="259">
        <v>44622.0</v>
      </c>
      <c r="J107" s="402"/>
      <c r="K107" s="401"/>
      <c r="L107" s="210" t="s">
        <v>6238</v>
      </c>
      <c r="M107" s="157"/>
      <c r="N107" s="157"/>
      <c r="O107" s="157"/>
      <c r="P107" s="157"/>
      <c r="Q107" s="157"/>
      <c r="R107" s="157"/>
      <c r="S107" s="157"/>
      <c r="T107" s="157"/>
      <c r="U107" s="157"/>
      <c r="V107" s="157"/>
      <c r="W107" s="157"/>
      <c r="X107" s="157"/>
      <c r="Y107" s="157"/>
    </row>
    <row r="108" ht="53.25" customHeight="1">
      <c r="A108" s="258">
        <v>8.500000132E9</v>
      </c>
      <c r="B108" s="165" t="s">
        <v>14</v>
      </c>
      <c r="C108" s="215" t="s">
        <v>5580</v>
      </c>
      <c r="D108" s="185" t="s">
        <v>6239</v>
      </c>
      <c r="E108" s="207" t="s">
        <v>6224</v>
      </c>
      <c r="F108" s="215" t="s">
        <v>5919</v>
      </c>
      <c r="G108" s="233">
        <v>44618.0</v>
      </c>
      <c r="H108" s="220">
        <v>44571.0</v>
      </c>
      <c r="I108" s="405">
        <v>44631.0</v>
      </c>
      <c r="J108" s="195" t="s">
        <v>2117</v>
      </c>
      <c r="K108" s="196" t="s">
        <v>2117</v>
      </c>
      <c r="L108" s="210" t="s">
        <v>6240</v>
      </c>
      <c r="M108" s="157"/>
      <c r="N108" s="157"/>
      <c r="O108" s="157"/>
      <c r="P108" s="157"/>
      <c r="Q108" s="157"/>
      <c r="R108" s="157"/>
      <c r="S108" s="157"/>
      <c r="T108" s="157"/>
      <c r="U108" s="157"/>
      <c r="V108" s="157"/>
      <c r="W108" s="157"/>
      <c r="X108" s="157"/>
      <c r="Y108" s="157"/>
    </row>
    <row r="109" ht="53.25" customHeight="1">
      <c r="A109" s="258">
        <v>8.600001641E9</v>
      </c>
      <c r="B109" s="191" t="s">
        <v>14</v>
      </c>
      <c r="C109" s="215" t="s">
        <v>3390</v>
      </c>
      <c r="D109" s="226" t="s">
        <v>6241</v>
      </c>
      <c r="E109" s="207" t="s">
        <v>6242</v>
      </c>
      <c r="F109" s="215" t="s">
        <v>5919</v>
      </c>
      <c r="G109" s="233">
        <v>44618.0</v>
      </c>
      <c r="H109" s="233">
        <v>44568.0</v>
      </c>
      <c r="I109" s="405">
        <v>44624.0</v>
      </c>
      <c r="J109" s="195" t="s">
        <v>2117</v>
      </c>
      <c r="K109" s="260"/>
      <c r="L109" s="210" t="s">
        <v>6243</v>
      </c>
      <c r="M109" s="157"/>
      <c r="N109" s="157"/>
      <c r="O109" s="157"/>
      <c r="P109" s="157"/>
      <c r="Q109" s="157"/>
      <c r="R109" s="157"/>
      <c r="S109" s="157"/>
      <c r="T109" s="157"/>
      <c r="U109" s="157"/>
      <c r="V109" s="157"/>
      <c r="W109" s="157"/>
      <c r="X109" s="157"/>
      <c r="Y109" s="157"/>
    </row>
    <row r="110" ht="56.25" customHeight="1">
      <c r="A110" s="258">
        <v>8.600001642E9</v>
      </c>
      <c r="B110" s="165" t="s">
        <v>14</v>
      </c>
      <c r="C110" s="215" t="s">
        <v>3390</v>
      </c>
      <c r="D110" s="226" t="s">
        <v>6244</v>
      </c>
      <c r="E110" s="207" t="s">
        <v>6245</v>
      </c>
      <c r="F110" s="215" t="s">
        <v>5919</v>
      </c>
      <c r="G110" s="233">
        <v>44618.0</v>
      </c>
      <c r="H110" s="233">
        <v>44568.0</v>
      </c>
      <c r="I110" s="405">
        <v>44623.0</v>
      </c>
      <c r="J110" s="195" t="s">
        <v>2117</v>
      </c>
      <c r="K110" s="196" t="s">
        <v>2117</v>
      </c>
      <c r="L110" s="210" t="s">
        <v>6246</v>
      </c>
      <c r="M110" s="157"/>
      <c r="N110" s="157"/>
      <c r="O110" s="157"/>
      <c r="P110" s="157"/>
      <c r="Q110" s="157"/>
      <c r="R110" s="157"/>
      <c r="S110" s="157"/>
      <c r="T110" s="157"/>
      <c r="U110" s="157"/>
      <c r="V110" s="157"/>
      <c r="W110" s="157"/>
      <c r="X110" s="157"/>
      <c r="Y110" s="157"/>
    </row>
    <row r="111" ht="52.5" customHeight="1">
      <c r="A111" s="258">
        <v>8.600001689E9</v>
      </c>
      <c r="B111" s="191" t="s">
        <v>14</v>
      </c>
      <c r="C111" s="215" t="s">
        <v>5577</v>
      </c>
      <c r="D111" s="393" t="s">
        <v>6247</v>
      </c>
      <c r="E111" s="207" t="s">
        <v>5962</v>
      </c>
      <c r="F111" s="215" t="s">
        <v>5919</v>
      </c>
      <c r="G111" s="233">
        <v>44615.0</v>
      </c>
      <c r="H111" s="233">
        <v>44609.0</v>
      </c>
      <c r="I111" s="405">
        <v>44630.0</v>
      </c>
      <c r="J111" s="220"/>
      <c r="K111" s="260"/>
      <c r="L111" s="207" t="s">
        <v>6248</v>
      </c>
      <c r="M111" s="157"/>
      <c r="N111" s="157"/>
      <c r="O111" s="157"/>
      <c r="P111" s="157"/>
      <c r="Q111" s="157"/>
      <c r="R111" s="157"/>
      <c r="S111" s="157"/>
      <c r="T111" s="157"/>
      <c r="U111" s="157"/>
      <c r="V111" s="157"/>
      <c r="W111" s="157"/>
      <c r="X111" s="157"/>
      <c r="Y111" s="157"/>
    </row>
    <row r="112" ht="54.0" customHeight="1">
      <c r="A112" s="258">
        <v>8.600001705E9</v>
      </c>
      <c r="B112" s="191" t="s">
        <v>14</v>
      </c>
      <c r="C112" s="215" t="s">
        <v>5792</v>
      </c>
      <c r="D112" s="215" t="s">
        <v>6249</v>
      </c>
      <c r="E112" s="207" t="s">
        <v>6250</v>
      </c>
      <c r="F112" s="215" t="s">
        <v>5919</v>
      </c>
      <c r="G112" s="233">
        <v>44614.0</v>
      </c>
      <c r="H112" s="233">
        <v>44606.0</v>
      </c>
      <c r="I112" s="259">
        <v>44628.0</v>
      </c>
      <c r="J112" s="220"/>
      <c r="K112" s="260"/>
      <c r="L112" s="207" t="s">
        <v>6251</v>
      </c>
      <c r="M112" s="157"/>
      <c r="N112" s="157"/>
      <c r="O112" s="157"/>
      <c r="P112" s="157"/>
      <c r="Q112" s="157"/>
      <c r="R112" s="157"/>
      <c r="S112" s="157"/>
      <c r="T112" s="157"/>
      <c r="U112" s="157"/>
      <c r="V112" s="157"/>
      <c r="W112" s="157"/>
      <c r="X112" s="157"/>
      <c r="Y112" s="157"/>
    </row>
    <row r="113" ht="53.25" customHeight="1">
      <c r="A113" s="258">
        <v>8.600001714E9</v>
      </c>
      <c r="B113" s="191" t="s">
        <v>14</v>
      </c>
      <c r="C113" s="215" t="s">
        <v>5577</v>
      </c>
      <c r="D113" s="393" t="s">
        <v>6252</v>
      </c>
      <c r="E113" s="207" t="s">
        <v>5962</v>
      </c>
      <c r="F113" s="215" t="s">
        <v>5919</v>
      </c>
      <c r="G113" s="233">
        <v>44613.0</v>
      </c>
      <c r="H113" s="233">
        <v>44607.0</v>
      </c>
      <c r="I113" s="405">
        <v>44617.0</v>
      </c>
      <c r="J113" s="220"/>
      <c r="K113" s="260"/>
      <c r="L113" s="207" t="s">
        <v>6253</v>
      </c>
      <c r="M113" s="198"/>
      <c r="N113" s="198"/>
      <c r="O113" s="198"/>
      <c r="P113" s="198"/>
      <c r="Q113" s="198"/>
      <c r="R113" s="198"/>
      <c r="S113" s="198"/>
      <c r="T113" s="198"/>
      <c r="U113" s="198"/>
      <c r="V113" s="198"/>
      <c r="W113" s="198"/>
      <c r="X113" s="198"/>
      <c r="Y113" s="198"/>
    </row>
    <row r="114" ht="63.75" customHeight="1">
      <c r="A114" s="258">
        <v>8.60000168E9</v>
      </c>
      <c r="B114" s="191" t="s">
        <v>14</v>
      </c>
      <c r="C114" s="215" t="s">
        <v>5726</v>
      </c>
      <c r="D114" s="393" t="s">
        <v>6254</v>
      </c>
      <c r="E114" s="207" t="s">
        <v>6255</v>
      </c>
      <c r="F114" s="215" t="s">
        <v>5919</v>
      </c>
      <c r="G114" s="233">
        <v>44613.0</v>
      </c>
      <c r="H114" s="233">
        <v>44607.0</v>
      </c>
      <c r="I114" s="405">
        <v>44621.0</v>
      </c>
      <c r="J114" s="220"/>
      <c r="K114" s="260"/>
      <c r="L114" s="207" t="s">
        <v>6256</v>
      </c>
      <c r="M114" s="198"/>
      <c r="N114" s="198"/>
      <c r="O114" s="198"/>
      <c r="P114" s="198"/>
      <c r="Q114" s="198"/>
      <c r="R114" s="198"/>
      <c r="S114" s="198"/>
      <c r="T114" s="198"/>
      <c r="U114" s="198"/>
      <c r="V114" s="198"/>
      <c r="W114" s="198"/>
      <c r="X114" s="198"/>
      <c r="Y114" s="198"/>
    </row>
    <row r="115" ht="55.5" customHeight="1">
      <c r="A115" s="258">
        <v>8.600001661E9</v>
      </c>
      <c r="B115" s="191" t="s">
        <v>25</v>
      </c>
      <c r="C115" s="215" t="s">
        <v>6257</v>
      </c>
      <c r="D115" s="396" t="s">
        <v>6258</v>
      </c>
      <c r="E115" s="207" t="s">
        <v>6259</v>
      </c>
      <c r="F115" s="215" t="s">
        <v>5919</v>
      </c>
      <c r="G115" s="233">
        <v>44611.0</v>
      </c>
      <c r="H115" s="233">
        <v>44609.0</v>
      </c>
      <c r="I115" s="215" t="s">
        <v>6260</v>
      </c>
      <c r="J115" s="195" t="s">
        <v>2117</v>
      </c>
      <c r="K115" s="196" t="s">
        <v>2117</v>
      </c>
      <c r="L115" s="210" t="s">
        <v>6261</v>
      </c>
      <c r="M115" s="157"/>
      <c r="N115" s="157"/>
      <c r="O115" s="157"/>
      <c r="P115" s="157"/>
      <c r="Q115" s="157"/>
      <c r="R115" s="157"/>
      <c r="S115" s="157"/>
      <c r="T115" s="157"/>
      <c r="U115" s="157"/>
      <c r="V115" s="157"/>
      <c r="W115" s="157"/>
      <c r="X115" s="157"/>
      <c r="Y115" s="157"/>
    </row>
    <row r="116" ht="59.25" customHeight="1">
      <c r="A116" s="258">
        <v>8.600001645E9</v>
      </c>
      <c r="B116" s="165" t="s">
        <v>25</v>
      </c>
      <c r="C116" s="215" t="s">
        <v>5546</v>
      </c>
      <c r="D116" s="396" t="s">
        <v>6262</v>
      </c>
      <c r="E116" s="207" t="s">
        <v>6263</v>
      </c>
      <c r="F116" s="215" t="s">
        <v>5919</v>
      </c>
      <c r="G116" s="233">
        <v>44607.0</v>
      </c>
      <c r="H116" s="233">
        <v>44601.0</v>
      </c>
      <c r="I116" s="215" t="s">
        <v>6264</v>
      </c>
      <c r="J116" s="195" t="s">
        <v>2117</v>
      </c>
      <c r="K116" s="196" t="s">
        <v>2117</v>
      </c>
      <c r="L116" s="210" t="s">
        <v>6265</v>
      </c>
      <c r="M116" s="157"/>
      <c r="N116" s="157"/>
      <c r="O116" s="157"/>
      <c r="P116" s="157"/>
      <c r="Q116" s="157"/>
      <c r="R116" s="157"/>
      <c r="S116" s="157"/>
      <c r="T116" s="157"/>
      <c r="U116" s="157"/>
      <c r="V116" s="157"/>
      <c r="W116" s="157"/>
      <c r="X116" s="157"/>
      <c r="Y116" s="157"/>
    </row>
    <row r="117" ht="55.5" customHeight="1">
      <c r="A117" s="258">
        <v>8.500000138E9</v>
      </c>
      <c r="B117" s="191" t="s">
        <v>21</v>
      </c>
      <c r="C117" s="215" t="s">
        <v>3420</v>
      </c>
      <c r="D117" s="215" t="s">
        <v>6266</v>
      </c>
      <c r="E117" s="207" t="s">
        <v>6267</v>
      </c>
      <c r="F117" s="215" t="s">
        <v>5919</v>
      </c>
      <c r="G117" s="233">
        <v>44606.0</v>
      </c>
      <c r="H117" s="233">
        <v>44597.0</v>
      </c>
      <c r="I117" s="405">
        <v>44615.0</v>
      </c>
      <c r="J117" s="402"/>
      <c r="K117" s="401"/>
      <c r="L117" s="210" t="s">
        <v>6268</v>
      </c>
      <c r="M117" s="157"/>
      <c r="N117" s="157"/>
      <c r="O117" s="157"/>
      <c r="P117" s="157"/>
      <c r="Q117" s="157"/>
      <c r="R117" s="157"/>
      <c r="S117" s="157"/>
      <c r="T117" s="157"/>
      <c r="U117" s="157"/>
      <c r="V117" s="157"/>
      <c r="W117" s="157"/>
      <c r="X117" s="157"/>
      <c r="Y117" s="157"/>
    </row>
    <row r="118" ht="52.5" customHeight="1">
      <c r="A118" s="258">
        <v>8.600001671E9</v>
      </c>
      <c r="B118" s="165" t="s">
        <v>25</v>
      </c>
      <c r="C118" s="215" t="s">
        <v>3372</v>
      </c>
      <c r="D118" s="396" t="s">
        <v>6269</v>
      </c>
      <c r="E118" s="213" t="s">
        <v>6270</v>
      </c>
      <c r="F118" s="215" t="s">
        <v>5919</v>
      </c>
      <c r="G118" s="233">
        <v>44604.0</v>
      </c>
      <c r="H118" s="233">
        <v>44600.0</v>
      </c>
      <c r="I118" s="259">
        <v>44615.0</v>
      </c>
      <c r="J118" s="220"/>
      <c r="K118" s="260"/>
      <c r="L118" s="210" t="s">
        <v>6271</v>
      </c>
      <c r="M118" s="157"/>
      <c r="N118" s="157"/>
      <c r="O118" s="157"/>
      <c r="P118" s="157"/>
      <c r="Q118" s="157"/>
      <c r="R118" s="157"/>
      <c r="S118" s="157"/>
      <c r="T118" s="157"/>
      <c r="U118" s="157"/>
      <c r="V118" s="157"/>
      <c r="W118" s="157"/>
      <c r="X118" s="157"/>
      <c r="Y118" s="157"/>
    </row>
    <row r="119" ht="54.75" customHeight="1">
      <c r="A119" s="258">
        <v>8.60000166E9</v>
      </c>
      <c r="B119" s="191" t="s">
        <v>14</v>
      </c>
      <c r="C119" s="215" t="s">
        <v>3436</v>
      </c>
      <c r="D119" s="215" t="s">
        <v>6272</v>
      </c>
      <c r="E119" s="213" t="s">
        <v>6273</v>
      </c>
      <c r="F119" s="215" t="s">
        <v>5919</v>
      </c>
      <c r="G119" s="233">
        <v>44602.0</v>
      </c>
      <c r="H119" s="233">
        <v>44596.0</v>
      </c>
      <c r="I119" s="405">
        <v>44608.0</v>
      </c>
      <c r="J119" s="195" t="s">
        <v>2117</v>
      </c>
      <c r="K119" s="196" t="s">
        <v>2117</v>
      </c>
      <c r="L119" s="207" t="s">
        <v>6274</v>
      </c>
      <c r="M119" s="157"/>
      <c r="N119" s="157"/>
      <c r="O119" s="157"/>
      <c r="P119" s="157"/>
      <c r="Q119" s="157"/>
      <c r="R119" s="157"/>
      <c r="S119" s="157"/>
      <c r="T119" s="157"/>
      <c r="U119" s="157"/>
      <c r="V119" s="157"/>
      <c r="W119" s="157"/>
      <c r="X119" s="157"/>
      <c r="Y119" s="157"/>
    </row>
    <row r="120" ht="56.25" customHeight="1">
      <c r="A120" s="258">
        <v>8.600001649E9</v>
      </c>
      <c r="B120" s="191" t="s">
        <v>25</v>
      </c>
      <c r="C120" s="215" t="s">
        <v>3404</v>
      </c>
      <c r="D120" s="396" t="s">
        <v>6275</v>
      </c>
      <c r="E120" s="218" t="s">
        <v>6276</v>
      </c>
      <c r="F120" s="215" t="s">
        <v>5919</v>
      </c>
      <c r="G120" s="233">
        <v>44591.0</v>
      </c>
      <c r="H120" s="233">
        <v>44587.0</v>
      </c>
      <c r="I120" s="405">
        <v>44606.0</v>
      </c>
      <c r="J120" s="195" t="s">
        <v>2117</v>
      </c>
      <c r="K120" s="196" t="s">
        <v>2117</v>
      </c>
      <c r="L120" s="207" t="s">
        <v>6277</v>
      </c>
      <c r="M120" s="157"/>
      <c r="N120" s="157"/>
      <c r="O120" s="157"/>
      <c r="P120" s="157"/>
      <c r="Q120" s="157"/>
      <c r="R120" s="157"/>
      <c r="S120" s="157"/>
      <c r="T120" s="157"/>
      <c r="U120" s="157"/>
      <c r="V120" s="157"/>
      <c r="W120" s="157"/>
      <c r="X120" s="157"/>
      <c r="Y120" s="157"/>
    </row>
    <row r="121" ht="53.25" customHeight="1">
      <c r="A121" s="258">
        <v>8.500000135E9</v>
      </c>
      <c r="B121" s="191" t="s">
        <v>21</v>
      </c>
      <c r="C121" s="215" t="s">
        <v>3420</v>
      </c>
      <c r="D121" s="215" t="s">
        <v>6278</v>
      </c>
      <c r="E121" s="213" t="s">
        <v>2116</v>
      </c>
      <c r="F121" s="215" t="s">
        <v>5919</v>
      </c>
      <c r="G121" s="233">
        <v>44590.0</v>
      </c>
      <c r="H121" s="233">
        <v>44574.0</v>
      </c>
      <c r="I121" s="405">
        <v>44602.0</v>
      </c>
      <c r="J121" s="402"/>
      <c r="K121" s="401"/>
      <c r="L121" s="210" t="s">
        <v>6279</v>
      </c>
      <c r="M121" s="157"/>
      <c r="N121" s="157"/>
      <c r="O121" s="157"/>
      <c r="P121" s="157"/>
      <c r="Q121" s="157"/>
      <c r="R121" s="157"/>
      <c r="S121" s="157"/>
      <c r="T121" s="157"/>
      <c r="U121" s="157"/>
      <c r="V121" s="157"/>
      <c r="W121" s="157"/>
      <c r="X121" s="157"/>
      <c r="Y121" s="157"/>
    </row>
    <row r="122" ht="48.0" customHeight="1">
      <c r="A122" s="258">
        <v>8.600001631E9</v>
      </c>
      <c r="B122" s="165" t="s">
        <v>25</v>
      </c>
      <c r="C122" s="215" t="s">
        <v>5598</v>
      </c>
      <c r="D122" s="396" t="s">
        <v>6280</v>
      </c>
      <c r="E122" s="213" t="s">
        <v>6281</v>
      </c>
      <c r="F122" s="215" t="s">
        <v>5919</v>
      </c>
      <c r="G122" s="233">
        <v>44584.0</v>
      </c>
      <c r="H122" s="233">
        <v>44579.0</v>
      </c>
      <c r="I122" s="259">
        <v>44592.0</v>
      </c>
      <c r="J122" s="195" t="s">
        <v>2117</v>
      </c>
      <c r="K122" s="196" t="s">
        <v>2117</v>
      </c>
      <c r="L122" s="210" t="s">
        <v>6282</v>
      </c>
      <c r="M122" s="157"/>
      <c r="N122" s="157"/>
      <c r="O122" s="157"/>
      <c r="P122" s="157"/>
      <c r="Q122" s="157"/>
      <c r="R122" s="157"/>
      <c r="S122" s="157"/>
      <c r="T122" s="157"/>
      <c r="U122" s="157"/>
      <c r="V122" s="157"/>
      <c r="W122" s="157"/>
      <c r="X122" s="157"/>
      <c r="Y122" s="157"/>
    </row>
    <row r="123" ht="52.5" customHeight="1">
      <c r="A123" s="258">
        <v>8.60000163E9</v>
      </c>
      <c r="B123" s="165" t="s">
        <v>4356</v>
      </c>
      <c r="C123" s="215" t="s">
        <v>3646</v>
      </c>
      <c r="D123" s="396" t="s">
        <v>6283</v>
      </c>
      <c r="E123" s="207" t="s">
        <v>6284</v>
      </c>
      <c r="F123" s="215" t="s">
        <v>5919</v>
      </c>
      <c r="G123" s="233">
        <v>44584.0</v>
      </c>
      <c r="H123" s="220">
        <v>44579.0</v>
      </c>
      <c r="I123" s="215" t="s">
        <v>6285</v>
      </c>
      <c r="J123" s="402"/>
      <c r="K123" s="401"/>
      <c r="L123" s="210" t="s">
        <v>6286</v>
      </c>
      <c r="M123" s="157"/>
      <c r="N123" s="157"/>
      <c r="O123" s="157"/>
      <c r="P123" s="157"/>
      <c r="Q123" s="157"/>
      <c r="R123" s="157"/>
      <c r="S123" s="157"/>
      <c r="T123" s="157"/>
      <c r="U123" s="157"/>
      <c r="V123" s="157"/>
      <c r="W123" s="157"/>
      <c r="X123" s="157"/>
      <c r="Y123" s="157"/>
    </row>
    <row r="124" ht="50.25" customHeight="1">
      <c r="A124" s="258">
        <v>8.600001647E9</v>
      </c>
      <c r="B124" s="165" t="s">
        <v>14</v>
      </c>
      <c r="C124" s="215" t="s">
        <v>5928</v>
      </c>
      <c r="D124" s="215" t="s">
        <v>6287</v>
      </c>
      <c r="E124" s="218" t="s">
        <v>6288</v>
      </c>
      <c r="F124" s="215" t="s">
        <v>5919</v>
      </c>
      <c r="G124" s="233">
        <v>44581.0</v>
      </c>
      <c r="H124" s="233">
        <v>44568.0</v>
      </c>
      <c r="I124" s="405">
        <v>44586.0</v>
      </c>
      <c r="J124" s="195" t="s">
        <v>2117</v>
      </c>
      <c r="K124" s="196" t="s">
        <v>2117</v>
      </c>
      <c r="L124" s="210" t="s">
        <v>6289</v>
      </c>
      <c r="M124" s="157"/>
      <c r="N124" s="157"/>
      <c r="O124" s="157"/>
      <c r="P124" s="157"/>
      <c r="Q124" s="157"/>
      <c r="R124" s="157"/>
      <c r="S124" s="157"/>
      <c r="T124" s="157"/>
      <c r="U124" s="157"/>
      <c r="V124" s="157"/>
      <c r="W124" s="157"/>
      <c r="X124" s="157"/>
      <c r="Y124" s="157"/>
    </row>
    <row r="125" ht="57.0" customHeight="1">
      <c r="A125" s="258">
        <v>8.60000164E9</v>
      </c>
      <c r="B125" s="165" t="s">
        <v>14</v>
      </c>
      <c r="C125" s="215" t="s">
        <v>6290</v>
      </c>
      <c r="D125" s="215" t="s">
        <v>6291</v>
      </c>
      <c r="E125" s="207" t="s">
        <v>6292</v>
      </c>
      <c r="F125" s="215" t="s">
        <v>5919</v>
      </c>
      <c r="G125" s="233">
        <v>44581.0</v>
      </c>
      <c r="H125" s="220">
        <v>44573.0</v>
      </c>
      <c r="I125" s="215" t="s">
        <v>6293</v>
      </c>
      <c r="J125" s="195" t="s">
        <v>2117</v>
      </c>
      <c r="K125" s="196" t="s">
        <v>2117</v>
      </c>
      <c r="L125" s="210" t="s">
        <v>6294</v>
      </c>
      <c r="M125" s="157"/>
      <c r="N125" s="157"/>
      <c r="O125" s="157"/>
      <c r="P125" s="157"/>
      <c r="Q125" s="157"/>
      <c r="R125" s="157"/>
      <c r="S125" s="157"/>
      <c r="T125" s="157"/>
      <c r="U125" s="157"/>
      <c r="V125" s="157"/>
      <c r="W125" s="157"/>
      <c r="X125" s="157"/>
      <c r="Y125" s="157"/>
    </row>
    <row r="126" ht="52.5" customHeight="1">
      <c r="A126" s="258">
        <v>8.600001665E9</v>
      </c>
      <c r="B126" s="165" t="s">
        <v>14</v>
      </c>
      <c r="C126" s="215" t="s">
        <v>3404</v>
      </c>
      <c r="D126" s="215" t="s">
        <v>6295</v>
      </c>
      <c r="E126" s="207" t="s">
        <v>6296</v>
      </c>
      <c r="F126" s="215" t="s">
        <v>5919</v>
      </c>
      <c r="G126" s="233">
        <v>44579.0</v>
      </c>
      <c r="H126" s="220">
        <v>44574.0</v>
      </c>
      <c r="I126" s="405">
        <v>44585.0</v>
      </c>
      <c r="J126" s="195" t="s">
        <v>2117</v>
      </c>
      <c r="K126" s="196" t="s">
        <v>2117</v>
      </c>
      <c r="L126" s="210" t="s">
        <v>6297</v>
      </c>
      <c r="M126" s="157"/>
      <c r="N126" s="157"/>
      <c r="O126" s="157"/>
      <c r="P126" s="157"/>
      <c r="Q126" s="157"/>
      <c r="R126" s="157"/>
      <c r="S126" s="157"/>
      <c r="T126" s="157"/>
      <c r="U126" s="157"/>
      <c r="V126" s="157"/>
      <c r="W126" s="157"/>
      <c r="X126" s="157"/>
      <c r="Y126" s="157"/>
    </row>
    <row r="127" ht="53.25" customHeight="1">
      <c r="A127" s="258">
        <v>8.600001588E9</v>
      </c>
      <c r="B127" s="191" t="s">
        <v>25</v>
      </c>
      <c r="C127" s="215" t="s">
        <v>5687</v>
      </c>
      <c r="D127" s="396" t="s">
        <v>6298</v>
      </c>
      <c r="E127" s="207" t="s">
        <v>6299</v>
      </c>
      <c r="F127" s="215" t="s">
        <v>5919</v>
      </c>
      <c r="G127" s="233">
        <v>44576.0</v>
      </c>
      <c r="H127" s="220">
        <v>44572.0</v>
      </c>
      <c r="I127" s="405">
        <v>44582.0</v>
      </c>
      <c r="J127" s="195" t="s">
        <v>2117</v>
      </c>
      <c r="K127" s="196" t="s">
        <v>2117</v>
      </c>
      <c r="L127" s="210" t="s">
        <v>6300</v>
      </c>
      <c r="M127" s="157"/>
      <c r="N127" s="157"/>
      <c r="O127" s="157"/>
      <c r="P127" s="157"/>
      <c r="Q127" s="157"/>
      <c r="R127" s="157"/>
      <c r="S127" s="157"/>
      <c r="T127" s="157"/>
      <c r="U127" s="157"/>
      <c r="V127" s="157"/>
      <c r="W127" s="157"/>
      <c r="X127" s="157"/>
      <c r="Y127" s="157"/>
    </row>
    <row r="128" ht="55.5" customHeight="1">
      <c r="A128" s="258">
        <v>8.600001656E9</v>
      </c>
      <c r="B128" s="191" t="s">
        <v>21</v>
      </c>
      <c r="C128" s="215" t="s">
        <v>3436</v>
      </c>
      <c r="D128" s="215" t="s">
        <v>6301</v>
      </c>
      <c r="E128" s="218" t="s">
        <v>6302</v>
      </c>
      <c r="F128" s="215" t="s">
        <v>5919</v>
      </c>
      <c r="G128" s="233">
        <v>44567.0</v>
      </c>
      <c r="H128" s="194">
        <v>44553.0</v>
      </c>
      <c r="I128" s="405">
        <v>44601.0</v>
      </c>
      <c r="J128" s="402"/>
      <c r="K128" s="401"/>
      <c r="L128" s="210" t="s">
        <v>6303</v>
      </c>
      <c r="M128" s="157"/>
      <c r="N128" s="157"/>
      <c r="O128" s="157"/>
      <c r="P128" s="157"/>
      <c r="Q128" s="157"/>
      <c r="R128" s="157"/>
      <c r="S128" s="157"/>
      <c r="T128" s="157"/>
      <c r="U128" s="157"/>
      <c r="V128" s="157"/>
      <c r="W128" s="157"/>
      <c r="X128" s="157"/>
      <c r="Y128" s="157"/>
    </row>
    <row r="129" ht="59.25" customHeight="1">
      <c r="A129" s="258">
        <v>8.600001619E9</v>
      </c>
      <c r="B129" s="165" t="s">
        <v>14</v>
      </c>
      <c r="C129" s="215" t="s">
        <v>5590</v>
      </c>
      <c r="D129" s="215" t="s">
        <v>6304</v>
      </c>
      <c r="E129" s="213" t="s">
        <v>5942</v>
      </c>
      <c r="F129" s="215" t="s">
        <v>5919</v>
      </c>
      <c r="G129" s="233">
        <v>44557.0</v>
      </c>
      <c r="H129" s="220">
        <v>44909.0</v>
      </c>
      <c r="I129" s="193">
        <v>44566.0</v>
      </c>
      <c r="J129" s="195" t="s">
        <v>2117</v>
      </c>
      <c r="K129" s="196" t="s">
        <v>2117</v>
      </c>
      <c r="L129" s="210" t="s">
        <v>6305</v>
      </c>
      <c r="M129" s="157"/>
      <c r="N129" s="157"/>
      <c r="O129" s="157"/>
      <c r="P129" s="157"/>
      <c r="Q129" s="157"/>
      <c r="R129" s="157"/>
      <c r="S129" s="157"/>
      <c r="T129" s="157"/>
      <c r="U129" s="157"/>
      <c r="V129" s="157"/>
      <c r="W129" s="157"/>
      <c r="X129" s="157"/>
      <c r="Y129" s="157"/>
    </row>
    <row r="130" ht="45.0" customHeight="1">
      <c r="A130" s="258">
        <v>8.500000127E9</v>
      </c>
      <c r="B130" s="165" t="s">
        <v>14</v>
      </c>
      <c r="C130" s="215" t="s">
        <v>6306</v>
      </c>
      <c r="D130" s="215" t="s">
        <v>6307</v>
      </c>
      <c r="E130" s="213" t="s">
        <v>5581</v>
      </c>
      <c r="F130" s="215" t="s">
        <v>5919</v>
      </c>
      <c r="G130" s="233">
        <v>44545.0</v>
      </c>
      <c r="H130" s="194">
        <v>44547.0</v>
      </c>
      <c r="I130" s="194">
        <v>44565.0</v>
      </c>
      <c r="J130" s="195" t="s">
        <v>2117</v>
      </c>
      <c r="K130" s="196" t="s">
        <v>2117</v>
      </c>
      <c r="L130" s="210" t="s">
        <v>6308</v>
      </c>
    </row>
    <row r="131" ht="56.25" customHeight="1">
      <c r="A131" s="258">
        <v>8.600001601E9</v>
      </c>
      <c r="B131" s="191" t="s">
        <v>4356</v>
      </c>
      <c r="C131" s="215" t="s">
        <v>3436</v>
      </c>
      <c r="D131" s="396" t="s">
        <v>6309</v>
      </c>
      <c r="E131" s="213" t="s">
        <v>6310</v>
      </c>
      <c r="F131" s="215" t="s">
        <v>5919</v>
      </c>
      <c r="G131" s="233">
        <v>44514.0</v>
      </c>
      <c r="H131" s="220">
        <v>44517.0</v>
      </c>
      <c r="I131" s="215" t="s">
        <v>6311</v>
      </c>
      <c r="J131" s="402"/>
      <c r="K131" s="401"/>
      <c r="L131" s="210" t="s">
        <v>6312</v>
      </c>
      <c r="N131" s="420"/>
    </row>
    <row r="132" ht="12.75" customHeight="1">
      <c r="I132" s="411"/>
    </row>
    <row r="133" ht="12.75" customHeight="1">
      <c r="I133" s="411"/>
    </row>
    <row r="134" ht="12.75" customHeight="1">
      <c r="I134" s="411"/>
    </row>
    <row r="135" ht="12.75" customHeight="1">
      <c r="I135" s="411"/>
    </row>
    <row r="136" ht="12.75" customHeight="1">
      <c r="I136" s="411"/>
    </row>
    <row r="137" ht="12.75" customHeight="1">
      <c r="I137" s="411"/>
    </row>
    <row r="138" ht="12.75" customHeight="1">
      <c r="I138" s="411"/>
    </row>
    <row r="139" ht="12.75" customHeight="1">
      <c r="I139" s="411"/>
    </row>
    <row r="140" ht="12.75" customHeight="1">
      <c r="I140" s="411"/>
    </row>
    <row r="141" ht="12.75" customHeight="1">
      <c r="I141" s="411"/>
    </row>
    <row r="142" ht="12.75" customHeight="1">
      <c r="I142" s="411"/>
    </row>
    <row r="143" ht="12.75" customHeight="1">
      <c r="I143" s="411"/>
    </row>
    <row r="144" ht="12.75" customHeight="1">
      <c r="I144" s="411"/>
    </row>
    <row r="145" ht="12.75" customHeight="1">
      <c r="I145" s="411"/>
    </row>
    <row r="146" ht="12.75" customHeight="1">
      <c r="I146" s="411"/>
    </row>
    <row r="147" ht="12.75" customHeight="1">
      <c r="I147" s="411"/>
    </row>
    <row r="148" ht="12.75" customHeight="1">
      <c r="I148" s="411"/>
    </row>
    <row r="149" ht="12.75" customHeight="1">
      <c r="I149" s="411"/>
    </row>
    <row r="150" ht="12.75" customHeight="1">
      <c r="I150" s="411"/>
    </row>
    <row r="151" ht="12.75" customHeight="1">
      <c r="I151" s="411"/>
    </row>
    <row r="152" ht="12.75" customHeight="1">
      <c r="I152" s="411"/>
    </row>
    <row r="153" ht="12.75" customHeight="1">
      <c r="I153" s="411"/>
    </row>
    <row r="154" ht="12.75" customHeight="1">
      <c r="I154" s="411"/>
    </row>
    <row r="155" ht="12.75" customHeight="1">
      <c r="I155" s="411"/>
    </row>
    <row r="156" ht="12.75" customHeight="1">
      <c r="I156" s="411"/>
    </row>
    <row r="157" ht="12.75" customHeight="1">
      <c r="I157" s="411"/>
    </row>
    <row r="158" ht="12.75" customHeight="1">
      <c r="I158" s="411"/>
    </row>
    <row r="159" ht="12.75" customHeight="1">
      <c r="I159" s="411"/>
    </row>
    <row r="160" ht="12.75" customHeight="1">
      <c r="I160" s="411"/>
    </row>
    <row r="161" ht="12.75" customHeight="1">
      <c r="I161" s="411"/>
    </row>
    <row r="162" ht="12.75" customHeight="1">
      <c r="I162" s="411"/>
    </row>
    <row r="163" ht="12.75" customHeight="1">
      <c r="I163" s="411"/>
    </row>
    <row r="164" ht="12.75" customHeight="1">
      <c r="I164" s="411"/>
    </row>
    <row r="165" ht="12.75" customHeight="1">
      <c r="I165" s="411"/>
    </row>
    <row r="166" ht="12.75" customHeight="1">
      <c r="I166" s="411"/>
    </row>
    <row r="167" ht="12.75" customHeight="1">
      <c r="I167" s="411"/>
    </row>
    <row r="168" ht="12.75" customHeight="1">
      <c r="I168" s="411"/>
    </row>
    <row r="169" ht="12.75" customHeight="1">
      <c r="I169" s="411"/>
    </row>
    <row r="170" ht="12.75" customHeight="1">
      <c r="I170" s="411"/>
    </row>
    <row r="171" ht="12.75" customHeight="1">
      <c r="I171" s="411"/>
    </row>
    <row r="172" ht="12.75" customHeight="1">
      <c r="I172" s="411"/>
    </row>
    <row r="173" ht="12.75" customHeight="1">
      <c r="I173" s="411"/>
    </row>
    <row r="174" ht="12.75" customHeight="1">
      <c r="I174" s="411"/>
    </row>
    <row r="175" ht="12.75" customHeight="1">
      <c r="I175" s="411"/>
    </row>
    <row r="176" ht="12.75" customHeight="1">
      <c r="I176" s="411"/>
    </row>
    <row r="177" ht="12.75" customHeight="1">
      <c r="I177" s="411"/>
    </row>
    <row r="178" ht="12.75" customHeight="1">
      <c r="I178" s="411"/>
    </row>
    <row r="179" ht="12.75" customHeight="1">
      <c r="I179" s="411"/>
    </row>
    <row r="180" ht="12.75" customHeight="1">
      <c r="I180" s="411"/>
    </row>
    <row r="181" ht="12.75" customHeight="1">
      <c r="I181" s="411"/>
    </row>
    <row r="182" ht="12.75" customHeight="1">
      <c r="I182" s="411"/>
    </row>
    <row r="183" ht="12.75" customHeight="1">
      <c r="I183" s="411"/>
    </row>
    <row r="184" ht="12.75" customHeight="1">
      <c r="I184" s="411"/>
    </row>
    <row r="185" ht="12.75" customHeight="1">
      <c r="I185" s="411"/>
    </row>
    <row r="186" ht="12.75" customHeight="1">
      <c r="I186" s="411"/>
    </row>
    <row r="187" ht="12.75" customHeight="1">
      <c r="I187" s="411"/>
    </row>
    <row r="188" ht="12.75" customHeight="1">
      <c r="I188" s="411"/>
    </row>
    <row r="189" ht="12.75" customHeight="1">
      <c r="I189" s="411"/>
    </row>
    <row r="190" ht="12.75" customHeight="1">
      <c r="I190" s="411"/>
    </row>
    <row r="191" ht="12.75" customHeight="1">
      <c r="I191" s="411"/>
    </row>
    <row r="192" ht="12.75" customHeight="1">
      <c r="I192" s="411"/>
    </row>
    <row r="193" ht="12.75" customHeight="1">
      <c r="I193" s="411"/>
    </row>
    <row r="194" ht="12.75" customHeight="1">
      <c r="I194" s="411"/>
    </row>
    <row r="195" ht="12.75" customHeight="1">
      <c r="I195" s="411"/>
    </row>
    <row r="196" ht="12.75" customHeight="1">
      <c r="I196" s="411"/>
    </row>
    <row r="197" ht="12.75" customHeight="1">
      <c r="I197" s="411"/>
    </row>
    <row r="198" ht="12.75" customHeight="1">
      <c r="I198" s="411"/>
    </row>
    <row r="199" ht="12.75" customHeight="1">
      <c r="I199" s="411"/>
    </row>
    <row r="200" ht="12.75" customHeight="1">
      <c r="I200" s="411"/>
    </row>
    <row r="201" ht="12.75" customHeight="1">
      <c r="I201" s="411"/>
    </row>
    <row r="202" ht="12.75" customHeight="1">
      <c r="I202" s="411"/>
    </row>
    <row r="203" ht="12.75" customHeight="1">
      <c r="I203" s="411"/>
    </row>
    <row r="204" ht="12.75" customHeight="1">
      <c r="I204" s="411"/>
    </row>
    <row r="205" ht="12.75" customHeight="1">
      <c r="I205" s="411"/>
    </row>
    <row r="206" ht="12.75" customHeight="1">
      <c r="I206" s="411"/>
    </row>
    <row r="207" ht="12.75" customHeight="1">
      <c r="I207" s="411"/>
    </row>
    <row r="208" ht="12.75" customHeight="1">
      <c r="I208" s="411"/>
    </row>
    <row r="209" ht="12.75" customHeight="1">
      <c r="I209" s="411"/>
    </row>
    <row r="210" ht="12.75" customHeight="1">
      <c r="I210" s="411"/>
    </row>
    <row r="211" ht="12.75" customHeight="1">
      <c r="I211" s="411"/>
    </row>
    <row r="212" ht="12.75" customHeight="1">
      <c r="I212" s="411"/>
    </row>
    <row r="213" ht="12.75" customHeight="1">
      <c r="I213" s="411"/>
    </row>
    <row r="214" ht="12.75" customHeight="1">
      <c r="I214" s="411"/>
    </row>
    <row r="215" ht="12.75" customHeight="1">
      <c r="I215" s="411"/>
    </row>
    <row r="216" ht="12.75" customHeight="1">
      <c r="I216" s="411"/>
    </row>
    <row r="217" ht="12.75" customHeight="1">
      <c r="I217" s="411"/>
    </row>
    <row r="218" ht="12.75" customHeight="1">
      <c r="I218" s="411"/>
    </row>
    <row r="219" ht="12.75" customHeight="1">
      <c r="I219" s="411"/>
    </row>
    <row r="220" ht="12.75" customHeight="1">
      <c r="I220" s="411"/>
    </row>
    <row r="221" ht="12.75" customHeight="1">
      <c r="I221" s="411"/>
    </row>
    <row r="222" ht="12.75" customHeight="1">
      <c r="I222" s="411"/>
    </row>
    <row r="223" ht="12.75" customHeight="1">
      <c r="I223" s="411"/>
    </row>
    <row r="224" ht="12.75" customHeight="1">
      <c r="I224" s="411"/>
    </row>
    <row r="225" ht="12.75" customHeight="1">
      <c r="I225" s="411"/>
    </row>
    <row r="226" ht="12.75" customHeight="1">
      <c r="I226" s="411"/>
    </row>
    <row r="227" ht="12.75" customHeight="1">
      <c r="I227" s="411"/>
    </row>
    <row r="228" ht="12.75" customHeight="1">
      <c r="I228" s="411"/>
    </row>
    <row r="229" ht="12.75" customHeight="1">
      <c r="I229" s="411"/>
    </row>
    <row r="230" ht="12.75" customHeight="1">
      <c r="I230" s="411"/>
    </row>
    <row r="231" ht="12.75" customHeight="1">
      <c r="I231" s="411"/>
    </row>
    <row r="232" ht="12.75" customHeight="1">
      <c r="I232" s="411"/>
    </row>
    <row r="233" ht="12.75" customHeight="1">
      <c r="I233" s="411"/>
    </row>
    <row r="234" ht="12.75" customHeight="1">
      <c r="I234" s="411"/>
    </row>
    <row r="235" ht="12.75" customHeight="1">
      <c r="I235" s="411"/>
    </row>
    <row r="236" ht="12.75" customHeight="1">
      <c r="I236" s="411"/>
    </row>
    <row r="237" ht="12.75" customHeight="1">
      <c r="I237" s="411"/>
    </row>
    <row r="238" ht="12.75" customHeight="1">
      <c r="I238" s="411"/>
    </row>
    <row r="239" ht="12.75" customHeight="1">
      <c r="I239" s="411"/>
    </row>
    <row r="240" ht="12.75" customHeight="1">
      <c r="I240" s="411"/>
    </row>
    <row r="241" ht="12.75" customHeight="1">
      <c r="I241" s="411"/>
    </row>
    <row r="242" ht="12.75" customHeight="1">
      <c r="I242" s="411"/>
    </row>
    <row r="243" ht="12.75" customHeight="1">
      <c r="I243" s="411"/>
    </row>
    <row r="244" ht="12.75" customHeight="1">
      <c r="I244" s="411"/>
    </row>
    <row r="245" ht="12.75" customHeight="1">
      <c r="I245" s="411"/>
    </row>
    <row r="246" ht="12.75" customHeight="1">
      <c r="I246" s="411"/>
    </row>
    <row r="247" ht="12.75" customHeight="1">
      <c r="I247" s="411"/>
    </row>
    <row r="248" ht="12.75" customHeight="1">
      <c r="I248" s="411"/>
    </row>
    <row r="249" ht="12.75" customHeight="1">
      <c r="I249" s="411"/>
    </row>
    <row r="250" ht="12.75" customHeight="1">
      <c r="I250" s="411"/>
    </row>
    <row r="251" ht="12.75" customHeight="1">
      <c r="I251" s="411"/>
    </row>
    <row r="252" ht="12.75" customHeight="1">
      <c r="I252" s="411"/>
    </row>
    <row r="253" ht="12.75" customHeight="1">
      <c r="I253" s="411"/>
    </row>
    <row r="254" ht="12.75" customHeight="1">
      <c r="I254" s="411"/>
    </row>
    <row r="255" ht="12.75" customHeight="1">
      <c r="I255" s="411"/>
    </row>
    <row r="256" ht="12.75" customHeight="1">
      <c r="I256" s="411"/>
    </row>
    <row r="257" ht="12.75" customHeight="1">
      <c r="I257" s="411"/>
    </row>
    <row r="258" ht="12.75" customHeight="1">
      <c r="I258" s="411"/>
    </row>
    <row r="259" ht="12.75" customHeight="1">
      <c r="I259" s="411"/>
    </row>
    <row r="260" ht="12.75" customHeight="1">
      <c r="I260" s="411"/>
    </row>
    <row r="261" ht="12.75" customHeight="1">
      <c r="I261" s="411"/>
    </row>
    <row r="262" ht="12.75" customHeight="1">
      <c r="I262" s="411"/>
    </row>
    <row r="263" ht="12.75" customHeight="1">
      <c r="I263" s="411"/>
    </row>
    <row r="264" ht="12.75" customHeight="1">
      <c r="I264" s="411"/>
    </row>
    <row r="265" ht="12.75" customHeight="1">
      <c r="I265" s="411"/>
    </row>
    <row r="266" ht="12.75" customHeight="1">
      <c r="I266" s="411"/>
    </row>
    <row r="267" ht="12.75" customHeight="1">
      <c r="I267" s="411"/>
    </row>
    <row r="268" ht="12.75" customHeight="1">
      <c r="I268" s="411"/>
    </row>
    <row r="269" ht="12.75" customHeight="1">
      <c r="I269" s="411"/>
    </row>
    <row r="270" ht="12.75" customHeight="1">
      <c r="I270" s="411"/>
    </row>
    <row r="271" ht="12.75" customHeight="1">
      <c r="I271" s="411"/>
    </row>
    <row r="272" ht="12.75" customHeight="1">
      <c r="I272" s="411"/>
    </row>
    <row r="273" ht="12.75" customHeight="1">
      <c r="I273" s="411"/>
    </row>
    <row r="274" ht="12.75" customHeight="1">
      <c r="I274" s="411"/>
    </row>
    <row r="275" ht="12.75" customHeight="1">
      <c r="I275" s="411"/>
    </row>
    <row r="276" ht="12.75" customHeight="1">
      <c r="I276" s="411"/>
    </row>
    <row r="277" ht="12.75" customHeight="1">
      <c r="I277" s="411"/>
    </row>
    <row r="278" ht="12.75" customHeight="1">
      <c r="I278" s="411"/>
    </row>
    <row r="279" ht="12.75" customHeight="1">
      <c r="I279" s="411"/>
    </row>
    <row r="280" ht="12.75" customHeight="1">
      <c r="I280" s="411"/>
    </row>
    <row r="281" ht="12.75" customHeight="1">
      <c r="I281" s="411"/>
    </row>
    <row r="282" ht="12.75" customHeight="1">
      <c r="I282" s="411"/>
    </row>
    <row r="283" ht="12.75" customHeight="1">
      <c r="I283" s="411"/>
    </row>
    <row r="284" ht="12.75" customHeight="1">
      <c r="I284" s="411"/>
    </row>
    <row r="285" ht="12.75" customHeight="1">
      <c r="I285" s="411"/>
    </row>
    <row r="286" ht="12.75" customHeight="1">
      <c r="I286" s="411"/>
    </row>
    <row r="287" ht="12.75" customHeight="1">
      <c r="I287" s="411"/>
    </row>
    <row r="288" ht="12.75" customHeight="1">
      <c r="I288" s="411"/>
    </row>
    <row r="289" ht="12.75" customHeight="1">
      <c r="I289" s="411"/>
    </row>
    <row r="290" ht="12.75" customHeight="1">
      <c r="I290" s="411"/>
    </row>
    <row r="291" ht="12.75" customHeight="1">
      <c r="I291" s="411"/>
    </row>
    <row r="292" ht="12.75" customHeight="1">
      <c r="I292" s="411"/>
    </row>
    <row r="293" ht="12.75" customHeight="1">
      <c r="I293" s="411"/>
    </row>
    <row r="294" ht="12.75" customHeight="1">
      <c r="I294" s="411"/>
    </row>
    <row r="295" ht="12.75" customHeight="1">
      <c r="I295" s="411"/>
    </row>
    <row r="296" ht="12.75" customHeight="1">
      <c r="I296" s="411"/>
    </row>
    <row r="297" ht="12.75" customHeight="1">
      <c r="I297" s="411"/>
    </row>
    <row r="298" ht="12.75" customHeight="1">
      <c r="I298" s="411"/>
    </row>
    <row r="299" ht="12.75" customHeight="1">
      <c r="I299" s="411"/>
    </row>
    <row r="300" ht="12.75" customHeight="1">
      <c r="I300" s="411"/>
    </row>
    <row r="301" ht="12.75" customHeight="1">
      <c r="I301" s="411"/>
    </row>
    <row r="302" ht="12.75" customHeight="1">
      <c r="I302" s="411"/>
    </row>
    <row r="303" ht="12.75" customHeight="1">
      <c r="I303" s="411"/>
    </row>
    <row r="304" ht="12.75" customHeight="1">
      <c r="I304" s="411"/>
    </row>
    <row r="305" ht="12.75" customHeight="1">
      <c r="I305" s="411"/>
    </row>
    <row r="306" ht="12.75" customHeight="1">
      <c r="I306" s="411"/>
    </row>
    <row r="307" ht="12.75" customHeight="1">
      <c r="I307" s="411"/>
    </row>
    <row r="308" ht="12.75" customHeight="1">
      <c r="I308" s="411"/>
    </row>
    <row r="309" ht="12.75" customHeight="1">
      <c r="I309" s="411"/>
    </row>
    <row r="310" ht="12.75" customHeight="1">
      <c r="I310" s="411"/>
    </row>
    <row r="311" ht="12.75" customHeight="1">
      <c r="I311" s="411"/>
    </row>
    <row r="312" ht="12.75" customHeight="1">
      <c r="I312" s="411"/>
    </row>
    <row r="313" ht="12.75" customHeight="1">
      <c r="I313" s="411"/>
    </row>
    <row r="314" ht="12.75" customHeight="1">
      <c r="I314" s="411"/>
    </row>
    <row r="315" ht="12.75" customHeight="1">
      <c r="I315" s="411"/>
    </row>
    <row r="316" ht="12.75" customHeight="1">
      <c r="I316" s="411"/>
    </row>
    <row r="317" ht="12.75" customHeight="1">
      <c r="I317" s="411"/>
    </row>
    <row r="318" ht="12.75" customHeight="1">
      <c r="I318" s="411"/>
    </row>
    <row r="319" ht="12.75" customHeight="1">
      <c r="I319" s="411"/>
    </row>
    <row r="320" ht="12.75" customHeight="1">
      <c r="I320" s="411"/>
    </row>
    <row r="321" ht="12.75" customHeight="1">
      <c r="I321" s="411"/>
    </row>
    <row r="322" ht="12.75" customHeight="1">
      <c r="I322" s="411"/>
    </row>
    <row r="323" ht="12.75" customHeight="1">
      <c r="I323" s="411"/>
    </row>
    <row r="324" ht="12.75" customHeight="1">
      <c r="I324" s="411"/>
    </row>
    <row r="325" ht="12.75" customHeight="1">
      <c r="I325" s="411"/>
    </row>
    <row r="326" ht="12.75" customHeight="1">
      <c r="I326" s="411"/>
    </row>
    <row r="327" ht="12.75" customHeight="1">
      <c r="I327" s="411"/>
    </row>
    <row r="328" ht="12.75" customHeight="1">
      <c r="I328" s="411"/>
    </row>
    <row r="329" ht="12.75" customHeight="1">
      <c r="I329" s="411"/>
    </row>
    <row r="330" ht="12.75" customHeight="1">
      <c r="I330" s="411"/>
    </row>
    <row r="331" ht="12.75" customHeight="1">
      <c r="I331" s="411"/>
    </row>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L$131">
    <sortState ref="A2:L131">
      <sortCondition descending="1" ref="F2:F131"/>
      <sortCondition descending="1" ref="G2:G131"/>
    </sortState>
  </autoFilter>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s>
  <printOptions/>
  <pageMargins bottom="0.75" footer="0.0" header="0.0" left="0.7" right="0.7" top="0.75"/>
  <pageSetup orientation="landscape"/>
  <drawing r:id="rId13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86"/>
    <col customWidth="1" min="2" max="2" width="10.71"/>
    <col customWidth="1" min="3" max="3" width="9.71"/>
    <col customWidth="1" min="4" max="4" width="18.14"/>
    <col customWidth="1" min="5" max="5" width="39.43"/>
    <col customWidth="1" min="6" max="6" width="11.29"/>
    <col customWidth="1" min="7" max="7" width="12.29"/>
    <col customWidth="1" min="8" max="8" width="13.0"/>
    <col customWidth="1" min="9" max="9" width="13.29"/>
    <col customWidth="1" min="10" max="10" width="52.86"/>
    <col customWidth="1" min="11" max="11" width="13.43"/>
    <col customWidth="1" min="12" max="12" width="12.86"/>
    <col customWidth="1" min="13" max="13" width="33.43"/>
    <col customWidth="1" min="15" max="15" width="16.86"/>
    <col customWidth="1" min="17" max="17" width="33.0"/>
  </cols>
  <sheetData>
    <row r="1" ht="51.0" customHeight="1">
      <c r="A1" s="269"/>
      <c r="B1" s="421" t="s">
        <v>6313</v>
      </c>
      <c r="C1" s="269"/>
      <c r="D1" s="358" t="s">
        <v>6314</v>
      </c>
      <c r="E1" s="270" t="s">
        <v>3</v>
      </c>
      <c r="F1" s="422" t="s">
        <v>6315</v>
      </c>
      <c r="G1" s="359" t="s">
        <v>5915</v>
      </c>
      <c r="H1" s="360" t="s">
        <v>2106</v>
      </c>
      <c r="I1" s="360" t="s">
        <v>2522</v>
      </c>
      <c r="J1" s="361" t="s">
        <v>2107</v>
      </c>
      <c r="K1" s="269"/>
      <c r="L1" s="269"/>
      <c r="M1" s="274"/>
      <c r="N1" s="269"/>
      <c r="O1" s="269"/>
      <c r="P1" s="275"/>
      <c r="Q1" s="423"/>
      <c r="R1" s="364"/>
      <c r="S1" s="364"/>
      <c r="T1" s="364"/>
      <c r="U1" s="364"/>
      <c r="V1" s="364"/>
      <c r="W1" s="364"/>
      <c r="X1" s="364"/>
      <c r="Y1" s="364"/>
      <c r="Z1" s="364"/>
      <c r="AA1" s="364"/>
    </row>
    <row r="2" ht="51.0" customHeight="1">
      <c r="A2" s="277" t="s">
        <v>7</v>
      </c>
      <c r="B2" s="278" t="s">
        <v>6316</v>
      </c>
      <c r="C2" s="277" t="s">
        <v>6317</v>
      </c>
      <c r="D2" s="277" t="s">
        <v>10</v>
      </c>
      <c r="E2" s="279" t="s">
        <v>11</v>
      </c>
      <c r="F2" s="277" t="s">
        <v>5916</v>
      </c>
      <c r="G2" s="277" t="s">
        <v>12</v>
      </c>
      <c r="H2" s="277" t="s">
        <v>12</v>
      </c>
      <c r="I2" s="277" t="s">
        <v>12</v>
      </c>
      <c r="J2" s="277" t="s">
        <v>12</v>
      </c>
      <c r="K2" s="365" t="s">
        <v>2111</v>
      </c>
      <c r="L2" s="365" t="s">
        <v>2112</v>
      </c>
      <c r="M2" s="277" t="s">
        <v>2113</v>
      </c>
      <c r="N2" s="277" t="s">
        <v>493</v>
      </c>
      <c r="O2" s="277" t="s">
        <v>1025</v>
      </c>
      <c r="P2" s="283" t="s">
        <v>2523</v>
      </c>
      <c r="Q2" s="424"/>
      <c r="R2" s="342"/>
      <c r="S2" s="342"/>
      <c r="T2" s="342"/>
      <c r="U2" s="342"/>
      <c r="V2" s="342"/>
      <c r="W2" s="342"/>
      <c r="X2" s="342"/>
      <c r="Y2" s="342"/>
      <c r="Z2" s="342"/>
      <c r="AA2" s="342"/>
    </row>
    <row r="3" ht="66.75" customHeight="1">
      <c r="A3" s="370">
        <v>37443.0</v>
      </c>
      <c r="B3" s="299" t="s">
        <v>715</v>
      </c>
      <c r="C3" s="285">
        <v>940.0</v>
      </c>
      <c r="D3" s="285" t="s">
        <v>6318</v>
      </c>
      <c r="E3" s="287" t="s">
        <v>6319</v>
      </c>
      <c r="F3" s="285" t="s">
        <v>5919</v>
      </c>
      <c r="G3" s="288">
        <v>44925.0</v>
      </c>
      <c r="H3" s="288">
        <v>44924.0</v>
      </c>
      <c r="I3" s="288">
        <v>44924.0</v>
      </c>
      <c r="J3" s="288">
        <v>44932.0</v>
      </c>
      <c r="K3" s="294"/>
      <c r="L3" s="294"/>
      <c r="M3" s="290" t="s">
        <v>6320</v>
      </c>
      <c r="N3" s="285" t="s">
        <v>4635</v>
      </c>
      <c r="O3" s="299" t="s">
        <v>2621</v>
      </c>
      <c r="P3" s="300">
        <v>48943.0</v>
      </c>
      <c r="Q3" s="213"/>
      <c r="R3" s="198"/>
      <c r="S3" s="198"/>
      <c r="T3" s="198"/>
      <c r="U3" s="198"/>
      <c r="V3" s="198"/>
      <c r="W3" s="198"/>
      <c r="X3" s="198"/>
      <c r="Y3" s="198"/>
      <c r="Z3" s="198"/>
      <c r="AA3" s="198"/>
    </row>
    <row r="4" ht="57.75" customHeight="1">
      <c r="A4" s="370">
        <v>37023.0</v>
      </c>
      <c r="B4" s="285" t="s">
        <v>21</v>
      </c>
      <c r="C4" s="285">
        <v>2680.0</v>
      </c>
      <c r="D4" s="285" t="s">
        <v>6321</v>
      </c>
      <c r="E4" s="287" t="s">
        <v>6322</v>
      </c>
      <c r="F4" s="285" t="s">
        <v>5919</v>
      </c>
      <c r="G4" s="288">
        <v>44914.0</v>
      </c>
      <c r="H4" s="288">
        <v>44910.0</v>
      </c>
      <c r="I4" s="288">
        <v>44910.0</v>
      </c>
      <c r="J4" s="288">
        <v>44917.0</v>
      </c>
      <c r="K4" s="425" t="s">
        <v>6323</v>
      </c>
      <c r="L4" s="294"/>
      <c r="M4" s="290" t="s">
        <v>6324</v>
      </c>
      <c r="N4" s="285" t="s">
        <v>497</v>
      </c>
      <c r="O4" s="299" t="s">
        <v>2604</v>
      </c>
      <c r="P4" s="300">
        <v>85150.0</v>
      </c>
      <c r="Q4" s="213"/>
      <c r="R4" s="198"/>
      <c r="S4" s="198"/>
      <c r="T4" s="198"/>
      <c r="U4" s="198"/>
      <c r="V4" s="198"/>
      <c r="W4" s="198"/>
      <c r="X4" s="198"/>
      <c r="Y4" s="198"/>
      <c r="Z4" s="198"/>
      <c r="AA4" s="198"/>
    </row>
    <row r="5" ht="57.75" customHeight="1">
      <c r="A5" s="370">
        <v>37445.0</v>
      </c>
      <c r="B5" s="285" t="s">
        <v>21</v>
      </c>
      <c r="C5" s="285">
        <v>940.0</v>
      </c>
      <c r="D5" s="285" t="s">
        <v>6325</v>
      </c>
      <c r="E5" s="287" t="s">
        <v>6326</v>
      </c>
      <c r="F5" s="285" t="s">
        <v>5919</v>
      </c>
      <c r="G5" s="288">
        <v>44912.0</v>
      </c>
      <c r="H5" s="288">
        <v>44907.0</v>
      </c>
      <c r="I5" s="288">
        <v>44907.0</v>
      </c>
      <c r="J5" s="288">
        <v>44923.0</v>
      </c>
      <c r="K5" s="425" t="s">
        <v>6327</v>
      </c>
      <c r="L5" s="294"/>
      <c r="M5" s="290" t="s">
        <v>6328</v>
      </c>
      <c r="N5" s="285" t="s">
        <v>4635</v>
      </c>
      <c r="O5" s="299" t="s">
        <v>2621</v>
      </c>
      <c r="P5" s="300">
        <v>84146.3</v>
      </c>
      <c r="Q5" s="213"/>
      <c r="R5" s="198"/>
      <c r="S5" s="198"/>
      <c r="T5" s="198"/>
      <c r="U5" s="198"/>
      <c r="V5" s="198"/>
      <c r="W5" s="198"/>
      <c r="X5" s="198"/>
      <c r="Y5" s="198"/>
      <c r="Z5" s="198"/>
      <c r="AA5" s="198"/>
    </row>
    <row r="6" ht="66.75" customHeight="1">
      <c r="A6" s="370">
        <v>36845.0</v>
      </c>
      <c r="B6" s="299" t="s">
        <v>25</v>
      </c>
      <c r="C6" s="285">
        <v>1826.0</v>
      </c>
      <c r="D6" s="285" t="s">
        <v>6329</v>
      </c>
      <c r="E6" s="287" t="s">
        <v>3740</v>
      </c>
      <c r="F6" s="285" t="s">
        <v>5919</v>
      </c>
      <c r="G6" s="288">
        <v>44910.0</v>
      </c>
      <c r="H6" s="288">
        <v>44906.0</v>
      </c>
      <c r="I6" s="288">
        <v>44906.0</v>
      </c>
      <c r="J6" s="288">
        <v>44931.0</v>
      </c>
      <c r="K6" s="294"/>
      <c r="L6" s="294"/>
      <c r="M6" s="290" t="s">
        <v>6330</v>
      </c>
      <c r="N6" s="285" t="s">
        <v>497</v>
      </c>
      <c r="O6" s="299" t="s">
        <v>4711</v>
      </c>
      <c r="P6" s="300">
        <v>38169.72</v>
      </c>
      <c r="Q6" s="213"/>
      <c r="R6" s="198"/>
      <c r="S6" s="198"/>
      <c r="T6" s="198"/>
      <c r="U6" s="198"/>
      <c r="V6" s="198"/>
      <c r="W6" s="198"/>
      <c r="X6" s="198"/>
      <c r="Y6" s="198"/>
      <c r="Z6" s="198"/>
      <c r="AA6" s="198"/>
    </row>
    <row r="7" ht="57.75" customHeight="1">
      <c r="A7" s="370">
        <v>37356.0</v>
      </c>
      <c r="B7" s="299" t="s">
        <v>715</v>
      </c>
      <c r="C7" s="285">
        <v>940.0</v>
      </c>
      <c r="D7" s="285" t="s">
        <v>6331</v>
      </c>
      <c r="E7" s="287" t="s">
        <v>6332</v>
      </c>
      <c r="F7" s="285" t="s">
        <v>5919</v>
      </c>
      <c r="G7" s="288">
        <v>44905.0</v>
      </c>
      <c r="H7" s="288">
        <v>44887.0</v>
      </c>
      <c r="I7" s="288">
        <v>44887.0</v>
      </c>
      <c r="J7" s="288">
        <v>44910.0</v>
      </c>
      <c r="K7" s="294"/>
      <c r="L7" s="294"/>
      <c r="M7" s="290" t="s">
        <v>6333</v>
      </c>
      <c r="N7" s="285" t="s">
        <v>4635</v>
      </c>
      <c r="O7" s="299" t="s">
        <v>2621</v>
      </c>
      <c r="P7" s="300">
        <v>51252.0</v>
      </c>
      <c r="Q7" s="213"/>
      <c r="R7" s="198"/>
      <c r="S7" s="198"/>
      <c r="T7" s="198"/>
      <c r="U7" s="198"/>
      <c r="V7" s="198"/>
      <c r="W7" s="198"/>
      <c r="X7" s="198"/>
      <c r="Y7" s="198"/>
      <c r="Z7" s="198"/>
      <c r="AA7" s="198"/>
    </row>
    <row r="8" ht="57.75" customHeight="1">
      <c r="A8" s="370">
        <v>37182.0</v>
      </c>
      <c r="B8" s="285" t="s">
        <v>21</v>
      </c>
      <c r="C8" s="285" t="s">
        <v>6334</v>
      </c>
      <c r="D8" s="285" t="s">
        <v>6335</v>
      </c>
      <c r="E8" s="287" t="s">
        <v>4734</v>
      </c>
      <c r="F8" s="285" t="s">
        <v>5919</v>
      </c>
      <c r="G8" s="288">
        <v>44902.0</v>
      </c>
      <c r="H8" s="285" t="s">
        <v>4841</v>
      </c>
      <c r="I8" s="285" t="s">
        <v>4841</v>
      </c>
      <c r="J8" s="288">
        <v>44914.0</v>
      </c>
      <c r="K8" s="425" t="s">
        <v>948</v>
      </c>
      <c r="L8" s="294"/>
      <c r="M8" s="290" t="s">
        <v>6336</v>
      </c>
      <c r="N8" s="285" t="s">
        <v>497</v>
      </c>
      <c r="O8" s="299" t="s">
        <v>2628</v>
      </c>
      <c r="P8" s="300">
        <v>11465.0</v>
      </c>
      <c r="Q8" s="213"/>
      <c r="R8" s="198"/>
      <c r="S8" s="198"/>
      <c r="T8" s="198"/>
      <c r="U8" s="198"/>
      <c r="V8" s="198"/>
      <c r="W8" s="198"/>
      <c r="X8" s="198"/>
      <c r="Y8" s="198"/>
      <c r="Z8" s="198"/>
      <c r="AA8" s="198"/>
    </row>
    <row r="9" ht="57.75" customHeight="1">
      <c r="A9" s="370">
        <v>36953.0</v>
      </c>
      <c r="B9" s="299" t="s">
        <v>25</v>
      </c>
      <c r="C9" s="285">
        <v>2100.0</v>
      </c>
      <c r="D9" s="285" t="s">
        <v>6337</v>
      </c>
      <c r="E9" s="287" t="s">
        <v>4637</v>
      </c>
      <c r="F9" s="285" t="s">
        <v>5919</v>
      </c>
      <c r="G9" s="288">
        <v>44902.0</v>
      </c>
      <c r="H9" s="288">
        <v>44901.0</v>
      </c>
      <c r="I9" s="288">
        <v>44901.0</v>
      </c>
      <c r="J9" s="288">
        <v>44908.0</v>
      </c>
      <c r="K9" s="294"/>
      <c r="L9" s="294"/>
      <c r="M9" s="290" t="s">
        <v>6338</v>
      </c>
      <c r="N9" s="285" t="s">
        <v>497</v>
      </c>
      <c r="O9" s="299" t="s">
        <v>2554</v>
      </c>
      <c r="P9" s="300">
        <v>29190.0</v>
      </c>
      <c r="Q9" s="213"/>
      <c r="R9" s="198"/>
      <c r="S9" s="198"/>
      <c r="T9" s="198"/>
      <c r="U9" s="198"/>
      <c r="V9" s="198"/>
      <c r="W9" s="198"/>
      <c r="X9" s="198"/>
      <c r="Y9" s="198"/>
      <c r="Z9" s="198"/>
      <c r="AA9" s="198"/>
    </row>
    <row r="10" ht="66.0" customHeight="1">
      <c r="A10" s="370">
        <v>37364.0</v>
      </c>
      <c r="B10" s="299" t="s">
        <v>715</v>
      </c>
      <c r="C10" s="285">
        <v>940.0</v>
      </c>
      <c r="D10" s="285" t="s">
        <v>6339</v>
      </c>
      <c r="E10" s="287" t="s">
        <v>6340</v>
      </c>
      <c r="F10" s="285" t="s">
        <v>5919</v>
      </c>
      <c r="G10" s="288">
        <v>44902.0</v>
      </c>
      <c r="H10" s="288">
        <v>44901.0</v>
      </c>
      <c r="I10" s="288">
        <v>44901.0</v>
      </c>
      <c r="J10" s="288">
        <v>44908.0</v>
      </c>
      <c r="K10" s="294"/>
      <c r="L10" s="294"/>
      <c r="M10" s="290" t="s">
        <v>6341</v>
      </c>
      <c r="N10" s="285" t="s">
        <v>4635</v>
      </c>
      <c r="O10" s="299" t="s">
        <v>2621</v>
      </c>
      <c r="P10" s="300">
        <v>61892.0</v>
      </c>
      <c r="Q10" s="213"/>
      <c r="R10" s="198"/>
      <c r="S10" s="198"/>
      <c r="T10" s="198"/>
      <c r="U10" s="198"/>
      <c r="V10" s="198"/>
      <c r="W10" s="198"/>
      <c r="X10" s="198"/>
      <c r="Y10" s="198"/>
      <c r="Z10" s="198"/>
      <c r="AA10" s="198"/>
    </row>
    <row r="11" ht="57.75" customHeight="1">
      <c r="A11" s="370">
        <v>37235.0</v>
      </c>
      <c r="B11" s="299" t="s">
        <v>25</v>
      </c>
      <c r="C11" s="285">
        <v>1890.0</v>
      </c>
      <c r="D11" s="285" t="s">
        <v>6342</v>
      </c>
      <c r="E11" s="287" t="s">
        <v>3812</v>
      </c>
      <c r="F11" s="285" t="s">
        <v>5919</v>
      </c>
      <c r="G11" s="288">
        <v>44900.0</v>
      </c>
      <c r="H11" s="288">
        <v>44894.0</v>
      </c>
      <c r="I11" s="288">
        <v>44894.0</v>
      </c>
      <c r="J11" s="288">
        <v>44904.0</v>
      </c>
      <c r="K11" s="294"/>
      <c r="L11" s="294"/>
      <c r="M11" s="290" t="s">
        <v>6343</v>
      </c>
      <c r="N11" s="285" t="s">
        <v>497</v>
      </c>
      <c r="O11" s="299" t="s">
        <v>4662</v>
      </c>
      <c r="P11" s="300">
        <v>105103.33</v>
      </c>
      <c r="Q11" s="213"/>
      <c r="R11" s="198"/>
      <c r="S11" s="198"/>
      <c r="T11" s="198"/>
      <c r="U11" s="198"/>
      <c r="V11" s="198"/>
      <c r="W11" s="198"/>
      <c r="X11" s="198"/>
      <c r="Y11" s="198"/>
      <c r="Z11" s="198"/>
      <c r="AA11" s="198"/>
    </row>
    <row r="12" ht="57.75" customHeight="1">
      <c r="A12" s="370">
        <v>36688.0</v>
      </c>
      <c r="B12" s="299" t="s">
        <v>25</v>
      </c>
      <c r="C12" s="285">
        <v>660.0</v>
      </c>
      <c r="D12" s="285" t="s">
        <v>6344</v>
      </c>
      <c r="E12" s="287" t="s">
        <v>4743</v>
      </c>
      <c r="F12" s="285" t="s">
        <v>5919</v>
      </c>
      <c r="G12" s="288">
        <v>44900.0</v>
      </c>
      <c r="H12" s="288">
        <v>44895.0</v>
      </c>
      <c r="I12" s="288">
        <v>44895.0</v>
      </c>
      <c r="J12" s="288">
        <v>44909.0</v>
      </c>
      <c r="K12" s="294"/>
      <c r="L12" s="294"/>
      <c r="M12" s="290" t="s">
        <v>6345</v>
      </c>
      <c r="N12" s="285" t="s">
        <v>4745</v>
      </c>
      <c r="O12" s="299" t="s">
        <v>4746</v>
      </c>
      <c r="P12" s="300">
        <v>93045.0</v>
      </c>
      <c r="Q12" s="213"/>
      <c r="R12" s="198"/>
      <c r="S12" s="198"/>
      <c r="T12" s="198"/>
      <c r="U12" s="198"/>
      <c r="V12" s="198"/>
      <c r="W12" s="198"/>
      <c r="X12" s="198"/>
      <c r="Y12" s="198"/>
      <c r="Z12" s="198"/>
      <c r="AA12" s="198"/>
    </row>
    <row r="13" ht="57.75" customHeight="1">
      <c r="A13" s="370">
        <v>36838.0</v>
      </c>
      <c r="B13" s="285" t="s">
        <v>21</v>
      </c>
      <c r="C13" s="285">
        <v>1250.0</v>
      </c>
      <c r="D13" s="285" t="s">
        <v>6346</v>
      </c>
      <c r="E13" s="287" t="s">
        <v>4637</v>
      </c>
      <c r="F13" s="285" t="s">
        <v>5919</v>
      </c>
      <c r="G13" s="288">
        <v>44897.0</v>
      </c>
      <c r="H13" s="288">
        <v>44894.0</v>
      </c>
      <c r="I13" s="288">
        <v>44894.0</v>
      </c>
      <c r="J13" s="288">
        <v>44904.0</v>
      </c>
      <c r="K13" s="425" t="s">
        <v>6327</v>
      </c>
      <c r="L13" s="294"/>
      <c r="M13" s="290" t="s">
        <v>6347</v>
      </c>
      <c r="N13" s="285" t="s">
        <v>497</v>
      </c>
      <c r="O13" s="299" t="s">
        <v>2554</v>
      </c>
      <c r="P13" s="300">
        <v>34335.0</v>
      </c>
      <c r="Q13" s="213"/>
      <c r="R13" s="198"/>
      <c r="S13" s="198"/>
      <c r="T13" s="198"/>
      <c r="U13" s="198"/>
      <c r="V13" s="198"/>
      <c r="W13" s="198"/>
      <c r="X13" s="198"/>
      <c r="Y13" s="198"/>
      <c r="Z13" s="198"/>
      <c r="AA13" s="198"/>
    </row>
    <row r="14" ht="57.75" customHeight="1">
      <c r="A14" s="370">
        <v>36553.0</v>
      </c>
      <c r="B14" s="285" t="s">
        <v>21</v>
      </c>
      <c r="C14" s="285">
        <v>1746.0</v>
      </c>
      <c r="D14" s="285" t="s">
        <v>6348</v>
      </c>
      <c r="E14" s="287" t="s">
        <v>4670</v>
      </c>
      <c r="F14" s="285" t="s">
        <v>5919</v>
      </c>
      <c r="G14" s="288">
        <v>44897.0</v>
      </c>
      <c r="H14" s="288">
        <v>44894.0</v>
      </c>
      <c r="I14" s="288">
        <v>44894.0</v>
      </c>
      <c r="J14" s="285" t="s">
        <v>6349</v>
      </c>
      <c r="K14" s="425" t="s">
        <v>6323</v>
      </c>
      <c r="L14" s="294"/>
      <c r="M14" s="290" t="s">
        <v>6350</v>
      </c>
      <c r="N14" s="285" t="s">
        <v>497</v>
      </c>
      <c r="O14" s="299" t="s">
        <v>2604</v>
      </c>
      <c r="P14" s="300">
        <v>51678.5</v>
      </c>
      <c r="Q14" s="213"/>
      <c r="R14" s="198"/>
      <c r="S14" s="198"/>
      <c r="T14" s="198"/>
      <c r="U14" s="198"/>
      <c r="V14" s="198"/>
      <c r="W14" s="198"/>
      <c r="X14" s="198"/>
      <c r="Y14" s="198"/>
      <c r="Z14" s="198"/>
      <c r="AA14" s="198"/>
    </row>
    <row r="15" ht="57.75" customHeight="1">
      <c r="A15" s="370">
        <v>36971.0</v>
      </c>
      <c r="B15" s="285" t="s">
        <v>21</v>
      </c>
      <c r="C15" s="285">
        <v>4356.0</v>
      </c>
      <c r="D15" s="285" t="s">
        <v>6351</v>
      </c>
      <c r="E15" s="287" t="s">
        <v>4644</v>
      </c>
      <c r="F15" s="285" t="s">
        <v>5919</v>
      </c>
      <c r="G15" s="288">
        <v>44897.0</v>
      </c>
      <c r="H15" s="288">
        <v>44894.0</v>
      </c>
      <c r="I15" s="288">
        <v>44894.0</v>
      </c>
      <c r="J15" s="285" t="s">
        <v>6352</v>
      </c>
      <c r="K15" s="425" t="s">
        <v>6327</v>
      </c>
      <c r="L15" s="294"/>
      <c r="M15" s="290" t="s">
        <v>6353</v>
      </c>
      <c r="N15" s="285" t="s">
        <v>497</v>
      </c>
      <c r="O15" s="299" t="s">
        <v>2554</v>
      </c>
      <c r="P15" s="300">
        <v>30056.4</v>
      </c>
      <c r="Q15" s="213"/>
      <c r="R15" s="198"/>
      <c r="S15" s="198"/>
      <c r="T15" s="198"/>
      <c r="U15" s="198"/>
      <c r="V15" s="198"/>
      <c r="W15" s="198"/>
      <c r="X15" s="198"/>
      <c r="Y15" s="198"/>
      <c r="Z15" s="198"/>
      <c r="AA15" s="198"/>
    </row>
    <row r="16" ht="57.75" customHeight="1">
      <c r="A16" s="370">
        <v>36954.0</v>
      </c>
      <c r="B16" s="285" t="s">
        <v>21</v>
      </c>
      <c r="C16" s="285">
        <v>1250.0</v>
      </c>
      <c r="D16" s="285" t="s">
        <v>6354</v>
      </c>
      <c r="E16" s="287" t="s">
        <v>4637</v>
      </c>
      <c r="F16" s="285" t="s">
        <v>5919</v>
      </c>
      <c r="G16" s="288">
        <v>44897.0</v>
      </c>
      <c r="H16" s="288">
        <v>44894.0</v>
      </c>
      <c r="I16" s="288">
        <v>44894.0</v>
      </c>
      <c r="J16" s="285" t="s">
        <v>6355</v>
      </c>
      <c r="K16" s="426" t="s">
        <v>5381</v>
      </c>
      <c r="L16" s="294"/>
      <c r="M16" s="290" t="s">
        <v>6356</v>
      </c>
      <c r="N16" s="285" t="s">
        <v>497</v>
      </c>
      <c r="O16" s="299" t="s">
        <v>2554</v>
      </c>
      <c r="P16" s="300">
        <v>34342.5</v>
      </c>
      <c r="Q16" s="213"/>
      <c r="R16" s="198"/>
      <c r="S16" s="198"/>
      <c r="T16" s="198"/>
      <c r="U16" s="198"/>
      <c r="V16" s="198"/>
      <c r="W16" s="198"/>
      <c r="X16" s="198"/>
      <c r="Y16" s="198"/>
      <c r="Z16" s="198"/>
      <c r="AA16" s="198"/>
    </row>
    <row r="17" ht="57.75" customHeight="1">
      <c r="A17" s="370">
        <v>37278.0</v>
      </c>
      <c r="B17" s="285" t="s">
        <v>21</v>
      </c>
      <c r="C17" s="285">
        <v>4356.0</v>
      </c>
      <c r="D17" s="285" t="s">
        <v>6357</v>
      </c>
      <c r="E17" s="287" t="s">
        <v>6358</v>
      </c>
      <c r="F17" s="285" t="s">
        <v>5919</v>
      </c>
      <c r="G17" s="288">
        <v>44897.0</v>
      </c>
      <c r="H17" s="288">
        <v>44894.0</v>
      </c>
      <c r="I17" s="288">
        <v>44894.0</v>
      </c>
      <c r="J17" s="288">
        <v>44903.0</v>
      </c>
      <c r="K17" s="426" t="s">
        <v>5381</v>
      </c>
      <c r="L17" s="294"/>
      <c r="M17" s="290" t="s">
        <v>6359</v>
      </c>
      <c r="N17" s="285" t="s">
        <v>497</v>
      </c>
      <c r="O17" s="299" t="s">
        <v>2554</v>
      </c>
      <c r="P17" s="300">
        <v>30056.4</v>
      </c>
      <c r="Q17" s="213"/>
      <c r="R17" s="198"/>
      <c r="S17" s="198"/>
      <c r="T17" s="198"/>
      <c r="U17" s="198"/>
      <c r="V17" s="198"/>
      <c r="W17" s="198"/>
      <c r="X17" s="198"/>
      <c r="Y17" s="198"/>
      <c r="Z17" s="198"/>
      <c r="AA17" s="198"/>
    </row>
    <row r="18" ht="57.75" customHeight="1">
      <c r="A18" s="370">
        <v>36594.0</v>
      </c>
      <c r="B18" s="299" t="s">
        <v>715</v>
      </c>
      <c r="C18" s="285">
        <v>2578.0</v>
      </c>
      <c r="D18" s="285" t="s">
        <v>6360</v>
      </c>
      <c r="E18" s="287" t="s">
        <v>6361</v>
      </c>
      <c r="F18" s="285" t="s">
        <v>5919</v>
      </c>
      <c r="G18" s="288">
        <v>44895.0</v>
      </c>
      <c r="H18" s="288">
        <v>44894.0</v>
      </c>
      <c r="I18" s="288">
        <v>44894.0</v>
      </c>
      <c r="J18" s="288">
        <v>44902.0</v>
      </c>
      <c r="K18" s="294"/>
      <c r="L18" s="294"/>
      <c r="M18" s="290" t="s">
        <v>6362</v>
      </c>
      <c r="N18" s="285" t="s">
        <v>497</v>
      </c>
      <c r="O18" s="299" t="s">
        <v>2554</v>
      </c>
      <c r="P18" s="300">
        <v>57531.4</v>
      </c>
      <c r="Q18" s="213"/>
      <c r="R18" s="198"/>
      <c r="S18" s="198"/>
      <c r="T18" s="198"/>
      <c r="U18" s="198"/>
      <c r="V18" s="198"/>
      <c r="W18" s="198"/>
      <c r="X18" s="198"/>
      <c r="Y18" s="198"/>
      <c r="Z18" s="198"/>
      <c r="AA18" s="198"/>
    </row>
    <row r="19" ht="57.75" customHeight="1">
      <c r="A19" s="370">
        <v>36662.0</v>
      </c>
      <c r="B19" s="299" t="s">
        <v>715</v>
      </c>
      <c r="C19" s="285">
        <v>1220.0</v>
      </c>
      <c r="D19" s="285" t="s">
        <v>6363</v>
      </c>
      <c r="E19" s="287" t="s">
        <v>6364</v>
      </c>
      <c r="F19" s="285" t="s">
        <v>5919</v>
      </c>
      <c r="G19" s="288">
        <v>44890.0</v>
      </c>
      <c r="H19" s="288">
        <v>44885.0</v>
      </c>
      <c r="I19" s="288">
        <v>44885.0</v>
      </c>
      <c r="J19" s="288">
        <v>44894.0</v>
      </c>
      <c r="K19" s="294"/>
      <c r="L19" s="294"/>
      <c r="M19" s="290" t="s">
        <v>6365</v>
      </c>
      <c r="N19" s="285" t="s">
        <v>6366</v>
      </c>
      <c r="O19" s="299" t="s">
        <v>2621</v>
      </c>
      <c r="P19" s="300">
        <v>65182.0</v>
      </c>
      <c r="Q19" s="213"/>
      <c r="R19" s="198"/>
      <c r="S19" s="198"/>
      <c r="T19" s="198"/>
      <c r="U19" s="198"/>
      <c r="V19" s="198"/>
      <c r="W19" s="198"/>
      <c r="X19" s="198"/>
      <c r="Y19" s="198"/>
      <c r="Z19" s="198"/>
      <c r="AA19" s="198"/>
    </row>
    <row r="20" ht="69.75" customHeight="1">
      <c r="A20" s="370">
        <v>37351.0</v>
      </c>
      <c r="B20" s="299" t="s">
        <v>21</v>
      </c>
      <c r="C20" s="285" t="s">
        <v>6367</v>
      </c>
      <c r="D20" s="285" t="s">
        <v>6368</v>
      </c>
      <c r="E20" s="287" t="s">
        <v>6369</v>
      </c>
      <c r="F20" s="285" t="s">
        <v>5919</v>
      </c>
      <c r="G20" s="288">
        <v>44890.0</v>
      </c>
      <c r="H20" s="288">
        <v>44908.0</v>
      </c>
      <c r="I20" s="288">
        <v>44908.0</v>
      </c>
      <c r="J20" s="288">
        <v>44908.0</v>
      </c>
      <c r="K20" s="294"/>
      <c r="L20" s="294"/>
      <c r="M20" s="290" t="s">
        <v>6370</v>
      </c>
      <c r="N20" s="285" t="s">
        <v>4635</v>
      </c>
      <c r="O20" s="299" t="s">
        <v>2621</v>
      </c>
      <c r="P20" s="300">
        <v>107843.4</v>
      </c>
      <c r="Q20" s="213"/>
      <c r="R20" s="198"/>
      <c r="S20" s="198"/>
      <c r="T20" s="198"/>
      <c r="U20" s="198"/>
      <c r="V20" s="198"/>
      <c r="W20" s="198"/>
      <c r="X20" s="198"/>
      <c r="Y20" s="198"/>
      <c r="Z20" s="198"/>
      <c r="AA20" s="198"/>
    </row>
    <row r="21" ht="57.75" customHeight="1">
      <c r="A21" s="370">
        <v>37377.0</v>
      </c>
      <c r="B21" s="285" t="s">
        <v>21</v>
      </c>
      <c r="C21" s="285">
        <v>1190.0</v>
      </c>
      <c r="D21" s="285" t="s">
        <v>6371</v>
      </c>
      <c r="E21" s="287" t="s">
        <v>6372</v>
      </c>
      <c r="F21" s="285" t="s">
        <v>5919</v>
      </c>
      <c r="G21" s="288">
        <v>44887.0</v>
      </c>
      <c r="H21" s="288">
        <v>44878.0</v>
      </c>
      <c r="I21" s="288">
        <v>44878.0</v>
      </c>
      <c r="J21" s="288">
        <v>44895.0</v>
      </c>
      <c r="K21" s="425"/>
      <c r="L21" s="294"/>
      <c r="M21" s="290" t="s">
        <v>6373</v>
      </c>
      <c r="N21" s="285" t="s">
        <v>4635</v>
      </c>
      <c r="O21" s="299" t="s">
        <v>2621</v>
      </c>
      <c r="P21" s="300">
        <v>65158.1</v>
      </c>
      <c r="Q21" s="213"/>
      <c r="R21" s="198"/>
      <c r="S21" s="198"/>
      <c r="T21" s="198"/>
      <c r="U21" s="198"/>
      <c r="V21" s="198"/>
      <c r="W21" s="198"/>
      <c r="X21" s="198"/>
      <c r="Y21" s="198"/>
      <c r="Z21" s="198"/>
      <c r="AA21" s="198"/>
    </row>
    <row r="22" ht="57.75" customHeight="1">
      <c r="A22" s="370" t="s">
        <v>6374</v>
      </c>
      <c r="B22" s="299" t="s">
        <v>25</v>
      </c>
      <c r="C22" s="285">
        <v>1455.0</v>
      </c>
      <c r="D22" s="285" t="s">
        <v>6375</v>
      </c>
      <c r="E22" s="287" t="s">
        <v>4641</v>
      </c>
      <c r="F22" s="285" t="s">
        <v>5919</v>
      </c>
      <c r="G22" s="288">
        <v>44886.0</v>
      </c>
      <c r="H22" s="288">
        <v>44881.0</v>
      </c>
      <c r="I22" s="288">
        <v>44881.0</v>
      </c>
      <c r="J22" s="288">
        <v>44893.0</v>
      </c>
      <c r="K22" s="294"/>
      <c r="L22" s="294"/>
      <c r="M22" s="290" t="s">
        <v>6376</v>
      </c>
      <c r="N22" s="285" t="s">
        <v>497</v>
      </c>
      <c r="O22" s="299" t="s">
        <v>2538</v>
      </c>
      <c r="P22" s="300">
        <v>94500.0</v>
      </c>
      <c r="Q22" s="213"/>
      <c r="R22" s="198"/>
      <c r="S22" s="198"/>
      <c r="T22" s="198"/>
      <c r="U22" s="198"/>
      <c r="V22" s="198"/>
      <c r="W22" s="198"/>
      <c r="X22" s="198"/>
      <c r="Y22" s="198"/>
      <c r="Z22" s="198"/>
      <c r="AA22" s="198"/>
    </row>
    <row r="23" ht="59.25" customHeight="1">
      <c r="A23" s="370">
        <v>37355.0</v>
      </c>
      <c r="B23" s="285" t="s">
        <v>21</v>
      </c>
      <c r="C23" s="285">
        <v>940.0</v>
      </c>
      <c r="D23" s="285" t="s">
        <v>6377</v>
      </c>
      <c r="E23" s="287" t="s">
        <v>6378</v>
      </c>
      <c r="F23" s="285" t="s">
        <v>5919</v>
      </c>
      <c r="G23" s="288">
        <v>44882.0</v>
      </c>
      <c r="H23" s="288">
        <v>44878.0</v>
      </c>
      <c r="I23" s="288">
        <v>44878.0</v>
      </c>
      <c r="J23" s="288">
        <v>44893.0</v>
      </c>
      <c r="K23" s="425" t="s">
        <v>5270</v>
      </c>
      <c r="L23" s="294" t="s">
        <v>5271</v>
      </c>
      <c r="M23" s="290" t="s">
        <v>6379</v>
      </c>
      <c r="N23" s="285" t="s">
        <v>4635</v>
      </c>
      <c r="O23" s="299" t="s">
        <v>2621</v>
      </c>
      <c r="P23" s="300">
        <v>45728.2</v>
      </c>
      <c r="Q23" s="213"/>
      <c r="R23" s="198"/>
      <c r="S23" s="198"/>
      <c r="T23" s="198"/>
      <c r="U23" s="198"/>
      <c r="V23" s="198"/>
      <c r="W23" s="198"/>
      <c r="X23" s="198"/>
      <c r="Y23" s="198"/>
      <c r="Z23" s="198"/>
      <c r="AA23" s="198"/>
    </row>
    <row r="24" ht="57.75" customHeight="1">
      <c r="A24" s="370">
        <v>36834.0</v>
      </c>
      <c r="B24" s="299" t="s">
        <v>715</v>
      </c>
      <c r="C24" s="285">
        <v>1250.0</v>
      </c>
      <c r="D24" s="285" t="s">
        <v>6380</v>
      </c>
      <c r="E24" s="287" t="s">
        <v>4637</v>
      </c>
      <c r="F24" s="285" t="s">
        <v>5919</v>
      </c>
      <c r="G24" s="288">
        <v>44879.0</v>
      </c>
      <c r="H24" s="288">
        <v>44873.0</v>
      </c>
      <c r="I24" s="288">
        <v>44873.0</v>
      </c>
      <c r="J24" s="288">
        <v>44883.0</v>
      </c>
      <c r="K24" s="294"/>
      <c r="L24" s="294"/>
      <c r="M24" s="290" t="s">
        <v>6381</v>
      </c>
      <c r="N24" s="285" t="s">
        <v>497</v>
      </c>
      <c r="O24" s="299" t="s">
        <v>2554</v>
      </c>
      <c r="P24" s="300">
        <v>34335.0</v>
      </c>
      <c r="Q24" s="213"/>
      <c r="R24" s="198"/>
      <c r="S24" s="198"/>
      <c r="T24" s="198"/>
      <c r="U24" s="198"/>
      <c r="V24" s="198"/>
      <c r="W24" s="198"/>
      <c r="X24" s="198"/>
      <c r="Y24" s="198"/>
      <c r="Z24" s="198"/>
      <c r="AA24" s="198"/>
    </row>
    <row r="25" ht="57.75" customHeight="1">
      <c r="A25" s="370">
        <v>36839.0</v>
      </c>
      <c r="B25" s="299" t="s">
        <v>715</v>
      </c>
      <c r="C25" s="285">
        <v>2595.0</v>
      </c>
      <c r="D25" s="285" t="s">
        <v>6382</v>
      </c>
      <c r="E25" s="287" t="s">
        <v>6383</v>
      </c>
      <c r="F25" s="285" t="s">
        <v>5919</v>
      </c>
      <c r="G25" s="288">
        <v>44879.0</v>
      </c>
      <c r="H25" s="288">
        <v>44872.0</v>
      </c>
      <c r="I25" s="288">
        <v>44872.0</v>
      </c>
      <c r="J25" s="288">
        <v>44886.0</v>
      </c>
      <c r="K25" s="294"/>
      <c r="L25" s="294"/>
      <c r="M25" s="290" t="s">
        <v>6384</v>
      </c>
      <c r="N25" s="285" t="s">
        <v>497</v>
      </c>
      <c r="O25" s="299" t="s">
        <v>2554</v>
      </c>
      <c r="P25" s="300">
        <v>44115.0</v>
      </c>
      <c r="Q25" s="213"/>
      <c r="R25" s="198"/>
      <c r="S25" s="198"/>
      <c r="T25" s="198"/>
      <c r="U25" s="198"/>
      <c r="V25" s="198"/>
      <c r="W25" s="198"/>
      <c r="X25" s="198"/>
      <c r="Y25" s="198"/>
      <c r="Z25" s="198"/>
      <c r="AA25" s="198"/>
    </row>
    <row r="26" ht="57.75" customHeight="1">
      <c r="A26" s="370">
        <v>37231.0</v>
      </c>
      <c r="B26" s="299" t="s">
        <v>25</v>
      </c>
      <c r="C26" s="285" t="s">
        <v>5121</v>
      </c>
      <c r="D26" s="285" t="s">
        <v>6385</v>
      </c>
      <c r="E26" s="287" t="s">
        <v>6386</v>
      </c>
      <c r="F26" s="285" t="s">
        <v>5919</v>
      </c>
      <c r="G26" s="288">
        <v>44878.0</v>
      </c>
      <c r="H26" s="285" t="s">
        <v>4841</v>
      </c>
      <c r="I26" s="285" t="s">
        <v>4841</v>
      </c>
      <c r="J26" s="288">
        <v>44883.0</v>
      </c>
      <c r="K26" s="294"/>
      <c r="L26" s="294"/>
      <c r="M26" s="290" t="s">
        <v>6387</v>
      </c>
      <c r="N26" s="285" t="s">
        <v>497</v>
      </c>
      <c r="O26" s="299" t="s">
        <v>2538</v>
      </c>
      <c r="P26" s="300">
        <v>36000.0</v>
      </c>
      <c r="Q26" s="213"/>
      <c r="R26" s="198"/>
      <c r="S26" s="198"/>
      <c r="T26" s="198"/>
      <c r="U26" s="198"/>
      <c r="V26" s="198"/>
      <c r="W26" s="198"/>
      <c r="X26" s="198"/>
      <c r="Y26" s="198"/>
      <c r="Z26" s="198"/>
      <c r="AA26" s="198"/>
    </row>
    <row r="27" ht="63.0" customHeight="1">
      <c r="A27" s="370">
        <v>36846.0</v>
      </c>
      <c r="B27" s="299" t="s">
        <v>715</v>
      </c>
      <c r="C27" s="285">
        <v>1800.0</v>
      </c>
      <c r="D27" s="285" t="s">
        <v>6388</v>
      </c>
      <c r="E27" s="287" t="s">
        <v>3740</v>
      </c>
      <c r="F27" s="285" t="s">
        <v>5919</v>
      </c>
      <c r="G27" s="288">
        <v>44877.0</v>
      </c>
      <c r="H27" s="288">
        <v>44874.0</v>
      </c>
      <c r="I27" s="288">
        <v>44874.0</v>
      </c>
      <c r="J27" s="288">
        <v>44882.0</v>
      </c>
      <c r="K27" s="294"/>
      <c r="L27" s="294"/>
      <c r="M27" s="290" t="s">
        <v>6389</v>
      </c>
      <c r="N27" s="285" t="s">
        <v>497</v>
      </c>
      <c r="O27" s="299" t="s">
        <v>4711</v>
      </c>
      <c r="P27" s="300">
        <v>38169.72</v>
      </c>
      <c r="Q27" s="213"/>
      <c r="R27" s="198"/>
      <c r="S27" s="198"/>
      <c r="T27" s="198"/>
      <c r="U27" s="198"/>
      <c r="V27" s="198"/>
      <c r="W27" s="198"/>
      <c r="X27" s="198"/>
      <c r="Y27" s="198"/>
      <c r="Z27" s="198"/>
      <c r="AA27" s="198"/>
    </row>
    <row r="28" ht="69.75" customHeight="1">
      <c r="A28" s="370">
        <v>37237.0</v>
      </c>
      <c r="B28" s="299" t="s">
        <v>715</v>
      </c>
      <c r="C28" s="285">
        <v>1100.0</v>
      </c>
      <c r="D28" s="285" t="s">
        <v>6390</v>
      </c>
      <c r="E28" s="287" t="s">
        <v>6391</v>
      </c>
      <c r="F28" s="285" t="s">
        <v>5919</v>
      </c>
      <c r="G28" s="288">
        <v>44875.0</v>
      </c>
      <c r="H28" s="288">
        <v>44865.0</v>
      </c>
      <c r="I28" s="288">
        <v>44865.0</v>
      </c>
      <c r="J28" s="288">
        <v>44880.0</v>
      </c>
      <c r="K28" s="294"/>
      <c r="L28" s="294"/>
      <c r="M28" s="290" t="s">
        <v>6392</v>
      </c>
      <c r="N28" s="285" t="s">
        <v>4635</v>
      </c>
      <c r="O28" s="299" t="s">
        <v>2621</v>
      </c>
      <c r="P28" s="300">
        <v>108487.0</v>
      </c>
      <c r="Q28" s="213"/>
      <c r="R28" s="198"/>
      <c r="S28" s="198"/>
      <c r="T28" s="198"/>
      <c r="U28" s="198"/>
      <c r="V28" s="198"/>
      <c r="W28" s="198"/>
      <c r="X28" s="198"/>
      <c r="Y28" s="198"/>
      <c r="Z28" s="198"/>
      <c r="AA28" s="198"/>
    </row>
    <row r="29" ht="73.5" customHeight="1">
      <c r="A29" s="370">
        <v>36780.0</v>
      </c>
      <c r="B29" s="299" t="s">
        <v>25</v>
      </c>
      <c r="C29" s="285" t="s">
        <v>6393</v>
      </c>
      <c r="D29" s="285" t="s">
        <v>6394</v>
      </c>
      <c r="E29" s="287" t="s">
        <v>6395</v>
      </c>
      <c r="F29" s="285" t="s">
        <v>5919</v>
      </c>
      <c r="G29" s="288">
        <v>44874.0</v>
      </c>
      <c r="H29" s="288">
        <v>44874.0</v>
      </c>
      <c r="I29" s="288">
        <v>44874.0</v>
      </c>
      <c r="J29" s="288">
        <v>44883.0</v>
      </c>
      <c r="K29" s="294"/>
      <c r="L29" s="294"/>
      <c r="M29" s="290" t="s">
        <v>6396</v>
      </c>
      <c r="N29" s="285" t="s">
        <v>4635</v>
      </c>
      <c r="O29" s="299" t="s">
        <v>4912</v>
      </c>
      <c r="P29" s="300">
        <v>182010.0</v>
      </c>
      <c r="Q29" s="213"/>
      <c r="R29" s="198"/>
      <c r="S29" s="198"/>
      <c r="T29" s="198"/>
      <c r="U29" s="198"/>
      <c r="V29" s="198"/>
      <c r="W29" s="198"/>
      <c r="X29" s="198"/>
      <c r="Y29" s="198"/>
      <c r="Z29" s="198"/>
      <c r="AA29" s="198"/>
    </row>
    <row r="30" ht="57.75" customHeight="1">
      <c r="A30" s="370">
        <v>36933.0</v>
      </c>
      <c r="B30" s="285" t="s">
        <v>21</v>
      </c>
      <c r="C30" s="285">
        <v>2990.0</v>
      </c>
      <c r="D30" s="285" t="s">
        <v>6397</v>
      </c>
      <c r="E30" s="287" t="s">
        <v>6398</v>
      </c>
      <c r="F30" s="285" t="s">
        <v>5919</v>
      </c>
      <c r="G30" s="288">
        <v>44871.0</v>
      </c>
      <c r="H30" s="288">
        <v>44867.0</v>
      </c>
      <c r="I30" s="288">
        <v>44867.0</v>
      </c>
      <c r="J30" s="288">
        <v>44881.0</v>
      </c>
      <c r="K30" s="425"/>
      <c r="L30" s="294"/>
      <c r="M30" s="290" t="s">
        <v>6399</v>
      </c>
      <c r="N30" s="285" t="s">
        <v>497</v>
      </c>
      <c r="O30" s="299" t="s">
        <v>2554</v>
      </c>
      <c r="P30" s="300">
        <v>29991.0</v>
      </c>
      <c r="Q30" s="213"/>
      <c r="R30" s="198"/>
      <c r="S30" s="198"/>
      <c r="T30" s="198"/>
      <c r="U30" s="198"/>
      <c r="V30" s="198"/>
      <c r="W30" s="198"/>
      <c r="X30" s="198"/>
      <c r="Y30" s="198"/>
      <c r="Z30" s="198"/>
      <c r="AA30" s="198"/>
    </row>
    <row r="31" ht="57.75" customHeight="1">
      <c r="A31" s="370">
        <v>36552.0</v>
      </c>
      <c r="B31" s="285" t="s">
        <v>21</v>
      </c>
      <c r="C31" s="285">
        <v>877.0</v>
      </c>
      <c r="D31" s="285" t="s">
        <v>6400</v>
      </c>
      <c r="E31" s="287" t="s">
        <v>4958</v>
      </c>
      <c r="F31" s="285" t="s">
        <v>5919</v>
      </c>
      <c r="G31" s="288">
        <v>44871.0</v>
      </c>
      <c r="H31" s="288">
        <v>44867.0</v>
      </c>
      <c r="I31" s="288">
        <v>44867.0</v>
      </c>
      <c r="J31" s="285" t="s">
        <v>6401</v>
      </c>
      <c r="K31" s="425"/>
      <c r="L31" s="294"/>
      <c r="M31" s="290" t="s">
        <v>6402</v>
      </c>
      <c r="N31" s="285" t="s">
        <v>497</v>
      </c>
      <c r="O31" s="299" t="s">
        <v>2604</v>
      </c>
      <c r="P31" s="300">
        <v>41453.2</v>
      </c>
      <c r="Q31" s="213"/>
      <c r="R31" s="198"/>
      <c r="S31" s="198"/>
      <c r="T31" s="198"/>
      <c r="U31" s="198"/>
      <c r="V31" s="198"/>
      <c r="W31" s="198"/>
      <c r="X31" s="198"/>
      <c r="Y31" s="198"/>
      <c r="Z31" s="198"/>
      <c r="AA31" s="198"/>
    </row>
    <row r="32" ht="57.75" customHeight="1">
      <c r="A32" s="370">
        <v>36730.0</v>
      </c>
      <c r="B32" s="299" t="s">
        <v>715</v>
      </c>
      <c r="C32" s="285">
        <v>1288.0</v>
      </c>
      <c r="D32" s="285" t="s">
        <v>6403</v>
      </c>
      <c r="E32" s="287" t="s">
        <v>3812</v>
      </c>
      <c r="F32" s="285" t="s">
        <v>5919</v>
      </c>
      <c r="G32" s="288">
        <v>44870.0</v>
      </c>
      <c r="H32" s="288">
        <v>44854.0</v>
      </c>
      <c r="I32" s="288">
        <v>44854.0</v>
      </c>
      <c r="J32" s="288">
        <v>44873.0</v>
      </c>
      <c r="K32" s="294"/>
      <c r="L32" s="294"/>
      <c r="M32" s="290" t="s">
        <v>6404</v>
      </c>
      <c r="N32" s="285" t="s">
        <v>497</v>
      </c>
      <c r="O32" s="299" t="s">
        <v>4662</v>
      </c>
      <c r="P32" s="300">
        <v>81185.69</v>
      </c>
      <c r="Q32" s="213"/>
      <c r="R32" s="198"/>
      <c r="S32" s="198"/>
      <c r="T32" s="198"/>
      <c r="U32" s="198"/>
      <c r="V32" s="198"/>
      <c r="W32" s="198"/>
      <c r="X32" s="198"/>
      <c r="Y32" s="198"/>
      <c r="Z32" s="198"/>
      <c r="AA32" s="198"/>
    </row>
    <row r="33" ht="57.75" customHeight="1">
      <c r="A33" s="370">
        <v>37277.0</v>
      </c>
      <c r="B33" s="285" t="s">
        <v>21</v>
      </c>
      <c r="C33" s="285">
        <v>1163.0</v>
      </c>
      <c r="D33" s="285" t="s">
        <v>6405</v>
      </c>
      <c r="E33" s="287" t="s">
        <v>6406</v>
      </c>
      <c r="F33" s="285" t="s">
        <v>5919</v>
      </c>
      <c r="G33" s="288">
        <v>44869.0</v>
      </c>
      <c r="H33" s="288">
        <v>44865.0</v>
      </c>
      <c r="I33" s="288">
        <v>44865.0</v>
      </c>
      <c r="J33" s="288">
        <v>44879.0</v>
      </c>
      <c r="K33" s="425"/>
      <c r="L33" s="294"/>
      <c r="M33" s="290" t="s">
        <v>6407</v>
      </c>
      <c r="N33" s="285" t="s">
        <v>4635</v>
      </c>
      <c r="O33" s="299" t="s">
        <v>2621</v>
      </c>
      <c r="P33" s="300">
        <v>110838.93</v>
      </c>
      <c r="Q33" s="213"/>
      <c r="R33" s="198"/>
      <c r="S33" s="198"/>
      <c r="T33" s="198"/>
      <c r="U33" s="198"/>
      <c r="V33" s="198"/>
      <c r="W33" s="198"/>
      <c r="X33" s="198"/>
      <c r="Y33" s="198"/>
      <c r="Z33" s="198"/>
      <c r="AA33" s="198"/>
    </row>
    <row r="34" ht="66.75" customHeight="1">
      <c r="A34" s="370">
        <v>36809.0</v>
      </c>
      <c r="B34" s="299" t="s">
        <v>715</v>
      </c>
      <c r="C34" s="285">
        <v>2190.0</v>
      </c>
      <c r="D34" s="285" t="s">
        <v>6408</v>
      </c>
      <c r="E34" s="287" t="s">
        <v>6409</v>
      </c>
      <c r="F34" s="285" t="s">
        <v>5919</v>
      </c>
      <c r="G34" s="288">
        <v>44864.0</v>
      </c>
      <c r="H34" s="288">
        <v>44861.0</v>
      </c>
      <c r="I34" s="288">
        <v>44861.0</v>
      </c>
      <c r="J34" s="288">
        <v>44869.0</v>
      </c>
      <c r="K34" s="294"/>
      <c r="L34" s="294"/>
      <c r="M34" s="290" t="s">
        <v>6410</v>
      </c>
      <c r="N34" s="285" t="s">
        <v>497</v>
      </c>
      <c r="O34" s="299" t="s">
        <v>2554</v>
      </c>
      <c r="P34" s="300">
        <v>38975.1</v>
      </c>
      <c r="Q34" s="213"/>
      <c r="R34" s="198"/>
      <c r="S34" s="198"/>
      <c r="T34" s="198"/>
      <c r="U34" s="198"/>
      <c r="V34" s="198"/>
      <c r="W34" s="198"/>
      <c r="X34" s="198"/>
      <c r="Y34" s="198"/>
      <c r="Z34" s="198"/>
      <c r="AA34" s="198"/>
    </row>
    <row r="35" ht="73.5" customHeight="1">
      <c r="A35" s="370">
        <v>37229.0</v>
      </c>
      <c r="B35" s="299" t="s">
        <v>25</v>
      </c>
      <c r="C35" s="285">
        <v>1204.0</v>
      </c>
      <c r="D35" s="367" t="s">
        <v>6411</v>
      </c>
      <c r="E35" s="287" t="s">
        <v>4641</v>
      </c>
      <c r="F35" s="285" t="s">
        <v>5919</v>
      </c>
      <c r="G35" s="288">
        <v>44863.0</v>
      </c>
      <c r="H35" s="288">
        <v>44860.0</v>
      </c>
      <c r="I35" s="288">
        <v>44860.0</v>
      </c>
      <c r="J35" s="288">
        <v>44868.0</v>
      </c>
      <c r="K35" s="294"/>
      <c r="L35" s="294"/>
      <c r="M35" s="290" t="s">
        <v>6412</v>
      </c>
      <c r="N35" s="285" t="s">
        <v>497</v>
      </c>
      <c r="O35" s="299" t="s">
        <v>2538</v>
      </c>
      <c r="P35" s="300">
        <v>423076.5</v>
      </c>
      <c r="Q35" s="213"/>
      <c r="R35" s="198"/>
      <c r="S35" s="198"/>
      <c r="T35" s="198"/>
      <c r="U35" s="198"/>
      <c r="V35" s="198"/>
      <c r="W35" s="198"/>
      <c r="X35" s="198"/>
      <c r="Y35" s="198"/>
      <c r="Z35" s="198"/>
      <c r="AA35" s="198"/>
    </row>
    <row r="36" ht="73.5" customHeight="1">
      <c r="A36" s="370">
        <v>36968.0</v>
      </c>
      <c r="B36" s="299" t="s">
        <v>715</v>
      </c>
      <c r="C36" s="285">
        <v>1910.0</v>
      </c>
      <c r="D36" s="285" t="s">
        <v>6413</v>
      </c>
      <c r="E36" s="287" t="s">
        <v>6414</v>
      </c>
      <c r="F36" s="285" t="s">
        <v>5919</v>
      </c>
      <c r="G36" s="288">
        <v>44862.0</v>
      </c>
      <c r="H36" s="288">
        <v>44858.0</v>
      </c>
      <c r="I36" s="288">
        <v>44858.0</v>
      </c>
      <c r="J36" s="285" t="s">
        <v>6415</v>
      </c>
      <c r="K36" s="294"/>
      <c r="L36" s="294"/>
      <c r="M36" s="290" t="s">
        <v>6416</v>
      </c>
      <c r="N36" s="285" t="s">
        <v>497</v>
      </c>
      <c r="O36" s="299" t="s">
        <v>4662</v>
      </c>
      <c r="P36" s="300">
        <v>101009.17</v>
      </c>
      <c r="Q36" s="213"/>
      <c r="R36" s="198"/>
      <c r="S36" s="198"/>
      <c r="T36" s="198"/>
      <c r="U36" s="198"/>
      <c r="V36" s="198"/>
      <c r="W36" s="198"/>
      <c r="X36" s="198"/>
      <c r="Y36" s="198"/>
      <c r="Z36" s="198"/>
      <c r="AA36" s="198"/>
    </row>
    <row r="37" ht="67.5" customHeight="1">
      <c r="A37" s="370">
        <v>36841.0</v>
      </c>
      <c r="B37" s="285" t="s">
        <v>21</v>
      </c>
      <c r="C37" s="285">
        <v>4356.0</v>
      </c>
      <c r="D37" s="285" t="s">
        <v>6417</v>
      </c>
      <c r="E37" s="287" t="s">
        <v>4644</v>
      </c>
      <c r="F37" s="285" t="s">
        <v>5919</v>
      </c>
      <c r="G37" s="288">
        <v>44856.0</v>
      </c>
      <c r="H37" s="288">
        <v>44853.0</v>
      </c>
      <c r="I37" s="288">
        <v>44853.0</v>
      </c>
      <c r="J37" s="288">
        <v>44865.0</v>
      </c>
      <c r="K37" s="425"/>
      <c r="L37" s="294"/>
      <c r="M37" s="290" t="s">
        <v>6418</v>
      </c>
      <c r="N37" s="285" t="s">
        <v>497</v>
      </c>
      <c r="O37" s="299" t="s">
        <v>2554</v>
      </c>
      <c r="P37" s="300">
        <v>30056.4</v>
      </c>
      <c r="Q37" s="213"/>
      <c r="R37" s="198"/>
      <c r="S37" s="198"/>
      <c r="T37" s="198"/>
      <c r="U37" s="198"/>
      <c r="V37" s="198"/>
      <c r="W37" s="198"/>
      <c r="X37" s="198"/>
      <c r="Y37" s="198"/>
      <c r="Z37" s="198"/>
      <c r="AA37" s="198"/>
    </row>
    <row r="38" ht="65.25" customHeight="1">
      <c r="A38" s="370">
        <v>36993.0</v>
      </c>
      <c r="B38" s="285" t="s">
        <v>21</v>
      </c>
      <c r="C38" s="285">
        <v>1135.0</v>
      </c>
      <c r="D38" s="285" t="s">
        <v>6419</v>
      </c>
      <c r="E38" s="287" t="s">
        <v>4804</v>
      </c>
      <c r="F38" s="285" t="s">
        <v>5919</v>
      </c>
      <c r="G38" s="288">
        <v>44856.0</v>
      </c>
      <c r="H38" s="288">
        <v>44852.0</v>
      </c>
      <c r="I38" s="288">
        <v>44852.0</v>
      </c>
      <c r="J38" s="367" t="s">
        <v>6420</v>
      </c>
      <c r="K38" s="425"/>
      <c r="L38" s="294"/>
      <c r="M38" s="290" t="s">
        <v>6421</v>
      </c>
      <c r="N38" s="285" t="s">
        <v>4745</v>
      </c>
      <c r="O38" s="299" t="s">
        <v>2604</v>
      </c>
      <c r="P38" s="300">
        <v>25741.22</v>
      </c>
      <c r="Q38" s="213"/>
      <c r="R38" s="198"/>
      <c r="S38" s="198"/>
      <c r="T38" s="198"/>
      <c r="U38" s="198"/>
      <c r="V38" s="198"/>
      <c r="W38" s="198"/>
      <c r="X38" s="198"/>
      <c r="Y38" s="198"/>
      <c r="Z38" s="198"/>
      <c r="AA38" s="198"/>
    </row>
    <row r="39" ht="59.25" customHeight="1">
      <c r="A39" s="370">
        <v>36833.0</v>
      </c>
      <c r="B39" s="285" t="s">
        <v>21</v>
      </c>
      <c r="C39" s="285">
        <v>4230.0</v>
      </c>
      <c r="D39" s="285" t="s">
        <v>6422</v>
      </c>
      <c r="E39" s="287" t="s">
        <v>4658</v>
      </c>
      <c r="F39" s="285" t="s">
        <v>5919</v>
      </c>
      <c r="G39" s="288">
        <v>44855.0</v>
      </c>
      <c r="H39" s="288">
        <v>44848.0</v>
      </c>
      <c r="I39" s="288">
        <v>44848.0</v>
      </c>
      <c r="J39" s="288">
        <v>44861.0</v>
      </c>
      <c r="K39" s="425"/>
      <c r="L39" s="294"/>
      <c r="M39" s="290" t="s">
        <v>6423</v>
      </c>
      <c r="N39" s="285" t="s">
        <v>497</v>
      </c>
      <c r="O39" s="299" t="s">
        <v>2554</v>
      </c>
      <c r="P39" s="300">
        <v>29906.1</v>
      </c>
      <c r="Q39" s="213"/>
      <c r="R39" s="198"/>
      <c r="S39" s="198"/>
      <c r="T39" s="198"/>
      <c r="U39" s="198"/>
      <c r="V39" s="198"/>
      <c r="W39" s="198"/>
      <c r="X39" s="198"/>
      <c r="Y39" s="198"/>
      <c r="Z39" s="198"/>
      <c r="AA39" s="198"/>
    </row>
    <row r="40" ht="60.75" customHeight="1">
      <c r="A40" s="370">
        <v>36994.0</v>
      </c>
      <c r="B40" s="299" t="s">
        <v>715</v>
      </c>
      <c r="C40" s="285">
        <v>1703.0</v>
      </c>
      <c r="D40" s="285" t="s">
        <v>6424</v>
      </c>
      <c r="E40" s="287" t="s">
        <v>4804</v>
      </c>
      <c r="F40" s="285" t="s">
        <v>5919</v>
      </c>
      <c r="G40" s="288">
        <v>44854.0</v>
      </c>
      <c r="H40" s="288" t="s">
        <v>6425</v>
      </c>
      <c r="I40" s="288" t="s">
        <v>6425</v>
      </c>
      <c r="J40" s="288">
        <v>44860.0</v>
      </c>
      <c r="K40" s="294"/>
      <c r="L40" s="294"/>
      <c r="M40" s="290" t="s">
        <v>6426</v>
      </c>
      <c r="N40" s="285" t="s">
        <v>497</v>
      </c>
      <c r="O40" s="299" t="s">
        <v>2604</v>
      </c>
      <c r="P40" s="300">
        <v>22178.68</v>
      </c>
      <c r="Q40" s="213"/>
      <c r="R40" s="198"/>
      <c r="S40" s="198"/>
      <c r="T40" s="198"/>
      <c r="U40" s="198"/>
      <c r="V40" s="198"/>
      <c r="W40" s="198"/>
      <c r="X40" s="198"/>
      <c r="Y40" s="198"/>
      <c r="Z40" s="198"/>
      <c r="AA40" s="198"/>
    </row>
    <row r="41" ht="60.75" customHeight="1">
      <c r="A41" s="370">
        <v>36733.0</v>
      </c>
      <c r="B41" s="299" t="s">
        <v>715</v>
      </c>
      <c r="C41" s="285">
        <v>1805.0</v>
      </c>
      <c r="D41" s="285" t="s">
        <v>6427</v>
      </c>
      <c r="E41" s="287" t="s">
        <v>3812</v>
      </c>
      <c r="F41" s="285" t="s">
        <v>5919</v>
      </c>
      <c r="G41" s="288">
        <v>44853.0</v>
      </c>
      <c r="H41" s="288">
        <v>44851.0</v>
      </c>
      <c r="I41" s="288">
        <v>44851.0</v>
      </c>
      <c r="J41" s="288">
        <v>44858.0</v>
      </c>
      <c r="K41" s="294"/>
      <c r="L41" s="294"/>
      <c r="M41" s="290" t="s">
        <v>6428</v>
      </c>
      <c r="N41" s="285" t="s">
        <v>497</v>
      </c>
      <c r="O41" s="299" t="s">
        <v>4662</v>
      </c>
      <c r="P41" s="300">
        <v>85926.67</v>
      </c>
      <c r="Q41" s="213"/>
      <c r="R41" s="198"/>
      <c r="S41" s="198"/>
      <c r="T41" s="198"/>
      <c r="U41" s="198"/>
      <c r="V41" s="198"/>
      <c r="W41" s="198"/>
      <c r="X41" s="198"/>
      <c r="Y41" s="198"/>
      <c r="Z41" s="198"/>
      <c r="AA41" s="198"/>
    </row>
    <row r="42" ht="57.75" customHeight="1">
      <c r="A42" s="370">
        <v>36468.0</v>
      </c>
      <c r="B42" s="285" t="s">
        <v>21</v>
      </c>
      <c r="C42" s="285">
        <v>1800.0</v>
      </c>
      <c r="D42" s="285" t="s">
        <v>6429</v>
      </c>
      <c r="E42" s="287" t="s">
        <v>3740</v>
      </c>
      <c r="F42" s="285" t="s">
        <v>5919</v>
      </c>
      <c r="G42" s="288">
        <v>44849.0</v>
      </c>
      <c r="H42" s="288">
        <v>44844.0</v>
      </c>
      <c r="I42" s="288">
        <v>44844.0</v>
      </c>
      <c r="J42" s="288">
        <v>44874.0</v>
      </c>
      <c r="K42" s="425"/>
      <c r="L42" s="294"/>
      <c r="M42" s="290" t="s">
        <v>6430</v>
      </c>
      <c r="N42" s="285" t="s">
        <v>497</v>
      </c>
      <c r="O42" s="299" t="s">
        <v>4711</v>
      </c>
      <c r="P42" s="300">
        <v>38169.72</v>
      </c>
      <c r="Q42" s="213"/>
      <c r="R42" s="198"/>
      <c r="S42" s="198"/>
      <c r="T42" s="198"/>
      <c r="U42" s="198"/>
      <c r="V42" s="198"/>
      <c r="W42" s="198"/>
      <c r="X42" s="198"/>
      <c r="Y42" s="198"/>
      <c r="Z42" s="198"/>
      <c r="AA42" s="198"/>
    </row>
    <row r="43" ht="57.75" customHeight="1">
      <c r="A43" s="370">
        <v>36815.0</v>
      </c>
      <c r="B43" s="299" t="s">
        <v>715</v>
      </c>
      <c r="C43" s="285">
        <v>4230.0</v>
      </c>
      <c r="D43" s="285" t="s">
        <v>6431</v>
      </c>
      <c r="E43" s="287" t="s">
        <v>4690</v>
      </c>
      <c r="F43" s="285" t="s">
        <v>5919</v>
      </c>
      <c r="G43" s="288">
        <v>44848.0</v>
      </c>
      <c r="H43" s="288">
        <v>44840.0</v>
      </c>
      <c r="I43" s="288">
        <v>44840.0</v>
      </c>
      <c r="J43" s="285" t="s">
        <v>6432</v>
      </c>
      <c r="K43" s="294"/>
      <c r="L43" s="294"/>
      <c r="M43" s="290" t="s">
        <v>6433</v>
      </c>
      <c r="N43" s="285" t="s">
        <v>497</v>
      </c>
      <c r="O43" s="299" t="s">
        <v>2554</v>
      </c>
      <c r="P43" s="300">
        <v>29060.1</v>
      </c>
      <c r="Q43" s="213"/>
      <c r="R43" s="198"/>
      <c r="S43" s="198"/>
      <c r="T43" s="198"/>
      <c r="U43" s="198"/>
      <c r="V43" s="198"/>
      <c r="W43" s="198"/>
      <c r="X43" s="198"/>
      <c r="Y43" s="198"/>
      <c r="Z43" s="198"/>
      <c r="AA43" s="198"/>
    </row>
    <row r="44" ht="57.75" customHeight="1">
      <c r="A44" s="370">
        <v>36819.0</v>
      </c>
      <c r="B44" s="299" t="s">
        <v>715</v>
      </c>
      <c r="C44" s="285">
        <v>2400.0</v>
      </c>
      <c r="D44" s="285" t="s">
        <v>6434</v>
      </c>
      <c r="E44" s="287" t="s">
        <v>6435</v>
      </c>
      <c r="F44" s="285" t="s">
        <v>5919</v>
      </c>
      <c r="G44" s="288">
        <v>44848.0</v>
      </c>
      <c r="H44" s="288">
        <v>44840.0</v>
      </c>
      <c r="I44" s="288">
        <v>44840.0</v>
      </c>
      <c r="J44" s="288">
        <v>44854.0</v>
      </c>
      <c r="K44" s="294"/>
      <c r="L44" s="294"/>
      <c r="M44" s="290" t="s">
        <v>6436</v>
      </c>
      <c r="N44" s="285" t="s">
        <v>497</v>
      </c>
      <c r="O44" s="299" t="s">
        <v>2554</v>
      </c>
      <c r="P44" s="300">
        <v>37200.0</v>
      </c>
      <c r="Q44" s="213"/>
      <c r="R44" s="198"/>
      <c r="S44" s="198"/>
      <c r="T44" s="198"/>
      <c r="U44" s="198"/>
      <c r="V44" s="198"/>
      <c r="W44" s="198"/>
      <c r="X44" s="198"/>
      <c r="Y44" s="198"/>
      <c r="Z44" s="198"/>
      <c r="AA44" s="198"/>
    </row>
    <row r="45" ht="57.75" customHeight="1">
      <c r="A45" s="370">
        <v>36816.0</v>
      </c>
      <c r="B45" s="299" t="s">
        <v>715</v>
      </c>
      <c r="C45" s="285">
        <v>4230.0</v>
      </c>
      <c r="D45" s="285" t="s">
        <v>6437</v>
      </c>
      <c r="E45" s="287" t="s">
        <v>4658</v>
      </c>
      <c r="F45" s="285" t="s">
        <v>5919</v>
      </c>
      <c r="G45" s="288">
        <v>44848.0</v>
      </c>
      <c r="H45" s="288">
        <v>44838.0</v>
      </c>
      <c r="I45" s="288">
        <v>44838.0</v>
      </c>
      <c r="J45" s="288">
        <v>44855.0</v>
      </c>
      <c r="K45" s="294"/>
      <c r="L45" s="294"/>
      <c r="M45" s="290" t="s">
        <v>6438</v>
      </c>
      <c r="N45" s="285" t="s">
        <v>497</v>
      </c>
      <c r="O45" s="299" t="s">
        <v>2554</v>
      </c>
      <c r="P45" s="300">
        <v>29906.1</v>
      </c>
      <c r="Q45" s="213"/>
      <c r="R45" s="198"/>
      <c r="S45" s="198"/>
      <c r="T45" s="198"/>
      <c r="U45" s="198"/>
      <c r="V45" s="198"/>
      <c r="W45" s="198"/>
      <c r="X45" s="198"/>
      <c r="Y45" s="198"/>
      <c r="Z45" s="198"/>
      <c r="AA45" s="198"/>
    </row>
    <row r="46" ht="57.75" customHeight="1">
      <c r="A46" s="370">
        <v>36825.0</v>
      </c>
      <c r="B46" s="299" t="s">
        <v>715</v>
      </c>
      <c r="C46" s="285">
        <v>2190.0</v>
      </c>
      <c r="D46" s="285" t="s">
        <v>6439</v>
      </c>
      <c r="E46" s="287" t="s">
        <v>6409</v>
      </c>
      <c r="F46" s="285" t="s">
        <v>5919</v>
      </c>
      <c r="G46" s="288">
        <v>44848.0</v>
      </c>
      <c r="H46" s="288">
        <v>44838.0</v>
      </c>
      <c r="I46" s="288">
        <v>44838.0</v>
      </c>
      <c r="J46" s="288">
        <v>44853.0</v>
      </c>
      <c r="K46" s="294"/>
      <c r="L46" s="294"/>
      <c r="M46" s="290" t="s">
        <v>6440</v>
      </c>
      <c r="N46" s="285" t="s">
        <v>497</v>
      </c>
      <c r="O46" s="299" t="s">
        <v>2554</v>
      </c>
      <c r="P46" s="300">
        <v>38781.6</v>
      </c>
      <c r="Q46" s="213"/>
      <c r="R46" s="198"/>
      <c r="S46" s="198"/>
      <c r="T46" s="198"/>
      <c r="U46" s="198"/>
      <c r="V46" s="198"/>
      <c r="W46" s="198"/>
      <c r="X46" s="198"/>
      <c r="Y46" s="198"/>
      <c r="Z46" s="198"/>
      <c r="AA46" s="198"/>
    </row>
    <row r="47" ht="63.75" customHeight="1">
      <c r="A47" s="370">
        <v>36550.0</v>
      </c>
      <c r="B47" s="285" t="s">
        <v>21</v>
      </c>
      <c r="C47" s="285">
        <v>1930.0</v>
      </c>
      <c r="D47" s="285" t="s">
        <v>6441</v>
      </c>
      <c r="E47" s="287" t="s">
        <v>4670</v>
      </c>
      <c r="F47" s="285" t="s">
        <v>5919</v>
      </c>
      <c r="G47" s="288">
        <v>44835.0</v>
      </c>
      <c r="H47" s="288">
        <v>44832.0</v>
      </c>
      <c r="I47" s="288">
        <v>44832.0</v>
      </c>
      <c r="J47" s="288">
        <v>44841.0</v>
      </c>
      <c r="K47" s="425"/>
      <c r="L47" s="294"/>
      <c r="M47" s="290" t="s">
        <v>6442</v>
      </c>
      <c r="N47" s="285" t="s">
        <v>497</v>
      </c>
      <c r="O47" s="299" t="s">
        <v>2604</v>
      </c>
      <c r="P47" s="300">
        <v>57508.0</v>
      </c>
      <c r="Q47" s="213"/>
      <c r="R47" s="198"/>
      <c r="S47" s="198"/>
      <c r="T47" s="198"/>
      <c r="U47" s="198"/>
      <c r="V47" s="198"/>
      <c r="W47" s="198"/>
      <c r="X47" s="198"/>
      <c r="Y47" s="198"/>
      <c r="Z47" s="198"/>
      <c r="AA47" s="198"/>
    </row>
    <row r="48" ht="63.75" customHeight="1">
      <c r="A48" s="370">
        <v>36824.0</v>
      </c>
      <c r="B48" s="299" t="s">
        <v>25</v>
      </c>
      <c r="C48" s="285">
        <v>2190.0</v>
      </c>
      <c r="D48" s="375" t="s">
        <v>6443</v>
      </c>
      <c r="E48" s="287" t="s">
        <v>6444</v>
      </c>
      <c r="F48" s="285" t="s">
        <v>5919</v>
      </c>
      <c r="G48" s="288">
        <v>44835.0</v>
      </c>
      <c r="H48" s="288">
        <v>44831.0</v>
      </c>
      <c r="I48" s="288">
        <v>44831.0</v>
      </c>
      <c r="J48" s="288">
        <v>44839.0</v>
      </c>
      <c r="K48" s="294"/>
      <c r="L48" s="294"/>
      <c r="M48" s="290" t="s">
        <v>6445</v>
      </c>
      <c r="N48" s="285" t="s">
        <v>497</v>
      </c>
      <c r="O48" s="299" t="s">
        <v>2554</v>
      </c>
      <c r="P48" s="300">
        <v>38544.0</v>
      </c>
      <c r="Q48" s="213"/>
      <c r="R48" s="198"/>
      <c r="S48" s="198"/>
      <c r="T48" s="198"/>
      <c r="U48" s="198"/>
      <c r="V48" s="198"/>
      <c r="W48" s="198"/>
      <c r="X48" s="198"/>
      <c r="Y48" s="198"/>
      <c r="Z48" s="198"/>
      <c r="AA48" s="198"/>
    </row>
    <row r="49" ht="71.25" customHeight="1">
      <c r="A49" s="370">
        <v>37180.0</v>
      </c>
      <c r="B49" s="299" t="s">
        <v>715</v>
      </c>
      <c r="C49" s="285">
        <v>940.0</v>
      </c>
      <c r="D49" s="285" t="s">
        <v>6446</v>
      </c>
      <c r="E49" s="287" t="s">
        <v>6447</v>
      </c>
      <c r="F49" s="285" t="s">
        <v>5919</v>
      </c>
      <c r="G49" s="288">
        <v>44834.0</v>
      </c>
      <c r="H49" s="288">
        <v>44848.0</v>
      </c>
      <c r="I49" s="288">
        <v>44838.0</v>
      </c>
      <c r="J49" s="288">
        <v>44839.0</v>
      </c>
      <c r="K49" s="294"/>
      <c r="L49" s="294"/>
      <c r="M49" s="290" t="s">
        <v>6448</v>
      </c>
      <c r="N49" s="285" t="s">
        <v>4635</v>
      </c>
      <c r="O49" s="299" t="s">
        <v>2621</v>
      </c>
      <c r="P49" s="300">
        <v>57956.0</v>
      </c>
      <c r="Q49" s="213"/>
      <c r="R49" s="198"/>
      <c r="S49" s="198"/>
      <c r="T49" s="198"/>
      <c r="U49" s="198"/>
      <c r="V49" s="198"/>
      <c r="W49" s="198"/>
      <c r="X49" s="198"/>
      <c r="Y49" s="198"/>
      <c r="Z49" s="198"/>
      <c r="AA49" s="198"/>
    </row>
    <row r="50" ht="76.5" customHeight="1">
      <c r="A50" s="370">
        <v>36467.0</v>
      </c>
      <c r="B50" s="299" t="s">
        <v>25</v>
      </c>
      <c r="C50" s="285">
        <v>1800.0</v>
      </c>
      <c r="D50" s="285" t="s">
        <v>6449</v>
      </c>
      <c r="E50" s="287" t="s">
        <v>3740</v>
      </c>
      <c r="F50" s="285" t="s">
        <v>5919</v>
      </c>
      <c r="G50" s="288">
        <v>44833.0</v>
      </c>
      <c r="H50" s="288">
        <v>44831.0</v>
      </c>
      <c r="I50" s="288">
        <v>44831.0</v>
      </c>
      <c r="J50" s="288">
        <v>44839.0</v>
      </c>
      <c r="K50" s="294"/>
      <c r="L50" s="294"/>
      <c r="M50" s="290" t="s">
        <v>6450</v>
      </c>
      <c r="N50" s="285" t="s">
        <v>497</v>
      </c>
      <c r="O50" s="299" t="s">
        <v>4711</v>
      </c>
      <c r="P50" s="300">
        <v>38169.72</v>
      </c>
      <c r="Q50" s="213"/>
      <c r="R50" s="198"/>
      <c r="S50" s="198"/>
      <c r="T50" s="198"/>
      <c r="U50" s="198"/>
      <c r="V50" s="198"/>
      <c r="W50" s="198"/>
      <c r="X50" s="198"/>
      <c r="Y50" s="198"/>
      <c r="Z50" s="198"/>
      <c r="AA50" s="198"/>
    </row>
    <row r="51" ht="75.0" customHeight="1">
      <c r="A51" s="370">
        <v>37255.0</v>
      </c>
      <c r="B51" s="299" t="s">
        <v>715</v>
      </c>
      <c r="C51" s="285">
        <v>1163.0</v>
      </c>
      <c r="D51" s="285" t="s">
        <v>6451</v>
      </c>
      <c r="E51" s="287" t="s">
        <v>6452</v>
      </c>
      <c r="F51" s="285" t="s">
        <v>5919</v>
      </c>
      <c r="G51" s="288">
        <v>44831.0</v>
      </c>
      <c r="H51" s="288">
        <v>44827.0</v>
      </c>
      <c r="I51" s="288">
        <v>44827.0</v>
      </c>
      <c r="J51" s="288">
        <v>44837.0</v>
      </c>
      <c r="K51" s="294"/>
      <c r="L51" s="294"/>
      <c r="M51" s="290" t="s">
        <v>6453</v>
      </c>
      <c r="N51" s="285" t="s">
        <v>4635</v>
      </c>
      <c r="O51" s="299" t="s">
        <v>2621</v>
      </c>
      <c r="P51" s="300">
        <v>49576.64</v>
      </c>
      <c r="Q51" s="213"/>
      <c r="R51" s="198"/>
      <c r="S51" s="198"/>
      <c r="T51" s="198"/>
      <c r="U51" s="198"/>
      <c r="V51" s="198"/>
      <c r="W51" s="198"/>
      <c r="X51" s="198"/>
      <c r="Y51" s="198"/>
      <c r="Z51" s="198"/>
      <c r="AA51" s="198"/>
    </row>
    <row r="52" ht="68.25" customHeight="1">
      <c r="A52" s="370">
        <v>36767.0</v>
      </c>
      <c r="B52" s="299" t="s">
        <v>715</v>
      </c>
      <c r="C52" s="285">
        <v>2505.0</v>
      </c>
      <c r="D52" s="285" t="s">
        <v>6454</v>
      </c>
      <c r="E52" s="287" t="s">
        <v>6455</v>
      </c>
      <c r="F52" s="285" t="s">
        <v>5919</v>
      </c>
      <c r="G52" s="288">
        <v>44829.0</v>
      </c>
      <c r="H52" s="288">
        <v>44819.0</v>
      </c>
      <c r="I52" s="288">
        <v>44819.0</v>
      </c>
      <c r="J52" s="285" t="s">
        <v>6456</v>
      </c>
      <c r="K52" s="294"/>
      <c r="L52" s="294"/>
      <c r="M52" s="290" t="s">
        <v>6457</v>
      </c>
      <c r="N52" s="285" t="s">
        <v>497</v>
      </c>
      <c r="O52" s="299" t="s">
        <v>2604</v>
      </c>
      <c r="P52" s="300">
        <v>50160.0</v>
      </c>
      <c r="Q52" s="213"/>
      <c r="R52" s="198"/>
      <c r="S52" s="198"/>
      <c r="T52" s="198"/>
      <c r="U52" s="198"/>
      <c r="V52" s="198"/>
      <c r="W52" s="198"/>
      <c r="X52" s="198"/>
      <c r="Y52" s="198"/>
      <c r="Z52" s="198"/>
      <c r="AA52" s="198"/>
    </row>
    <row r="53" ht="71.25" customHeight="1">
      <c r="A53" s="370">
        <v>37164.0</v>
      </c>
      <c r="B53" s="299" t="s">
        <v>715</v>
      </c>
      <c r="C53" s="285">
        <v>1150.0</v>
      </c>
      <c r="D53" s="285" t="s">
        <v>6458</v>
      </c>
      <c r="E53" s="287" t="s">
        <v>6459</v>
      </c>
      <c r="F53" s="285" t="s">
        <v>5919</v>
      </c>
      <c r="G53" s="288">
        <v>44828.0</v>
      </c>
      <c r="H53" s="288">
        <v>44833.0</v>
      </c>
      <c r="I53" s="288">
        <v>44833.0</v>
      </c>
      <c r="J53" s="288">
        <v>44833.0</v>
      </c>
      <c r="K53" s="294"/>
      <c r="L53" s="294"/>
      <c r="M53" s="290" t="s">
        <v>6460</v>
      </c>
      <c r="N53" s="285" t="s">
        <v>4635</v>
      </c>
      <c r="O53" s="299" t="s">
        <v>2621</v>
      </c>
      <c r="P53" s="300">
        <v>108533.5</v>
      </c>
      <c r="Q53" s="213"/>
      <c r="R53" s="198"/>
      <c r="S53" s="198"/>
      <c r="T53" s="198"/>
      <c r="U53" s="198"/>
      <c r="V53" s="198"/>
      <c r="W53" s="198"/>
      <c r="X53" s="198"/>
      <c r="Y53" s="198"/>
      <c r="Z53" s="198"/>
      <c r="AA53" s="198"/>
    </row>
    <row r="54" ht="69.75" customHeight="1">
      <c r="A54" s="370">
        <v>37173.0</v>
      </c>
      <c r="B54" s="299" t="s">
        <v>715</v>
      </c>
      <c r="C54" s="427">
        <v>1265.0</v>
      </c>
      <c r="D54" s="285" t="s">
        <v>6461</v>
      </c>
      <c r="E54" s="287" t="s">
        <v>6462</v>
      </c>
      <c r="F54" s="285" t="s">
        <v>5919</v>
      </c>
      <c r="G54" s="288">
        <v>44825.0</v>
      </c>
      <c r="H54" s="288">
        <v>44822.0</v>
      </c>
      <c r="I54" s="288">
        <v>44822.0</v>
      </c>
      <c r="J54" s="285" t="s">
        <v>6463</v>
      </c>
      <c r="K54" s="294"/>
      <c r="L54" s="294"/>
      <c r="M54" s="290" t="s">
        <v>6464</v>
      </c>
      <c r="N54" s="285" t="s">
        <v>497</v>
      </c>
      <c r="O54" s="299" t="s">
        <v>2621</v>
      </c>
      <c r="P54" s="300">
        <v>46805.0</v>
      </c>
      <c r="Q54" s="213"/>
      <c r="R54" s="198"/>
      <c r="S54" s="198"/>
      <c r="T54" s="198"/>
      <c r="U54" s="198"/>
      <c r="V54" s="198"/>
      <c r="W54" s="198"/>
      <c r="X54" s="198"/>
      <c r="Y54" s="198"/>
      <c r="Z54" s="198"/>
      <c r="AA54" s="198"/>
    </row>
    <row r="55" ht="69.75" customHeight="1">
      <c r="A55" s="370">
        <v>37221.0</v>
      </c>
      <c r="B55" s="285" t="s">
        <v>21</v>
      </c>
      <c r="C55" s="285">
        <v>1500.0</v>
      </c>
      <c r="D55" s="285" t="s">
        <v>6465</v>
      </c>
      <c r="E55" s="287" t="s">
        <v>6466</v>
      </c>
      <c r="F55" s="285" t="s">
        <v>5919</v>
      </c>
      <c r="G55" s="288">
        <v>44824.0</v>
      </c>
      <c r="H55" s="288">
        <v>44819.0</v>
      </c>
      <c r="I55" s="288">
        <v>44819.0</v>
      </c>
      <c r="J55" s="288">
        <v>44831.0</v>
      </c>
      <c r="K55" s="425"/>
      <c r="L55" s="294"/>
      <c r="M55" s="290" t="s">
        <v>6467</v>
      </c>
      <c r="N55" s="285" t="s">
        <v>4635</v>
      </c>
      <c r="O55" s="299" t="s">
        <v>2621</v>
      </c>
      <c r="P55" s="300">
        <v>50357.0</v>
      </c>
      <c r="Q55" s="213"/>
      <c r="R55" s="198"/>
      <c r="S55" s="198"/>
      <c r="T55" s="198"/>
      <c r="U55" s="198"/>
      <c r="V55" s="198"/>
      <c r="W55" s="198"/>
      <c r="X55" s="198"/>
      <c r="Y55" s="198"/>
      <c r="Z55" s="198"/>
      <c r="AA55" s="198"/>
    </row>
    <row r="56" ht="67.5" customHeight="1">
      <c r="A56" s="370">
        <v>37213.0</v>
      </c>
      <c r="B56" s="285" t="s">
        <v>21</v>
      </c>
      <c r="C56" s="285">
        <v>801.0</v>
      </c>
      <c r="D56" s="285" t="s">
        <v>6468</v>
      </c>
      <c r="E56" s="287" t="s">
        <v>6469</v>
      </c>
      <c r="F56" s="285" t="s">
        <v>5919</v>
      </c>
      <c r="G56" s="288">
        <v>44820.0</v>
      </c>
      <c r="H56" s="288">
        <v>44816.0</v>
      </c>
      <c r="I56" s="288">
        <v>44816.0</v>
      </c>
      <c r="J56" s="288">
        <v>44827.0</v>
      </c>
      <c r="K56" s="425"/>
      <c r="L56" s="294"/>
      <c r="M56" s="290" t="s">
        <v>6470</v>
      </c>
      <c r="N56" s="285" t="s">
        <v>4635</v>
      </c>
      <c r="O56" s="299" t="s">
        <v>2621</v>
      </c>
      <c r="P56" s="300">
        <v>110326.52</v>
      </c>
      <c r="Q56" s="213"/>
      <c r="R56" s="198"/>
      <c r="S56" s="198"/>
      <c r="T56" s="198"/>
      <c r="U56" s="198"/>
      <c r="V56" s="198"/>
      <c r="W56" s="198"/>
      <c r="X56" s="198"/>
      <c r="Y56" s="198"/>
      <c r="Z56" s="198"/>
      <c r="AA56" s="198"/>
    </row>
    <row r="57" ht="63.0" customHeight="1">
      <c r="A57" s="370">
        <v>36818.0</v>
      </c>
      <c r="B57" s="299" t="s">
        <v>715</v>
      </c>
      <c r="C57" s="285">
        <v>1250.0</v>
      </c>
      <c r="D57" s="285" t="s">
        <v>6471</v>
      </c>
      <c r="E57" s="287" t="s">
        <v>4637</v>
      </c>
      <c r="F57" s="285" t="s">
        <v>5919</v>
      </c>
      <c r="G57" s="288">
        <v>44820.0</v>
      </c>
      <c r="H57" s="288">
        <v>44813.0</v>
      </c>
      <c r="I57" s="288">
        <v>44813.0</v>
      </c>
      <c r="J57" s="285" t="s">
        <v>6472</v>
      </c>
      <c r="K57" s="294"/>
      <c r="L57" s="294"/>
      <c r="M57" s="290" t="s">
        <v>6473</v>
      </c>
      <c r="N57" s="285" t="s">
        <v>497</v>
      </c>
      <c r="O57" s="299" t="s">
        <v>2554</v>
      </c>
      <c r="P57" s="300">
        <v>34335.0</v>
      </c>
      <c r="Q57" s="213"/>
      <c r="R57" s="198"/>
      <c r="S57" s="198"/>
      <c r="T57" s="198"/>
      <c r="U57" s="198"/>
      <c r="V57" s="198"/>
      <c r="W57" s="198"/>
      <c r="X57" s="198"/>
      <c r="Y57" s="198"/>
      <c r="Z57" s="198"/>
      <c r="AA57" s="198"/>
    </row>
    <row r="58" ht="61.5" customHeight="1">
      <c r="A58" s="370">
        <v>36817.0</v>
      </c>
      <c r="B58" s="299" t="s">
        <v>715</v>
      </c>
      <c r="C58" s="285">
        <v>1250.0</v>
      </c>
      <c r="D58" s="285" t="s">
        <v>6474</v>
      </c>
      <c r="E58" s="287" t="s">
        <v>4637</v>
      </c>
      <c r="F58" s="285" t="s">
        <v>5919</v>
      </c>
      <c r="G58" s="288">
        <v>44820.0</v>
      </c>
      <c r="H58" s="288">
        <v>44813.0</v>
      </c>
      <c r="I58" s="288">
        <v>44813.0</v>
      </c>
      <c r="J58" s="288">
        <v>44826.0</v>
      </c>
      <c r="K58" s="294"/>
      <c r="L58" s="294"/>
      <c r="M58" s="290" t="s">
        <v>6475</v>
      </c>
      <c r="N58" s="285" t="s">
        <v>497</v>
      </c>
      <c r="O58" s="299" t="s">
        <v>2554</v>
      </c>
      <c r="P58" s="300">
        <v>34335.0</v>
      </c>
      <c r="Q58" s="213"/>
      <c r="R58" s="198"/>
      <c r="S58" s="198"/>
      <c r="T58" s="198"/>
      <c r="U58" s="198"/>
      <c r="V58" s="198"/>
      <c r="W58" s="198"/>
      <c r="X58" s="198"/>
      <c r="Y58" s="198"/>
      <c r="Z58" s="198"/>
      <c r="AA58" s="198"/>
    </row>
    <row r="59" ht="69.75" customHeight="1">
      <c r="A59" s="370">
        <v>36732.0</v>
      </c>
      <c r="B59" s="285" t="s">
        <v>715</v>
      </c>
      <c r="C59" s="285">
        <v>2440.0</v>
      </c>
      <c r="D59" s="285" t="s">
        <v>6476</v>
      </c>
      <c r="E59" s="287" t="s">
        <v>6477</v>
      </c>
      <c r="F59" s="285" t="s">
        <v>5919</v>
      </c>
      <c r="G59" s="288">
        <v>44815.0</v>
      </c>
      <c r="H59" s="288">
        <v>44811.0</v>
      </c>
      <c r="I59" s="288">
        <v>44811.0</v>
      </c>
      <c r="J59" s="285" t="s">
        <v>6478</v>
      </c>
      <c r="K59" s="294"/>
      <c r="L59" s="294"/>
      <c r="M59" s="290" t="s">
        <v>6479</v>
      </c>
      <c r="N59" s="285" t="s">
        <v>497</v>
      </c>
      <c r="O59" s="299" t="s">
        <v>4662</v>
      </c>
      <c r="P59" s="300">
        <v>118803.78</v>
      </c>
      <c r="Q59" s="213"/>
      <c r="R59" s="198"/>
      <c r="S59" s="198"/>
      <c r="T59" s="198"/>
      <c r="U59" s="198"/>
      <c r="V59" s="198"/>
      <c r="W59" s="198"/>
      <c r="X59" s="198"/>
      <c r="Y59" s="198"/>
      <c r="Z59" s="198"/>
      <c r="AA59" s="198"/>
    </row>
    <row r="60" ht="70.5" customHeight="1">
      <c r="A60" s="370">
        <v>36465.0</v>
      </c>
      <c r="B60" s="299" t="s">
        <v>715</v>
      </c>
      <c r="C60" s="285">
        <v>1305.0</v>
      </c>
      <c r="D60" s="285" t="s">
        <v>6480</v>
      </c>
      <c r="E60" s="287" t="s">
        <v>3740</v>
      </c>
      <c r="F60" s="285" t="s">
        <v>5919</v>
      </c>
      <c r="G60" s="288">
        <v>44815.0</v>
      </c>
      <c r="H60" s="288">
        <v>44811.0</v>
      </c>
      <c r="I60" s="288">
        <v>44811.0</v>
      </c>
      <c r="J60" s="285" t="s">
        <v>6481</v>
      </c>
      <c r="K60" s="294"/>
      <c r="L60" s="294"/>
      <c r="M60" s="290" t="s">
        <v>6482</v>
      </c>
      <c r="N60" s="285" t="s">
        <v>497</v>
      </c>
      <c r="O60" s="299" t="s">
        <v>4711</v>
      </c>
      <c r="P60" s="300">
        <v>27673.05</v>
      </c>
      <c r="Q60" s="213"/>
      <c r="R60" s="198"/>
      <c r="S60" s="198"/>
      <c r="T60" s="198"/>
      <c r="U60" s="198"/>
      <c r="V60" s="198"/>
      <c r="W60" s="198"/>
      <c r="X60" s="198"/>
      <c r="Y60" s="198"/>
      <c r="Z60" s="198"/>
      <c r="AA60" s="198"/>
    </row>
    <row r="61" ht="61.5" customHeight="1">
      <c r="A61" s="370">
        <v>36768.0</v>
      </c>
      <c r="B61" s="299" t="s">
        <v>25</v>
      </c>
      <c r="C61" s="285">
        <v>2505.0</v>
      </c>
      <c r="D61" s="285" t="s">
        <v>6483</v>
      </c>
      <c r="E61" s="287" t="s">
        <v>6455</v>
      </c>
      <c r="F61" s="285" t="s">
        <v>5919</v>
      </c>
      <c r="G61" s="288">
        <v>44815.0</v>
      </c>
      <c r="H61" s="288">
        <v>44810.0</v>
      </c>
      <c r="I61" s="288">
        <v>44810.0</v>
      </c>
      <c r="J61" s="285" t="s">
        <v>6484</v>
      </c>
      <c r="K61" s="294"/>
      <c r="L61" s="294"/>
      <c r="M61" s="290" t="s">
        <v>6485</v>
      </c>
      <c r="N61" s="285" t="s">
        <v>497</v>
      </c>
      <c r="O61" s="299" t="s">
        <v>2604</v>
      </c>
      <c r="P61" s="300">
        <v>50160.0</v>
      </c>
      <c r="Q61" s="213"/>
      <c r="R61" s="198"/>
      <c r="S61" s="198"/>
      <c r="T61" s="198"/>
      <c r="U61" s="198"/>
      <c r="V61" s="198"/>
      <c r="W61" s="198"/>
      <c r="X61" s="198"/>
      <c r="Y61" s="198"/>
      <c r="Z61" s="198"/>
      <c r="AA61" s="198"/>
    </row>
    <row r="62" ht="57.75" customHeight="1">
      <c r="A62" s="370">
        <v>36618.0</v>
      </c>
      <c r="B62" s="299" t="s">
        <v>715</v>
      </c>
      <c r="C62" s="285">
        <v>1250.0</v>
      </c>
      <c r="D62" s="285" t="s">
        <v>6486</v>
      </c>
      <c r="E62" s="287" t="s">
        <v>4637</v>
      </c>
      <c r="F62" s="285" t="s">
        <v>5919</v>
      </c>
      <c r="G62" s="288">
        <v>44813.0</v>
      </c>
      <c r="H62" s="288">
        <v>44795.0</v>
      </c>
      <c r="I62" s="288">
        <v>44795.0</v>
      </c>
      <c r="J62" s="288">
        <v>44819.0</v>
      </c>
      <c r="K62" s="294"/>
      <c r="L62" s="294"/>
      <c r="M62" s="290" t="s">
        <v>6487</v>
      </c>
      <c r="N62" s="285" t="s">
        <v>497</v>
      </c>
      <c r="O62" s="299" t="s">
        <v>2554</v>
      </c>
      <c r="P62" s="300">
        <v>34335.0</v>
      </c>
      <c r="Q62" s="213"/>
      <c r="R62" s="198"/>
      <c r="S62" s="198"/>
      <c r="T62" s="198"/>
      <c r="U62" s="198"/>
      <c r="V62" s="198"/>
      <c r="W62" s="198"/>
      <c r="X62" s="198"/>
      <c r="Y62" s="198"/>
      <c r="Z62" s="198"/>
      <c r="AA62" s="198"/>
    </row>
    <row r="63" ht="57.75" customHeight="1">
      <c r="A63" s="370">
        <v>36615.0</v>
      </c>
      <c r="B63" s="299" t="s">
        <v>715</v>
      </c>
      <c r="C63" s="285">
        <v>2100.0</v>
      </c>
      <c r="D63" s="285" t="s">
        <v>6488</v>
      </c>
      <c r="E63" s="287" t="s">
        <v>4637</v>
      </c>
      <c r="F63" s="285" t="s">
        <v>5919</v>
      </c>
      <c r="G63" s="288">
        <v>44813.0</v>
      </c>
      <c r="H63" s="288">
        <v>44795.0</v>
      </c>
      <c r="I63" s="288">
        <v>44795.0</v>
      </c>
      <c r="J63" s="288">
        <v>44818.0</v>
      </c>
      <c r="K63" s="294"/>
      <c r="L63" s="294"/>
      <c r="M63" s="290" t="s">
        <v>6489</v>
      </c>
      <c r="N63" s="285" t="s">
        <v>497</v>
      </c>
      <c r="O63" s="299" t="s">
        <v>2554</v>
      </c>
      <c r="P63" s="300">
        <v>29190.0</v>
      </c>
      <c r="Q63" s="213"/>
      <c r="R63" s="198"/>
      <c r="S63" s="198"/>
      <c r="T63" s="198"/>
      <c r="U63" s="198"/>
      <c r="V63" s="198"/>
      <c r="W63" s="198"/>
      <c r="X63" s="198"/>
      <c r="Y63" s="198"/>
      <c r="Z63" s="198"/>
      <c r="AA63" s="198"/>
    </row>
    <row r="64" ht="57.75" customHeight="1">
      <c r="A64" s="370">
        <v>36601.0</v>
      </c>
      <c r="B64" s="299" t="s">
        <v>715</v>
      </c>
      <c r="C64" s="285">
        <v>2190.0</v>
      </c>
      <c r="D64" s="285" t="s">
        <v>6490</v>
      </c>
      <c r="E64" s="287" t="s">
        <v>4713</v>
      </c>
      <c r="F64" s="285" t="s">
        <v>5919</v>
      </c>
      <c r="G64" s="288">
        <v>44813.0</v>
      </c>
      <c r="H64" s="288">
        <v>44794.0</v>
      </c>
      <c r="I64" s="288">
        <v>44794.0</v>
      </c>
      <c r="J64" s="285" t="s">
        <v>6491</v>
      </c>
      <c r="K64" s="294"/>
      <c r="L64" s="294"/>
      <c r="M64" s="290" t="s">
        <v>6492</v>
      </c>
      <c r="N64" s="285" t="s">
        <v>497</v>
      </c>
      <c r="O64" s="299" t="s">
        <v>2554</v>
      </c>
      <c r="P64" s="300">
        <v>38544.0</v>
      </c>
      <c r="Q64" s="213"/>
      <c r="R64" s="198"/>
      <c r="S64" s="198"/>
      <c r="T64" s="198"/>
      <c r="U64" s="198"/>
      <c r="V64" s="198"/>
      <c r="W64" s="198"/>
      <c r="X64" s="198"/>
      <c r="Y64" s="198"/>
      <c r="Z64" s="198"/>
      <c r="AA64" s="198"/>
    </row>
    <row r="65" ht="57.75" customHeight="1">
      <c r="A65" s="370">
        <v>36277.0</v>
      </c>
      <c r="B65" s="285" t="s">
        <v>715</v>
      </c>
      <c r="C65" s="285">
        <v>1790.0</v>
      </c>
      <c r="D65" s="285" t="s">
        <v>6493</v>
      </c>
      <c r="E65" s="287" t="s">
        <v>6494</v>
      </c>
      <c r="F65" s="285" t="s">
        <v>5919</v>
      </c>
      <c r="G65" s="288">
        <v>44813.0</v>
      </c>
      <c r="H65" s="288">
        <v>44794.0</v>
      </c>
      <c r="I65" s="288">
        <v>44794.0</v>
      </c>
      <c r="J65" s="288">
        <v>44820.0</v>
      </c>
      <c r="K65" s="294"/>
      <c r="L65" s="294"/>
      <c r="M65" s="290" t="s">
        <v>6495</v>
      </c>
      <c r="N65" s="285" t="s">
        <v>497</v>
      </c>
      <c r="O65" s="299" t="s">
        <v>2554</v>
      </c>
      <c r="P65" s="300">
        <v>39687.98</v>
      </c>
      <c r="Q65" s="213"/>
      <c r="R65" s="198"/>
      <c r="S65" s="198"/>
      <c r="T65" s="198"/>
      <c r="U65" s="198"/>
      <c r="V65" s="198"/>
      <c r="W65" s="198"/>
      <c r="X65" s="198"/>
      <c r="Y65" s="198"/>
      <c r="Z65" s="198"/>
      <c r="AA65" s="198"/>
    </row>
    <row r="66" ht="57.75" customHeight="1">
      <c r="A66" s="370">
        <v>36319.0</v>
      </c>
      <c r="B66" s="299" t="s">
        <v>715</v>
      </c>
      <c r="C66" s="285">
        <v>2403.0</v>
      </c>
      <c r="D66" s="285" t="s">
        <v>6496</v>
      </c>
      <c r="E66" s="287" t="s">
        <v>6497</v>
      </c>
      <c r="F66" s="285" t="s">
        <v>5919</v>
      </c>
      <c r="G66" s="288">
        <v>44812.0</v>
      </c>
      <c r="H66" s="288">
        <v>44810.0</v>
      </c>
      <c r="I66" s="288">
        <v>44810.0</v>
      </c>
      <c r="J66" s="288">
        <v>44818.0</v>
      </c>
      <c r="K66" s="294"/>
      <c r="L66" s="294"/>
      <c r="M66" s="290" t="s">
        <v>6498</v>
      </c>
      <c r="N66" s="285" t="s">
        <v>497</v>
      </c>
      <c r="O66" s="299" t="s">
        <v>2554</v>
      </c>
      <c r="P66" s="300">
        <v>44775.9</v>
      </c>
      <c r="Q66" s="213"/>
      <c r="R66" s="198"/>
      <c r="S66" s="198"/>
      <c r="T66" s="198"/>
      <c r="U66" s="198"/>
      <c r="V66" s="198"/>
      <c r="W66" s="198"/>
      <c r="X66" s="198"/>
      <c r="Y66" s="198"/>
      <c r="Z66" s="198"/>
      <c r="AA66" s="198"/>
    </row>
    <row r="67" ht="57.75" customHeight="1">
      <c r="A67" s="370">
        <v>36998.0</v>
      </c>
      <c r="B67" s="299" t="s">
        <v>715</v>
      </c>
      <c r="C67" s="285">
        <v>1416.0</v>
      </c>
      <c r="D67" s="285" t="s">
        <v>6499</v>
      </c>
      <c r="E67" s="287" t="s">
        <v>4641</v>
      </c>
      <c r="F67" s="285" t="s">
        <v>5919</v>
      </c>
      <c r="G67" s="288">
        <v>44812.0</v>
      </c>
      <c r="H67" s="288">
        <v>44805.0</v>
      </c>
      <c r="I67" s="288">
        <v>44805.0</v>
      </c>
      <c r="J67" s="288">
        <v>44823.0</v>
      </c>
      <c r="K67" s="294"/>
      <c r="L67" s="294"/>
      <c r="M67" s="290" t="s">
        <v>6500</v>
      </c>
      <c r="N67" s="285" t="s">
        <v>497</v>
      </c>
      <c r="O67" s="299" t="s">
        <v>2538</v>
      </c>
      <c r="P67" s="300">
        <v>214440.0</v>
      </c>
      <c r="Q67" s="213"/>
      <c r="R67" s="198"/>
      <c r="S67" s="198"/>
      <c r="T67" s="198"/>
      <c r="U67" s="198"/>
      <c r="V67" s="198"/>
      <c r="W67" s="198"/>
      <c r="X67" s="198"/>
      <c r="Y67" s="198"/>
      <c r="Z67" s="198"/>
      <c r="AA67" s="198"/>
    </row>
    <row r="68" ht="57.75" customHeight="1">
      <c r="A68" s="370">
        <v>36621.0</v>
      </c>
      <c r="B68" s="299" t="s">
        <v>6501</v>
      </c>
      <c r="C68" s="285">
        <v>2599.0</v>
      </c>
      <c r="D68" s="285" t="s">
        <v>6502</v>
      </c>
      <c r="E68" s="287" t="s">
        <v>6503</v>
      </c>
      <c r="F68" s="285" t="s">
        <v>5919</v>
      </c>
      <c r="G68" s="288">
        <v>44812.0</v>
      </c>
      <c r="H68" s="288">
        <v>44805.0</v>
      </c>
      <c r="I68" s="288">
        <v>44805.0</v>
      </c>
      <c r="J68" s="288">
        <v>44819.0</v>
      </c>
      <c r="K68" s="294"/>
      <c r="L68" s="294"/>
      <c r="M68" s="290" t="s">
        <v>6504</v>
      </c>
      <c r="N68" s="285" t="s">
        <v>497</v>
      </c>
      <c r="O68" s="299" t="s">
        <v>2554</v>
      </c>
      <c r="P68" s="300">
        <v>45412.5</v>
      </c>
      <c r="Q68" s="213"/>
      <c r="R68" s="198"/>
      <c r="S68" s="198"/>
      <c r="T68" s="198"/>
      <c r="U68" s="198"/>
      <c r="V68" s="198"/>
      <c r="W68" s="198"/>
      <c r="X68" s="198"/>
      <c r="Y68" s="198"/>
      <c r="Z68" s="198"/>
      <c r="AA68" s="198"/>
    </row>
    <row r="69" ht="57.75" customHeight="1">
      <c r="A69" s="370">
        <v>36811.0</v>
      </c>
      <c r="B69" s="299" t="s">
        <v>715</v>
      </c>
      <c r="C69" s="285">
        <v>1306.0</v>
      </c>
      <c r="D69" s="285" t="s">
        <v>6505</v>
      </c>
      <c r="E69" s="287" t="s">
        <v>4681</v>
      </c>
      <c r="F69" s="285" t="s">
        <v>5919</v>
      </c>
      <c r="G69" s="288">
        <v>44812.0</v>
      </c>
      <c r="H69" s="288">
        <v>44802.0</v>
      </c>
      <c r="I69" s="288">
        <v>44802.0</v>
      </c>
      <c r="J69" s="288">
        <v>44818.0</v>
      </c>
      <c r="K69" s="294"/>
      <c r="L69" s="294"/>
      <c r="M69" s="290" t="s">
        <v>6506</v>
      </c>
      <c r="N69" s="285" t="s">
        <v>497</v>
      </c>
      <c r="O69" s="299" t="s">
        <v>2554</v>
      </c>
      <c r="P69" s="300">
        <v>44798.41</v>
      </c>
      <c r="Q69" s="213"/>
      <c r="R69" s="198"/>
      <c r="S69" s="198"/>
      <c r="T69" s="198"/>
      <c r="U69" s="198"/>
      <c r="V69" s="198"/>
      <c r="W69" s="198"/>
      <c r="X69" s="198"/>
      <c r="Y69" s="198"/>
      <c r="Z69" s="198"/>
      <c r="AA69" s="198"/>
    </row>
    <row r="70" ht="69.75" customHeight="1">
      <c r="A70" s="370">
        <v>37141.0</v>
      </c>
      <c r="B70" s="299" t="s">
        <v>6501</v>
      </c>
      <c r="C70" s="285">
        <v>930.0</v>
      </c>
      <c r="D70" s="285" t="s">
        <v>6507</v>
      </c>
      <c r="E70" s="287" t="s">
        <v>6508</v>
      </c>
      <c r="F70" s="285" t="s">
        <v>5919</v>
      </c>
      <c r="G70" s="288">
        <v>44810.0</v>
      </c>
      <c r="H70" s="288">
        <v>44799.0</v>
      </c>
      <c r="I70" s="288">
        <v>44799.0</v>
      </c>
      <c r="J70" s="288">
        <v>44817.0</v>
      </c>
      <c r="K70" s="294"/>
      <c r="L70" s="294"/>
      <c r="M70" s="290" t="s">
        <v>6509</v>
      </c>
      <c r="N70" s="285" t="s">
        <v>4635</v>
      </c>
      <c r="O70" s="299" t="s">
        <v>2621</v>
      </c>
      <c r="P70" s="300">
        <v>61594.28</v>
      </c>
      <c r="Q70" s="213"/>
      <c r="R70" s="198"/>
      <c r="S70" s="198"/>
      <c r="T70" s="198"/>
      <c r="U70" s="198"/>
      <c r="V70" s="198"/>
      <c r="W70" s="198"/>
      <c r="X70" s="198"/>
      <c r="Y70" s="198"/>
      <c r="Z70" s="198"/>
      <c r="AA70" s="198"/>
    </row>
    <row r="71" ht="57.75" customHeight="1">
      <c r="A71" s="370">
        <v>36551.0</v>
      </c>
      <c r="B71" s="285" t="s">
        <v>21</v>
      </c>
      <c r="C71" s="285">
        <v>1161.0</v>
      </c>
      <c r="D71" s="285" t="s">
        <v>6510</v>
      </c>
      <c r="E71" s="287" t="s">
        <v>5049</v>
      </c>
      <c r="F71" s="285" t="s">
        <v>5919</v>
      </c>
      <c r="G71" s="288">
        <v>44805.0</v>
      </c>
      <c r="H71" s="288">
        <v>44798.0</v>
      </c>
      <c r="I71" s="288">
        <v>44798.0</v>
      </c>
      <c r="J71" s="285" t="s">
        <v>6511</v>
      </c>
      <c r="K71" s="425"/>
      <c r="L71" s="294"/>
      <c r="M71" s="290" t="s">
        <v>6512</v>
      </c>
      <c r="N71" s="285" t="s">
        <v>497</v>
      </c>
      <c r="O71" s="299" t="s">
        <v>2604</v>
      </c>
      <c r="P71" s="300">
        <v>54301.6</v>
      </c>
      <c r="Q71" s="213"/>
      <c r="R71" s="198"/>
      <c r="S71" s="198"/>
      <c r="T71" s="198"/>
      <c r="U71" s="198"/>
      <c r="V71" s="198"/>
      <c r="W71" s="198"/>
      <c r="X71" s="198"/>
      <c r="Y71" s="198"/>
      <c r="Z71" s="198"/>
      <c r="AA71" s="198"/>
    </row>
    <row r="72" ht="57.75" customHeight="1">
      <c r="A72" s="370">
        <v>36275.0</v>
      </c>
      <c r="B72" s="285" t="s">
        <v>21</v>
      </c>
      <c r="C72" s="285">
        <v>2470.0</v>
      </c>
      <c r="D72" s="285" t="s">
        <v>6513</v>
      </c>
      <c r="E72" s="287" t="s">
        <v>6514</v>
      </c>
      <c r="F72" s="285" t="s">
        <v>5919</v>
      </c>
      <c r="G72" s="288">
        <v>44805.0</v>
      </c>
      <c r="H72" s="288">
        <v>44798.0</v>
      </c>
      <c r="I72" s="288">
        <v>44798.0</v>
      </c>
      <c r="J72" s="285" t="s">
        <v>6515</v>
      </c>
      <c r="K72" s="425"/>
      <c r="L72" s="294"/>
      <c r="M72" s="290" t="s">
        <v>6516</v>
      </c>
      <c r="N72" s="285" t="s">
        <v>497</v>
      </c>
      <c r="O72" s="299" t="s">
        <v>2554</v>
      </c>
      <c r="P72" s="300">
        <v>51432.0</v>
      </c>
      <c r="Q72" s="213"/>
      <c r="R72" s="198"/>
      <c r="S72" s="198"/>
      <c r="T72" s="198"/>
      <c r="U72" s="198"/>
      <c r="V72" s="198"/>
      <c r="W72" s="198"/>
      <c r="X72" s="198"/>
      <c r="Y72" s="198"/>
      <c r="Z72" s="198"/>
      <c r="AA72" s="198"/>
    </row>
    <row r="73" ht="57.75" customHeight="1">
      <c r="A73" s="370">
        <v>36441.0</v>
      </c>
      <c r="B73" s="285" t="s">
        <v>21</v>
      </c>
      <c r="C73" s="285">
        <v>1930.0</v>
      </c>
      <c r="D73" s="285" t="s">
        <v>6517</v>
      </c>
      <c r="E73" s="287" t="s">
        <v>4670</v>
      </c>
      <c r="F73" s="285" t="s">
        <v>5919</v>
      </c>
      <c r="G73" s="288">
        <v>44805.0</v>
      </c>
      <c r="H73" s="288">
        <v>44798.0</v>
      </c>
      <c r="I73" s="288">
        <v>44798.0</v>
      </c>
      <c r="J73" s="288">
        <v>44813.0</v>
      </c>
      <c r="K73" s="425"/>
      <c r="L73" s="294"/>
      <c r="M73" s="290" t="s">
        <v>6518</v>
      </c>
      <c r="N73" s="285" t="s">
        <v>497</v>
      </c>
      <c r="O73" s="299" t="s">
        <v>2604</v>
      </c>
      <c r="P73" s="300">
        <v>57508.0</v>
      </c>
      <c r="Q73" s="213"/>
      <c r="R73" s="198"/>
      <c r="S73" s="198"/>
      <c r="T73" s="198"/>
      <c r="U73" s="198"/>
      <c r="V73" s="198"/>
      <c r="W73" s="198"/>
      <c r="X73" s="198"/>
      <c r="Y73" s="198"/>
      <c r="Z73" s="198"/>
      <c r="AA73" s="198"/>
    </row>
    <row r="74" ht="72.75" customHeight="1">
      <c r="A74" s="370">
        <v>36728.0</v>
      </c>
      <c r="B74" s="285" t="s">
        <v>715</v>
      </c>
      <c r="C74" s="285">
        <v>1700.0</v>
      </c>
      <c r="D74" s="285" t="s">
        <v>6519</v>
      </c>
      <c r="E74" s="287" t="s">
        <v>6520</v>
      </c>
      <c r="F74" s="285" t="s">
        <v>5919</v>
      </c>
      <c r="G74" s="288">
        <v>44804.0</v>
      </c>
      <c r="H74" s="288">
        <v>44796.0</v>
      </c>
      <c r="I74" s="288">
        <v>44796.0</v>
      </c>
      <c r="J74" s="285" t="s">
        <v>6521</v>
      </c>
      <c r="K74" s="294"/>
      <c r="L74" s="294"/>
      <c r="M74" s="290" t="s">
        <v>6522</v>
      </c>
      <c r="N74" s="285" t="s">
        <v>497</v>
      </c>
      <c r="O74" s="299" t="s">
        <v>4662</v>
      </c>
      <c r="P74" s="300">
        <v>103076.86</v>
      </c>
      <c r="Q74" s="213"/>
      <c r="R74" s="198"/>
      <c r="S74" s="198"/>
      <c r="T74" s="198"/>
      <c r="U74" s="198"/>
      <c r="V74" s="198"/>
      <c r="W74" s="198"/>
      <c r="X74" s="198"/>
      <c r="Y74" s="198"/>
      <c r="Z74" s="198"/>
      <c r="AA74" s="198"/>
    </row>
    <row r="75" ht="57.75" customHeight="1">
      <c r="A75" s="370">
        <v>36731.0</v>
      </c>
      <c r="B75" s="299" t="s">
        <v>715</v>
      </c>
      <c r="C75" s="285">
        <v>1970.0</v>
      </c>
      <c r="D75" s="285" t="s">
        <v>6523</v>
      </c>
      <c r="E75" s="287" t="s">
        <v>3812</v>
      </c>
      <c r="F75" s="285" t="s">
        <v>5919</v>
      </c>
      <c r="G75" s="288">
        <v>44804.0</v>
      </c>
      <c r="H75" s="288">
        <v>44796.0</v>
      </c>
      <c r="I75" s="288">
        <v>44816.0</v>
      </c>
      <c r="J75" s="285" t="s">
        <v>6524</v>
      </c>
      <c r="K75" s="294"/>
      <c r="L75" s="294"/>
      <c r="M75" s="290" t="s">
        <v>6525</v>
      </c>
      <c r="N75" s="285" t="s">
        <v>497</v>
      </c>
      <c r="O75" s="299" t="s">
        <v>4662</v>
      </c>
      <c r="P75" s="300">
        <v>117369.62</v>
      </c>
      <c r="Q75" s="213"/>
      <c r="R75" s="198"/>
      <c r="S75" s="198"/>
      <c r="T75" s="198"/>
      <c r="U75" s="198"/>
      <c r="V75" s="198"/>
      <c r="W75" s="198"/>
      <c r="X75" s="198"/>
      <c r="Y75" s="198"/>
      <c r="Z75" s="198"/>
      <c r="AA75" s="198"/>
    </row>
    <row r="76" ht="57.75" customHeight="1">
      <c r="A76" s="370">
        <v>36812.0</v>
      </c>
      <c r="B76" s="285" t="s">
        <v>715</v>
      </c>
      <c r="C76" s="285">
        <v>1306.0</v>
      </c>
      <c r="D76" s="285" t="s">
        <v>6526</v>
      </c>
      <c r="E76" s="287" t="s">
        <v>6527</v>
      </c>
      <c r="F76" s="285" t="s">
        <v>5919</v>
      </c>
      <c r="G76" s="288">
        <v>44803.0</v>
      </c>
      <c r="H76" s="288">
        <v>44794.0</v>
      </c>
      <c r="I76" s="288">
        <v>44794.0</v>
      </c>
      <c r="J76" s="288">
        <v>44810.0</v>
      </c>
      <c r="K76" s="294"/>
      <c r="L76" s="294"/>
      <c r="M76" s="290" t="s">
        <v>6528</v>
      </c>
      <c r="N76" s="285" t="s">
        <v>497</v>
      </c>
      <c r="O76" s="299" t="s">
        <v>2554</v>
      </c>
      <c r="P76" s="300">
        <v>45061.93</v>
      </c>
      <c r="Q76" s="213"/>
      <c r="R76" s="198"/>
      <c r="S76" s="198"/>
      <c r="T76" s="198"/>
      <c r="U76" s="198"/>
      <c r="V76" s="198"/>
      <c r="W76" s="198"/>
      <c r="X76" s="198"/>
      <c r="Y76" s="198"/>
      <c r="Z76" s="198"/>
      <c r="AA76" s="198"/>
    </row>
    <row r="77" ht="57.75" customHeight="1">
      <c r="A77" s="370">
        <v>36619.0</v>
      </c>
      <c r="B77" s="299" t="s">
        <v>715</v>
      </c>
      <c r="C77" s="285">
        <v>1250.0</v>
      </c>
      <c r="D77" s="285" t="s">
        <v>6529</v>
      </c>
      <c r="E77" s="287" t="s">
        <v>4637</v>
      </c>
      <c r="F77" s="285" t="s">
        <v>5919</v>
      </c>
      <c r="G77" s="288">
        <v>44802.0</v>
      </c>
      <c r="H77" s="288">
        <v>44789.0</v>
      </c>
      <c r="I77" s="288">
        <v>44789.0</v>
      </c>
      <c r="J77" s="288">
        <v>44806.0</v>
      </c>
      <c r="K77" s="294"/>
      <c r="L77" s="294"/>
      <c r="M77" s="290" t="s">
        <v>6530</v>
      </c>
      <c r="N77" s="285" t="s">
        <v>497</v>
      </c>
      <c r="O77" s="299" t="s">
        <v>2554</v>
      </c>
      <c r="P77" s="300">
        <v>34335.0</v>
      </c>
      <c r="Q77" s="213"/>
      <c r="R77" s="198"/>
      <c r="S77" s="198"/>
      <c r="T77" s="198"/>
      <c r="U77" s="198"/>
      <c r="V77" s="198"/>
      <c r="W77" s="198"/>
      <c r="X77" s="198"/>
      <c r="Y77" s="198"/>
      <c r="Z77" s="198"/>
      <c r="AA77" s="198"/>
    </row>
    <row r="78" ht="72.0" customHeight="1">
      <c r="A78" s="370">
        <v>36687.0</v>
      </c>
      <c r="B78" s="299" t="s">
        <v>715</v>
      </c>
      <c r="C78" s="285">
        <v>660.0</v>
      </c>
      <c r="D78" s="285" t="s">
        <v>6531</v>
      </c>
      <c r="E78" s="287" t="s">
        <v>4743</v>
      </c>
      <c r="F78" s="285" t="s">
        <v>5919</v>
      </c>
      <c r="G78" s="288">
        <v>44801.0</v>
      </c>
      <c r="H78" s="288" t="s">
        <v>6532</v>
      </c>
      <c r="I78" s="288" t="s">
        <v>6532</v>
      </c>
      <c r="J78" s="288">
        <v>44805.0</v>
      </c>
      <c r="K78" s="294"/>
      <c r="L78" s="294"/>
      <c r="M78" s="290" t="s">
        <v>6533</v>
      </c>
      <c r="N78" s="285" t="s">
        <v>4745</v>
      </c>
      <c r="O78" s="299" t="s">
        <v>4746</v>
      </c>
      <c r="P78" s="300">
        <v>94935.0</v>
      </c>
      <c r="Q78" s="213"/>
      <c r="R78" s="198"/>
      <c r="S78" s="198"/>
      <c r="T78" s="198"/>
      <c r="U78" s="198"/>
      <c r="V78" s="198"/>
      <c r="W78" s="198"/>
      <c r="X78" s="198"/>
      <c r="Y78" s="198"/>
      <c r="Z78" s="198"/>
      <c r="AA78" s="198"/>
    </row>
    <row r="79" ht="57.75" customHeight="1">
      <c r="A79" s="370">
        <v>36729.0</v>
      </c>
      <c r="B79" s="285" t="s">
        <v>715</v>
      </c>
      <c r="C79" s="285">
        <v>1960.0</v>
      </c>
      <c r="D79" s="285" t="s">
        <v>6534</v>
      </c>
      <c r="E79" s="287" t="s">
        <v>6535</v>
      </c>
      <c r="F79" s="285" t="s">
        <v>5919</v>
      </c>
      <c r="G79" s="288">
        <v>44801.0</v>
      </c>
      <c r="H79" s="288">
        <v>44788.0</v>
      </c>
      <c r="I79" s="288">
        <v>44788.0</v>
      </c>
      <c r="J79" s="285" t="s">
        <v>6536</v>
      </c>
      <c r="K79" s="294"/>
      <c r="L79" s="294"/>
      <c r="M79" s="290" t="s">
        <v>6537</v>
      </c>
      <c r="N79" s="285" t="s">
        <v>497</v>
      </c>
      <c r="O79" s="299" t="s">
        <v>4662</v>
      </c>
      <c r="P79" s="300">
        <v>113997.24</v>
      </c>
      <c r="Q79" s="213"/>
      <c r="R79" s="198"/>
      <c r="S79" s="198"/>
      <c r="T79" s="198"/>
      <c r="U79" s="198"/>
      <c r="V79" s="198"/>
      <c r="W79" s="198"/>
      <c r="X79" s="198"/>
      <c r="Y79" s="198"/>
      <c r="Z79" s="198"/>
      <c r="AA79" s="198"/>
    </row>
    <row r="80" ht="59.25" customHeight="1">
      <c r="A80" s="370">
        <v>37096.0</v>
      </c>
      <c r="B80" s="285" t="s">
        <v>21</v>
      </c>
      <c r="C80" s="285">
        <v>1260.0</v>
      </c>
      <c r="D80" s="285" t="s">
        <v>6538</v>
      </c>
      <c r="E80" s="287" t="s">
        <v>6539</v>
      </c>
      <c r="F80" s="285" t="s">
        <v>5919</v>
      </c>
      <c r="G80" s="288">
        <v>44798.0</v>
      </c>
      <c r="H80" s="288">
        <v>44774.0</v>
      </c>
      <c r="I80" s="288">
        <v>44774.0</v>
      </c>
      <c r="J80" s="288">
        <v>44803.0</v>
      </c>
      <c r="K80" s="425" t="s">
        <v>6323</v>
      </c>
      <c r="L80" s="294"/>
      <c r="M80" s="290" t="s">
        <v>6540</v>
      </c>
      <c r="N80" s="285" t="s">
        <v>4635</v>
      </c>
      <c r="O80" s="299" t="s">
        <v>2621</v>
      </c>
      <c r="P80" s="300">
        <v>42790.0</v>
      </c>
      <c r="Q80" s="213"/>
      <c r="R80" s="198"/>
      <c r="S80" s="198"/>
      <c r="T80" s="198"/>
      <c r="U80" s="198"/>
      <c r="V80" s="198"/>
      <c r="W80" s="198"/>
      <c r="X80" s="198"/>
      <c r="Y80" s="198"/>
      <c r="Z80" s="198"/>
      <c r="AA80" s="198"/>
    </row>
    <row r="81" ht="55.5" customHeight="1">
      <c r="A81" s="370">
        <v>37140.0</v>
      </c>
      <c r="B81" s="285" t="s">
        <v>21</v>
      </c>
      <c r="C81" s="285">
        <v>940.0</v>
      </c>
      <c r="D81" s="285" t="s">
        <v>6541</v>
      </c>
      <c r="E81" s="287" t="s">
        <v>6542</v>
      </c>
      <c r="F81" s="285" t="s">
        <v>5919</v>
      </c>
      <c r="G81" s="288">
        <v>44796.0</v>
      </c>
      <c r="H81" s="288">
        <v>44791.0</v>
      </c>
      <c r="I81" s="288">
        <v>44791.0</v>
      </c>
      <c r="J81" s="288">
        <v>44803.0</v>
      </c>
      <c r="K81" s="425" t="s">
        <v>6323</v>
      </c>
      <c r="L81" s="294"/>
      <c r="M81" s="290" t="s">
        <v>6543</v>
      </c>
      <c r="N81" s="285" t="s">
        <v>4635</v>
      </c>
      <c r="O81" s="299" t="s">
        <v>2621</v>
      </c>
      <c r="P81" s="300">
        <v>53597.24</v>
      </c>
      <c r="Q81" s="213"/>
      <c r="R81" s="198"/>
      <c r="S81" s="198"/>
      <c r="T81" s="198"/>
      <c r="U81" s="198"/>
      <c r="V81" s="198"/>
      <c r="W81" s="198"/>
      <c r="X81" s="198"/>
      <c r="Y81" s="198"/>
      <c r="Z81" s="198"/>
      <c r="AA81" s="198"/>
    </row>
    <row r="82" ht="62.25" customHeight="1">
      <c r="A82" s="370">
        <v>36143.0</v>
      </c>
      <c r="B82" s="299" t="s">
        <v>25</v>
      </c>
      <c r="C82" s="285" t="s">
        <v>6544</v>
      </c>
      <c r="D82" s="285" t="s">
        <v>6545</v>
      </c>
      <c r="E82" s="287" t="s">
        <v>6546</v>
      </c>
      <c r="F82" s="285" t="s">
        <v>5919</v>
      </c>
      <c r="G82" s="288">
        <v>44795.0</v>
      </c>
      <c r="H82" s="288">
        <v>44796.0</v>
      </c>
      <c r="I82" s="288">
        <v>44796.0</v>
      </c>
      <c r="J82" s="288">
        <v>44811.0</v>
      </c>
      <c r="K82" s="294"/>
      <c r="L82" s="294"/>
      <c r="M82" s="290" t="s">
        <v>6547</v>
      </c>
      <c r="N82" s="285" t="s">
        <v>4635</v>
      </c>
      <c r="O82" s="299" t="s">
        <v>4912</v>
      </c>
      <c r="P82" s="300">
        <v>74394.0</v>
      </c>
      <c r="Q82" s="213"/>
      <c r="R82" s="198"/>
      <c r="S82" s="198"/>
      <c r="T82" s="198"/>
      <c r="U82" s="198"/>
      <c r="V82" s="198"/>
      <c r="W82" s="198"/>
      <c r="X82" s="198"/>
      <c r="Y82" s="198"/>
      <c r="Z82" s="198"/>
      <c r="AA82" s="198"/>
    </row>
    <row r="83" ht="63.75" customHeight="1">
      <c r="A83" s="370">
        <v>36810.0</v>
      </c>
      <c r="B83" s="285" t="s">
        <v>715</v>
      </c>
      <c r="C83" s="285">
        <v>1306.0</v>
      </c>
      <c r="D83" s="285" t="s">
        <v>6548</v>
      </c>
      <c r="E83" s="287" t="s">
        <v>4713</v>
      </c>
      <c r="F83" s="285" t="s">
        <v>5919</v>
      </c>
      <c r="G83" s="288">
        <v>44794.0</v>
      </c>
      <c r="H83" s="288">
        <v>44788.0</v>
      </c>
      <c r="I83" s="288">
        <v>44788.0</v>
      </c>
      <c r="J83" s="288">
        <v>44799.0</v>
      </c>
      <c r="K83" s="294"/>
      <c r="L83" s="294"/>
      <c r="M83" s="290" t="s">
        <v>6549</v>
      </c>
      <c r="N83" s="285" t="s">
        <v>497</v>
      </c>
      <c r="O83" s="299" t="s">
        <v>2554</v>
      </c>
      <c r="P83" s="300">
        <v>44798.41</v>
      </c>
      <c r="Q83" s="213"/>
      <c r="R83" s="198"/>
      <c r="S83" s="198"/>
      <c r="T83" s="198"/>
      <c r="U83" s="198"/>
      <c r="V83" s="198"/>
      <c r="W83" s="198"/>
      <c r="X83" s="198"/>
      <c r="Y83" s="198"/>
      <c r="Z83" s="198"/>
      <c r="AA83" s="198"/>
    </row>
    <row r="84" ht="60.75" customHeight="1">
      <c r="A84" s="370">
        <v>37097.0</v>
      </c>
      <c r="B84" s="299" t="s">
        <v>6501</v>
      </c>
      <c r="C84" s="285">
        <v>996.0</v>
      </c>
      <c r="D84" s="285" t="s">
        <v>6550</v>
      </c>
      <c r="E84" s="287" t="s">
        <v>6551</v>
      </c>
      <c r="F84" s="285" t="s">
        <v>5919</v>
      </c>
      <c r="G84" s="288">
        <v>44793.0</v>
      </c>
      <c r="H84" s="288">
        <v>44789.0</v>
      </c>
      <c r="I84" s="288">
        <v>44789.0</v>
      </c>
      <c r="J84" s="288">
        <v>44798.0</v>
      </c>
      <c r="K84" s="376"/>
      <c r="L84" s="294"/>
      <c r="M84" s="290" t="s">
        <v>6552</v>
      </c>
      <c r="N84" s="285" t="s">
        <v>4635</v>
      </c>
      <c r="O84" s="299" t="s">
        <v>2621</v>
      </c>
      <c r="P84" s="300">
        <v>49819.6</v>
      </c>
      <c r="Q84" s="213"/>
      <c r="R84" s="198"/>
      <c r="S84" s="198"/>
      <c r="T84" s="198"/>
      <c r="U84" s="198"/>
      <c r="V84" s="198"/>
      <c r="W84" s="198"/>
      <c r="X84" s="198"/>
      <c r="Y84" s="198"/>
      <c r="Z84" s="198"/>
      <c r="AA84" s="198"/>
    </row>
    <row r="85" ht="72.0" customHeight="1">
      <c r="A85" s="370">
        <v>36931.0</v>
      </c>
      <c r="B85" s="285" t="s">
        <v>21</v>
      </c>
      <c r="C85" s="285">
        <v>4356.0</v>
      </c>
      <c r="D85" s="285" t="s">
        <v>6553</v>
      </c>
      <c r="E85" s="287" t="s">
        <v>4644</v>
      </c>
      <c r="F85" s="285" t="s">
        <v>5919</v>
      </c>
      <c r="G85" s="288">
        <v>44793.0</v>
      </c>
      <c r="H85" s="288">
        <v>44788.0</v>
      </c>
      <c r="I85" s="288">
        <v>44788.0</v>
      </c>
      <c r="J85" s="288">
        <v>44812.0</v>
      </c>
      <c r="K85" s="294">
        <v>5493692.0</v>
      </c>
      <c r="L85" s="294" t="s">
        <v>6554</v>
      </c>
      <c r="M85" s="290" t="s">
        <v>6555</v>
      </c>
      <c r="N85" s="285" t="s">
        <v>497</v>
      </c>
      <c r="O85" s="299" t="s">
        <v>2554</v>
      </c>
      <c r="P85" s="300">
        <v>30056.4</v>
      </c>
      <c r="Q85" s="213"/>
      <c r="R85" s="198"/>
      <c r="S85" s="198"/>
      <c r="T85" s="198"/>
      <c r="U85" s="198"/>
      <c r="V85" s="198"/>
      <c r="W85" s="198"/>
      <c r="X85" s="198"/>
      <c r="Y85" s="198"/>
      <c r="Z85" s="198"/>
      <c r="AA85" s="198"/>
    </row>
    <row r="86" ht="57.75" customHeight="1">
      <c r="A86" s="370">
        <v>36814.0</v>
      </c>
      <c r="B86" s="285" t="s">
        <v>21</v>
      </c>
      <c r="C86" s="285">
        <v>2100.0</v>
      </c>
      <c r="D86" s="285" t="s">
        <v>6556</v>
      </c>
      <c r="E86" s="287" t="s">
        <v>4637</v>
      </c>
      <c r="F86" s="285" t="s">
        <v>5919</v>
      </c>
      <c r="G86" s="288">
        <v>44793.0</v>
      </c>
      <c r="H86" s="288">
        <v>44788.0</v>
      </c>
      <c r="I86" s="288">
        <v>44788.0</v>
      </c>
      <c r="J86" s="288">
        <v>44811.0</v>
      </c>
      <c r="K86" s="294">
        <v>5493692.0</v>
      </c>
      <c r="L86" s="294" t="s">
        <v>6554</v>
      </c>
      <c r="M86" s="290" t="s">
        <v>6557</v>
      </c>
      <c r="N86" s="285" t="s">
        <v>497</v>
      </c>
      <c r="O86" s="299" t="s">
        <v>2554</v>
      </c>
      <c r="P86" s="300">
        <v>29190.0</v>
      </c>
      <c r="Q86" s="213"/>
      <c r="R86" s="198"/>
      <c r="S86" s="198"/>
      <c r="T86" s="198"/>
      <c r="U86" s="198"/>
      <c r="V86" s="198"/>
      <c r="W86" s="198"/>
      <c r="X86" s="198"/>
      <c r="Y86" s="198"/>
      <c r="Z86" s="198"/>
      <c r="AA86" s="198"/>
    </row>
    <row r="87" ht="57.75" customHeight="1">
      <c r="A87" s="370">
        <v>36577.0</v>
      </c>
      <c r="B87" s="299" t="s">
        <v>715</v>
      </c>
      <c r="C87" s="285">
        <v>2100.0</v>
      </c>
      <c r="D87" s="285" t="s">
        <v>6558</v>
      </c>
      <c r="E87" s="287" t="s">
        <v>4637</v>
      </c>
      <c r="F87" s="285" t="s">
        <v>5919</v>
      </c>
      <c r="G87" s="288">
        <v>44793.0</v>
      </c>
      <c r="H87" s="288">
        <v>44785.0</v>
      </c>
      <c r="I87" s="288">
        <v>44785.0</v>
      </c>
      <c r="J87" s="288">
        <v>44806.0</v>
      </c>
      <c r="K87" s="294"/>
      <c r="L87" s="294"/>
      <c r="M87" s="290" t="s">
        <v>6559</v>
      </c>
      <c r="N87" s="285" t="s">
        <v>497</v>
      </c>
      <c r="O87" s="299" t="s">
        <v>2554</v>
      </c>
      <c r="P87" s="300">
        <v>29190.0</v>
      </c>
      <c r="Q87" s="213"/>
      <c r="R87" s="198"/>
      <c r="S87" s="198"/>
      <c r="T87" s="198"/>
      <c r="U87" s="198"/>
      <c r="V87" s="198"/>
      <c r="W87" s="198"/>
      <c r="X87" s="198"/>
      <c r="Y87" s="198"/>
      <c r="Z87" s="198"/>
      <c r="AA87" s="198"/>
    </row>
    <row r="88" ht="63.0" customHeight="1">
      <c r="A88" s="370">
        <v>37056.0</v>
      </c>
      <c r="B88" s="299" t="s">
        <v>715</v>
      </c>
      <c r="C88" s="285">
        <v>1150.0</v>
      </c>
      <c r="D88" s="285" t="s">
        <v>6560</v>
      </c>
      <c r="E88" s="287" t="s">
        <v>6561</v>
      </c>
      <c r="F88" s="285" t="s">
        <v>5919</v>
      </c>
      <c r="G88" s="288">
        <v>44791.0</v>
      </c>
      <c r="H88" s="288">
        <v>44783.0</v>
      </c>
      <c r="I88" s="288">
        <v>44783.0</v>
      </c>
      <c r="J88" s="288">
        <v>44797.0</v>
      </c>
      <c r="K88" s="294"/>
      <c r="L88" s="294"/>
      <c r="M88" s="290" t="s">
        <v>6562</v>
      </c>
      <c r="N88" s="285" t="s">
        <v>4635</v>
      </c>
      <c r="O88" s="299" t="s">
        <v>2621</v>
      </c>
      <c r="P88" s="300">
        <v>112993.5</v>
      </c>
      <c r="Q88" s="213"/>
      <c r="R88" s="198"/>
      <c r="S88" s="198"/>
      <c r="T88" s="198"/>
      <c r="U88" s="198"/>
      <c r="V88" s="198"/>
      <c r="W88" s="198"/>
      <c r="X88" s="198"/>
      <c r="Y88" s="198"/>
      <c r="Z88" s="198"/>
      <c r="AA88" s="198"/>
    </row>
    <row r="89" ht="69.0" customHeight="1">
      <c r="A89" s="370">
        <v>37171.0</v>
      </c>
      <c r="B89" s="299" t="s">
        <v>4960</v>
      </c>
      <c r="C89" s="285">
        <v>30.0</v>
      </c>
      <c r="D89" s="285" t="s">
        <v>4925</v>
      </c>
      <c r="E89" s="287" t="s">
        <v>6563</v>
      </c>
      <c r="F89" s="285" t="s">
        <v>5919</v>
      </c>
      <c r="G89" s="288">
        <v>44790.0</v>
      </c>
      <c r="H89" s="288">
        <v>44810.0</v>
      </c>
      <c r="I89" s="288">
        <v>44791.0</v>
      </c>
      <c r="J89" s="288">
        <v>44791.0</v>
      </c>
      <c r="K89" s="294"/>
      <c r="L89" s="294"/>
      <c r="M89" s="290" t="s">
        <v>6564</v>
      </c>
      <c r="N89" s="285" t="s">
        <v>497</v>
      </c>
      <c r="O89" s="299" t="s">
        <v>2628</v>
      </c>
      <c r="P89" s="300">
        <v>3790.8</v>
      </c>
      <c r="Q89" s="213"/>
      <c r="R89" s="198"/>
      <c r="S89" s="198"/>
      <c r="T89" s="198"/>
      <c r="U89" s="198"/>
      <c r="V89" s="198"/>
      <c r="W89" s="198"/>
      <c r="X89" s="198"/>
      <c r="Y89" s="198"/>
      <c r="Z89" s="198"/>
      <c r="AA89" s="198"/>
    </row>
    <row r="90" ht="61.5" customHeight="1">
      <c r="A90" s="370">
        <v>36616.0</v>
      </c>
      <c r="B90" s="285" t="s">
        <v>21</v>
      </c>
      <c r="C90" s="285">
        <v>4230.0</v>
      </c>
      <c r="D90" s="285" t="s">
        <v>6565</v>
      </c>
      <c r="E90" s="287" t="s">
        <v>4690</v>
      </c>
      <c r="F90" s="285" t="s">
        <v>5919</v>
      </c>
      <c r="G90" s="288">
        <v>44789.0</v>
      </c>
      <c r="H90" s="288">
        <v>44783.0</v>
      </c>
      <c r="I90" s="288">
        <v>44783.0</v>
      </c>
      <c r="J90" s="288">
        <v>44795.0</v>
      </c>
      <c r="K90" s="294">
        <v>5493692.0</v>
      </c>
      <c r="L90" s="294" t="s">
        <v>6554</v>
      </c>
      <c r="M90" s="290" t="s">
        <v>6566</v>
      </c>
      <c r="N90" s="285" t="s">
        <v>497</v>
      </c>
      <c r="O90" s="299" t="s">
        <v>2554</v>
      </c>
      <c r="P90" s="300">
        <v>29060.1</v>
      </c>
      <c r="Q90" s="213"/>
      <c r="R90" s="198"/>
      <c r="S90" s="198"/>
      <c r="T90" s="198"/>
      <c r="U90" s="198"/>
      <c r="V90" s="198"/>
      <c r="W90" s="198"/>
      <c r="X90" s="198"/>
      <c r="Y90" s="198"/>
      <c r="Z90" s="198"/>
      <c r="AA90" s="198"/>
    </row>
    <row r="91" ht="57.75" customHeight="1">
      <c r="A91" s="370">
        <v>36808.0</v>
      </c>
      <c r="B91" s="285" t="s">
        <v>21</v>
      </c>
      <c r="C91" s="285">
        <v>1306.0</v>
      </c>
      <c r="D91" s="285" t="s">
        <v>6567</v>
      </c>
      <c r="E91" s="287" t="s">
        <v>6568</v>
      </c>
      <c r="F91" s="285" t="s">
        <v>5919</v>
      </c>
      <c r="G91" s="288">
        <v>44789.0</v>
      </c>
      <c r="H91" s="288">
        <v>44783.0</v>
      </c>
      <c r="I91" s="288">
        <v>44783.0</v>
      </c>
      <c r="J91" s="288">
        <v>44799.0</v>
      </c>
      <c r="K91" s="294">
        <v>5493692.0</v>
      </c>
      <c r="L91" s="294" t="s">
        <v>6554</v>
      </c>
      <c r="M91" s="290" t="s">
        <v>6569</v>
      </c>
      <c r="N91" s="285" t="s">
        <v>497</v>
      </c>
      <c r="O91" s="299" t="s">
        <v>2554</v>
      </c>
      <c r="P91" s="300">
        <v>44798.41</v>
      </c>
      <c r="Q91" s="213"/>
      <c r="R91" s="198"/>
      <c r="S91" s="198"/>
      <c r="T91" s="198"/>
      <c r="U91" s="198"/>
      <c r="V91" s="198"/>
      <c r="W91" s="198"/>
      <c r="X91" s="198"/>
      <c r="Y91" s="198"/>
      <c r="Z91" s="198"/>
      <c r="AA91" s="198"/>
    </row>
    <row r="92" ht="62.25" customHeight="1">
      <c r="A92" s="370">
        <v>36617.0</v>
      </c>
      <c r="B92" s="285" t="s">
        <v>21</v>
      </c>
      <c r="C92" s="285">
        <v>4230.0</v>
      </c>
      <c r="D92" s="285" t="s">
        <v>6570</v>
      </c>
      <c r="E92" s="287" t="s">
        <v>4658</v>
      </c>
      <c r="F92" s="285" t="s">
        <v>5919</v>
      </c>
      <c r="G92" s="288">
        <v>44789.0</v>
      </c>
      <c r="H92" s="288">
        <v>44783.0</v>
      </c>
      <c r="I92" s="288">
        <v>44783.0</v>
      </c>
      <c r="J92" s="288">
        <v>44798.0</v>
      </c>
      <c r="K92" s="294">
        <v>5493692.0</v>
      </c>
      <c r="L92" s="294" t="s">
        <v>6554</v>
      </c>
      <c r="M92" s="290" t="s">
        <v>6571</v>
      </c>
      <c r="N92" s="285" t="s">
        <v>497</v>
      </c>
      <c r="O92" s="299" t="s">
        <v>2554</v>
      </c>
      <c r="P92" s="300">
        <v>29906.1</v>
      </c>
      <c r="Q92" s="213"/>
      <c r="R92" s="198"/>
      <c r="S92" s="198"/>
      <c r="T92" s="198"/>
      <c r="U92" s="198"/>
      <c r="V92" s="198"/>
      <c r="W92" s="198"/>
      <c r="X92" s="198"/>
      <c r="Y92" s="198"/>
      <c r="Z92" s="198"/>
      <c r="AA92" s="198"/>
    </row>
    <row r="93" ht="69.0" customHeight="1">
      <c r="A93" s="370">
        <v>36322.0</v>
      </c>
      <c r="B93" s="285" t="s">
        <v>21</v>
      </c>
      <c r="C93" s="285">
        <v>1306.0</v>
      </c>
      <c r="D93" s="285" t="s">
        <v>6572</v>
      </c>
      <c r="E93" s="287" t="s">
        <v>6573</v>
      </c>
      <c r="F93" s="285" t="s">
        <v>5919</v>
      </c>
      <c r="G93" s="288">
        <v>44789.0</v>
      </c>
      <c r="H93" s="288">
        <v>44783.0</v>
      </c>
      <c r="I93" s="288">
        <v>44783.0</v>
      </c>
      <c r="J93" s="288">
        <v>44820.0</v>
      </c>
      <c r="K93" s="294">
        <v>5493692.0</v>
      </c>
      <c r="L93" s="294" t="s">
        <v>6554</v>
      </c>
      <c r="M93" s="290" t="s">
        <v>6574</v>
      </c>
      <c r="N93" s="285" t="s">
        <v>497</v>
      </c>
      <c r="O93" s="299" t="s">
        <v>2554</v>
      </c>
      <c r="P93" s="300">
        <v>44798.41</v>
      </c>
      <c r="Q93" s="213"/>
      <c r="R93" s="198"/>
      <c r="S93" s="198"/>
      <c r="T93" s="198"/>
      <c r="U93" s="198"/>
      <c r="V93" s="198"/>
      <c r="W93" s="198"/>
      <c r="X93" s="198"/>
      <c r="Y93" s="198"/>
      <c r="Z93" s="198"/>
      <c r="AA93" s="198"/>
    </row>
    <row r="94" ht="63.0" customHeight="1">
      <c r="A94" s="370">
        <v>36462.0</v>
      </c>
      <c r="B94" s="299" t="s">
        <v>715</v>
      </c>
      <c r="C94" s="285">
        <v>372.0</v>
      </c>
      <c r="D94" s="285" t="s">
        <v>6575</v>
      </c>
      <c r="E94" s="287" t="s">
        <v>4843</v>
      </c>
      <c r="F94" s="285" t="s">
        <v>5919</v>
      </c>
      <c r="G94" s="288">
        <v>44789.0</v>
      </c>
      <c r="H94" s="288">
        <v>44768.0</v>
      </c>
      <c r="I94" s="288">
        <v>44768.0</v>
      </c>
      <c r="J94" s="288">
        <v>44791.0</v>
      </c>
      <c r="K94" s="294"/>
      <c r="L94" s="294"/>
      <c r="M94" s="290" t="s">
        <v>6576</v>
      </c>
      <c r="N94" s="285" t="s">
        <v>497</v>
      </c>
      <c r="O94" s="299" t="s">
        <v>4662</v>
      </c>
      <c r="P94" s="300">
        <v>30356.09</v>
      </c>
      <c r="Q94" s="213"/>
      <c r="R94" s="198"/>
      <c r="S94" s="198"/>
      <c r="T94" s="198"/>
      <c r="U94" s="198"/>
      <c r="V94" s="198"/>
      <c r="W94" s="198"/>
      <c r="X94" s="198"/>
      <c r="Y94" s="198"/>
      <c r="Z94" s="198"/>
      <c r="AA94" s="198"/>
    </row>
    <row r="95" ht="57.75" customHeight="1">
      <c r="A95" s="370">
        <v>36997.0</v>
      </c>
      <c r="B95" s="285" t="s">
        <v>25</v>
      </c>
      <c r="C95" s="285">
        <v>1442.0</v>
      </c>
      <c r="D95" s="285" t="s">
        <v>6577</v>
      </c>
      <c r="E95" s="287" t="s">
        <v>4641</v>
      </c>
      <c r="F95" s="285" t="s">
        <v>5919</v>
      </c>
      <c r="G95" s="288">
        <v>44788.0</v>
      </c>
      <c r="H95" s="288">
        <v>44784.0</v>
      </c>
      <c r="I95" s="288">
        <v>44784.0</v>
      </c>
      <c r="J95" s="288">
        <v>44797.0</v>
      </c>
      <c r="K95" s="294"/>
      <c r="L95" s="294"/>
      <c r="M95" s="290" t="s">
        <v>6578</v>
      </c>
      <c r="N95" s="285" t="s">
        <v>497</v>
      </c>
      <c r="O95" s="299" t="s">
        <v>2538</v>
      </c>
      <c r="P95" s="300">
        <v>220656.0</v>
      </c>
      <c r="Q95" s="213"/>
      <c r="R95" s="198"/>
      <c r="S95" s="198"/>
      <c r="T95" s="198"/>
      <c r="U95" s="198"/>
      <c r="V95" s="198"/>
      <c r="W95" s="198"/>
      <c r="X95" s="198"/>
      <c r="Y95" s="198"/>
      <c r="Z95" s="198"/>
      <c r="AA95" s="198"/>
    </row>
    <row r="96" ht="61.5" customHeight="1">
      <c r="A96" s="370">
        <v>36620.0</v>
      </c>
      <c r="B96" s="285" t="s">
        <v>25</v>
      </c>
      <c r="C96" s="285">
        <v>2100.0</v>
      </c>
      <c r="D96" s="285" t="s">
        <v>6579</v>
      </c>
      <c r="E96" s="287" t="s">
        <v>4637</v>
      </c>
      <c r="F96" s="285" t="s">
        <v>5919</v>
      </c>
      <c r="G96" s="288">
        <v>44788.0</v>
      </c>
      <c r="H96" s="288">
        <v>44783.0</v>
      </c>
      <c r="I96" s="288">
        <v>44783.0</v>
      </c>
      <c r="J96" s="288">
        <v>44798.0</v>
      </c>
      <c r="K96" s="294"/>
      <c r="L96" s="294"/>
      <c r="M96" s="290" t="s">
        <v>6580</v>
      </c>
      <c r="N96" s="285" t="s">
        <v>497</v>
      </c>
      <c r="O96" s="299" t="s">
        <v>2554</v>
      </c>
      <c r="P96" s="300">
        <v>29190.0</v>
      </c>
      <c r="Q96" s="213"/>
      <c r="R96" s="198"/>
      <c r="S96" s="198"/>
      <c r="T96" s="198"/>
      <c r="U96" s="198"/>
      <c r="V96" s="198"/>
      <c r="W96" s="198"/>
      <c r="X96" s="198"/>
      <c r="Y96" s="198"/>
      <c r="Z96" s="198"/>
      <c r="AA96" s="198"/>
    </row>
    <row r="97" ht="66.75" customHeight="1">
      <c r="A97" s="284">
        <v>36835.0</v>
      </c>
      <c r="B97" s="285" t="s">
        <v>715</v>
      </c>
      <c r="C97" s="285">
        <v>2146.0</v>
      </c>
      <c r="D97" s="285" t="s">
        <v>6581</v>
      </c>
      <c r="E97" s="287" t="s">
        <v>6582</v>
      </c>
      <c r="F97" s="285" t="s">
        <v>5919</v>
      </c>
      <c r="G97" s="288">
        <v>44784.0</v>
      </c>
      <c r="H97" s="288" t="s">
        <v>6583</v>
      </c>
      <c r="I97" s="288" t="s">
        <v>6583</v>
      </c>
      <c r="J97" s="288">
        <v>44805.0</v>
      </c>
      <c r="K97" s="294"/>
      <c r="L97" s="294"/>
      <c r="M97" s="290" t="s">
        <v>6584</v>
      </c>
      <c r="N97" s="285" t="s">
        <v>497</v>
      </c>
      <c r="O97" s="299" t="s">
        <v>2621</v>
      </c>
      <c r="P97" s="300">
        <v>36377.5</v>
      </c>
      <c r="Q97" s="213"/>
      <c r="R97" s="198"/>
      <c r="S97" s="198"/>
      <c r="T97" s="198"/>
      <c r="U97" s="198"/>
      <c r="V97" s="198"/>
      <c r="W97" s="198"/>
      <c r="X97" s="198"/>
      <c r="Y97" s="198"/>
      <c r="Z97" s="198"/>
      <c r="AA97" s="198"/>
    </row>
    <row r="98" ht="57.75" customHeight="1">
      <c r="A98" s="370">
        <v>36826.0</v>
      </c>
      <c r="B98" s="285" t="s">
        <v>21</v>
      </c>
      <c r="C98" s="285">
        <v>1306.0</v>
      </c>
      <c r="D98" s="285" t="s">
        <v>6585</v>
      </c>
      <c r="E98" s="287" t="s">
        <v>6568</v>
      </c>
      <c r="F98" s="285" t="s">
        <v>5919</v>
      </c>
      <c r="G98" s="288">
        <v>44783.0</v>
      </c>
      <c r="H98" s="288">
        <v>44775.0</v>
      </c>
      <c r="I98" s="288">
        <v>44775.0</v>
      </c>
      <c r="J98" s="288">
        <v>44791.0</v>
      </c>
      <c r="K98" s="294">
        <v>5493692.0</v>
      </c>
      <c r="L98" s="294" t="s">
        <v>6554</v>
      </c>
      <c r="M98" s="290" t="s">
        <v>6586</v>
      </c>
      <c r="N98" s="285" t="s">
        <v>497</v>
      </c>
      <c r="O98" s="299" t="s">
        <v>2554</v>
      </c>
      <c r="P98" s="300">
        <v>44798.41</v>
      </c>
      <c r="Q98" s="213"/>
      <c r="R98" s="198"/>
      <c r="S98" s="198"/>
      <c r="T98" s="198"/>
      <c r="U98" s="198"/>
      <c r="V98" s="198"/>
      <c r="W98" s="198"/>
      <c r="X98" s="198"/>
      <c r="Y98" s="198"/>
      <c r="Z98" s="198"/>
      <c r="AA98" s="198"/>
    </row>
    <row r="99" ht="57.75" customHeight="1">
      <c r="A99" s="370">
        <v>37153.0</v>
      </c>
      <c r="B99" s="285" t="s">
        <v>4960</v>
      </c>
      <c r="C99" s="285">
        <v>29.0</v>
      </c>
      <c r="D99" s="285" t="s">
        <v>4925</v>
      </c>
      <c r="E99" s="287" t="s">
        <v>6587</v>
      </c>
      <c r="F99" s="285" t="s">
        <v>5919</v>
      </c>
      <c r="G99" s="288">
        <v>44782.0</v>
      </c>
      <c r="H99" s="288">
        <v>44781.0</v>
      </c>
      <c r="I99" s="288">
        <v>44781.0</v>
      </c>
      <c r="J99" s="288">
        <v>44782.0</v>
      </c>
      <c r="K99" s="294"/>
      <c r="L99" s="294"/>
      <c r="M99" s="290" t="s">
        <v>6588</v>
      </c>
      <c r="N99" s="285" t="s">
        <v>4635</v>
      </c>
      <c r="O99" s="299" t="s">
        <v>2621</v>
      </c>
      <c r="P99" s="300">
        <v>9892.8</v>
      </c>
      <c r="Q99" s="213"/>
      <c r="R99" s="198"/>
      <c r="S99" s="198"/>
      <c r="T99" s="198"/>
      <c r="U99" s="198"/>
      <c r="V99" s="198"/>
      <c r="W99" s="198"/>
      <c r="X99" s="198"/>
      <c r="Y99" s="198"/>
      <c r="Z99" s="198"/>
      <c r="AA99" s="198"/>
    </row>
    <row r="100" ht="57.75" customHeight="1">
      <c r="A100" s="370">
        <v>36442.0</v>
      </c>
      <c r="B100" s="285" t="s">
        <v>25</v>
      </c>
      <c r="C100" s="285">
        <v>1930.0</v>
      </c>
      <c r="D100" s="285" t="s">
        <v>6589</v>
      </c>
      <c r="E100" s="287" t="s">
        <v>4670</v>
      </c>
      <c r="F100" s="285" t="s">
        <v>5919</v>
      </c>
      <c r="G100" s="288">
        <v>44780.0</v>
      </c>
      <c r="H100" s="288">
        <v>44777.0</v>
      </c>
      <c r="I100" s="288">
        <v>44777.0</v>
      </c>
      <c r="J100" s="288">
        <v>44791.0</v>
      </c>
      <c r="K100" s="294"/>
      <c r="L100" s="294"/>
      <c r="M100" s="290" t="s">
        <v>6590</v>
      </c>
      <c r="N100" s="285" t="s">
        <v>497</v>
      </c>
      <c r="O100" s="299" t="s">
        <v>2604</v>
      </c>
      <c r="P100" s="300">
        <v>57508.0</v>
      </c>
      <c r="Q100" s="213"/>
      <c r="R100" s="198"/>
      <c r="S100" s="198"/>
      <c r="T100" s="198"/>
      <c r="U100" s="198"/>
      <c r="V100" s="198"/>
      <c r="W100" s="198"/>
      <c r="X100" s="198"/>
      <c r="Y100" s="198"/>
      <c r="Z100" s="198"/>
      <c r="AA100" s="198"/>
    </row>
    <row r="101" ht="57.75" customHeight="1">
      <c r="A101" s="370">
        <v>36635.0</v>
      </c>
      <c r="B101" s="285" t="s">
        <v>715</v>
      </c>
      <c r="C101" s="285">
        <v>995.0</v>
      </c>
      <c r="D101" s="285" t="s">
        <v>6591</v>
      </c>
      <c r="E101" s="287" t="s">
        <v>6592</v>
      </c>
      <c r="F101" s="285" t="s">
        <v>5919</v>
      </c>
      <c r="G101" s="288">
        <v>44780.0</v>
      </c>
      <c r="H101" s="288">
        <v>44775.0</v>
      </c>
      <c r="I101" s="288">
        <v>44775.0</v>
      </c>
      <c r="J101" s="288">
        <v>44784.0</v>
      </c>
      <c r="K101" s="294"/>
      <c r="L101" s="294"/>
      <c r="M101" s="290" t="s">
        <v>6593</v>
      </c>
      <c r="N101" s="285" t="s">
        <v>497</v>
      </c>
      <c r="O101" s="299" t="s">
        <v>4853</v>
      </c>
      <c r="P101" s="300">
        <v>36907.53</v>
      </c>
      <c r="Q101" s="213"/>
      <c r="R101" s="198"/>
      <c r="S101" s="198"/>
      <c r="T101" s="198"/>
      <c r="U101" s="198"/>
      <c r="V101" s="198"/>
      <c r="W101" s="198"/>
      <c r="X101" s="198"/>
      <c r="Y101" s="198"/>
      <c r="Z101" s="198"/>
      <c r="AA101" s="198"/>
    </row>
    <row r="102" ht="62.25" customHeight="1">
      <c r="A102" s="370">
        <v>36634.0</v>
      </c>
      <c r="B102" s="285" t="s">
        <v>25</v>
      </c>
      <c r="C102" s="285">
        <v>995.0</v>
      </c>
      <c r="D102" s="285" t="s">
        <v>6594</v>
      </c>
      <c r="E102" s="287" t="s">
        <v>6592</v>
      </c>
      <c r="F102" s="285" t="s">
        <v>5919</v>
      </c>
      <c r="G102" s="288">
        <v>44780.0</v>
      </c>
      <c r="H102" s="288">
        <v>44775.0</v>
      </c>
      <c r="I102" s="288">
        <v>44775.0</v>
      </c>
      <c r="J102" s="288">
        <v>44795.0</v>
      </c>
      <c r="K102" s="294"/>
      <c r="L102" s="294"/>
      <c r="M102" s="290" t="s">
        <v>6595</v>
      </c>
      <c r="N102" s="285" t="s">
        <v>497</v>
      </c>
      <c r="O102" s="299" t="s">
        <v>4853</v>
      </c>
      <c r="P102" s="300">
        <v>36907.53</v>
      </c>
      <c r="Q102" s="213"/>
      <c r="R102" s="198"/>
      <c r="S102" s="198"/>
      <c r="T102" s="198"/>
      <c r="U102" s="198"/>
      <c r="V102" s="198"/>
      <c r="W102" s="198"/>
      <c r="X102" s="198"/>
      <c r="Y102" s="198"/>
      <c r="Z102" s="198"/>
      <c r="AA102" s="198"/>
    </row>
    <row r="103" ht="57.75" customHeight="1">
      <c r="A103" s="284">
        <v>36864.0</v>
      </c>
      <c r="B103" s="285" t="s">
        <v>21</v>
      </c>
      <c r="C103" s="285">
        <v>1420.0</v>
      </c>
      <c r="D103" s="285" t="s">
        <v>6596</v>
      </c>
      <c r="E103" s="287" t="s">
        <v>6597</v>
      </c>
      <c r="F103" s="285" t="s">
        <v>5919</v>
      </c>
      <c r="G103" s="288">
        <v>44777.0</v>
      </c>
      <c r="H103" s="285" t="s">
        <v>6598</v>
      </c>
      <c r="I103" s="288">
        <v>44789.0</v>
      </c>
      <c r="J103" s="285" t="s">
        <v>6599</v>
      </c>
      <c r="K103" s="425" t="s">
        <v>6600</v>
      </c>
      <c r="L103" s="294"/>
      <c r="M103" s="290" t="s">
        <v>6601</v>
      </c>
      <c r="N103" s="285" t="s">
        <v>497</v>
      </c>
      <c r="O103" s="299" t="s">
        <v>2621</v>
      </c>
      <c r="P103" s="300">
        <v>33100.8</v>
      </c>
      <c r="Q103" s="213"/>
      <c r="R103" s="198"/>
      <c r="S103" s="198"/>
      <c r="T103" s="198"/>
      <c r="U103" s="198"/>
      <c r="V103" s="198"/>
      <c r="W103" s="198"/>
      <c r="X103" s="198"/>
      <c r="Y103" s="198"/>
      <c r="Z103" s="198"/>
      <c r="AA103" s="198"/>
    </row>
    <row r="104" ht="57.75" customHeight="1">
      <c r="A104" s="284">
        <v>37052.0</v>
      </c>
      <c r="B104" s="299" t="s">
        <v>715</v>
      </c>
      <c r="C104" s="285">
        <v>1260.0</v>
      </c>
      <c r="D104" s="285" t="s">
        <v>6602</v>
      </c>
      <c r="E104" s="287" t="s">
        <v>4777</v>
      </c>
      <c r="F104" s="285" t="s">
        <v>5919</v>
      </c>
      <c r="G104" s="288">
        <v>44777.0</v>
      </c>
      <c r="H104" s="288">
        <v>44774.0</v>
      </c>
      <c r="I104" s="288">
        <v>44774.0</v>
      </c>
      <c r="J104" s="285" t="s">
        <v>6603</v>
      </c>
      <c r="K104" s="294"/>
      <c r="L104" s="294"/>
      <c r="M104" s="290" t="s">
        <v>6604</v>
      </c>
      <c r="N104" s="285" t="s">
        <v>4635</v>
      </c>
      <c r="O104" s="299" t="s">
        <v>2621</v>
      </c>
      <c r="P104" s="300">
        <v>47159.8</v>
      </c>
      <c r="Q104" s="213"/>
      <c r="R104" s="198"/>
      <c r="S104" s="198"/>
      <c r="T104" s="198"/>
      <c r="U104" s="198"/>
      <c r="V104" s="198"/>
      <c r="W104" s="198"/>
      <c r="X104" s="198"/>
      <c r="Y104" s="198"/>
      <c r="Z104" s="198"/>
      <c r="AA104" s="198"/>
    </row>
    <row r="105" ht="84.0" customHeight="1">
      <c r="A105" s="284">
        <v>37053.0</v>
      </c>
      <c r="B105" s="299" t="s">
        <v>715</v>
      </c>
      <c r="C105" s="285">
        <v>1680.0</v>
      </c>
      <c r="D105" s="285" t="s">
        <v>6605</v>
      </c>
      <c r="E105" s="287" t="s">
        <v>4196</v>
      </c>
      <c r="F105" s="285" t="s">
        <v>5919</v>
      </c>
      <c r="G105" s="288">
        <v>44777.0</v>
      </c>
      <c r="H105" s="288">
        <v>44774.0</v>
      </c>
      <c r="I105" s="288">
        <v>44774.0</v>
      </c>
      <c r="J105" s="285" t="s">
        <v>6606</v>
      </c>
      <c r="K105" s="294"/>
      <c r="L105" s="294"/>
      <c r="M105" s="290" t="s">
        <v>6607</v>
      </c>
      <c r="N105" s="285" t="s">
        <v>4635</v>
      </c>
      <c r="O105" s="299" t="s">
        <v>2621</v>
      </c>
      <c r="P105" s="300">
        <v>50860.0</v>
      </c>
      <c r="Q105" s="213"/>
      <c r="R105" s="198"/>
      <c r="S105" s="198"/>
      <c r="T105" s="198"/>
      <c r="U105" s="198"/>
      <c r="V105" s="198"/>
      <c r="W105" s="198"/>
      <c r="X105" s="198"/>
      <c r="Y105" s="198"/>
      <c r="Z105" s="198"/>
      <c r="AA105" s="198"/>
    </row>
    <row r="106" ht="68.25" customHeight="1">
      <c r="A106" s="284">
        <v>37050.0</v>
      </c>
      <c r="B106" s="285" t="s">
        <v>21</v>
      </c>
      <c r="C106" s="285">
        <v>940.0</v>
      </c>
      <c r="D106" s="285" t="s">
        <v>6608</v>
      </c>
      <c r="E106" s="287" t="s">
        <v>6609</v>
      </c>
      <c r="F106" s="285" t="s">
        <v>5919</v>
      </c>
      <c r="G106" s="288">
        <v>44777.0</v>
      </c>
      <c r="H106" s="288">
        <v>44760.0</v>
      </c>
      <c r="I106" s="288">
        <v>44760.0</v>
      </c>
      <c r="J106" s="285" t="s">
        <v>6610</v>
      </c>
      <c r="K106" s="425" t="s">
        <v>6323</v>
      </c>
      <c r="L106" s="294"/>
      <c r="M106" s="290" t="s">
        <v>6611</v>
      </c>
      <c r="N106" s="285" t="s">
        <v>4635</v>
      </c>
      <c r="O106" s="299" t="s">
        <v>2621</v>
      </c>
      <c r="P106" s="300">
        <v>89269.2</v>
      </c>
      <c r="Q106" s="213"/>
      <c r="R106" s="198"/>
      <c r="S106" s="198"/>
      <c r="T106" s="198"/>
      <c r="U106" s="198"/>
      <c r="V106" s="198"/>
      <c r="W106" s="198"/>
      <c r="X106" s="198"/>
      <c r="Y106" s="198"/>
      <c r="Z106" s="198"/>
      <c r="AA106" s="198"/>
    </row>
    <row r="107" ht="72.75" customHeight="1">
      <c r="A107" s="284">
        <v>36583.0</v>
      </c>
      <c r="B107" s="299" t="s">
        <v>6501</v>
      </c>
      <c r="C107" s="285">
        <v>2595.0</v>
      </c>
      <c r="D107" s="285" t="s">
        <v>6612</v>
      </c>
      <c r="E107" s="287" t="s">
        <v>6613</v>
      </c>
      <c r="F107" s="428" t="s">
        <v>5919</v>
      </c>
      <c r="G107" s="288">
        <v>44776.0</v>
      </c>
      <c r="H107" s="288">
        <v>44769.0</v>
      </c>
      <c r="I107" s="288">
        <v>44769.0</v>
      </c>
      <c r="J107" s="285" t="s">
        <v>6614</v>
      </c>
      <c r="K107" s="294"/>
      <c r="L107" s="294"/>
      <c r="M107" s="290" t="s">
        <v>6615</v>
      </c>
      <c r="N107" s="285" t="s">
        <v>497</v>
      </c>
      <c r="O107" s="299" t="s">
        <v>2554</v>
      </c>
      <c r="P107" s="300">
        <v>44115.0</v>
      </c>
      <c r="Q107" s="213"/>
      <c r="R107" s="198"/>
      <c r="S107" s="198"/>
      <c r="T107" s="198"/>
      <c r="U107" s="198"/>
      <c r="V107" s="198"/>
      <c r="W107" s="198"/>
      <c r="X107" s="198"/>
      <c r="Y107" s="198"/>
      <c r="Z107" s="198"/>
      <c r="AA107" s="198"/>
    </row>
    <row r="108" ht="64.5" customHeight="1">
      <c r="A108" s="284">
        <v>36582.0</v>
      </c>
      <c r="B108" s="299" t="s">
        <v>715</v>
      </c>
      <c r="C108" s="285">
        <v>1250.0</v>
      </c>
      <c r="D108" s="285" t="s">
        <v>6616</v>
      </c>
      <c r="E108" s="287" t="s">
        <v>4637</v>
      </c>
      <c r="F108" s="285" t="s">
        <v>5919</v>
      </c>
      <c r="G108" s="288">
        <v>44776.0</v>
      </c>
      <c r="H108" s="288">
        <v>44769.0</v>
      </c>
      <c r="I108" s="288">
        <v>44769.0</v>
      </c>
      <c r="J108" s="288">
        <v>44782.0</v>
      </c>
      <c r="K108" s="294"/>
      <c r="L108" s="294"/>
      <c r="M108" s="290" t="s">
        <v>6617</v>
      </c>
      <c r="N108" s="285" t="s">
        <v>497</v>
      </c>
      <c r="O108" s="299" t="s">
        <v>2554</v>
      </c>
      <c r="P108" s="300">
        <v>34335.0</v>
      </c>
      <c r="Q108" s="213"/>
      <c r="R108" s="198"/>
      <c r="S108" s="198"/>
      <c r="T108" s="198"/>
      <c r="U108" s="198"/>
      <c r="V108" s="198"/>
      <c r="W108" s="198"/>
      <c r="X108" s="198"/>
      <c r="Y108" s="198"/>
      <c r="Z108" s="198"/>
      <c r="AA108" s="198"/>
    </row>
    <row r="109" ht="69.0" customHeight="1">
      <c r="A109" s="284">
        <v>37049.0</v>
      </c>
      <c r="B109" s="299" t="s">
        <v>715</v>
      </c>
      <c r="C109" s="285">
        <v>1260.0</v>
      </c>
      <c r="D109" s="285" t="s">
        <v>6618</v>
      </c>
      <c r="E109" s="287" t="s">
        <v>6619</v>
      </c>
      <c r="F109" s="285" t="s">
        <v>5919</v>
      </c>
      <c r="G109" s="288">
        <v>44776.0</v>
      </c>
      <c r="H109" s="288">
        <v>44761.0</v>
      </c>
      <c r="I109" s="288">
        <v>44761.0</v>
      </c>
      <c r="J109" s="288">
        <v>44777.0</v>
      </c>
      <c r="K109" s="294"/>
      <c r="L109" s="294"/>
      <c r="M109" s="290" t="s">
        <v>6620</v>
      </c>
      <c r="N109" s="285" t="s">
        <v>4635</v>
      </c>
      <c r="O109" s="299" t="s">
        <v>2621</v>
      </c>
      <c r="P109" s="300">
        <v>44502.8</v>
      </c>
      <c r="Q109" s="213"/>
      <c r="R109" s="198"/>
      <c r="S109" s="198"/>
      <c r="T109" s="198"/>
      <c r="U109" s="198"/>
      <c r="V109" s="198"/>
      <c r="W109" s="198"/>
      <c r="X109" s="198"/>
      <c r="Y109" s="198"/>
      <c r="Z109" s="198"/>
      <c r="AA109" s="198"/>
    </row>
    <row r="110" ht="71.25" customHeight="1">
      <c r="A110" s="284">
        <v>37051.0</v>
      </c>
      <c r="B110" s="299" t="s">
        <v>715</v>
      </c>
      <c r="C110" s="285">
        <v>940.0</v>
      </c>
      <c r="D110" s="285" t="s">
        <v>6621</v>
      </c>
      <c r="E110" s="287" t="s">
        <v>6332</v>
      </c>
      <c r="F110" s="285" t="s">
        <v>5919</v>
      </c>
      <c r="G110" s="288">
        <v>44776.0</v>
      </c>
      <c r="H110" s="288">
        <v>44761.0</v>
      </c>
      <c r="I110" s="288">
        <v>44761.0</v>
      </c>
      <c r="J110" s="288">
        <v>44776.0</v>
      </c>
      <c r="K110" s="294"/>
      <c r="L110" s="294"/>
      <c r="M110" s="290" t="s">
        <v>6622</v>
      </c>
      <c r="N110" s="285" t="s">
        <v>4635</v>
      </c>
      <c r="O110" s="299" t="s">
        <v>2621</v>
      </c>
      <c r="P110" s="300">
        <v>59957.6</v>
      </c>
      <c r="Q110" s="213"/>
      <c r="R110" s="198"/>
      <c r="S110" s="198"/>
      <c r="T110" s="198"/>
      <c r="U110" s="198"/>
      <c r="V110" s="198"/>
      <c r="W110" s="198"/>
      <c r="X110" s="198"/>
      <c r="Y110" s="198"/>
      <c r="Z110" s="198"/>
      <c r="AA110" s="198"/>
    </row>
    <row r="111" ht="66.75" customHeight="1">
      <c r="A111" s="284">
        <v>36444.0</v>
      </c>
      <c r="B111" s="285" t="s">
        <v>715</v>
      </c>
      <c r="C111" s="285">
        <v>1930.0</v>
      </c>
      <c r="D111" s="285" t="s">
        <v>6623</v>
      </c>
      <c r="E111" s="287" t="s">
        <v>4670</v>
      </c>
      <c r="F111" s="285" t="s">
        <v>5919</v>
      </c>
      <c r="G111" s="288">
        <v>44773.0</v>
      </c>
      <c r="H111" s="288">
        <v>44767.0</v>
      </c>
      <c r="I111" s="288">
        <v>44767.0</v>
      </c>
      <c r="J111" s="288">
        <v>44775.0</v>
      </c>
      <c r="K111" s="294"/>
      <c r="L111" s="294"/>
      <c r="M111" s="290" t="s">
        <v>6624</v>
      </c>
      <c r="N111" s="285" t="s">
        <v>497</v>
      </c>
      <c r="O111" s="299" t="s">
        <v>2604</v>
      </c>
      <c r="P111" s="300">
        <v>57508.0</v>
      </c>
      <c r="Q111" s="213"/>
      <c r="R111" s="198"/>
      <c r="S111" s="198"/>
      <c r="T111" s="198"/>
      <c r="U111" s="198"/>
      <c r="V111" s="198"/>
      <c r="W111" s="198"/>
      <c r="X111" s="198"/>
      <c r="Y111" s="198"/>
      <c r="Z111" s="198"/>
      <c r="AA111" s="198"/>
    </row>
    <row r="112" ht="65.25" customHeight="1">
      <c r="A112" s="284">
        <v>37030.0</v>
      </c>
      <c r="B112" s="299" t="s">
        <v>715</v>
      </c>
      <c r="C112" s="285">
        <v>940.0</v>
      </c>
      <c r="D112" s="285" t="s">
        <v>6625</v>
      </c>
      <c r="E112" s="287" t="s">
        <v>4295</v>
      </c>
      <c r="F112" s="285" t="s">
        <v>5919</v>
      </c>
      <c r="G112" s="288">
        <v>44770.0</v>
      </c>
      <c r="H112" s="288">
        <v>44767.0</v>
      </c>
      <c r="I112" s="288">
        <v>44767.0</v>
      </c>
      <c r="J112" s="288">
        <v>44774.0</v>
      </c>
      <c r="K112" s="294"/>
      <c r="L112" s="294"/>
      <c r="M112" s="290" t="s">
        <v>6626</v>
      </c>
      <c r="N112" s="285" t="s">
        <v>4635</v>
      </c>
      <c r="O112" s="299" t="s">
        <v>2621</v>
      </c>
      <c r="P112" s="300">
        <v>60657.6</v>
      </c>
      <c r="Q112" s="213"/>
      <c r="R112" s="198"/>
      <c r="S112" s="198"/>
      <c r="T112" s="198"/>
      <c r="U112" s="198"/>
      <c r="V112" s="198"/>
      <c r="W112" s="198"/>
      <c r="X112" s="198"/>
      <c r="Y112" s="198"/>
      <c r="Z112" s="198"/>
      <c r="AA112" s="198"/>
    </row>
    <row r="113" ht="69.75" customHeight="1">
      <c r="A113" s="284">
        <v>36588.0</v>
      </c>
      <c r="B113" s="285" t="s">
        <v>21</v>
      </c>
      <c r="C113" s="285">
        <v>4190.0</v>
      </c>
      <c r="D113" s="285" t="s">
        <v>6627</v>
      </c>
      <c r="E113" s="287" t="s">
        <v>6358</v>
      </c>
      <c r="F113" s="285" t="s">
        <v>5919</v>
      </c>
      <c r="G113" s="288">
        <v>44769.0</v>
      </c>
      <c r="H113" s="288">
        <v>44761.0</v>
      </c>
      <c r="I113" s="288">
        <v>44761.0</v>
      </c>
      <c r="J113" s="285" t="s">
        <v>6628</v>
      </c>
      <c r="K113" s="425">
        <v>5492787.0</v>
      </c>
      <c r="L113" s="425"/>
      <c r="M113" s="290" t="s">
        <v>6629</v>
      </c>
      <c r="N113" s="285" t="s">
        <v>497</v>
      </c>
      <c r="O113" s="299" t="s">
        <v>2554</v>
      </c>
      <c r="P113" s="300">
        <v>28911.0</v>
      </c>
      <c r="Q113" s="213"/>
      <c r="R113" s="198"/>
      <c r="S113" s="198"/>
      <c r="T113" s="198"/>
      <c r="U113" s="198"/>
      <c r="V113" s="198"/>
      <c r="W113" s="198"/>
      <c r="X113" s="198"/>
      <c r="Y113" s="198"/>
      <c r="Z113" s="198"/>
      <c r="AA113" s="198"/>
    </row>
    <row r="114" ht="70.5" customHeight="1">
      <c r="A114" s="284">
        <v>36593.0</v>
      </c>
      <c r="B114" s="296" t="s">
        <v>21</v>
      </c>
      <c r="C114" s="285">
        <v>2520.0</v>
      </c>
      <c r="D114" s="285" t="s">
        <v>6630</v>
      </c>
      <c r="E114" s="287" t="s">
        <v>6631</v>
      </c>
      <c r="F114" s="285" t="s">
        <v>5919</v>
      </c>
      <c r="G114" s="288">
        <v>44769.0</v>
      </c>
      <c r="H114" s="288">
        <v>44761.0</v>
      </c>
      <c r="I114" s="288">
        <v>44761.0</v>
      </c>
      <c r="J114" s="285" t="s">
        <v>6632</v>
      </c>
      <c r="K114" s="425">
        <v>5492787.0</v>
      </c>
      <c r="L114" s="425"/>
      <c r="M114" s="290" t="s">
        <v>6633</v>
      </c>
      <c r="N114" s="285" t="s">
        <v>497</v>
      </c>
      <c r="O114" s="299" t="s">
        <v>2554</v>
      </c>
      <c r="P114" s="300">
        <v>56196.0</v>
      </c>
      <c r="Q114" s="213"/>
      <c r="R114" s="198"/>
      <c r="S114" s="198"/>
      <c r="T114" s="198"/>
      <c r="U114" s="198"/>
      <c r="V114" s="198"/>
      <c r="W114" s="198"/>
      <c r="X114" s="198"/>
      <c r="Y114" s="198"/>
      <c r="Z114" s="198"/>
      <c r="AA114" s="198"/>
    </row>
    <row r="115" ht="69.75" customHeight="1">
      <c r="A115" s="284">
        <v>37028.0</v>
      </c>
      <c r="B115" s="299" t="s">
        <v>715</v>
      </c>
      <c r="C115" s="285">
        <v>940.0</v>
      </c>
      <c r="D115" s="285" t="s">
        <v>6634</v>
      </c>
      <c r="E115" s="287" t="s">
        <v>6635</v>
      </c>
      <c r="F115" s="285" t="s">
        <v>5919</v>
      </c>
      <c r="G115" s="288">
        <v>44769.0</v>
      </c>
      <c r="H115" s="288">
        <v>44761.0</v>
      </c>
      <c r="I115" s="288">
        <v>44761.0</v>
      </c>
      <c r="J115" s="288">
        <v>44771.0</v>
      </c>
      <c r="K115" s="294"/>
      <c r="L115" s="294"/>
      <c r="M115" s="290" t="s">
        <v>6636</v>
      </c>
      <c r="N115" s="285" t="s">
        <v>4635</v>
      </c>
      <c r="O115" s="299" t="s">
        <v>2621</v>
      </c>
      <c r="P115" s="300">
        <v>60657.6</v>
      </c>
      <c r="Q115" s="213"/>
      <c r="R115" s="198"/>
      <c r="S115" s="198"/>
      <c r="T115" s="198"/>
      <c r="U115" s="198"/>
      <c r="V115" s="198"/>
      <c r="W115" s="198"/>
      <c r="X115" s="198"/>
      <c r="Y115" s="198"/>
      <c r="Z115" s="198"/>
      <c r="AA115" s="198"/>
    </row>
    <row r="116" ht="68.25" customHeight="1">
      <c r="A116" s="284">
        <v>36578.0</v>
      </c>
      <c r="B116" s="285" t="s">
        <v>21</v>
      </c>
      <c r="C116" s="285">
        <v>4230.0</v>
      </c>
      <c r="D116" s="285" t="s">
        <v>6637</v>
      </c>
      <c r="E116" s="287" t="s">
        <v>4690</v>
      </c>
      <c r="F116" s="285" t="s">
        <v>5919</v>
      </c>
      <c r="G116" s="288">
        <v>44769.0</v>
      </c>
      <c r="H116" s="288">
        <v>44761.0</v>
      </c>
      <c r="I116" s="288">
        <v>44761.0</v>
      </c>
      <c r="J116" s="285" t="s">
        <v>6638</v>
      </c>
      <c r="K116" s="425">
        <v>5492787.0</v>
      </c>
      <c r="L116" s="425"/>
      <c r="M116" s="290" t="s">
        <v>6639</v>
      </c>
      <c r="N116" s="285" t="s">
        <v>497</v>
      </c>
      <c r="O116" s="299" t="s">
        <v>2554</v>
      </c>
      <c r="P116" s="300">
        <v>29060.1</v>
      </c>
      <c r="Q116" s="213"/>
      <c r="R116" s="198"/>
      <c r="S116" s="198"/>
      <c r="T116" s="198"/>
      <c r="U116" s="198"/>
      <c r="V116" s="198"/>
      <c r="W116" s="198"/>
      <c r="X116" s="198"/>
      <c r="Y116" s="198"/>
      <c r="Z116" s="198"/>
      <c r="AA116" s="198"/>
    </row>
    <row r="117" ht="57.75" customHeight="1">
      <c r="A117" s="284">
        <v>36579.0</v>
      </c>
      <c r="B117" s="285" t="s">
        <v>21</v>
      </c>
      <c r="C117" s="285">
        <v>4230.0</v>
      </c>
      <c r="D117" s="285" t="s">
        <v>6640</v>
      </c>
      <c r="E117" s="287" t="s">
        <v>4658</v>
      </c>
      <c r="F117" s="285" t="s">
        <v>5919</v>
      </c>
      <c r="G117" s="288">
        <v>44769.0</v>
      </c>
      <c r="H117" s="288">
        <v>44761.0</v>
      </c>
      <c r="I117" s="288">
        <v>44761.0</v>
      </c>
      <c r="J117" s="285" t="s">
        <v>6641</v>
      </c>
      <c r="K117" s="425">
        <v>5492787.0</v>
      </c>
      <c r="L117" s="425"/>
      <c r="M117" s="290" t="s">
        <v>6642</v>
      </c>
      <c r="N117" s="285" t="s">
        <v>497</v>
      </c>
      <c r="O117" s="299" t="s">
        <v>2554</v>
      </c>
      <c r="P117" s="300">
        <v>29906.1</v>
      </c>
      <c r="Q117" s="213"/>
      <c r="R117" s="198"/>
      <c r="S117" s="198"/>
      <c r="T117" s="198"/>
      <c r="U117" s="198"/>
      <c r="V117" s="198"/>
      <c r="W117" s="198"/>
      <c r="X117" s="198"/>
      <c r="Y117" s="198"/>
      <c r="Z117" s="198"/>
      <c r="AA117" s="198"/>
    </row>
    <row r="118" ht="67.5" customHeight="1">
      <c r="A118" s="284">
        <v>37029.0</v>
      </c>
      <c r="B118" s="299" t="s">
        <v>715</v>
      </c>
      <c r="C118" s="285">
        <v>940.0</v>
      </c>
      <c r="D118" s="285" t="s">
        <v>6643</v>
      </c>
      <c r="E118" s="287" t="s">
        <v>6332</v>
      </c>
      <c r="F118" s="285" t="s">
        <v>5919</v>
      </c>
      <c r="G118" s="288">
        <v>44769.0</v>
      </c>
      <c r="H118" s="288">
        <v>44761.0</v>
      </c>
      <c r="I118" s="288">
        <v>44761.0</v>
      </c>
      <c r="J118" s="288">
        <v>44771.0</v>
      </c>
      <c r="K118" s="294"/>
      <c r="L118" s="294"/>
      <c r="M118" s="290" t="s">
        <v>6644</v>
      </c>
      <c r="N118" s="285" t="s">
        <v>4635</v>
      </c>
      <c r="O118" s="299" t="s">
        <v>2621</v>
      </c>
      <c r="P118" s="300">
        <v>60657.6</v>
      </c>
      <c r="Q118" s="213"/>
      <c r="R118" s="198"/>
      <c r="S118" s="198"/>
      <c r="T118" s="198"/>
      <c r="U118" s="198"/>
      <c r="V118" s="198"/>
      <c r="W118" s="198"/>
      <c r="X118" s="198"/>
      <c r="Y118" s="198"/>
      <c r="Z118" s="198"/>
      <c r="AA118" s="198"/>
    </row>
    <row r="119" ht="68.25" customHeight="1">
      <c r="A119" s="284">
        <v>37016.0</v>
      </c>
      <c r="B119" s="285" t="s">
        <v>21</v>
      </c>
      <c r="C119" s="285">
        <v>1100.0</v>
      </c>
      <c r="D119" s="285" t="s">
        <v>6645</v>
      </c>
      <c r="E119" s="287" t="s">
        <v>6646</v>
      </c>
      <c r="F119" s="285" t="s">
        <v>5919</v>
      </c>
      <c r="G119" s="288">
        <v>44769.0</v>
      </c>
      <c r="H119" s="288">
        <v>44747.0</v>
      </c>
      <c r="I119" s="288">
        <v>44747.0</v>
      </c>
      <c r="J119" s="288">
        <v>44796.0</v>
      </c>
      <c r="K119" s="425">
        <v>5492787.0</v>
      </c>
      <c r="L119" s="425"/>
      <c r="M119" s="290" t="s">
        <v>6647</v>
      </c>
      <c r="N119" s="285" t="s">
        <v>4635</v>
      </c>
      <c r="O119" s="299" t="s">
        <v>2621</v>
      </c>
      <c r="P119" s="300">
        <v>108841.78</v>
      </c>
      <c r="Q119" s="213"/>
      <c r="R119" s="198"/>
      <c r="S119" s="198"/>
      <c r="T119" s="198"/>
      <c r="U119" s="198"/>
      <c r="V119" s="198"/>
      <c r="W119" s="198"/>
      <c r="X119" s="198"/>
      <c r="Y119" s="198"/>
      <c r="Z119" s="198"/>
      <c r="AA119" s="198"/>
    </row>
    <row r="120" ht="72.0" customHeight="1">
      <c r="A120" s="284">
        <v>36580.0</v>
      </c>
      <c r="B120" s="299" t="s">
        <v>715</v>
      </c>
      <c r="C120" s="285">
        <v>1250.0</v>
      </c>
      <c r="D120" s="285" t="s">
        <v>6648</v>
      </c>
      <c r="E120" s="287" t="s">
        <v>4637</v>
      </c>
      <c r="F120" s="285" t="s">
        <v>5919</v>
      </c>
      <c r="G120" s="288">
        <v>44768.0</v>
      </c>
      <c r="H120" s="288">
        <v>44753.0</v>
      </c>
      <c r="I120" s="288">
        <v>44753.0</v>
      </c>
      <c r="J120" s="288">
        <v>44770.0</v>
      </c>
      <c r="K120" s="294"/>
      <c r="L120" s="294"/>
      <c r="M120" s="290" t="s">
        <v>6649</v>
      </c>
      <c r="N120" s="285" t="s">
        <v>497</v>
      </c>
      <c r="O120" s="299" t="s">
        <v>2554</v>
      </c>
      <c r="P120" s="300">
        <v>34335.0</v>
      </c>
      <c r="Q120" s="213"/>
      <c r="R120" s="198"/>
      <c r="S120" s="198"/>
      <c r="T120" s="198"/>
      <c r="U120" s="198"/>
      <c r="V120" s="198"/>
      <c r="W120" s="198"/>
      <c r="X120" s="198"/>
      <c r="Y120" s="198"/>
      <c r="Z120" s="198"/>
      <c r="AA120" s="198"/>
    </row>
    <row r="121" ht="63.75" customHeight="1">
      <c r="A121" s="284">
        <v>37054.0</v>
      </c>
      <c r="B121" s="299" t="s">
        <v>715</v>
      </c>
      <c r="C121" s="285">
        <v>940.0</v>
      </c>
      <c r="D121" s="285" t="s">
        <v>6650</v>
      </c>
      <c r="E121" s="287" t="s">
        <v>4295</v>
      </c>
      <c r="F121" s="285" t="s">
        <v>5919</v>
      </c>
      <c r="G121" s="288">
        <v>44766.0</v>
      </c>
      <c r="H121" s="288">
        <v>44761.0</v>
      </c>
      <c r="I121" s="288">
        <v>44761.0</v>
      </c>
      <c r="J121" s="288">
        <v>44767.0</v>
      </c>
      <c r="K121" s="294"/>
      <c r="L121" s="294"/>
      <c r="M121" s="290" t="s">
        <v>6651</v>
      </c>
      <c r="N121" s="285" t="s">
        <v>4635</v>
      </c>
      <c r="O121" s="299" t="s">
        <v>2621</v>
      </c>
      <c r="P121" s="300">
        <v>60157.6</v>
      </c>
      <c r="Q121" s="213"/>
      <c r="R121" s="198"/>
      <c r="S121" s="198"/>
      <c r="T121" s="198"/>
      <c r="U121" s="198"/>
      <c r="V121" s="198"/>
      <c r="W121" s="198"/>
      <c r="X121" s="198"/>
      <c r="Y121" s="198"/>
      <c r="Z121" s="198"/>
      <c r="AA121" s="198"/>
    </row>
    <row r="122" ht="63.75" customHeight="1">
      <c r="A122" s="284">
        <v>36443.0</v>
      </c>
      <c r="B122" s="299" t="s">
        <v>715</v>
      </c>
      <c r="C122" s="285">
        <v>970.0</v>
      </c>
      <c r="D122" s="285" t="s">
        <v>6652</v>
      </c>
      <c r="E122" s="287" t="s">
        <v>4958</v>
      </c>
      <c r="F122" s="285" t="s">
        <v>5919</v>
      </c>
      <c r="G122" s="288">
        <v>44765.0</v>
      </c>
      <c r="H122" s="288">
        <v>44761.0</v>
      </c>
      <c r="I122" s="288">
        <v>44761.0</v>
      </c>
      <c r="J122" s="288">
        <v>44769.0</v>
      </c>
      <c r="K122" s="294"/>
      <c r="L122" s="294"/>
      <c r="M122" s="290" t="s">
        <v>6653</v>
      </c>
      <c r="N122" s="285" t="s">
        <v>497</v>
      </c>
      <c r="O122" s="299" t="s">
        <v>2604</v>
      </c>
      <c r="P122" s="300">
        <v>46252.0</v>
      </c>
      <c r="Q122" s="213"/>
      <c r="R122" s="198"/>
      <c r="S122" s="198"/>
      <c r="T122" s="198"/>
      <c r="U122" s="198"/>
      <c r="V122" s="198"/>
      <c r="W122" s="198"/>
      <c r="X122" s="198"/>
      <c r="Y122" s="198"/>
      <c r="Z122" s="198"/>
      <c r="AA122" s="198"/>
    </row>
    <row r="123" ht="63.75" customHeight="1">
      <c r="A123" s="284">
        <v>36289.0</v>
      </c>
      <c r="B123" s="299" t="s">
        <v>715</v>
      </c>
      <c r="C123" s="285">
        <v>1252.0</v>
      </c>
      <c r="D123" s="285" t="s">
        <v>6654</v>
      </c>
      <c r="E123" s="287" t="s">
        <v>4637</v>
      </c>
      <c r="F123" s="285" t="s">
        <v>5919</v>
      </c>
      <c r="G123" s="288">
        <v>44764.0</v>
      </c>
      <c r="H123" s="288">
        <v>44756.0</v>
      </c>
      <c r="I123" s="288">
        <v>44756.0</v>
      </c>
      <c r="J123" s="288">
        <v>44768.0</v>
      </c>
      <c r="K123" s="294"/>
      <c r="L123" s="294"/>
      <c r="M123" s="290" t="s">
        <v>6655</v>
      </c>
      <c r="N123" s="285" t="s">
        <v>497</v>
      </c>
      <c r="O123" s="299" t="s">
        <v>2554</v>
      </c>
      <c r="P123" s="300">
        <v>34335.0</v>
      </c>
      <c r="Q123" s="213"/>
      <c r="R123" s="198"/>
      <c r="S123" s="198"/>
      <c r="T123" s="198"/>
      <c r="U123" s="198"/>
      <c r="V123" s="198"/>
      <c r="W123" s="198"/>
      <c r="X123" s="198"/>
      <c r="Y123" s="198"/>
      <c r="Z123" s="198"/>
      <c r="AA123" s="198"/>
    </row>
    <row r="124" ht="63.75" customHeight="1">
      <c r="A124" s="284">
        <v>36916.0</v>
      </c>
      <c r="B124" s="285" t="s">
        <v>25</v>
      </c>
      <c r="C124" s="285" t="s">
        <v>6656</v>
      </c>
      <c r="D124" s="285" t="s">
        <v>6657</v>
      </c>
      <c r="E124" s="287" t="s">
        <v>6658</v>
      </c>
      <c r="F124" s="285" t="s">
        <v>5919</v>
      </c>
      <c r="G124" s="288">
        <v>44762.0</v>
      </c>
      <c r="H124" s="285" t="s">
        <v>4841</v>
      </c>
      <c r="I124" s="285" t="s">
        <v>4841</v>
      </c>
      <c r="J124" s="288">
        <v>44774.0</v>
      </c>
      <c r="K124" s="294"/>
      <c r="L124" s="294"/>
      <c r="M124" s="290" t="s">
        <v>6659</v>
      </c>
      <c r="N124" s="285" t="s">
        <v>497</v>
      </c>
      <c r="O124" s="299" t="s">
        <v>2538</v>
      </c>
      <c r="P124" s="300">
        <v>61070.0</v>
      </c>
      <c r="Q124" s="213"/>
      <c r="R124" s="198"/>
      <c r="S124" s="198"/>
      <c r="T124" s="198"/>
      <c r="U124" s="198"/>
      <c r="V124" s="198"/>
      <c r="W124" s="198"/>
      <c r="X124" s="198"/>
      <c r="Y124" s="198"/>
      <c r="Z124" s="198"/>
      <c r="AA124" s="198"/>
    </row>
    <row r="125" ht="63.75" customHeight="1">
      <c r="A125" s="284">
        <v>36813.0</v>
      </c>
      <c r="B125" s="299" t="s">
        <v>715</v>
      </c>
      <c r="C125" s="285">
        <v>4100.0</v>
      </c>
      <c r="D125" s="285" t="s">
        <v>6660</v>
      </c>
      <c r="E125" s="287" t="s">
        <v>4644</v>
      </c>
      <c r="F125" s="285" t="s">
        <v>5919</v>
      </c>
      <c r="G125" s="288">
        <v>44762.0</v>
      </c>
      <c r="H125" s="288">
        <v>44760.0</v>
      </c>
      <c r="I125" s="288">
        <v>44760.0</v>
      </c>
      <c r="J125" s="288">
        <v>44767.0</v>
      </c>
      <c r="K125" s="294"/>
      <c r="L125" s="294"/>
      <c r="M125" s="290" t="s">
        <v>6661</v>
      </c>
      <c r="N125" s="285" t="s">
        <v>497</v>
      </c>
      <c r="O125" s="299" t="s">
        <v>2554</v>
      </c>
      <c r="P125" s="300">
        <v>28290.0</v>
      </c>
      <c r="Q125" s="213"/>
      <c r="R125" s="198"/>
      <c r="S125" s="198"/>
      <c r="T125" s="198"/>
      <c r="U125" s="198"/>
      <c r="V125" s="198"/>
      <c r="W125" s="198"/>
      <c r="X125" s="198"/>
      <c r="Y125" s="198"/>
      <c r="Z125" s="198"/>
      <c r="AA125" s="198"/>
    </row>
    <row r="126" ht="69.75" customHeight="1">
      <c r="A126" s="284">
        <v>37092.0</v>
      </c>
      <c r="B126" s="299" t="s">
        <v>4924</v>
      </c>
      <c r="C126" s="285">
        <v>98.0</v>
      </c>
      <c r="D126" s="285" t="s">
        <v>4925</v>
      </c>
      <c r="E126" s="287" t="s">
        <v>4477</v>
      </c>
      <c r="F126" s="285" t="s">
        <v>5919</v>
      </c>
      <c r="G126" s="288">
        <v>44761.0</v>
      </c>
      <c r="H126" s="288">
        <v>44761.0</v>
      </c>
      <c r="I126" s="288">
        <v>44761.0</v>
      </c>
      <c r="J126" s="288">
        <v>44763.0</v>
      </c>
      <c r="K126" s="294"/>
      <c r="L126" s="294"/>
      <c r="M126" s="290" t="s">
        <v>6662</v>
      </c>
      <c r="N126" s="285" t="s">
        <v>4635</v>
      </c>
      <c r="O126" s="299" t="s">
        <v>2621</v>
      </c>
      <c r="P126" s="300">
        <v>41277.6</v>
      </c>
      <c r="Q126" s="213"/>
      <c r="R126" s="198"/>
      <c r="S126" s="198"/>
      <c r="T126" s="198"/>
      <c r="U126" s="198"/>
      <c r="V126" s="198"/>
      <c r="W126" s="198"/>
      <c r="X126" s="198"/>
      <c r="Y126" s="198"/>
      <c r="Z126" s="198"/>
      <c r="AA126" s="198"/>
    </row>
    <row r="127" ht="72.0" customHeight="1">
      <c r="A127" s="284">
        <v>37008.0</v>
      </c>
      <c r="B127" s="299" t="s">
        <v>715</v>
      </c>
      <c r="C127" s="285">
        <v>940.0</v>
      </c>
      <c r="D127" s="285" t="s">
        <v>6663</v>
      </c>
      <c r="E127" s="287" t="s">
        <v>6664</v>
      </c>
      <c r="F127" s="285" t="s">
        <v>5919</v>
      </c>
      <c r="G127" s="288">
        <v>44760.0</v>
      </c>
      <c r="H127" s="288">
        <v>44756.0</v>
      </c>
      <c r="I127" s="288">
        <v>44756.0</v>
      </c>
      <c r="J127" s="288" t="s">
        <v>6665</v>
      </c>
      <c r="K127" s="294"/>
      <c r="L127" s="294"/>
      <c r="M127" s="290" t="s">
        <v>6666</v>
      </c>
      <c r="N127" s="285" t="s">
        <v>4635</v>
      </c>
      <c r="O127" s="299" t="s">
        <v>2554</v>
      </c>
      <c r="P127" s="300">
        <v>60657.6</v>
      </c>
      <c r="Q127" s="213"/>
      <c r="R127" s="198"/>
      <c r="S127" s="198"/>
      <c r="T127" s="198"/>
      <c r="U127" s="198"/>
      <c r="V127" s="198"/>
      <c r="W127" s="198"/>
      <c r="X127" s="198"/>
      <c r="Y127" s="198"/>
      <c r="Z127" s="198"/>
      <c r="AA127" s="198"/>
    </row>
    <row r="128" ht="76.5" customHeight="1">
      <c r="A128" s="284">
        <v>37027.0</v>
      </c>
      <c r="B128" s="299" t="s">
        <v>715</v>
      </c>
      <c r="C128" s="285">
        <v>1120.0</v>
      </c>
      <c r="D128" s="285" t="s">
        <v>6667</v>
      </c>
      <c r="E128" s="287" t="s">
        <v>6668</v>
      </c>
      <c r="F128" s="285" t="s">
        <v>5919</v>
      </c>
      <c r="G128" s="288">
        <v>44760.0</v>
      </c>
      <c r="H128" s="288">
        <v>44756.0</v>
      </c>
      <c r="I128" s="288">
        <v>44756.0</v>
      </c>
      <c r="J128" s="288">
        <v>44763.0</v>
      </c>
      <c r="K128" s="294"/>
      <c r="L128" s="294"/>
      <c r="M128" s="290" t="s">
        <v>6669</v>
      </c>
      <c r="N128" s="285" t="s">
        <v>4635</v>
      </c>
      <c r="O128" s="299" t="s">
        <v>2621</v>
      </c>
      <c r="P128" s="300">
        <v>59573.7</v>
      </c>
      <c r="Q128" s="213"/>
      <c r="R128" s="198"/>
      <c r="S128" s="198"/>
      <c r="T128" s="198"/>
      <c r="U128" s="198"/>
      <c r="V128" s="198"/>
      <c r="W128" s="198"/>
      <c r="X128" s="198"/>
      <c r="Y128" s="198"/>
      <c r="Z128" s="198"/>
      <c r="AA128" s="198"/>
    </row>
    <row r="129" ht="72.75" customHeight="1">
      <c r="A129" s="284">
        <v>36597.0</v>
      </c>
      <c r="B129" s="285" t="s">
        <v>21</v>
      </c>
      <c r="C129" s="285">
        <v>2190.0</v>
      </c>
      <c r="D129" s="285" t="s">
        <v>6670</v>
      </c>
      <c r="E129" s="287" t="s">
        <v>4978</v>
      </c>
      <c r="F129" s="285" t="s">
        <v>5919</v>
      </c>
      <c r="G129" s="288">
        <v>44759.0</v>
      </c>
      <c r="H129" s="288">
        <v>44755.0</v>
      </c>
      <c r="I129" s="288">
        <v>44755.0</v>
      </c>
      <c r="J129" s="285" t="s">
        <v>6671</v>
      </c>
      <c r="K129" s="425">
        <v>5492787.0</v>
      </c>
      <c r="L129" s="425"/>
      <c r="M129" s="290" t="s">
        <v>6672</v>
      </c>
      <c r="N129" s="285" t="s">
        <v>497</v>
      </c>
      <c r="O129" s="299" t="s">
        <v>2554</v>
      </c>
      <c r="P129" s="300">
        <v>30879.0</v>
      </c>
      <c r="Q129" s="213"/>
      <c r="R129" s="198"/>
      <c r="S129" s="198"/>
      <c r="T129" s="198"/>
      <c r="U129" s="198"/>
      <c r="V129" s="198"/>
      <c r="W129" s="198"/>
      <c r="X129" s="198"/>
      <c r="Y129" s="198"/>
      <c r="Z129" s="198"/>
      <c r="AA129" s="198"/>
    </row>
    <row r="130" ht="71.25" customHeight="1">
      <c r="A130" s="284">
        <v>37059.0</v>
      </c>
      <c r="B130" s="299" t="s">
        <v>25</v>
      </c>
      <c r="C130" s="285">
        <v>940.0</v>
      </c>
      <c r="D130" s="285" t="s">
        <v>6673</v>
      </c>
      <c r="E130" s="287" t="s">
        <v>6332</v>
      </c>
      <c r="F130" s="285" t="s">
        <v>5919</v>
      </c>
      <c r="G130" s="288">
        <v>44758.0</v>
      </c>
      <c r="H130" s="288">
        <v>44753.0</v>
      </c>
      <c r="I130" s="288">
        <v>44753.0</v>
      </c>
      <c r="J130" s="288">
        <v>44767.0</v>
      </c>
      <c r="K130" s="322"/>
      <c r="L130" s="294"/>
      <c r="M130" s="290" t="s">
        <v>6674</v>
      </c>
      <c r="N130" s="285" t="s">
        <v>4635</v>
      </c>
      <c r="O130" s="299" t="s">
        <v>2621</v>
      </c>
      <c r="P130" s="300">
        <v>56976.8</v>
      </c>
      <c r="Q130" s="213"/>
      <c r="R130" s="198"/>
      <c r="S130" s="198"/>
      <c r="T130" s="198"/>
      <c r="U130" s="198"/>
      <c r="V130" s="198"/>
      <c r="W130" s="198"/>
      <c r="X130" s="198"/>
      <c r="Y130" s="198"/>
      <c r="Z130" s="198"/>
      <c r="AA130" s="198"/>
    </row>
    <row r="131" ht="76.5" customHeight="1">
      <c r="A131" s="284">
        <v>36949.0</v>
      </c>
      <c r="B131" s="299" t="s">
        <v>715</v>
      </c>
      <c r="C131" s="285">
        <v>944.0</v>
      </c>
      <c r="D131" s="285" t="s">
        <v>6675</v>
      </c>
      <c r="E131" s="287" t="s">
        <v>6676</v>
      </c>
      <c r="F131" s="285" t="s">
        <v>5919</v>
      </c>
      <c r="G131" s="288">
        <v>44758.0</v>
      </c>
      <c r="H131" s="288">
        <v>44753.0</v>
      </c>
      <c r="I131" s="288">
        <v>44753.0</v>
      </c>
      <c r="J131" s="285" t="s">
        <v>6677</v>
      </c>
      <c r="K131" s="294"/>
      <c r="L131" s="294"/>
      <c r="M131" s="290" t="s">
        <v>6678</v>
      </c>
      <c r="N131" s="285" t="s">
        <v>4635</v>
      </c>
      <c r="O131" s="299" t="s">
        <v>2621</v>
      </c>
      <c r="P131" s="300">
        <v>50522.64</v>
      </c>
      <c r="Q131" s="213"/>
      <c r="R131" s="198"/>
      <c r="S131" s="198"/>
      <c r="T131" s="198"/>
      <c r="U131" s="198"/>
      <c r="V131" s="198"/>
      <c r="W131" s="198"/>
      <c r="X131" s="198"/>
      <c r="Y131" s="198"/>
      <c r="Z131" s="198"/>
      <c r="AA131" s="198"/>
    </row>
    <row r="132" ht="72.75" customHeight="1">
      <c r="A132" s="284">
        <v>36725.0</v>
      </c>
      <c r="B132" s="299" t="s">
        <v>6679</v>
      </c>
      <c r="C132" s="285">
        <v>2130.0</v>
      </c>
      <c r="D132" s="285" t="s">
        <v>6680</v>
      </c>
      <c r="E132" s="287" t="s">
        <v>6681</v>
      </c>
      <c r="F132" s="285" t="s">
        <v>5919</v>
      </c>
      <c r="G132" s="288">
        <v>44758.0</v>
      </c>
      <c r="H132" s="288">
        <v>44749.0</v>
      </c>
      <c r="I132" s="288">
        <v>44749.0</v>
      </c>
      <c r="J132" s="285" t="s">
        <v>6682</v>
      </c>
      <c r="K132" s="294"/>
      <c r="L132" s="294"/>
      <c r="M132" s="290" t="s">
        <v>6683</v>
      </c>
      <c r="N132" s="285" t="s">
        <v>497</v>
      </c>
      <c r="O132" s="299" t="s">
        <v>4662</v>
      </c>
      <c r="P132" s="300">
        <v>111569.66</v>
      </c>
      <c r="Q132" s="213"/>
      <c r="R132" s="198"/>
      <c r="S132" s="198"/>
      <c r="T132" s="198"/>
      <c r="U132" s="198"/>
      <c r="V132" s="198"/>
      <c r="W132" s="198"/>
      <c r="X132" s="198"/>
      <c r="Y132" s="198"/>
      <c r="Z132" s="198"/>
      <c r="AA132" s="198"/>
    </row>
    <row r="133" ht="66.0" customHeight="1">
      <c r="A133" s="284">
        <v>36921.0</v>
      </c>
      <c r="B133" s="299" t="s">
        <v>715</v>
      </c>
      <c r="C133" s="285">
        <v>940.0</v>
      </c>
      <c r="D133" s="285" t="s">
        <v>6684</v>
      </c>
      <c r="E133" s="287" t="s">
        <v>4295</v>
      </c>
      <c r="F133" s="285" t="s">
        <v>5919</v>
      </c>
      <c r="G133" s="288">
        <v>44756.0</v>
      </c>
      <c r="H133" s="288">
        <v>44754.0</v>
      </c>
      <c r="I133" s="288">
        <v>44754.0</v>
      </c>
      <c r="J133" s="288">
        <v>44761.0</v>
      </c>
      <c r="K133" s="294"/>
      <c r="L133" s="294"/>
      <c r="M133" s="290" t="s">
        <v>6685</v>
      </c>
      <c r="N133" s="285" t="s">
        <v>4635</v>
      </c>
      <c r="O133" s="299" t="s">
        <v>2621</v>
      </c>
      <c r="P133" s="300">
        <v>60657.6</v>
      </c>
      <c r="Q133" s="213"/>
      <c r="R133" s="198"/>
      <c r="S133" s="198"/>
      <c r="T133" s="198"/>
      <c r="U133" s="198"/>
      <c r="V133" s="198"/>
      <c r="W133" s="198"/>
      <c r="X133" s="198"/>
      <c r="Y133" s="198"/>
      <c r="Z133" s="198"/>
      <c r="AA133" s="198"/>
    </row>
    <row r="134" ht="70.5" customHeight="1">
      <c r="A134" s="284">
        <v>36920.0</v>
      </c>
      <c r="B134" s="299" t="s">
        <v>715</v>
      </c>
      <c r="C134" s="285">
        <v>940.0</v>
      </c>
      <c r="D134" s="285" t="s">
        <v>6686</v>
      </c>
      <c r="E134" s="287" t="s">
        <v>4295</v>
      </c>
      <c r="F134" s="285" t="s">
        <v>5919</v>
      </c>
      <c r="G134" s="288">
        <v>44756.0</v>
      </c>
      <c r="H134" s="288">
        <v>44754.0</v>
      </c>
      <c r="I134" s="288">
        <v>44754.0</v>
      </c>
      <c r="J134" s="288">
        <v>44761.0</v>
      </c>
      <c r="K134" s="294"/>
      <c r="L134" s="294"/>
      <c r="M134" s="290" t="s">
        <v>6687</v>
      </c>
      <c r="N134" s="285" t="s">
        <v>4635</v>
      </c>
      <c r="O134" s="299" t="s">
        <v>2621</v>
      </c>
      <c r="P134" s="300">
        <v>60657.6</v>
      </c>
      <c r="Q134" s="213"/>
      <c r="R134" s="198"/>
      <c r="S134" s="198"/>
      <c r="T134" s="198"/>
      <c r="U134" s="198"/>
      <c r="V134" s="198"/>
      <c r="W134" s="198"/>
      <c r="X134" s="198"/>
      <c r="Y134" s="198"/>
      <c r="Z134" s="198"/>
      <c r="AA134" s="198"/>
    </row>
    <row r="135" ht="70.5" customHeight="1">
      <c r="A135" s="284">
        <v>36906.0</v>
      </c>
      <c r="B135" s="285" t="s">
        <v>21</v>
      </c>
      <c r="C135" s="285">
        <v>1160.0</v>
      </c>
      <c r="D135" s="285" t="s">
        <v>6688</v>
      </c>
      <c r="E135" s="287" t="s">
        <v>6689</v>
      </c>
      <c r="F135" s="285" t="s">
        <v>5919</v>
      </c>
      <c r="G135" s="288">
        <v>44753.0</v>
      </c>
      <c r="H135" s="288">
        <v>44747.0</v>
      </c>
      <c r="I135" s="288">
        <v>44747.0</v>
      </c>
      <c r="J135" s="285" t="s">
        <v>6690</v>
      </c>
      <c r="K135" s="425">
        <v>5492787.0</v>
      </c>
      <c r="L135" s="425"/>
      <c r="M135" s="290" t="s">
        <v>6691</v>
      </c>
      <c r="N135" s="285" t="s">
        <v>4635</v>
      </c>
      <c r="O135" s="299" t="s">
        <v>2621</v>
      </c>
      <c r="P135" s="300">
        <v>129659.0</v>
      </c>
      <c r="Q135" s="213"/>
      <c r="R135" s="198"/>
      <c r="S135" s="198"/>
      <c r="T135" s="198"/>
      <c r="U135" s="198"/>
      <c r="V135" s="198"/>
      <c r="W135" s="198"/>
      <c r="X135" s="198"/>
      <c r="Y135" s="198"/>
      <c r="Z135" s="198"/>
      <c r="AA135" s="198"/>
    </row>
    <row r="136" ht="72.75" customHeight="1">
      <c r="A136" s="284">
        <v>36883.0</v>
      </c>
      <c r="B136" s="299" t="s">
        <v>715</v>
      </c>
      <c r="C136" s="285">
        <v>940.0</v>
      </c>
      <c r="D136" s="285" t="s">
        <v>6692</v>
      </c>
      <c r="E136" s="287" t="s">
        <v>4295</v>
      </c>
      <c r="F136" s="285" t="s">
        <v>5919</v>
      </c>
      <c r="G136" s="288">
        <v>44752.0</v>
      </c>
      <c r="H136" s="288">
        <v>44747.0</v>
      </c>
      <c r="I136" s="288">
        <v>44747.0</v>
      </c>
      <c r="J136" s="288">
        <v>44760.0</v>
      </c>
      <c r="K136" s="294"/>
      <c r="L136" s="294"/>
      <c r="M136" s="290" t="s">
        <v>6693</v>
      </c>
      <c r="N136" s="285" t="s">
        <v>4635</v>
      </c>
      <c r="O136" s="299" t="s">
        <v>2621</v>
      </c>
      <c r="P136" s="300">
        <v>60657.6</v>
      </c>
      <c r="Q136" s="213"/>
      <c r="R136" s="198"/>
      <c r="S136" s="198"/>
      <c r="T136" s="198"/>
      <c r="U136" s="198"/>
      <c r="V136" s="198"/>
      <c r="W136" s="198"/>
      <c r="X136" s="198"/>
      <c r="Y136" s="198"/>
      <c r="Z136" s="198"/>
      <c r="AA136" s="198"/>
    </row>
    <row r="137" ht="69.75" customHeight="1">
      <c r="A137" s="284">
        <v>36884.0</v>
      </c>
      <c r="B137" s="299" t="s">
        <v>715</v>
      </c>
      <c r="C137" s="285">
        <v>940.0</v>
      </c>
      <c r="D137" s="285" t="s">
        <v>6694</v>
      </c>
      <c r="E137" s="287" t="s">
        <v>4295</v>
      </c>
      <c r="F137" s="285" t="s">
        <v>5919</v>
      </c>
      <c r="G137" s="288">
        <v>44752.0</v>
      </c>
      <c r="H137" s="288">
        <v>44747.0</v>
      </c>
      <c r="I137" s="288">
        <v>44747.0</v>
      </c>
      <c r="J137" s="288">
        <v>44756.0</v>
      </c>
      <c r="K137" s="294"/>
      <c r="L137" s="294"/>
      <c r="M137" s="290" t="s">
        <v>6695</v>
      </c>
      <c r="N137" s="285" t="s">
        <v>4635</v>
      </c>
      <c r="O137" s="299" t="s">
        <v>2621</v>
      </c>
      <c r="P137" s="300">
        <v>60657.6</v>
      </c>
      <c r="Q137" s="213"/>
      <c r="R137" s="198"/>
      <c r="S137" s="198"/>
      <c r="T137" s="198"/>
      <c r="U137" s="198"/>
      <c r="V137" s="198"/>
      <c r="W137" s="198"/>
      <c r="X137" s="198"/>
      <c r="Y137" s="198"/>
      <c r="Z137" s="198"/>
      <c r="AA137" s="198"/>
    </row>
    <row r="138" ht="63.75" customHeight="1">
      <c r="A138" s="284">
        <v>36288.0</v>
      </c>
      <c r="B138" s="299" t="s">
        <v>715</v>
      </c>
      <c r="C138" s="285">
        <v>1250.0</v>
      </c>
      <c r="D138" s="285" t="s">
        <v>6696</v>
      </c>
      <c r="E138" s="287" t="s">
        <v>4637</v>
      </c>
      <c r="F138" s="285" t="s">
        <v>5919</v>
      </c>
      <c r="G138" s="288">
        <v>44750.0</v>
      </c>
      <c r="H138" s="288">
        <v>44748.0</v>
      </c>
      <c r="I138" s="288">
        <v>44748.0</v>
      </c>
      <c r="J138" s="288">
        <v>44755.0</v>
      </c>
      <c r="K138" s="294"/>
      <c r="L138" s="294"/>
      <c r="M138" s="290" t="s">
        <v>6697</v>
      </c>
      <c r="N138" s="285" t="s">
        <v>497</v>
      </c>
      <c r="O138" s="299" t="s">
        <v>2554</v>
      </c>
      <c r="P138" s="300">
        <v>34335.0</v>
      </c>
      <c r="Q138" s="213"/>
      <c r="R138" s="198"/>
      <c r="S138" s="198"/>
      <c r="T138" s="198"/>
      <c r="U138" s="198"/>
      <c r="V138" s="198"/>
      <c r="W138" s="198"/>
      <c r="X138" s="198"/>
      <c r="Y138" s="198"/>
      <c r="Z138" s="198"/>
      <c r="AA138" s="198"/>
    </row>
    <row r="139" ht="63.75" customHeight="1">
      <c r="A139" s="284">
        <v>36241.0</v>
      </c>
      <c r="B139" s="299" t="s">
        <v>6501</v>
      </c>
      <c r="C139" s="285">
        <v>2595.0</v>
      </c>
      <c r="D139" s="285" t="s">
        <v>6698</v>
      </c>
      <c r="E139" s="287" t="s">
        <v>6699</v>
      </c>
      <c r="F139" s="285" t="s">
        <v>5919</v>
      </c>
      <c r="G139" s="288">
        <v>44750.0</v>
      </c>
      <c r="H139" s="288">
        <v>44748.0</v>
      </c>
      <c r="I139" s="288">
        <v>44748.0</v>
      </c>
      <c r="J139" s="288">
        <v>44754.0</v>
      </c>
      <c r="K139" s="294"/>
      <c r="L139" s="294"/>
      <c r="M139" s="290" t="s">
        <v>6700</v>
      </c>
      <c r="N139" s="285" t="s">
        <v>497</v>
      </c>
      <c r="O139" s="299" t="s">
        <v>2554</v>
      </c>
      <c r="P139" s="300">
        <v>45412.5</v>
      </c>
      <c r="Q139" s="213"/>
      <c r="R139" s="198"/>
      <c r="S139" s="198"/>
      <c r="T139" s="198"/>
      <c r="U139" s="198"/>
      <c r="V139" s="198"/>
      <c r="W139" s="198"/>
      <c r="X139" s="198"/>
      <c r="Y139" s="198"/>
      <c r="Z139" s="198"/>
      <c r="AA139" s="198"/>
    </row>
    <row r="140" ht="69.75" customHeight="1">
      <c r="A140" s="284">
        <v>36595.0</v>
      </c>
      <c r="B140" s="299" t="s">
        <v>715</v>
      </c>
      <c r="C140" s="285">
        <v>2190.0</v>
      </c>
      <c r="D140" s="285" t="s">
        <v>6701</v>
      </c>
      <c r="E140" s="287" t="s">
        <v>6702</v>
      </c>
      <c r="F140" s="285" t="s">
        <v>5919</v>
      </c>
      <c r="G140" s="288">
        <v>44750.0</v>
      </c>
      <c r="H140" s="288">
        <v>44748.0</v>
      </c>
      <c r="I140" s="288">
        <v>44748.0</v>
      </c>
      <c r="J140" s="288">
        <v>44753.0</v>
      </c>
      <c r="K140" s="294"/>
      <c r="L140" s="294"/>
      <c r="M140" s="290" t="s">
        <v>6703</v>
      </c>
      <c r="N140" s="285" t="s">
        <v>497</v>
      </c>
      <c r="O140" s="299" t="s">
        <v>2554</v>
      </c>
      <c r="P140" s="300">
        <v>38544.0</v>
      </c>
      <c r="Q140" s="213"/>
      <c r="R140" s="198"/>
      <c r="S140" s="198"/>
      <c r="T140" s="198"/>
      <c r="U140" s="198"/>
      <c r="V140" s="198"/>
      <c r="W140" s="198"/>
      <c r="X140" s="198"/>
      <c r="Y140" s="198"/>
      <c r="Z140" s="198"/>
      <c r="AA140" s="198"/>
    </row>
    <row r="141" ht="66.75" customHeight="1">
      <c r="A141" s="284">
        <v>36596.0</v>
      </c>
      <c r="B141" s="299" t="s">
        <v>715</v>
      </c>
      <c r="C141" s="285">
        <v>1306.0</v>
      </c>
      <c r="D141" s="285" t="s">
        <v>6704</v>
      </c>
      <c r="E141" s="287" t="s">
        <v>4681</v>
      </c>
      <c r="F141" s="285" t="s">
        <v>5919</v>
      </c>
      <c r="G141" s="288">
        <v>44750.0</v>
      </c>
      <c r="H141" s="288">
        <v>44748.0</v>
      </c>
      <c r="I141" s="288">
        <v>44748.0</v>
      </c>
      <c r="J141" s="288">
        <v>44755.0</v>
      </c>
      <c r="K141" s="294"/>
      <c r="L141" s="294"/>
      <c r="M141" s="290" t="s">
        <v>6705</v>
      </c>
      <c r="N141" s="285" t="s">
        <v>497</v>
      </c>
      <c r="O141" s="299" t="s">
        <v>2554</v>
      </c>
      <c r="P141" s="300">
        <v>44798.41</v>
      </c>
      <c r="Q141" s="213"/>
      <c r="R141" s="198"/>
      <c r="S141" s="198"/>
      <c r="T141" s="198"/>
      <c r="U141" s="198"/>
      <c r="V141" s="198"/>
      <c r="W141" s="198"/>
      <c r="X141" s="198"/>
      <c r="Y141" s="198"/>
      <c r="Z141" s="198"/>
      <c r="AA141" s="198"/>
    </row>
    <row r="142" ht="68.25" customHeight="1">
      <c r="A142" s="284">
        <v>37039.0</v>
      </c>
      <c r="B142" s="285" t="s">
        <v>21</v>
      </c>
      <c r="C142" s="285">
        <v>940.0</v>
      </c>
      <c r="D142" s="285" t="s">
        <v>6706</v>
      </c>
      <c r="E142" s="287" t="s">
        <v>6707</v>
      </c>
      <c r="F142" s="285" t="s">
        <v>5919</v>
      </c>
      <c r="G142" s="288">
        <v>44748.0</v>
      </c>
      <c r="H142" s="288">
        <v>44748.0</v>
      </c>
      <c r="I142" s="288">
        <v>44748.0</v>
      </c>
      <c r="J142" s="288">
        <v>44775.0</v>
      </c>
      <c r="K142" s="425" t="s">
        <v>6323</v>
      </c>
      <c r="L142" s="425"/>
      <c r="M142" s="290" t="s">
        <v>6708</v>
      </c>
      <c r="N142" s="285" t="s">
        <v>4635</v>
      </c>
      <c r="O142" s="299" t="s">
        <v>2621</v>
      </c>
      <c r="P142" s="300">
        <v>59686.8</v>
      </c>
      <c r="Q142" s="213"/>
      <c r="R142" s="198"/>
      <c r="S142" s="198"/>
      <c r="T142" s="198"/>
      <c r="U142" s="198"/>
      <c r="V142" s="198"/>
      <c r="W142" s="198"/>
      <c r="X142" s="198"/>
      <c r="Y142" s="198"/>
      <c r="Z142" s="198"/>
      <c r="AA142" s="198"/>
    </row>
    <row r="143" ht="62.25" customHeight="1">
      <c r="A143" s="284">
        <v>37042.0</v>
      </c>
      <c r="B143" s="285" t="s">
        <v>21</v>
      </c>
      <c r="C143" s="285">
        <v>940.0</v>
      </c>
      <c r="D143" s="285" t="s">
        <v>6709</v>
      </c>
      <c r="E143" s="287" t="s">
        <v>4295</v>
      </c>
      <c r="F143" s="285" t="s">
        <v>5919</v>
      </c>
      <c r="G143" s="288">
        <v>44748.0</v>
      </c>
      <c r="H143" s="288">
        <v>44747.0</v>
      </c>
      <c r="I143" s="288">
        <v>44747.0</v>
      </c>
      <c r="J143" s="285" t="s">
        <v>6710</v>
      </c>
      <c r="K143" s="425" t="s">
        <v>6323</v>
      </c>
      <c r="L143" s="425"/>
      <c r="M143" s="290" t="s">
        <v>6711</v>
      </c>
      <c r="N143" s="285" t="s">
        <v>4635</v>
      </c>
      <c r="O143" s="299" t="s">
        <v>2621</v>
      </c>
      <c r="P143" s="300">
        <v>59686.8</v>
      </c>
      <c r="Q143" s="213"/>
      <c r="R143" s="198"/>
      <c r="S143" s="198"/>
      <c r="T143" s="198"/>
      <c r="U143" s="198"/>
      <c r="V143" s="198"/>
      <c r="W143" s="198"/>
      <c r="X143" s="198"/>
      <c r="Y143" s="198"/>
      <c r="Z143" s="198"/>
      <c r="AA143" s="198"/>
    </row>
    <row r="144" ht="77.25" customHeight="1">
      <c r="A144" s="284">
        <v>37043.0</v>
      </c>
      <c r="B144" s="285" t="s">
        <v>21</v>
      </c>
      <c r="C144" s="285">
        <v>940.0</v>
      </c>
      <c r="D144" s="285" t="s">
        <v>6712</v>
      </c>
      <c r="E144" s="287" t="s">
        <v>6713</v>
      </c>
      <c r="F144" s="285" t="s">
        <v>5919</v>
      </c>
      <c r="G144" s="288">
        <v>44748.0</v>
      </c>
      <c r="H144" s="288">
        <v>44747.0</v>
      </c>
      <c r="I144" s="288">
        <v>44747.0</v>
      </c>
      <c r="J144" s="288">
        <v>44792.0</v>
      </c>
      <c r="K144" s="425" t="s">
        <v>6323</v>
      </c>
      <c r="L144" s="425"/>
      <c r="M144" s="290" t="s">
        <v>6714</v>
      </c>
      <c r="N144" s="285" t="s">
        <v>4635</v>
      </c>
      <c r="O144" s="299" t="s">
        <v>2621</v>
      </c>
      <c r="P144" s="300">
        <v>90469.2</v>
      </c>
      <c r="Q144" s="213"/>
      <c r="R144" s="198"/>
      <c r="S144" s="198"/>
      <c r="T144" s="198"/>
      <c r="U144" s="198"/>
      <c r="V144" s="198"/>
      <c r="W144" s="198"/>
      <c r="X144" s="198"/>
      <c r="Y144" s="198"/>
      <c r="Z144" s="198"/>
      <c r="AA144" s="198"/>
    </row>
    <row r="145" ht="67.5" customHeight="1">
      <c r="A145" s="284">
        <v>37001.0</v>
      </c>
      <c r="B145" s="285" t="s">
        <v>21</v>
      </c>
      <c r="C145" s="285">
        <v>1093.0</v>
      </c>
      <c r="D145" s="285" t="s">
        <v>6715</v>
      </c>
      <c r="E145" s="287" t="s">
        <v>6716</v>
      </c>
      <c r="F145" s="285" t="s">
        <v>5919</v>
      </c>
      <c r="G145" s="288">
        <v>44748.0</v>
      </c>
      <c r="H145" s="288">
        <v>44747.0</v>
      </c>
      <c r="I145" s="288">
        <v>44747.0</v>
      </c>
      <c r="J145" s="288">
        <v>44781.0</v>
      </c>
      <c r="K145" s="425" t="s">
        <v>6323</v>
      </c>
      <c r="L145" s="425"/>
      <c r="M145" s="290" t="s">
        <v>6717</v>
      </c>
      <c r="N145" s="285" t="s">
        <v>4635</v>
      </c>
      <c r="O145" s="299" t="s">
        <v>2621</v>
      </c>
      <c r="P145" s="300">
        <v>64794.0</v>
      </c>
      <c r="Q145" s="213"/>
      <c r="R145" s="198"/>
      <c r="S145" s="198"/>
      <c r="T145" s="198"/>
      <c r="U145" s="198"/>
      <c r="V145" s="198"/>
      <c r="W145" s="198"/>
      <c r="X145" s="198"/>
      <c r="Y145" s="198"/>
      <c r="Z145" s="198"/>
      <c r="AA145" s="198"/>
    </row>
    <row r="146" ht="65.25" customHeight="1">
      <c r="A146" s="284">
        <v>37040.0</v>
      </c>
      <c r="B146" s="285" t="s">
        <v>21</v>
      </c>
      <c r="C146" s="285">
        <v>940.0</v>
      </c>
      <c r="D146" s="285" t="s">
        <v>6718</v>
      </c>
      <c r="E146" s="287" t="s">
        <v>4295</v>
      </c>
      <c r="F146" s="285" t="s">
        <v>5919</v>
      </c>
      <c r="G146" s="288">
        <v>44748.0</v>
      </c>
      <c r="H146" s="288">
        <v>44747.0</v>
      </c>
      <c r="I146" s="288">
        <v>44747.0</v>
      </c>
      <c r="J146" s="288">
        <v>44776.0</v>
      </c>
      <c r="K146" s="425" t="s">
        <v>6323</v>
      </c>
      <c r="L146" s="425"/>
      <c r="M146" s="290" t="s">
        <v>6719</v>
      </c>
      <c r="N146" s="285" t="s">
        <v>4635</v>
      </c>
      <c r="O146" s="299" t="s">
        <v>2621</v>
      </c>
      <c r="P146" s="300">
        <v>59686.8</v>
      </c>
      <c r="Q146" s="213"/>
      <c r="R146" s="198"/>
      <c r="S146" s="198"/>
      <c r="T146" s="198"/>
      <c r="U146" s="198"/>
      <c r="V146" s="198"/>
      <c r="W146" s="198"/>
      <c r="X146" s="198"/>
      <c r="Y146" s="198"/>
      <c r="Z146" s="198"/>
      <c r="AA146" s="198"/>
    </row>
    <row r="147" ht="68.25" customHeight="1">
      <c r="A147" s="284">
        <v>37041.0</v>
      </c>
      <c r="B147" s="285" t="s">
        <v>21</v>
      </c>
      <c r="C147" s="285">
        <v>940.0</v>
      </c>
      <c r="D147" s="285" t="s">
        <v>6720</v>
      </c>
      <c r="E147" s="287" t="s">
        <v>4295</v>
      </c>
      <c r="F147" s="285" t="s">
        <v>5919</v>
      </c>
      <c r="G147" s="288">
        <v>44748.0</v>
      </c>
      <c r="H147" s="288">
        <v>44747.0</v>
      </c>
      <c r="I147" s="288">
        <v>44747.0</v>
      </c>
      <c r="J147" s="288">
        <v>44781.0</v>
      </c>
      <c r="K147" s="425" t="s">
        <v>6323</v>
      </c>
      <c r="L147" s="425"/>
      <c r="M147" s="290" t="s">
        <v>6721</v>
      </c>
      <c r="N147" s="285" t="s">
        <v>4635</v>
      </c>
      <c r="O147" s="299" t="s">
        <v>2621</v>
      </c>
      <c r="P147" s="300">
        <v>59686.8</v>
      </c>
      <c r="Q147" s="213"/>
      <c r="R147" s="198"/>
      <c r="S147" s="198"/>
      <c r="T147" s="198"/>
      <c r="U147" s="198"/>
      <c r="V147" s="198"/>
      <c r="W147" s="198"/>
      <c r="X147" s="198"/>
      <c r="Y147" s="198"/>
      <c r="Z147" s="198"/>
      <c r="AA147" s="198"/>
    </row>
    <row r="148" ht="74.25" customHeight="1">
      <c r="A148" s="284">
        <v>37002.0</v>
      </c>
      <c r="B148" s="285" t="s">
        <v>21</v>
      </c>
      <c r="C148" s="285">
        <v>1260.0</v>
      </c>
      <c r="D148" s="285" t="s">
        <v>6722</v>
      </c>
      <c r="E148" s="287" t="s">
        <v>4782</v>
      </c>
      <c r="F148" s="285" t="s">
        <v>5919</v>
      </c>
      <c r="G148" s="288">
        <v>44748.0</v>
      </c>
      <c r="H148" s="288">
        <v>44747.0</v>
      </c>
      <c r="I148" s="288">
        <v>44747.0</v>
      </c>
      <c r="J148" s="288">
        <v>44775.0</v>
      </c>
      <c r="K148" s="425" t="s">
        <v>6323</v>
      </c>
      <c r="L148" s="425"/>
      <c r="M148" s="290" t="s">
        <v>6723</v>
      </c>
      <c r="N148" s="285" t="s">
        <v>4635</v>
      </c>
      <c r="O148" s="299" t="s">
        <v>2621</v>
      </c>
      <c r="P148" s="300">
        <v>44590.0</v>
      </c>
      <c r="Q148" s="213"/>
      <c r="R148" s="198"/>
      <c r="S148" s="198"/>
      <c r="T148" s="198"/>
      <c r="U148" s="198"/>
      <c r="V148" s="198"/>
      <c r="W148" s="198"/>
      <c r="X148" s="198"/>
      <c r="Y148" s="198"/>
      <c r="Z148" s="198"/>
      <c r="AA148" s="198"/>
    </row>
    <row r="149" ht="75.75" customHeight="1">
      <c r="A149" s="284">
        <v>37000.0</v>
      </c>
      <c r="B149" s="285" t="s">
        <v>21</v>
      </c>
      <c r="C149" s="285">
        <v>940.0</v>
      </c>
      <c r="D149" s="285" t="s">
        <v>6724</v>
      </c>
      <c r="E149" s="287" t="s">
        <v>6725</v>
      </c>
      <c r="F149" s="285" t="s">
        <v>5919</v>
      </c>
      <c r="G149" s="288">
        <v>44748.0</v>
      </c>
      <c r="H149" s="288">
        <v>44747.0</v>
      </c>
      <c r="I149" s="288">
        <v>44747.0</v>
      </c>
      <c r="J149" s="285" t="s">
        <v>6726</v>
      </c>
      <c r="K149" s="425" t="s">
        <v>6323</v>
      </c>
      <c r="L149" s="425"/>
      <c r="M149" s="290" t="s">
        <v>6727</v>
      </c>
      <c r="N149" s="285" t="s">
        <v>4635</v>
      </c>
      <c r="O149" s="299" t="s">
        <v>2621</v>
      </c>
      <c r="P149" s="300">
        <v>90569.2</v>
      </c>
      <c r="Q149" s="213"/>
      <c r="R149" s="198"/>
      <c r="S149" s="198"/>
      <c r="T149" s="198"/>
      <c r="U149" s="198"/>
      <c r="V149" s="198"/>
      <c r="W149" s="198"/>
      <c r="X149" s="198"/>
      <c r="Y149" s="198"/>
      <c r="Z149" s="198"/>
      <c r="AA149" s="198"/>
    </row>
    <row r="150" ht="72.0" customHeight="1">
      <c r="A150" s="284">
        <v>36800.0</v>
      </c>
      <c r="B150" s="285" t="s">
        <v>21</v>
      </c>
      <c r="C150" s="285">
        <v>1150.0</v>
      </c>
      <c r="D150" s="285" t="s">
        <v>6728</v>
      </c>
      <c r="E150" s="287" t="s">
        <v>6729</v>
      </c>
      <c r="F150" s="285" t="s">
        <v>5919</v>
      </c>
      <c r="G150" s="288">
        <v>44748.0</v>
      </c>
      <c r="H150" s="288">
        <v>44740.0</v>
      </c>
      <c r="I150" s="288">
        <v>44740.0</v>
      </c>
      <c r="J150" s="288">
        <v>44778.0</v>
      </c>
      <c r="K150" s="294">
        <v>5492787.0</v>
      </c>
      <c r="L150" s="294" t="s">
        <v>6730</v>
      </c>
      <c r="M150" s="290" t="s">
        <v>6731</v>
      </c>
      <c r="N150" s="285" t="s">
        <v>4635</v>
      </c>
      <c r="O150" s="299" t="s">
        <v>2621</v>
      </c>
      <c r="P150" s="300">
        <v>108612.5</v>
      </c>
      <c r="Q150" s="213"/>
      <c r="R150" s="198"/>
      <c r="S150" s="198"/>
      <c r="T150" s="198"/>
      <c r="U150" s="198"/>
      <c r="V150" s="198"/>
      <c r="W150" s="198"/>
      <c r="X150" s="198"/>
      <c r="Y150" s="198"/>
      <c r="Z150" s="198"/>
      <c r="AA150" s="198"/>
    </row>
    <row r="151" ht="65.25" customHeight="1">
      <c r="A151" s="284">
        <v>36581.0</v>
      </c>
      <c r="B151" s="285" t="s">
        <v>25</v>
      </c>
      <c r="C151" s="285">
        <v>1250.0</v>
      </c>
      <c r="D151" s="285" t="s">
        <v>6732</v>
      </c>
      <c r="E151" s="287" t="s">
        <v>4637</v>
      </c>
      <c r="F151" s="285" t="s">
        <v>5919</v>
      </c>
      <c r="G151" s="288">
        <v>44746.0</v>
      </c>
      <c r="H151" s="288">
        <v>44743.0</v>
      </c>
      <c r="I151" s="288">
        <v>44743.0</v>
      </c>
      <c r="J151" s="288">
        <v>44756.0</v>
      </c>
      <c r="K151" s="294"/>
      <c r="L151" s="294"/>
      <c r="M151" s="290" t="s">
        <v>6733</v>
      </c>
      <c r="N151" s="285" t="s">
        <v>497</v>
      </c>
      <c r="O151" s="299" t="s">
        <v>2554</v>
      </c>
      <c r="P151" s="300">
        <v>34335.0</v>
      </c>
      <c r="Q151" s="213"/>
      <c r="R151" s="198"/>
      <c r="S151" s="198"/>
      <c r="T151" s="198"/>
      <c r="U151" s="198"/>
      <c r="V151" s="198"/>
      <c r="W151" s="198"/>
      <c r="X151" s="198"/>
      <c r="Y151" s="198"/>
      <c r="Z151" s="198"/>
      <c r="AA151" s="198"/>
    </row>
    <row r="152" ht="61.5" customHeight="1">
      <c r="A152" s="284">
        <v>36600.0</v>
      </c>
      <c r="B152" s="299" t="s">
        <v>25</v>
      </c>
      <c r="C152" s="285">
        <v>2190.0</v>
      </c>
      <c r="D152" s="285" t="s">
        <v>6734</v>
      </c>
      <c r="E152" s="287" t="s">
        <v>4681</v>
      </c>
      <c r="F152" s="285" t="s">
        <v>5919</v>
      </c>
      <c r="G152" s="288">
        <v>44746.0</v>
      </c>
      <c r="H152" s="288">
        <v>44743.0</v>
      </c>
      <c r="I152" s="288">
        <v>44743.0</v>
      </c>
      <c r="J152" s="288">
        <v>44755.0</v>
      </c>
      <c r="K152" s="294"/>
      <c r="L152" s="294"/>
      <c r="M152" s="290" t="s">
        <v>6735</v>
      </c>
      <c r="N152" s="285" t="s">
        <v>497</v>
      </c>
      <c r="O152" s="299" t="s">
        <v>2554</v>
      </c>
      <c r="P152" s="300">
        <v>38544.0</v>
      </c>
      <c r="Q152" s="213"/>
      <c r="R152" s="198"/>
      <c r="S152" s="198"/>
      <c r="T152" s="198"/>
      <c r="U152" s="198"/>
      <c r="V152" s="198"/>
      <c r="W152" s="198"/>
      <c r="X152" s="198"/>
      <c r="Y152" s="198"/>
      <c r="Z152" s="198"/>
      <c r="AA152" s="198"/>
    </row>
    <row r="153" ht="65.25" customHeight="1">
      <c r="A153" s="284">
        <v>36598.0</v>
      </c>
      <c r="B153" s="285" t="s">
        <v>25</v>
      </c>
      <c r="C153" s="285">
        <v>2190.0</v>
      </c>
      <c r="D153" s="285" t="s">
        <v>6736</v>
      </c>
      <c r="E153" s="287" t="s">
        <v>6737</v>
      </c>
      <c r="F153" s="285" t="s">
        <v>5919</v>
      </c>
      <c r="G153" s="288">
        <v>44746.0</v>
      </c>
      <c r="H153" s="288">
        <v>44742.0</v>
      </c>
      <c r="I153" s="288">
        <v>44742.0</v>
      </c>
      <c r="J153" s="288">
        <v>44757.0</v>
      </c>
      <c r="K153" s="294"/>
      <c r="L153" s="294"/>
      <c r="M153" s="290" t="s">
        <v>6738</v>
      </c>
      <c r="N153" s="285" t="s">
        <v>497</v>
      </c>
      <c r="O153" s="299" t="s">
        <v>2554</v>
      </c>
      <c r="P153" s="300">
        <v>38694.0</v>
      </c>
      <c r="Q153" s="213"/>
      <c r="R153" s="198"/>
      <c r="S153" s="198"/>
      <c r="T153" s="198"/>
      <c r="U153" s="198"/>
      <c r="V153" s="198"/>
      <c r="W153" s="198"/>
      <c r="X153" s="198"/>
      <c r="Y153" s="198"/>
      <c r="Z153" s="198"/>
      <c r="AA153" s="198"/>
    </row>
    <row r="154" ht="71.25" customHeight="1">
      <c r="A154" s="284">
        <v>37034.0</v>
      </c>
      <c r="B154" s="285" t="s">
        <v>25</v>
      </c>
      <c r="C154" s="285">
        <v>799.0</v>
      </c>
      <c r="D154" s="285" t="s">
        <v>6739</v>
      </c>
      <c r="E154" s="287" t="s">
        <v>6740</v>
      </c>
      <c r="F154" s="285" t="s">
        <v>5919</v>
      </c>
      <c r="G154" s="288">
        <v>44744.0</v>
      </c>
      <c r="H154" s="288">
        <v>44740.0</v>
      </c>
      <c r="I154" s="288">
        <v>44740.0</v>
      </c>
      <c r="J154" s="285" t="s">
        <v>6741</v>
      </c>
      <c r="K154" s="294"/>
      <c r="L154" s="294"/>
      <c r="M154" s="290" t="s">
        <v>6742</v>
      </c>
      <c r="N154" s="285" t="s">
        <v>4635</v>
      </c>
      <c r="O154" s="299" t="s">
        <v>2621</v>
      </c>
      <c r="P154" s="300">
        <v>89179.6</v>
      </c>
      <c r="Q154" s="213"/>
      <c r="R154" s="198"/>
      <c r="S154" s="198"/>
      <c r="T154" s="198"/>
      <c r="U154" s="198"/>
      <c r="V154" s="198"/>
      <c r="W154" s="198"/>
      <c r="X154" s="198"/>
      <c r="Y154" s="198"/>
      <c r="Z154" s="198"/>
      <c r="AA154" s="198"/>
    </row>
    <row r="155" ht="68.25" customHeight="1">
      <c r="A155" s="284">
        <v>36903.0</v>
      </c>
      <c r="B155" s="299" t="s">
        <v>715</v>
      </c>
      <c r="C155" s="285">
        <v>940.0</v>
      </c>
      <c r="D155" s="285" t="s">
        <v>6743</v>
      </c>
      <c r="E155" s="287" t="s">
        <v>4295</v>
      </c>
      <c r="F155" s="285" t="s">
        <v>5919</v>
      </c>
      <c r="G155" s="288">
        <v>44744.0</v>
      </c>
      <c r="H155" s="288">
        <v>44726.0</v>
      </c>
      <c r="I155" s="288">
        <v>44726.0</v>
      </c>
      <c r="J155" s="288">
        <v>44757.0</v>
      </c>
      <c r="K155" s="294"/>
      <c r="L155" s="294"/>
      <c r="M155" s="290" t="s">
        <v>6744</v>
      </c>
      <c r="N155" s="285" t="s">
        <v>4635</v>
      </c>
      <c r="O155" s="299" t="s">
        <v>2621</v>
      </c>
      <c r="P155" s="300">
        <v>60657.6</v>
      </c>
      <c r="Q155" s="213"/>
      <c r="R155" s="198"/>
      <c r="S155" s="198"/>
      <c r="T155" s="198"/>
      <c r="U155" s="198"/>
      <c r="V155" s="198"/>
      <c r="W155" s="198"/>
      <c r="X155" s="198"/>
      <c r="Y155" s="198"/>
      <c r="Z155" s="198"/>
      <c r="AA155" s="198"/>
    </row>
    <row r="156" ht="75.75" customHeight="1">
      <c r="A156" s="284">
        <v>36837.0</v>
      </c>
      <c r="B156" s="285" t="s">
        <v>21</v>
      </c>
      <c r="C156" s="285">
        <v>1985.0</v>
      </c>
      <c r="D156" s="285" t="s">
        <v>6745</v>
      </c>
      <c r="E156" s="287" t="s">
        <v>6582</v>
      </c>
      <c r="F156" s="285" t="s">
        <v>5919</v>
      </c>
      <c r="G156" s="288">
        <v>44741.0</v>
      </c>
      <c r="H156" s="288">
        <v>44747.0</v>
      </c>
      <c r="I156" s="288">
        <v>44747.0</v>
      </c>
      <c r="J156" s="285" t="s">
        <v>6746</v>
      </c>
      <c r="K156" s="294"/>
      <c r="L156" s="294"/>
      <c r="M156" s="290" t="s">
        <v>6747</v>
      </c>
      <c r="N156" s="285" t="s">
        <v>497</v>
      </c>
      <c r="O156" s="299" t="s">
        <v>2621</v>
      </c>
      <c r="P156" s="300">
        <v>37933.0</v>
      </c>
      <c r="Q156" s="213"/>
      <c r="R156" s="198"/>
      <c r="S156" s="198"/>
      <c r="T156" s="198"/>
      <c r="U156" s="198"/>
      <c r="V156" s="198"/>
      <c r="W156" s="198"/>
      <c r="X156" s="198"/>
      <c r="Y156" s="198"/>
      <c r="Z156" s="198"/>
      <c r="AA156" s="198"/>
    </row>
    <row r="157" ht="71.25" customHeight="1">
      <c r="A157" s="284">
        <v>36576.0</v>
      </c>
      <c r="B157" s="285" t="s">
        <v>21</v>
      </c>
      <c r="C157" s="285">
        <v>2400.0</v>
      </c>
      <c r="D157" s="285" t="s">
        <v>6748</v>
      </c>
      <c r="E157" s="287" t="s">
        <v>6435</v>
      </c>
      <c r="F157" s="285" t="s">
        <v>5919</v>
      </c>
      <c r="G157" s="288">
        <v>44741.0</v>
      </c>
      <c r="H157" s="288">
        <v>44740.0</v>
      </c>
      <c r="I157" s="288">
        <v>44740.0</v>
      </c>
      <c r="J157" s="285" t="s">
        <v>6749</v>
      </c>
      <c r="K157" s="294"/>
      <c r="L157" s="294"/>
      <c r="M157" s="290" t="s">
        <v>6750</v>
      </c>
      <c r="N157" s="285" t="s">
        <v>497</v>
      </c>
      <c r="O157" s="299" t="s">
        <v>2554</v>
      </c>
      <c r="P157" s="300">
        <v>37200.0</v>
      </c>
      <c r="Q157" s="213"/>
      <c r="R157" s="198"/>
      <c r="S157" s="198"/>
      <c r="T157" s="198"/>
      <c r="U157" s="198"/>
      <c r="V157" s="198"/>
      <c r="W157" s="198"/>
      <c r="X157" s="198"/>
      <c r="Y157" s="198"/>
      <c r="Z157" s="198"/>
      <c r="AA157" s="198"/>
    </row>
    <row r="158" ht="72.75" customHeight="1">
      <c r="A158" s="284">
        <v>36439.0</v>
      </c>
      <c r="B158" s="285" t="s">
        <v>21</v>
      </c>
      <c r="C158" s="285">
        <v>1930.0</v>
      </c>
      <c r="D158" s="285" t="s">
        <v>6751</v>
      </c>
      <c r="E158" s="287" t="s">
        <v>4670</v>
      </c>
      <c r="F158" s="285" t="s">
        <v>5919</v>
      </c>
      <c r="G158" s="288">
        <v>44741.0</v>
      </c>
      <c r="H158" s="288">
        <v>44740.0</v>
      </c>
      <c r="I158" s="288">
        <v>44740.0</v>
      </c>
      <c r="J158" s="288">
        <v>44750.0</v>
      </c>
      <c r="K158" s="294"/>
      <c r="L158" s="294"/>
      <c r="M158" s="290" t="s">
        <v>6752</v>
      </c>
      <c r="N158" s="285" t="s">
        <v>497</v>
      </c>
      <c r="O158" s="299" t="s">
        <v>2604</v>
      </c>
      <c r="P158" s="300">
        <v>57508.0</v>
      </c>
      <c r="Q158" s="213"/>
      <c r="R158" s="198"/>
      <c r="S158" s="198"/>
      <c r="T158" s="198"/>
      <c r="U158" s="198"/>
      <c r="V158" s="198"/>
      <c r="W158" s="198"/>
      <c r="X158" s="198"/>
      <c r="Y158" s="198"/>
      <c r="Z158" s="198"/>
      <c r="AA158" s="198"/>
    </row>
    <row r="159" ht="74.25" customHeight="1">
      <c r="A159" s="284">
        <v>37015.0</v>
      </c>
      <c r="B159" s="299" t="s">
        <v>715</v>
      </c>
      <c r="C159" s="285">
        <v>1100.0</v>
      </c>
      <c r="D159" s="285" t="s">
        <v>6753</v>
      </c>
      <c r="E159" s="287" t="s">
        <v>6754</v>
      </c>
      <c r="F159" s="285" t="s">
        <v>5919</v>
      </c>
      <c r="G159" s="288">
        <v>44741.0</v>
      </c>
      <c r="H159" s="288">
        <v>44739.0</v>
      </c>
      <c r="I159" s="288">
        <v>44739.0</v>
      </c>
      <c r="J159" s="288">
        <v>44749.0</v>
      </c>
      <c r="K159" s="294"/>
      <c r="L159" s="294"/>
      <c r="M159" s="290" t="s">
        <v>6755</v>
      </c>
      <c r="N159" s="285" t="s">
        <v>4635</v>
      </c>
      <c r="O159" s="299" t="s">
        <v>2621</v>
      </c>
      <c r="P159" s="300">
        <v>97156.0</v>
      </c>
      <c r="Q159" s="213"/>
      <c r="R159" s="198"/>
      <c r="S159" s="198"/>
      <c r="T159" s="198"/>
      <c r="U159" s="198"/>
      <c r="V159" s="198"/>
      <c r="W159" s="198"/>
      <c r="X159" s="198"/>
      <c r="Y159" s="198"/>
      <c r="Z159" s="198"/>
      <c r="AA159" s="198"/>
    </row>
    <row r="160" ht="72.0" customHeight="1">
      <c r="A160" s="284">
        <v>36901.0</v>
      </c>
      <c r="B160" s="299" t="s">
        <v>715</v>
      </c>
      <c r="C160" s="285">
        <v>940.0</v>
      </c>
      <c r="D160" s="285" t="s">
        <v>6756</v>
      </c>
      <c r="E160" s="287" t="s">
        <v>6332</v>
      </c>
      <c r="F160" s="285" t="s">
        <v>5919</v>
      </c>
      <c r="G160" s="288">
        <v>44738.0</v>
      </c>
      <c r="H160" s="288">
        <v>44735.0</v>
      </c>
      <c r="I160" s="288">
        <v>44735.0</v>
      </c>
      <c r="J160" s="288">
        <v>44747.0</v>
      </c>
      <c r="K160" s="294"/>
      <c r="L160" s="294"/>
      <c r="M160" s="290" t="s">
        <v>6757</v>
      </c>
      <c r="N160" s="285" t="s">
        <v>4635</v>
      </c>
      <c r="O160" s="299" t="s">
        <v>2621</v>
      </c>
      <c r="P160" s="300">
        <v>60657.6</v>
      </c>
      <c r="Q160" s="213"/>
      <c r="R160" s="198"/>
      <c r="S160" s="198"/>
      <c r="T160" s="198"/>
      <c r="U160" s="198"/>
      <c r="V160" s="198"/>
      <c r="W160" s="198"/>
      <c r="X160" s="198"/>
      <c r="Y160" s="198"/>
      <c r="Z160" s="198"/>
      <c r="AA160" s="198"/>
    </row>
    <row r="161" ht="66.75" customHeight="1">
      <c r="A161" s="284">
        <v>36756.0</v>
      </c>
      <c r="B161" s="285" t="s">
        <v>25</v>
      </c>
      <c r="C161" s="285">
        <v>2772.0</v>
      </c>
      <c r="D161" s="285" t="s">
        <v>6758</v>
      </c>
      <c r="E161" s="287" t="s">
        <v>6582</v>
      </c>
      <c r="F161" s="285" t="s">
        <v>5919</v>
      </c>
      <c r="G161" s="288">
        <v>44737.0</v>
      </c>
      <c r="H161" s="285" t="s">
        <v>6759</v>
      </c>
      <c r="I161" s="288">
        <v>44740.0</v>
      </c>
      <c r="J161" s="288">
        <v>44747.0</v>
      </c>
      <c r="K161" s="294"/>
      <c r="L161" s="294"/>
      <c r="M161" s="290" t="s">
        <v>6760</v>
      </c>
      <c r="N161" s="285" t="s">
        <v>497</v>
      </c>
      <c r="O161" s="299" t="s">
        <v>2621</v>
      </c>
      <c r="P161" s="300">
        <v>29744.0</v>
      </c>
      <c r="Q161" s="213"/>
      <c r="R161" s="198"/>
      <c r="S161" s="198"/>
      <c r="T161" s="198"/>
      <c r="U161" s="198"/>
      <c r="V161" s="198"/>
      <c r="W161" s="198"/>
      <c r="X161" s="198"/>
      <c r="Y161" s="198"/>
      <c r="Z161" s="198"/>
      <c r="AA161" s="198"/>
    </row>
    <row r="162" ht="65.25" customHeight="1">
      <c r="A162" s="284">
        <v>36852.0</v>
      </c>
      <c r="B162" s="299" t="s">
        <v>715</v>
      </c>
      <c r="C162" s="285">
        <v>1300.0</v>
      </c>
      <c r="D162" s="285" t="s">
        <v>6761</v>
      </c>
      <c r="E162" s="287" t="s">
        <v>6762</v>
      </c>
      <c r="F162" s="285" t="s">
        <v>5919</v>
      </c>
      <c r="G162" s="288">
        <v>44735.0</v>
      </c>
      <c r="H162" s="288">
        <v>44713.0</v>
      </c>
      <c r="I162" s="288">
        <v>44713.0</v>
      </c>
      <c r="J162" s="285" t="s">
        <v>6763</v>
      </c>
      <c r="K162" s="294"/>
      <c r="L162" s="294"/>
      <c r="M162" s="290" t="s">
        <v>6764</v>
      </c>
      <c r="N162" s="285" t="s">
        <v>4635</v>
      </c>
      <c r="O162" s="299" t="s">
        <v>2621</v>
      </c>
      <c r="P162" s="300">
        <v>55203.0</v>
      </c>
      <c r="Q162" s="213"/>
      <c r="R162" s="198"/>
      <c r="S162" s="198"/>
      <c r="T162" s="198"/>
      <c r="U162" s="198"/>
      <c r="V162" s="198"/>
      <c r="W162" s="198"/>
      <c r="X162" s="198"/>
      <c r="Y162" s="198"/>
      <c r="Z162" s="198"/>
      <c r="AA162" s="198"/>
    </row>
    <row r="163" ht="73.5" customHeight="1">
      <c r="A163" s="284">
        <v>36886.0</v>
      </c>
      <c r="B163" s="299" t="s">
        <v>6501</v>
      </c>
      <c r="C163" s="285">
        <v>930.0</v>
      </c>
      <c r="D163" s="285" t="s">
        <v>6765</v>
      </c>
      <c r="E163" s="287" t="s">
        <v>6766</v>
      </c>
      <c r="F163" s="285" t="s">
        <v>5919</v>
      </c>
      <c r="G163" s="288">
        <v>44735.0</v>
      </c>
      <c r="H163" s="288">
        <v>44713.0</v>
      </c>
      <c r="I163" s="288">
        <v>44713.0</v>
      </c>
      <c r="J163" s="288">
        <v>44743.0</v>
      </c>
      <c r="K163" s="294"/>
      <c r="L163" s="294"/>
      <c r="M163" s="290" t="s">
        <v>6767</v>
      </c>
      <c r="N163" s="285" t="s">
        <v>4635</v>
      </c>
      <c r="O163" s="299" t="s">
        <v>2621</v>
      </c>
      <c r="P163" s="300">
        <v>101608.0</v>
      </c>
      <c r="Q163" s="213"/>
      <c r="R163" s="198"/>
      <c r="S163" s="198"/>
      <c r="T163" s="198"/>
      <c r="U163" s="198"/>
      <c r="V163" s="198"/>
      <c r="W163" s="198"/>
      <c r="X163" s="198"/>
      <c r="Y163" s="198"/>
      <c r="Z163" s="198"/>
      <c r="AA163" s="198"/>
    </row>
    <row r="164" ht="77.25" customHeight="1">
      <c r="A164" s="284">
        <v>36836.0</v>
      </c>
      <c r="B164" s="299" t="s">
        <v>25</v>
      </c>
      <c r="C164" s="285">
        <v>1985.0</v>
      </c>
      <c r="D164" s="285" t="s">
        <v>6768</v>
      </c>
      <c r="E164" s="287" t="s">
        <v>6582</v>
      </c>
      <c r="F164" s="285" t="s">
        <v>5919</v>
      </c>
      <c r="G164" s="288">
        <v>44734.0</v>
      </c>
      <c r="H164" s="288">
        <v>44742.0</v>
      </c>
      <c r="I164" s="288">
        <v>44742.0</v>
      </c>
      <c r="J164" s="288">
        <v>44743.0</v>
      </c>
      <c r="K164" s="294"/>
      <c r="L164" s="294"/>
      <c r="M164" s="290" t="s">
        <v>6769</v>
      </c>
      <c r="N164" s="285" t="s">
        <v>497</v>
      </c>
      <c r="O164" s="299" t="s">
        <v>2621</v>
      </c>
      <c r="P164" s="300">
        <v>36700.3</v>
      </c>
      <c r="Q164" s="213"/>
      <c r="R164" s="198"/>
      <c r="S164" s="198"/>
      <c r="T164" s="198"/>
      <c r="U164" s="198"/>
      <c r="V164" s="198"/>
      <c r="W164" s="198"/>
      <c r="X164" s="198"/>
      <c r="Y164" s="198"/>
      <c r="Z164" s="198"/>
      <c r="AA164" s="198"/>
    </row>
    <row r="165" ht="71.25" customHeight="1">
      <c r="A165" s="370">
        <v>36907.0</v>
      </c>
      <c r="B165" s="285" t="s">
        <v>25</v>
      </c>
      <c r="C165" s="285">
        <v>1139.0</v>
      </c>
      <c r="D165" s="285" t="s">
        <v>6770</v>
      </c>
      <c r="E165" s="287" t="s">
        <v>4882</v>
      </c>
      <c r="F165" s="285" t="s">
        <v>5919</v>
      </c>
      <c r="G165" s="288">
        <v>44734.0</v>
      </c>
      <c r="H165" s="288">
        <v>44733.0</v>
      </c>
      <c r="I165" s="288">
        <v>44733.0</v>
      </c>
      <c r="J165" s="288">
        <v>44747.0</v>
      </c>
      <c r="K165" s="294"/>
      <c r="L165" s="294"/>
      <c r="M165" s="290" t="s">
        <v>6771</v>
      </c>
      <c r="N165" s="285" t="s">
        <v>4635</v>
      </c>
      <c r="O165" s="299" t="s">
        <v>2621</v>
      </c>
      <c r="P165" s="300">
        <v>53379.36</v>
      </c>
      <c r="Q165" s="213"/>
      <c r="R165" s="198"/>
      <c r="S165" s="198"/>
      <c r="T165" s="198"/>
      <c r="U165" s="198"/>
      <c r="V165" s="198"/>
      <c r="W165" s="198"/>
      <c r="X165" s="198"/>
      <c r="Y165" s="198"/>
      <c r="Z165" s="198"/>
      <c r="AA165" s="198"/>
    </row>
    <row r="166" ht="74.25" customHeight="1">
      <c r="A166" s="370">
        <v>36804.0</v>
      </c>
      <c r="B166" s="299" t="s">
        <v>715</v>
      </c>
      <c r="C166" s="285">
        <v>1074.0</v>
      </c>
      <c r="D166" s="367" t="s">
        <v>6772</v>
      </c>
      <c r="E166" s="287" t="s">
        <v>6773</v>
      </c>
      <c r="F166" s="285" t="s">
        <v>5919</v>
      </c>
      <c r="G166" s="288">
        <v>44734.0</v>
      </c>
      <c r="H166" s="288">
        <v>44733.0</v>
      </c>
      <c r="I166" s="288">
        <v>44733.0</v>
      </c>
      <c r="J166" s="288">
        <v>44741.0</v>
      </c>
      <c r="K166" s="294"/>
      <c r="L166" s="294"/>
      <c r="M166" s="290" t="s">
        <v>6774</v>
      </c>
      <c r="N166" s="285" t="s">
        <v>4635</v>
      </c>
      <c r="O166" s="299" t="s">
        <v>2621</v>
      </c>
      <c r="P166" s="300">
        <v>55716.75</v>
      </c>
      <c r="Q166" s="213"/>
      <c r="R166" s="198"/>
      <c r="S166" s="198"/>
      <c r="T166" s="198"/>
      <c r="U166" s="198"/>
      <c r="V166" s="198"/>
      <c r="W166" s="198"/>
      <c r="X166" s="198"/>
      <c r="Y166" s="198"/>
      <c r="Z166" s="198"/>
      <c r="AA166" s="198"/>
    </row>
    <row r="167" ht="72.0" customHeight="1">
      <c r="A167" s="284">
        <v>36429.0</v>
      </c>
      <c r="B167" s="299" t="s">
        <v>715</v>
      </c>
      <c r="C167" s="285">
        <v>762.0</v>
      </c>
      <c r="D167" s="285" t="s">
        <v>6775</v>
      </c>
      <c r="E167" s="287" t="s">
        <v>4843</v>
      </c>
      <c r="F167" s="285" t="s">
        <v>5919</v>
      </c>
      <c r="G167" s="288">
        <v>44734.0</v>
      </c>
      <c r="H167" s="288">
        <v>44714.0</v>
      </c>
      <c r="I167" s="288">
        <v>44714.0</v>
      </c>
      <c r="J167" s="288">
        <v>44740.0</v>
      </c>
      <c r="K167" s="294"/>
      <c r="L167" s="294"/>
      <c r="M167" s="290" t="s">
        <v>6776</v>
      </c>
      <c r="N167" s="285" t="s">
        <v>497</v>
      </c>
      <c r="O167" s="299" t="s">
        <v>4662</v>
      </c>
      <c r="P167" s="300">
        <v>67014.42</v>
      </c>
      <c r="Q167" s="213"/>
      <c r="R167" s="198"/>
      <c r="S167" s="198"/>
      <c r="T167" s="198"/>
      <c r="U167" s="198"/>
      <c r="V167" s="198"/>
      <c r="W167" s="198"/>
      <c r="X167" s="198"/>
      <c r="Y167" s="198"/>
      <c r="Z167" s="198"/>
      <c r="AA167" s="198"/>
    </row>
    <row r="168" ht="66.0" customHeight="1">
      <c r="A168" s="284">
        <v>36736.0</v>
      </c>
      <c r="B168" s="285" t="s">
        <v>6777</v>
      </c>
      <c r="C168" s="285">
        <v>673.0</v>
      </c>
      <c r="D168" s="285" t="s">
        <v>6778</v>
      </c>
      <c r="E168" s="429" t="s">
        <v>6779</v>
      </c>
      <c r="F168" s="285" t="s">
        <v>5919</v>
      </c>
      <c r="G168" s="288">
        <v>44733.0</v>
      </c>
      <c r="H168" s="288">
        <v>44732.0</v>
      </c>
      <c r="I168" s="288">
        <v>44705.0</v>
      </c>
      <c r="J168" s="285" t="s">
        <v>6780</v>
      </c>
      <c r="K168" s="294"/>
      <c r="L168" s="294"/>
      <c r="M168" s="290" t="s">
        <v>6781</v>
      </c>
      <c r="N168" s="285" t="s">
        <v>497</v>
      </c>
      <c r="O168" s="299" t="s">
        <v>2628</v>
      </c>
      <c r="P168" s="300">
        <v>232703.21</v>
      </c>
      <c r="Q168" s="213"/>
      <c r="R168" s="198"/>
      <c r="S168" s="198"/>
      <c r="T168" s="198"/>
      <c r="U168" s="198"/>
      <c r="V168" s="198"/>
      <c r="W168" s="198"/>
      <c r="X168" s="198"/>
      <c r="Y168" s="198"/>
      <c r="Z168" s="198"/>
      <c r="AA168" s="198"/>
    </row>
    <row r="169" ht="60.75" customHeight="1">
      <c r="A169" s="284">
        <v>36735.0</v>
      </c>
      <c r="B169" s="285" t="s">
        <v>6777</v>
      </c>
      <c r="C169" s="285">
        <v>777.0</v>
      </c>
      <c r="D169" s="285" t="s">
        <v>6782</v>
      </c>
      <c r="E169" s="429" t="s">
        <v>6783</v>
      </c>
      <c r="F169" s="285" t="s">
        <v>5919</v>
      </c>
      <c r="G169" s="288">
        <v>44733.0</v>
      </c>
      <c r="H169" s="288">
        <v>44732.0</v>
      </c>
      <c r="I169" s="288">
        <v>44705.0</v>
      </c>
      <c r="J169" s="285" t="s">
        <v>6784</v>
      </c>
      <c r="K169" s="294"/>
      <c r="L169" s="294"/>
      <c r="M169" s="290" t="s">
        <v>6785</v>
      </c>
      <c r="N169" s="285" t="s">
        <v>497</v>
      </c>
      <c r="O169" s="299" t="s">
        <v>2628</v>
      </c>
      <c r="P169" s="300">
        <v>272628.35</v>
      </c>
      <c r="Q169" s="213"/>
      <c r="R169" s="198"/>
      <c r="S169" s="198"/>
      <c r="T169" s="198"/>
      <c r="U169" s="198"/>
      <c r="V169" s="198"/>
      <c r="W169" s="198"/>
      <c r="X169" s="198"/>
      <c r="Y169" s="198"/>
      <c r="Z169" s="198"/>
      <c r="AA169" s="198"/>
    </row>
    <row r="170" ht="64.5" customHeight="1">
      <c r="A170" s="284">
        <v>36734.0</v>
      </c>
      <c r="B170" s="285" t="s">
        <v>6777</v>
      </c>
      <c r="C170" s="285">
        <v>744.0</v>
      </c>
      <c r="D170" s="285" t="s">
        <v>6786</v>
      </c>
      <c r="E170" s="429" t="s">
        <v>6787</v>
      </c>
      <c r="F170" s="285" t="s">
        <v>5919</v>
      </c>
      <c r="G170" s="288">
        <v>44733.0</v>
      </c>
      <c r="H170" s="288">
        <v>44732.0</v>
      </c>
      <c r="I170" s="288">
        <v>44705.0</v>
      </c>
      <c r="J170" s="285" t="s">
        <v>6788</v>
      </c>
      <c r="K170" s="294"/>
      <c r="L170" s="294"/>
      <c r="M170" s="290" t="s">
        <v>6789</v>
      </c>
      <c r="N170" s="285" t="s">
        <v>497</v>
      </c>
      <c r="O170" s="299" t="s">
        <v>2628</v>
      </c>
      <c r="P170" s="300">
        <v>256002.81</v>
      </c>
      <c r="Q170" s="213"/>
      <c r="R170" s="198"/>
      <c r="S170" s="198"/>
      <c r="T170" s="198"/>
      <c r="U170" s="198"/>
      <c r="V170" s="198"/>
      <c r="W170" s="198"/>
      <c r="X170" s="198"/>
      <c r="Y170" s="198"/>
      <c r="Z170" s="198"/>
      <c r="AA170" s="198"/>
    </row>
    <row r="171" ht="72.75" customHeight="1">
      <c r="A171" s="284">
        <v>36284.0</v>
      </c>
      <c r="B171" s="299" t="s">
        <v>715</v>
      </c>
      <c r="C171" s="285">
        <v>2100.0</v>
      </c>
      <c r="D171" s="285" t="s">
        <v>6790</v>
      </c>
      <c r="E171" s="287" t="s">
        <v>4637</v>
      </c>
      <c r="F171" s="285" t="s">
        <v>5919</v>
      </c>
      <c r="G171" s="288">
        <v>44733.0</v>
      </c>
      <c r="H171" s="288">
        <v>44727.0</v>
      </c>
      <c r="I171" s="288">
        <v>44727.0</v>
      </c>
      <c r="J171" s="288">
        <v>44739.0</v>
      </c>
      <c r="K171" s="294"/>
      <c r="L171" s="294"/>
      <c r="M171" s="290" t="s">
        <v>6791</v>
      </c>
      <c r="N171" s="285" t="s">
        <v>497</v>
      </c>
      <c r="O171" s="299" t="s">
        <v>2554</v>
      </c>
      <c r="P171" s="300">
        <v>29190.0</v>
      </c>
      <c r="Q171" s="213"/>
      <c r="R171" s="198"/>
      <c r="S171" s="198"/>
      <c r="T171" s="198"/>
      <c r="U171" s="198"/>
      <c r="V171" s="198"/>
      <c r="W171" s="198"/>
      <c r="X171" s="198"/>
      <c r="Y171" s="198"/>
      <c r="Z171" s="198"/>
      <c r="AA171" s="198"/>
    </row>
    <row r="172" ht="67.5" customHeight="1">
      <c r="A172" s="284">
        <v>36589.0</v>
      </c>
      <c r="B172" s="299" t="s">
        <v>715</v>
      </c>
      <c r="C172" s="285">
        <v>2190.0</v>
      </c>
      <c r="D172" s="285" t="s">
        <v>6792</v>
      </c>
      <c r="E172" s="287" t="s">
        <v>6793</v>
      </c>
      <c r="F172" s="285" t="s">
        <v>5919</v>
      </c>
      <c r="G172" s="288">
        <v>44733.0</v>
      </c>
      <c r="H172" s="288">
        <v>44725.0</v>
      </c>
      <c r="I172" s="288">
        <v>44725.0</v>
      </c>
      <c r="J172" s="288">
        <v>44736.0</v>
      </c>
      <c r="K172" s="294"/>
      <c r="L172" s="294"/>
      <c r="M172" s="290" t="s">
        <v>6794</v>
      </c>
      <c r="N172" s="285" t="s">
        <v>497</v>
      </c>
      <c r="O172" s="299" t="s">
        <v>2554</v>
      </c>
      <c r="P172" s="300">
        <v>38544.0</v>
      </c>
      <c r="Q172" s="213"/>
      <c r="R172" s="198"/>
      <c r="S172" s="198"/>
      <c r="T172" s="198"/>
      <c r="U172" s="198"/>
      <c r="V172" s="198"/>
      <c r="W172" s="198"/>
      <c r="X172" s="198"/>
      <c r="Y172" s="198"/>
      <c r="Z172" s="198"/>
      <c r="AA172" s="198"/>
    </row>
    <row r="173" ht="64.5" customHeight="1">
      <c r="A173" s="284">
        <v>36591.0</v>
      </c>
      <c r="B173" s="299" t="s">
        <v>715</v>
      </c>
      <c r="C173" s="285">
        <v>1306.0</v>
      </c>
      <c r="D173" s="285" t="s">
        <v>6795</v>
      </c>
      <c r="E173" s="287" t="s">
        <v>4713</v>
      </c>
      <c r="F173" s="285" t="s">
        <v>5919</v>
      </c>
      <c r="G173" s="288">
        <v>44733.0</v>
      </c>
      <c r="H173" s="288">
        <v>44725.0</v>
      </c>
      <c r="I173" s="288">
        <v>44725.0</v>
      </c>
      <c r="J173" s="288">
        <v>44739.0</v>
      </c>
      <c r="K173" s="294"/>
      <c r="L173" s="294"/>
      <c r="M173" s="290" t="s">
        <v>6796</v>
      </c>
      <c r="N173" s="285" t="s">
        <v>497</v>
      </c>
      <c r="O173" s="299" t="s">
        <v>2554</v>
      </c>
      <c r="P173" s="300">
        <v>44798.41</v>
      </c>
      <c r="Q173" s="213"/>
      <c r="R173" s="198"/>
      <c r="S173" s="198"/>
      <c r="T173" s="198"/>
      <c r="U173" s="198"/>
      <c r="V173" s="198"/>
      <c r="W173" s="198"/>
      <c r="X173" s="198"/>
      <c r="Y173" s="198"/>
      <c r="Z173" s="198"/>
      <c r="AA173" s="198"/>
    </row>
    <row r="174" ht="72.75" customHeight="1">
      <c r="A174" s="284">
        <v>36279.0</v>
      </c>
      <c r="B174" s="299" t="s">
        <v>715</v>
      </c>
      <c r="C174" s="285">
        <v>2430.0</v>
      </c>
      <c r="D174" s="285" t="s">
        <v>6797</v>
      </c>
      <c r="E174" s="287" t="s">
        <v>6798</v>
      </c>
      <c r="F174" s="285" t="s">
        <v>5919</v>
      </c>
      <c r="G174" s="288">
        <v>44733.0</v>
      </c>
      <c r="H174" s="288">
        <v>44725.0</v>
      </c>
      <c r="I174" s="288">
        <v>44725.0</v>
      </c>
      <c r="J174" s="288">
        <v>44735.0</v>
      </c>
      <c r="K174" s="294"/>
      <c r="L174" s="294"/>
      <c r="M174" s="290" t="s">
        <v>6799</v>
      </c>
      <c r="N174" s="285" t="s">
        <v>497</v>
      </c>
      <c r="O174" s="299" t="s">
        <v>2554</v>
      </c>
      <c r="P174" s="300">
        <v>54399.0</v>
      </c>
      <c r="Q174" s="213"/>
      <c r="R174" s="198"/>
      <c r="S174" s="198"/>
      <c r="T174" s="198"/>
      <c r="U174" s="198"/>
      <c r="V174" s="198"/>
      <c r="W174" s="198"/>
      <c r="X174" s="198"/>
      <c r="Y174" s="198"/>
      <c r="Z174" s="198"/>
      <c r="AA174" s="198"/>
    </row>
    <row r="175" ht="69.0" customHeight="1">
      <c r="A175" s="284">
        <v>36988.0</v>
      </c>
      <c r="B175" s="285" t="s">
        <v>21</v>
      </c>
      <c r="C175" s="285">
        <v>954.0</v>
      </c>
      <c r="D175" s="285" t="s">
        <v>6800</v>
      </c>
      <c r="E175" s="287" t="s">
        <v>6801</v>
      </c>
      <c r="F175" s="285" t="s">
        <v>5919</v>
      </c>
      <c r="G175" s="288">
        <v>44730.0</v>
      </c>
      <c r="H175" s="288">
        <v>44726.0</v>
      </c>
      <c r="I175" s="288">
        <v>44726.0</v>
      </c>
      <c r="J175" s="288">
        <v>44740.0</v>
      </c>
      <c r="K175" s="294"/>
      <c r="L175" s="294"/>
      <c r="M175" s="290" t="s">
        <v>6802</v>
      </c>
      <c r="N175" s="285" t="s">
        <v>4635</v>
      </c>
      <c r="O175" s="299" t="s">
        <v>2621</v>
      </c>
      <c r="P175" s="300">
        <v>97409.86</v>
      </c>
      <c r="Q175" s="213"/>
      <c r="R175" s="198"/>
      <c r="S175" s="198"/>
      <c r="T175" s="198"/>
      <c r="U175" s="198"/>
      <c r="V175" s="198"/>
      <c r="W175" s="198"/>
      <c r="X175" s="198"/>
      <c r="Y175" s="198"/>
      <c r="Z175" s="198"/>
      <c r="AA175" s="198"/>
    </row>
    <row r="176" ht="66.75" customHeight="1">
      <c r="A176" s="284">
        <v>35804.0</v>
      </c>
      <c r="B176" s="285" t="s">
        <v>21</v>
      </c>
      <c r="C176" s="285">
        <v>1930.0</v>
      </c>
      <c r="D176" s="285" t="s">
        <v>6803</v>
      </c>
      <c r="E176" s="287" t="s">
        <v>4670</v>
      </c>
      <c r="F176" s="285" t="s">
        <v>5919</v>
      </c>
      <c r="G176" s="288">
        <v>44729.0</v>
      </c>
      <c r="H176" s="288">
        <v>44725.0</v>
      </c>
      <c r="I176" s="288">
        <v>44725.0</v>
      </c>
      <c r="J176" s="285" t="s">
        <v>6804</v>
      </c>
      <c r="K176" s="294"/>
      <c r="L176" s="294"/>
      <c r="M176" s="290" t="s">
        <v>6805</v>
      </c>
      <c r="N176" s="285" t="s">
        <v>497</v>
      </c>
      <c r="O176" s="299" t="s">
        <v>2604</v>
      </c>
      <c r="P176" s="300">
        <v>57508.0</v>
      </c>
      <c r="Q176" s="213"/>
      <c r="R176" s="198"/>
      <c r="S176" s="198"/>
      <c r="T176" s="198"/>
      <c r="U176" s="198"/>
      <c r="V176" s="198"/>
      <c r="W176" s="198"/>
      <c r="X176" s="198"/>
      <c r="Y176" s="198"/>
      <c r="Z176" s="198"/>
      <c r="AA176" s="198"/>
    </row>
    <row r="177" ht="63.0" customHeight="1">
      <c r="A177" s="284">
        <v>36599.0</v>
      </c>
      <c r="B177" s="285" t="s">
        <v>25</v>
      </c>
      <c r="C177" s="285">
        <v>2190.0</v>
      </c>
      <c r="D177" s="285" t="s">
        <v>6806</v>
      </c>
      <c r="E177" s="287" t="s">
        <v>4713</v>
      </c>
      <c r="F177" s="285" t="s">
        <v>5919</v>
      </c>
      <c r="G177" s="288">
        <v>44729.0</v>
      </c>
      <c r="H177" s="288">
        <v>44719.0</v>
      </c>
      <c r="I177" s="288">
        <v>44719.0</v>
      </c>
      <c r="J177" s="288">
        <v>44739.0</v>
      </c>
      <c r="K177" s="294"/>
      <c r="L177" s="294"/>
      <c r="M177" s="290" t="s">
        <v>6807</v>
      </c>
      <c r="N177" s="285" t="s">
        <v>497</v>
      </c>
      <c r="O177" s="299" t="s">
        <v>2554</v>
      </c>
      <c r="P177" s="300">
        <v>38544.0</v>
      </c>
      <c r="Q177" s="213"/>
      <c r="R177" s="198"/>
      <c r="S177" s="198"/>
      <c r="T177" s="198"/>
      <c r="U177" s="198"/>
      <c r="V177" s="198"/>
      <c r="W177" s="198"/>
      <c r="X177" s="198"/>
      <c r="Y177" s="198"/>
      <c r="Z177" s="198"/>
      <c r="AA177" s="198"/>
    </row>
    <row r="178" ht="64.5" customHeight="1">
      <c r="A178" s="284">
        <v>36902.0</v>
      </c>
      <c r="B178" s="299" t="s">
        <v>715</v>
      </c>
      <c r="C178" s="285">
        <v>940.0</v>
      </c>
      <c r="D178" s="285" t="s">
        <v>6808</v>
      </c>
      <c r="E178" s="287" t="s">
        <v>4295</v>
      </c>
      <c r="F178" s="285" t="s">
        <v>5919</v>
      </c>
      <c r="G178" s="288">
        <v>44728.0</v>
      </c>
      <c r="H178" s="288">
        <v>44726.0</v>
      </c>
      <c r="I178" s="288">
        <v>44726.0</v>
      </c>
      <c r="J178" s="288">
        <v>44736.0</v>
      </c>
      <c r="K178" s="294"/>
      <c r="L178" s="294"/>
      <c r="M178" s="290" t="s">
        <v>6809</v>
      </c>
      <c r="N178" s="285" t="s">
        <v>4635</v>
      </c>
      <c r="O178" s="299" t="s">
        <v>2621</v>
      </c>
      <c r="P178" s="300">
        <v>60657.6</v>
      </c>
      <c r="Q178" s="213"/>
      <c r="R178" s="198"/>
      <c r="S178" s="198"/>
      <c r="T178" s="198"/>
      <c r="U178" s="198"/>
      <c r="V178" s="198"/>
      <c r="W178" s="198"/>
      <c r="X178" s="198"/>
      <c r="Y178" s="198"/>
      <c r="Z178" s="198"/>
      <c r="AA178" s="198"/>
    </row>
    <row r="179" ht="67.5" customHeight="1">
      <c r="A179" s="284">
        <v>36969.0</v>
      </c>
      <c r="B179" s="285" t="s">
        <v>21</v>
      </c>
      <c r="C179" s="285">
        <v>940.0</v>
      </c>
      <c r="D179" s="285" t="s">
        <v>6810</v>
      </c>
      <c r="E179" s="287" t="s">
        <v>6811</v>
      </c>
      <c r="F179" s="285" t="s">
        <v>5919</v>
      </c>
      <c r="G179" s="288">
        <v>44728.0</v>
      </c>
      <c r="H179" s="288">
        <v>44725.0</v>
      </c>
      <c r="I179" s="288">
        <v>44725.0</v>
      </c>
      <c r="J179" s="288">
        <v>44760.0</v>
      </c>
      <c r="K179" s="294"/>
      <c r="L179" s="294"/>
      <c r="M179" s="290" t="s">
        <v>6812</v>
      </c>
      <c r="N179" s="285" t="s">
        <v>4635</v>
      </c>
      <c r="O179" s="299" t="s">
        <v>2621</v>
      </c>
      <c r="P179" s="300">
        <v>74585.14</v>
      </c>
      <c r="Q179" s="213"/>
      <c r="R179" s="198"/>
      <c r="S179" s="198"/>
      <c r="T179" s="198"/>
      <c r="U179" s="198"/>
      <c r="V179" s="198"/>
      <c r="W179" s="198"/>
      <c r="X179" s="198"/>
      <c r="Y179" s="198"/>
      <c r="Z179" s="198"/>
      <c r="AA179" s="198"/>
    </row>
    <row r="180" ht="66.0" customHeight="1">
      <c r="A180" s="284">
        <v>36970.0</v>
      </c>
      <c r="B180" s="285" t="s">
        <v>21</v>
      </c>
      <c r="C180" s="285">
        <v>1260.0</v>
      </c>
      <c r="D180" s="285" t="s">
        <v>6813</v>
      </c>
      <c r="E180" s="287" t="s">
        <v>6814</v>
      </c>
      <c r="F180" s="285" t="s">
        <v>5919</v>
      </c>
      <c r="G180" s="288">
        <v>44728.0</v>
      </c>
      <c r="H180" s="288">
        <v>44725.0</v>
      </c>
      <c r="I180" s="288">
        <v>44725.0</v>
      </c>
      <c r="J180" s="288">
        <v>44750.0</v>
      </c>
      <c r="K180" s="294"/>
      <c r="L180" s="294"/>
      <c r="M180" s="290" t="s">
        <v>6815</v>
      </c>
      <c r="N180" s="285" t="s">
        <v>4635</v>
      </c>
      <c r="O180" s="299" t="s">
        <v>2621</v>
      </c>
      <c r="P180" s="300">
        <v>46933.6</v>
      </c>
      <c r="Q180" s="213"/>
      <c r="R180" s="198"/>
      <c r="S180" s="198"/>
      <c r="T180" s="198"/>
      <c r="U180" s="198"/>
      <c r="V180" s="198"/>
      <c r="W180" s="198"/>
      <c r="X180" s="198"/>
      <c r="Y180" s="198"/>
      <c r="Z180" s="198"/>
      <c r="AA180" s="198"/>
    </row>
    <row r="181" ht="63.0" customHeight="1">
      <c r="A181" s="284">
        <v>36950.0</v>
      </c>
      <c r="B181" s="299" t="s">
        <v>6816</v>
      </c>
      <c r="C181" s="285">
        <v>790.0</v>
      </c>
      <c r="D181" s="285" t="s">
        <v>6817</v>
      </c>
      <c r="E181" s="287" t="s">
        <v>6818</v>
      </c>
      <c r="F181" s="285" t="s">
        <v>5919</v>
      </c>
      <c r="G181" s="288">
        <v>44727.0</v>
      </c>
      <c r="H181" s="288">
        <v>44719.0</v>
      </c>
      <c r="I181" s="288">
        <v>44719.0</v>
      </c>
      <c r="J181" s="288">
        <v>44733.0</v>
      </c>
      <c r="K181" s="294"/>
      <c r="L181" s="294"/>
      <c r="M181" s="290" t="s">
        <v>6819</v>
      </c>
      <c r="N181" s="285" t="s">
        <v>4635</v>
      </c>
      <c r="O181" s="299" t="s">
        <v>2621</v>
      </c>
      <c r="P181" s="300">
        <v>57812.0</v>
      </c>
      <c r="Q181" s="213"/>
      <c r="R181" s="198"/>
      <c r="S181" s="198"/>
      <c r="T181" s="198"/>
      <c r="U181" s="198"/>
      <c r="V181" s="198"/>
      <c r="W181" s="198"/>
      <c r="X181" s="198"/>
      <c r="Y181" s="198"/>
      <c r="Z181" s="198"/>
      <c r="AA181" s="198"/>
    </row>
    <row r="182" ht="57.75" customHeight="1">
      <c r="A182" s="284">
        <v>36807.0</v>
      </c>
      <c r="B182" s="299" t="s">
        <v>6501</v>
      </c>
      <c r="C182" s="285">
        <v>994.0</v>
      </c>
      <c r="D182" s="285" t="s">
        <v>6820</v>
      </c>
      <c r="E182" s="287" t="s">
        <v>6821</v>
      </c>
      <c r="F182" s="285" t="s">
        <v>5919</v>
      </c>
      <c r="G182" s="288">
        <v>44723.0</v>
      </c>
      <c r="H182" s="288">
        <v>44719.0</v>
      </c>
      <c r="I182" s="288">
        <v>44719.0</v>
      </c>
      <c r="J182" s="288">
        <v>44729.0</v>
      </c>
      <c r="K182" s="294"/>
      <c r="L182" s="294"/>
      <c r="M182" s="290" t="s">
        <v>6822</v>
      </c>
      <c r="N182" s="285" t="s">
        <v>4635</v>
      </c>
      <c r="O182" s="299" t="s">
        <v>2621</v>
      </c>
      <c r="P182" s="300">
        <v>54254.5</v>
      </c>
      <c r="Q182" s="213"/>
      <c r="R182" s="198"/>
      <c r="S182" s="198"/>
      <c r="T182" s="198"/>
      <c r="U182" s="198"/>
      <c r="V182" s="198"/>
      <c r="W182" s="198"/>
      <c r="X182" s="198"/>
      <c r="Y182" s="198"/>
      <c r="Z182" s="198"/>
      <c r="AA182" s="198"/>
    </row>
    <row r="183" ht="61.5" customHeight="1">
      <c r="A183" s="284">
        <v>36832.0</v>
      </c>
      <c r="B183" s="299" t="s">
        <v>715</v>
      </c>
      <c r="C183" s="285">
        <v>940.0</v>
      </c>
      <c r="D183" s="285" t="s">
        <v>6823</v>
      </c>
      <c r="E183" s="287" t="s">
        <v>6664</v>
      </c>
      <c r="F183" s="285" t="s">
        <v>5919</v>
      </c>
      <c r="G183" s="288">
        <v>44723.0</v>
      </c>
      <c r="H183" s="288">
        <v>44719.0</v>
      </c>
      <c r="I183" s="288">
        <v>44719.0</v>
      </c>
      <c r="J183" s="285" t="s">
        <v>6824</v>
      </c>
      <c r="K183" s="294"/>
      <c r="L183" s="294"/>
      <c r="M183" s="290" t="s">
        <v>6825</v>
      </c>
      <c r="N183" s="285" t="s">
        <v>4635</v>
      </c>
      <c r="O183" s="299" t="s">
        <v>2621</v>
      </c>
      <c r="P183" s="300">
        <v>60657.6</v>
      </c>
      <c r="Q183" s="213"/>
      <c r="R183" s="198"/>
      <c r="S183" s="198"/>
      <c r="T183" s="198"/>
      <c r="U183" s="198"/>
      <c r="V183" s="198"/>
      <c r="W183" s="198"/>
      <c r="X183" s="198"/>
      <c r="Y183" s="198"/>
      <c r="Z183" s="198"/>
      <c r="AA183" s="198"/>
    </row>
    <row r="184" ht="63.0" customHeight="1">
      <c r="A184" s="284">
        <v>36287.0</v>
      </c>
      <c r="B184" s="285" t="s">
        <v>21</v>
      </c>
      <c r="C184" s="285">
        <v>4230.0</v>
      </c>
      <c r="D184" s="285" t="s">
        <v>6826</v>
      </c>
      <c r="E184" s="287" t="s">
        <v>4658</v>
      </c>
      <c r="F184" s="285" t="s">
        <v>5919</v>
      </c>
      <c r="G184" s="288">
        <v>44721.0</v>
      </c>
      <c r="H184" s="288">
        <v>44721.0</v>
      </c>
      <c r="I184" s="288">
        <v>44721.0</v>
      </c>
      <c r="J184" s="285" t="s">
        <v>6827</v>
      </c>
      <c r="K184" s="294"/>
      <c r="L184" s="294"/>
      <c r="M184" s="290" t="s">
        <v>6828</v>
      </c>
      <c r="N184" s="285" t="s">
        <v>497</v>
      </c>
      <c r="O184" s="299" t="s">
        <v>2554</v>
      </c>
      <c r="P184" s="300">
        <v>29906.1</v>
      </c>
      <c r="Q184" s="213"/>
      <c r="R184" s="198"/>
      <c r="S184" s="198"/>
      <c r="T184" s="198"/>
      <c r="U184" s="198"/>
      <c r="V184" s="198"/>
      <c r="W184" s="198"/>
      <c r="X184" s="198"/>
      <c r="Y184" s="198"/>
      <c r="Z184" s="198"/>
      <c r="AA184" s="198"/>
    </row>
    <row r="185" ht="63.0" customHeight="1">
      <c r="A185" s="284">
        <v>36661.0</v>
      </c>
      <c r="B185" s="285" t="s">
        <v>21</v>
      </c>
      <c r="C185" s="285">
        <v>1220.0</v>
      </c>
      <c r="D185" s="285" t="s">
        <v>6829</v>
      </c>
      <c r="E185" s="287" t="s">
        <v>3169</v>
      </c>
      <c r="F185" s="285" t="s">
        <v>5919</v>
      </c>
      <c r="G185" s="288">
        <v>44721.0</v>
      </c>
      <c r="H185" s="288">
        <v>44718.0</v>
      </c>
      <c r="I185" s="288">
        <v>44718.0</v>
      </c>
      <c r="J185" s="288">
        <v>44734.0</v>
      </c>
      <c r="K185" s="294"/>
      <c r="L185" s="294"/>
      <c r="M185" s="290" t="s">
        <v>6830</v>
      </c>
      <c r="N185" s="285" t="s">
        <v>6366</v>
      </c>
      <c r="O185" s="299" t="s">
        <v>2621</v>
      </c>
      <c r="P185" s="300">
        <v>65182.0</v>
      </c>
      <c r="Q185" s="213"/>
      <c r="R185" s="198"/>
      <c r="S185" s="198"/>
      <c r="T185" s="198"/>
      <c r="U185" s="198"/>
      <c r="V185" s="198"/>
      <c r="W185" s="198"/>
      <c r="X185" s="198"/>
      <c r="Y185" s="198"/>
      <c r="Z185" s="198"/>
      <c r="AA185" s="198"/>
    </row>
    <row r="186" ht="66.0" customHeight="1">
      <c r="A186" s="284">
        <v>36286.0</v>
      </c>
      <c r="B186" s="285" t="s">
        <v>21</v>
      </c>
      <c r="C186" s="285">
        <v>4230.0</v>
      </c>
      <c r="D186" s="285" t="s">
        <v>6831</v>
      </c>
      <c r="E186" s="287" t="s">
        <v>4690</v>
      </c>
      <c r="F186" s="285" t="s">
        <v>5919</v>
      </c>
      <c r="G186" s="288">
        <v>44721.0</v>
      </c>
      <c r="H186" s="288">
        <v>44718.0</v>
      </c>
      <c r="I186" s="288">
        <v>44718.0</v>
      </c>
      <c r="J186" s="285" t="s">
        <v>6832</v>
      </c>
      <c r="K186" s="294"/>
      <c r="L186" s="294"/>
      <c r="M186" s="290" t="s">
        <v>6833</v>
      </c>
      <c r="N186" s="285" t="s">
        <v>497</v>
      </c>
      <c r="O186" s="299" t="s">
        <v>2554</v>
      </c>
      <c r="P186" s="300">
        <v>29060.1</v>
      </c>
      <c r="Q186" s="213"/>
      <c r="R186" s="198"/>
      <c r="S186" s="198"/>
      <c r="T186" s="198"/>
      <c r="U186" s="198"/>
      <c r="V186" s="198"/>
      <c r="W186" s="198"/>
      <c r="X186" s="198"/>
      <c r="Y186" s="198"/>
      <c r="Z186" s="198"/>
      <c r="AA186" s="198"/>
    </row>
    <row r="187" ht="70.5" customHeight="1">
      <c r="A187" s="284">
        <v>36590.0</v>
      </c>
      <c r="B187" s="285" t="s">
        <v>21</v>
      </c>
      <c r="C187" s="285">
        <v>1306.0</v>
      </c>
      <c r="D187" s="285" t="s">
        <v>6834</v>
      </c>
      <c r="E187" s="287" t="s">
        <v>6835</v>
      </c>
      <c r="F187" s="285" t="s">
        <v>5919</v>
      </c>
      <c r="G187" s="288">
        <v>44721.0</v>
      </c>
      <c r="H187" s="288">
        <v>44718.0</v>
      </c>
      <c r="I187" s="288">
        <v>44718.0</v>
      </c>
      <c r="J187" s="288">
        <v>44733.0</v>
      </c>
      <c r="K187" s="294"/>
      <c r="L187" s="294"/>
      <c r="M187" s="290" t="s">
        <v>6836</v>
      </c>
      <c r="N187" s="285" t="s">
        <v>497</v>
      </c>
      <c r="O187" s="299" t="s">
        <v>2554</v>
      </c>
      <c r="P187" s="300">
        <v>44798.41</v>
      </c>
      <c r="Q187" s="213"/>
      <c r="R187" s="198"/>
      <c r="S187" s="198"/>
      <c r="T187" s="198"/>
      <c r="U187" s="198"/>
      <c r="V187" s="198"/>
      <c r="W187" s="198"/>
      <c r="X187" s="198"/>
      <c r="Y187" s="198"/>
      <c r="Z187" s="198"/>
      <c r="AA187" s="198"/>
    </row>
    <row r="188" ht="71.25" customHeight="1">
      <c r="A188" s="284">
        <v>36486.0</v>
      </c>
      <c r="B188" s="285" t="s">
        <v>21</v>
      </c>
      <c r="C188" s="285">
        <v>2390.0</v>
      </c>
      <c r="D188" s="285" t="s">
        <v>6837</v>
      </c>
      <c r="E188" s="287" t="s">
        <v>6838</v>
      </c>
      <c r="F188" s="285" t="s">
        <v>5919</v>
      </c>
      <c r="G188" s="288">
        <v>44721.0</v>
      </c>
      <c r="H188" s="288">
        <v>44718.0</v>
      </c>
      <c r="I188" s="288">
        <v>44718.0</v>
      </c>
      <c r="J188" s="285" t="s">
        <v>6839</v>
      </c>
      <c r="K188" s="294"/>
      <c r="L188" s="294"/>
      <c r="M188" s="290" t="s">
        <v>6840</v>
      </c>
      <c r="N188" s="285" t="s">
        <v>497</v>
      </c>
      <c r="O188" s="299" t="s">
        <v>2554</v>
      </c>
      <c r="P188" s="300">
        <v>52102.0</v>
      </c>
      <c r="Q188" s="213"/>
      <c r="R188" s="198"/>
      <c r="S188" s="198"/>
      <c r="T188" s="198"/>
      <c r="U188" s="198"/>
      <c r="V188" s="198"/>
      <c r="W188" s="198"/>
      <c r="X188" s="198"/>
      <c r="Y188" s="198"/>
      <c r="Z188" s="198"/>
      <c r="AA188" s="198"/>
    </row>
    <row r="189" ht="68.25" customHeight="1">
      <c r="A189" s="284">
        <v>36440.0</v>
      </c>
      <c r="B189" s="285" t="s">
        <v>25</v>
      </c>
      <c r="C189" s="285">
        <v>1930.0</v>
      </c>
      <c r="D189" s="285" t="s">
        <v>6841</v>
      </c>
      <c r="E189" s="287" t="s">
        <v>4670</v>
      </c>
      <c r="F189" s="285" t="s">
        <v>5919</v>
      </c>
      <c r="G189" s="288">
        <v>44721.0</v>
      </c>
      <c r="H189" s="288">
        <v>44718.0</v>
      </c>
      <c r="I189" s="288">
        <v>44718.0</v>
      </c>
      <c r="J189" s="288">
        <v>44726.0</v>
      </c>
      <c r="K189" s="294"/>
      <c r="L189" s="294"/>
      <c r="M189" s="290" t="s">
        <v>6842</v>
      </c>
      <c r="N189" s="285" t="s">
        <v>497</v>
      </c>
      <c r="O189" s="299" t="s">
        <v>2604</v>
      </c>
      <c r="P189" s="300">
        <v>57508.0</v>
      </c>
      <c r="Q189" s="213"/>
      <c r="R189" s="198"/>
      <c r="S189" s="198"/>
      <c r="T189" s="198"/>
      <c r="U189" s="198"/>
      <c r="V189" s="198"/>
      <c r="W189" s="198"/>
      <c r="X189" s="198"/>
      <c r="Y189" s="198"/>
      <c r="Z189" s="198"/>
      <c r="AA189" s="198"/>
    </row>
    <row r="190" ht="64.5" customHeight="1">
      <c r="A190" s="284">
        <v>36592.0</v>
      </c>
      <c r="B190" s="285" t="s">
        <v>21</v>
      </c>
      <c r="C190" s="285">
        <v>2190.0</v>
      </c>
      <c r="D190" s="285" t="s">
        <v>6843</v>
      </c>
      <c r="E190" s="287" t="s">
        <v>4713</v>
      </c>
      <c r="F190" s="285" t="s">
        <v>5919</v>
      </c>
      <c r="G190" s="288">
        <v>44721.0</v>
      </c>
      <c r="H190" s="288">
        <v>44718.0</v>
      </c>
      <c r="I190" s="288">
        <v>44718.0</v>
      </c>
      <c r="J190" s="288">
        <v>44736.0</v>
      </c>
      <c r="K190" s="294"/>
      <c r="L190" s="294"/>
      <c r="M190" s="290" t="s">
        <v>6844</v>
      </c>
      <c r="N190" s="285" t="s">
        <v>497</v>
      </c>
      <c r="O190" s="299" t="s">
        <v>2554</v>
      </c>
      <c r="P190" s="300">
        <v>38544.0</v>
      </c>
      <c r="Q190" s="213"/>
      <c r="R190" s="198"/>
      <c r="S190" s="198"/>
      <c r="T190" s="198"/>
      <c r="U190" s="198"/>
      <c r="V190" s="198"/>
      <c r="W190" s="198"/>
      <c r="X190" s="198"/>
      <c r="Y190" s="198"/>
      <c r="Z190" s="198"/>
      <c r="AA190" s="198"/>
    </row>
    <row r="191" ht="69.0" customHeight="1">
      <c r="A191" s="284">
        <v>36321.0</v>
      </c>
      <c r="B191" s="299" t="s">
        <v>715</v>
      </c>
      <c r="C191" s="285">
        <v>1306.0</v>
      </c>
      <c r="D191" s="285" t="s">
        <v>6845</v>
      </c>
      <c r="E191" s="287" t="s">
        <v>6846</v>
      </c>
      <c r="F191" s="285" t="s">
        <v>5919</v>
      </c>
      <c r="G191" s="288">
        <v>44720.0</v>
      </c>
      <c r="H191" s="288">
        <v>44708.0</v>
      </c>
      <c r="I191" s="288">
        <v>44708.0</v>
      </c>
      <c r="J191" s="285" t="s">
        <v>6847</v>
      </c>
      <c r="K191" s="294"/>
      <c r="L191" s="294"/>
      <c r="M191" s="290" t="s">
        <v>6848</v>
      </c>
      <c r="N191" s="285" t="s">
        <v>497</v>
      </c>
      <c r="O191" s="299" t="s">
        <v>2554</v>
      </c>
      <c r="P191" s="300">
        <v>44832.72</v>
      </c>
      <c r="Q191" s="213"/>
      <c r="R191" s="198"/>
      <c r="S191" s="198"/>
      <c r="T191" s="198"/>
      <c r="U191" s="198"/>
      <c r="V191" s="198"/>
      <c r="W191" s="198"/>
      <c r="X191" s="198"/>
      <c r="Y191" s="198"/>
      <c r="Z191" s="198"/>
      <c r="AA191" s="198"/>
    </row>
    <row r="192" ht="64.5" customHeight="1">
      <c r="A192" s="284">
        <v>36463.0</v>
      </c>
      <c r="B192" s="285" t="s">
        <v>21</v>
      </c>
      <c r="C192" s="285">
        <v>1420.0</v>
      </c>
      <c r="D192" s="285" t="s">
        <v>6849</v>
      </c>
      <c r="E192" s="287" t="s">
        <v>4804</v>
      </c>
      <c r="F192" s="285" t="s">
        <v>5919</v>
      </c>
      <c r="G192" s="288">
        <v>44715.0</v>
      </c>
      <c r="H192" s="288" t="s">
        <v>6850</v>
      </c>
      <c r="I192" s="285" t="s">
        <v>6850</v>
      </c>
      <c r="J192" s="288">
        <v>44721.0</v>
      </c>
      <c r="K192" s="294"/>
      <c r="L192" s="294"/>
      <c r="M192" s="290" t="s">
        <v>6851</v>
      </c>
      <c r="N192" s="285" t="s">
        <v>4745</v>
      </c>
      <c r="O192" s="299" t="s">
        <v>2604</v>
      </c>
      <c r="P192" s="300">
        <v>40241.7</v>
      </c>
      <c r="Q192" s="213"/>
      <c r="R192" s="198"/>
      <c r="S192" s="198"/>
      <c r="T192" s="198"/>
      <c r="U192" s="198"/>
      <c r="V192" s="198"/>
      <c r="W192" s="198"/>
      <c r="X192" s="198"/>
      <c r="Y192" s="198"/>
      <c r="Z192" s="198"/>
      <c r="AA192" s="198"/>
    </row>
    <row r="193" ht="64.5" customHeight="1">
      <c r="A193" s="284">
        <v>36209.0</v>
      </c>
      <c r="B193" s="285" t="s">
        <v>25</v>
      </c>
      <c r="C193" s="285" t="s">
        <v>6852</v>
      </c>
      <c r="D193" s="285" t="s">
        <v>6853</v>
      </c>
      <c r="E193" s="287" t="s">
        <v>6854</v>
      </c>
      <c r="F193" s="285" t="s">
        <v>5919</v>
      </c>
      <c r="G193" s="288">
        <v>44715.0</v>
      </c>
      <c r="H193" s="288">
        <v>44725.0</v>
      </c>
      <c r="I193" s="288">
        <v>44725.0</v>
      </c>
      <c r="J193" s="288">
        <v>44727.0</v>
      </c>
      <c r="K193" s="294"/>
      <c r="L193" s="294"/>
      <c r="M193" s="290" t="s">
        <v>6855</v>
      </c>
      <c r="N193" s="285" t="s">
        <v>497</v>
      </c>
      <c r="O193" s="299" t="s">
        <v>6856</v>
      </c>
      <c r="P193" s="300">
        <v>7144.2</v>
      </c>
      <c r="Q193" s="213"/>
      <c r="R193" s="198"/>
      <c r="S193" s="198"/>
      <c r="T193" s="198"/>
      <c r="U193" s="198"/>
      <c r="V193" s="198"/>
      <c r="W193" s="198"/>
      <c r="X193" s="198"/>
      <c r="Y193" s="198"/>
      <c r="Z193" s="198"/>
      <c r="AA193" s="198"/>
    </row>
    <row r="194" ht="60.75" customHeight="1">
      <c r="A194" s="284">
        <v>36269.0</v>
      </c>
      <c r="B194" s="299" t="s">
        <v>715</v>
      </c>
      <c r="C194" s="285">
        <v>1250.0</v>
      </c>
      <c r="D194" s="285" t="s">
        <v>6857</v>
      </c>
      <c r="E194" s="287" t="s">
        <v>4637</v>
      </c>
      <c r="F194" s="285" t="s">
        <v>5919</v>
      </c>
      <c r="G194" s="288">
        <v>44715.0</v>
      </c>
      <c r="H194" s="288">
        <v>44712.0</v>
      </c>
      <c r="I194" s="288">
        <v>44712.0</v>
      </c>
      <c r="J194" s="288">
        <v>44721.0</v>
      </c>
      <c r="K194" s="294"/>
      <c r="L194" s="294"/>
      <c r="M194" s="290" t="s">
        <v>6858</v>
      </c>
      <c r="N194" s="285" t="s">
        <v>497</v>
      </c>
      <c r="O194" s="299" t="s">
        <v>2554</v>
      </c>
      <c r="P194" s="300">
        <v>34335.0</v>
      </c>
      <c r="Q194" s="213"/>
      <c r="R194" s="198"/>
      <c r="S194" s="198"/>
      <c r="T194" s="198"/>
      <c r="U194" s="198"/>
      <c r="V194" s="198"/>
      <c r="W194" s="198"/>
      <c r="X194" s="198"/>
      <c r="Y194" s="198"/>
      <c r="Z194" s="198"/>
      <c r="AA194" s="198"/>
    </row>
    <row r="195" ht="62.25" customHeight="1">
      <c r="A195" s="284">
        <v>36320.0</v>
      </c>
      <c r="B195" s="299" t="s">
        <v>715</v>
      </c>
      <c r="C195" s="285">
        <v>1290.0</v>
      </c>
      <c r="D195" s="285" t="s">
        <v>6859</v>
      </c>
      <c r="E195" s="287" t="s">
        <v>4681</v>
      </c>
      <c r="F195" s="285" t="s">
        <v>5919</v>
      </c>
      <c r="G195" s="288">
        <v>44712.0</v>
      </c>
      <c r="H195" s="288">
        <v>44706.0</v>
      </c>
      <c r="I195" s="288">
        <v>44706.0</v>
      </c>
      <c r="J195" s="288">
        <v>44720.0</v>
      </c>
      <c r="K195" s="294"/>
      <c r="L195" s="294"/>
      <c r="M195" s="290" t="s">
        <v>6860</v>
      </c>
      <c r="N195" s="285" t="s">
        <v>497</v>
      </c>
      <c r="O195" s="299" t="s">
        <v>2554</v>
      </c>
      <c r="P195" s="300">
        <v>44249.58</v>
      </c>
      <c r="Q195" s="213"/>
      <c r="R195" s="198"/>
      <c r="S195" s="198"/>
      <c r="T195" s="198"/>
      <c r="U195" s="198"/>
      <c r="V195" s="198"/>
      <c r="W195" s="198"/>
      <c r="X195" s="198"/>
      <c r="Y195" s="198"/>
      <c r="Z195" s="198"/>
      <c r="AA195" s="198"/>
    </row>
    <row r="196" ht="57.75" customHeight="1">
      <c r="A196" s="284">
        <v>36898.0</v>
      </c>
      <c r="B196" s="285" t="s">
        <v>21</v>
      </c>
      <c r="C196" s="285">
        <v>1680.0</v>
      </c>
      <c r="D196" s="285" t="s">
        <v>6861</v>
      </c>
      <c r="E196" s="287" t="s">
        <v>4699</v>
      </c>
      <c r="F196" s="285" t="s">
        <v>5919</v>
      </c>
      <c r="G196" s="288">
        <v>44712.0</v>
      </c>
      <c r="H196" s="288">
        <v>44705.0</v>
      </c>
      <c r="I196" s="288">
        <v>44705.0</v>
      </c>
      <c r="J196" s="288">
        <v>44748.0</v>
      </c>
      <c r="K196" s="294"/>
      <c r="L196" s="294"/>
      <c r="M196" s="290" t="s">
        <v>6862</v>
      </c>
      <c r="N196" s="285" t="s">
        <v>4635</v>
      </c>
      <c r="O196" s="299" t="s">
        <v>2621</v>
      </c>
      <c r="P196" s="300">
        <v>50419.6</v>
      </c>
      <c r="Q196" s="213"/>
      <c r="R196" s="198"/>
      <c r="S196" s="198"/>
      <c r="T196" s="198"/>
      <c r="U196" s="198"/>
      <c r="V196" s="198"/>
      <c r="W196" s="198"/>
      <c r="X196" s="198"/>
      <c r="Y196" s="198"/>
      <c r="Z196" s="198"/>
      <c r="AA196" s="198"/>
    </row>
    <row r="197" ht="57.75" customHeight="1">
      <c r="A197" s="284">
        <v>36899.0</v>
      </c>
      <c r="B197" s="285" t="s">
        <v>21</v>
      </c>
      <c r="C197" s="285">
        <v>1260.0</v>
      </c>
      <c r="D197" s="285" t="s">
        <v>6863</v>
      </c>
      <c r="E197" s="287" t="s">
        <v>4782</v>
      </c>
      <c r="F197" s="285" t="s">
        <v>5919</v>
      </c>
      <c r="G197" s="288">
        <v>44712.0</v>
      </c>
      <c r="H197" s="288">
        <v>44705.0</v>
      </c>
      <c r="I197" s="288">
        <v>44705.0</v>
      </c>
      <c r="J197" s="288">
        <v>44743.0</v>
      </c>
      <c r="K197" s="294"/>
      <c r="L197" s="294"/>
      <c r="M197" s="290" t="s">
        <v>6864</v>
      </c>
      <c r="N197" s="285" t="s">
        <v>4635</v>
      </c>
      <c r="O197" s="299" t="s">
        <v>2621</v>
      </c>
      <c r="P197" s="300">
        <v>44590.0</v>
      </c>
      <c r="Q197" s="213"/>
      <c r="R197" s="198"/>
      <c r="S197" s="198"/>
      <c r="T197" s="198"/>
      <c r="U197" s="198"/>
      <c r="V197" s="198"/>
      <c r="W197" s="198"/>
      <c r="X197" s="198"/>
      <c r="Y197" s="198"/>
      <c r="Z197" s="198"/>
      <c r="AA197" s="198"/>
    </row>
    <row r="198" ht="57.75" customHeight="1">
      <c r="A198" s="284">
        <v>36900.0</v>
      </c>
      <c r="B198" s="285" t="s">
        <v>21</v>
      </c>
      <c r="C198" s="285">
        <v>940.0</v>
      </c>
      <c r="D198" s="285" t="s">
        <v>6865</v>
      </c>
      <c r="E198" s="287" t="s">
        <v>6332</v>
      </c>
      <c r="F198" s="285" t="s">
        <v>5919</v>
      </c>
      <c r="G198" s="288">
        <v>44712.0</v>
      </c>
      <c r="H198" s="288">
        <v>44705.0</v>
      </c>
      <c r="I198" s="288">
        <v>44705.0</v>
      </c>
      <c r="J198" s="285" t="s">
        <v>6866</v>
      </c>
      <c r="K198" s="294"/>
      <c r="L198" s="294"/>
      <c r="M198" s="290" t="s">
        <v>6867</v>
      </c>
      <c r="N198" s="285" t="s">
        <v>4635</v>
      </c>
      <c r="O198" s="299" t="s">
        <v>2621</v>
      </c>
      <c r="P198" s="300">
        <v>59786.8</v>
      </c>
      <c r="Q198" s="213"/>
      <c r="R198" s="198"/>
      <c r="S198" s="198"/>
      <c r="T198" s="198"/>
      <c r="U198" s="198"/>
      <c r="V198" s="198"/>
      <c r="W198" s="198"/>
      <c r="X198" s="198"/>
      <c r="Y198" s="198"/>
      <c r="Z198" s="198"/>
      <c r="AA198" s="198"/>
    </row>
    <row r="199" ht="57.75" customHeight="1">
      <c r="A199" s="284">
        <v>36854.0</v>
      </c>
      <c r="B199" s="299" t="s">
        <v>715</v>
      </c>
      <c r="C199" s="285">
        <v>1260.0</v>
      </c>
      <c r="D199" s="285" t="s">
        <v>6868</v>
      </c>
      <c r="E199" s="287" t="s">
        <v>4782</v>
      </c>
      <c r="F199" s="285" t="s">
        <v>5919</v>
      </c>
      <c r="G199" s="288">
        <v>44709.0</v>
      </c>
      <c r="H199" s="288">
        <v>44705.0</v>
      </c>
      <c r="I199" s="288">
        <v>44705.0</v>
      </c>
      <c r="J199" s="285" t="s">
        <v>6869</v>
      </c>
      <c r="K199" s="294"/>
      <c r="L199" s="294"/>
      <c r="M199" s="290" t="s">
        <v>6870</v>
      </c>
      <c r="N199" s="285" t="s">
        <v>4635</v>
      </c>
      <c r="O199" s="299" t="s">
        <v>2621</v>
      </c>
      <c r="P199" s="300">
        <v>45202.8</v>
      </c>
      <c r="Q199" s="213"/>
      <c r="R199" s="198"/>
      <c r="S199" s="198"/>
      <c r="T199" s="198"/>
      <c r="U199" s="198"/>
      <c r="V199" s="198"/>
      <c r="W199" s="198"/>
      <c r="X199" s="198"/>
      <c r="Y199" s="198"/>
      <c r="Z199" s="198"/>
      <c r="AA199" s="198"/>
    </row>
    <row r="200" ht="57.75" customHeight="1">
      <c r="A200" s="284">
        <v>36855.0</v>
      </c>
      <c r="B200" s="299" t="s">
        <v>715</v>
      </c>
      <c r="C200" s="285">
        <v>940.0</v>
      </c>
      <c r="D200" s="285" t="s">
        <v>6871</v>
      </c>
      <c r="E200" s="287" t="s">
        <v>4295</v>
      </c>
      <c r="F200" s="285" t="s">
        <v>5919</v>
      </c>
      <c r="G200" s="288">
        <v>44709.0</v>
      </c>
      <c r="H200" s="288">
        <v>44705.0</v>
      </c>
      <c r="I200" s="288">
        <v>44705.0</v>
      </c>
      <c r="J200" s="285" t="s">
        <v>6872</v>
      </c>
      <c r="K200" s="294"/>
      <c r="L200" s="294"/>
      <c r="M200" s="290" t="s">
        <v>6873</v>
      </c>
      <c r="N200" s="285" t="s">
        <v>4635</v>
      </c>
      <c r="O200" s="299" t="s">
        <v>2621</v>
      </c>
      <c r="P200" s="300">
        <v>60657.6</v>
      </c>
      <c r="Q200" s="213"/>
      <c r="R200" s="198"/>
      <c r="S200" s="198"/>
      <c r="T200" s="198"/>
      <c r="U200" s="198"/>
      <c r="V200" s="198"/>
      <c r="W200" s="198"/>
      <c r="X200" s="198"/>
      <c r="Y200" s="198"/>
      <c r="Z200" s="198"/>
      <c r="AA200" s="198"/>
    </row>
    <row r="201" ht="57.75" customHeight="1">
      <c r="A201" s="284">
        <v>36860.0</v>
      </c>
      <c r="B201" s="299" t="s">
        <v>715</v>
      </c>
      <c r="C201" s="285">
        <v>947.0</v>
      </c>
      <c r="D201" s="285" t="s">
        <v>6874</v>
      </c>
      <c r="E201" s="287" t="s">
        <v>6875</v>
      </c>
      <c r="F201" s="285" t="s">
        <v>5919</v>
      </c>
      <c r="G201" s="288">
        <v>44709.0</v>
      </c>
      <c r="H201" s="288">
        <v>44705.0</v>
      </c>
      <c r="I201" s="288">
        <v>44705.0</v>
      </c>
      <c r="J201" s="285" t="s">
        <v>6876</v>
      </c>
      <c r="K201" s="294"/>
      <c r="L201" s="294"/>
      <c r="M201" s="290" t="s">
        <v>6877</v>
      </c>
      <c r="N201" s="285" t="s">
        <v>4635</v>
      </c>
      <c r="O201" s="299" t="s">
        <v>2621</v>
      </c>
      <c r="P201" s="300">
        <v>62359.86</v>
      </c>
      <c r="Q201" s="213"/>
      <c r="R201" s="198"/>
      <c r="S201" s="198"/>
      <c r="T201" s="198"/>
      <c r="U201" s="198"/>
      <c r="V201" s="198"/>
      <c r="W201" s="198"/>
      <c r="X201" s="198"/>
      <c r="Y201" s="198"/>
      <c r="Z201" s="198"/>
      <c r="AA201" s="198"/>
    </row>
    <row r="202" ht="57.75" customHeight="1">
      <c r="A202" s="284">
        <v>36885.0</v>
      </c>
      <c r="B202" s="299" t="s">
        <v>6501</v>
      </c>
      <c r="C202" s="285">
        <v>930.0</v>
      </c>
      <c r="D202" s="285" t="s">
        <v>6878</v>
      </c>
      <c r="E202" s="287" t="s">
        <v>6879</v>
      </c>
      <c r="F202" s="285" t="s">
        <v>5919</v>
      </c>
      <c r="G202" s="288">
        <v>44707.0</v>
      </c>
      <c r="H202" s="288">
        <v>44701.0</v>
      </c>
      <c r="I202" s="288">
        <v>44701.0</v>
      </c>
      <c r="J202" s="288">
        <v>44714.0</v>
      </c>
      <c r="K202" s="376"/>
      <c r="L202" s="294"/>
      <c r="M202" s="290" t="s">
        <v>6880</v>
      </c>
      <c r="N202" s="285" t="s">
        <v>4635</v>
      </c>
      <c r="O202" s="299" t="s">
        <v>2621</v>
      </c>
      <c r="P202" s="300">
        <v>67516.5</v>
      </c>
      <c r="Q202" s="213"/>
      <c r="R202" s="198"/>
      <c r="S202" s="198"/>
      <c r="T202" s="198"/>
      <c r="U202" s="198"/>
      <c r="V202" s="198"/>
      <c r="W202" s="198"/>
      <c r="X202" s="198"/>
      <c r="Y202" s="198"/>
      <c r="Z202" s="198"/>
      <c r="AA202" s="198"/>
    </row>
    <row r="203" ht="57.75" customHeight="1">
      <c r="A203" s="284">
        <v>36794.0</v>
      </c>
      <c r="B203" s="299" t="s">
        <v>715</v>
      </c>
      <c r="C203" s="285">
        <v>1680.0</v>
      </c>
      <c r="D203" s="285" t="s">
        <v>6881</v>
      </c>
      <c r="E203" s="287" t="s">
        <v>6882</v>
      </c>
      <c r="F203" s="285" t="s">
        <v>5919</v>
      </c>
      <c r="G203" s="288">
        <v>44707.0</v>
      </c>
      <c r="H203" s="288">
        <v>44701.0</v>
      </c>
      <c r="I203" s="288">
        <v>44701.0</v>
      </c>
      <c r="J203" s="288">
        <v>44715.0</v>
      </c>
      <c r="K203" s="294"/>
      <c r="L203" s="294"/>
      <c r="M203" s="290" t="s">
        <v>6883</v>
      </c>
      <c r="N203" s="285" t="s">
        <v>4635</v>
      </c>
      <c r="O203" s="299" t="s">
        <v>2621</v>
      </c>
      <c r="P203" s="300">
        <v>53083.34</v>
      </c>
      <c r="Q203" s="213"/>
      <c r="R203" s="198"/>
      <c r="S203" s="198"/>
      <c r="T203" s="198"/>
      <c r="U203" s="198"/>
      <c r="V203" s="198"/>
      <c r="W203" s="198"/>
      <c r="X203" s="198"/>
      <c r="Y203" s="198"/>
      <c r="Z203" s="198"/>
      <c r="AA203" s="198"/>
    </row>
    <row r="204" ht="57.75" customHeight="1">
      <c r="A204" s="284">
        <v>36793.0</v>
      </c>
      <c r="B204" s="299" t="s">
        <v>715</v>
      </c>
      <c r="C204" s="285">
        <v>940.0</v>
      </c>
      <c r="D204" s="285" t="s">
        <v>6884</v>
      </c>
      <c r="E204" s="287" t="s">
        <v>6664</v>
      </c>
      <c r="F204" s="285" t="s">
        <v>5919</v>
      </c>
      <c r="G204" s="288">
        <v>44707.0</v>
      </c>
      <c r="H204" s="288">
        <v>44701.0</v>
      </c>
      <c r="I204" s="288">
        <v>44701.0</v>
      </c>
      <c r="J204" s="285" t="s">
        <v>6885</v>
      </c>
      <c r="K204" s="294"/>
      <c r="L204" s="294"/>
      <c r="M204" s="290" t="s">
        <v>6886</v>
      </c>
      <c r="N204" s="285" t="s">
        <v>4635</v>
      </c>
      <c r="O204" s="299" t="s">
        <v>2621</v>
      </c>
      <c r="P204" s="300">
        <v>60657.6</v>
      </c>
      <c r="Q204" s="213"/>
      <c r="R204" s="198"/>
      <c r="S204" s="198"/>
      <c r="T204" s="198"/>
      <c r="U204" s="198"/>
      <c r="V204" s="198"/>
      <c r="W204" s="198"/>
      <c r="X204" s="198"/>
      <c r="Y204" s="198"/>
      <c r="Z204" s="198"/>
      <c r="AA204" s="198"/>
    </row>
    <row r="205" ht="57.75" customHeight="1">
      <c r="A205" s="284">
        <v>36792.0</v>
      </c>
      <c r="B205" s="299" t="s">
        <v>715</v>
      </c>
      <c r="C205" s="285">
        <v>940.0</v>
      </c>
      <c r="D205" s="285" t="s">
        <v>6887</v>
      </c>
      <c r="E205" s="287" t="s">
        <v>4295</v>
      </c>
      <c r="F205" s="285" t="s">
        <v>5919</v>
      </c>
      <c r="G205" s="288">
        <v>44707.0</v>
      </c>
      <c r="H205" s="288">
        <v>44701.0</v>
      </c>
      <c r="I205" s="288">
        <v>44701.0</v>
      </c>
      <c r="J205" s="285" t="s">
        <v>6888</v>
      </c>
      <c r="K205" s="294"/>
      <c r="L205" s="294"/>
      <c r="M205" s="290" t="s">
        <v>6889</v>
      </c>
      <c r="N205" s="285" t="s">
        <v>4635</v>
      </c>
      <c r="O205" s="299" t="s">
        <v>2621</v>
      </c>
      <c r="P205" s="300">
        <v>60657.6</v>
      </c>
      <c r="Q205" s="213"/>
      <c r="R205" s="198"/>
      <c r="S205" s="198"/>
      <c r="T205" s="198"/>
      <c r="U205" s="198"/>
      <c r="V205" s="198"/>
      <c r="W205" s="198"/>
      <c r="X205" s="198"/>
      <c r="Y205" s="198"/>
      <c r="Z205" s="198"/>
      <c r="AA205" s="198"/>
    </row>
    <row r="206" ht="57.75" customHeight="1">
      <c r="A206" s="284">
        <v>36791.0</v>
      </c>
      <c r="B206" s="299" t="s">
        <v>715</v>
      </c>
      <c r="C206" s="285">
        <v>940.0</v>
      </c>
      <c r="D206" s="285" t="s">
        <v>6890</v>
      </c>
      <c r="E206" s="287" t="s">
        <v>4295</v>
      </c>
      <c r="F206" s="285" t="s">
        <v>5919</v>
      </c>
      <c r="G206" s="288">
        <v>44707.0</v>
      </c>
      <c r="H206" s="288">
        <v>44701.0</v>
      </c>
      <c r="I206" s="288">
        <v>44701.0</v>
      </c>
      <c r="J206" s="285" t="s">
        <v>6891</v>
      </c>
      <c r="K206" s="294"/>
      <c r="L206" s="294"/>
      <c r="M206" s="290" t="s">
        <v>6892</v>
      </c>
      <c r="N206" s="285" t="s">
        <v>4635</v>
      </c>
      <c r="O206" s="299" t="s">
        <v>2621</v>
      </c>
      <c r="P206" s="300">
        <v>60657.6</v>
      </c>
      <c r="Q206" s="213"/>
      <c r="R206" s="198"/>
      <c r="S206" s="198"/>
      <c r="T206" s="198"/>
      <c r="U206" s="198"/>
      <c r="V206" s="198"/>
      <c r="W206" s="198"/>
      <c r="X206" s="198"/>
      <c r="Y206" s="198"/>
      <c r="Z206" s="198"/>
      <c r="AA206" s="198"/>
    </row>
    <row r="207" ht="57.75" customHeight="1">
      <c r="A207" s="284">
        <v>36788.0</v>
      </c>
      <c r="B207" s="299" t="s">
        <v>715</v>
      </c>
      <c r="C207" s="285">
        <v>940.0</v>
      </c>
      <c r="D207" s="285" t="s">
        <v>6893</v>
      </c>
      <c r="E207" s="287" t="s">
        <v>4295</v>
      </c>
      <c r="F207" s="285" t="s">
        <v>5919</v>
      </c>
      <c r="G207" s="288">
        <v>44707.0</v>
      </c>
      <c r="H207" s="288">
        <v>44701.0</v>
      </c>
      <c r="I207" s="288">
        <v>44701.0</v>
      </c>
      <c r="J207" s="288">
        <v>44715.0</v>
      </c>
      <c r="K207" s="294"/>
      <c r="L207" s="294"/>
      <c r="M207" s="290" t="s">
        <v>6894</v>
      </c>
      <c r="N207" s="285" t="s">
        <v>4635</v>
      </c>
      <c r="O207" s="299" t="s">
        <v>2621</v>
      </c>
      <c r="P207" s="300">
        <v>60657.6</v>
      </c>
      <c r="Q207" s="213"/>
      <c r="R207" s="198"/>
      <c r="S207" s="198"/>
      <c r="T207" s="198"/>
      <c r="U207" s="198"/>
      <c r="V207" s="198"/>
      <c r="W207" s="198"/>
      <c r="X207" s="198"/>
      <c r="Y207" s="198"/>
      <c r="Z207" s="198"/>
      <c r="AA207" s="198"/>
    </row>
    <row r="208" ht="57.75" customHeight="1">
      <c r="A208" s="284">
        <v>36790.0</v>
      </c>
      <c r="B208" s="299" t="s">
        <v>715</v>
      </c>
      <c r="C208" s="285">
        <v>940.0</v>
      </c>
      <c r="D208" s="285" t="s">
        <v>6895</v>
      </c>
      <c r="E208" s="287" t="s">
        <v>4295</v>
      </c>
      <c r="F208" s="285" t="s">
        <v>5919</v>
      </c>
      <c r="G208" s="288">
        <v>44707.0</v>
      </c>
      <c r="H208" s="288">
        <v>44701.0</v>
      </c>
      <c r="I208" s="288">
        <v>44701.0</v>
      </c>
      <c r="J208" s="288">
        <v>44714.0</v>
      </c>
      <c r="K208" s="294"/>
      <c r="L208" s="294"/>
      <c r="M208" s="290" t="s">
        <v>6896</v>
      </c>
      <c r="N208" s="285" t="s">
        <v>4635</v>
      </c>
      <c r="O208" s="299" t="s">
        <v>2621</v>
      </c>
      <c r="P208" s="300">
        <v>60657.6</v>
      </c>
      <c r="Q208" s="213"/>
      <c r="R208" s="198"/>
      <c r="S208" s="198"/>
      <c r="T208" s="198"/>
      <c r="U208" s="198"/>
      <c r="V208" s="198"/>
      <c r="W208" s="198"/>
      <c r="X208" s="198"/>
      <c r="Y208" s="198"/>
      <c r="Z208" s="198"/>
      <c r="AA208" s="198"/>
    </row>
    <row r="209" ht="62.25" customHeight="1">
      <c r="A209" s="284">
        <v>36145.0</v>
      </c>
      <c r="B209" s="299" t="s">
        <v>6501</v>
      </c>
      <c r="C209" s="285">
        <v>2595.0</v>
      </c>
      <c r="D209" s="285" t="s">
        <v>6897</v>
      </c>
      <c r="E209" s="287" t="s">
        <v>6898</v>
      </c>
      <c r="F209" s="285" t="s">
        <v>5919</v>
      </c>
      <c r="G209" s="288">
        <v>44705.0</v>
      </c>
      <c r="H209" s="288">
        <v>44704.0</v>
      </c>
      <c r="I209" s="288">
        <v>44704.0</v>
      </c>
      <c r="J209" s="288">
        <v>44711.0</v>
      </c>
      <c r="K209" s="294"/>
      <c r="L209" s="294"/>
      <c r="M209" s="290" t="s">
        <v>6899</v>
      </c>
      <c r="N209" s="285" t="s">
        <v>497</v>
      </c>
      <c r="O209" s="299" t="s">
        <v>2554</v>
      </c>
      <c r="P209" s="300">
        <v>44115.0</v>
      </c>
      <c r="Q209" s="213"/>
      <c r="R209" s="198"/>
      <c r="S209" s="198"/>
      <c r="T209" s="198"/>
      <c r="U209" s="198"/>
      <c r="V209" s="198"/>
      <c r="W209" s="198"/>
      <c r="X209" s="198"/>
      <c r="Y209" s="198"/>
      <c r="Z209" s="198"/>
      <c r="AA209" s="198"/>
    </row>
    <row r="210" ht="57.75" customHeight="1">
      <c r="A210" s="284">
        <v>36700.0</v>
      </c>
      <c r="B210" s="285" t="s">
        <v>21</v>
      </c>
      <c r="C210" s="285">
        <v>1074.0</v>
      </c>
      <c r="D210" s="285" t="s">
        <v>6900</v>
      </c>
      <c r="E210" s="287" t="s">
        <v>6901</v>
      </c>
      <c r="F210" s="285" t="s">
        <v>5919</v>
      </c>
      <c r="G210" s="288">
        <v>44703.0</v>
      </c>
      <c r="H210" s="285" t="s">
        <v>6902</v>
      </c>
      <c r="I210" s="285" t="s">
        <v>6902</v>
      </c>
      <c r="J210" s="288">
        <v>44714.0</v>
      </c>
      <c r="K210" s="294"/>
      <c r="L210" s="294"/>
      <c r="M210" s="290" t="s">
        <v>6903</v>
      </c>
      <c r="N210" s="285" t="s">
        <v>4635</v>
      </c>
      <c r="O210" s="299" t="s">
        <v>2621</v>
      </c>
      <c r="P210" s="300">
        <v>54497.02</v>
      </c>
      <c r="Q210" s="213"/>
      <c r="R210" s="198"/>
      <c r="S210" s="198"/>
      <c r="T210" s="198"/>
      <c r="U210" s="198"/>
      <c r="V210" s="198"/>
      <c r="W210" s="198"/>
      <c r="X210" s="198"/>
      <c r="Y210" s="198"/>
      <c r="Z210" s="198"/>
      <c r="AA210" s="198"/>
    </row>
    <row r="211" ht="57.75" customHeight="1">
      <c r="A211" s="284">
        <v>36630.0</v>
      </c>
      <c r="B211" s="285" t="s">
        <v>21</v>
      </c>
      <c r="C211" s="285">
        <v>1017.0</v>
      </c>
      <c r="D211" s="285" t="s">
        <v>6904</v>
      </c>
      <c r="E211" s="287" t="s">
        <v>6905</v>
      </c>
      <c r="F211" s="285" t="s">
        <v>5919</v>
      </c>
      <c r="G211" s="288">
        <v>44703.0</v>
      </c>
      <c r="H211" s="285" t="s">
        <v>6902</v>
      </c>
      <c r="I211" s="285" t="s">
        <v>6902</v>
      </c>
      <c r="J211" s="285" t="s">
        <v>6906</v>
      </c>
      <c r="K211" s="294"/>
      <c r="L211" s="294"/>
      <c r="M211" s="290" t="s">
        <v>6907</v>
      </c>
      <c r="N211" s="285" t="s">
        <v>4635</v>
      </c>
      <c r="O211" s="299" t="s">
        <v>2621</v>
      </c>
      <c r="P211" s="300">
        <v>56679.7</v>
      </c>
      <c r="Q211" s="213"/>
      <c r="R211" s="198"/>
      <c r="S211" s="198"/>
      <c r="T211" s="198"/>
      <c r="U211" s="198"/>
      <c r="V211" s="198"/>
      <c r="W211" s="198"/>
      <c r="X211" s="198"/>
      <c r="Y211" s="198"/>
      <c r="Z211" s="198"/>
      <c r="AA211" s="198"/>
    </row>
    <row r="212" ht="63.0" customHeight="1">
      <c r="A212" s="284">
        <v>36779.0</v>
      </c>
      <c r="B212" s="285" t="s">
        <v>21</v>
      </c>
      <c r="C212" s="285">
        <v>1100.0</v>
      </c>
      <c r="D212" s="285" t="s">
        <v>6908</v>
      </c>
      <c r="E212" s="287" t="s">
        <v>6909</v>
      </c>
      <c r="F212" s="285" t="s">
        <v>5919</v>
      </c>
      <c r="G212" s="288">
        <v>44703.0</v>
      </c>
      <c r="H212" s="288">
        <v>44698.0</v>
      </c>
      <c r="I212" s="288">
        <v>44698.0</v>
      </c>
      <c r="J212" s="288">
        <v>44720.0</v>
      </c>
      <c r="K212" s="294"/>
      <c r="L212" s="294"/>
      <c r="M212" s="290" t="s">
        <v>6910</v>
      </c>
      <c r="N212" s="285" t="s">
        <v>4635</v>
      </c>
      <c r="O212" s="299" t="s">
        <v>2621</v>
      </c>
      <c r="P212" s="300">
        <v>106018.92</v>
      </c>
      <c r="Q212" s="213"/>
      <c r="R212" s="198"/>
      <c r="S212" s="198"/>
      <c r="T212" s="198"/>
      <c r="U212" s="198"/>
      <c r="V212" s="198"/>
      <c r="W212" s="198"/>
      <c r="X212" s="198"/>
      <c r="Y212" s="198"/>
      <c r="Z212" s="198"/>
      <c r="AA212" s="198"/>
    </row>
    <row r="213" ht="57.75" customHeight="1">
      <c r="A213" s="284">
        <v>35853.0</v>
      </c>
      <c r="B213" s="285" t="s">
        <v>21</v>
      </c>
      <c r="C213" s="285">
        <v>1161.0</v>
      </c>
      <c r="D213" s="285" t="s">
        <v>6911</v>
      </c>
      <c r="E213" s="287" t="s">
        <v>5049</v>
      </c>
      <c r="F213" s="285" t="s">
        <v>5919</v>
      </c>
      <c r="G213" s="288">
        <v>44700.0</v>
      </c>
      <c r="H213" s="288">
        <v>44698.0</v>
      </c>
      <c r="I213" s="288">
        <v>44698.0</v>
      </c>
      <c r="J213" s="285" t="s">
        <v>6912</v>
      </c>
      <c r="K213" s="294"/>
      <c r="L213" s="294"/>
      <c r="M213" s="290" t="s">
        <v>6913</v>
      </c>
      <c r="N213" s="285" t="s">
        <v>497</v>
      </c>
      <c r="O213" s="299" t="s">
        <v>2604</v>
      </c>
      <c r="P213" s="300">
        <v>54301.6</v>
      </c>
      <c r="Q213" s="213"/>
      <c r="R213" s="198"/>
      <c r="S213" s="198"/>
      <c r="T213" s="198"/>
      <c r="U213" s="198"/>
      <c r="V213" s="198"/>
      <c r="W213" s="198"/>
      <c r="X213" s="198"/>
      <c r="Y213" s="198"/>
      <c r="Z213" s="198"/>
      <c r="AA213" s="198"/>
    </row>
    <row r="214" ht="57.75" customHeight="1">
      <c r="A214" s="284">
        <v>36268.0</v>
      </c>
      <c r="B214" s="285" t="s">
        <v>21</v>
      </c>
      <c r="C214" s="285">
        <v>4230.0</v>
      </c>
      <c r="D214" s="285" t="s">
        <v>6914</v>
      </c>
      <c r="E214" s="287" t="s">
        <v>4658</v>
      </c>
      <c r="F214" s="285" t="s">
        <v>5919</v>
      </c>
      <c r="G214" s="288">
        <v>44700.0</v>
      </c>
      <c r="H214" s="288">
        <v>44698.0</v>
      </c>
      <c r="I214" s="288">
        <v>44698.0</v>
      </c>
      <c r="J214" s="288">
        <v>44706.0</v>
      </c>
      <c r="K214" s="294"/>
      <c r="L214" s="294"/>
      <c r="M214" s="290" t="s">
        <v>6915</v>
      </c>
      <c r="N214" s="285" t="s">
        <v>497</v>
      </c>
      <c r="O214" s="299" t="s">
        <v>2554</v>
      </c>
      <c r="P214" s="300">
        <v>29906.1</v>
      </c>
      <c r="Q214" s="213"/>
      <c r="R214" s="198"/>
      <c r="S214" s="198"/>
      <c r="T214" s="198"/>
      <c r="U214" s="198"/>
      <c r="V214" s="198"/>
      <c r="W214" s="198"/>
      <c r="X214" s="198"/>
      <c r="Y214" s="198"/>
      <c r="Z214" s="198"/>
      <c r="AA214" s="198"/>
    </row>
    <row r="215" ht="57.75" customHeight="1">
      <c r="A215" s="284">
        <v>36270.0</v>
      </c>
      <c r="B215" s="285" t="s">
        <v>21</v>
      </c>
      <c r="C215" s="285">
        <v>4100.0</v>
      </c>
      <c r="D215" s="285" t="s">
        <v>6916</v>
      </c>
      <c r="E215" s="287" t="s">
        <v>6358</v>
      </c>
      <c r="F215" s="285" t="s">
        <v>5919</v>
      </c>
      <c r="G215" s="288">
        <v>44700.0</v>
      </c>
      <c r="H215" s="288">
        <v>44697.0</v>
      </c>
      <c r="I215" s="288">
        <v>44697.0</v>
      </c>
      <c r="J215" s="288">
        <v>44707.0</v>
      </c>
      <c r="K215" s="294"/>
      <c r="L215" s="294"/>
      <c r="M215" s="290" t="s">
        <v>6917</v>
      </c>
      <c r="N215" s="285" t="s">
        <v>497</v>
      </c>
      <c r="O215" s="299" t="s">
        <v>2554</v>
      </c>
      <c r="P215" s="300">
        <v>28290.0</v>
      </c>
      <c r="Q215" s="213"/>
      <c r="R215" s="198"/>
      <c r="S215" s="198"/>
      <c r="T215" s="198"/>
      <c r="U215" s="198"/>
      <c r="V215" s="198"/>
      <c r="W215" s="198"/>
      <c r="X215" s="198"/>
      <c r="Y215" s="198"/>
      <c r="Z215" s="198"/>
      <c r="AA215" s="198"/>
    </row>
    <row r="216" ht="57.75" customHeight="1">
      <c r="A216" s="284">
        <v>36636.0</v>
      </c>
      <c r="B216" s="299" t="s">
        <v>715</v>
      </c>
      <c r="C216" s="285">
        <v>1680.0</v>
      </c>
      <c r="D216" s="285" t="s">
        <v>6918</v>
      </c>
      <c r="E216" s="287" t="s">
        <v>4699</v>
      </c>
      <c r="F216" s="285" t="s">
        <v>5919</v>
      </c>
      <c r="G216" s="288">
        <v>44699.0</v>
      </c>
      <c r="H216" s="288">
        <v>44687.0</v>
      </c>
      <c r="I216" s="288">
        <v>44687.0</v>
      </c>
      <c r="J216" s="285" t="s">
        <v>6919</v>
      </c>
      <c r="K216" s="294"/>
      <c r="L216" s="294"/>
      <c r="M216" s="290" t="s">
        <v>6920</v>
      </c>
      <c r="N216" s="285" t="s">
        <v>4635</v>
      </c>
      <c r="O216" s="299" t="s">
        <v>2621</v>
      </c>
      <c r="P216" s="300">
        <v>51960.0</v>
      </c>
      <c r="Q216" s="213"/>
      <c r="R216" s="198"/>
      <c r="S216" s="198"/>
      <c r="T216" s="198"/>
      <c r="U216" s="198"/>
      <c r="V216" s="198"/>
      <c r="W216" s="198"/>
      <c r="X216" s="198"/>
      <c r="Y216" s="198"/>
      <c r="Z216" s="198"/>
      <c r="AA216" s="198"/>
    </row>
    <row r="217" ht="57.75" customHeight="1">
      <c r="A217" s="284" t="s">
        <v>6921</v>
      </c>
      <c r="B217" s="285" t="s">
        <v>25</v>
      </c>
      <c r="C217" s="285">
        <v>670.0</v>
      </c>
      <c r="D217" s="285" t="s">
        <v>6922</v>
      </c>
      <c r="E217" s="287" t="s">
        <v>6923</v>
      </c>
      <c r="F217" s="285" t="s">
        <v>5919</v>
      </c>
      <c r="G217" s="288">
        <v>44697.0</v>
      </c>
      <c r="H217" s="288" t="s">
        <v>6924</v>
      </c>
      <c r="I217" s="288" t="s">
        <v>6924</v>
      </c>
      <c r="J217" s="288">
        <v>44706.0</v>
      </c>
      <c r="K217" s="294"/>
      <c r="L217" s="294"/>
      <c r="M217" s="290" t="s">
        <v>6925</v>
      </c>
      <c r="N217" s="285" t="s">
        <v>4745</v>
      </c>
      <c r="O217" s="299" t="s">
        <v>4746</v>
      </c>
      <c r="P217" s="300">
        <v>184060.0</v>
      </c>
      <c r="Q217" s="213"/>
      <c r="R217" s="198"/>
      <c r="S217" s="198"/>
      <c r="T217" s="198"/>
      <c r="U217" s="198"/>
      <c r="V217" s="198"/>
      <c r="W217" s="198"/>
      <c r="X217" s="198"/>
      <c r="Y217" s="198"/>
      <c r="Z217" s="198"/>
      <c r="AA217" s="198"/>
    </row>
    <row r="218" ht="57.75" customHeight="1">
      <c r="A218" s="284">
        <v>36522.0</v>
      </c>
      <c r="B218" s="285" t="s">
        <v>25</v>
      </c>
      <c r="C218" s="285" t="s">
        <v>6926</v>
      </c>
      <c r="D218" s="285" t="s">
        <v>6927</v>
      </c>
      <c r="E218" s="287" t="s">
        <v>4641</v>
      </c>
      <c r="F218" s="285" t="s">
        <v>5919</v>
      </c>
      <c r="G218" s="288">
        <v>44696.0</v>
      </c>
      <c r="H218" s="288">
        <v>44691.0</v>
      </c>
      <c r="I218" s="288">
        <v>44691.0</v>
      </c>
      <c r="J218" s="285" t="s">
        <v>6928</v>
      </c>
      <c r="K218" s="294"/>
      <c r="L218" s="294"/>
      <c r="M218" s="290" t="s">
        <v>6929</v>
      </c>
      <c r="N218" s="285" t="s">
        <v>497</v>
      </c>
      <c r="O218" s="299" t="s">
        <v>2538</v>
      </c>
      <c r="P218" s="300">
        <v>368472.0</v>
      </c>
      <c r="Q218" s="213"/>
      <c r="R218" s="198"/>
      <c r="S218" s="198"/>
      <c r="T218" s="198"/>
      <c r="U218" s="198"/>
      <c r="V218" s="198"/>
      <c r="W218" s="198"/>
      <c r="X218" s="198"/>
      <c r="Y218" s="198"/>
      <c r="Z218" s="198"/>
      <c r="AA218" s="198"/>
    </row>
    <row r="219" ht="57.75" customHeight="1">
      <c r="A219" s="284">
        <v>36464.0</v>
      </c>
      <c r="B219" s="299" t="s">
        <v>715</v>
      </c>
      <c r="C219" s="285">
        <v>1222.0</v>
      </c>
      <c r="D219" s="285" t="s">
        <v>6930</v>
      </c>
      <c r="E219" s="287" t="s">
        <v>4804</v>
      </c>
      <c r="F219" s="285" t="s">
        <v>5919</v>
      </c>
      <c r="G219" s="288">
        <v>44696.0</v>
      </c>
      <c r="H219" s="288">
        <v>44690.0</v>
      </c>
      <c r="I219" s="288">
        <v>44690.0</v>
      </c>
      <c r="J219" s="288">
        <v>44700.0</v>
      </c>
      <c r="K219" s="294"/>
      <c r="L219" s="294"/>
      <c r="M219" s="290" t="s">
        <v>6931</v>
      </c>
      <c r="N219" s="285" t="s">
        <v>497</v>
      </c>
      <c r="O219" s="299" t="s">
        <v>2604</v>
      </c>
      <c r="P219" s="300">
        <v>18612.1</v>
      </c>
      <c r="Q219" s="213"/>
      <c r="R219" s="198"/>
      <c r="S219" s="198"/>
      <c r="T219" s="198"/>
      <c r="U219" s="198"/>
      <c r="V219" s="198"/>
      <c r="W219" s="198"/>
      <c r="X219" s="198"/>
      <c r="Y219" s="198"/>
      <c r="Z219" s="198"/>
      <c r="AA219" s="198"/>
    </row>
    <row r="220" ht="63.0" customHeight="1">
      <c r="A220" s="284">
        <v>35854.0</v>
      </c>
      <c r="B220" s="299" t="s">
        <v>715</v>
      </c>
      <c r="C220" s="285">
        <v>1161.0</v>
      </c>
      <c r="D220" s="285" t="s">
        <v>6932</v>
      </c>
      <c r="E220" s="287" t="s">
        <v>5049</v>
      </c>
      <c r="F220" s="285" t="s">
        <v>5919</v>
      </c>
      <c r="G220" s="288">
        <v>44696.0</v>
      </c>
      <c r="H220" s="288">
        <v>44690.0</v>
      </c>
      <c r="I220" s="288">
        <v>44690.0</v>
      </c>
      <c r="J220" s="288">
        <v>44700.0</v>
      </c>
      <c r="K220" s="294"/>
      <c r="L220" s="294"/>
      <c r="M220" s="290" t="s">
        <v>6933</v>
      </c>
      <c r="N220" s="285" t="s">
        <v>497</v>
      </c>
      <c r="O220" s="299" t="s">
        <v>2604</v>
      </c>
      <c r="P220" s="300">
        <v>54301.6</v>
      </c>
      <c r="Q220" s="213"/>
      <c r="R220" s="198"/>
      <c r="S220" s="198"/>
      <c r="T220" s="198"/>
      <c r="U220" s="198"/>
      <c r="V220" s="198"/>
      <c r="W220" s="198"/>
      <c r="X220" s="198"/>
      <c r="Y220" s="198"/>
      <c r="Z220" s="198"/>
      <c r="AA220" s="198"/>
    </row>
    <row r="221" ht="63.75" customHeight="1">
      <c r="A221" s="284">
        <v>36701.0</v>
      </c>
      <c r="B221" s="299" t="s">
        <v>715</v>
      </c>
      <c r="C221" s="285">
        <v>1300.0</v>
      </c>
      <c r="D221" s="285" t="s">
        <v>6934</v>
      </c>
      <c r="E221" s="287" t="s">
        <v>6935</v>
      </c>
      <c r="F221" s="285" t="s">
        <v>5919</v>
      </c>
      <c r="G221" s="288">
        <v>44696.0</v>
      </c>
      <c r="H221" s="288">
        <v>44690.0</v>
      </c>
      <c r="I221" s="288">
        <v>44690.0</v>
      </c>
      <c r="J221" s="288">
        <v>44706.0</v>
      </c>
      <c r="K221" s="294"/>
      <c r="L221" s="294"/>
      <c r="M221" s="290" t="s">
        <v>6936</v>
      </c>
      <c r="N221" s="285" t="s">
        <v>4635</v>
      </c>
      <c r="O221" s="299" t="s">
        <v>2621</v>
      </c>
      <c r="P221" s="300">
        <v>126228.32</v>
      </c>
      <c r="Q221" s="213"/>
      <c r="R221" s="198"/>
      <c r="S221" s="198"/>
      <c r="T221" s="198"/>
      <c r="U221" s="198"/>
      <c r="V221" s="198"/>
      <c r="W221" s="198"/>
      <c r="X221" s="198"/>
      <c r="Y221" s="198"/>
      <c r="Z221" s="198"/>
      <c r="AA221" s="198"/>
    </row>
    <row r="222" ht="57.75" customHeight="1">
      <c r="A222" s="284">
        <v>36317.0</v>
      </c>
      <c r="B222" s="299" t="s">
        <v>715</v>
      </c>
      <c r="C222" s="285">
        <v>1290.0</v>
      </c>
      <c r="D222" s="285" t="s">
        <v>6937</v>
      </c>
      <c r="E222" s="287" t="s">
        <v>6938</v>
      </c>
      <c r="F222" s="285" t="s">
        <v>5919</v>
      </c>
      <c r="G222" s="288">
        <v>44695.0</v>
      </c>
      <c r="H222" s="288">
        <v>44690.0</v>
      </c>
      <c r="I222" s="288">
        <v>44690.0</v>
      </c>
      <c r="J222" s="288">
        <v>44699.0</v>
      </c>
      <c r="K222" s="294"/>
      <c r="L222" s="294"/>
      <c r="M222" s="290" t="s">
        <v>6939</v>
      </c>
      <c r="N222" s="285" t="s">
        <v>497</v>
      </c>
      <c r="O222" s="299" t="s">
        <v>2554</v>
      </c>
      <c r="P222" s="300">
        <v>44249.58</v>
      </c>
      <c r="Q222" s="213"/>
      <c r="R222" s="198"/>
      <c r="S222" s="198"/>
      <c r="T222" s="198"/>
      <c r="U222" s="198"/>
      <c r="V222" s="198"/>
      <c r="W222" s="198"/>
      <c r="X222" s="198"/>
      <c r="Y222" s="198"/>
      <c r="Z222" s="198"/>
      <c r="AA222" s="198"/>
    </row>
    <row r="223" ht="57.75" customHeight="1">
      <c r="A223" s="284">
        <v>36318.0</v>
      </c>
      <c r="B223" s="299" t="s">
        <v>715</v>
      </c>
      <c r="C223" s="285">
        <v>1290.0</v>
      </c>
      <c r="D223" s="285" t="s">
        <v>6940</v>
      </c>
      <c r="E223" s="287" t="s">
        <v>4713</v>
      </c>
      <c r="F223" s="285" t="s">
        <v>5919</v>
      </c>
      <c r="G223" s="288">
        <v>44695.0</v>
      </c>
      <c r="H223" s="288">
        <v>44690.0</v>
      </c>
      <c r="I223" s="288">
        <v>44690.0</v>
      </c>
      <c r="J223" s="288">
        <v>44698.0</v>
      </c>
      <c r="K223" s="294"/>
      <c r="L223" s="294"/>
      <c r="M223" s="290" t="s">
        <v>6941</v>
      </c>
      <c r="N223" s="285" t="s">
        <v>497</v>
      </c>
      <c r="O223" s="299" t="s">
        <v>2554</v>
      </c>
      <c r="P223" s="300">
        <v>44249.58</v>
      </c>
      <c r="Q223" s="213"/>
      <c r="R223" s="198"/>
      <c r="S223" s="198"/>
      <c r="T223" s="198"/>
      <c r="U223" s="198"/>
      <c r="V223" s="198"/>
      <c r="W223" s="198"/>
      <c r="X223" s="198"/>
      <c r="Y223" s="198"/>
      <c r="Z223" s="198"/>
      <c r="AA223" s="198"/>
    </row>
    <row r="224" ht="57.75" customHeight="1">
      <c r="A224" s="284">
        <v>36801.0</v>
      </c>
      <c r="B224" s="285" t="s">
        <v>21</v>
      </c>
      <c r="C224" s="285">
        <v>940.0</v>
      </c>
      <c r="D224" s="285" t="s">
        <v>6942</v>
      </c>
      <c r="E224" s="287" t="s">
        <v>6332</v>
      </c>
      <c r="F224" s="285" t="s">
        <v>5919</v>
      </c>
      <c r="G224" s="288">
        <v>44694.0</v>
      </c>
      <c r="H224" s="288">
        <v>44690.0</v>
      </c>
      <c r="I224" s="288">
        <v>44690.0</v>
      </c>
      <c r="J224" s="288">
        <v>44725.0</v>
      </c>
      <c r="K224" s="294"/>
      <c r="L224" s="294"/>
      <c r="M224" s="290" t="s">
        <v>6943</v>
      </c>
      <c r="N224" s="285" t="s">
        <v>4635</v>
      </c>
      <c r="O224" s="299" t="s">
        <v>2621</v>
      </c>
      <c r="P224" s="300">
        <v>59786.8</v>
      </c>
      <c r="Q224" s="213"/>
      <c r="R224" s="198"/>
      <c r="S224" s="198"/>
      <c r="T224" s="198"/>
      <c r="U224" s="198"/>
      <c r="V224" s="198"/>
      <c r="W224" s="198"/>
      <c r="X224" s="198"/>
      <c r="Y224" s="198"/>
      <c r="Z224" s="198"/>
      <c r="AA224" s="198"/>
    </row>
    <row r="225" ht="57.75" customHeight="1">
      <c r="A225" s="284">
        <v>36853.0</v>
      </c>
      <c r="B225" s="285" t="s">
        <v>21</v>
      </c>
      <c r="C225" s="285">
        <v>1258.0</v>
      </c>
      <c r="D225" s="285" t="s">
        <v>6944</v>
      </c>
      <c r="E225" s="287" t="s">
        <v>6945</v>
      </c>
      <c r="F225" s="285" t="s">
        <v>5919</v>
      </c>
      <c r="G225" s="288">
        <v>44694.0</v>
      </c>
      <c r="H225" s="288">
        <v>44690.0</v>
      </c>
      <c r="I225" s="288">
        <v>44690.0</v>
      </c>
      <c r="J225" s="288">
        <v>44721.0</v>
      </c>
      <c r="K225" s="294"/>
      <c r="L225" s="294"/>
      <c r="M225" s="290" t="s">
        <v>6946</v>
      </c>
      <c r="N225" s="285" t="s">
        <v>4635</v>
      </c>
      <c r="O225" s="299" t="s">
        <v>2621</v>
      </c>
      <c r="P225" s="300">
        <v>118458.14</v>
      </c>
      <c r="Q225" s="213"/>
      <c r="R225" s="198"/>
      <c r="S225" s="198"/>
      <c r="T225" s="198"/>
      <c r="U225" s="198"/>
      <c r="V225" s="198"/>
      <c r="W225" s="198"/>
      <c r="X225" s="198"/>
      <c r="Y225" s="198"/>
      <c r="Z225" s="198"/>
      <c r="AA225" s="198"/>
    </row>
    <row r="226" ht="57.75" customHeight="1">
      <c r="A226" s="284">
        <v>36802.0</v>
      </c>
      <c r="B226" s="285" t="s">
        <v>21</v>
      </c>
      <c r="C226" s="285">
        <v>940.0</v>
      </c>
      <c r="D226" s="285" t="s">
        <v>6947</v>
      </c>
      <c r="E226" s="287" t="s">
        <v>4295</v>
      </c>
      <c r="F226" s="285" t="s">
        <v>5919</v>
      </c>
      <c r="G226" s="288">
        <v>44694.0</v>
      </c>
      <c r="H226" s="288">
        <v>44690.0</v>
      </c>
      <c r="I226" s="288">
        <v>44690.0</v>
      </c>
      <c r="J226" s="288">
        <v>44722.0</v>
      </c>
      <c r="K226" s="294"/>
      <c r="L226" s="294"/>
      <c r="M226" s="290" t="s">
        <v>6948</v>
      </c>
      <c r="N226" s="285" t="s">
        <v>4635</v>
      </c>
      <c r="O226" s="299" t="s">
        <v>2621</v>
      </c>
      <c r="P226" s="300">
        <v>59786.8</v>
      </c>
      <c r="Q226" s="213"/>
      <c r="R226" s="198"/>
      <c r="S226" s="198"/>
      <c r="T226" s="198"/>
      <c r="U226" s="198"/>
      <c r="V226" s="198"/>
      <c r="W226" s="198"/>
      <c r="X226" s="198"/>
      <c r="Y226" s="198"/>
      <c r="Z226" s="198"/>
      <c r="AA226" s="198"/>
    </row>
    <row r="227" ht="57.75" customHeight="1">
      <c r="A227" s="284">
        <v>36238.0</v>
      </c>
      <c r="B227" s="285" t="s">
        <v>21</v>
      </c>
      <c r="C227" s="285">
        <v>2400.0</v>
      </c>
      <c r="D227" s="285" t="s">
        <v>6949</v>
      </c>
      <c r="E227" s="287" t="s">
        <v>6435</v>
      </c>
      <c r="F227" s="285" t="s">
        <v>5919</v>
      </c>
      <c r="G227" s="288">
        <v>44694.0</v>
      </c>
      <c r="H227" s="288">
        <v>44690.0</v>
      </c>
      <c r="I227" s="288">
        <v>44690.0</v>
      </c>
      <c r="J227" s="285" t="s">
        <v>6950</v>
      </c>
      <c r="K227" s="294"/>
      <c r="L227" s="294"/>
      <c r="M227" s="290" t="s">
        <v>6951</v>
      </c>
      <c r="N227" s="285" t="s">
        <v>497</v>
      </c>
      <c r="O227" s="299" t="s">
        <v>2554</v>
      </c>
      <c r="P227" s="300">
        <v>37200.0</v>
      </c>
      <c r="Q227" s="213"/>
      <c r="R227" s="198"/>
      <c r="S227" s="198"/>
      <c r="T227" s="198"/>
      <c r="U227" s="198"/>
      <c r="V227" s="198"/>
      <c r="W227" s="198"/>
      <c r="X227" s="198"/>
      <c r="Y227" s="198"/>
      <c r="Z227" s="198"/>
      <c r="AA227" s="198"/>
    </row>
    <row r="228" ht="57.75" customHeight="1">
      <c r="A228" s="284">
        <v>36265.0</v>
      </c>
      <c r="B228" s="285" t="s">
        <v>21</v>
      </c>
      <c r="C228" s="285">
        <v>2400.0</v>
      </c>
      <c r="D228" s="285" t="s">
        <v>6952</v>
      </c>
      <c r="E228" s="287" t="s">
        <v>6435</v>
      </c>
      <c r="F228" s="285" t="s">
        <v>5919</v>
      </c>
      <c r="G228" s="288">
        <v>44694.0</v>
      </c>
      <c r="H228" s="288">
        <v>44690.0</v>
      </c>
      <c r="I228" s="288">
        <v>44690.0</v>
      </c>
      <c r="J228" s="285" t="s">
        <v>6953</v>
      </c>
      <c r="K228" s="294"/>
      <c r="L228" s="294"/>
      <c r="M228" s="290" t="s">
        <v>6954</v>
      </c>
      <c r="N228" s="285" t="s">
        <v>497</v>
      </c>
      <c r="O228" s="299" t="s">
        <v>2554</v>
      </c>
      <c r="P228" s="300">
        <v>37200.0</v>
      </c>
      <c r="Q228" s="213"/>
      <c r="R228" s="198"/>
      <c r="S228" s="198"/>
      <c r="T228" s="198"/>
      <c r="U228" s="198"/>
      <c r="V228" s="198"/>
      <c r="W228" s="198"/>
      <c r="X228" s="198"/>
      <c r="Y228" s="198"/>
      <c r="Z228" s="198"/>
      <c r="AA228" s="198"/>
    </row>
    <row r="229" ht="57.75" customHeight="1">
      <c r="A229" s="284">
        <v>36629.0</v>
      </c>
      <c r="B229" s="299" t="s">
        <v>715</v>
      </c>
      <c r="C229" s="285">
        <v>1260.0</v>
      </c>
      <c r="D229" s="285" t="s">
        <v>6955</v>
      </c>
      <c r="E229" s="287" t="s">
        <v>4782</v>
      </c>
      <c r="F229" s="285" t="s">
        <v>5919</v>
      </c>
      <c r="G229" s="288">
        <v>44694.0</v>
      </c>
      <c r="H229" s="288">
        <v>44677.0</v>
      </c>
      <c r="I229" s="288">
        <v>44677.0</v>
      </c>
      <c r="J229" s="285" t="s">
        <v>6956</v>
      </c>
      <c r="K229" s="294"/>
      <c r="L229" s="294"/>
      <c r="M229" s="290" t="s">
        <v>6957</v>
      </c>
      <c r="N229" s="285" t="s">
        <v>4635</v>
      </c>
      <c r="O229" s="299" t="s">
        <v>2621</v>
      </c>
      <c r="P229" s="300">
        <v>45802.8</v>
      </c>
      <c r="Q229" s="213"/>
      <c r="R229" s="198"/>
      <c r="S229" s="198"/>
      <c r="T229" s="198"/>
      <c r="U229" s="198"/>
      <c r="V229" s="198"/>
      <c r="W229" s="198"/>
      <c r="X229" s="198"/>
      <c r="Y229" s="198"/>
      <c r="Z229" s="198"/>
      <c r="AA229" s="198"/>
    </row>
    <row r="230" ht="57.75" customHeight="1">
      <c r="A230" s="370">
        <v>36165.0</v>
      </c>
      <c r="B230" s="299" t="s">
        <v>715</v>
      </c>
      <c r="C230" s="285">
        <v>1800.0</v>
      </c>
      <c r="D230" s="285" t="s">
        <v>6958</v>
      </c>
      <c r="E230" s="287" t="s">
        <v>3740</v>
      </c>
      <c r="F230" s="285" t="s">
        <v>5919</v>
      </c>
      <c r="G230" s="288">
        <v>44693.0</v>
      </c>
      <c r="H230" s="288">
        <v>44690.0</v>
      </c>
      <c r="I230" s="288">
        <v>44690.0</v>
      </c>
      <c r="J230" s="288">
        <v>44699.0</v>
      </c>
      <c r="K230" s="294"/>
      <c r="L230" s="294"/>
      <c r="M230" s="290" t="s">
        <v>6959</v>
      </c>
      <c r="N230" s="285" t="s">
        <v>497</v>
      </c>
      <c r="O230" s="299" t="s">
        <v>4711</v>
      </c>
      <c r="P230" s="300">
        <v>38169.72</v>
      </c>
      <c r="Q230" s="213"/>
      <c r="R230" s="198"/>
      <c r="S230" s="198"/>
      <c r="T230" s="198"/>
      <c r="U230" s="198"/>
      <c r="V230" s="198"/>
      <c r="W230" s="198"/>
      <c r="X230" s="198"/>
      <c r="Y230" s="198"/>
      <c r="Z230" s="198"/>
      <c r="AA230" s="198"/>
    </row>
    <row r="231" ht="61.5" customHeight="1">
      <c r="A231" s="284">
        <v>36164.0</v>
      </c>
      <c r="B231" s="299" t="s">
        <v>715</v>
      </c>
      <c r="C231" s="285">
        <v>1575.0</v>
      </c>
      <c r="D231" s="285" t="s">
        <v>6960</v>
      </c>
      <c r="E231" s="287" t="s">
        <v>3740</v>
      </c>
      <c r="F231" s="285" t="s">
        <v>5919</v>
      </c>
      <c r="G231" s="288">
        <v>44693.0</v>
      </c>
      <c r="H231" s="288">
        <v>44690.0</v>
      </c>
      <c r="I231" s="288">
        <v>44690.0</v>
      </c>
      <c r="J231" s="288">
        <v>44698.0</v>
      </c>
      <c r="K231" s="294"/>
      <c r="L231" s="294"/>
      <c r="M231" s="290" t="s">
        <v>6961</v>
      </c>
      <c r="N231" s="285" t="s">
        <v>497</v>
      </c>
      <c r="O231" s="299" t="s">
        <v>4711</v>
      </c>
      <c r="P231" s="300">
        <v>33398.51</v>
      </c>
      <c r="Q231" s="213"/>
      <c r="R231" s="198"/>
      <c r="S231" s="198"/>
      <c r="T231" s="198"/>
      <c r="U231" s="198"/>
      <c r="V231" s="198"/>
      <c r="W231" s="198"/>
      <c r="X231" s="198"/>
      <c r="Y231" s="198"/>
      <c r="Z231" s="198"/>
      <c r="AA231" s="198"/>
    </row>
    <row r="232" ht="60.75" customHeight="1">
      <c r="A232" s="284">
        <v>36325.0</v>
      </c>
      <c r="B232" s="285" t="s">
        <v>21</v>
      </c>
      <c r="C232" s="285">
        <v>4503.0</v>
      </c>
      <c r="D232" s="285" t="s">
        <v>6962</v>
      </c>
      <c r="E232" s="287" t="s">
        <v>3903</v>
      </c>
      <c r="F232" s="285" t="s">
        <v>5919</v>
      </c>
      <c r="G232" s="288">
        <v>44693.0</v>
      </c>
      <c r="H232" s="288">
        <v>44687.0</v>
      </c>
      <c r="I232" s="288">
        <v>44687.0</v>
      </c>
      <c r="J232" s="288">
        <v>44704.0</v>
      </c>
      <c r="K232" s="294"/>
      <c r="L232" s="294"/>
      <c r="M232" s="290" t="s">
        <v>6963</v>
      </c>
      <c r="N232" s="285" t="s">
        <v>4635</v>
      </c>
      <c r="O232" s="299" t="s">
        <v>2621</v>
      </c>
      <c r="P232" s="300">
        <v>122010.0</v>
      </c>
      <c r="Q232" s="213"/>
      <c r="R232" s="198"/>
      <c r="S232" s="198"/>
      <c r="T232" s="198"/>
      <c r="U232" s="198"/>
      <c r="V232" s="198"/>
      <c r="W232" s="198"/>
      <c r="X232" s="198"/>
      <c r="Y232" s="198"/>
      <c r="Z232" s="198"/>
      <c r="AA232" s="198"/>
    </row>
    <row r="233" ht="65.25" customHeight="1">
      <c r="A233" s="284">
        <v>36267.0</v>
      </c>
      <c r="B233" s="285" t="s">
        <v>21</v>
      </c>
      <c r="C233" s="285">
        <v>4230.0</v>
      </c>
      <c r="D233" s="285" t="s">
        <v>6964</v>
      </c>
      <c r="E233" s="287" t="s">
        <v>4690</v>
      </c>
      <c r="F233" s="285" t="s">
        <v>5919</v>
      </c>
      <c r="G233" s="288">
        <v>44693.0</v>
      </c>
      <c r="H233" s="288">
        <v>44686.0</v>
      </c>
      <c r="I233" s="288">
        <v>44686.0</v>
      </c>
      <c r="J233" s="285" t="s">
        <v>6965</v>
      </c>
      <c r="K233" s="294"/>
      <c r="L233" s="294"/>
      <c r="M233" s="290" t="s">
        <v>6966</v>
      </c>
      <c r="N233" s="285" t="s">
        <v>497</v>
      </c>
      <c r="O233" s="299" t="s">
        <v>2554</v>
      </c>
      <c r="P233" s="300">
        <v>29060.1</v>
      </c>
      <c r="Q233" s="213"/>
      <c r="R233" s="198"/>
      <c r="S233" s="198"/>
      <c r="T233" s="198"/>
      <c r="U233" s="198"/>
      <c r="V233" s="198"/>
      <c r="W233" s="198"/>
      <c r="X233" s="198"/>
      <c r="Y233" s="198"/>
      <c r="Z233" s="198"/>
      <c r="AA233" s="198"/>
    </row>
    <row r="234" ht="70.5" customHeight="1">
      <c r="A234" s="284">
        <v>36031.0</v>
      </c>
      <c r="B234" s="285" t="s">
        <v>21</v>
      </c>
      <c r="C234" s="285">
        <v>2430.0</v>
      </c>
      <c r="D234" s="285" t="s">
        <v>6967</v>
      </c>
      <c r="E234" s="287" t="s">
        <v>6968</v>
      </c>
      <c r="F234" s="285" t="s">
        <v>5919</v>
      </c>
      <c r="G234" s="288">
        <v>44693.0</v>
      </c>
      <c r="H234" s="288">
        <v>44685.0</v>
      </c>
      <c r="I234" s="288">
        <v>44685.0</v>
      </c>
      <c r="J234" s="285" t="s">
        <v>6969</v>
      </c>
      <c r="K234" s="294"/>
      <c r="L234" s="294"/>
      <c r="M234" s="290" t="s">
        <v>6970</v>
      </c>
      <c r="N234" s="285" t="s">
        <v>497</v>
      </c>
      <c r="O234" s="299" t="s">
        <v>2554</v>
      </c>
      <c r="P234" s="300">
        <v>54189.0</v>
      </c>
      <c r="Q234" s="213"/>
      <c r="R234" s="198"/>
      <c r="S234" s="198"/>
      <c r="T234" s="198"/>
      <c r="U234" s="198"/>
      <c r="V234" s="198"/>
      <c r="W234" s="198"/>
      <c r="X234" s="198"/>
      <c r="Y234" s="198"/>
      <c r="Z234" s="198"/>
      <c r="AA234" s="198"/>
    </row>
    <row r="235" ht="63.0" customHeight="1">
      <c r="A235" s="284">
        <v>36520.0</v>
      </c>
      <c r="B235" s="285" t="s">
        <v>21</v>
      </c>
      <c r="C235" s="285">
        <v>1110.0</v>
      </c>
      <c r="D235" s="285" t="s">
        <v>6971</v>
      </c>
      <c r="E235" s="287" t="s">
        <v>6972</v>
      </c>
      <c r="F235" s="285" t="s">
        <v>5919</v>
      </c>
      <c r="G235" s="288">
        <v>44690.0</v>
      </c>
      <c r="H235" s="288">
        <v>44683.0</v>
      </c>
      <c r="I235" s="288">
        <v>44683.0</v>
      </c>
      <c r="J235" s="288">
        <v>44725.0</v>
      </c>
      <c r="K235" s="294"/>
      <c r="L235" s="294"/>
      <c r="M235" s="290" t="s">
        <v>6973</v>
      </c>
      <c r="N235" s="285" t="s">
        <v>4635</v>
      </c>
      <c r="O235" s="299" t="s">
        <v>2621</v>
      </c>
      <c r="P235" s="300">
        <v>130569.5</v>
      </c>
      <c r="Q235" s="213"/>
      <c r="R235" s="198"/>
      <c r="S235" s="198"/>
      <c r="T235" s="198"/>
      <c r="U235" s="198"/>
      <c r="V235" s="198"/>
      <c r="W235" s="198"/>
      <c r="X235" s="198"/>
      <c r="Y235" s="198"/>
      <c r="Z235" s="198"/>
      <c r="AA235" s="198"/>
    </row>
    <row r="236" ht="57.75" customHeight="1">
      <c r="A236" s="284">
        <v>36310.0</v>
      </c>
      <c r="B236" s="299" t="s">
        <v>715</v>
      </c>
      <c r="C236" s="285">
        <v>4521.0</v>
      </c>
      <c r="D236" s="285" t="s">
        <v>6974</v>
      </c>
      <c r="E236" s="287" t="s">
        <v>6975</v>
      </c>
      <c r="F236" s="285" t="s">
        <v>5919</v>
      </c>
      <c r="G236" s="288">
        <v>44688.0</v>
      </c>
      <c r="H236" s="288">
        <v>44683.0</v>
      </c>
      <c r="I236" s="288">
        <v>44683.0</v>
      </c>
      <c r="J236" s="285" t="s">
        <v>6976</v>
      </c>
      <c r="K236" s="294"/>
      <c r="L236" s="294"/>
      <c r="M236" s="290" t="s">
        <v>6977</v>
      </c>
      <c r="N236" s="285" t="s">
        <v>497</v>
      </c>
      <c r="O236" s="299" t="s">
        <v>4662</v>
      </c>
      <c r="P236" s="300">
        <v>67399.71</v>
      </c>
      <c r="Q236" s="213"/>
      <c r="R236" s="198"/>
      <c r="S236" s="198"/>
      <c r="T236" s="198"/>
      <c r="U236" s="198"/>
      <c r="V236" s="198"/>
      <c r="W236" s="198"/>
      <c r="X236" s="198"/>
      <c r="Y236" s="198"/>
      <c r="Z236" s="198"/>
      <c r="AA236" s="198"/>
    </row>
    <row r="237" ht="57.75" customHeight="1">
      <c r="A237" s="284">
        <v>36314.0</v>
      </c>
      <c r="B237" s="299" t="s">
        <v>715</v>
      </c>
      <c r="C237" s="285">
        <v>2034.0</v>
      </c>
      <c r="D237" s="285" t="s">
        <v>6978</v>
      </c>
      <c r="E237" s="287" t="s">
        <v>6975</v>
      </c>
      <c r="F237" s="285" t="s">
        <v>5919</v>
      </c>
      <c r="G237" s="288">
        <v>44688.0</v>
      </c>
      <c r="H237" s="288">
        <v>44683.0</v>
      </c>
      <c r="I237" s="288">
        <v>44683.0</v>
      </c>
      <c r="J237" s="285" t="s">
        <v>6979</v>
      </c>
      <c r="K237" s="294"/>
      <c r="L237" s="294"/>
      <c r="M237" s="290" t="s">
        <v>6980</v>
      </c>
      <c r="N237" s="285" t="s">
        <v>497</v>
      </c>
      <c r="O237" s="299" t="s">
        <v>4662</v>
      </c>
      <c r="P237" s="300">
        <v>30003.75</v>
      </c>
      <c r="Q237" s="213"/>
      <c r="R237" s="198"/>
      <c r="S237" s="198"/>
      <c r="T237" s="198"/>
      <c r="U237" s="198"/>
      <c r="V237" s="198"/>
      <c r="W237" s="198"/>
      <c r="X237" s="198"/>
      <c r="Y237" s="198"/>
      <c r="Z237" s="198"/>
      <c r="AA237" s="198"/>
    </row>
    <row r="238" ht="57.75" customHeight="1">
      <c r="A238" s="284">
        <v>36697.0</v>
      </c>
      <c r="B238" s="299" t="s">
        <v>715</v>
      </c>
      <c r="C238" s="285">
        <v>940.0</v>
      </c>
      <c r="D238" s="285" t="s">
        <v>6981</v>
      </c>
      <c r="E238" s="287" t="s">
        <v>4295</v>
      </c>
      <c r="F238" s="285" t="s">
        <v>5919</v>
      </c>
      <c r="G238" s="288">
        <v>44687.0</v>
      </c>
      <c r="H238" s="288">
        <v>44684.0</v>
      </c>
      <c r="I238" s="288">
        <v>44684.0</v>
      </c>
      <c r="J238" s="288">
        <v>44692.0</v>
      </c>
      <c r="K238" s="294"/>
      <c r="L238" s="294"/>
      <c r="M238" s="290" t="s">
        <v>6982</v>
      </c>
      <c r="N238" s="285" t="s">
        <v>4635</v>
      </c>
      <c r="O238" s="299" t="s">
        <v>2621</v>
      </c>
      <c r="P238" s="300">
        <v>60957.6</v>
      </c>
      <c r="Q238" s="213"/>
      <c r="R238" s="198"/>
      <c r="S238" s="198"/>
      <c r="T238" s="198"/>
      <c r="U238" s="198"/>
      <c r="V238" s="198"/>
      <c r="W238" s="198"/>
      <c r="X238" s="198"/>
      <c r="Y238" s="198"/>
      <c r="Z238" s="198"/>
      <c r="AA238" s="198"/>
    </row>
    <row r="239" ht="57.75" customHeight="1">
      <c r="A239" s="284">
        <v>36698.0</v>
      </c>
      <c r="B239" s="299" t="s">
        <v>715</v>
      </c>
      <c r="C239" s="285">
        <v>940.0</v>
      </c>
      <c r="D239" s="285" t="s">
        <v>6983</v>
      </c>
      <c r="E239" s="287" t="s">
        <v>4295</v>
      </c>
      <c r="F239" s="285" t="s">
        <v>5919</v>
      </c>
      <c r="G239" s="288">
        <v>44687.0</v>
      </c>
      <c r="H239" s="288">
        <v>44683.0</v>
      </c>
      <c r="I239" s="288">
        <v>44683.0</v>
      </c>
      <c r="J239" s="288">
        <v>44693.0</v>
      </c>
      <c r="K239" s="294"/>
      <c r="L239" s="294"/>
      <c r="M239" s="290" t="s">
        <v>6984</v>
      </c>
      <c r="N239" s="285" t="s">
        <v>4635</v>
      </c>
      <c r="O239" s="299" t="s">
        <v>2621</v>
      </c>
      <c r="P239" s="300">
        <v>60957.6</v>
      </c>
      <c r="Q239" s="213"/>
      <c r="R239" s="198"/>
      <c r="S239" s="198"/>
      <c r="T239" s="198"/>
      <c r="U239" s="198"/>
      <c r="V239" s="198"/>
      <c r="W239" s="198"/>
      <c r="X239" s="198"/>
      <c r="Y239" s="198"/>
      <c r="Z239" s="198"/>
      <c r="AA239" s="198"/>
    </row>
    <row r="240" ht="60.75" customHeight="1">
      <c r="A240" s="284">
        <v>36285.0</v>
      </c>
      <c r="B240" s="285" t="s">
        <v>25</v>
      </c>
      <c r="C240" s="285">
        <v>2100.0</v>
      </c>
      <c r="D240" s="285" t="s">
        <v>6985</v>
      </c>
      <c r="E240" s="287" t="s">
        <v>4637</v>
      </c>
      <c r="F240" s="285" t="s">
        <v>5919</v>
      </c>
      <c r="G240" s="288">
        <v>44686.0</v>
      </c>
      <c r="H240" s="288">
        <v>44677.0</v>
      </c>
      <c r="I240" s="288">
        <v>44677.0</v>
      </c>
      <c r="J240" s="288">
        <v>44692.0</v>
      </c>
      <c r="K240" s="294"/>
      <c r="L240" s="294"/>
      <c r="M240" s="290" t="s">
        <v>6986</v>
      </c>
      <c r="N240" s="285" t="s">
        <v>497</v>
      </c>
      <c r="O240" s="299" t="s">
        <v>2554</v>
      </c>
      <c r="P240" s="300">
        <v>29190.0</v>
      </c>
      <c r="Q240" s="213"/>
      <c r="R240" s="198"/>
      <c r="S240" s="198"/>
      <c r="T240" s="198"/>
      <c r="U240" s="198"/>
      <c r="V240" s="198"/>
      <c r="W240" s="198"/>
      <c r="X240" s="198"/>
      <c r="Y240" s="198"/>
      <c r="Z240" s="198"/>
      <c r="AA240" s="198"/>
    </row>
    <row r="241" ht="57.75" customHeight="1">
      <c r="A241" s="284">
        <v>36012.0</v>
      </c>
      <c r="B241" s="285" t="s">
        <v>25</v>
      </c>
      <c r="C241" s="285">
        <v>2100.0</v>
      </c>
      <c r="D241" s="285" t="s">
        <v>6987</v>
      </c>
      <c r="E241" s="287" t="s">
        <v>6988</v>
      </c>
      <c r="F241" s="285" t="s">
        <v>5919</v>
      </c>
      <c r="G241" s="288">
        <v>44686.0</v>
      </c>
      <c r="H241" s="288">
        <v>44676.0</v>
      </c>
      <c r="I241" s="288">
        <v>44676.0</v>
      </c>
      <c r="J241" s="288">
        <v>44693.0</v>
      </c>
      <c r="K241" s="294"/>
      <c r="L241" s="294"/>
      <c r="M241" s="290" t="s">
        <v>6989</v>
      </c>
      <c r="N241" s="285" t="s">
        <v>497</v>
      </c>
      <c r="O241" s="299" t="s">
        <v>2554</v>
      </c>
      <c r="P241" s="300">
        <v>37290.0</v>
      </c>
      <c r="Q241" s="213"/>
      <c r="R241" s="198"/>
      <c r="S241" s="198"/>
      <c r="T241" s="198"/>
      <c r="U241" s="198"/>
      <c r="V241" s="198"/>
      <c r="W241" s="198"/>
      <c r="X241" s="198"/>
      <c r="Y241" s="198"/>
      <c r="Z241" s="198"/>
      <c r="AA241" s="198"/>
    </row>
    <row r="242" ht="65.25" customHeight="1">
      <c r="A242" s="284">
        <v>36639.0</v>
      </c>
      <c r="B242" s="285" t="s">
        <v>21</v>
      </c>
      <c r="C242" s="285">
        <v>1260.0</v>
      </c>
      <c r="D242" s="285" t="s">
        <v>6990</v>
      </c>
      <c r="E242" s="287" t="s">
        <v>6991</v>
      </c>
      <c r="F242" s="285" t="s">
        <v>5919</v>
      </c>
      <c r="G242" s="288">
        <v>44686.0</v>
      </c>
      <c r="H242" s="288">
        <v>44676.0</v>
      </c>
      <c r="I242" s="288">
        <v>44676.0</v>
      </c>
      <c r="J242" s="288">
        <v>44708.0</v>
      </c>
      <c r="K242" s="294"/>
      <c r="L242" s="294"/>
      <c r="M242" s="290" t="s">
        <v>6992</v>
      </c>
      <c r="N242" s="285" t="s">
        <v>4635</v>
      </c>
      <c r="O242" s="299" t="s">
        <v>2621</v>
      </c>
      <c r="P242" s="300">
        <v>48533.6</v>
      </c>
      <c r="Q242" s="213"/>
      <c r="R242" s="198"/>
      <c r="S242" s="198"/>
      <c r="T242" s="198"/>
      <c r="U242" s="198"/>
      <c r="V242" s="198"/>
      <c r="W242" s="198"/>
      <c r="X242" s="198"/>
      <c r="Y242" s="198"/>
      <c r="Z242" s="198"/>
      <c r="AA242" s="198"/>
    </row>
    <row r="243" ht="57.75" customHeight="1">
      <c r="A243" s="284">
        <v>35950.0</v>
      </c>
      <c r="B243" s="285" t="s">
        <v>21</v>
      </c>
      <c r="C243" s="285">
        <v>4100.0</v>
      </c>
      <c r="D243" s="285" t="s">
        <v>6993</v>
      </c>
      <c r="E243" s="287" t="s">
        <v>4644</v>
      </c>
      <c r="F243" s="285" t="s">
        <v>5919</v>
      </c>
      <c r="G243" s="288">
        <v>44684.0</v>
      </c>
      <c r="H243" s="288">
        <v>44678.0</v>
      </c>
      <c r="I243" s="288">
        <v>44678.0</v>
      </c>
      <c r="J243" s="288">
        <v>44692.0</v>
      </c>
      <c r="K243" s="294"/>
      <c r="L243" s="294"/>
      <c r="M243" s="290" t="s">
        <v>6994</v>
      </c>
      <c r="N243" s="285" t="s">
        <v>497</v>
      </c>
      <c r="O243" s="299" t="s">
        <v>2554</v>
      </c>
      <c r="P243" s="300">
        <v>28290.0</v>
      </c>
      <c r="Q243" s="213"/>
      <c r="R243" s="198"/>
      <c r="S243" s="198"/>
      <c r="T243" s="198"/>
      <c r="U243" s="198"/>
      <c r="V243" s="198"/>
      <c r="W243" s="198"/>
      <c r="X243" s="198"/>
      <c r="Y243" s="198"/>
      <c r="Z243" s="198"/>
      <c r="AA243" s="198"/>
    </row>
    <row r="244" ht="57.75" customHeight="1">
      <c r="A244" s="284">
        <v>36656.0</v>
      </c>
      <c r="B244" s="299" t="s">
        <v>715</v>
      </c>
      <c r="C244" s="285">
        <v>940.0</v>
      </c>
      <c r="D244" s="285" t="s">
        <v>6995</v>
      </c>
      <c r="E244" s="287" t="s">
        <v>4295</v>
      </c>
      <c r="F244" s="285" t="s">
        <v>5919</v>
      </c>
      <c r="G244" s="288">
        <v>44684.0</v>
      </c>
      <c r="H244" s="288">
        <v>44677.0</v>
      </c>
      <c r="I244" s="288">
        <v>44677.0</v>
      </c>
      <c r="J244" s="288">
        <v>44687.0</v>
      </c>
      <c r="K244" s="294"/>
      <c r="L244" s="294"/>
      <c r="M244" s="290" t="s">
        <v>6996</v>
      </c>
      <c r="N244" s="285" t="s">
        <v>4635</v>
      </c>
      <c r="O244" s="299" t="s">
        <v>2621</v>
      </c>
      <c r="P244" s="300">
        <v>61157.6</v>
      </c>
      <c r="Q244" s="213"/>
      <c r="R244" s="198"/>
      <c r="S244" s="198"/>
      <c r="T244" s="198"/>
      <c r="U244" s="198"/>
      <c r="V244" s="198"/>
      <c r="W244" s="198"/>
      <c r="X244" s="198"/>
      <c r="Y244" s="198"/>
      <c r="Z244" s="198"/>
      <c r="AA244" s="198"/>
    </row>
    <row r="245" ht="69.0" customHeight="1">
      <c r="A245" s="284">
        <v>36655.0</v>
      </c>
      <c r="B245" s="299" t="s">
        <v>715</v>
      </c>
      <c r="C245" s="285">
        <v>940.0</v>
      </c>
      <c r="D245" s="285" t="s">
        <v>6997</v>
      </c>
      <c r="E245" s="287" t="s">
        <v>4295</v>
      </c>
      <c r="F245" s="285" t="s">
        <v>5919</v>
      </c>
      <c r="G245" s="288">
        <v>44684.0</v>
      </c>
      <c r="H245" s="288">
        <v>44677.0</v>
      </c>
      <c r="I245" s="288">
        <v>44677.0</v>
      </c>
      <c r="J245" s="288">
        <v>44690.0</v>
      </c>
      <c r="K245" s="294"/>
      <c r="L245" s="294"/>
      <c r="M245" s="290" t="s">
        <v>6998</v>
      </c>
      <c r="N245" s="285" t="s">
        <v>4635</v>
      </c>
      <c r="O245" s="299" t="s">
        <v>2621</v>
      </c>
      <c r="P245" s="300">
        <v>61157.6</v>
      </c>
      <c r="Q245" s="213"/>
      <c r="R245" s="198"/>
      <c r="S245" s="198"/>
      <c r="T245" s="198"/>
      <c r="U245" s="198"/>
      <c r="V245" s="198"/>
      <c r="W245" s="198"/>
      <c r="X245" s="198"/>
      <c r="Y245" s="198"/>
      <c r="Z245" s="198"/>
      <c r="AA245" s="198"/>
    </row>
    <row r="246" ht="57.75" customHeight="1">
      <c r="A246" s="284">
        <v>36654.0</v>
      </c>
      <c r="B246" s="299" t="s">
        <v>715</v>
      </c>
      <c r="C246" s="285">
        <v>940.0</v>
      </c>
      <c r="D246" s="285" t="s">
        <v>6999</v>
      </c>
      <c r="E246" s="287" t="s">
        <v>4295</v>
      </c>
      <c r="F246" s="285" t="s">
        <v>5919</v>
      </c>
      <c r="G246" s="288">
        <v>44684.0</v>
      </c>
      <c r="H246" s="288">
        <v>44677.0</v>
      </c>
      <c r="I246" s="288">
        <v>44677.0</v>
      </c>
      <c r="J246" s="288">
        <v>44690.0</v>
      </c>
      <c r="K246" s="294"/>
      <c r="L246" s="294"/>
      <c r="M246" s="290" t="s">
        <v>7000</v>
      </c>
      <c r="N246" s="285" t="s">
        <v>4635</v>
      </c>
      <c r="O246" s="299" t="s">
        <v>2621</v>
      </c>
      <c r="P246" s="300">
        <v>61157.6</v>
      </c>
      <c r="Q246" s="213"/>
      <c r="R246" s="198"/>
      <c r="S246" s="198"/>
      <c r="T246" s="198"/>
      <c r="U246" s="198"/>
      <c r="V246" s="198"/>
      <c r="W246" s="198"/>
      <c r="X246" s="198"/>
      <c r="Y246" s="198"/>
      <c r="Z246" s="198"/>
      <c r="AA246" s="198"/>
    </row>
    <row r="247" ht="68.25" customHeight="1">
      <c r="A247" s="284">
        <v>36138.0</v>
      </c>
      <c r="B247" s="285" t="s">
        <v>21</v>
      </c>
      <c r="C247" s="285" t="s">
        <v>7001</v>
      </c>
      <c r="D247" s="285" t="s">
        <v>7002</v>
      </c>
      <c r="E247" s="287" t="s">
        <v>4696</v>
      </c>
      <c r="F247" s="285" t="s">
        <v>5919</v>
      </c>
      <c r="G247" s="288">
        <v>44684.0</v>
      </c>
      <c r="H247" s="288">
        <v>44676.0</v>
      </c>
      <c r="I247" s="288">
        <v>44676.0</v>
      </c>
      <c r="J247" s="288">
        <v>44691.0</v>
      </c>
      <c r="K247" s="294"/>
      <c r="L247" s="294"/>
      <c r="M247" s="290" t="s">
        <v>7003</v>
      </c>
      <c r="N247" s="285" t="s">
        <v>497</v>
      </c>
      <c r="O247" s="299" t="s">
        <v>2538</v>
      </c>
      <c r="P247" s="300">
        <v>16847.07</v>
      </c>
      <c r="Q247" s="213"/>
      <c r="R247" s="198"/>
      <c r="S247" s="198"/>
      <c r="T247" s="198"/>
      <c r="U247" s="198"/>
      <c r="V247" s="198"/>
      <c r="W247" s="198"/>
      <c r="X247" s="198"/>
      <c r="Y247" s="198"/>
      <c r="Z247" s="198"/>
      <c r="AA247" s="198"/>
    </row>
    <row r="248" ht="68.25" customHeight="1">
      <c r="A248" s="284">
        <v>36524.0</v>
      </c>
      <c r="B248" s="299" t="s">
        <v>715</v>
      </c>
      <c r="C248" s="285">
        <v>930.0</v>
      </c>
      <c r="D248" s="285" t="s">
        <v>7004</v>
      </c>
      <c r="E248" s="287" t="s">
        <v>4295</v>
      </c>
      <c r="F248" s="285" t="s">
        <v>5919</v>
      </c>
      <c r="G248" s="288">
        <v>44684.0</v>
      </c>
      <c r="H248" s="288">
        <v>44673.0</v>
      </c>
      <c r="I248" s="288">
        <v>44673.0</v>
      </c>
      <c r="J248" s="288">
        <v>44692.0</v>
      </c>
      <c r="K248" s="294"/>
      <c r="L248" s="294"/>
      <c r="M248" s="290" t="s">
        <v>7005</v>
      </c>
      <c r="N248" s="285" t="s">
        <v>4635</v>
      </c>
      <c r="O248" s="299" t="s">
        <v>2621</v>
      </c>
      <c r="P248" s="300">
        <v>63942.2</v>
      </c>
      <c r="Q248" s="213"/>
      <c r="R248" s="198"/>
      <c r="S248" s="198"/>
      <c r="T248" s="198"/>
      <c r="U248" s="198"/>
      <c r="V248" s="198"/>
      <c r="W248" s="198"/>
      <c r="X248" s="198"/>
      <c r="Y248" s="198"/>
      <c r="Z248" s="198"/>
      <c r="AA248" s="198"/>
    </row>
    <row r="249" ht="66.0" customHeight="1">
      <c r="A249" s="284">
        <v>36523.0</v>
      </c>
      <c r="B249" s="299" t="s">
        <v>715</v>
      </c>
      <c r="C249" s="285">
        <v>930.0</v>
      </c>
      <c r="D249" s="285" t="s">
        <v>7006</v>
      </c>
      <c r="E249" s="326" t="s">
        <v>4295</v>
      </c>
      <c r="F249" s="285" t="s">
        <v>5919</v>
      </c>
      <c r="G249" s="288">
        <v>44684.0</v>
      </c>
      <c r="H249" s="288">
        <v>44673.0</v>
      </c>
      <c r="I249" s="288">
        <v>44673.0</v>
      </c>
      <c r="J249" s="285" t="s">
        <v>7007</v>
      </c>
      <c r="K249" s="294"/>
      <c r="L249" s="294"/>
      <c r="M249" s="290" t="s">
        <v>7008</v>
      </c>
      <c r="N249" s="285" t="s">
        <v>4635</v>
      </c>
      <c r="O249" s="299" t="s">
        <v>2621</v>
      </c>
      <c r="P249" s="300">
        <v>63942.2</v>
      </c>
      <c r="Q249" s="213"/>
      <c r="R249" s="198"/>
      <c r="S249" s="198"/>
      <c r="T249" s="198"/>
      <c r="U249" s="198"/>
      <c r="V249" s="198"/>
      <c r="W249" s="198"/>
      <c r="X249" s="198"/>
      <c r="Y249" s="198"/>
      <c r="Z249" s="198"/>
      <c r="AA249" s="198"/>
    </row>
    <row r="250" ht="63.75" customHeight="1">
      <c r="A250" s="284">
        <v>36539.0</v>
      </c>
      <c r="B250" s="299" t="s">
        <v>715</v>
      </c>
      <c r="C250" s="285">
        <v>1260.0</v>
      </c>
      <c r="D250" s="285" t="s">
        <v>7009</v>
      </c>
      <c r="E250" s="287" t="s">
        <v>4782</v>
      </c>
      <c r="F250" s="285" t="s">
        <v>5919</v>
      </c>
      <c r="G250" s="288">
        <v>44684.0</v>
      </c>
      <c r="H250" s="288">
        <v>44673.0</v>
      </c>
      <c r="I250" s="288">
        <v>44673.0</v>
      </c>
      <c r="J250" s="288">
        <v>44692.0</v>
      </c>
      <c r="K250" s="294"/>
      <c r="L250" s="294"/>
      <c r="M250" s="290" t="s">
        <v>7010</v>
      </c>
      <c r="N250" s="285" t="s">
        <v>4635</v>
      </c>
      <c r="O250" s="299" t="s">
        <v>2621</v>
      </c>
      <c r="P250" s="300">
        <v>49077.8</v>
      </c>
      <c r="Q250" s="213"/>
      <c r="R250" s="198"/>
      <c r="S250" s="198"/>
      <c r="T250" s="198"/>
      <c r="U250" s="198"/>
      <c r="V250" s="198"/>
      <c r="W250" s="198"/>
      <c r="X250" s="198"/>
      <c r="Y250" s="198"/>
      <c r="Z250" s="198"/>
      <c r="AA250" s="198"/>
    </row>
    <row r="251" ht="57.0" customHeight="1">
      <c r="A251" s="284">
        <v>36266.0</v>
      </c>
      <c r="B251" s="299" t="s">
        <v>715</v>
      </c>
      <c r="C251" s="285">
        <v>2100.0</v>
      </c>
      <c r="D251" s="285" t="s">
        <v>7011</v>
      </c>
      <c r="E251" s="287" t="s">
        <v>4637</v>
      </c>
      <c r="F251" s="285" t="s">
        <v>5919</v>
      </c>
      <c r="G251" s="288">
        <v>44682.0</v>
      </c>
      <c r="H251" s="288">
        <v>44679.0</v>
      </c>
      <c r="I251" s="288">
        <v>44679.0</v>
      </c>
      <c r="J251" s="288">
        <v>44687.0</v>
      </c>
      <c r="K251" s="294"/>
      <c r="L251" s="294"/>
      <c r="M251" s="290" t="s">
        <v>7012</v>
      </c>
      <c r="N251" s="285" t="s">
        <v>497</v>
      </c>
      <c r="O251" s="299" t="s">
        <v>2554</v>
      </c>
      <c r="P251" s="300">
        <v>29190.0</v>
      </c>
      <c r="Q251" s="213"/>
      <c r="R251" s="198"/>
      <c r="S251" s="198"/>
      <c r="T251" s="198"/>
      <c r="U251" s="198"/>
      <c r="V251" s="198"/>
      <c r="W251" s="198"/>
      <c r="X251" s="198"/>
      <c r="Y251" s="198"/>
      <c r="Z251" s="198"/>
      <c r="AA251" s="198"/>
    </row>
    <row r="252" ht="63.75" customHeight="1">
      <c r="A252" s="284">
        <v>36344.0</v>
      </c>
      <c r="B252" s="299" t="s">
        <v>715</v>
      </c>
      <c r="C252" s="285">
        <v>655.0</v>
      </c>
      <c r="D252" s="285" t="s">
        <v>7013</v>
      </c>
      <c r="E252" s="287" t="s">
        <v>4743</v>
      </c>
      <c r="F252" s="285" t="s">
        <v>5919</v>
      </c>
      <c r="G252" s="288">
        <v>44680.0</v>
      </c>
      <c r="H252" s="288">
        <v>44676.0</v>
      </c>
      <c r="I252" s="288">
        <v>44676.0</v>
      </c>
      <c r="J252" s="288">
        <v>44686.0</v>
      </c>
      <c r="K252" s="294"/>
      <c r="L252" s="294"/>
      <c r="M252" s="290" t="s">
        <v>7014</v>
      </c>
      <c r="N252" s="285" t="s">
        <v>4745</v>
      </c>
      <c r="O252" s="299" t="s">
        <v>4746</v>
      </c>
      <c r="P252" s="300">
        <v>95192.5</v>
      </c>
      <c r="Q252" s="213"/>
      <c r="R252" s="198"/>
      <c r="S252" s="198"/>
      <c r="T252" s="198"/>
      <c r="U252" s="198"/>
      <c r="V252" s="198"/>
      <c r="W252" s="198"/>
      <c r="X252" s="198"/>
      <c r="Y252" s="198"/>
      <c r="Z252" s="198"/>
      <c r="AA252" s="198"/>
    </row>
    <row r="253" ht="62.25" customHeight="1">
      <c r="A253" s="284">
        <v>36142.0</v>
      </c>
      <c r="B253" s="285" t="s">
        <v>25</v>
      </c>
      <c r="C253" s="285" t="s">
        <v>7015</v>
      </c>
      <c r="D253" s="285" t="s">
        <v>7016</v>
      </c>
      <c r="E253" s="287" t="s">
        <v>4910</v>
      </c>
      <c r="F253" s="285" t="s">
        <v>5919</v>
      </c>
      <c r="G253" s="288">
        <v>44679.0</v>
      </c>
      <c r="H253" s="288">
        <v>44672.0</v>
      </c>
      <c r="I253" s="288">
        <v>44672.0</v>
      </c>
      <c r="J253" s="288">
        <v>44692.0</v>
      </c>
      <c r="K253" s="294"/>
      <c r="L253" s="294"/>
      <c r="M253" s="290" t="s">
        <v>7017</v>
      </c>
      <c r="N253" s="285" t="s">
        <v>4635</v>
      </c>
      <c r="O253" s="299" t="s">
        <v>4912</v>
      </c>
      <c r="P253" s="300">
        <v>85380.0</v>
      </c>
      <c r="Q253" s="213"/>
      <c r="R253" s="198"/>
      <c r="S253" s="198"/>
      <c r="T253" s="198"/>
      <c r="U253" s="198"/>
      <c r="V253" s="198"/>
      <c r="W253" s="198"/>
      <c r="X253" s="198"/>
      <c r="Y253" s="198"/>
      <c r="Z253" s="198"/>
      <c r="AA253" s="198"/>
    </row>
    <row r="254" ht="60.0" customHeight="1">
      <c r="A254" s="284">
        <v>36240.0</v>
      </c>
      <c r="B254" s="285" t="s">
        <v>21</v>
      </c>
      <c r="C254" s="285">
        <v>4180.0</v>
      </c>
      <c r="D254" s="285" t="s">
        <v>7018</v>
      </c>
      <c r="E254" s="287" t="s">
        <v>4658</v>
      </c>
      <c r="F254" s="285" t="s">
        <v>5919</v>
      </c>
      <c r="G254" s="288">
        <v>44678.0</v>
      </c>
      <c r="H254" s="288">
        <v>44670.0</v>
      </c>
      <c r="I254" s="288">
        <v>44670.0</v>
      </c>
      <c r="J254" s="285" t="s">
        <v>7019</v>
      </c>
      <c r="K254" s="294"/>
      <c r="L254" s="294"/>
      <c r="M254" s="290" t="s">
        <v>7020</v>
      </c>
      <c r="N254" s="285" t="s">
        <v>497</v>
      </c>
      <c r="O254" s="299" t="s">
        <v>2554</v>
      </c>
      <c r="P254" s="300">
        <v>29552.6</v>
      </c>
      <c r="Q254" s="213"/>
      <c r="R254" s="198"/>
      <c r="S254" s="198"/>
      <c r="T254" s="198"/>
      <c r="U254" s="198"/>
      <c r="V254" s="198"/>
      <c r="W254" s="198"/>
      <c r="X254" s="198"/>
      <c r="Y254" s="198"/>
      <c r="Z254" s="198"/>
      <c r="AA254" s="198"/>
    </row>
    <row r="255" ht="62.25" customHeight="1">
      <c r="A255" s="284">
        <v>36181.0</v>
      </c>
      <c r="B255" s="299" t="s">
        <v>715</v>
      </c>
      <c r="C255" s="285">
        <v>8200.0</v>
      </c>
      <c r="D255" s="285" t="s">
        <v>7021</v>
      </c>
      <c r="E255" s="287" t="s">
        <v>7022</v>
      </c>
      <c r="F255" s="285" t="s">
        <v>5919</v>
      </c>
      <c r="G255" s="288">
        <v>44677.0</v>
      </c>
      <c r="H255" s="288">
        <v>44672.0</v>
      </c>
      <c r="I255" s="288">
        <v>44672.0</v>
      </c>
      <c r="J255" s="288">
        <v>44684.0</v>
      </c>
      <c r="K255" s="294"/>
      <c r="L255" s="294"/>
      <c r="M255" s="290" t="s">
        <v>7023</v>
      </c>
      <c r="N255" s="285" t="s">
        <v>497</v>
      </c>
      <c r="O255" s="299" t="s">
        <v>5091</v>
      </c>
      <c r="P255" s="300">
        <v>32037.54</v>
      </c>
      <c r="Q255" s="213"/>
      <c r="R255" s="198"/>
      <c r="S255" s="198"/>
      <c r="T255" s="198"/>
      <c r="U255" s="198"/>
      <c r="V255" s="198"/>
      <c r="W255" s="198"/>
      <c r="X255" s="198"/>
      <c r="Y255" s="198"/>
      <c r="Z255" s="198"/>
      <c r="AA255" s="198"/>
    </row>
    <row r="256" ht="57.0" customHeight="1">
      <c r="A256" s="284">
        <v>35803.0</v>
      </c>
      <c r="B256" s="299" t="s">
        <v>715</v>
      </c>
      <c r="C256" s="285">
        <v>1930.0</v>
      </c>
      <c r="D256" s="285" t="s">
        <v>7024</v>
      </c>
      <c r="E256" s="287" t="s">
        <v>4670</v>
      </c>
      <c r="F256" s="285" t="s">
        <v>5919</v>
      </c>
      <c r="G256" s="288">
        <v>44676.0</v>
      </c>
      <c r="H256" s="288">
        <v>44672.0</v>
      </c>
      <c r="I256" s="288">
        <v>44672.0</v>
      </c>
      <c r="J256" s="288">
        <v>44680.0</v>
      </c>
      <c r="K256" s="294"/>
      <c r="L256" s="294"/>
      <c r="M256" s="290" t="s">
        <v>7025</v>
      </c>
      <c r="N256" s="285" t="s">
        <v>497</v>
      </c>
      <c r="O256" s="299" t="s">
        <v>2604</v>
      </c>
      <c r="P256" s="300">
        <v>57508.0</v>
      </c>
      <c r="Q256" s="213"/>
      <c r="R256" s="198"/>
      <c r="S256" s="198"/>
      <c r="T256" s="198"/>
      <c r="U256" s="198"/>
      <c r="V256" s="198"/>
      <c r="W256" s="198"/>
      <c r="X256" s="198"/>
      <c r="Y256" s="198"/>
      <c r="Z256" s="198"/>
      <c r="AA256" s="198"/>
    </row>
    <row r="257" ht="57.0" customHeight="1">
      <c r="A257" s="284">
        <v>35828.0</v>
      </c>
      <c r="B257" s="299" t="s">
        <v>715</v>
      </c>
      <c r="C257" s="285">
        <v>1161.0</v>
      </c>
      <c r="D257" s="285" t="s">
        <v>7026</v>
      </c>
      <c r="E257" s="287" t="s">
        <v>5049</v>
      </c>
      <c r="F257" s="285" t="s">
        <v>5919</v>
      </c>
      <c r="G257" s="288">
        <v>44676.0</v>
      </c>
      <c r="H257" s="288">
        <v>44670.0</v>
      </c>
      <c r="I257" s="288">
        <v>44670.0</v>
      </c>
      <c r="J257" s="288">
        <v>44680.0</v>
      </c>
      <c r="K257" s="294"/>
      <c r="L257" s="294"/>
      <c r="M257" s="290" t="s">
        <v>7027</v>
      </c>
      <c r="N257" s="285" t="s">
        <v>497</v>
      </c>
      <c r="O257" s="299" t="s">
        <v>2604</v>
      </c>
      <c r="P257" s="300">
        <v>54301.6</v>
      </c>
      <c r="Q257" s="213"/>
      <c r="R257" s="198"/>
      <c r="S257" s="198"/>
      <c r="T257" s="198"/>
      <c r="U257" s="198"/>
      <c r="V257" s="198"/>
      <c r="W257" s="198"/>
      <c r="X257" s="198"/>
      <c r="Y257" s="198"/>
      <c r="Z257" s="198"/>
      <c r="AA257" s="198"/>
    </row>
    <row r="258" ht="57.0" customHeight="1">
      <c r="A258" s="284">
        <v>36278.0</v>
      </c>
      <c r="B258" s="299" t="s">
        <v>715</v>
      </c>
      <c r="C258" s="285">
        <v>1290.0</v>
      </c>
      <c r="D258" s="285" t="s">
        <v>7028</v>
      </c>
      <c r="E258" s="287" t="s">
        <v>4713</v>
      </c>
      <c r="F258" s="285" t="s">
        <v>5919</v>
      </c>
      <c r="G258" s="288">
        <v>44676.0</v>
      </c>
      <c r="H258" s="288">
        <v>44669.0</v>
      </c>
      <c r="I258" s="288">
        <v>44669.0</v>
      </c>
      <c r="J258" s="288">
        <v>44684.0</v>
      </c>
      <c r="K258" s="294"/>
      <c r="L258" s="294"/>
      <c r="M258" s="290" t="s">
        <v>7029</v>
      </c>
      <c r="N258" s="285" t="s">
        <v>497</v>
      </c>
      <c r="O258" s="299" t="s">
        <v>2554</v>
      </c>
      <c r="P258" s="300">
        <v>44249.58</v>
      </c>
      <c r="Q258" s="213"/>
      <c r="R258" s="198"/>
      <c r="S258" s="198"/>
      <c r="T258" s="198"/>
      <c r="U258" s="198"/>
      <c r="V258" s="198"/>
      <c r="W258" s="198"/>
      <c r="X258" s="198"/>
      <c r="Y258" s="198"/>
      <c r="Z258" s="198"/>
      <c r="AA258" s="198"/>
    </row>
    <row r="259" ht="57.75" customHeight="1">
      <c r="A259" s="284">
        <v>36280.0</v>
      </c>
      <c r="B259" s="299" t="s">
        <v>715</v>
      </c>
      <c r="C259" s="285">
        <v>1290.0</v>
      </c>
      <c r="D259" s="285" t="s">
        <v>7030</v>
      </c>
      <c r="E259" s="287" t="s">
        <v>4681</v>
      </c>
      <c r="F259" s="285" t="s">
        <v>5919</v>
      </c>
      <c r="G259" s="288">
        <v>44676.0</v>
      </c>
      <c r="H259" s="288">
        <v>44669.0</v>
      </c>
      <c r="I259" s="288">
        <v>44669.0</v>
      </c>
      <c r="J259" s="288">
        <v>44679.0</v>
      </c>
      <c r="K259" s="294"/>
      <c r="L259" s="294"/>
      <c r="M259" s="290" t="s">
        <v>7031</v>
      </c>
      <c r="N259" s="285" t="s">
        <v>497</v>
      </c>
      <c r="O259" s="299" t="s">
        <v>2554</v>
      </c>
      <c r="P259" s="300">
        <v>44249.58</v>
      </c>
      <c r="Q259" s="213"/>
      <c r="R259" s="198"/>
      <c r="S259" s="198"/>
      <c r="T259" s="198"/>
      <c r="U259" s="198"/>
      <c r="V259" s="198"/>
      <c r="W259" s="198"/>
      <c r="X259" s="198"/>
      <c r="Y259" s="198"/>
      <c r="Z259" s="198"/>
      <c r="AA259" s="198"/>
    </row>
    <row r="260" ht="58.5" customHeight="1">
      <c r="A260" s="284">
        <v>35802.0</v>
      </c>
      <c r="B260" s="285" t="s">
        <v>25</v>
      </c>
      <c r="C260" s="285">
        <v>1930.0</v>
      </c>
      <c r="D260" s="285" t="s">
        <v>7032</v>
      </c>
      <c r="E260" s="287" t="s">
        <v>4670</v>
      </c>
      <c r="F260" s="285" t="s">
        <v>5919</v>
      </c>
      <c r="G260" s="288">
        <v>44675.0</v>
      </c>
      <c r="H260" s="288">
        <v>44669.0</v>
      </c>
      <c r="I260" s="288">
        <v>44669.0</v>
      </c>
      <c r="J260" s="288">
        <v>44685.0</v>
      </c>
      <c r="K260" s="294"/>
      <c r="L260" s="294"/>
      <c r="M260" s="290" t="s">
        <v>7033</v>
      </c>
      <c r="N260" s="285" t="s">
        <v>497</v>
      </c>
      <c r="O260" s="299" t="s">
        <v>2604</v>
      </c>
      <c r="P260" s="300">
        <v>57508.0</v>
      </c>
      <c r="Q260" s="213"/>
      <c r="R260" s="198"/>
      <c r="S260" s="198"/>
      <c r="T260" s="198"/>
      <c r="U260" s="198"/>
      <c r="V260" s="198"/>
      <c r="W260" s="198"/>
      <c r="X260" s="198"/>
      <c r="Y260" s="198"/>
      <c r="Z260" s="198"/>
      <c r="AA260" s="198"/>
    </row>
    <row r="261" ht="57.0" customHeight="1">
      <c r="A261" s="284">
        <v>35827.0</v>
      </c>
      <c r="B261" s="285" t="s">
        <v>25</v>
      </c>
      <c r="C261" s="285">
        <v>1161.0</v>
      </c>
      <c r="D261" s="285" t="s">
        <v>7034</v>
      </c>
      <c r="E261" s="287" t="s">
        <v>5049</v>
      </c>
      <c r="F261" s="285" t="s">
        <v>5919</v>
      </c>
      <c r="G261" s="288">
        <v>44675.0</v>
      </c>
      <c r="H261" s="288">
        <v>44668.0</v>
      </c>
      <c r="I261" s="288">
        <v>44668.0</v>
      </c>
      <c r="J261" s="288">
        <v>44685.0</v>
      </c>
      <c r="K261" s="294"/>
      <c r="L261" s="294"/>
      <c r="M261" s="290" t="s">
        <v>7035</v>
      </c>
      <c r="N261" s="285" t="s">
        <v>497</v>
      </c>
      <c r="O261" s="299" t="s">
        <v>2604</v>
      </c>
      <c r="P261" s="300">
        <v>54301.6</v>
      </c>
      <c r="Q261" s="213"/>
      <c r="R261" s="198"/>
      <c r="S261" s="198"/>
      <c r="T261" s="198"/>
      <c r="U261" s="198"/>
      <c r="V261" s="198"/>
      <c r="W261" s="198"/>
      <c r="X261" s="198"/>
      <c r="Y261" s="198"/>
      <c r="Z261" s="198"/>
      <c r="AA261" s="198"/>
    </row>
    <row r="262" ht="58.5" customHeight="1">
      <c r="A262" s="284">
        <v>36543.0</v>
      </c>
      <c r="B262" s="285" t="s">
        <v>21</v>
      </c>
      <c r="C262" s="285">
        <v>930.0</v>
      </c>
      <c r="D262" s="285" t="s">
        <v>7036</v>
      </c>
      <c r="E262" s="287" t="s">
        <v>4295</v>
      </c>
      <c r="F262" s="285" t="s">
        <v>5919</v>
      </c>
      <c r="G262" s="288">
        <v>44674.0</v>
      </c>
      <c r="H262" s="288">
        <v>44657.0</v>
      </c>
      <c r="I262" s="288">
        <v>44657.0</v>
      </c>
      <c r="J262" s="285" t="s">
        <v>7037</v>
      </c>
      <c r="K262" s="294"/>
      <c r="L262" s="294"/>
      <c r="M262" s="290" t="s">
        <v>7038</v>
      </c>
      <c r="N262" s="285" t="s">
        <v>4635</v>
      </c>
      <c r="O262" s="299" t="s">
        <v>2621</v>
      </c>
      <c r="P262" s="300">
        <v>62609.6</v>
      </c>
      <c r="Q262" s="213"/>
      <c r="R262" s="198"/>
      <c r="S262" s="198"/>
      <c r="T262" s="198"/>
      <c r="U262" s="198"/>
      <c r="V262" s="198"/>
      <c r="W262" s="198"/>
      <c r="X262" s="198"/>
      <c r="Y262" s="198"/>
      <c r="Z262" s="198"/>
      <c r="AA262" s="198"/>
    </row>
    <row r="263" ht="58.5" customHeight="1">
      <c r="A263" s="284">
        <v>36503.0</v>
      </c>
      <c r="B263" s="285" t="s">
        <v>21</v>
      </c>
      <c r="C263" s="285">
        <v>963.0</v>
      </c>
      <c r="D263" s="285" t="s">
        <v>7039</v>
      </c>
      <c r="E263" s="287" t="s">
        <v>7040</v>
      </c>
      <c r="F263" s="285" t="s">
        <v>5919</v>
      </c>
      <c r="G263" s="288">
        <v>44674.0</v>
      </c>
      <c r="H263" s="288">
        <v>44657.0</v>
      </c>
      <c r="I263" s="288">
        <v>44657.0</v>
      </c>
      <c r="J263" s="288">
        <v>44684.0</v>
      </c>
      <c r="K263" s="294"/>
      <c r="L263" s="294"/>
      <c r="M263" s="290" t="s">
        <v>7041</v>
      </c>
      <c r="N263" s="285" t="s">
        <v>4635</v>
      </c>
      <c r="O263" s="299" t="s">
        <v>2621</v>
      </c>
      <c r="P263" s="300">
        <v>68980.34</v>
      </c>
      <c r="Q263" s="213"/>
      <c r="R263" s="198"/>
      <c r="S263" s="198"/>
      <c r="T263" s="198"/>
      <c r="U263" s="198"/>
      <c r="V263" s="198"/>
      <c r="W263" s="198"/>
      <c r="X263" s="198"/>
      <c r="Y263" s="198"/>
      <c r="Z263" s="198"/>
      <c r="AA263" s="198"/>
    </row>
    <row r="264" ht="58.5" customHeight="1">
      <c r="A264" s="284">
        <v>36544.0</v>
      </c>
      <c r="B264" s="285" t="s">
        <v>21</v>
      </c>
      <c r="C264" s="285">
        <v>930.0</v>
      </c>
      <c r="D264" s="285" t="s">
        <v>7042</v>
      </c>
      <c r="E264" s="287" t="s">
        <v>7043</v>
      </c>
      <c r="F264" s="285" t="s">
        <v>5919</v>
      </c>
      <c r="G264" s="288">
        <v>44674.0</v>
      </c>
      <c r="H264" s="288">
        <v>44657.0</v>
      </c>
      <c r="I264" s="288">
        <v>44657.0</v>
      </c>
      <c r="J264" s="288">
        <v>44686.0</v>
      </c>
      <c r="K264" s="294"/>
      <c r="L264" s="294"/>
      <c r="M264" s="290" t="s">
        <v>7044</v>
      </c>
      <c r="N264" s="285" t="s">
        <v>4635</v>
      </c>
      <c r="O264" s="299" t="s">
        <v>2621</v>
      </c>
      <c r="P264" s="300">
        <v>62609.6</v>
      </c>
      <c r="Q264" s="213"/>
      <c r="R264" s="198"/>
      <c r="S264" s="198"/>
      <c r="T264" s="198"/>
      <c r="U264" s="198"/>
      <c r="V264" s="198"/>
      <c r="W264" s="198"/>
      <c r="X264" s="198"/>
      <c r="Y264" s="198"/>
      <c r="Z264" s="198"/>
      <c r="AA264" s="198"/>
    </row>
    <row r="265" ht="58.5" customHeight="1">
      <c r="A265" s="284">
        <v>36545.0</v>
      </c>
      <c r="B265" s="285" t="s">
        <v>21</v>
      </c>
      <c r="C265" s="285">
        <v>930.0</v>
      </c>
      <c r="D265" s="285" t="s">
        <v>7045</v>
      </c>
      <c r="E265" s="287" t="s">
        <v>4295</v>
      </c>
      <c r="F265" s="285" t="s">
        <v>5919</v>
      </c>
      <c r="G265" s="288">
        <v>44674.0</v>
      </c>
      <c r="H265" s="288">
        <v>44657.0</v>
      </c>
      <c r="I265" s="288">
        <v>44657.0</v>
      </c>
      <c r="J265" s="372">
        <v>44683.0</v>
      </c>
      <c r="K265" s="294"/>
      <c r="L265" s="294"/>
      <c r="M265" s="290" t="s">
        <v>7046</v>
      </c>
      <c r="N265" s="285" t="s">
        <v>4635</v>
      </c>
      <c r="O265" s="299" t="s">
        <v>2621</v>
      </c>
      <c r="P265" s="300">
        <v>62609.6</v>
      </c>
      <c r="Q265" s="213"/>
      <c r="R265" s="198"/>
      <c r="S265" s="198"/>
      <c r="T265" s="198"/>
      <c r="U265" s="198"/>
      <c r="V265" s="198"/>
      <c r="W265" s="198"/>
      <c r="X265" s="198"/>
      <c r="Y265" s="198"/>
      <c r="Z265" s="198"/>
      <c r="AA265" s="198"/>
    </row>
    <row r="266" ht="58.5" customHeight="1">
      <c r="A266" s="284">
        <v>36537.0</v>
      </c>
      <c r="B266" s="299" t="s">
        <v>715</v>
      </c>
      <c r="C266" s="285">
        <v>930.0</v>
      </c>
      <c r="D266" s="285" t="s">
        <v>7047</v>
      </c>
      <c r="E266" s="287" t="s">
        <v>7043</v>
      </c>
      <c r="F266" s="285" t="s">
        <v>5919</v>
      </c>
      <c r="G266" s="288">
        <v>44671.0</v>
      </c>
      <c r="H266" s="288">
        <v>44665.0</v>
      </c>
      <c r="I266" s="288">
        <v>44665.0</v>
      </c>
      <c r="J266" s="288">
        <v>44676.0</v>
      </c>
      <c r="K266" s="294"/>
      <c r="L266" s="294"/>
      <c r="M266" s="290" t="s">
        <v>7048</v>
      </c>
      <c r="N266" s="285" t="s">
        <v>4635</v>
      </c>
      <c r="O266" s="299" t="s">
        <v>2621</v>
      </c>
      <c r="P266" s="300">
        <v>63621.2</v>
      </c>
      <c r="Q266" s="213"/>
      <c r="R266" s="198"/>
      <c r="S266" s="198"/>
      <c r="T266" s="198"/>
      <c r="U266" s="198"/>
      <c r="V266" s="198"/>
      <c r="W266" s="198"/>
      <c r="X266" s="198"/>
      <c r="Y266" s="198"/>
      <c r="Z266" s="198"/>
      <c r="AA266" s="198"/>
    </row>
    <row r="267" ht="58.5" customHeight="1">
      <c r="A267" s="284">
        <v>36631.0</v>
      </c>
      <c r="B267" s="299" t="s">
        <v>715</v>
      </c>
      <c r="C267" s="285">
        <v>1062.0</v>
      </c>
      <c r="D267" s="285" t="s">
        <v>7049</v>
      </c>
      <c r="E267" s="287" t="s">
        <v>7050</v>
      </c>
      <c r="F267" s="285" t="s">
        <v>5919</v>
      </c>
      <c r="G267" s="288">
        <v>44671.0</v>
      </c>
      <c r="H267" s="288">
        <v>44662.0</v>
      </c>
      <c r="I267" s="373">
        <v>44662.0</v>
      </c>
      <c r="J267" s="288">
        <v>44678.0</v>
      </c>
      <c r="K267" s="294"/>
      <c r="L267" s="294"/>
      <c r="M267" s="290" t="s">
        <v>7051</v>
      </c>
      <c r="N267" s="285" t="s">
        <v>4635</v>
      </c>
      <c r="O267" s="299" t="s">
        <v>2621</v>
      </c>
      <c r="P267" s="300">
        <v>59626.6</v>
      </c>
      <c r="Q267" s="213"/>
      <c r="R267" s="198"/>
      <c r="S267" s="198"/>
      <c r="T267" s="198"/>
      <c r="U267" s="198"/>
      <c r="V267" s="198"/>
      <c r="W267" s="198"/>
      <c r="X267" s="198"/>
      <c r="Y267" s="198"/>
      <c r="Z267" s="198"/>
      <c r="AA267" s="198"/>
    </row>
    <row r="268" ht="57.0" customHeight="1">
      <c r="A268" s="284">
        <v>36146.0</v>
      </c>
      <c r="B268" s="285" t="s">
        <v>21</v>
      </c>
      <c r="C268" s="285">
        <v>4000.0</v>
      </c>
      <c r="D268" s="285" t="s">
        <v>7052</v>
      </c>
      <c r="E268" s="287" t="s">
        <v>4658</v>
      </c>
      <c r="F268" s="285" t="s">
        <v>5919</v>
      </c>
      <c r="G268" s="288">
        <v>44671.0</v>
      </c>
      <c r="H268" s="288">
        <v>44662.0</v>
      </c>
      <c r="I268" s="288">
        <v>44662.0</v>
      </c>
      <c r="J268" s="288">
        <v>44678.0</v>
      </c>
      <c r="K268" s="294"/>
      <c r="L268" s="294"/>
      <c r="M268" s="290" t="s">
        <v>7053</v>
      </c>
      <c r="N268" s="285" t="s">
        <v>497</v>
      </c>
      <c r="O268" s="299" t="s">
        <v>2554</v>
      </c>
      <c r="P268" s="300">
        <v>28280.0</v>
      </c>
      <c r="Q268" s="213"/>
      <c r="R268" s="198"/>
      <c r="S268" s="198"/>
      <c r="T268" s="198"/>
      <c r="U268" s="198"/>
      <c r="V268" s="198"/>
      <c r="W268" s="198"/>
      <c r="X268" s="198"/>
      <c r="Y268" s="198"/>
      <c r="Z268" s="198"/>
      <c r="AA268" s="198"/>
    </row>
    <row r="269" ht="58.5" customHeight="1">
      <c r="A269" s="284">
        <v>36509.0</v>
      </c>
      <c r="B269" s="285" t="s">
        <v>715</v>
      </c>
      <c r="C269" s="285">
        <v>1100.0</v>
      </c>
      <c r="D269" s="285" t="s">
        <v>7054</v>
      </c>
      <c r="E269" s="287" t="s">
        <v>7055</v>
      </c>
      <c r="F269" s="285" t="s">
        <v>5919</v>
      </c>
      <c r="G269" s="288">
        <v>44666.0</v>
      </c>
      <c r="H269" s="288">
        <v>44634.0</v>
      </c>
      <c r="I269" s="288">
        <v>44634.0</v>
      </c>
      <c r="J269" s="285" t="s">
        <v>7056</v>
      </c>
      <c r="K269" s="294"/>
      <c r="L269" s="294"/>
      <c r="M269" s="290" t="s">
        <v>7057</v>
      </c>
      <c r="N269" s="285" t="s">
        <v>4635</v>
      </c>
      <c r="O269" s="299" t="s">
        <v>2621</v>
      </c>
      <c r="P269" s="300">
        <v>88388.0</v>
      </c>
      <c r="Q269" s="213"/>
      <c r="R269" s="198"/>
      <c r="S269" s="198"/>
      <c r="T269" s="198"/>
      <c r="U269" s="198"/>
      <c r="V269" s="198"/>
      <c r="W269" s="198"/>
      <c r="X269" s="198"/>
      <c r="Y269" s="198"/>
      <c r="Z269" s="198"/>
      <c r="AA269" s="198"/>
    </row>
    <row r="270" ht="61.5" customHeight="1">
      <c r="A270" s="284">
        <v>36538.0</v>
      </c>
      <c r="B270" s="299" t="s">
        <v>715</v>
      </c>
      <c r="C270" s="285">
        <v>1680.0</v>
      </c>
      <c r="D270" s="285" t="s">
        <v>7058</v>
      </c>
      <c r="E270" s="287" t="s">
        <v>4699</v>
      </c>
      <c r="F270" s="285" t="s">
        <v>5919</v>
      </c>
      <c r="G270" s="288">
        <v>44665.0</v>
      </c>
      <c r="H270" s="372">
        <v>44656.0</v>
      </c>
      <c r="I270" s="372">
        <v>44656.0</v>
      </c>
      <c r="J270" s="372">
        <v>44672.0</v>
      </c>
      <c r="K270" s="294"/>
      <c r="L270" s="294"/>
      <c r="M270" s="290" t="s">
        <v>7059</v>
      </c>
      <c r="N270" s="285" t="s">
        <v>4635</v>
      </c>
      <c r="O270" s="299" t="s">
        <v>2621</v>
      </c>
      <c r="P270" s="300">
        <v>53700.0</v>
      </c>
      <c r="Q270" s="213"/>
      <c r="R270" s="198"/>
      <c r="S270" s="198"/>
      <c r="T270" s="198"/>
      <c r="U270" s="198"/>
      <c r="V270" s="198"/>
      <c r="W270" s="198"/>
      <c r="X270" s="198"/>
      <c r="Y270" s="198"/>
      <c r="Z270" s="198"/>
      <c r="AA270" s="198"/>
    </row>
    <row r="271" ht="67.5" customHeight="1">
      <c r="A271" s="284">
        <v>35697.0</v>
      </c>
      <c r="B271" s="285" t="s">
        <v>25</v>
      </c>
      <c r="C271" s="285">
        <v>424.0</v>
      </c>
      <c r="D271" s="285" t="s">
        <v>7060</v>
      </c>
      <c r="E271" s="287" t="s">
        <v>4477</v>
      </c>
      <c r="F271" s="285" t="s">
        <v>5919</v>
      </c>
      <c r="G271" s="288">
        <v>44663.0</v>
      </c>
      <c r="H271" s="372">
        <v>44655.0</v>
      </c>
      <c r="I271" s="372">
        <v>44655.0</v>
      </c>
      <c r="J271" s="372">
        <v>44670.0</v>
      </c>
      <c r="K271" s="294"/>
      <c r="L271" s="294"/>
      <c r="M271" s="290" t="s">
        <v>7061</v>
      </c>
      <c r="N271" s="285" t="s">
        <v>4635</v>
      </c>
      <c r="O271" s="299" t="s">
        <v>2621</v>
      </c>
      <c r="P271" s="300">
        <v>130320.0</v>
      </c>
      <c r="Q271" s="213"/>
      <c r="R271" s="198"/>
      <c r="S271" s="198"/>
      <c r="T271" s="198"/>
      <c r="U271" s="198"/>
      <c r="V271" s="198"/>
      <c r="W271" s="198"/>
      <c r="X271" s="198"/>
      <c r="Y271" s="198"/>
      <c r="Z271" s="198"/>
      <c r="AA271" s="198"/>
    </row>
    <row r="272" ht="65.25" customHeight="1">
      <c r="A272" s="284">
        <v>36500.0</v>
      </c>
      <c r="B272" s="299" t="s">
        <v>715</v>
      </c>
      <c r="C272" s="285">
        <v>930.0</v>
      </c>
      <c r="D272" s="285" t="s">
        <v>7062</v>
      </c>
      <c r="E272" s="287" t="s">
        <v>6332</v>
      </c>
      <c r="F272" s="285" t="s">
        <v>5919</v>
      </c>
      <c r="G272" s="288">
        <v>44659.0</v>
      </c>
      <c r="H272" s="288">
        <v>44648.0</v>
      </c>
      <c r="I272" s="288">
        <v>44648.0</v>
      </c>
      <c r="J272" s="285" t="s">
        <v>7063</v>
      </c>
      <c r="K272" s="294"/>
      <c r="L272" s="294"/>
      <c r="M272" s="290" t="s">
        <v>7064</v>
      </c>
      <c r="N272" s="285" t="s">
        <v>4635</v>
      </c>
      <c r="O272" s="299" t="s">
        <v>2621</v>
      </c>
      <c r="P272" s="300">
        <v>62907.2</v>
      </c>
      <c r="Q272" s="213"/>
      <c r="R272" s="198"/>
      <c r="S272" s="198"/>
      <c r="T272" s="198"/>
      <c r="U272" s="198"/>
      <c r="V272" s="198"/>
      <c r="W272" s="198"/>
      <c r="X272" s="198"/>
      <c r="Y272" s="198"/>
      <c r="Z272" s="198"/>
      <c r="AA272" s="198"/>
    </row>
    <row r="273" ht="60.75" customHeight="1">
      <c r="A273" s="284">
        <v>36274.0</v>
      </c>
      <c r="B273" s="299" t="s">
        <v>715</v>
      </c>
      <c r="C273" s="285">
        <v>1314.0</v>
      </c>
      <c r="D273" s="285" t="s">
        <v>7065</v>
      </c>
      <c r="E273" s="287" t="s">
        <v>7066</v>
      </c>
      <c r="F273" s="285" t="s">
        <v>5919</v>
      </c>
      <c r="G273" s="288">
        <v>44659.0</v>
      </c>
      <c r="H273" s="288">
        <v>44642.0</v>
      </c>
      <c r="I273" s="288">
        <v>44642.0</v>
      </c>
      <c r="J273" s="285" t="s">
        <v>7067</v>
      </c>
      <c r="K273" s="294"/>
      <c r="L273" s="294"/>
      <c r="M273" s="290" t="s">
        <v>7068</v>
      </c>
      <c r="N273" s="285" t="s">
        <v>497</v>
      </c>
      <c r="O273" s="299" t="s">
        <v>2554</v>
      </c>
      <c r="P273" s="300">
        <v>44789.78</v>
      </c>
      <c r="Q273" s="213"/>
      <c r="R273" s="198"/>
      <c r="S273" s="198"/>
      <c r="T273" s="198"/>
      <c r="U273" s="198"/>
      <c r="V273" s="198"/>
      <c r="W273" s="198"/>
      <c r="X273" s="198"/>
      <c r="Y273" s="198"/>
      <c r="Z273" s="198"/>
      <c r="AA273" s="198"/>
    </row>
    <row r="274" ht="69.0" customHeight="1">
      <c r="A274" s="284">
        <v>35770.0</v>
      </c>
      <c r="B274" s="285" t="s">
        <v>21</v>
      </c>
      <c r="C274" s="285">
        <v>3000.0</v>
      </c>
      <c r="D274" s="285" t="s">
        <v>7069</v>
      </c>
      <c r="E274" s="287" t="s">
        <v>4690</v>
      </c>
      <c r="F274" s="285" t="s">
        <v>5919</v>
      </c>
      <c r="G274" s="288">
        <v>44659.0</v>
      </c>
      <c r="H274" s="288">
        <v>44635.0</v>
      </c>
      <c r="I274" s="288">
        <v>44635.0</v>
      </c>
      <c r="J274" s="285" t="s">
        <v>7070</v>
      </c>
      <c r="K274" s="294"/>
      <c r="L274" s="294"/>
      <c r="M274" s="290" t="s">
        <v>7071</v>
      </c>
      <c r="N274" s="285" t="s">
        <v>497</v>
      </c>
      <c r="O274" s="299" t="s">
        <v>2554</v>
      </c>
      <c r="P274" s="300">
        <v>20610.0</v>
      </c>
      <c r="Q274" s="213"/>
      <c r="R274" s="198"/>
      <c r="S274" s="198"/>
      <c r="T274" s="198"/>
      <c r="U274" s="198"/>
      <c r="V274" s="198"/>
      <c r="W274" s="198"/>
      <c r="X274" s="198"/>
      <c r="Y274" s="198"/>
      <c r="Z274" s="198"/>
      <c r="AA274" s="198"/>
    </row>
    <row r="275" ht="69.0" customHeight="1">
      <c r="A275" s="284">
        <v>36501.0</v>
      </c>
      <c r="B275" s="299" t="s">
        <v>715</v>
      </c>
      <c r="C275" s="285">
        <v>930.0</v>
      </c>
      <c r="D275" s="285" t="s">
        <v>7072</v>
      </c>
      <c r="E275" s="287" t="s">
        <v>4295</v>
      </c>
      <c r="F275" s="285" t="s">
        <v>5919</v>
      </c>
      <c r="G275" s="288">
        <v>44655.0</v>
      </c>
      <c r="H275" s="288">
        <v>44648.0</v>
      </c>
      <c r="I275" s="288">
        <v>44648.0</v>
      </c>
      <c r="J275" s="288">
        <v>44663.0</v>
      </c>
      <c r="K275" s="294"/>
      <c r="L275" s="294"/>
      <c r="M275" s="290" t="s">
        <v>7073</v>
      </c>
      <c r="N275" s="285" t="s">
        <v>4635</v>
      </c>
      <c r="O275" s="299" t="s">
        <v>2621</v>
      </c>
      <c r="P275" s="300">
        <v>63907.2</v>
      </c>
      <c r="Q275" s="213"/>
      <c r="R275" s="198"/>
      <c r="S275" s="198"/>
      <c r="T275" s="198"/>
      <c r="U275" s="198"/>
      <c r="V275" s="198"/>
      <c r="W275" s="198"/>
      <c r="X275" s="198"/>
      <c r="Y275" s="198"/>
      <c r="Z275" s="198"/>
      <c r="AA275" s="198"/>
    </row>
    <row r="276" ht="65.25" customHeight="1">
      <c r="A276" s="284">
        <v>36502.0</v>
      </c>
      <c r="B276" s="299" t="s">
        <v>715</v>
      </c>
      <c r="C276" s="285">
        <v>930.0</v>
      </c>
      <c r="D276" s="285" t="s">
        <v>7074</v>
      </c>
      <c r="E276" s="287" t="s">
        <v>4295</v>
      </c>
      <c r="F276" s="285" t="s">
        <v>5919</v>
      </c>
      <c r="G276" s="288">
        <v>44655.0</v>
      </c>
      <c r="H276" s="288">
        <v>44648.0</v>
      </c>
      <c r="I276" s="288">
        <v>44648.0</v>
      </c>
      <c r="J276" s="288">
        <v>44662.0</v>
      </c>
      <c r="K276" s="294"/>
      <c r="L276" s="294"/>
      <c r="M276" s="290" t="s">
        <v>7075</v>
      </c>
      <c r="N276" s="285" t="s">
        <v>4635</v>
      </c>
      <c r="O276" s="299" t="s">
        <v>2621</v>
      </c>
      <c r="P276" s="300">
        <v>63907.2</v>
      </c>
      <c r="Q276" s="213"/>
      <c r="R276" s="198"/>
      <c r="S276" s="198"/>
      <c r="T276" s="198"/>
      <c r="U276" s="198"/>
      <c r="V276" s="198"/>
      <c r="W276" s="198"/>
      <c r="X276" s="198"/>
      <c r="Y276" s="198"/>
      <c r="Z276" s="198"/>
      <c r="AA276" s="198"/>
    </row>
    <row r="277" ht="60.0" customHeight="1">
      <c r="A277" s="284">
        <v>36521.0</v>
      </c>
      <c r="B277" s="299" t="s">
        <v>6501</v>
      </c>
      <c r="C277" s="285">
        <v>930.0</v>
      </c>
      <c r="D277" s="285" t="s">
        <v>7076</v>
      </c>
      <c r="E277" s="287" t="s">
        <v>7077</v>
      </c>
      <c r="F277" s="285" t="s">
        <v>5919</v>
      </c>
      <c r="G277" s="288">
        <v>44654.0</v>
      </c>
      <c r="H277" s="288">
        <v>44649.0</v>
      </c>
      <c r="I277" s="288">
        <v>44649.0</v>
      </c>
      <c r="J277" s="288">
        <v>44656.0</v>
      </c>
      <c r="K277" s="294"/>
      <c r="L277" s="294"/>
      <c r="M277" s="290" t="s">
        <v>7078</v>
      </c>
      <c r="N277" s="285" t="s">
        <v>4635</v>
      </c>
      <c r="O277" s="299" t="s">
        <v>2621</v>
      </c>
      <c r="P277" s="300">
        <v>59160.33</v>
      </c>
      <c r="Q277" s="213"/>
      <c r="R277" s="198"/>
      <c r="S277" s="198"/>
      <c r="T277" s="198"/>
      <c r="U277" s="198"/>
      <c r="V277" s="198"/>
      <c r="W277" s="198"/>
      <c r="X277" s="198"/>
      <c r="Y277" s="198"/>
      <c r="Z277" s="198"/>
      <c r="AA277" s="198"/>
    </row>
    <row r="278" ht="60.0" customHeight="1">
      <c r="A278" s="284">
        <v>35573.0</v>
      </c>
      <c r="B278" s="285" t="s">
        <v>25</v>
      </c>
      <c r="C278" s="285">
        <v>2023.0</v>
      </c>
      <c r="D278" s="285" t="s">
        <v>7079</v>
      </c>
      <c r="E278" s="287" t="s">
        <v>7080</v>
      </c>
      <c r="F278" s="285" t="s">
        <v>5919</v>
      </c>
      <c r="G278" s="288">
        <v>44654.0</v>
      </c>
      <c r="H278" s="288">
        <v>44648.0</v>
      </c>
      <c r="I278" s="288">
        <v>44648.0</v>
      </c>
      <c r="J278" s="288">
        <v>44666.0</v>
      </c>
      <c r="K278" s="294"/>
      <c r="L278" s="294"/>
      <c r="M278" s="290" t="s">
        <v>7081</v>
      </c>
      <c r="N278" s="285" t="s">
        <v>497</v>
      </c>
      <c r="O278" s="299" t="s">
        <v>2554</v>
      </c>
      <c r="P278" s="300">
        <v>43641.51</v>
      </c>
      <c r="Q278" s="213"/>
      <c r="R278" s="198"/>
      <c r="S278" s="198"/>
      <c r="T278" s="198"/>
      <c r="U278" s="198"/>
      <c r="V278" s="198"/>
      <c r="W278" s="198"/>
      <c r="X278" s="198"/>
      <c r="Y278" s="198"/>
      <c r="Z278" s="198"/>
      <c r="AA278" s="198"/>
    </row>
    <row r="279" ht="65.25" customHeight="1">
      <c r="A279" s="284">
        <v>36239.0</v>
      </c>
      <c r="B279" s="285" t="s">
        <v>25</v>
      </c>
      <c r="C279" s="285">
        <v>2100.0</v>
      </c>
      <c r="D279" s="285" t="s">
        <v>7082</v>
      </c>
      <c r="E279" s="287" t="s">
        <v>4637</v>
      </c>
      <c r="F279" s="285" t="s">
        <v>5919</v>
      </c>
      <c r="G279" s="288">
        <v>44654.0</v>
      </c>
      <c r="H279" s="288">
        <v>44648.0</v>
      </c>
      <c r="I279" s="288">
        <v>44648.0</v>
      </c>
      <c r="J279" s="288">
        <v>44664.0</v>
      </c>
      <c r="K279" s="294"/>
      <c r="L279" s="294"/>
      <c r="M279" s="290" t="s">
        <v>7083</v>
      </c>
      <c r="N279" s="285" t="s">
        <v>497</v>
      </c>
      <c r="O279" s="299" t="s">
        <v>2554</v>
      </c>
      <c r="P279" s="300">
        <v>29190.0</v>
      </c>
      <c r="Q279" s="213"/>
      <c r="R279" s="198"/>
      <c r="S279" s="198"/>
      <c r="T279" s="198"/>
      <c r="U279" s="198"/>
      <c r="V279" s="198"/>
      <c r="W279" s="198"/>
      <c r="X279" s="198"/>
      <c r="Y279" s="198"/>
      <c r="Z279" s="198"/>
      <c r="AA279" s="198"/>
    </row>
    <row r="280" ht="61.5" customHeight="1">
      <c r="A280" s="284">
        <v>35893.0</v>
      </c>
      <c r="B280" s="299" t="s">
        <v>715</v>
      </c>
      <c r="C280" s="285">
        <v>1080.0</v>
      </c>
      <c r="D280" s="285" t="s">
        <v>7084</v>
      </c>
      <c r="E280" s="287" t="s">
        <v>3740</v>
      </c>
      <c r="F280" s="285" t="s">
        <v>5919</v>
      </c>
      <c r="G280" s="288">
        <v>44646.0</v>
      </c>
      <c r="H280" s="288">
        <v>44641.0</v>
      </c>
      <c r="I280" s="288">
        <v>44641.0</v>
      </c>
      <c r="J280" s="288">
        <v>44652.0</v>
      </c>
      <c r="K280" s="294"/>
      <c r="L280" s="294"/>
      <c r="M280" s="290" t="s">
        <v>7085</v>
      </c>
      <c r="N280" s="285" t="s">
        <v>497</v>
      </c>
      <c r="O280" s="299" t="s">
        <v>4711</v>
      </c>
      <c r="P280" s="300">
        <v>22901.83</v>
      </c>
      <c r="Q280" s="213"/>
      <c r="R280" s="198"/>
      <c r="S280" s="198"/>
      <c r="T280" s="198"/>
      <c r="U280" s="198"/>
      <c r="V280" s="198"/>
      <c r="W280" s="198"/>
      <c r="X280" s="198"/>
      <c r="Y280" s="198"/>
      <c r="Z280" s="198"/>
      <c r="AA280" s="198"/>
    </row>
    <row r="281" ht="61.5" customHeight="1">
      <c r="A281" s="284">
        <v>35603.0</v>
      </c>
      <c r="B281" s="285" t="s">
        <v>21</v>
      </c>
      <c r="C281" s="285">
        <v>2100.0</v>
      </c>
      <c r="D281" s="285" t="s">
        <v>7086</v>
      </c>
      <c r="E281" s="287" t="s">
        <v>4637</v>
      </c>
      <c r="F281" s="285" t="s">
        <v>5919</v>
      </c>
      <c r="G281" s="288">
        <v>44646.0</v>
      </c>
      <c r="H281" s="288">
        <v>44635.0</v>
      </c>
      <c r="I281" s="288">
        <v>44635.0</v>
      </c>
      <c r="J281" s="288">
        <v>44657.0</v>
      </c>
      <c r="K281" s="294"/>
      <c r="L281" s="294"/>
      <c r="M281" s="290" t="s">
        <v>7087</v>
      </c>
      <c r="N281" s="285" t="s">
        <v>497</v>
      </c>
      <c r="O281" s="286" t="s">
        <v>2554</v>
      </c>
      <c r="P281" s="300">
        <v>45465.0</v>
      </c>
      <c r="Q281" s="430"/>
      <c r="R281" s="198"/>
      <c r="S281" s="198"/>
      <c r="T281" s="198"/>
      <c r="U281" s="198"/>
      <c r="V281" s="198"/>
      <c r="W281" s="198"/>
      <c r="X281" s="198"/>
      <c r="Y281" s="198"/>
      <c r="Z281" s="198"/>
      <c r="AA281" s="198"/>
    </row>
    <row r="282" ht="61.5" customHeight="1">
      <c r="A282" s="284">
        <v>35782.0</v>
      </c>
      <c r="B282" s="285" t="s">
        <v>21</v>
      </c>
      <c r="C282" s="285">
        <v>1160.0</v>
      </c>
      <c r="D282" s="285" t="s">
        <v>7088</v>
      </c>
      <c r="E282" s="287" t="s">
        <v>4637</v>
      </c>
      <c r="F282" s="285" t="s">
        <v>5919</v>
      </c>
      <c r="G282" s="288">
        <v>44646.0</v>
      </c>
      <c r="H282" s="288">
        <v>44635.0</v>
      </c>
      <c r="I282" s="288">
        <v>44635.0</v>
      </c>
      <c r="J282" s="288">
        <v>44659.0</v>
      </c>
      <c r="K282" s="294"/>
      <c r="L282" s="294"/>
      <c r="M282" s="290" t="s">
        <v>7089</v>
      </c>
      <c r="N282" s="285" t="s">
        <v>497</v>
      </c>
      <c r="O282" s="286" t="s">
        <v>2554</v>
      </c>
      <c r="P282" s="300">
        <v>48522.8</v>
      </c>
      <c r="Q282" s="430"/>
      <c r="R282" s="198"/>
      <c r="S282" s="198"/>
      <c r="T282" s="198"/>
      <c r="U282" s="198"/>
      <c r="V282" s="198"/>
      <c r="W282" s="198"/>
      <c r="X282" s="198"/>
      <c r="Y282" s="198"/>
      <c r="Z282" s="198"/>
      <c r="AA282" s="198"/>
    </row>
    <row r="283" ht="58.5" customHeight="1">
      <c r="A283" s="284">
        <v>35784.0</v>
      </c>
      <c r="B283" s="285" t="s">
        <v>21</v>
      </c>
      <c r="C283" s="285">
        <v>3000.0</v>
      </c>
      <c r="D283" s="285" t="s">
        <v>7090</v>
      </c>
      <c r="E283" s="287" t="s">
        <v>4690</v>
      </c>
      <c r="F283" s="285" t="s">
        <v>5919</v>
      </c>
      <c r="G283" s="288">
        <v>44646.0</v>
      </c>
      <c r="H283" s="288">
        <v>44635.0</v>
      </c>
      <c r="I283" s="288">
        <v>44635.0</v>
      </c>
      <c r="J283" s="288">
        <v>44662.0</v>
      </c>
      <c r="K283" s="294"/>
      <c r="L283" s="294"/>
      <c r="M283" s="290" t="s">
        <v>7091</v>
      </c>
      <c r="N283" s="285" t="s">
        <v>497</v>
      </c>
      <c r="O283" s="286" t="s">
        <v>2554</v>
      </c>
      <c r="P283" s="300">
        <v>37260.0</v>
      </c>
      <c r="Q283" s="430"/>
      <c r="R283" s="198"/>
      <c r="S283" s="198"/>
      <c r="T283" s="198"/>
      <c r="U283" s="198"/>
      <c r="V283" s="198"/>
      <c r="W283" s="198"/>
      <c r="X283" s="198"/>
      <c r="Y283" s="198"/>
      <c r="Z283" s="198"/>
      <c r="AA283" s="198"/>
    </row>
    <row r="284" ht="57.0" customHeight="1">
      <c r="A284" s="284">
        <v>35785.0</v>
      </c>
      <c r="B284" s="285" t="s">
        <v>21</v>
      </c>
      <c r="C284" s="285">
        <v>3000.0</v>
      </c>
      <c r="D284" s="285" t="s">
        <v>7092</v>
      </c>
      <c r="E284" s="287" t="s">
        <v>4690</v>
      </c>
      <c r="F284" s="285" t="s">
        <v>5919</v>
      </c>
      <c r="G284" s="288">
        <v>44646.0</v>
      </c>
      <c r="H284" s="288">
        <v>44635.0</v>
      </c>
      <c r="I284" s="288">
        <v>44635.0</v>
      </c>
      <c r="J284" s="288">
        <v>44663.0</v>
      </c>
      <c r="K284" s="294"/>
      <c r="L284" s="294"/>
      <c r="M284" s="290" t="s">
        <v>7093</v>
      </c>
      <c r="N284" s="285" t="s">
        <v>497</v>
      </c>
      <c r="O284" s="286" t="s">
        <v>2554</v>
      </c>
      <c r="P284" s="300">
        <v>37260.0</v>
      </c>
      <c r="Q284" s="430"/>
      <c r="R284" s="198"/>
      <c r="S284" s="198"/>
      <c r="T284" s="198"/>
      <c r="U284" s="198"/>
      <c r="V284" s="198"/>
      <c r="W284" s="198"/>
      <c r="X284" s="198"/>
      <c r="Y284" s="198"/>
      <c r="Z284" s="198"/>
      <c r="AA284" s="198"/>
    </row>
    <row r="285" ht="58.5" customHeight="1">
      <c r="A285" s="284">
        <v>35787.0</v>
      </c>
      <c r="B285" s="285" t="s">
        <v>21</v>
      </c>
      <c r="C285" s="285">
        <v>3000.0</v>
      </c>
      <c r="D285" s="285" t="s">
        <v>7094</v>
      </c>
      <c r="E285" s="287" t="s">
        <v>4658</v>
      </c>
      <c r="F285" s="285" t="s">
        <v>5919</v>
      </c>
      <c r="G285" s="288">
        <v>44646.0</v>
      </c>
      <c r="H285" s="288">
        <v>44635.0</v>
      </c>
      <c r="I285" s="288">
        <v>44635.0</v>
      </c>
      <c r="J285" s="288">
        <v>44659.0</v>
      </c>
      <c r="K285" s="294"/>
      <c r="L285" s="294"/>
      <c r="M285" s="290" t="s">
        <v>7095</v>
      </c>
      <c r="N285" s="285" t="s">
        <v>497</v>
      </c>
      <c r="O285" s="286" t="s">
        <v>2554</v>
      </c>
      <c r="P285" s="300">
        <v>37860.0</v>
      </c>
      <c r="Q285" s="430"/>
      <c r="R285" s="198"/>
      <c r="S285" s="198"/>
      <c r="T285" s="198"/>
      <c r="U285" s="198"/>
      <c r="V285" s="198"/>
      <c r="W285" s="198"/>
      <c r="X285" s="198"/>
      <c r="Y285" s="198"/>
      <c r="Z285" s="198"/>
      <c r="AA285" s="198"/>
    </row>
    <row r="286" ht="57.0" customHeight="1">
      <c r="A286" s="284">
        <v>35788.0</v>
      </c>
      <c r="B286" s="285" t="s">
        <v>21</v>
      </c>
      <c r="C286" s="285">
        <v>3000.0</v>
      </c>
      <c r="D286" s="285" t="s">
        <v>7096</v>
      </c>
      <c r="E286" s="287" t="s">
        <v>4658</v>
      </c>
      <c r="F286" s="285" t="s">
        <v>5919</v>
      </c>
      <c r="G286" s="288">
        <v>44646.0</v>
      </c>
      <c r="H286" s="288">
        <v>44635.0</v>
      </c>
      <c r="I286" s="288">
        <v>44635.0</v>
      </c>
      <c r="J286" s="288">
        <v>44656.0</v>
      </c>
      <c r="K286" s="294"/>
      <c r="L286" s="294"/>
      <c r="M286" s="290" t="s">
        <v>7097</v>
      </c>
      <c r="N286" s="285" t="s">
        <v>497</v>
      </c>
      <c r="O286" s="286" t="s">
        <v>2554</v>
      </c>
      <c r="P286" s="300">
        <v>37860.0</v>
      </c>
      <c r="Q286" s="430"/>
      <c r="R286" s="198"/>
      <c r="S286" s="198"/>
      <c r="T286" s="198"/>
      <c r="U286" s="198"/>
      <c r="V286" s="198"/>
      <c r="W286" s="198"/>
      <c r="X286" s="198"/>
      <c r="Y286" s="198"/>
      <c r="Z286" s="198"/>
      <c r="AA286" s="198"/>
    </row>
    <row r="287" ht="59.25" customHeight="1">
      <c r="A287" s="284">
        <v>36403.0</v>
      </c>
      <c r="B287" s="285" t="s">
        <v>25</v>
      </c>
      <c r="C287" s="285">
        <v>1073.0</v>
      </c>
      <c r="D287" s="285" t="s">
        <v>7098</v>
      </c>
      <c r="E287" s="287" t="s">
        <v>7099</v>
      </c>
      <c r="F287" s="285" t="s">
        <v>5919</v>
      </c>
      <c r="G287" s="288">
        <v>44642.0</v>
      </c>
      <c r="H287" s="288">
        <v>44636.0</v>
      </c>
      <c r="I287" s="288">
        <v>44636.0</v>
      </c>
      <c r="J287" s="288">
        <v>44650.0</v>
      </c>
      <c r="K287" s="294"/>
      <c r="L287" s="294"/>
      <c r="M287" s="290" t="s">
        <v>7100</v>
      </c>
      <c r="N287" s="285" t="s">
        <v>4635</v>
      </c>
      <c r="O287" s="286" t="s">
        <v>2621</v>
      </c>
      <c r="P287" s="300">
        <v>53081.2</v>
      </c>
      <c r="Q287" s="213"/>
      <c r="R287" s="198"/>
      <c r="S287" s="198"/>
      <c r="T287" s="198"/>
      <c r="U287" s="198"/>
      <c r="V287" s="198"/>
      <c r="W287" s="198"/>
      <c r="X287" s="198"/>
      <c r="Y287" s="198"/>
      <c r="Z287" s="198"/>
      <c r="AA287" s="198"/>
    </row>
    <row r="288" ht="63.75" customHeight="1">
      <c r="A288" s="284">
        <v>36400.0</v>
      </c>
      <c r="B288" s="299" t="s">
        <v>715</v>
      </c>
      <c r="C288" s="285">
        <v>930.0</v>
      </c>
      <c r="D288" s="285" t="s">
        <v>7101</v>
      </c>
      <c r="E288" s="287" t="s">
        <v>4295</v>
      </c>
      <c r="F288" s="285" t="s">
        <v>5919</v>
      </c>
      <c r="G288" s="288">
        <v>44641.0</v>
      </c>
      <c r="H288" s="288">
        <v>44638.0</v>
      </c>
      <c r="I288" s="288">
        <v>44638.0</v>
      </c>
      <c r="J288" s="372">
        <v>44648.0</v>
      </c>
      <c r="K288" s="294"/>
      <c r="L288" s="294"/>
      <c r="M288" s="290" t="s">
        <v>7102</v>
      </c>
      <c r="N288" s="285" t="s">
        <v>4635</v>
      </c>
      <c r="O288" s="299" t="s">
        <v>2621</v>
      </c>
      <c r="P288" s="300">
        <v>63837.2</v>
      </c>
      <c r="Q288" s="213"/>
      <c r="R288" s="198"/>
      <c r="S288" s="198"/>
      <c r="T288" s="198"/>
      <c r="U288" s="198"/>
      <c r="V288" s="198"/>
      <c r="W288" s="198"/>
      <c r="X288" s="198"/>
      <c r="Y288" s="198"/>
      <c r="Z288" s="198"/>
      <c r="AA288" s="198"/>
    </row>
    <row r="289" ht="59.25" customHeight="1">
      <c r="A289" s="284">
        <v>35576.0</v>
      </c>
      <c r="B289" s="285" t="s">
        <v>25</v>
      </c>
      <c r="C289" s="285">
        <v>2100.0</v>
      </c>
      <c r="D289" s="285" t="s">
        <v>7103</v>
      </c>
      <c r="E289" s="287" t="s">
        <v>4862</v>
      </c>
      <c r="F289" s="285" t="s">
        <v>5919</v>
      </c>
      <c r="G289" s="288">
        <v>44640.0</v>
      </c>
      <c r="H289" s="288">
        <v>44633.0</v>
      </c>
      <c r="I289" s="288">
        <v>44633.0</v>
      </c>
      <c r="J289" s="288">
        <v>44655.0</v>
      </c>
      <c r="K289" s="431"/>
      <c r="L289" s="294"/>
      <c r="M289" s="290" t="s">
        <v>7104</v>
      </c>
      <c r="N289" s="285" t="s">
        <v>497</v>
      </c>
      <c r="O289" s="286" t="s">
        <v>2554</v>
      </c>
      <c r="P289" s="300">
        <v>37125.0</v>
      </c>
      <c r="Q289" s="213"/>
      <c r="R289" s="198"/>
      <c r="S289" s="198"/>
      <c r="T289" s="198"/>
      <c r="U289" s="198"/>
      <c r="V289" s="198"/>
      <c r="W289" s="198"/>
      <c r="X289" s="198"/>
      <c r="Y289" s="198"/>
      <c r="Z289" s="198"/>
      <c r="AA289" s="198"/>
    </row>
    <row r="290" ht="56.25" customHeight="1">
      <c r="A290" s="284">
        <v>36011.0</v>
      </c>
      <c r="B290" s="285" t="s">
        <v>25</v>
      </c>
      <c r="C290" s="285">
        <v>2430.0</v>
      </c>
      <c r="D290" s="285" t="s">
        <v>7105</v>
      </c>
      <c r="E290" s="287" t="s">
        <v>7106</v>
      </c>
      <c r="F290" s="285" t="s">
        <v>5919</v>
      </c>
      <c r="G290" s="288">
        <v>44640.0</v>
      </c>
      <c r="H290" s="288">
        <v>44633.0</v>
      </c>
      <c r="I290" s="288">
        <v>44633.0</v>
      </c>
      <c r="J290" s="288">
        <v>44652.0</v>
      </c>
      <c r="K290" s="294"/>
      <c r="L290" s="294"/>
      <c r="M290" s="290" t="s">
        <v>7107</v>
      </c>
      <c r="N290" s="285" t="s">
        <v>497</v>
      </c>
      <c r="O290" s="286" t="s">
        <v>2554</v>
      </c>
      <c r="P290" s="300">
        <v>54189.0</v>
      </c>
      <c r="Q290" s="213"/>
      <c r="R290" s="198"/>
      <c r="S290" s="198"/>
      <c r="T290" s="198"/>
      <c r="U290" s="198"/>
      <c r="V290" s="198"/>
      <c r="W290" s="198"/>
      <c r="X290" s="198"/>
      <c r="Y290" s="198"/>
      <c r="Z290" s="198"/>
      <c r="AA290" s="198"/>
    </row>
    <row r="291" ht="58.5" customHeight="1">
      <c r="A291" s="284">
        <v>35778.0</v>
      </c>
      <c r="B291" s="299" t="s">
        <v>715</v>
      </c>
      <c r="C291" s="285">
        <v>1290.0</v>
      </c>
      <c r="D291" s="285" t="s">
        <v>7108</v>
      </c>
      <c r="E291" s="287" t="s">
        <v>6444</v>
      </c>
      <c r="F291" s="285" t="s">
        <v>5919</v>
      </c>
      <c r="G291" s="288">
        <v>44640.0</v>
      </c>
      <c r="H291" s="288">
        <v>44626.0</v>
      </c>
      <c r="I291" s="288">
        <v>44626.0</v>
      </c>
      <c r="J291" s="285" t="s">
        <v>7109</v>
      </c>
      <c r="K291" s="294"/>
      <c r="L291" s="294"/>
      <c r="M291" s="290" t="s">
        <v>7110</v>
      </c>
      <c r="N291" s="285" t="s">
        <v>497</v>
      </c>
      <c r="O291" s="286" t="s">
        <v>2554</v>
      </c>
      <c r="P291" s="300">
        <v>44249.58</v>
      </c>
      <c r="Q291" s="213"/>
      <c r="R291" s="198"/>
      <c r="S291" s="198"/>
      <c r="T291" s="198"/>
      <c r="U291" s="198"/>
      <c r="V291" s="198"/>
      <c r="W291" s="198"/>
      <c r="X291" s="198"/>
      <c r="Y291" s="198"/>
      <c r="Z291" s="198"/>
      <c r="AA291" s="198"/>
    </row>
    <row r="292" ht="61.5" customHeight="1">
      <c r="A292" s="284">
        <v>35572.0</v>
      </c>
      <c r="B292" s="285" t="s">
        <v>21</v>
      </c>
      <c r="C292" s="285">
        <v>3000.0</v>
      </c>
      <c r="D292" s="285" t="s">
        <v>7111</v>
      </c>
      <c r="E292" s="287" t="s">
        <v>4690</v>
      </c>
      <c r="F292" s="285" t="s">
        <v>5919</v>
      </c>
      <c r="G292" s="288">
        <v>44638.0</v>
      </c>
      <c r="H292" s="288">
        <v>44616.0</v>
      </c>
      <c r="I292" s="288">
        <v>44616.0</v>
      </c>
      <c r="J292" s="285" t="s">
        <v>7112</v>
      </c>
      <c r="K292" s="294"/>
      <c r="L292" s="294"/>
      <c r="M292" s="290" t="s">
        <v>7113</v>
      </c>
      <c r="N292" s="285" t="s">
        <v>497</v>
      </c>
      <c r="O292" s="286" t="s">
        <v>2554</v>
      </c>
      <c r="P292" s="300">
        <v>38280.0</v>
      </c>
      <c r="Q292" s="430"/>
      <c r="R292" s="198"/>
      <c r="S292" s="198"/>
      <c r="T292" s="198"/>
      <c r="U292" s="198"/>
      <c r="V292" s="198"/>
      <c r="W292" s="198"/>
      <c r="X292" s="198"/>
      <c r="Y292" s="198"/>
      <c r="Z292" s="198"/>
      <c r="AA292" s="198"/>
    </row>
    <row r="293" ht="58.5" customHeight="1">
      <c r="A293" s="284">
        <v>36423.0</v>
      </c>
      <c r="B293" s="285" t="s">
        <v>21</v>
      </c>
      <c r="C293" s="285">
        <v>930.0</v>
      </c>
      <c r="D293" s="285" t="s">
        <v>7114</v>
      </c>
      <c r="E293" s="287" t="s">
        <v>4295</v>
      </c>
      <c r="F293" s="285" t="s">
        <v>5919</v>
      </c>
      <c r="G293" s="288">
        <v>44638.0</v>
      </c>
      <c r="H293" s="288">
        <v>44615.0</v>
      </c>
      <c r="I293" s="288">
        <v>44615.0</v>
      </c>
      <c r="J293" s="288">
        <v>44662.0</v>
      </c>
      <c r="K293" s="294"/>
      <c r="L293" s="294"/>
      <c r="M293" s="290" t="s">
        <v>7115</v>
      </c>
      <c r="N293" s="285" t="s">
        <v>4635</v>
      </c>
      <c r="O293" s="286" t="s">
        <v>2621</v>
      </c>
      <c r="P293" s="300">
        <v>47234.7</v>
      </c>
      <c r="Q293" s="430"/>
      <c r="R293" s="198"/>
      <c r="S293" s="198"/>
      <c r="T293" s="198"/>
      <c r="U293" s="198"/>
      <c r="V293" s="198"/>
      <c r="W293" s="198"/>
      <c r="X293" s="198"/>
      <c r="Y293" s="198"/>
      <c r="Z293" s="198"/>
      <c r="AA293" s="198"/>
    </row>
    <row r="294" ht="57.0" customHeight="1">
      <c r="A294" s="284">
        <v>36421.0</v>
      </c>
      <c r="B294" s="285" t="s">
        <v>21</v>
      </c>
      <c r="C294" s="285">
        <v>930.0</v>
      </c>
      <c r="D294" s="285" t="s">
        <v>7116</v>
      </c>
      <c r="E294" s="287" t="s">
        <v>6707</v>
      </c>
      <c r="F294" s="285" t="s">
        <v>5919</v>
      </c>
      <c r="G294" s="288">
        <v>44638.0</v>
      </c>
      <c r="H294" s="288">
        <v>44615.0</v>
      </c>
      <c r="I294" s="288">
        <v>44615.0</v>
      </c>
      <c r="J294" s="288">
        <v>44665.0</v>
      </c>
      <c r="K294" s="294"/>
      <c r="L294" s="294"/>
      <c r="M294" s="290" t="s">
        <v>7117</v>
      </c>
      <c r="N294" s="285" t="s">
        <v>4635</v>
      </c>
      <c r="O294" s="286" t="s">
        <v>2621</v>
      </c>
      <c r="P294" s="300">
        <v>47234.7</v>
      </c>
      <c r="Q294" s="430"/>
      <c r="R294" s="198"/>
      <c r="S294" s="198"/>
      <c r="T294" s="198"/>
      <c r="U294" s="198"/>
      <c r="V294" s="198"/>
      <c r="W294" s="198"/>
      <c r="X294" s="198"/>
      <c r="Y294" s="198"/>
      <c r="Z294" s="198"/>
      <c r="AA294" s="198"/>
    </row>
    <row r="295" ht="57.0" customHeight="1">
      <c r="A295" s="284">
        <v>36422.0</v>
      </c>
      <c r="B295" s="285" t="s">
        <v>21</v>
      </c>
      <c r="C295" s="285">
        <v>930.0</v>
      </c>
      <c r="D295" s="285" t="s">
        <v>7118</v>
      </c>
      <c r="E295" s="287" t="s">
        <v>4295</v>
      </c>
      <c r="F295" s="285" t="s">
        <v>5919</v>
      </c>
      <c r="G295" s="288">
        <v>44638.0</v>
      </c>
      <c r="H295" s="288">
        <v>44615.0</v>
      </c>
      <c r="I295" s="288">
        <v>44615.0</v>
      </c>
      <c r="J295" s="288">
        <v>44656.0</v>
      </c>
      <c r="K295" s="294"/>
      <c r="L295" s="294"/>
      <c r="M295" s="290" t="s">
        <v>7119</v>
      </c>
      <c r="N295" s="285" t="s">
        <v>4635</v>
      </c>
      <c r="O295" s="286" t="s">
        <v>2621</v>
      </c>
      <c r="P295" s="300">
        <v>47234.7</v>
      </c>
      <c r="Q295" s="430"/>
      <c r="R295" s="198"/>
      <c r="S295" s="198"/>
      <c r="T295" s="198"/>
      <c r="U295" s="198"/>
      <c r="V295" s="198"/>
      <c r="W295" s="198"/>
      <c r="X295" s="198"/>
      <c r="Y295" s="198"/>
      <c r="Z295" s="198"/>
      <c r="AA295" s="198"/>
    </row>
    <row r="296" ht="57.0" customHeight="1">
      <c r="A296" s="284">
        <v>36420.0</v>
      </c>
      <c r="B296" s="285" t="s">
        <v>21</v>
      </c>
      <c r="C296" s="285">
        <v>1260.0</v>
      </c>
      <c r="D296" s="285" t="s">
        <v>7120</v>
      </c>
      <c r="E296" s="287" t="s">
        <v>7121</v>
      </c>
      <c r="F296" s="285" t="s">
        <v>5919</v>
      </c>
      <c r="G296" s="288">
        <v>44638.0</v>
      </c>
      <c r="H296" s="432">
        <v>44614.0</v>
      </c>
      <c r="I296" s="432">
        <v>44614.0</v>
      </c>
      <c r="J296" s="288">
        <v>44658.0</v>
      </c>
      <c r="K296" s="294"/>
      <c r="L296" s="294"/>
      <c r="M296" s="290" t="s">
        <v>7122</v>
      </c>
      <c r="N296" s="285" t="s">
        <v>4635</v>
      </c>
      <c r="O296" s="286" t="s">
        <v>2621</v>
      </c>
      <c r="P296" s="300">
        <v>34372.8</v>
      </c>
      <c r="Q296" s="430"/>
      <c r="R296" s="198"/>
      <c r="S296" s="198"/>
      <c r="T296" s="198"/>
      <c r="U296" s="198"/>
      <c r="V296" s="198"/>
      <c r="W296" s="198"/>
      <c r="X296" s="198"/>
      <c r="Y296" s="198"/>
      <c r="Z296" s="198"/>
      <c r="AA296" s="198"/>
    </row>
    <row r="297" ht="57.75" customHeight="1">
      <c r="A297" s="284">
        <v>36409.0</v>
      </c>
      <c r="B297" s="285" t="s">
        <v>21</v>
      </c>
      <c r="C297" s="285">
        <v>1680.0</v>
      </c>
      <c r="D297" s="285" t="s">
        <v>7123</v>
      </c>
      <c r="E297" s="287" t="s">
        <v>4699</v>
      </c>
      <c r="F297" s="285" t="s">
        <v>5919</v>
      </c>
      <c r="G297" s="288">
        <v>44638.0</v>
      </c>
      <c r="H297" s="288">
        <v>44597.0</v>
      </c>
      <c r="I297" s="288">
        <v>44597.0</v>
      </c>
      <c r="J297" s="285" t="s">
        <v>7124</v>
      </c>
      <c r="K297" s="294"/>
      <c r="L297" s="294"/>
      <c r="M297" s="290" t="s">
        <v>7125</v>
      </c>
      <c r="N297" s="285" t="s">
        <v>4635</v>
      </c>
      <c r="O297" s="299" t="s">
        <v>2621</v>
      </c>
      <c r="P297" s="300">
        <v>39496.8</v>
      </c>
      <c r="Q297" s="430"/>
      <c r="R297" s="198"/>
      <c r="S297" s="198"/>
      <c r="T297" s="198"/>
      <c r="U297" s="198"/>
      <c r="V297" s="198"/>
      <c r="W297" s="198"/>
      <c r="X297" s="198"/>
      <c r="Y297" s="198"/>
      <c r="Z297" s="198"/>
      <c r="AA297" s="198"/>
    </row>
    <row r="298" ht="55.5" customHeight="1">
      <c r="A298" s="284">
        <v>35640.0</v>
      </c>
      <c r="B298" s="285" t="s">
        <v>25</v>
      </c>
      <c r="C298" s="285">
        <v>1161.0</v>
      </c>
      <c r="D298" s="285" t="s">
        <v>7126</v>
      </c>
      <c r="E298" s="287" t="s">
        <v>5049</v>
      </c>
      <c r="F298" s="285" t="s">
        <v>5919</v>
      </c>
      <c r="G298" s="288">
        <v>44637.0</v>
      </c>
      <c r="H298" s="288">
        <v>44633.0</v>
      </c>
      <c r="I298" s="288">
        <v>44633.0</v>
      </c>
      <c r="J298" s="288">
        <v>44642.0</v>
      </c>
      <c r="K298" s="294"/>
      <c r="L298" s="294"/>
      <c r="M298" s="290" t="s">
        <v>7127</v>
      </c>
      <c r="N298" s="285" t="s">
        <v>497</v>
      </c>
      <c r="O298" s="299" t="s">
        <v>2604</v>
      </c>
      <c r="P298" s="300">
        <v>54301.6</v>
      </c>
      <c r="Q298" s="213"/>
      <c r="R298" s="198"/>
      <c r="S298" s="198"/>
      <c r="T298" s="198"/>
      <c r="U298" s="198"/>
      <c r="V298" s="198"/>
      <c r="W298" s="198"/>
      <c r="X298" s="198"/>
      <c r="Y298" s="198"/>
      <c r="Z298" s="198"/>
      <c r="AA298" s="198"/>
    </row>
    <row r="299" ht="57.0" customHeight="1">
      <c r="A299" s="284">
        <v>35574.0</v>
      </c>
      <c r="B299" s="299" t="s">
        <v>715</v>
      </c>
      <c r="C299" s="285">
        <v>2075.0</v>
      </c>
      <c r="D299" s="285" t="s">
        <v>7128</v>
      </c>
      <c r="E299" s="287" t="s">
        <v>7129</v>
      </c>
      <c r="F299" s="285" t="s">
        <v>5919</v>
      </c>
      <c r="G299" s="288">
        <v>44637.0</v>
      </c>
      <c r="H299" s="288">
        <v>44629.0</v>
      </c>
      <c r="I299" s="288">
        <v>44629.0</v>
      </c>
      <c r="J299" s="285" t="s">
        <v>7130</v>
      </c>
      <c r="K299" s="294"/>
      <c r="L299" s="294"/>
      <c r="M299" s="290" t="s">
        <v>7131</v>
      </c>
      <c r="N299" s="285" t="s">
        <v>497</v>
      </c>
      <c r="O299" s="299" t="s">
        <v>2554</v>
      </c>
      <c r="P299" s="300">
        <v>47819.27</v>
      </c>
      <c r="Q299" s="213"/>
      <c r="R299" s="198"/>
      <c r="S299" s="198"/>
      <c r="T299" s="198"/>
      <c r="U299" s="198"/>
      <c r="V299" s="198"/>
      <c r="W299" s="198"/>
      <c r="X299" s="198"/>
      <c r="Y299" s="198"/>
      <c r="Z299" s="198"/>
      <c r="AA299" s="198"/>
    </row>
    <row r="300" ht="56.25" customHeight="1">
      <c r="A300" s="284">
        <v>36184.0</v>
      </c>
      <c r="B300" s="285" t="s">
        <v>21</v>
      </c>
      <c r="C300" s="285">
        <v>744.0</v>
      </c>
      <c r="D300" s="285" t="s">
        <v>7132</v>
      </c>
      <c r="E300" s="287" t="s">
        <v>3169</v>
      </c>
      <c r="F300" s="285" t="s">
        <v>5919</v>
      </c>
      <c r="G300" s="288">
        <v>44635.0</v>
      </c>
      <c r="H300" s="288">
        <v>44630.0</v>
      </c>
      <c r="I300" s="288">
        <v>44630.0</v>
      </c>
      <c r="J300" s="372">
        <v>44641.0</v>
      </c>
      <c r="K300" s="294"/>
      <c r="L300" s="294"/>
      <c r="M300" s="290" t="s">
        <v>7133</v>
      </c>
      <c r="N300" s="285" t="s">
        <v>497</v>
      </c>
      <c r="O300" s="299" t="s">
        <v>2621</v>
      </c>
      <c r="P300" s="300">
        <v>43070.4</v>
      </c>
      <c r="Q300" s="213"/>
      <c r="R300" s="198"/>
      <c r="S300" s="198"/>
      <c r="T300" s="198"/>
      <c r="U300" s="198"/>
      <c r="V300" s="198"/>
      <c r="W300" s="198"/>
      <c r="X300" s="198"/>
      <c r="Y300" s="198"/>
      <c r="Z300" s="198"/>
      <c r="AA300" s="198"/>
    </row>
    <row r="301" ht="73.5" customHeight="1">
      <c r="A301" s="284">
        <v>36338.0</v>
      </c>
      <c r="B301" s="285" t="s">
        <v>21</v>
      </c>
      <c r="C301" s="299">
        <v>1108.0</v>
      </c>
      <c r="D301" s="285" t="s">
        <v>7134</v>
      </c>
      <c r="E301" s="287" t="s">
        <v>7135</v>
      </c>
      <c r="F301" s="285" t="s">
        <v>5919</v>
      </c>
      <c r="G301" s="288">
        <v>44634.0</v>
      </c>
      <c r="H301" s="288">
        <v>44641.0</v>
      </c>
      <c r="I301" s="288">
        <v>44641.0</v>
      </c>
      <c r="J301" s="288">
        <v>44644.0</v>
      </c>
      <c r="K301" s="285"/>
      <c r="L301" s="294"/>
      <c r="M301" s="290" t="s">
        <v>7136</v>
      </c>
      <c r="N301" s="285" t="s">
        <v>4635</v>
      </c>
      <c r="O301" s="299" t="s">
        <v>2621</v>
      </c>
      <c r="P301" s="300">
        <v>101625.86</v>
      </c>
      <c r="Q301" s="213"/>
      <c r="R301" s="198"/>
      <c r="S301" s="198"/>
      <c r="T301" s="198"/>
      <c r="U301" s="198"/>
      <c r="V301" s="198"/>
      <c r="W301" s="198"/>
      <c r="X301" s="198"/>
      <c r="Y301" s="198"/>
      <c r="Z301" s="198"/>
      <c r="AA301" s="198"/>
    </row>
    <row r="302" ht="61.5" customHeight="1">
      <c r="A302" s="284">
        <v>36273.0</v>
      </c>
      <c r="B302" s="299" t="s">
        <v>715</v>
      </c>
      <c r="C302" s="285">
        <v>944.0</v>
      </c>
      <c r="D302" s="285" t="s">
        <v>7137</v>
      </c>
      <c r="E302" s="287" t="s">
        <v>7138</v>
      </c>
      <c r="F302" s="285" t="s">
        <v>5919</v>
      </c>
      <c r="G302" s="288">
        <v>44634.0</v>
      </c>
      <c r="H302" s="288">
        <v>44626.0</v>
      </c>
      <c r="I302" s="288">
        <v>44626.0</v>
      </c>
      <c r="J302" s="288">
        <v>44641.0</v>
      </c>
      <c r="K302" s="294"/>
      <c r="L302" s="294"/>
      <c r="M302" s="290" t="s">
        <v>7139</v>
      </c>
      <c r="N302" s="285" t="s">
        <v>4635</v>
      </c>
      <c r="O302" s="299" t="s">
        <v>2621</v>
      </c>
      <c r="P302" s="300">
        <v>55220.0</v>
      </c>
      <c r="Q302" s="213"/>
      <c r="R302" s="198"/>
      <c r="S302" s="198"/>
      <c r="T302" s="198"/>
      <c r="U302" s="198"/>
      <c r="V302" s="198"/>
      <c r="W302" s="198"/>
      <c r="X302" s="198"/>
      <c r="Y302" s="198"/>
      <c r="Z302" s="198"/>
      <c r="AA302" s="198"/>
    </row>
    <row r="303" ht="54.75" customHeight="1">
      <c r="A303" s="284">
        <v>35606.0</v>
      </c>
      <c r="B303" s="285" t="s">
        <v>21</v>
      </c>
      <c r="C303" s="285">
        <v>3000.0</v>
      </c>
      <c r="D303" s="285" t="s">
        <v>7140</v>
      </c>
      <c r="E303" s="287" t="s">
        <v>4658</v>
      </c>
      <c r="F303" s="285" t="s">
        <v>5919</v>
      </c>
      <c r="G303" s="288">
        <v>44633.0</v>
      </c>
      <c r="H303" s="288">
        <v>44617.0</v>
      </c>
      <c r="I303" s="288">
        <v>44617.0</v>
      </c>
      <c r="J303" s="288">
        <v>44638.0</v>
      </c>
      <c r="K303" s="294"/>
      <c r="L303" s="294"/>
      <c r="M303" s="290" t="s">
        <v>7141</v>
      </c>
      <c r="N303" s="285" t="s">
        <v>497</v>
      </c>
      <c r="O303" s="299" t="s">
        <v>2554</v>
      </c>
      <c r="P303" s="300">
        <v>21210.0</v>
      </c>
      <c r="Q303" s="213"/>
      <c r="R303" s="198"/>
      <c r="S303" s="198"/>
      <c r="T303" s="198"/>
      <c r="U303" s="198"/>
      <c r="V303" s="198"/>
      <c r="W303" s="198"/>
      <c r="X303" s="198"/>
      <c r="Y303" s="198"/>
      <c r="Z303" s="198"/>
      <c r="AA303" s="198"/>
    </row>
    <row r="304" ht="56.25" customHeight="1">
      <c r="A304" s="284">
        <v>35604.0</v>
      </c>
      <c r="B304" s="299" t="s">
        <v>715</v>
      </c>
      <c r="C304" s="285">
        <v>2100.0</v>
      </c>
      <c r="D304" s="285" t="s">
        <v>7142</v>
      </c>
      <c r="E304" s="287" t="s">
        <v>4637</v>
      </c>
      <c r="F304" s="285" t="s">
        <v>5919</v>
      </c>
      <c r="G304" s="288">
        <v>44632.0</v>
      </c>
      <c r="H304" s="288">
        <v>44616.0</v>
      </c>
      <c r="I304" s="288">
        <v>44616.0</v>
      </c>
      <c r="J304" s="288">
        <v>44637.0</v>
      </c>
      <c r="K304" s="294"/>
      <c r="L304" s="294"/>
      <c r="M304" s="290" t="s">
        <v>7143</v>
      </c>
      <c r="N304" s="285" t="s">
        <v>497</v>
      </c>
      <c r="O304" s="299" t="s">
        <v>2554</v>
      </c>
      <c r="P304" s="300">
        <v>28812.0</v>
      </c>
      <c r="Q304" s="213"/>
      <c r="R304" s="198"/>
      <c r="S304" s="198"/>
      <c r="T304" s="198"/>
      <c r="U304" s="198"/>
      <c r="V304" s="198"/>
      <c r="W304" s="198"/>
      <c r="X304" s="198"/>
      <c r="Y304" s="198"/>
      <c r="Z304" s="198"/>
      <c r="AA304" s="198"/>
    </row>
    <row r="305" ht="59.25" customHeight="1">
      <c r="A305" s="284">
        <v>35783.0</v>
      </c>
      <c r="B305" s="285" t="s">
        <v>25</v>
      </c>
      <c r="C305" s="285">
        <v>2200.0</v>
      </c>
      <c r="D305" s="285" t="s">
        <v>7144</v>
      </c>
      <c r="E305" s="287" t="s">
        <v>6435</v>
      </c>
      <c r="F305" s="285" t="s">
        <v>5919</v>
      </c>
      <c r="G305" s="288">
        <v>44631.0</v>
      </c>
      <c r="H305" s="288">
        <v>44627.0</v>
      </c>
      <c r="I305" s="288">
        <v>44627.0</v>
      </c>
      <c r="J305" s="288">
        <v>44638.0</v>
      </c>
      <c r="K305" s="294"/>
      <c r="L305" s="294"/>
      <c r="M305" s="290" t="s">
        <v>7145</v>
      </c>
      <c r="N305" s="285" t="s">
        <v>497</v>
      </c>
      <c r="O305" s="299" t="s">
        <v>2554</v>
      </c>
      <c r="P305" s="300">
        <v>34100.0</v>
      </c>
      <c r="Q305" s="213"/>
      <c r="R305" s="198"/>
      <c r="S305" s="198"/>
      <c r="T305" s="198"/>
      <c r="U305" s="198"/>
      <c r="V305" s="198"/>
      <c r="W305" s="198"/>
      <c r="X305" s="198"/>
      <c r="Y305" s="198"/>
      <c r="Z305" s="198"/>
      <c r="AA305" s="198"/>
    </row>
    <row r="306" ht="59.25" customHeight="1">
      <c r="A306" s="284">
        <v>36454.0</v>
      </c>
      <c r="B306" s="285" t="s">
        <v>25</v>
      </c>
      <c r="C306" s="285">
        <v>944.0</v>
      </c>
      <c r="D306" s="285" t="s">
        <v>7146</v>
      </c>
      <c r="E306" s="287" t="s">
        <v>7147</v>
      </c>
      <c r="F306" s="285" t="s">
        <v>5919</v>
      </c>
      <c r="G306" s="288">
        <v>44630.0</v>
      </c>
      <c r="H306" s="288">
        <v>44626.0</v>
      </c>
      <c r="I306" s="288">
        <v>44626.0</v>
      </c>
      <c r="J306" s="288">
        <v>44644.0</v>
      </c>
      <c r="K306" s="294"/>
      <c r="L306" s="294"/>
      <c r="M306" s="290" t="s">
        <v>7148</v>
      </c>
      <c r="N306" s="285" t="s">
        <v>4635</v>
      </c>
      <c r="O306" s="299" t="s">
        <v>2621</v>
      </c>
      <c r="P306" s="300">
        <v>55453.6</v>
      </c>
      <c r="Q306" s="213"/>
      <c r="R306" s="198"/>
      <c r="S306" s="198"/>
      <c r="T306" s="198"/>
      <c r="U306" s="198"/>
      <c r="V306" s="198"/>
      <c r="W306" s="198"/>
      <c r="X306" s="198"/>
      <c r="Y306" s="198"/>
      <c r="Z306" s="198"/>
      <c r="AA306" s="198"/>
    </row>
    <row r="307" ht="56.25" customHeight="1">
      <c r="A307" s="284">
        <v>36144.0</v>
      </c>
      <c r="B307" s="299" t="s">
        <v>715</v>
      </c>
      <c r="C307" s="285">
        <v>2376.0</v>
      </c>
      <c r="D307" s="285" t="s">
        <v>7149</v>
      </c>
      <c r="E307" s="287" t="s">
        <v>6435</v>
      </c>
      <c r="F307" s="285" t="s">
        <v>5919</v>
      </c>
      <c r="G307" s="288">
        <v>44629.0</v>
      </c>
      <c r="H307" s="288">
        <v>44629.0</v>
      </c>
      <c r="I307" s="288">
        <v>44629.0</v>
      </c>
      <c r="J307" s="288">
        <v>44634.0</v>
      </c>
      <c r="K307" s="294"/>
      <c r="L307" s="294"/>
      <c r="M307" s="290" t="s">
        <v>7150</v>
      </c>
      <c r="N307" s="285" t="s">
        <v>497</v>
      </c>
      <c r="O307" s="299" t="s">
        <v>2554</v>
      </c>
      <c r="P307" s="300">
        <v>36828.0</v>
      </c>
      <c r="Q307" s="213"/>
      <c r="R307" s="198"/>
      <c r="S307" s="198"/>
      <c r="T307" s="198"/>
      <c r="U307" s="198"/>
      <c r="V307" s="198"/>
      <c r="W307" s="198"/>
      <c r="X307" s="198"/>
      <c r="Y307" s="198"/>
      <c r="Z307" s="198"/>
      <c r="AA307" s="198"/>
    </row>
    <row r="308" ht="57.75" customHeight="1">
      <c r="A308" s="284">
        <v>36254.0</v>
      </c>
      <c r="B308" s="285" t="s">
        <v>25</v>
      </c>
      <c r="C308" s="285">
        <v>2725.0</v>
      </c>
      <c r="D308" s="285" t="s">
        <v>7151</v>
      </c>
      <c r="E308" s="287" t="s">
        <v>6582</v>
      </c>
      <c r="F308" s="285" t="s">
        <v>5919</v>
      </c>
      <c r="G308" s="288">
        <v>44629.0</v>
      </c>
      <c r="H308" s="288">
        <v>44624.0</v>
      </c>
      <c r="I308" s="288">
        <v>44624.0</v>
      </c>
      <c r="J308" s="288">
        <v>44648.0</v>
      </c>
      <c r="K308" s="294"/>
      <c r="L308" s="294"/>
      <c r="M308" s="290" t="s">
        <v>7152</v>
      </c>
      <c r="N308" s="285" t="s">
        <v>497</v>
      </c>
      <c r="O308" s="299" t="s">
        <v>2621</v>
      </c>
      <c r="P308" s="300">
        <v>36842.0</v>
      </c>
      <c r="Q308" s="213"/>
      <c r="R308" s="198"/>
      <c r="S308" s="198"/>
      <c r="T308" s="198"/>
      <c r="U308" s="198"/>
      <c r="V308" s="198"/>
      <c r="W308" s="198"/>
      <c r="X308" s="198"/>
      <c r="Y308" s="198"/>
      <c r="Z308" s="198"/>
      <c r="AA308" s="198"/>
    </row>
    <row r="309" ht="58.5" customHeight="1">
      <c r="A309" s="284">
        <v>35786.0</v>
      </c>
      <c r="B309" s="285" t="s">
        <v>21</v>
      </c>
      <c r="C309" s="285">
        <v>3000.0</v>
      </c>
      <c r="D309" s="285" t="s">
        <v>7153</v>
      </c>
      <c r="E309" s="287" t="s">
        <v>4658</v>
      </c>
      <c r="F309" s="285" t="s">
        <v>5919</v>
      </c>
      <c r="G309" s="288">
        <v>44628.0</v>
      </c>
      <c r="H309" s="288">
        <v>44624.0</v>
      </c>
      <c r="I309" s="288">
        <v>44624.0</v>
      </c>
      <c r="J309" s="285" t="s">
        <v>7154</v>
      </c>
      <c r="K309" s="294"/>
      <c r="L309" s="294"/>
      <c r="M309" s="290" t="s">
        <v>7155</v>
      </c>
      <c r="N309" s="285" t="s">
        <v>497</v>
      </c>
      <c r="O309" s="299" t="s">
        <v>2554</v>
      </c>
      <c r="P309" s="300">
        <v>21210.0</v>
      </c>
      <c r="Q309" s="213"/>
      <c r="R309" s="198"/>
      <c r="S309" s="198"/>
      <c r="T309" s="198"/>
      <c r="U309" s="198"/>
      <c r="V309" s="198"/>
      <c r="W309" s="198"/>
      <c r="X309" s="198"/>
      <c r="Y309" s="198"/>
      <c r="Z309" s="198"/>
      <c r="AA309" s="198"/>
    </row>
    <row r="310" ht="59.25" customHeight="1">
      <c r="A310" s="284">
        <v>35772.0</v>
      </c>
      <c r="B310" s="285" t="s">
        <v>21</v>
      </c>
      <c r="C310" s="285">
        <v>3000.0</v>
      </c>
      <c r="D310" s="285" t="s">
        <v>7156</v>
      </c>
      <c r="E310" s="287" t="s">
        <v>4658</v>
      </c>
      <c r="F310" s="285" t="s">
        <v>5919</v>
      </c>
      <c r="G310" s="288">
        <v>44628.0</v>
      </c>
      <c r="H310" s="288">
        <v>44624.0</v>
      </c>
      <c r="I310" s="288">
        <v>44624.0</v>
      </c>
      <c r="J310" s="288">
        <v>44636.0</v>
      </c>
      <c r="K310" s="294"/>
      <c r="L310" s="294"/>
      <c r="M310" s="290" t="s">
        <v>7157</v>
      </c>
      <c r="N310" s="285" t="s">
        <v>497</v>
      </c>
      <c r="O310" s="299" t="s">
        <v>2554</v>
      </c>
      <c r="P310" s="300">
        <v>21210.0</v>
      </c>
      <c r="Q310" s="213"/>
      <c r="R310" s="198"/>
      <c r="S310" s="198"/>
      <c r="T310" s="198"/>
      <c r="U310" s="198"/>
      <c r="V310" s="198"/>
      <c r="W310" s="198"/>
      <c r="X310" s="198"/>
      <c r="Y310" s="198"/>
      <c r="Z310" s="198"/>
      <c r="AA310" s="198"/>
    </row>
    <row r="311" ht="60.0" customHeight="1">
      <c r="A311" s="284">
        <v>35641.0</v>
      </c>
      <c r="B311" s="285" t="s">
        <v>21</v>
      </c>
      <c r="C311" s="285">
        <v>1161.0</v>
      </c>
      <c r="D311" s="285" t="s">
        <v>7158</v>
      </c>
      <c r="E311" s="287" t="s">
        <v>5049</v>
      </c>
      <c r="F311" s="285" t="s">
        <v>5919</v>
      </c>
      <c r="G311" s="288">
        <v>44628.0</v>
      </c>
      <c r="H311" s="288">
        <v>44623.0</v>
      </c>
      <c r="I311" s="288">
        <v>44623.0</v>
      </c>
      <c r="J311" s="285" t="s">
        <v>7159</v>
      </c>
      <c r="K311" s="294"/>
      <c r="L311" s="294"/>
      <c r="M311" s="290" t="s">
        <v>7160</v>
      </c>
      <c r="N311" s="285" t="s">
        <v>497</v>
      </c>
      <c r="O311" s="299" t="s">
        <v>2604</v>
      </c>
      <c r="P311" s="300">
        <v>54301.6</v>
      </c>
      <c r="Q311" s="213"/>
      <c r="R311" s="198"/>
      <c r="S311" s="198"/>
      <c r="T311" s="198"/>
      <c r="U311" s="198"/>
      <c r="V311" s="198"/>
      <c r="W311" s="198"/>
      <c r="X311" s="198"/>
      <c r="Y311" s="198"/>
      <c r="Z311" s="198"/>
      <c r="AA311" s="198"/>
    </row>
    <row r="312" ht="70.5" customHeight="1">
      <c r="A312" s="284">
        <v>36175.0</v>
      </c>
      <c r="B312" s="285" t="s">
        <v>25</v>
      </c>
      <c r="C312" s="285">
        <v>1800.0</v>
      </c>
      <c r="D312" s="285" t="s">
        <v>7161</v>
      </c>
      <c r="E312" s="287" t="s">
        <v>6582</v>
      </c>
      <c r="F312" s="285" t="s">
        <v>5919</v>
      </c>
      <c r="G312" s="288">
        <v>44627.0</v>
      </c>
      <c r="H312" s="288">
        <v>44622.0</v>
      </c>
      <c r="I312" s="288">
        <v>44645.0</v>
      </c>
      <c r="J312" s="285" t="s">
        <v>7162</v>
      </c>
      <c r="K312" s="294"/>
      <c r="L312" s="294"/>
      <c r="M312" s="290" t="s">
        <v>7163</v>
      </c>
      <c r="N312" s="285" t="s">
        <v>497</v>
      </c>
      <c r="O312" s="299" t="s">
        <v>2621</v>
      </c>
      <c r="P312" s="300">
        <v>84024.0</v>
      </c>
      <c r="Q312" s="213"/>
      <c r="R312" s="198"/>
      <c r="S312" s="198"/>
      <c r="T312" s="198"/>
      <c r="U312" s="198"/>
      <c r="V312" s="198"/>
      <c r="W312" s="198"/>
      <c r="X312" s="198"/>
      <c r="Y312" s="198"/>
      <c r="Z312" s="198"/>
      <c r="AA312" s="198"/>
    </row>
    <row r="313" ht="67.5" customHeight="1">
      <c r="A313" s="284">
        <v>36410.0</v>
      </c>
      <c r="B313" s="285" t="s">
        <v>21</v>
      </c>
      <c r="C313" s="285">
        <v>1101.0</v>
      </c>
      <c r="D313" s="285" t="s">
        <v>7164</v>
      </c>
      <c r="E313" s="287" t="s">
        <v>7165</v>
      </c>
      <c r="F313" s="285" t="s">
        <v>5919</v>
      </c>
      <c r="G313" s="288">
        <v>44626.0</v>
      </c>
      <c r="H313" s="288">
        <v>44623.0</v>
      </c>
      <c r="I313" s="288">
        <v>44623.0</v>
      </c>
      <c r="J313" s="288">
        <v>44630.0</v>
      </c>
      <c r="K313" s="294"/>
      <c r="L313" s="294"/>
      <c r="M313" s="290" t="s">
        <v>7166</v>
      </c>
      <c r="N313" s="285" t="s">
        <v>4635</v>
      </c>
      <c r="O313" s="299" t="s">
        <v>2621</v>
      </c>
      <c r="P313" s="300">
        <v>106407.48</v>
      </c>
      <c r="Q313" s="213"/>
      <c r="R313" s="198"/>
      <c r="S313" s="198"/>
      <c r="T313" s="198"/>
      <c r="U313" s="198"/>
      <c r="V313" s="198"/>
      <c r="W313" s="198"/>
      <c r="X313" s="198"/>
      <c r="Y313" s="198"/>
      <c r="Z313" s="198"/>
      <c r="AA313" s="198"/>
    </row>
    <row r="314" ht="64.5" customHeight="1">
      <c r="A314" s="284">
        <v>36248.0</v>
      </c>
      <c r="B314" s="285" t="s">
        <v>25</v>
      </c>
      <c r="C314" s="285" t="s">
        <v>5121</v>
      </c>
      <c r="D314" s="285" t="s">
        <v>7167</v>
      </c>
      <c r="E314" s="287" t="s">
        <v>7168</v>
      </c>
      <c r="F314" s="285" t="s">
        <v>5919</v>
      </c>
      <c r="G314" s="288">
        <v>44625.0</v>
      </c>
      <c r="H314" s="285" t="s">
        <v>4841</v>
      </c>
      <c r="I314" s="285" t="s">
        <v>4841</v>
      </c>
      <c r="J314" s="285" t="s">
        <v>7169</v>
      </c>
      <c r="K314" s="294"/>
      <c r="L314" s="294"/>
      <c r="M314" s="290" t="s">
        <v>7170</v>
      </c>
      <c r="N314" s="285" t="s">
        <v>497</v>
      </c>
      <c r="O314" s="299" t="s">
        <v>2538</v>
      </c>
      <c r="P314" s="300">
        <v>36000.0</v>
      </c>
      <c r="Q314" s="213"/>
      <c r="R314" s="198"/>
      <c r="S314" s="198"/>
      <c r="T314" s="198"/>
      <c r="U314" s="198"/>
      <c r="V314" s="198"/>
      <c r="W314" s="198"/>
      <c r="X314" s="198"/>
      <c r="Y314" s="198"/>
      <c r="Z314" s="198"/>
      <c r="AA314" s="198"/>
    </row>
    <row r="315" ht="57.0" customHeight="1">
      <c r="A315" s="284">
        <v>36399.0</v>
      </c>
      <c r="B315" s="299" t="s">
        <v>715</v>
      </c>
      <c r="C315" s="285">
        <v>930.0</v>
      </c>
      <c r="D315" s="285" t="s">
        <v>7171</v>
      </c>
      <c r="E315" s="287" t="s">
        <v>4295</v>
      </c>
      <c r="F315" s="285" t="s">
        <v>5919</v>
      </c>
      <c r="G315" s="288">
        <v>44624.0</v>
      </c>
      <c r="H315" s="288">
        <v>44622.0</v>
      </c>
      <c r="I315" s="288">
        <v>44622.0</v>
      </c>
      <c r="J315" s="288">
        <v>44630.0</v>
      </c>
      <c r="K315" s="294"/>
      <c r="L315" s="294"/>
      <c r="M315" s="290" t="s">
        <v>7172</v>
      </c>
      <c r="N315" s="285" t="s">
        <v>4635</v>
      </c>
      <c r="O315" s="299" t="s">
        <v>2621</v>
      </c>
      <c r="P315" s="300">
        <v>64723.2</v>
      </c>
      <c r="Q315" s="213"/>
      <c r="R315" s="198"/>
      <c r="S315" s="198"/>
      <c r="T315" s="198"/>
      <c r="U315" s="198"/>
      <c r="V315" s="198"/>
      <c r="W315" s="198"/>
      <c r="X315" s="198"/>
      <c r="Y315" s="198"/>
      <c r="Z315" s="198"/>
      <c r="AA315" s="198"/>
    </row>
    <row r="316" ht="57.0" customHeight="1">
      <c r="A316" s="284">
        <v>35658.0</v>
      </c>
      <c r="B316" s="285" t="s">
        <v>25</v>
      </c>
      <c r="C316" s="285">
        <v>1290.0</v>
      </c>
      <c r="D316" s="285" t="s">
        <v>7173</v>
      </c>
      <c r="E316" s="287" t="s">
        <v>4713</v>
      </c>
      <c r="F316" s="285" t="s">
        <v>5919</v>
      </c>
      <c r="G316" s="288">
        <v>44624.0</v>
      </c>
      <c r="H316" s="288">
        <v>44617.0</v>
      </c>
      <c r="I316" s="288">
        <v>44617.0</v>
      </c>
      <c r="J316" s="285" t="s">
        <v>7174</v>
      </c>
      <c r="K316" s="294"/>
      <c r="L316" s="294"/>
      <c r="M316" s="290" t="s">
        <v>7175</v>
      </c>
      <c r="N316" s="285" t="s">
        <v>497</v>
      </c>
      <c r="O316" s="299" t="s">
        <v>2554</v>
      </c>
      <c r="P316" s="300">
        <v>44249.58</v>
      </c>
      <c r="Q316" s="213"/>
      <c r="R316" s="198"/>
      <c r="S316" s="198"/>
      <c r="T316" s="198"/>
      <c r="U316" s="198"/>
      <c r="V316" s="198"/>
      <c r="W316" s="198"/>
      <c r="X316" s="198"/>
      <c r="Y316" s="198"/>
      <c r="Z316" s="198"/>
      <c r="AA316" s="198"/>
    </row>
    <row r="317" ht="57.75" customHeight="1">
      <c r="A317" s="284">
        <v>35575.0</v>
      </c>
      <c r="B317" s="285" t="s">
        <v>25</v>
      </c>
      <c r="C317" s="285">
        <v>1290.0</v>
      </c>
      <c r="D317" s="285" t="s">
        <v>7176</v>
      </c>
      <c r="E317" s="287" t="s">
        <v>4713</v>
      </c>
      <c r="F317" s="285" t="s">
        <v>5919</v>
      </c>
      <c r="G317" s="288">
        <v>44622.0</v>
      </c>
      <c r="H317" s="288">
        <v>44599.0</v>
      </c>
      <c r="I317" s="288">
        <v>44599.0</v>
      </c>
      <c r="J317" s="288">
        <v>44635.0</v>
      </c>
      <c r="K317" s="294"/>
      <c r="L317" s="294"/>
      <c r="M317" s="290" t="s">
        <v>7177</v>
      </c>
      <c r="N317" s="285" t="s">
        <v>497</v>
      </c>
      <c r="O317" s="299" t="s">
        <v>2554</v>
      </c>
      <c r="P317" s="300">
        <v>44249.58</v>
      </c>
      <c r="Q317" s="213"/>
      <c r="R317" s="198"/>
      <c r="S317" s="198"/>
      <c r="T317" s="198"/>
      <c r="U317" s="198"/>
      <c r="V317" s="198"/>
      <c r="W317" s="198"/>
      <c r="X317" s="198"/>
      <c r="Y317" s="198"/>
      <c r="Z317" s="198"/>
      <c r="AA317" s="198"/>
    </row>
    <row r="318" ht="54.0" customHeight="1">
      <c r="A318" s="284">
        <v>36228.0</v>
      </c>
      <c r="B318" s="285" t="s">
        <v>715</v>
      </c>
      <c r="C318" s="285">
        <v>1100.0</v>
      </c>
      <c r="D318" s="285" t="s">
        <v>7178</v>
      </c>
      <c r="E318" s="287" t="s">
        <v>7179</v>
      </c>
      <c r="F318" s="285" t="s">
        <v>5919</v>
      </c>
      <c r="G318" s="288">
        <v>44621.0</v>
      </c>
      <c r="H318" s="372">
        <v>44606.0</v>
      </c>
      <c r="I318" s="372">
        <v>44606.0</v>
      </c>
      <c r="J318" s="285" t="s">
        <v>7180</v>
      </c>
      <c r="K318" s="294"/>
      <c r="L318" s="294"/>
      <c r="M318" s="290" t="s">
        <v>7181</v>
      </c>
      <c r="N318" s="285" t="s">
        <v>4635</v>
      </c>
      <c r="O318" s="299" t="s">
        <v>2621</v>
      </c>
      <c r="P318" s="300">
        <v>113969.0</v>
      </c>
      <c r="Q318" s="213"/>
      <c r="R318" s="198"/>
      <c r="S318" s="198"/>
      <c r="T318" s="198"/>
      <c r="U318" s="198"/>
      <c r="V318" s="198"/>
      <c r="W318" s="198"/>
      <c r="X318" s="198"/>
      <c r="Y318" s="198"/>
      <c r="Z318" s="198"/>
      <c r="AA318" s="198"/>
    </row>
    <row r="319" ht="54.0" customHeight="1">
      <c r="A319" s="284">
        <v>35580.0</v>
      </c>
      <c r="B319" s="285" t="s">
        <v>715</v>
      </c>
      <c r="C319" s="285">
        <v>2100.0</v>
      </c>
      <c r="D319" s="285" t="s">
        <v>7182</v>
      </c>
      <c r="E319" s="287" t="s">
        <v>4637</v>
      </c>
      <c r="F319" s="285" t="s">
        <v>5919</v>
      </c>
      <c r="G319" s="288">
        <v>44620.0</v>
      </c>
      <c r="H319" s="288">
        <v>44610.0</v>
      </c>
      <c r="I319" s="288">
        <v>44610.0</v>
      </c>
      <c r="J319" s="288">
        <v>44627.0</v>
      </c>
      <c r="K319" s="294"/>
      <c r="L319" s="294"/>
      <c r="M319" s="290" t="s">
        <v>7183</v>
      </c>
      <c r="N319" s="285" t="s">
        <v>497</v>
      </c>
      <c r="O319" s="299" t="s">
        <v>2554</v>
      </c>
      <c r="P319" s="300">
        <v>28812.0</v>
      </c>
      <c r="Q319" s="213"/>
      <c r="R319" s="198"/>
      <c r="S319" s="198"/>
      <c r="T319" s="198"/>
      <c r="U319" s="198"/>
      <c r="V319" s="198"/>
      <c r="W319" s="198"/>
      <c r="X319" s="198"/>
      <c r="Y319" s="198"/>
      <c r="Z319" s="198"/>
      <c r="AA319" s="198"/>
    </row>
    <row r="320" ht="54.0" customHeight="1">
      <c r="A320" s="284">
        <v>35789.0</v>
      </c>
      <c r="B320" s="299" t="s">
        <v>715</v>
      </c>
      <c r="C320" s="285">
        <v>1160.0</v>
      </c>
      <c r="D320" s="285" t="s">
        <v>7184</v>
      </c>
      <c r="E320" s="287" t="s">
        <v>4637</v>
      </c>
      <c r="F320" s="285" t="s">
        <v>5919</v>
      </c>
      <c r="G320" s="288">
        <v>44618.0</v>
      </c>
      <c r="H320" s="288">
        <v>44616.0</v>
      </c>
      <c r="I320" s="288">
        <v>44616.0</v>
      </c>
      <c r="J320" s="288">
        <v>44624.0</v>
      </c>
      <c r="K320" s="294"/>
      <c r="L320" s="294"/>
      <c r="M320" s="290" t="s">
        <v>7185</v>
      </c>
      <c r="N320" s="285" t="s">
        <v>497</v>
      </c>
      <c r="O320" s="299" t="s">
        <v>2554</v>
      </c>
      <c r="P320" s="300">
        <v>31869.84</v>
      </c>
      <c r="Q320" s="213"/>
      <c r="R320" s="198"/>
      <c r="S320" s="198"/>
      <c r="T320" s="198"/>
      <c r="U320" s="198"/>
      <c r="V320" s="198"/>
      <c r="W320" s="198"/>
      <c r="X320" s="198"/>
      <c r="Y320" s="198"/>
      <c r="Z320" s="198"/>
      <c r="AA320" s="198"/>
    </row>
    <row r="321" ht="54.0" customHeight="1">
      <c r="A321" s="284">
        <v>36453.0</v>
      </c>
      <c r="B321" s="285" t="s">
        <v>25</v>
      </c>
      <c r="C321" s="285">
        <v>944.0</v>
      </c>
      <c r="D321" s="285" t="s">
        <v>7186</v>
      </c>
      <c r="E321" s="287" t="s">
        <v>7187</v>
      </c>
      <c r="F321" s="285" t="s">
        <v>5919</v>
      </c>
      <c r="G321" s="288">
        <v>44618.0</v>
      </c>
      <c r="H321" s="288">
        <v>44613.0</v>
      </c>
      <c r="I321" s="288">
        <v>44613.0</v>
      </c>
      <c r="J321" s="288">
        <v>44627.0</v>
      </c>
      <c r="K321" s="294"/>
      <c r="L321" s="294"/>
      <c r="M321" s="290" t="s">
        <v>7188</v>
      </c>
      <c r="N321" s="285" t="s">
        <v>4635</v>
      </c>
      <c r="O321" s="299" t="s">
        <v>2621</v>
      </c>
      <c r="P321" s="300">
        <v>47316.4</v>
      </c>
      <c r="Q321" s="213"/>
      <c r="R321" s="198"/>
      <c r="S321" s="198"/>
      <c r="T321" s="198"/>
      <c r="U321" s="198"/>
      <c r="V321" s="198"/>
      <c r="W321" s="198"/>
      <c r="X321" s="198"/>
      <c r="Y321" s="198"/>
      <c r="Z321" s="198"/>
      <c r="AA321" s="198"/>
    </row>
    <row r="322" ht="60.75" customHeight="1">
      <c r="A322" s="284">
        <v>36363.0</v>
      </c>
      <c r="B322" s="299" t="s">
        <v>715</v>
      </c>
      <c r="C322" s="285">
        <v>1680.0</v>
      </c>
      <c r="D322" s="285" t="s">
        <v>7189</v>
      </c>
      <c r="E322" s="287" t="s">
        <v>4699</v>
      </c>
      <c r="F322" s="285" t="s">
        <v>5919</v>
      </c>
      <c r="G322" s="288">
        <v>44616.0</v>
      </c>
      <c r="H322" s="372">
        <v>44616.0</v>
      </c>
      <c r="I322" s="372">
        <v>44616.0</v>
      </c>
      <c r="J322" s="288">
        <v>44623.0</v>
      </c>
      <c r="K322" s="294"/>
      <c r="L322" s="294"/>
      <c r="M322" s="290" t="s">
        <v>7190</v>
      </c>
      <c r="N322" s="285" t="s">
        <v>4635</v>
      </c>
      <c r="O322" s="299" t="s">
        <v>2621</v>
      </c>
      <c r="P322" s="300">
        <v>56016.0</v>
      </c>
      <c r="Q322" s="213"/>
      <c r="R322" s="198"/>
      <c r="S322" s="198"/>
      <c r="T322" s="198"/>
      <c r="U322" s="198"/>
      <c r="V322" s="198"/>
      <c r="W322" s="198"/>
      <c r="X322" s="198"/>
      <c r="Y322" s="198"/>
      <c r="Z322" s="198"/>
      <c r="AA322" s="198"/>
    </row>
    <row r="323" ht="57.0" customHeight="1">
      <c r="A323" s="284">
        <v>36374.0</v>
      </c>
      <c r="B323" s="285" t="s">
        <v>715</v>
      </c>
      <c r="C323" s="285">
        <v>1200.0</v>
      </c>
      <c r="D323" s="285" t="s">
        <v>7191</v>
      </c>
      <c r="E323" s="287" t="s">
        <v>5198</v>
      </c>
      <c r="F323" s="285" t="s">
        <v>5919</v>
      </c>
      <c r="G323" s="288">
        <v>44615.0</v>
      </c>
      <c r="H323" s="372">
        <v>44613.0</v>
      </c>
      <c r="I323" s="372">
        <v>44613.0</v>
      </c>
      <c r="J323" s="372">
        <v>44620.0</v>
      </c>
      <c r="K323" s="294"/>
      <c r="L323" s="294"/>
      <c r="M323" s="290" t="s">
        <v>7192</v>
      </c>
      <c r="N323" s="285" t="s">
        <v>497</v>
      </c>
      <c r="O323" s="299" t="s">
        <v>2621</v>
      </c>
      <c r="P323" s="300">
        <v>39760.0</v>
      </c>
      <c r="Q323" s="213"/>
      <c r="R323" s="198"/>
      <c r="S323" s="198"/>
      <c r="T323" s="198"/>
      <c r="U323" s="198"/>
      <c r="V323" s="198"/>
      <c r="W323" s="198"/>
      <c r="X323" s="198"/>
      <c r="Y323" s="198"/>
      <c r="Z323" s="198"/>
      <c r="AA323" s="198"/>
    </row>
    <row r="324" ht="57.0" customHeight="1">
      <c r="A324" s="284">
        <v>35605.0</v>
      </c>
      <c r="B324" s="299" t="s">
        <v>715</v>
      </c>
      <c r="C324" s="285">
        <v>1160.0</v>
      </c>
      <c r="D324" s="285" t="s">
        <v>7193</v>
      </c>
      <c r="E324" s="287" t="s">
        <v>4637</v>
      </c>
      <c r="F324" s="285" t="s">
        <v>5919</v>
      </c>
      <c r="G324" s="288">
        <v>44615.0</v>
      </c>
      <c r="H324" s="288">
        <v>44610.0</v>
      </c>
      <c r="I324" s="288">
        <v>44610.0</v>
      </c>
      <c r="J324" s="285" t="s">
        <v>7194</v>
      </c>
      <c r="K324" s="294"/>
      <c r="L324" s="294"/>
      <c r="M324" s="290" t="s">
        <v>7195</v>
      </c>
      <c r="N324" s="285" t="s">
        <v>497</v>
      </c>
      <c r="O324" s="299" t="s">
        <v>2554</v>
      </c>
      <c r="P324" s="300">
        <v>31869.84</v>
      </c>
      <c r="Q324" s="213"/>
      <c r="R324" s="198"/>
      <c r="S324" s="198"/>
      <c r="T324" s="198"/>
      <c r="U324" s="198"/>
      <c r="V324" s="198"/>
      <c r="W324" s="198"/>
      <c r="X324" s="198"/>
      <c r="Y324" s="198"/>
      <c r="Z324" s="198"/>
      <c r="AA324" s="198"/>
    </row>
    <row r="325" ht="54.0" customHeight="1">
      <c r="A325" s="284">
        <v>35801.0</v>
      </c>
      <c r="B325" s="285" t="s">
        <v>25</v>
      </c>
      <c r="C325" s="285">
        <v>1930.0</v>
      </c>
      <c r="D325" s="285" t="s">
        <v>7196</v>
      </c>
      <c r="E325" s="287" t="s">
        <v>4670</v>
      </c>
      <c r="F325" s="285" t="s">
        <v>5919</v>
      </c>
      <c r="G325" s="288">
        <v>44614.0</v>
      </c>
      <c r="H325" s="288">
        <v>44609.0</v>
      </c>
      <c r="I325" s="288">
        <v>44609.0</v>
      </c>
      <c r="J325" s="288">
        <v>44623.0</v>
      </c>
      <c r="K325" s="294"/>
      <c r="L325" s="294"/>
      <c r="M325" s="290" t="s">
        <v>7197</v>
      </c>
      <c r="N325" s="285" t="s">
        <v>497</v>
      </c>
      <c r="O325" s="299" t="s">
        <v>2604</v>
      </c>
      <c r="P325" s="300">
        <v>57508.0</v>
      </c>
      <c r="Q325" s="213"/>
      <c r="R325" s="198"/>
      <c r="S325" s="198"/>
      <c r="T325" s="198"/>
      <c r="U325" s="198"/>
      <c r="V325" s="198"/>
      <c r="W325" s="198"/>
      <c r="X325" s="198"/>
      <c r="Y325" s="198"/>
      <c r="Z325" s="198"/>
      <c r="AA325" s="198"/>
    </row>
    <row r="326" ht="55.5" customHeight="1">
      <c r="A326" s="284">
        <v>35791.0</v>
      </c>
      <c r="B326" s="299" t="s">
        <v>715</v>
      </c>
      <c r="C326" s="285">
        <v>3000.0</v>
      </c>
      <c r="D326" s="285" t="s">
        <v>7198</v>
      </c>
      <c r="E326" s="287" t="s">
        <v>4658</v>
      </c>
      <c r="F326" s="285" t="s">
        <v>5919</v>
      </c>
      <c r="G326" s="288">
        <v>44614.0</v>
      </c>
      <c r="H326" s="288">
        <v>44606.0</v>
      </c>
      <c r="I326" s="288">
        <v>44606.0</v>
      </c>
      <c r="J326" s="288">
        <v>44627.0</v>
      </c>
      <c r="K326" s="294"/>
      <c r="L326" s="294"/>
      <c r="M326" s="290" t="s">
        <v>7199</v>
      </c>
      <c r="N326" s="285" t="s">
        <v>497</v>
      </c>
      <c r="O326" s="299" t="s">
        <v>2554</v>
      </c>
      <c r="P326" s="300">
        <v>21210.0</v>
      </c>
      <c r="Q326" s="213"/>
      <c r="R326" s="198"/>
      <c r="S326" s="198"/>
      <c r="T326" s="198"/>
      <c r="U326" s="198"/>
      <c r="V326" s="198"/>
      <c r="W326" s="198"/>
      <c r="X326" s="198"/>
      <c r="Y326" s="198"/>
      <c r="Z326" s="198"/>
      <c r="AA326" s="198"/>
    </row>
    <row r="327" ht="57.0" customHeight="1">
      <c r="A327" s="284">
        <v>35563.0</v>
      </c>
      <c r="B327" s="285" t="s">
        <v>21</v>
      </c>
      <c r="C327" s="285">
        <v>3000.0</v>
      </c>
      <c r="D327" s="285" t="s">
        <v>7200</v>
      </c>
      <c r="E327" s="287" t="s">
        <v>4658</v>
      </c>
      <c r="F327" s="285" t="s">
        <v>5919</v>
      </c>
      <c r="G327" s="288">
        <v>44612.0</v>
      </c>
      <c r="H327" s="288">
        <v>44614.0</v>
      </c>
      <c r="I327" s="288">
        <v>44614.0</v>
      </c>
      <c r="J327" s="288">
        <v>44617.0</v>
      </c>
      <c r="K327" s="294"/>
      <c r="L327" s="294"/>
      <c r="M327" s="290" t="s">
        <v>7201</v>
      </c>
      <c r="N327" s="285" t="s">
        <v>497</v>
      </c>
      <c r="O327" s="299" t="s">
        <v>2554</v>
      </c>
      <c r="P327" s="300">
        <v>21210.0</v>
      </c>
      <c r="Q327" s="213"/>
      <c r="R327" s="198"/>
      <c r="S327" s="198"/>
      <c r="T327" s="198"/>
      <c r="U327" s="198"/>
      <c r="V327" s="198"/>
      <c r="W327" s="198"/>
      <c r="X327" s="198"/>
      <c r="Y327" s="198"/>
      <c r="Z327" s="198"/>
      <c r="AA327" s="198"/>
    </row>
    <row r="328" ht="66.0" customHeight="1">
      <c r="A328" s="284">
        <v>36071.0</v>
      </c>
      <c r="B328" s="285" t="s">
        <v>21</v>
      </c>
      <c r="C328" s="285">
        <v>2015.0</v>
      </c>
      <c r="D328" s="285" t="s">
        <v>7202</v>
      </c>
      <c r="E328" s="287" t="s">
        <v>6582</v>
      </c>
      <c r="F328" s="285" t="s">
        <v>5919</v>
      </c>
      <c r="G328" s="288">
        <v>44612.0</v>
      </c>
      <c r="H328" s="288">
        <v>44610.0</v>
      </c>
      <c r="I328" s="288">
        <v>44610.0</v>
      </c>
      <c r="J328" s="288">
        <v>44628.0</v>
      </c>
      <c r="K328" s="294"/>
      <c r="L328" s="294"/>
      <c r="M328" s="290" t="s">
        <v>7203</v>
      </c>
      <c r="N328" s="285" t="s">
        <v>497</v>
      </c>
      <c r="O328" s="299" t="s">
        <v>2621</v>
      </c>
      <c r="P328" s="300">
        <v>34893.88</v>
      </c>
      <c r="Q328" s="213"/>
      <c r="R328" s="198"/>
      <c r="S328" s="198"/>
      <c r="T328" s="198"/>
      <c r="U328" s="198"/>
      <c r="V328" s="198"/>
      <c r="W328" s="198"/>
      <c r="X328" s="198"/>
      <c r="Y328" s="198"/>
      <c r="Z328" s="198"/>
      <c r="AA328" s="198"/>
    </row>
    <row r="329" ht="54.0" customHeight="1">
      <c r="A329" s="284">
        <v>35769.0</v>
      </c>
      <c r="B329" s="285" t="s">
        <v>21</v>
      </c>
      <c r="C329" s="299">
        <v>1160.0</v>
      </c>
      <c r="D329" s="285" t="s">
        <v>7204</v>
      </c>
      <c r="E329" s="287" t="s">
        <v>4637</v>
      </c>
      <c r="F329" s="285" t="s">
        <v>5919</v>
      </c>
      <c r="G329" s="288">
        <v>44612.0</v>
      </c>
      <c r="H329" s="288">
        <v>44606.0</v>
      </c>
      <c r="I329" s="288">
        <v>44606.0</v>
      </c>
      <c r="J329" s="288">
        <v>44621.0</v>
      </c>
      <c r="K329" s="294"/>
      <c r="L329" s="294"/>
      <c r="M329" s="290" t="s">
        <v>7205</v>
      </c>
      <c r="N329" s="285" t="s">
        <v>497</v>
      </c>
      <c r="O329" s="299" t="s">
        <v>2554</v>
      </c>
      <c r="P329" s="300">
        <v>31869.84</v>
      </c>
      <c r="Q329" s="213"/>
      <c r="R329" s="198"/>
      <c r="S329" s="198"/>
      <c r="T329" s="198"/>
      <c r="U329" s="198"/>
      <c r="V329" s="198"/>
      <c r="W329" s="198"/>
      <c r="X329" s="198"/>
      <c r="Y329" s="198"/>
      <c r="Z329" s="198"/>
      <c r="AA329" s="198"/>
    </row>
    <row r="330" ht="57.0" customHeight="1">
      <c r="A330" s="284">
        <v>35561.0</v>
      </c>
      <c r="B330" s="285" t="s">
        <v>21</v>
      </c>
      <c r="C330" s="299">
        <v>1160.0</v>
      </c>
      <c r="D330" s="285" t="s">
        <v>7206</v>
      </c>
      <c r="E330" s="287" t="s">
        <v>4637</v>
      </c>
      <c r="F330" s="285" t="s">
        <v>5919</v>
      </c>
      <c r="G330" s="288">
        <v>44612.0</v>
      </c>
      <c r="H330" s="288">
        <v>44606.0</v>
      </c>
      <c r="I330" s="288">
        <v>44606.0</v>
      </c>
      <c r="J330" s="285" t="s">
        <v>7207</v>
      </c>
      <c r="K330" s="294"/>
      <c r="L330" s="294"/>
      <c r="M330" s="290" t="s">
        <v>7208</v>
      </c>
      <c r="N330" s="285" t="s">
        <v>497</v>
      </c>
      <c r="O330" s="299" t="s">
        <v>2554</v>
      </c>
      <c r="P330" s="300">
        <v>31869.84</v>
      </c>
      <c r="Q330" s="213"/>
      <c r="R330" s="198"/>
      <c r="S330" s="198"/>
      <c r="T330" s="198"/>
      <c r="U330" s="198"/>
      <c r="V330" s="198"/>
      <c r="W330" s="198"/>
      <c r="X330" s="198"/>
      <c r="Y330" s="198"/>
      <c r="Z330" s="198"/>
      <c r="AA330" s="198"/>
    </row>
    <row r="331" ht="54.0" customHeight="1">
      <c r="A331" s="284">
        <v>35559.0</v>
      </c>
      <c r="B331" s="285" t="s">
        <v>21</v>
      </c>
      <c r="C331" s="285">
        <v>2100.0</v>
      </c>
      <c r="D331" s="285" t="s">
        <v>7209</v>
      </c>
      <c r="E331" s="287" t="s">
        <v>4637</v>
      </c>
      <c r="F331" s="285" t="s">
        <v>5919</v>
      </c>
      <c r="G331" s="288">
        <v>44612.0</v>
      </c>
      <c r="H331" s="288">
        <v>44606.0</v>
      </c>
      <c r="I331" s="288">
        <v>44606.0</v>
      </c>
      <c r="J331" s="285" t="s">
        <v>7210</v>
      </c>
      <c r="K331" s="294"/>
      <c r="L331" s="294"/>
      <c r="M331" s="290" t="s">
        <v>7211</v>
      </c>
      <c r="N331" s="285" t="s">
        <v>497</v>
      </c>
      <c r="O331" s="299" t="s">
        <v>2554</v>
      </c>
      <c r="P331" s="300">
        <v>28812.0</v>
      </c>
      <c r="Q331" s="213"/>
      <c r="R331" s="198"/>
      <c r="S331" s="198"/>
      <c r="T331" s="198"/>
      <c r="U331" s="198"/>
      <c r="V331" s="198"/>
      <c r="W331" s="198"/>
      <c r="X331" s="198"/>
      <c r="Y331" s="198"/>
      <c r="Z331" s="198"/>
      <c r="AA331" s="198"/>
    </row>
    <row r="332" ht="57.75" customHeight="1">
      <c r="A332" s="284">
        <v>35667.0</v>
      </c>
      <c r="B332" s="285" t="s">
        <v>21</v>
      </c>
      <c r="C332" s="299">
        <v>3000.0</v>
      </c>
      <c r="D332" s="285" t="s">
        <v>7212</v>
      </c>
      <c r="E332" s="287" t="s">
        <v>4658</v>
      </c>
      <c r="F332" s="285" t="s">
        <v>5919</v>
      </c>
      <c r="G332" s="288">
        <v>44612.0</v>
      </c>
      <c r="H332" s="288">
        <v>44605.0</v>
      </c>
      <c r="I332" s="288">
        <v>44605.0</v>
      </c>
      <c r="J332" s="288">
        <v>44622.0</v>
      </c>
      <c r="K332" s="294"/>
      <c r="L332" s="294"/>
      <c r="M332" s="290" t="s">
        <v>7213</v>
      </c>
      <c r="N332" s="285" t="s">
        <v>497</v>
      </c>
      <c r="O332" s="299" t="s">
        <v>2554</v>
      </c>
      <c r="P332" s="300">
        <v>21210.0</v>
      </c>
      <c r="Q332" s="213"/>
      <c r="R332" s="198"/>
      <c r="S332" s="198"/>
      <c r="T332" s="198"/>
      <c r="U332" s="198"/>
      <c r="V332" s="198"/>
      <c r="W332" s="198"/>
      <c r="X332" s="198"/>
      <c r="Y332" s="198"/>
      <c r="Z332" s="198"/>
      <c r="AA332" s="198"/>
    </row>
    <row r="333" ht="57.0" customHeight="1">
      <c r="A333" s="284">
        <v>36158.0</v>
      </c>
      <c r="B333" s="285" t="s">
        <v>715</v>
      </c>
      <c r="C333" s="285">
        <v>944.0</v>
      </c>
      <c r="D333" s="285" t="s">
        <v>7214</v>
      </c>
      <c r="E333" s="287" t="s">
        <v>4652</v>
      </c>
      <c r="F333" s="285" t="s">
        <v>5919</v>
      </c>
      <c r="G333" s="288">
        <v>44612.0</v>
      </c>
      <c r="H333" s="372">
        <v>44603.0</v>
      </c>
      <c r="I333" s="372">
        <v>44603.0</v>
      </c>
      <c r="J333" s="285" t="s">
        <v>7215</v>
      </c>
      <c r="K333" s="294"/>
      <c r="L333" s="294"/>
      <c r="M333" s="290" t="s">
        <v>7216</v>
      </c>
      <c r="N333" s="285" t="s">
        <v>4635</v>
      </c>
      <c r="O333" s="299" t="s">
        <v>2621</v>
      </c>
      <c r="P333" s="300">
        <v>48854.2</v>
      </c>
      <c r="Q333" s="213"/>
      <c r="R333" s="198"/>
      <c r="S333" s="198"/>
      <c r="T333" s="198"/>
      <c r="U333" s="198"/>
      <c r="V333" s="198"/>
      <c r="W333" s="198"/>
      <c r="X333" s="198"/>
      <c r="Y333" s="198"/>
      <c r="Z333" s="198"/>
      <c r="AA333" s="198"/>
    </row>
    <row r="334" ht="58.5" customHeight="1">
      <c r="A334" s="284">
        <v>36518.0</v>
      </c>
      <c r="B334" s="285" t="s">
        <v>4960</v>
      </c>
      <c r="C334" s="285">
        <v>10.0</v>
      </c>
      <c r="D334" s="285" t="s">
        <v>4925</v>
      </c>
      <c r="E334" s="287" t="s">
        <v>7217</v>
      </c>
      <c r="F334" s="285" t="s">
        <v>5919</v>
      </c>
      <c r="G334" s="288">
        <v>44610.0</v>
      </c>
      <c r="H334" s="285" t="s">
        <v>4841</v>
      </c>
      <c r="I334" s="288">
        <v>44616.0</v>
      </c>
      <c r="J334" s="288">
        <v>44616.0</v>
      </c>
      <c r="K334" s="294"/>
      <c r="L334" s="294"/>
      <c r="M334" s="290" t="s">
        <v>7218</v>
      </c>
      <c r="N334" s="285" t="s">
        <v>4745</v>
      </c>
      <c r="O334" s="299" t="s">
        <v>2621</v>
      </c>
      <c r="P334" s="300">
        <v>1928.0</v>
      </c>
      <c r="Q334" s="213"/>
      <c r="R334" s="198"/>
      <c r="S334" s="198"/>
      <c r="T334" s="198"/>
      <c r="U334" s="198"/>
      <c r="V334" s="198"/>
      <c r="W334" s="198"/>
      <c r="X334" s="198"/>
      <c r="Y334" s="198"/>
      <c r="Z334" s="198"/>
      <c r="AA334" s="198"/>
    </row>
    <row r="335" ht="55.5" customHeight="1">
      <c r="A335" s="284">
        <v>36075.0</v>
      </c>
      <c r="B335" s="285" t="s">
        <v>21</v>
      </c>
      <c r="C335" s="299">
        <v>1165.0</v>
      </c>
      <c r="D335" s="285" t="s">
        <v>7219</v>
      </c>
      <c r="E335" s="287" t="s">
        <v>7220</v>
      </c>
      <c r="F335" s="285" t="s">
        <v>5919</v>
      </c>
      <c r="G335" s="288">
        <v>44610.0</v>
      </c>
      <c r="H335" s="372">
        <v>44595.0</v>
      </c>
      <c r="I335" s="372">
        <v>44634.0</v>
      </c>
      <c r="J335" s="288">
        <v>44634.0</v>
      </c>
      <c r="K335" s="294"/>
      <c r="L335" s="294"/>
      <c r="M335" s="290" t="s">
        <v>7221</v>
      </c>
      <c r="N335" s="285" t="s">
        <v>4635</v>
      </c>
      <c r="O335" s="299" t="s">
        <v>2621</v>
      </c>
      <c r="P335" s="300">
        <v>139348.0</v>
      </c>
      <c r="Q335" s="213"/>
      <c r="R335" s="198"/>
      <c r="S335" s="198"/>
      <c r="T335" s="198"/>
      <c r="U335" s="198"/>
      <c r="V335" s="198"/>
      <c r="W335" s="198"/>
      <c r="X335" s="198"/>
      <c r="Y335" s="198"/>
      <c r="Z335" s="198"/>
      <c r="AA335" s="198"/>
    </row>
    <row r="336" ht="67.5" customHeight="1">
      <c r="A336" s="284">
        <v>36161.0</v>
      </c>
      <c r="B336" s="285" t="s">
        <v>21</v>
      </c>
      <c r="C336" s="299">
        <v>1210.0</v>
      </c>
      <c r="D336" s="285" t="s">
        <v>7222</v>
      </c>
      <c r="E336" s="287" t="s">
        <v>7223</v>
      </c>
      <c r="F336" s="285" t="s">
        <v>5919</v>
      </c>
      <c r="G336" s="288">
        <v>44610.0</v>
      </c>
      <c r="H336" s="372">
        <v>44572.0</v>
      </c>
      <c r="I336" s="372">
        <v>44572.0</v>
      </c>
      <c r="J336" s="288">
        <v>44615.0</v>
      </c>
      <c r="K336" s="294"/>
      <c r="L336" s="294"/>
      <c r="M336" s="290" t="s">
        <v>7224</v>
      </c>
      <c r="N336" s="285" t="s">
        <v>4635</v>
      </c>
      <c r="O336" s="299" t="s">
        <v>2621</v>
      </c>
      <c r="P336" s="300">
        <v>137836.1</v>
      </c>
      <c r="Q336" s="213"/>
      <c r="R336" s="198"/>
      <c r="S336" s="198"/>
      <c r="T336" s="198"/>
      <c r="U336" s="198"/>
      <c r="V336" s="198"/>
      <c r="W336" s="198"/>
      <c r="X336" s="198"/>
      <c r="Y336" s="198"/>
      <c r="Z336" s="198"/>
      <c r="AA336" s="198"/>
    </row>
    <row r="337" ht="73.5" customHeight="1">
      <c r="A337" s="284">
        <v>36352.0</v>
      </c>
      <c r="B337" s="285" t="s">
        <v>25</v>
      </c>
      <c r="C337" s="285" t="s">
        <v>7225</v>
      </c>
      <c r="D337" s="285" t="s">
        <v>7226</v>
      </c>
      <c r="E337" s="287" t="s">
        <v>4477</v>
      </c>
      <c r="F337" s="285" t="s">
        <v>5919</v>
      </c>
      <c r="G337" s="288">
        <v>44609.0</v>
      </c>
      <c r="H337" s="288">
        <v>44624.0</v>
      </c>
      <c r="I337" s="288">
        <v>44624.0</v>
      </c>
      <c r="J337" s="285" t="s">
        <v>7227</v>
      </c>
      <c r="K337" s="294"/>
      <c r="L337" s="294"/>
      <c r="M337" s="290" t="s">
        <v>7228</v>
      </c>
      <c r="N337" s="285" t="s">
        <v>4635</v>
      </c>
      <c r="O337" s="299" t="s">
        <v>2621</v>
      </c>
      <c r="P337" s="300">
        <v>97740.0</v>
      </c>
      <c r="Q337" s="213"/>
      <c r="R337" s="198"/>
      <c r="S337" s="198"/>
      <c r="T337" s="198"/>
      <c r="U337" s="198"/>
      <c r="V337" s="198"/>
      <c r="W337" s="198"/>
      <c r="X337" s="198"/>
      <c r="Y337" s="198"/>
      <c r="Z337" s="198"/>
      <c r="AA337" s="198"/>
    </row>
    <row r="338" ht="57.75" customHeight="1">
      <c r="A338" s="284">
        <v>35996.0</v>
      </c>
      <c r="B338" s="285" t="s">
        <v>25</v>
      </c>
      <c r="C338" s="285">
        <v>2390.0</v>
      </c>
      <c r="D338" s="285" t="s">
        <v>7229</v>
      </c>
      <c r="E338" s="287" t="s">
        <v>6838</v>
      </c>
      <c r="F338" s="285" t="s">
        <v>5919</v>
      </c>
      <c r="G338" s="288">
        <v>44609.0</v>
      </c>
      <c r="H338" s="288">
        <v>44609.0</v>
      </c>
      <c r="I338" s="288">
        <v>44609.0</v>
      </c>
      <c r="J338" s="288">
        <v>44621.0</v>
      </c>
      <c r="K338" s="294"/>
      <c r="L338" s="294"/>
      <c r="M338" s="290" t="s">
        <v>7230</v>
      </c>
      <c r="N338" s="285" t="s">
        <v>497</v>
      </c>
      <c r="O338" s="299" t="s">
        <v>2554</v>
      </c>
      <c r="P338" s="300">
        <v>52102.0</v>
      </c>
      <c r="Q338" s="213"/>
      <c r="R338" s="198"/>
      <c r="S338" s="198"/>
      <c r="T338" s="198"/>
      <c r="U338" s="198"/>
      <c r="V338" s="198"/>
      <c r="W338" s="198"/>
      <c r="X338" s="198"/>
      <c r="Y338" s="198"/>
      <c r="Z338" s="198"/>
      <c r="AA338" s="198"/>
    </row>
    <row r="339" ht="54.0" customHeight="1">
      <c r="A339" s="284">
        <v>35612.0</v>
      </c>
      <c r="B339" s="285" t="s">
        <v>25</v>
      </c>
      <c r="C339" s="285">
        <v>2100.0</v>
      </c>
      <c r="D339" s="285" t="s">
        <v>7231</v>
      </c>
      <c r="E339" s="287" t="s">
        <v>7232</v>
      </c>
      <c r="F339" s="285" t="s">
        <v>5919</v>
      </c>
      <c r="G339" s="288">
        <v>44609.0</v>
      </c>
      <c r="H339" s="288">
        <v>44604.0</v>
      </c>
      <c r="I339" s="288">
        <v>44604.0</v>
      </c>
      <c r="J339" s="288">
        <v>44615.0</v>
      </c>
      <c r="K339" s="294"/>
      <c r="L339" s="294"/>
      <c r="M339" s="290" t="s">
        <v>7233</v>
      </c>
      <c r="N339" s="285" t="s">
        <v>497</v>
      </c>
      <c r="O339" s="299" t="s">
        <v>2554</v>
      </c>
      <c r="P339" s="300">
        <v>0.0</v>
      </c>
      <c r="Q339" s="213"/>
      <c r="R339" s="198"/>
      <c r="S339" s="198"/>
      <c r="T339" s="198"/>
      <c r="U339" s="198"/>
      <c r="V339" s="198"/>
      <c r="W339" s="198"/>
      <c r="X339" s="198"/>
      <c r="Y339" s="198"/>
      <c r="Z339" s="198"/>
      <c r="AA339" s="198"/>
    </row>
    <row r="340" ht="54.0" customHeight="1">
      <c r="A340" s="284">
        <v>35471.0</v>
      </c>
      <c r="B340" s="285" t="s">
        <v>25</v>
      </c>
      <c r="C340" s="285">
        <v>1290.0</v>
      </c>
      <c r="D340" s="285" t="s">
        <v>7234</v>
      </c>
      <c r="E340" s="287" t="s">
        <v>4862</v>
      </c>
      <c r="F340" s="285" t="s">
        <v>5919</v>
      </c>
      <c r="G340" s="288">
        <v>44609.0</v>
      </c>
      <c r="H340" s="288">
        <v>44604.0</v>
      </c>
      <c r="I340" s="288">
        <v>44604.0</v>
      </c>
      <c r="J340" s="288">
        <v>44615.0</v>
      </c>
      <c r="K340" s="294"/>
      <c r="L340" s="294"/>
      <c r="M340" s="290" t="s">
        <v>7235</v>
      </c>
      <c r="N340" s="285" t="s">
        <v>497</v>
      </c>
      <c r="O340" s="299" t="s">
        <v>2554</v>
      </c>
      <c r="P340" s="300">
        <v>44354.98</v>
      </c>
      <c r="Q340" s="213"/>
      <c r="R340" s="198"/>
      <c r="S340" s="198"/>
      <c r="T340" s="198"/>
      <c r="U340" s="198"/>
      <c r="V340" s="198"/>
      <c r="W340" s="198"/>
      <c r="X340" s="198"/>
      <c r="Y340" s="198"/>
      <c r="Z340" s="198"/>
      <c r="AA340" s="198"/>
    </row>
    <row r="341" ht="54.0" customHeight="1">
      <c r="A341" s="284">
        <v>35657.0</v>
      </c>
      <c r="B341" s="285" t="s">
        <v>25</v>
      </c>
      <c r="C341" s="285">
        <v>1290.0</v>
      </c>
      <c r="D341" s="285" t="s">
        <v>7236</v>
      </c>
      <c r="E341" s="287" t="s">
        <v>4713</v>
      </c>
      <c r="F341" s="285" t="s">
        <v>5919</v>
      </c>
      <c r="G341" s="288">
        <v>44609.0</v>
      </c>
      <c r="H341" s="288">
        <v>44604.0</v>
      </c>
      <c r="I341" s="288">
        <v>44604.0</v>
      </c>
      <c r="J341" s="285" t="s">
        <v>7237</v>
      </c>
      <c r="K341" s="294"/>
      <c r="L341" s="294"/>
      <c r="M341" s="290" t="s">
        <v>7238</v>
      </c>
      <c r="N341" s="285" t="s">
        <v>497</v>
      </c>
      <c r="O341" s="299" t="s">
        <v>2554</v>
      </c>
      <c r="P341" s="300">
        <v>44249.58</v>
      </c>
      <c r="Q341" s="213"/>
      <c r="R341" s="198"/>
      <c r="S341" s="198"/>
      <c r="T341" s="198"/>
      <c r="U341" s="198"/>
      <c r="V341" s="198"/>
      <c r="W341" s="198"/>
      <c r="X341" s="198"/>
      <c r="Y341" s="198"/>
      <c r="Z341" s="198"/>
      <c r="AA341" s="198"/>
    </row>
    <row r="342" ht="54.0" customHeight="1">
      <c r="A342" s="284">
        <v>35771.0</v>
      </c>
      <c r="B342" s="285" t="s">
        <v>25</v>
      </c>
      <c r="C342" s="299">
        <v>3000.0</v>
      </c>
      <c r="D342" s="299" t="s">
        <v>7239</v>
      </c>
      <c r="E342" s="287" t="s">
        <v>4690</v>
      </c>
      <c r="F342" s="285" t="s">
        <v>5919</v>
      </c>
      <c r="G342" s="288">
        <v>44608.0</v>
      </c>
      <c r="H342" s="288">
        <v>44607.0</v>
      </c>
      <c r="I342" s="288">
        <v>44607.0</v>
      </c>
      <c r="J342" s="288">
        <v>44614.0</v>
      </c>
      <c r="K342" s="433"/>
      <c r="L342" s="433"/>
      <c r="M342" s="290" t="s">
        <v>7240</v>
      </c>
      <c r="N342" s="285" t="s">
        <v>497</v>
      </c>
      <c r="O342" s="299" t="s">
        <v>2554</v>
      </c>
      <c r="P342" s="300">
        <v>20610.0</v>
      </c>
      <c r="Q342" s="213"/>
      <c r="R342" s="198"/>
      <c r="S342" s="198"/>
      <c r="T342" s="198"/>
      <c r="U342" s="198"/>
      <c r="V342" s="198"/>
      <c r="W342" s="198"/>
      <c r="X342" s="198"/>
      <c r="Y342" s="198"/>
      <c r="Z342" s="198"/>
      <c r="AA342" s="198"/>
    </row>
    <row r="343" ht="68.25" customHeight="1">
      <c r="A343" s="284">
        <v>35666.0</v>
      </c>
      <c r="B343" s="285" t="s">
        <v>21</v>
      </c>
      <c r="C343" s="299">
        <v>3000.0</v>
      </c>
      <c r="D343" s="285" t="s">
        <v>7241</v>
      </c>
      <c r="E343" s="287" t="s">
        <v>4690</v>
      </c>
      <c r="F343" s="285" t="s">
        <v>5919</v>
      </c>
      <c r="G343" s="288">
        <v>44608.0</v>
      </c>
      <c r="H343" s="288">
        <v>44602.0</v>
      </c>
      <c r="I343" s="288">
        <v>44602.0</v>
      </c>
      <c r="J343" s="288">
        <v>44623.0</v>
      </c>
      <c r="K343" s="294"/>
      <c r="L343" s="294"/>
      <c r="M343" s="290" t="s">
        <v>7242</v>
      </c>
      <c r="N343" s="285" t="s">
        <v>497</v>
      </c>
      <c r="O343" s="299" t="s">
        <v>2554</v>
      </c>
      <c r="P343" s="300">
        <v>20610.0</v>
      </c>
      <c r="Q343" s="213"/>
      <c r="R343" s="198"/>
      <c r="S343" s="198"/>
      <c r="T343" s="198"/>
      <c r="U343" s="198"/>
      <c r="V343" s="198"/>
      <c r="W343" s="198"/>
      <c r="X343" s="198"/>
      <c r="Y343" s="198"/>
      <c r="Z343" s="198"/>
      <c r="AA343" s="198"/>
    </row>
    <row r="344" ht="68.25" customHeight="1">
      <c r="A344" s="284">
        <v>35579.0</v>
      </c>
      <c r="B344" s="285" t="s">
        <v>21</v>
      </c>
      <c r="C344" s="299">
        <v>1160.0</v>
      </c>
      <c r="D344" s="285" t="s">
        <v>7243</v>
      </c>
      <c r="E344" s="287" t="s">
        <v>4637</v>
      </c>
      <c r="F344" s="285" t="s">
        <v>5919</v>
      </c>
      <c r="G344" s="288">
        <v>44608.0</v>
      </c>
      <c r="H344" s="288">
        <v>44592.0</v>
      </c>
      <c r="I344" s="288">
        <v>44592.0</v>
      </c>
      <c r="J344" s="288">
        <v>44622.0</v>
      </c>
      <c r="K344" s="294"/>
      <c r="L344" s="294"/>
      <c r="M344" s="290" t="s">
        <v>7244</v>
      </c>
      <c r="N344" s="285" t="s">
        <v>497</v>
      </c>
      <c r="O344" s="299" t="s">
        <v>2554</v>
      </c>
      <c r="P344" s="300">
        <v>31869.84</v>
      </c>
      <c r="Q344" s="213"/>
      <c r="R344" s="198"/>
      <c r="S344" s="198"/>
      <c r="T344" s="198"/>
      <c r="U344" s="198"/>
      <c r="V344" s="198"/>
      <c r="W344" s="198"/>
      <c r="X344" s="198"/>
      <c r="Y344" s="198"/>
      <c r="Z344" s="198"/>
      <c r="AA344" s="198"/>
    </row>
    <row r="345" ht="55.5" customHeight="1">
      <c r="A345" s="284">
        <v>35637.0</v>
      </c>
      <c r="B345" s="285" t="s">
        <v>25</v>
      </c>
      <c r="C345" s="299">
        <v>2198.0</v>
      </c>
      <c r="D345" s="285" t="s">
        <v>7245</v>
      </c>
      <c r="E345" s="287" t="s">
        <v>3812</v>
      </c>
      <c r="F345" s="285" t="s">
        <v>5919</v>
      </c>
      <c r="G345" s="288">
        <v>44607.0</v>
      </c>
      <c r="H345" s="372">
        <v>44599.0</v>
      </c>
      <c r="I345" s="372">
        <v>44599.0</v>
      </c>
      <c r="J345" s="285" t="s">
        <v>7246</v>
      </c>
      <c r="K345" s="294"/>
      <c r="L345" s="294"/>
      <c r="M345" s="290" t="s">
        <v>7247</v>
      </c>
      <c r="N345" s="285" t="s">
        <v>497</v>
      </c>
      <c r="O345" s="299" t="s">
        <v>4662</v>
      </c>
      <c r="P345" s="300">
        <v>81367.9</v>
      </c>
      <c r="Q345" s="213"/>
      <c r="R345" s="198"/>
      <c r="S345" s="198"/>
      <c r="T345" s="198"/>
      <c r="U345" s="198"/>
      <c r="V345" s="198"/>
      <c r="W345" s="198"/>
      <c r="X345" s="198"/>
      <c r="Y345" s="198"/>
      <c r="Z345" s="198"/>
      <c r="AA345" s="198"/>
    </row>
    <row r="346" ht="54.0" customHeight="1">
      <c r="A346" s="284">
        <v>35325.0</v>
      </c>
      <c r="B346" s="285" t="s">
        <v>25</v>
      </c>
      <c r="C346" s="285" t="s">
        <v>4908</v>
      </c>
      <c r="D346" s="285" t="s">
        <v>7248</v>
      </c>
      <c r="E346" s="287" t="s">
        <v>4910</v>
      </c>
      <c r="F346" s="285" t="s">
        <v>5919</v>
      </c>
      <c r="G346" s="288">
        <v>44604.0</v>
      </c>
      <c r="H346" s="288">
        <v>44607.0</v>
      </c>
      <c r="I346" s="288">
        <v>44607.0</v>
      </c>
      <c r="J346" s="288">
        <v>44617.0</v>
      </c>
      <c r="K346" s="294"/>
      <c r="L346" s="294"/>
      <c r="M346" s="290" t="s">
        <v>7249</v>
      </c>
      <c r="N346" s="285" t="s">
        <v>4635</v>
      </c>
      <c r="O346" s="299" t="s">
        <v>4912</v>
      </c>
      <c r="P346" s="300">
        <v>77415.0</v>
      </c>
      <c r="Q346" s="213"/>
      <c r="R346" s="198"/>
      <c r="S346" s="198"/>
      <c r="T346" s="198"/>
      <c r="U346" s="198"/>
      <c r="V346" s="198"/>
      <c r="W346" s="198"/>
      <c r="X346" s="198"/>
      <c r="Y346" s="198"/>
      <c r="Z346" s="198"/>
      <c r="AA346" s="198"/>
    </row>
    <row r="347" ht="58.5" customHeight="1">
      <c r="A347" s="284">
        <v>35775.0</v>
      </c>
      <c r="B347" s="285" t="s">
        <v>715</v>
      </c>
      <c r="C347" s="285">
        <v>3000.0</v>
      </c>
      <c r="D347" s="285" t="s">
        <v>7250</v>
      </c>
      <c r="E347" s="287" t="s">
        <v>4690</v>
      </c>
      <c r="F347" s="285" t="s">
        <v>5919</v>
      </c>
      <c r="G347" s="288">
        <v>44604.0</v>
      </c>
      <c r="H347" s="288">
        <v>44600.0</v>
      </c>
      <c r="I347" s="288">
        <v>44600.0</v>
      </c>
      <c r="J347" s="288">
        <v>44609.0</v>
      </c>
      <c r="K347" s="294"/>
      <c r="L347" s="294"/>
      <c r="M347" s="290" t="s">
        <v>7251</v>
      </c>
      <c r="N347" s="285" t="s">
        <v>497</v>
      </c>
      <c r="O347" s="299" t="s">
        <v>2554</v>
      </c>
      <c r="P347" s="300">
        <v>20610.0</v>
      </c>
      <c r="Q347" s="213"/>
      <c r="R347" s="198"/>
      <c r="S347" s="198"/>
      <c r="T347" s="198"/>
      <c r="U347" s="198"/>
      <c r="V347" s="198"/>
      <c r="W347" s="198"/>
      <c r="X347" s="198"/>
      <c r="Y347" s="198"/>
      <c r="Z347" s="198"/>
      <c r="AA347" s="198"/>
    </row>
    <row r="348" ht="62.25" customHeight="1">
      <c r="A348" s="284">
        <v>35790.0</v>
      </c>
      <c r="B348" s="299" t="s">
        <v>715</v>
      </c>
      <c r="C348" s="285">
        <v>1160.0</v>
      </c>
      <c r="D348" s="285" t="s">
        <v>7252</v>
      </c>
      <c r="E348" s="287" t="s">
        <v>4637</v>
      </c>
      <c r="F348" s="285" t="s">
        <v>5919</v>
      </c>
      <c r="G348" s="288">
        <v>44604.0</v>
      </c>
      <c r="H348" s="288">
        <v>44600.0</v>
      </c>
      <c r="I348" s="288">
        <v>44600.0</v>
      </c>
      <c r="J348" s="288">
        <v>44609.0</v>
      </c>
      <c r="K348" s="294"/>
      <c r="L348" s="294"/>
      <c r="M348" s="290" t="s">
        <v>7253</v>
      </c>
      <c r="N348" s="285" t="s">
        <v>497</v>
      </c>
      <c r="O348" s="299" t="s">
        <v>2554</v>
      </c>
      <c r="P348" s="300">
        <v>31869.84</v>
      </c>
      <c r="Q348" s="213"/>
      <c r="R348" s="198"/>
      <c r="S348" s="198"/>
      <c r="T348" s="198"/>
      <c r="U348" s="198"/>
      <c r="V348" s="198"/>
      <c r="W348" s="198"/>
      <c r="X348" s="198"/>
      <c r="Y348" s="198"/>
      <c r="Z348" s="198"/>
      <c r="AA348" s="198"/>
    </row>
    <row r="349" ht="54.0" customHeight="1">
      <c r="A349" s="284">
        <v>36302.0</v>
      </c>
      <c r="B349" s="299" t="s">
        <v>715</v>
      </c>
      <c r="C349" s="285">
        <v>930.0</v>
      </c>
      <c r="D349" s="285" t="s">
        <v>7254</v>
      </c>
      <c r="E349" s="287" t="s">
        <v>4295</v>
      </c>
      <c r="F349" s="285" t="s">
        <v>5919</v>
      </c>
      <c r="G349" s="288">
        <v>44603.0</v>
      </c>
      <c r="H349" s="372">
        <v>44600.0</v>
      </c>
      <c r="I349" s="372">
        <v>44600.0</v>
      </c>
      <c r="J349" s="373">
        <v>44608.0</v>
      </c>
      <c r="K349" s="294"/>
      <c r="L349" s="294"/>
      <c r="M349" s="290" t="s">
        <v>7255</v>
      </c>
      <c r="N349" s="285" t="s">
        <v>4635</v>
      </c>
      <c r="O349" s="299" t="s">
        <v>2621</v>
      </c>
      <c r="P349" s="300">
        <v>55977.2</v>
      </c>
      <c r="Q349" s="213"/>
      <c r="R349" s="198"/>
      <c r="S349" s="198"/>
      <c r="T349" s="198"/>
      <c r="U349" s="198"/>
      <c r="V349" s="198"/>
      <c r="W349" s="198"/>
      <c r="X349" s="198"/>
      <c r="Y349" s="198"/>
      <c r="Z349" s="198"/>
      <c r="AA349" s="198"/>
    </row>
    <row r="350" ht="54.0" customHeight="1">
      <c r="A350" s="284">
        <v>36234.0</v>
      </c>
      <c r="B350" s="285" t="s">
        <v>715</v>
      </c>
      <c r="C350" s="285">
        <v>930.0</v>
      </c>
      <c r="D350" s="285" t="s">
        <v>7256</v>
      </c>
      <c r="E350" s="287" t="s">
        <v>7257</v>
      </c>
      <c r="F350" s="285" t="s">
        <v>5919</v>
      </c>
      <c r="G350" s="288">
        <v>44601.0</v>
      </c>
      <c r="H350" s="372">
        <v>44579.0</v>
      </c>
      <c r="I350" s="372">
        <v>44579.0</v>
      </c>
      <c r="J350" s="373">
        <v>44606.0</v>
      </c>
      <c r="K350" s="294"/>
      <c r="L350" s="294"/>
      <c r="M350" s="290" t="s">
        <v>7258</v>
      </c>
      <c r="N350" s="285" t="s">
        <v>4635</v>
      </c>
      <c r="O350" s="299" t="s">
        <v>2621</v>
      </c>
      <c r="P350" s="300">
        <v>55977.2</v>
      </c>
      <c r="Q350" s="213"/>
      <c r="R350" s="198"/>
      <c r="S350" s="198"/>
      <c r="T350" s="198"/>
      <c r="U350" s="198"/>
      <c r="V350" s="198"/>
      <c r="W350" s="198"/>
      <c r="X350" s="198"/>
      <c r="Y350" s="198"/>
      <c r="Z350" s="198"/>
      <c r="AA350" s="198"/>
    </row>
    <row r="351" ht="54.0" customHeight="1">
      <c r="A351" s="284">
        <v>36136.0</v>
      </c>
      <c r="B351" s="285" t="s">
        <v>25</v>
      </c>
      <c r="C351" s="285">
        <v>2390.0</v>
      </c>
      <c r="D351" s="285" t="s">
        <v>7259</v>
      </c>
      <c r="E351" s="287" t="s">
        <v>6582</v>
      </c>
      <c r="F351" s="285" t="s">
        <v>5919</v>
      </c>
      <c r="G351" s="288">
        <v>44600.0</v>
      </c>
      <c r="H351" s="288">
        <v>44599.0</v>
      </c>
      <c r="I351" s="288">
        <v>44599.0</v>
      </c>
      <c r="J351" s="288">
        <v>44615.0</v>
      </c>
      <c r="K351" s="294"/>
      <c r="L351" s="294"/>
      <c r="M351" s="290" t="s">
        <v>7260</v>
      </c>
      <c r="N351" s="285" t="s">
        <v>497</v>
      </c>
      <c r="O351" s="299" t="s">
        <v>2621</v>
      </c>
      <c r="P351" s="300">
        <v>31490.0</v>
      </c>
      <c r="Q351" s="213"/>
      <c r="R351" s="198"/>
      <c r="S351" s="198"/>
      <c r="T351" s="198"/>
      <c r="U351" s="198"/>
      <c r="V351" s="198"/>
      <c r="W351" s="198"/>
      <c r="X351" s="198"/>
      <c r="Y351" s="198"/>
      <c r="Z351" s="198"/>
      <c r="AA351" s="198"/>
    </row>
    <row r="352" ht="55.5" customHeight="1">
      <c r="A352" s="284">
        <v>35781.0</v>
      </c>
      <c r="B352" s="285" t="s">
        <v>25</v>
      </c>
      <c r="C352" s="299">
        <v>1910.0</v>
      </c>
      <c r="D352" s="299" t="s">
        <v>7261</v>
      </c>
      <c r="E352" s="287" t="s">
        <v>7262</v>
      </c>
      <c r="F352" s="285" t="s">
        <v>5919</v>
      </c>
      <c r="G352" s="288">
        <v>44600.0</v>
      </c>
      <c r="H352" s="288">
        <v>44593.0</v>
      </c>
      <c r="I352" s="288">
        <v>44593.0</v>
      </c>
      <c r="J352" s="288">
        <v>44608.0</v>
      </c>
      <c r="K352" s="433"/>
      <c r="L352" s="433"/>
      <c r="M352" s="290" t="s">
        <v>7263</v>
      </c>
      <c r="N352" s="285" t="s">
        <v>497</v>
      </c>
      <c r="O352" s="299" t="s">
        <v>2554</v>
      </c>
      <c r="P352" s="300">
        <v>50799.5</v>
      </c>
      <c r="Q352" s="213"/>
      <c r="R352" s="198"/>
      <c r="S352" s="198"/>
      <c r="T352" s="198"/>
      <c r="U352" s="198"/>
      <c r="V352" s="198"/>
      <c r="W352" s="198"/>
      <c r="X352" s="198"/>
      <c r="Y352" s="198"/>
      <c r="Z352" s="198"/>
      <c r="AA352" s="198"/>
    </row>
    <row r="353" ht="57.75" customHeight="1">
      <c r="A353" s="284">
        <v>36271.0</v>
      </c>
      <c r="B353" s="299" t="s">
        <v>6501</v>
      </c>
      <c r="C353" s="285">
        <v>930.0</v>
      </c>
      <c r="D353" s="285" t="s">
        <v>7264</v>
      </c>
      <c r="E353" s="287" t="s">
        <v>7265</v>
      </c>
      <c r="F353" s="285" t="s">
        <v>5919</v>
      </c>
      <c r="G353" s="288">
        <v>44599.0</v>
      </c>
      <c r="H353" s="372">
        <v>44636.0</v>
      </c>
      <c r="I353" s="372">
        <v>44607.0</v>
      </c>
      <c r="J353" s="288">
        <v>44607.0</v>
      </c>
      <c r="K353" s="294"/>
      <c r="L353" s="294"/>
      <c r="M353" s="290" t="s">
        <v>7266</v>
      </c>
      <c r="N353" s="285" t="s">
        <v>4635</v>
      </c>
      <c r="O353" s="299" t="s">
        <v>2621</v>
      </c>
      <c r="P353" s="300">
        <v>65812.0</v>
      </c>
      <c r="Q353" s="213"/>
      <c r="R353" s="198"/>
      <c r="S353" s="198"/>
      <c r="T353" s="198"/>
      <c r="U353" s="198"/>
      <c r="V353" s="198"/>
      <c r="W353" s="198"/>
      <c r="X353" s="198"/>
      <c r="Y353" s="198"/>
      <c r="Z353" s="198"/>
      <c r="AA353" s="198"/>
    </row>
    <row r="354" ht="60.75" customHeight="1">
      <c r="A354" s="284">
        <v>36335.0</v>
      </c>
      <c r="B354" s="285" t="s">
        <v>25</v>
      </c>
      <c r="C354" s="285">
        <v>944.0</v>
      </c>
      <c r="D354" s="285" t="s">
        <v>7267</v>
      </c>
      <c r="E354" s="287" t="s">
        <v>7268</v>
      </c>
      <c r="F354" s="285" t="s">
        <v>5919</v>
      </c>
      <c r="G354" s="288">
        <v>44599.0</v>
      </c>
      <c r="H354" s="288">
        <v>44594.0</v>
      </c>
      <c r="I354" s="288">
        <v>44594.0</v>
      </c>
      <c r="J354" s="288">
        <v>44607.0</v>
      </c>
      <c r="K354" s="294"/>
      <c r="L354" s="294"/>
      <c r="M354" s="290" t="s">
        <v>7269</v>
      </c>
      <c r="N354" s="285" t="s">
        <v>4635</v>
      </c>
      <c r="O354" s="299" t="s">
        <v>2621</v>
      </c>
      <c r="P354" s="300">
        <v>46916.4</v>
      </c>
      <c r="Q354" s="213"/>
      <c r="R354" s="198"/>
      <c r="S354" s="198"/>
      <c r="T354" s="198"/>
      <c r="U354" s="198"/>
      <c r="V354" s="198"/>
      <c r="W354" s="198"/>
      <c r="X354" s="198"/>
      <c r="Y354" s="198"/>
      <c r="Z354" s="198"/>
      <c r="AA354" s="198"/>
    </row>
    <row r="355" ht="57.75" customHeight="1">
      <c r="A355" s="284">
        <v>36396.0</v>
      </c>
      <c r="B355" s="285" t="s">
        <v>21</v>
      </c>
      <c r="C355" s="285">
        <v>930.0</v>
      </c>
      <c r="D355" s="285" t="s">
        <v>7270</v>
      </c>
      <c r="E355" s="287" t="s">
        <v>7271</v>
      </c>
      <c r="F355" s="285" t="s">
        <v>5919</v>
      </c>
      <c r="G355" s="288">
        <v>44599.0</v>
      </c>
      <c r="H355" s="372">
        <v>44592.0</v>
      </c>
      <c r="I355" s="372">
        <v>44592.0</v>
      </c>
      <c r="J355" s="288">
        <v>44621.0</v>
      </c>
      <c r="K355" s="294"/>
      <c r="L355" s="294"/>
      <c r="M355" s="290" t="s">
        <v>7272</v>
      </c>
      <c r="N355" s="285" t="s">
        <v>4635</v>
      </c>
      <c r="O355" s="299" t="s">
        <v>2621</v>
      </c>
      <c r="P355" s="300">
        <v>63849.6</v>
      </c>
      <c r="Q355" s="213"/>
      <c r="R355" s="198"/>
      <c r="S355" s="198"/>
      <c r="T355" s="198"/>
      <c r="U355" s="198"/>
      <c r="V355" s="198"/>
      <c r="W355" s="198"/>
      <c r="X355" s="198"/>
      <c r="Y355" s="198"/>
      <c r="Z355" s="198"/>
      <c r="AA355" s="198"/>
    </row>
    <row r="356" ht="59.25" customHeight="1">
      <c r="A356" s="284">
        <v>35581.0</v>
      </c>
      <c r="B356" s="285" t="s">
        <v>25</v>
      </c>
      <c r="C356" s="285">
        <v>2100.0</v>
      </c>
      <c r="D356" s="285" t="s">
        <v>7273</v>
      </c>
      <c r="E356" s="287" t="s">
        <v>4637</v>
      </c>
      <c r="F356" s="285" t="s">
        <v>5919</v>
      </c>
      <c r="G356" s="288">
        <v>44597.0</v>
      </c>
      <c r="H356" s="288">
        <v>44594.0</v>
      </c>
      <c r="I356" s="288">
        <v>44594.0</v>
      </c>
      <c r="J356" s="285" t="s">
        <v>7274</v>
      </c>
      <c r="K356" s="294"/>
      <c r="L356" s="294"/>
      <c r="M356" s="290" t="s">
        <v>7275</v>
      </c>
      <c r="N356" s="285" t="s">
        <v>497</v>
      </c>
      <c r="O356" s="299" t="s">
        <v>2554</v>
      </c>
      <c r="P356" s="300">
        <v>28812.0</v>
      </c>
      <c r="Q356" s="213"/>
      <c r="R356" s="198"/>
      <c r="S356" s="198"/>
      <c r="T356" s="198"/>
      <c r="U356" s="198"/>
      <c r="V356" s="198"/>
      <c r="W356" s="198"/>
      <c r="X356" s="198"/>
      <c r="Y356" s="198"/>
      <c r="Z356" s="198"/>
      <c r="AA356" s="198"/>
    </row>
    <row r="357" ht="57.0" customHeight="1">
      <c r="A357" s="284">
        <v>35660.0</v>
      </c>
      <c r="B357" s="285" t="s">
        <v>25</v>
      </c>
      <c r="C357" s="299">
        <v>1290.0</v>
      </c>
      <c r="D357" s="299" t="s">
        <v>7276</v>
      </c>
      <c r="E357" s="287" t="s">
        <v>7277</v>
      </c>
      <c r="F357" s="285" t="s">
        <v>5919</v>
      </c>
      <c r="G357" s="288">
        <v>44597.0</v>
      </c>
      <c r="H357" s="288">
        <v>44593.0</v>
      </c>
      <c r="I357" s="288">
        <v>44593.0</v>
      </c>
      <c r="J357" s="288">
        <v>44602.0</v>
      </c>
      <c r="K357" s="433"/>
      <c r="L357" s="433"/>
      <c r="M357" s="290" t="s">
        <v>7278</v>
      </c>
      <c r="N357" s="285" t="s">
        <v>497</v>
      </c>
      <c r="O357" s="299" t="s">
        <v>2554</v>
      </c>
      <c r="P357" s="300">
        <v>44381.34</v>
      </c>
      <c r="Q357" s="213"/>
      <c r="R357" s="198"/>
      <c r="S357" s="198"/>
      <c r="T357" s="198"/>
      <c r="U357" s="198"/>
      <c r="V357" s="198"/>
      <c r="W357" s="198"/>
      <c r="X357" s="198"/>
      <c r="Y357" s="198"/>
      <c r="Z357" s="198"/>
      <c r="AA357" s="198"/>
    </row>
    <row r="358" ht="63.75" customHeight="1">
      <c r="A358" s="284">
        <v>35713.0</v>
      </c>
      <c r="B358" s="285" t="s">
        <v>25</v>
      </c>
      <c r="C358" s="299">
        <v>1290.0</v>
      </c>
      <c r="D358" s="299" t="s">
        <v>7279</v>
      </c>
      <c r="E358" s="287" t="s">
        <v>4713</v>
      </c>
      <c r="F358" s="285" t="s">
        <v>5919</v>
      </c>
      <c r="G358" s="288">
        <v>44597.0</v>
      </c>
      <c r="H358" s="288">
        <v>44593.0</v>
      </c>
      <c r="I358" s="288">
        <v>44593.0</v>
      </c>
      <c r="J358" s="285" t="s">
        <v>7280</v>
      </c>
      <c r="K358" s="433"/>
      <c r="L358" s="433"/>
      <c r="M358" s="290" t="s">
        <v>7281</v>
      </c>
      <c r="N358" s="285" t="s">
        <v>497</v>
      </c>
      <c r="O358" s="299" t="s">
        <v>2554</v>
      </c>
      <c r="P358" s="300">
        <v>44249.58</v>
      </c>
      <c r="Q358" s="213"/>
      <c r="R358" s="198"/>
      <c r="S358" s="198"/>
      <c r="T358" s="198"/>
      <c r="U358" s="198"/>
      <c r="V358" s="198"/>
      <c r="W358" s="198"/>
      <c r="X358" s="198"/>
      <c r="Y358" s="198"/>
      <c r="Z358" s="198"/>
      <c r="AA358" s="198"/>
    </row>
    <row r="359" ht="65.25" customHeight="1">
      <c r="A359" s="284">
        <v>35717.0</v>
      </c>
      <c r="B359" s="285" t="s">
        <v>25</v>
      </c>
      <c r="C359" s="299">
        <v>1259.0</v>
      </c>
      <c r="D359" s="285" t="s">
        <v>7282</v>
      </c>
      <c r="E359" s="287" t="s">
        <v>7283</v>
      </c>
      <c r="F359" s="285" t="s">
        <v>5919</v>
      </c>
      <c r="G359" s="288">
        <v>44597.0</v>
      </c>
      <c r="H359" s="288">
        <v>44593.0</v>
      </c>
      <c r="I359" s="288">
        <v>44593.0</v>
      </c>
      <c r="J359" s="288">
        <v>44600.0</v>
      </c>
      <c r="K359" s="294"/>
      <c r="L359" s="294"/>
      <c r="M359" s="290" t="s">
        <v>7284</v>
      </c>
      <c r="N359" s="285" t="s">
        <v>497</v>
      </c>
      <c r="O359" s="299" t="s">
        <v>2604</v>
      </c>
      <c r="P359" s="300">
        <v>47360.85</v>
      </c>
      <c r="Q359" s="213"/>
      <c r="R359" s="198"/>
      <c r="S359" s="198"/>
      <c r="T359" s="198"/>
      <c r="U359" s="198"/>
      <c r="V359" s="198"/>
      <c r="W359" s="198"/>
      <c r="X359" s="198"/>
      <c r="Y359" s="198"/>
      <c r="Z359" s="198"/>
      <c r="AA359" s="198"/>
    </row>
    <row r="360" ht="64.5" customHeight="1">
      <c r="A360" s="284">
        <v>36026.0</v>
      </c>
      <c r="B360" s="285" t="s">
        <v>25</v>
      </c>
      <c r="C360" s="299">
        <v>2295.0</v>
      </c>
      <c r="D360" s="285" t="s">
        <v>7285</v>
      </c>
      <c r="E360" s="287" t="s">
        <v>6582</v>
      </c>
      <c r="F360" s="285" t="s">
        <v>5919</v>
      </c>
      <c r="G360" s="288">
        <v>44595.0</v>
      </c>
      <c r="H360" s="288">
        <v>44593.0</v>
      </c>
      <c r="I360" s="288">
        <v>44593.0</v>
      </c>
      <c r="J360" s="288">
        <v>44621.0</v>
      </c>
      <c r="K360" s="294"/>
      <c r="L360" s="294"/>
      <c r="M360" s="290" t="s">
        <v>7286</v>
      </c>
      <c r="N360" s="285" t="s">
        <v>497</v>
      </c>
      <c r="O360" s="299" t="s">
        <v>2621</v>
      </c>
      <c r="P360" s="300">
        <v>28655.55</v>
      </c>
      <c r="Q360" s="213"/>
      <c r="R360" s="198"/>
      <c r="S360" s="198"/>
      <c r="T360" s="198"/>
      <c r="U360" s="198"/>
      <c r="V360" s="198"/>
      <c r="W360" s="198"/>
      <c r="X360" s="198"/>
      <c r="Y360" s="198"/>
      <c r="Z360" s="198"/>
      <c r="AA360" s="198"/>
    </row>
    <row r="361" ht="57.75" customHeight="1">
      <c r="A361" s="434" t="s">
        <v>7287</v>
      </c>
      <c r="B361" s="299" t="s">
        <v>715</v>
      </c>
      <c r="C361" s="285" t="s">
        <v>7288</v>
      </c>
      <c r="D361" s="285" t="s">
        <v>7289</v>
      </c>
      <c r="E361" s="287" t="s">
        <v>7290</v>
      </c>
      <c r="F361" s="285" t="s">
        <v>5919</v>
      </c>
      <c r="G361" s="288">
        <v>44595.0</v>
      </c>
      <c r="H361" s="288">
        <v>44589.0</v>
      </c>
      <c r="I361" s="288">
        <v>44589.0</v>
      </c>
      <c r="J361" s="285" t="s">
        <v>7291</v>
      </c>
      <c r="K361" s="294"/>
      <c r="L361" s="294"/>
      <c r="M361" s="290" t="s">
        <v>7292</v>
      </c>
      <c r="N361" s="285" t="s">
        <v>4635</v>
      </c>
      <c r="O361" s="299" t="s">
        <v>2621</v>
      </c>
      <c r="P361" s="300" t="s">
        <v>7293</v>
      </c>
      <c r="Q361" s="213"/>
      <c r="R361" s="198"/>
      <c r="S361" s="198"/>
      <c r="T361" s="198"/>
      <c r="U361" s="198"/>
      <c r="V361" s="198"/>
      <c r="W361" s="198"/>
      <c r="X361" s="198"/>
      <c r="Y361" s="198"/>
      <c r="Z361" s="198"/>
      <c r="AA361" s="198"/>
    </row>
    <row r="362" ht="69.75" customHeight="1">
      <c r="A362" s="284">
        <v>36272.0</v>
      </c>
      <c r="B362" s="299" t="s">
        <v>715</v>
      </c>
      <c r="C362" s="285">
        <v>1300.0</v>
      </c>
      <c r="D362" s="285" t="s">
        <v>7294</v>
      </c>
      <c r="E362" s="287" t="s">
        <v>7295</v>
      </c>
      <c r="F362" s="285" t="s">
        <v>5919</v>
      </c>
      <c r="G362" s="288">
        <v>44595.0</v>
      </c>
      <c r="H362" s="372">
        <v>44589.0</v>
      </c>
      <c r="I362" s="372">
        <v>44589.0</v>
      </c>
      <c r="J362" s="288">
        <v>44602.0</v>
      </c>
      <c r="K362" s="294"/>
      <c r="L362" s="294"/>
      <c r="M362" s="290" t="s">
        <v>7296</v>
      </c>
      <c r="N362" s="285" t="s">
        <v>4635</v>
      </c>
      <c r="O362" s="299" t="s">
        <v>2621</v>
      </c>
      <c r="P362" s="300">
        <v>126465.0</v>
      </c>
      <c r="Q362" s="213"/>
      <c r="R362" s="198"/>
      <c r="S362" s="198"/>
      <c r="T362" s="198"/>
      <c r="U362" s="198"/>
      <c r="V362" s="198"/>
      <c r="W362" s="198"/>
      <c r="X362" s="198"/>
      <c r="Y362" s="198"/>
      <c r="Z362" s="198"/>
      <c r="AA362" s="198"/>
    </row>
    <row r="363" ht="55.5" customHeight="1">
      <c r="A363" s="284" t="s">
        <v>7297</v>
      </c>
      <c r="B363" s="299" t="s">
        <v>715</v>
      </c>
      <c r="C363" s="285" t="s">
        <v>7298</v>
      </c>
      <c r="D363" s="285" t="s">
        <v>7299</v>
      </c>
      <c r="E363" s="287" t="s">
        <v>3740</v>
      </c>
      <c r="F363" s="285" t="s">
        <v>5919</v>
      </c>
      <c r="G363" s="288">
        <v>44594.0</v>
      </c>
      <c r="H363" s="288">
        <v>44592.0</v>
      </c>
      <c r="I363" s="288">
        <v>44592.0</v>
      </c>
      <c r="J363" s="288">
        <v>44615.0</v>
      </c>
      <c r="K363" s="294"/>
      <c r="L363" s="294"/>
      <c r="M363" s="290" t="s">
        <v>7300</v>
      </c>
      <c r="N363" s="285" t="s">
        <v>497</v>
      </c>
      <c r="O363" s="299" t="s">
        <v>4711</v>
      </c>
      <c r="P363" s="300" t="s">
        <v>7301</v>
      </c>
      <c r="Q363" s="213"/>
      <c r="R363" s="198"/>
      <c r="S363" s="198"/>
      <c r="T363" s="198"/>
      <c r="U363" s="198"/>
      <c r="V363" s="198"/>
      <c r="W363" s="198"/>
      <c r="X363" s="198"/>
      <c r="Y363" s="198"/>
      <c r="Z363" s="198"/>
      <c r="AA363" s="198"/>
    </row>
    <row r="364" ht="53.25" customHeight="1">
      <c r="A364" s="284">
        <v>36236.0</v>
      </c>
      <c r="B364" s="285" t="s">
        <v>25</v>
      </c>
      <c r="C364" s="285">
        <v>1301.0</v>
      </c>
      <c r="D364" s="285" t="s">
        <v>7302</v>
      </c>
      <c r="E364" s="287" t="s">
        <v>7303</v>
      </c>
      <c r="F364" s="285" t="s">
        <v>5919</v>
      </c>
      <c r="G364" s="288">
        <v>44594.0</v>
      </c>
      <c r="H364" s="288">
        <v>44591.0</v>
      </c>
      <c r="I364" s="288">
        <v>44591.0</v>
      </c>
      <c r="J364" s="288">
        <v>44601.0</v>
      </c>
      <c r="K364" s="294"/>
      <c r="L364" s="294"/>
      <c r="M364" s="290" t="s">
        <v>7304</v>
      </c>
      <c r="N364" s="285" t="s">
        <v>4635</v>
      </c>
      <c r="O364" s="299" t="s">
        <v>2621</v>
      </c>
      <c r="P364" s="300">
        <v>59043.12</v>
      </c>
      <c r="Q364" s="213"/>
      <c r="R364" s="198"/>
      <c r="S364" s="198"/>
      <c r="T364" s="198"/>
      <c r="U364" s="198"/>
      <c r="V364" s="198"/>
      <c r="W364" s="198"/>
      <c r="X364" s="198"/>
      <c r="Y364" s="198"/>
      <c r="Z364" s="198"/>
      <c r="AA364" s="198"/>
    </row>
    <row r="365" ht="54.0" customHeight="1">
      <c r="A365" s="284">
        <v>36375.0</v>
      </c>
      <c r="B365" s="285" t="s">
        <v>21</v>
      </c>
      <c r="C365" s="285">
        <v>1118.0</v>
      </c>
      <c r="D365" s="285" t="s">
        <v>7305</v>
      </c>
      <c r="E365" s="287" t="s">
        <v>7306</v>
      </c>
      <c r="F365" s="285" t="s">
        <v>5919</v>
      </c>
      <c r="G365" s="288">
        <v>44591.0</v>
      </c>
      <c r="H365" s="372">
        <v>44591.0</v>
      </c>
      <c r="I365" s="372">
        <v>44591.0</v>
      </c>
      <c r="J365" s="288">
        <v>44608.0</v>
      </c>
      <c r="K365" s="294"/>
      <c r="L365" s="294"/>
      <c r="M365" s="290" t="s">
        <v>7307</v>
      </c>
      <c r="N365" s="285" t="s">
        <v>4635</v>
      </c>
      <c r="O365" s="299" t="s">
        <v>2621</v>
      </c>
      <c r="P365" s="300">
        <v>108672.0</v>
      </c>
      <c r="Q365" s="213"/>
      <c r="R365" s="198"/>
      <c r="S365" s="198"/>
      <c r="T365" s="198"/>
      <c r="U365" s="198"/>
      <c r="V365" s="198"/>
      <c r="W365" s="198"/>
      <c r="X365" s="198"/>
      <c r="Y365" s="198"/>
      <c r="Z365" s="198"/>
      <c r="AA365" s="198"/>
    </row>
    <row r="366" ht="54.0" customHeight="1">
      <c r="A366" s="284">
        <v>36381.0</v>
      </c>
      <c r="B366" s="285" t="s">
        <v>21</v>
      </c>
      <c r="C366" s="285">
        <v>856.0</v>
      </c>
      <c r="D366" s="285" t="s">
        <v>7308</v>
      </c>
      <c r="E366" s="287" t="s">
        <v>7309</v>
      </c>
      <c r="F366" s="285" t="s">
        <v>5919</v>
      </c>
      <c r="G366" s="288">
        <v>44591.0</v>
      </c>
      <c r="H366" s="372">
        <v>44591.0</v>
      </c>
      <c r="I366" s="372">
        <v>44591.0</v>
      </c>
      <c r="J366" s="288">
        <v>44607.0</v>
      </c>
      <c r="K366" s="294"/>
      <c r="L366" s="294"/>
      <c r="M366" s="290" t="s">
        <v>7310</v>
      </c>
      <c r="N366" s="285" t="s">
        <v>4635</v>
      </c>
      <c r="O366" s="299" t="s">
        <v>2621</v>
      </c>
      <c r="P366" s="300">
        <v>58299.6</v>
      </c>
      <c r="Q366" s="213"/>
      <c r="R366" s="198"/>
      <c r="S366" s="198"/>
      <c r="T366" s="198"/>
      <c r="U366" s="198"/>
      <c r="V366" s="198"/>
      <c r="W366" s="198"/>
      <c r="X366" s="198"/>
      <c r="Y366" s="198"/>
      <c r="Z366" s="198"/>
      <c r="AA366" s="198"/>
    </row>
    <row r="367" ht="54.0" customHeight="1">
      <c r="A367" s="284">
        <v>36397.0</v>
      </c>
      <c r="B367" s="285" t="s">
        <v>21</v>
      </c>
      <c r="C367" s="285">
        <v>1532.0</v>
      </c>
      <c r="D367" s="285" t="s">
        <v>7311</v>
      </c>
      <c r="E367" s="287" t="s">
        <v>4699</v>
      </c>
      <c r="F367" s="285" t="s">
        <v>5919</v>
      </c>
      <c r="G367" s="288">
        <v>44591.0</v>
      </c>
      <c r="H367" s="288">
        <v>44591.0</v>
      </c>
      <c r="I367" s="288">
        <v>44591.0</v>
      </c>
      <c r="J367" s="288">
        <v>44615.0</v>
      </c>
      <c r="K367" s="294"/>
      <c r="L367" s="294"/>
      <c r="M367" s="290" t="s">
        <v>7312</v>
      </c>
      <c r="N367" s="285" t="s">
        <v>4635</v>
      </c>
      <c r="O367" s="299" t="s">
        <v>2621</v>
      </c>
      <c r="P367" s="300">
        <v>50105.04</v>
      </c>
      <c r="Q367" s="213"/>
      <c r="R367" s="198"/>
      <c r="S367" s="198"/>
      <c r="T367" s="198"/>
      <c r="U367" s="198"/>
      <c r="V367" s="198"/>
      <c r="W367" s="198"/>
      <c r="X367" s="198"/>
      <c r="Y367" s="198"/>
      <c r="Z367" s="198"/>
      <c r="AA367" s="198"/>
    </row>
    <row r="368" ht="59.25" customHeight="1">
      <c r="A368" s="284">
        <v>36387.0</v>
      </c>
      <c r="B368" s="285" t="s">
        <v>21</v>
      </c>
      <c r="C368" s="285">
        <v>1106.0</v>
      </c>
      <c r="D368" s="285" t="s">
        <v>7313</v>
      </c>
      <c r="E368" s="287" t="s">
        <v>7314</v>
      </c>
      <c r="F368" s="285" t="s">
        <v>5919</v>
      </c>
      <c r="G368" s="288">
        <v>44591.0</v>
      </c>
      <c r="H368" s="288">
        <v>44591.0</v>
      </c>
      <c r="I368" s="288">
        <v>44591.0</v>
      </c>
      <c r="J368" s="285" t="s">
        <v>7315</v>
      </c>
      <c r="K368" s="294"/>
      <c r="L368" s="294"/>
      <c r="M368" s="290" t="s">
        <v>7316</v>
      </c>
      <c r="N368" s="285" t="s">
        <v>4635</v>
      </c>
      <c r="O368" s="299" t="s">
        <v>2621</v>
      </c>
      <c r="P368" s="300">
        <v>68146.0</v>
      </c>
      <c r="Q368" s="213"/>
      <c r="R368" s="198"/>
      <c r="S368" s="198"/>
      <c r="T368" s="198"/>
      <c r="U368" s="198"/>
      <c r="V368" s="198"/>
      <c r="W368" s="198"/>
      <c r="X368" s="198"/>
      <c r="Y368" s="198"/>
      <c r="Z368" s="198"/>
      <c r="AA368" s="198"/>
    </row>
    <row r="369" ht="59.25" customHeight="1">
      <c r="A369" s="284">
        <v>36398.0</v>
      </c>
      <c r="B369" s="285" t="s">
        <v>21</v>
      </c>
      <c r="C369" s="285">
        <v>834.0</v>
      </c>
      <c r="D369" s="285" t="s">
        <v>7317</v>
      </c>
      <c r="E369" s="287" t="s">
        <v>4295</v>
      </c>
      <c r="F369" s="285" t="s">
        <v>5919</v>
      </c>
      <c r="G369" s="288">
        <v>44591.0</v>
      </c>
      <c r="H369" s="288">
        <v>44591.0</v>
      </c>
      <c r="I369" s="288">
        <v>44591.0</v>
      </c>
      <c r="J369" s="288">
        <v>44608.0</v>
      </c>
      <c r="K369" s="294" t="s">
        <v>7318</v>
      </c>
      <c r="L369" s="294"/>
      <c r="M369" s="290" t="s">
        <v>7319</v>
      </c>
      <c r="N369" s="285" t="s">
        <v>4635</v>
      </c>
      <c r="O369" s="299" t="s">
        <v>2621</v>
      </c>
      <c r="P369" s="300">
        <v>57308.48</v>
      </c>
      <c r="Q369" s="213"/>
      <c r="R369" s="198"/>
      <c r="S369" s="198"/>
      <c r="T369" s="198"/>
      <c r="U369" s="198"/>
      <c r="V369" s="198"/>
      <c r="W369" s="198"/>
      <c r="X369" s="198"/>
      <c r="Y369" s="198"/>
      <c r="Z369" s="198"/>
      <c r="AA369" s="198"/>
    </row>
    <row r="370" ht="56.25" customHeight="1">
      <c r="A370" s="284">
        <v>36417.0</v>
      </c>
      <c r="B370" s="285" t="s">
        <v>6204</v>
      </c>
      <c r="C370" s="285">
        <v>25.0</v>
      </c>
      <c r="D370" s="285" t="s">
        <v>4925</v>
      </c>
      <c r="E370" s="287" t="s">
        <v>7320</v>
      </c>
      <c r="F370" s="285" t="s">
        <v>5919</v>
      </c>
      <c r="G370" s="288">
        <v>44590.0</v>
      </c>
      <c r="H370" s="285" t="s">
        <v>4841</v>
      </c>
      <c r="I370" s="288">
        <v>44594.0</v>
      </c>
      <c r="J370" s="288">
        <v>44594.0</v>
      </c>
      <c r="K370" s="294"/>
      <c r="L370" s="294"/>
      <c r="M370" s="290" t="s">
        <v>7321</v>
      </c>
      <c r="N370" s="285" t="s">
        <v>497</v>
      </c>
      <c r="O370" s="299" t="s">
        <v>2628</v>
      </c>
      <c r="P370" s="300">
        <v>15309.64</v>
      </c>
      <c r="Q370" s="213"/>
      <c r="R370" s="198"/>
      <c r="S370" s="198"/>
      <c r="T370" s="198"/>
      <c r="U370" s="198"/>
      <c r="V370" s="198"/>
      <c r="W370" s="198"/>
      <c r="X370" s="198"/>
      <c r="Y370" s="198"/>
      <c r="Z370" s="198"/>
      <c r="AA370" s="198"/>
    </row>
    <row r="371" ht="55.5" customHeight="1">
      <c r="A371" s="284">
        <v>35611.0</v>
      </c>
      <c r="B371" s="285" t="s">
        <v>21</v>
      </c>
      <c r="C371" s="299">
        <v>1290.0</v>
      </c>
      <c r="D371" s="285" t="s">
        <v>7322</v>
      </c>
      <c r="E371" s="287" t="s">
        <v>7323</v>
      </c>
      <c r="F371" s="285" t="s">
        <v>5919</v>
      </c>
      <c r="G371" s="288">
        <v>44590.0</v>
      </c>
      <c r="H371" s="288">
        <v>44592.0</v>
      </c>
      <c r="I371" s="288">
        <v>44592.0</v>
      </c>
      <c r="J371" s="288">
        <v>44595.0</v>
      </c>
      <c r="K371" s="294"/>
      <c r="L371" s="294"/>
      <c r="M371" s="290" t="s">
        <v>7324</v>
      </c>
      <c r="N371" s="285" t="s">
        <v>497</v>
      </c>
      <c r="O371" s="299" t="s">
        <v>2554</v>
      </c>
      <c r="P371" s="300">
        <v>44249.58</v>
      </c>
      <c r="Q371" s="213"/>
      <c r="R371" s="198"/>
      <c r="S371" s="198"/>
      <c r="T371" s="198"/>
      <c r="U371" s="198"/>
      <c r="V371" s="198"/>
      <c r="W371" s="198"/>
      <c r="X371" s="198"/>
      <c r="Y371" s="198"/>
      <c r="Z371" s="198"/>
      <c r="AA371" s="198"/>
    </row>
    <row r="372" ht="60.0" customHeight="1">
      <c r="A372" s="284" t="s">
        <v>7325</v>
      </c>
      <c r="B372" s="299" t="s">
        <v>715</v>
      </c>
      <c r="C372" s="285">
        <v>1800.0</v>
      </c>
      <c r="D372" s="285" t="s">
        <v>7326</v>
      </c>
      <c r="E372" s="287" t="s">
        <v>3740</v>
      </c>
      <c r="F372" s="285" t="s">
        <v>5919</v>
      </c>
      <c r="G372" s="288">
        <v>44589.0</v>
      </c>
      <c r="H372" s="288">
        <v>44580.0</v>
      </c>
      <c r="I372" s="288">
        <v>44580.0</v>
      </c>
      <c r="J372" s="288">
        <v>44607.0</v>
      </c>
      <c r="K372" s="294"/>
      <c r="L372" s="294"/>
      <c r="M372" s="290" t="s">
        <v>7327</v>
      </c>
      <c r="N372" s="285" t="s">
        <v>497</v>
      </c>
      <c r="O372" s="299" t="s">
        <v>4711</v>
      </c>
      <c r="P372" s="300" t="s">
        <v>7328</v>
      </c>
      <c r="Q372" s="213"/>
      <c r="R372" s="198"/>
      <c r="S372" s="198"/>
      <c r="T372" s="198"/>
      <c r="U372" s="198"/>
      <c r="V372" s="198"/>
      <c r="W372" s="198"/>
      <c r="X372" s="198"/>
      <c r="Y372" s="198"/>
      <c r="Z372" s="198"/>
      <c r="AA372" s="198"/>
    </row>
    <row r="373" ht="57.75" customHeight="1">
      <c r="A373" s="284">
        <v>35565.0</v>
      </c>
      <c r="B373" s="285" t="s">
        <v>715</v>
      </c>
      <c r="C373" s="285">
        <v>1160.0</v>
      </c>
      <c r="D373" s="285" t="s">
        <v>7329</v>
      </c>
      <c r="E373" s="287" t="s">
        <v>4637</v>
      </c>
      <c r="F373" s="285" t="s">
        <v>5919</v>
      </c>
      <c r="G373" s="288">
        <v>44584.0</v>
      </c>
      <c r="H373" s="288">
        <v>44567.0</v>
      </c>
      <c r="I373" s="288">
        <v>44567.0</v>
      </c>
      <c r="J373" s="288">
        <v>44589.0</v>
      </c>
      <c r="K373" s="294"/>
      <c r="L373" s="294"/>
      <c r="M373" s="290" t="s">
        <v>7330</v>
      </c>
      <c r="N373" s="285" t="s">
        <v>497</v>
      </c>
      <c r="O373" s="299" t="s">
        <v>2554</v>
      </c>
      <c r="P373" s="300">
        <v>31869.84</v>
      </c>
      <c r="Q373" s="213"/>
      <c r="R373" s="198"/>
      <c r="S373" s="198"/>
      <c r="T373" s="198"/>
      <c r="U373" s="198"/>
      <c r="V373" s="198"/>
      <c r="W373" s="198"/>
      <c r="X373" s="198"/>
      <c r="Y373" s="198"/>
      <c r="Z373" s="198"/>
      <c r="AA373" s="198"/>
    </row>
    <row r="374" ht="54.0" customHeight="1">
      <c r="A374" s="284">
        <v>35562.0</v>
      </c>
      <c r="B374" s="285" t="s">
        <v>715</v>
      </c>
      <c r="C374" s="285">
        <v>3000.0</v>
      </c>
      <c r="D374" s="285" t="s">
        <v>7331</v>
      </c>
      <c r="E374" s="287" t="s">
        <v>4690</v>
      </c>
      <c r="F374" s="285" t="s">
        <v>5919</v>
      </c>
      <c r="G374" s="288">
        <v>44584.0</v>
      </c>
      <c r="H374" s="288">
        <v>44567.0</v>
      </c>
      <c r="I374" s="288">
        <v>44567.0</v>
      </c>
      <c r="J374" s="288">
        <v>44592.0</v>
      </c>
      <c r="K374" s="294"/>
      <c r="L374" s="294"/>
      <c r="M374" s="290" t="s">
        <v>7332</v>
      </c>
      <c r="N374" s="285" t="s">
        <v>497</v>
      </c>
      <c r="O374" s="299" t="s">
        <v>2554</v>
      </c>
      <c r="P374" s="300">
        <v>20610.0</v>
      </c>
      <c r="Q374" s="213"/>
      <c r="R374" s="198"/>
      <c r="S374" s="198"/>
      <c r="T374" s="198"/>
      <c r="U374" s="198"/>
      <c r="V374" s="198"/>
      <c r="W374" s="198"/>
      <c r="X374" s="198"/>
      <c r="Y374" s="198"/>
      <c r="Z374" s="198"/>
      <c r="AA374" s="198"/>
    </row>
    <row r="375" ht="54.0" customHeight="1">
      <c r="A375" s="284">
        <v>35774.0</v>
      </c>
      <c r="B375" s="285" t="s">
        <v>715</v>
      </c>
      <c r="C375" s="285">
        <v>1160.0</v>
      </c>
      <c r="D375" s="285" t="s">
        <v>7333</v>
      </c>
      <c r="E375" s="287" t="s">
        <v>4637</v>
      </c>
      <c r="F375" s="285" t="s">
        <v>5919</v>
      </c>
      <c r="G375" s="288">
        <v>44583.0</v>
      </c>
      <c r="H375" s="288">
        <v>44580.0</v>
      </c>
      <c r="I375" s="288">
        <v>44580.0</v>
      </c>
      <c r="J375" s="288">
        <v>44588.0</v>
      </c>
      <c r="K375" s="294"/>
      <c r="L375" s="294"/>
      <c r="M375" s="290" t="s">
        <v>7334</v>
      </c>
      <c r="N375" s="285" t="s">
        <v>497</v>
      </c>
      <c r="O375" s="299" t="s">
        <v>2554</v>
      </c>
      <c r="P375" s="300">
        <v>31869.84</v>
      </c>
      <c r="Q375" s="213"/>
      <c r="R375" s="198"/>
      <c r="S375" s="198"/>
      <c r="T375" s="198"/>
      <c r="U375" s="198"/>
      <c r="V375" s="198"/>
      <c r="W375" s="198"/>
      <c r="X375" s="198"/>
      <c r="Y375" s="198"/>
      <c r="Z375" s="198"/>
      <c r="AA375" s="198"/>
    </row>
    <row r="376" ht="58.5" customHeight="1">
      <c r="A376" s="284">
        <v>36122.0</v>
      </c>
      <c r="B376" s="285" t="s">
        <v>715</v>
      </c>
      <c r="C376" s="285">
        <v>1110.0</v>
      </c>
      <c r="D376" s="285" t="s">
        <v>7335</v>
      </c>
      <c r="E376" s="287" t="s">
        <v>7336</v>
      </c>
      <c r="F376" s="285" t="s">
        <v>5919</v>
      </c>
      <c r="G376" s="288">
        <v>44583.0</v>
      </c>
      <c r="H376" s="372">
        <v>44580.0</v>
      </c>
      <c r="I376" s="372">
        <v>44580.0</v>
      </c>
      <c r="J376" s="288">
        <v>44587.0</v>
      </c>
      <c r="K376" s="294"/>
      <c r="L376" s="294"/>
      <c r="M376" s="290" t="s">
        <v>7337</v>
      </c>
      <c r="N376" s="285" t="s">
        <v>4635</v>
      </c>
      <c r="O376" s="299" t="s">
        <v>2621</v>
      </c>
      <c r="P376" s="300">
        <v>114241.91</v>
      </c>
      <c r="Q376" s="213"/>
      <c r="R376" s="198"/>
      <c r="S376" s="198"/>
      <c r="T376" s="198"/>
      <c r="U376" s="198"/>
      <c r="V376" s="198"/>
      <c r="W376" s="198"/>
      <c r="X376" s="198"/>
      <c r="Y376" s="198"/>
      <c r="Z376" s="198"/>
      <c r="AA376" s="198"/>
    </row>
    <row r="377" ht="54.0" customHeight="1">
      <c r="A377" s="284">
        <v>35661.0</v>
      </c>
      <c r="B377" s="285" t="s">
        <v>25</v>
      </c>
      <c r="C377" s="299">
        <v>1290.0</v>
      </c>
      <c r="D377" s="285" t="s">
        <v>7338</v>
      </c>
      <c r="E377" s="287" t="s">
        <v>7339</v>
      </c>
      <c r="F377" s="285" t="s">
        <v>5919</v>
      </c>
      <c r="G377" s="288">
        <v>44579.0</v>
      </c>
      <c r="H377" s="288">
        <v>44921.0</v>
      </c>
      <c r="I377" s="288">
        <v>44921.0</v>
      </c>
      <c r="J377" s="285" t="s">
        <v>7340</v>
      </c>
      <c r="K377" s="294"/>
      <c r="L377" s="294"/>
      <c r="M377" s="290" t="s">
        <v>7341</v>
      </c>
      <c r="N377" s="285" t="s">
        <v>497</v>
      </c>
      <c r="O377" s="286" t="s">
        <v>2554</v>
      </c>
      <c r="P377" s="300">
        <v>44249.58</v>
      </c>
      <c r="Q377" s="213"/>
      <c r="R377" s="198"/>
      <c r="S377" s="198"/>
      <c r="T377" s="198"/>
      <c r="U377" s="198"/>
      <c r="V377" s="198"/>
      <c r="W377" s="198"/>
      <c r="X377" s="198"/>
      <c r="Y377" s="198"/>
      <c r="Z377" s="198"/>
      <c r="AA377" s="198"/>
    </row>
    <row r="378" ht="69.75" customHeight="1">
      <c r="A378" s="284">
        <v>35708.0</v>
      </c>
      <c r="B378" s="285" t="s">
        <v>25</v>
      </c>
      <c r="C378" s="299">
        <v>1290.0</v>
      </c>
      <c r="D378" s="285" t="s">
        <v>7342</v>
      </c>
      <c r="E378" s="287" t="s">
        <v>4827</v>
      </c>
      <c r="F378" s="285" t="s">
        <v>5919</v>
      </c>
      <c r="G378" s="288">
        <v>44579.0</v>
      </c>
      <c r="H378" s="288">
        <v>44921.0</v>
      </c>
      <c r="I378" s="288">
        <v>44921.0</v>
      </c>
      <c r="J378" s="288">
        <v>44586.0</v>
      </c>
      <c r="K378" s="294"/>
      <c r="L378" s="294"/>
      <c r="M378" s="290" t="s">
        <v>7343</v>
      </c>
      <c r="N378" s="285" t="s">
        <v>497</v>
      </c>
      <c r="O378" s="299" t="s">
        <v>2554</v>
      </c>
      <c r="P378" s="300">
        <v>44249.58</v>
      </c>
      <c r="Q378" s="213"/>
      <c r="R378" s="198"/>
      <c r="S378" s="198"/>
      <c r="T378" s="198"/>
      <c r="U378" s="198"/>
      <c r="V378" s="198"/>
      <c r="W378" s="198"/>
      <c r="X378" s="198"/>
      <c r="Y378" s="198"/>
      <c r="Z378" s="198"/>
      <c r="AA378" s="198"/>
    </row>
    <row r="379" ht="54.0" customHeight="1">
      <c r="A379" s="284">
        <v>35585.0</v>
      </c>
      <c r="B379" s="285" t="s">
        <v>25</v>
      </c>
      <c r="C379" s="299">
        <v>2169.0</v>
      </c>
      <c r="D379" s="285" t="s">
        <v>7344</v>
      </c>
      <c r="E379" s="287" t="s">
        <v>7345</v>
      </c>
      <c r="F379" s="285" t="s">
        <v>5919</v>
      </c>
      <c r="G379" s="288">
        <v>44579.0</v>
      </c>
      <c r="H379" s="288">
        <v>44921.0</v>
      </c>
      <c r="I379" s="288">
        <v>44921.0</v>
      </c>
      <c r="J379" s="285" t="s">
        <v>7346</v>
      </c>
      <c r="K379" s="294"/>
      <c r="L379" s="294"/>
      <c r="M379" s="290" t="s">
        <v>7347</v>
      </c>
      <c r="N379" s="285" t="s">
        <v>497</v>
      </c>
      <c r="O379" s="299" t="s">
        <v>2554</v>
      </c>
      <c r="P379" s="300">
        <v>29827.6</v>
      </c>
      <c r="Q379" s="213"/>
      <c r="R379" s="198"/>
      <c r="S379" s="198"/>
      <c r="T379" s="198"/>
      <c r="U379" s="198"/>
      <c r="V379" s="198"/>
      <c r="W379" s="198"/>
      <c r="X379" s="198"/>
      <c r="Y379" s="198"/>
      <c r="Z379" s="198"/>
      <c r="AA379" s="198"/>
    </row>
    <row r="380" ht="69.0" customHeight="1">
      <c r="A380" s="284" t="s">
        <v>7348</v>
      </c>
      <c r="B380" s="285" t="s">
        <v>25</v>
      </c>
      <c r="C380" s="299">
        <v>2900.0</v>
      </c>
      <c r="D380" s="285" t="s">
        <v>7349</v>
      </c>
      <c r="E380" s="287" t="s">
        <v>7283</v>
      </c>
      <c r="F380" s="285" t="s">
        <v>5919</v>
      </c>
      <c r="G380" s="288">
        <v>44579.0</v>
      </c>
      <c r="H380" s="288">
        <v>44921.0</v>
      </c>
      <c r="I380" s="288">
        <v>44921.0</v>
      </c>
      <c r="J380" s="285" t="s">
        <v>7350</v>
      </c>
      <c r="K380" s="294"/>
      <c r="L380" s="294"/>
      <c r="M380" s="290" t="s">
        <v>7351</v>
      </c>
      <c r="N380" s="285" t="s">
        <v>497</v>
      </c>
      <c r="O380" s="299" t="s">
        <v>2604</v>
      </c>
      <c r="P380" s="300" t="s">
        <v>7352</v>
      </c>
      <c r="Q380" s="213"/>
      <c r="R380" s="198"/>
      <c r="S380" s="198"/>
      <c r="T380" s="198"/>
      <c r="U380" s="198"/>
      <c r="V380" s="198"/>
      <c r="W380" s="198"/>
      <c r="X380" s="198"/>
      <c r="Y380" s="198"/>
      <c r="Z380" s="198"/>
      <c r="AA380" s="198"/>
    </row>
    <row r="381" ht="54.75" customHeight="1">
      <c r="A381" s="284" t="s">
        <v>7353</v>
      </c>
      <c r="B381" s="285" t="s">
        <v>21</v>
      </c>
      <c r="C381" s="285">
        <v>392.0</v>
      </c>
      <c r="D381" s="285" t="s">
        <v>7354</v>
      </c>
      <c r="E381" s="287" t="s">
        <v>7355</v>
      </c>
      <c r="F381" s="285" t="s">
        <v>5919</v>
      </c>
      <c r="G381" s="288">
        <v>44579.0</v>
      </c>
      <c r="H381" s="372">
        <v>44572.0</v>
      </c>
      <c r="I381" s="372">
        <v>44587.0</v>
      </c>
      <c r="J381" s="288">
        <v>44589.0</v>
      </c>
      <c r="K381" s="294"/>
      <c r="L381" s="294"/>
      <c r="M381" s="290" t="s">
        <v>7356</v>
      </c>
      <c r="N381" s="285" t="s">
        <v>497</v>
      </c>
      <c r="O381" s="299" t="s">
        <v>2628</v>
      </c>
      <c r="P381" s="300" t="s">
        <v>7357</v>
      </c>
      <c r="Q381" s="213"/>
      <c r="R381" s="198"/>
      <c r="S381" s="198"/>
      <c r="T381" s="198"/>
      <c r="U381" s="198"/>
      <c r="V381" s="198"/>
      <c r="W381" s="198"/>
      <c r="X381" s="198"/>
      <c r="Y381" s="198"/>
      <c r="Z381" s="198"/>
      <c r="AA381" s="198"/>
    </row>
    <row r="382" ht="58.5" customHeight="1">
      <c r="A382" s="284">
        <v>35763.0</v>
      </c>
      <c r="B382" s="299" t="s">
        <v>715</v>
      </c>
      <c r="C382" s="285">
        <v>1930.0</v>
      </c>
      <c r="D382" s="285" t="s">
        <v>7358</v>
      </c>
      <c r="E382" s="287" t="s">
        <v>4670</v>
      </c>
      <c r="F382" s="285" t="s">
        <v>5919</v>
      </c>
      <c r="G382" s="288">
        <v>44574.0</v>
      </c>
      <c r="H382" s="288">
        <v>44564.0</v>
      </c>
      <c r="I382" s="288">
        <v>44564.0</v>
      </c>
      <c r="J382" s="288">
        <v>44580.0</v>
      </c>
      <c r="K382" s="294"/>
      <c r="L382" s="294"/>
      <c r="M382" s="290" t="s">
        <v>7359</v>
      </c>
      <c r="N382" s="285" t="s">
        <v>497</v>
      </c>
      <c r="O382" s="299" t="s">
        <v>2604</v>
      </c>
      <c r="P382" s="300">
        <v>57508.0</v>
      </c>
      <c r="Q382" s="213"/>
      <c r="R382" s="198"/>
      <c r="S382" s="198"/>
      <c r="T382" s="198"/>
      <c r="U382" s="198"/>
      <c r="V382" s="198"/>
      <c r="W382" s="198"/>
      <c r="X382" s="198"/>
      <c r="Y382" s="198"/>
      <c r="Z382" s="198"/>
      <c r="AA382" s="198"/>
    </row>
    <row r="383" ht="54.75" customHeight="1">
      <c r="A383" s="284">
        <v>36354.0</v>
      </c>
      <c r="B383" s="299" t="s">
        <v>6204</v>
      </c>
      <c r="C383" s="285">
        <v>25.0</v>
      </c>
      <c r="D383" s="285" t="s">
        <v>4925</v>
      </c>
      <c r="E383" s="287" t="s">
        <v>7320</v>
      </c>
      <c r="F383" s="285" t="s">
        <v>5919</v>
      </c>
      <c r="G383" s="288">
        <v>44572.0</v>
      </c>
      <c r="H383" s="299" t="s">
        <v>4841</v>
      </c>
      <c r="I383" s="372">
        <v>44573.0</v>
      </c>
      <c r="J383" s="372">
        <v>44574.0</v>
      </c>
      <c r="K383" s="294"/>
      <c r="L383" s="294"/>
      <c r="M383" s="290" t="s">
        <v>7360</v>
      </c>
      <c r="N383" s="285" t="s">
        <v>497</v>
      </c>
      <c r="O383" s="299" t="s">
        <v>2628</v>
      </c>
      <c r="P383" s="300">
        <v>8395.82</v>
      </c>
      <c r="Q383" s="213"/>
      <c r="R383" s="198"/>
      <c r="S383" s="198"/>
      <c r="T383" s="198"/>
      <c r="U383" s="198"/>
      <c r="V383" s="198"/>
      <c r="W383" s="198"/>
      <c r="X383" s="198"/>
      <c r="Y383" s="198"/>
      <c r="Z383" s="198"/>
      <c r="AA383" s="198"/>
    </row>
    <row r="384" ht="54.0" customHeight="1">
      <c r="A384" s="284">
        <v>36350.0</v>
      </c>
      <c r="B384" s="299" t="s">
        <v>4960</v>
      </c>
      <c r="C384" s="285">
        <v>50.0</v>
      </c>
      <c r="D384" s="285" t="s">
        <v>4925</v>
      </c>
      <c r="E384" s="287" t="s">
        <v>4477</v>
      </c>
      <c r="F384" s="285" t="s">
        <v>5919</v>
      </c>
      <c r="G384" s="288">
        <v>44572.0</v>
      </c>
      <c r="H384" s="372">
        <v>44575.0</v>
      </c>
      <c r="I384" s="372">
        <v>44573.0</v>
      </c>
      <c r="J384" s="372">
        <v>44575.0</v>
      </c>
      <c r="K384" s="294"/>
      <c r="L384" s="294"/>
      <c r="M384" s="290" t="s">
        <v>7361</v>
      </c>
      <c r="N384" s="285" t="s">
        <v>4635</v>
      </c>
      <c r="O384" s="299" t="s">
        <v>2621</v>
      </c>
      <c r="P384" s="300">
        <v>16290.0</v>
      </c>
      <c r="Q384" s="213"/>
      <c r="R384" s="198"/>
      <c r="S384" s="198"/>
      <c r="T384" s="198"/>
      <c r="U384" s="198"/>
      <c r="V384" s="198"/>
      <c r="W384" s="198"/>
      <c r="X384" s="198"/>
      <c r="Y384" s="198"/>
      <c r="Z384" s="198"/>
      <c r="AA384" s="198"/>
    </row>
    <row r="385" ht="54.0" customHeight="1">
      <c r="A385" s="284">
        <v>36351.0</v>
      </c>
      <c r="B385" s="299" t="s">
        <v>4924</v>
      </c>
      <c r="C385" s="285">
        <v>50.0</v>
      </c>
      <c r="D385" s="285" t="s">
        <v>4925</v>
      </c>
      <c r="E385" s="287" t="s">
        <v>4477</v>
      </c>
      <c r="F385" s="285" t="s">
        <v>5919</v>
      </c>
      <c r="G385" s="288">
        <v>44572.0</v>
      </c>
      <c r="H385" s="372">
        <v>44575.0</v>
      </c>
      <c r="I385" s="372">
        <v>44573.0</v>
      </c>
      <c r="J385" s="372">
        <v>44578.0</v>
      </c>
      <c r="K385" s="294"/>
      <c r="L385" s="294"/>
      <c r="M385" s="290" t="s">
        <v>7362</v>
      </c>
      <c r="N385" s="285" t="s">
        <v>4635</v>
      </c>
      <c r="O385" s="286" t="s">
        <v>2621</v>
      </c>
      <c r="P385" s="300">
        <v>16290.0</v>
      </c>
      <c r="Q385" s="213"/>
      <c r="R385" s="198"/>
      <c r="S385" s="198"/>
      <c r="T385" s="198"/>
      <c r="U385" s="198"/>
      <c r="V385" s="198"/>
      <c r="W385" s="198"/>
      <c r="X385" s="198"/>
      <c r="Y385" s="198"/>
      <c r="Z385" s="198"/>
      <c r="AA385" s="198"/>
    </row>
    <row r="386" ht="54.0" customHeight="1">
      <c r="A386" s="284">
        <v>35564.0</v>
      </c>
      <c r="B386" s="285" t="s">
        <v>715</v>
      </c>
      <c r="C386" s="285">
        <v>1160.0</v>
      </c>
      <c r="D386" s="285" t="s">
        <v>7363</v>
      </c>
      <c r="E386" s="287" t="s">
        <v>4637</v>
      </c>
      <c r="F386" s="285" t="s">
        <v>5919</v>
      </c>
      <c r="G386" s="288">
        <v>44568.0</v>
      </c>
      <c r="H386" s="288">
        <v>44924.0</v>
      </c>
      <c r="I386" s="288">
        <v>44924.0</v>
      </c>
      <c r="J386" s="288">
        <v>44574.0</v>
      </c>
      <c r="K386" s="294"/>
      <c r="L386" s="294"/>
      <c r="M386" s="290" t="s">
        <v>7364</v>
      </c>
      <c r="N386" s="285" t="s">
        <v>497</v>
      </c>
      <c r="O386" s="286" t="s">
        <v>2554</v>
      </c>
      <c r="P386" s="300">
        <v>31869.84</v>
      </c>
      <c r="Q386" s="213"/>
      <c r="R386" s="198"/>
      <c r="S386" s="198"/>
      <c r="T386" s="198"/>
      <c r="U386" s="198"/>
      <c r="V386" s="198"/>
      <c r="W386" s="198"/>
      <c r="X386" s="198"/>
      <c r="Y386" s="198"/>
      <c r="Z386" s="198"/>
      <c r="AA386" s="198"/>
    </row>
    <row r="387" ht="54.0" customHeight="1">
      <c r="A387" s="284">
        <v>36106.0</v>
      </c>
      <c r="B387" s="285" t="s">
        <v>715</v>
      </c>
      <c r="C387" s="285">
        <v>930.0</v>
      </c>
      <c r="D387" s="285" t="s">
        <v>7365</v>
      </c>
      <c r="E387" s="287" t="s">
        <v>6332</v>
      </c>
      <c r="F387" s="285" t="s">
        <v>5919</v>
      </c>
      <c r="G387" s="288">
        <v>44568.0</v>
      </c>
      <c r="H387" s="372">
        <v>44565.0</v>
      </c>
      <c r="I387" s="372">
        <v>44565.0</v>
      </c>
      <c r="J387" s="288">
        <v>44578.0</v>
      </c>
      <c r="K387" s="294"/>
      <c r="L387" s="294"/>
      <c r="M387" s="290" t="s">
        <v>7366</v>
      </c>
      <c r="N387" s="285" t="s">
        <v>4635</v>
      </c>
      <c r="O387" s="286" t="s">
        <v>2621</v>
      </c>
      <c r="P387" s="300">
        <v>64407.2</v>
      </c>
      <c r="Q387" s="213"/>
      <c r="R387" s="198"/>
      <c r="S387" s="198"/>
      <c r="T387" s="198"/>
      <c r="U387" s="198"/>
      <c r="V387" s="198"/>
      <c r="W387" s="198"/>
      <c r="X387" s="198"/>
      <c r="Y387" s="198"/>
      <c r="Z387" s="198"/>
      <c r="AA387" s="198"/>
    </row>
    <row r="388" ht="54.0" customHeight="1">
      <c r="A388" s="284">
        <v>35615.0</v>
      </c>
      <c r="B388" s="285" t="s">
        <v>715</v>
      </c>
      <c r="C388" s="285">
        <v>1626.0</v>
      </c>
      <c r="D388" s="285" t="s">
        <v>7367</v>
      </c>
      <c r="E388" s="287" t="s">
        <v>7368</v>
      </c>
      <c r="F388" s="285" t="s">
        <v>5919</v>
      </c>
      <c r="G388" s="288">
        <v>44568.0</v>
      </c>
      <c r="H388" s="288">
        <v>44558.0</v>
      </c>
      <c r="I388" s="288">
        <v>44558.0</v>
      </c>
      <c r="J388" s="288">
        <v>44573.0</v>
      </c>
      <c r="K388" s="294"/>
      <c r="L388" s="294"/>
      <c r="M388" s="290" t="s">
        <v>7369</v>
      </c>
      <c r="N388" s="285" t="s">
        <v>497</v>
      </c>
      <c r="O388" s="286" t="s">
        <v>2554</v>
      </c>
      <c r="P388" s="300">
        <v>20409.69</v>
      </c>
      <c r="Q388" s="213"/>
      <c r="R388" s="198"/>
      <c r="S388" s="198"/>
      <c r="T388" s="198"/>
      <c r="U388" s="198"/>
      <c r="V388" s="198"/>
      <c r="W388" s="198"/>
      <c r="X388" s="198"/>
      <c r="Y388" s="198"/>
      <c r="Z388" s="198"/>
      <c r="AA388" s="198"/>
    </row>
    <row r="389" ht="59.25" customHeight="1">
      <c r="A389" s="284">
        <v>35578.0</v>
      </c>
      <c r="B389" s="285" t="s">
        <v>715</v>
      </c>
      <c r="C389" s="285">
        <v>1161.0</v>
      </c>
      <c r="D389" s="285" t="s">
        <v>7370</v>
      </c>
      <c r="E389" s="287" t="s">
        <v>4637</v>
      </c>
      <c r="F389" s="285" t="s">
        <v>5919</v>
      </c>
      <c r="G389" s="288">
        <v>44567.0</v>
      </c>
      <c r="H389" s="288">
        <v>44566.0</v>
      </c>
      <c r="I389" s="288">
        <v>44566.0</v>
      </c>
      <c r="J389" s="288">
        <v>44575.0</v>
      </c>
      <c r="K389" s="294"/>
      <c r="L389" s="294"/>
      <c r="M389" s="290" t="s">
        <v>7371</v>
      </c>
      <c r="N389" s="285" t="s">
        <v>497</v>
      </c>
      <c r="O389" s="286" t="s">
        <v>2554</v>
      </c>
      <c r="P389" s="300">
        <v>31869.84</v>
      </c>
      <c r="Q389" s="213"/>
      <c r="R389" s="198"/>
      <c r="S389" s="198"/>
      <c r="T389" s="198"/>
      <c r="U389" s="198"/>
      <c r="V389" s="198"/>
      <c r="W389" s="198"/>
      <c r="X389" s="198"/>
      <c r="Y389" s="198"/>
      <c r="Z389" s="198"/>
      <c r="AA389" s="198"/>
    </row>
    <row r="390" ht="54.0" customHeight="1">
      <c r="A390" s="284">
        <v>36124.0</v>
      </c>
      <c r="B390" s="285" t="s">
        <v>715</v>
      </c>
      <c r="C390" s="285">
        <v>1074.0</v>
      </c>
      <c r="D390" s="285" t="s">
        <v>7372</v>
      </c>
      <c r="E390" s="287" t="s">
        <v>7373</v>
      </c>
      <c r="F390" s="285" t="s">
        <v>5919</v>
      </c>
      <c r="G390" s="288">
        <v>44566.0</v>
      </c>
      <c r="H390" s="288">
        <v>44559.0</v>
      </c>
      <c r="I390" s="288">
        <v>44559.0</v>
      </c>
      <c r="J390" s="288">
        <v>44572.0</v>
      </c>
      <c r="K390" s="294"/>
      <c r="L390" s="294"/>
      <c r="M390" s="290" t="s">
        <v>7374</v>
      </c>
      <c r="N390" s="285" t="s">
        <v>4635</v>
      </c>
      <c r="O390" s="286" t="s">
        <v>2621</v>
      </c>
      <c r="P390" s="300">
        <v>56844.36</v>
      </c>
      <c r="Q390" s="213"/>
      <c r="R390" s="198"/>
      <c r="S390" s="198"/>
      <c r="T390" s="198"/>
      <c r="U390" s="198"/>
      <c r="V390" s="198"/>
      <c r="W390" s="198"/>
      <c r="X390" s="198"/>
      <c r="Y390" s="198"/>
      <c r="Z390" s="198"/>
      <c r="AA390" s="198"/>
    </row>
    <row r="391" ht="54.0" customHeight="1">
      <c r="A391" s="284">
        <v>36152.0</v>
      </c>
      <c r="B391" s="285" t="s">
        <v>715</v>
      </c>
      <c r="C391" s="285">
        <v>930.0</v>
      </c>
      <c r="D391" s="285" t="s">
        <v>7375</v>
      </c>
      <c r="E391" s="287" t="s">
        <v>6332</v>
      </c>
      <c r="F391" s="285" t="s">
        <v>5919</v>
      </c>
      <c r="G391" s="288">
        <v>44565.0</v>
      </c>
      <c r="H391" s="372">
        <v>44918.0</v>
      </c>
      <c r="I391" s="372">
        <v>44918.0</v>
      </c>
      <c r="J391" s="288">
        <v>44578.0</v>
      </c>
      <c r="K391" s="294"/>
      <c r="L391" s="294"/>
      <c r="M391" s="290" t="s">
        <v>7376</v>
      </c>
      <c r="N391" s="285" t="s">
        <v>4635</v>
      </c>
      <c r="O391" s="286" t="s">
        <v>2621</v>
      </c>
      <c r="P391" s="300">
        <v>64012.2</v>
      </c>
      <c r="Q391" s="213"/>
      <c r="R391" s="198"/>
      <c r="S391" s="198"/>
      <c r="T391" s="198"/>
      <c r="U391" s="198"/>
      <c r="V391" s="198"/>
      <c r="W391" s="198"/>
      <c r="X391" s="198"/>
      <c r="Y391" s="198"/>
      <c r="Z391" s="198"/>
      <c r="AA391" s="198"/>
    </row>
    <row r="392" ht="54.0" customHeight="1">
      <c r="A392" s="284">
        <v>35635.0</v>
      </c>
      <c r="B392" s="285" t="s">
        <v>21</v>
      </c>
      <c r="C392" s="299">
        <v>1670.0</v>
      </c>
      <c r="D392" s="285" t="s">
        <v>7377</v>
      </c>
      <c r="E392" s="287" t="s">
        <v>3812</v>
      </c>
      <c r="F392" s="285" t="s">
        <v>5919</v>
      </c>
      <c r="G392" s="288">
        <v>44563.0</v>
      </c>
      <c r="H392" s="372">
        <v>44567.0</v>
      </c>
      <c r="I392" s="372">
        <v>44567.0</v>
      </c>
      <c r="J392" s="288">
        <v>44585.0</v>
      </c>
      <c r="K392" s="294"/>
      <c r="L392" s="294"/>
      <c r="M392" s="290" t="s">
        <v>7378</v>
      </c>
      <c r="N392" s="285" t="s">
        <v>497</v>
      </c>
      <c r="O392" s="286" t="s">
        <v>4662</v>
      </c>
      <c r="P392" s="300">
        <v>93852.46</v>
      </c>
      <c r="Q392" s="435"/>
      <c r="R392" s="198"/>
      <c r="S392" s="198"/>
      <c r="T392" s="198"/>
      <c r="U392" s="198"/>
      <c r="V392" s="198"/>
      <c r="W392" s="198"/>
      <c r="X392" s="198"/>
      <c r="Y392" s="198"/>
      <c r="Z392" s="198"/>
      <c r="AA392" s="198"/>
    </row>
    <row r="393" ht="58.5" customHeight="1">
      <c r="A393" s="284">
        <v>36168.0</v>
      </c>
      <c r="B393" s="285" t="s">
        <v>25</v>
      </c>
      <c r="C393" s="299">
        <v>1680.0</v>
      </c>
      <c r="D393" s="285" t="s">
        <v>7379</v>
      </c>
      <c r="E393" s="287" t="s">
        <v>4699</v>
      </c>
      <c r="F393" s="285" t="s">
        <v>5919</v>
      </c>
      <c r="G393" s="288">
        <v>44563.0</v>
      </c>
      <c r="H393" s="372">
        <v>44559.0</v>
      </c>
      <c r="I393" s="372">
        <v>44559.0</v>
      </c>
      <c r="J393" s="288">
        <v>44574.0</v>
      </c>
      <c r="K393" s="294"/>
      <c r="L393" s="294"/>
      <c r="M393" s="290" t="s">
        <v>7380</v>
      </c>
      <c r="N393" s="285" t="s">
        <v>4635</v>
      </c>
      <c r="O393" s="286" t="s">
        <v>2621</v>
      </c>
      <c r="P393" s="300">
        <v>45629.6</v>
      </c>
      <c r="Q393" s="435"/>
      <c r="R393" s="198"/>
      <c r="S393" s="198"/>
      <c r="T393" s="198"/>
      <c r="U393" s="198"/>
      <c r="V393" s="198"/>
      <c r="W393" s="198"/>
      <c r="X393" s="198"/>
      <c r="Y393" s="198"/>
      <c r="Z393" s="198"/>
      <c r="AA393" s="198"/>
    </row>
    <row r="394" ht="54.0" customHeight="1">
      <c r="A394" s="284">
        <v>36170.0</v>
      </c>
      <c r="B394" s="285" t="s">
        <v>715</v>
      </c>
      <c r="C394" s="285">
        <v>1900.0</v>
      </c>
      <c r="D394" s="285" t="s">
        <v>7381</v>
      </c>
      <c r="E394" s="287" t="s">
        <v>4676</v>
      </c>
      <c r="F394" s="285" t="s">
        <v>5919</v>
      </c>
      <c r="G394" s="372">
        <v>44559.0</v>
      </c>
      <c r="H394" s="288">
        <v>44553.0</v>
      </c>
      <c r="I394" s="288">
        <v>44918.0</v>
      </c>
      <c r="J394" s="299" t="s">
        <v>7382</v>
      </c>
      <c r="K394" s="294"/>
      <c r="L394" s="294"/>
      <c r="M394" s="290" t="s">
        <v>7383</v>
      </c>
      <c r="N394" s="285" t="s">
        <v>4635</v>
      </c>
      <c r="O394" s="286" t="s">
        <v>2621</v>
      </c>
      <c r="P394" s="300">
        <v>110599.0</v>
      </c>
      <c r="Q394" s="435"/>
      <c r="R394" s="198"/>
      <c r="S394" s="198"/>
      <c r="T394" s="198"/>
      <c r="U394" s="198"/>
      <c r="V394" s="198"/>
      <c r="W394" s="198"/>
      <c r="X394" s="198"/>
      <c r="Y394" s="198"/>
      <c r="Z394" s="198"/>
      <c r="AA394" s="198"/>
    </row>
    <row r="395" ht="59.25" customHeight="1">
      <c r="A395" s="284">
        <v>36204.0</v>
      </c>
      <c r="B395" s="285" t="s">
        <v>21</v>
      </c>
      <c r="C395" s="299">
        <v>1235.0</v>
      </c>
      <c r="D395" s="285" t="s">
        <v>7384</v>
      </c>
      <c r="E395" s="287" t="s">
        <v>7385</v>
      </c>
      <c r="F395" s="285" t="s">
        <v>5919</v>
      </c>
      <c r="G395" s="288">
        <v>44558.0</v>
      </c>
      <c r="H395" s="288">
        <v>44550.0</v>
      </c>
      <c r="I395" s="288">
        <v>44550.0</v>
      </c>
      <c r="J395" s="288">
        <v>44575.0</v>
      </c>
      <c r="K395" s="294"/>
      <c r="L395" s="294"/>
      <c r="M395" s="290" t="s">
        <v>7386</v>
      </c>
      <c r="N395" s="285" t="s">
        <v>4635</v>
      </c>
      <c r="O395" s="286" t="s">
        <v>2621</v>
      </c>
      <c r="P395" s="300">
        <v>59646.13</v>
      </c>
      <c r="Q395" s="213"/>
      <c r="R395" s="198"/>
      <c r="S395" s="198"/>
      <c r="T395" s="198"/>
      <c r="U395" s="198"/>
      <c r="V395" s="198"/>
      <c r="W395" s="198"/>
      <c r="X395" s="198"/>
      <c r="Y395" s="198"/>
      <c r="Z395" s="198"/>
      <c r="AA395" s="198"/>
    </row>
    <row r="396" ht="55.5" customHeight="1">
      <c r="A396" s="284">
        <v>36203.0</v>
      </c>
      <c r="B396" s="285" t="s">
        <v>21</v>
      </c>
      <c r="C396" s="299">
        <v>930.0</v>
      </c>
      <c r="D396" s="285" t="s">
        <v>7387</v>
      </c>
      <c r="E396" s="287" t="s">
        <v>6332</v>
      </c>
      <c r="F396" s="285" t="s">
        <v>5919</v>
      </c>
      <c r="G396" s="288">
        <v>44558.0</v>
      </c>
      <c r="H396" s="288">
        <v>44547.0</v>
      </c>
      <c r="I396" s="288">
        <v>44547.0</v>
      </c>
      <c r="J396" s="288">
        <v>44566.0</v>
      </c>
      <c r="K396" s="294"/>
      <c r="L396" s="294"/>
      <c r="M396" s="290" t="s">
        <v>7388</v>
      </c>
      <c r="N396" s="285" t="s">
        <v>4635</v>
      </c>
      <c r="O396" s="286" t="s">
        <v>2621</v>
      </c>
      <c r="P396" s="300">
        <v>61149.6</v>
      </c>
      <c r="Q396" s="213"/>
      <c r="R396" s="198"/>
      <c r="S396" s="198"/>
      <c r="T396" s="198"/>
      <c r="U396" s="198"/>
      <c r="V396" s="198"/>
      <c r="W396" s="198"/>
      <c r="X396" s="198"/>
      <c r="Y396" s="198"/>
      <c r="Z396" s="198"/>
      <c r="AA396" s="198"/>
    </row>
    <row r="397" ht="54.0" customHeight="1">
      <c r="A397" s="284">
        <v>36214.0</v>
      </c>
      <c r="B397" s="285" t="s">
        <v>25</v>
      </c>
      <c r="C397" s="299">
        <v>1200.0</v>
      </c>
      <c r="D397" s="285" t="s">
        <v>7389</v>
      </c>
      <c r="E397" s="287" t="s">
        <v>7390</v>
      </c>
      <c r="F397" s="285" t="s">
        <v>5919</v>
      </c>
      <c r="G397" s="372">
        <v>44554.0</v>
      </c>
      <c r="H397" s="372">
        <v>44547.0</v>
      </c>
      <c r="I397" s="372">
        <v>44547.0</v>
      </c>
      <c r="J397" s="372">
        <v>44581.0</v>
      </c>
      <c r="K397" s="294"/>
      <c r="L397" s="294"/>
      <c r="M397" s="290" t="s">
        <v>7391</v>
      </c>
      <c r="N397" s="285" t="s">
        <v>497</v>
      </c>
      <c r="O397" s="286" t="s">
        <v>2621</v>
      </c>
      <c r="P397" s="300">
        <v>37956.0</v>
      </c>
      <c r="Q397" s="213"/>
      <c r="R397" s="198"/>
      <c r="S397" s="198"/>
      <c r="T397" s="198"/>
      <c r="U397" s="198"/>
      <c r="V397" s="198"/>
      <c r="W397" s="198"/>
      <c r="X397" s="198"/>
      <c r="Y397" s="198"/>
      <c r="Z397" s="198"/>
      <c r="AA397" s="198"/>
    </row>
    <row r="398" ht="56.25" customHeight="1">
      <c r="A398" s="284">
        <v>36083.0</v>
      </c>
      <c r="B398" s="285" t="s">
        <v>25</v>
      </c>
      <c r="C398" s="299">
        <v>930.0</v>
      </c>
      <c r="D398" s="285" t="s">
        <v>7392</v>
      </c>
      <c r="E398" s="287" t="s">
        <v>4295</v>
      </c>
      <c r="F398" s="285" t="s">
        <v>5919</v>
      </c>
      <c r="G398" s="288">
        <v>44542.0</v>
      </c>
      <c r="H398" s="288">
        <v>44542.0</v>
      </c>
      <c r="I398" s="288">
        <v>44571.0</v>
      </c>
      <c r="J398" s="288">
        <v>44573.0</v>
      </c>
      <c r="K398" s="294"/>
      <c r="L398" s="294"/>
      <c r="M398" s="290" t="s">
        <v>7393</v>
      </c>
      <c r="N398" s="285" t="s">
        <v>4635</v>
      </c>
      <c r="O398" s="286" t="s">
        <v>2621</v>
      </c>
      <c r="P398" s="300">
        <v>60109.6</v>
      </c>
      <c r="Q398" s="435"/>
      <c r="R398" s="198"/>
      <c r="S398" s="198"/>
      <c r="T398" s="198"/>
      <c r="U398" s="198"/>
      <c r="V398" s="198"/>
      <c r="W398" s="198"/>
      <c r="X398" s="198"/>
      <c r="Y398" s="198"/>
      <c r="Z398" s="198"/>
      <c r="AA398" s="198"/>
    </row>
    <row r="399" ht="68.25" customHeight="1">
      <c r="A399" s="284">
        <v>36141.0</v>
      </c>
      <c r="B399" s="285" t="s">
        <v>25</v>
      </c>
      <c r="C399" s="299">
        <v>403.0</v>
      </c>
      <c r="D399" s="371" t="s">
        <v>7394</v>
      </c>
      <c r="E399" s="287" t="s">
        <v>7395</v>
      </c>
      <c r="F399" s="285" t="s">
        <v>5919</v>
      </c>
      <c r="G399" s="288">
        <v>44518.0</v>
      </c>
      <c r="H399" s="288">
        <v>44519.0</v>
      </c>
      <c r="I399" s="288">
        <v>44519.0</v>
      </c>
      <c r="J399" s="285" t="s">
        <v>7396</v>
      </c>
      <c r="K399" s="285"/>
      <c r="L399" s="285"/>
      <c r="M399" s="290" t="s">
        <v>7397</v>
      </c>
      <c r="N399" s="285" t="s">
        <v>4635</v>
      </c>
      <c r="O399" s="286" t="s">
        <v>2621</v>
      </c>
      <c r="P399" s="300">
        <v>130174.59</v>
      </c>
      <c r="Q399" s="213"/>
      <c r="R399" s="198"/>
      <c r="S399" s="198"/>
      <c r="T399" s="198"/>
      <c r="U399" s="198"/>
      <c r="V399" s="198"/>
      <c r="W399" s="198"/>
      <c r="X399" s="198"/>
      <c r="Y399" s="198"/>
      <c r="Z399" s="198"/>
      <c r="AA399" s="198"/>
    </row>
    <row r="400" ht="70.5" customHeight="1">
      <c r="A400" s="284">
        <v>35634.0</v>
      </c>
      <c r="B400" s="285" t="s">
        <v>21</v>
      </c>
      <c r="C400" s="299">
        <v>1720.0</v>
      </c>
      <c r="D400" s="285" t="s">
        <v>7398</v>
      </c>
      <c r="E400" s="287" t="s">
        <v>3812</v>
      </c>
      <c r="F400" s="285" t="s">
        <v>5919</v>
      </c>
      <c r="G400" s="288">
        <v>44206.0</v>
      </c>
      <c r="H400" s="288">
        <v>44550.0</v>
      </c>
      <c r="I400" s="288">
        <v>44550.0</v>
      </c>
      <c r="J400" s="288">
        <v>44571.0</v>
      </c>
      <c r="K400" s="285"/>
      <c r="L400" s="285"/>
      <c r="M400" s="290" t="s">
        <v>7399</v>
      </c>
      <c r="N400" s="285" t="s">
        <v>497</v>
      </c>
      <c r="O400" s="299" t="s">
        <v>4662</v>
      </c>
      <c r="P400" s="300">
        <v>100435.16</v>
      </c>
      <c r="Q400" s="435"/>
      <c r="R400" s="198"/>
      <c r="S400" s="198"/>
      <c r="T400" s="198"/>
      <c r="U400" s="198"/>
      <c r="V400" s="198"/>
      <c r="W400" s="198"/>
      <c r="X400" s="198"/>
      <c r="Y400" s="198"/>
      <c r="Z400" s="198"/>
      <c r="AA400" s="198"/>
    </row>
    <row r="401" ht="70.5" customHeight="1">
      <c r="A401" s="354"/>
      <c r="B401" s="328"/>
      <c r="C401" s="436"/>
      <c r="D401" s="328"/>
      <c r="E401" s="326"/>
      <c r="F401" s="328"/>
      <c r="G401" s="333"/>
      <c r="H401" s="333"/>
      <c r="I401" s="333"/>
      <c r="J401" s="333"/>
      <c r="K401" s="328"/>
      <c r="L401" s="328"/>
      <c r="M401" s="341"/>
      <c r="N401" s="328"/>
      <c r="O401" s="436"/>
      <c r="P401" s="437"/>
      <c r="Q401" s="438"/>
      <c r="R401" s="198"/>
      <c r="S401" s="198"/>
      <c r="T401" s="198"/>
      <c r="U401" s="198"/>
      <c r="V401" s="198"/>
      <c r="W401" s="198"/>
      <c r="X401" s="198"/>
      <c r="Y401" s="198"/>
      <c r="Z401" s="198"/>
      <c r="AA401" s="198"/>
    </row>
    <row r="402" ht="70.5" customHeight="1">
      <c r="A402" s="354"/>
      <c r="B402" s="328"/>
      <c r="C402" s="436"/>
      <c r="D402" s="328"/>
      <c r="E402" s="326"/>
      <c r="F402" s="328"/>
      <c r="G402" s="333"/>
      <c r="H402" s="333"/>
      <c r="I402" s="333"/>
      <c r="J402" s="333"/>
      <c r="K402" s="328"/>
      <c r="L402" s="328"/>
      <c r="M402" s="341"/>
      <c r="N402" s="328"/>
      <c r="O402" s="436"/>
      <c r="P402" s="437"/>
      <c r="Q402" s="438"/>
      <c r="R402" s="198"/>
      <c r="S402" s="198"/>
      <c r="T402" s="198"/>
      <c r="U402" s="198"/>
      <c r="V402" s="198"/>
      <c r="W402" s="198"/>
      <c r="X402" s="198"/>
      <c r="Y402" s="198"/>
      <c r="Z402" s="198"/>
      <c r="AA402" s="198"/>
    </row>
    <row r="403" ht="70.5" customHeight="1">
      <c r="A403" s="354"/>
      <c r="B403" s="328"/>
      <c r="C403" s="436"/>
      <c r="D403" s="328"/>
      <c r="E403" s="326"/>
      <c r="F403" s="328"/>
      <c r="G403" s="333"/>
      <c r="H403" s="333"/>
      <c r="I403" s="333"/>
      <c r="J403" s="333"/>
      <c r="K403" s="328"/>
      <c r="L403" s="328"/>
      <c r="M403" s="341"/>
      <c r="N403" s="328"/>
      <c r="O403" s="436"/>
      <c r="P403" s="437"/>
      <c r="Q403" s="438"/>
      <c r="R403" s="198"/>
      <c r="S403" s="198"/>
      <c r="T403" s="198"/>
      <c r="U403" s="198"/>
      <c r="V403" s="198"/>
      <c r="W403" s="198"/>
      <c r="X403" s="198"/>
      <c r="Y403" s="198"/>
      <c r="Z403" s="198"/>
      <c r="AA403" s="198"/>
    </row>
    <row r="404" ht="70.5" customHeight="1">
      <c r="A404" s="354"/>
      <c r="B404" s="328"/>
      <c r="C404" s="436"/>
      <c r="D404" s="328"/>
      <c r="E404" s="326"/>
      <c r="F404" s="328"/>
      <c r="G404" s="333"/>
      <c r="H404" s="333"/>
      <c r="I404" s="333"/>
      <c r="J404" s="333"/>
      <c r="K404" s="328"/>
      <c r="L404" s="328"/>
      <c r="M404" s="341"/>
      <c r="N404" s="328"/>
      <c r="O404" s="436"/>
      <c r="P404" s="437"/>
      <c r="Q404" s="438"/>
      <c r="R404" s="198"/>
      <c r="S404" s="198"/>
      <c r="T404" s="198"/>
      <c r="U404" s="198"/>
      <c r="V404" s="198"/>
      <c r="W404" s="198"/>
      <c r="X404" s="198"/>
      <c r="Y404" s="198"/>
      <c r="Z404" s="198"/>
      <c r="AA404" s="198"/>
    </row>
    <row r="405" ht="70.5" customHeight="1">
      <c r="A405" s="354"/>
      <c r="B405" s="328"/>
      <c r="C405" s="436"/>
      <c r="D405" s="328"/>
      <c r="E405" s="326"/>
      <c r="F405" s="328"/>
      <c r="G405" s="333"/>
      <c r="H405" s="333"/>
      <c r="I405" s="333"/>
      <c r="J405" s="333"/>
      <c r="K405" s="328"/>
      <c r="L405" s="328"/>
      <c r="M405" s="341"/>
      <c r="N405" s="328"/>
      <c r="O405" s="436"/>
      <c r="P405" s="437"/>
      <c r="Q405" s="438"/>
      <c r="R405" s="198"/>
      <c r="S405" s="198"/>
      <c r="T405" s="198"/>
      <c r="U405" s="198"/>
      <c r="V405" s="198"/>
      <c r="W405" s="198"/>
      <c r="X405" s="198"/>
      <c r="Y405" s="198"/>
      <c r="Z405" s="198"/>
      <c r="AA405" s="198"/>
    </row>
    <row r="406" ht="70.5" customHeight="1">
      <c r="A406" s="354"/>
      <c r="B406" s="328"/>
      <c r="C406" s="436"/>
      <c r="D406" s="328"/>
      <c r="E406" s="326"/>
      <c r="F406" s="328"/>
      <c r="G406" s="333"/>
      <c r="H406" s="333"/>
      <c r="I406" s="333"/>
      <c r="J406" s="333"/>
      <c r="K406" s="328"/>
      <c r="L406" s="328"/>
      <c r="M406" s="341"/>
      <c r="N406" s="328"/>
      <c r="O406" s="436"/>
      <c r="P406" s="437"/>
      <c r="Q406" s="438"/>
      <c r="R406" s="198"/>
      <c r="S406" s="198"/>
      <c r="T406" s="198"/>
      <c r="U406" s="198"/>
      <c r="V406" s="198"/>
      <c r="W406" s="198"/>
      <c r="X406" s="198"/>
      <c r="Y406" s="198"/>
      <c r="Z406" s="198"/>
      <c r="AA406" s="198"/>
    </row>
    <row r="407" ht="70.5" customHeight="1">
      <c r="A407" s="354"/>
      <c r="B407" s="328"/>
      <c r="C407" s="436"/>
      <c r="D407" s="328"/>
      <c r="E407" s="326"/>
      <c r="F407" s="328"/>
      <c r="G407" s="333"/>
      <c r="H407" s="333"/>
      <c r="I407" s="333"/>
      <c r="J407" s="333"/>
      <c r="K407" s="328"/>
      <c r="L407" s="328"/>
      <c r="M407" s="341"/>
      <c r="N407" s="328"/>
      <c r="O407" s="436"/>
      <c r="P407" s="437"/>
      <c r="Q407" s="438"/>
      <c r="R407" s="198"/>
      <c r="S407" s="198"/>
      <c r="T407" s="198"/>
      <c r="U407" s="198"/>
      <c r="V407" s="198"/>
      <c r="W407" s="198"/>
      <c r="X407" s="198"/>
      <c r="Y407" s="198"/>
      <c r="Z407" s="198"/>
      <c r="AA407" s="198"/>
    </row>
    <row r="408" ht="70.5" customHeight="1">
      <c r="A408" s="354"/>
      <c r="B408" s="328"/>
      <c r="C408" s="436"/>
      <c r="D408" s="328"/>
      <c r="E408" s="326"/>
      <c r="F408" s="328"/>
      <c r="G408" s="333"/>
      <c r="H408" s="333"/>
      <c r="I408" s="333"/>
      <c r="J408" s="333"/>
      <c r="K408" s="328"/>
      <c r="L408" s="328"/>
      <c r="M408" s="341"/>
      <c r="N408" s="328"/>
      <c r="O408" s="436"/>
      <c r="P408" s="437"/>
      <c r="Q408" s="438"/>
      <c r="R408" s="198"/>
      <c r="S408" s="198"/>
      <c r="T408" s="198"/>
      <c r="U408" s="198"/>
      <c r="V408" s="198"/>
      <c r="W408" s="198"/>
      <c r="X408" s="198"/>
      <c r="Y408" s="198"/>
      <c r="Z408" s="198"/>
      <c r="AA408" s="198"/>
    </row>
    <row r="409" ht="70.5" customHeight="1">
      <c r="A409" s="354"/>
      <c r="B409" s="328"/>
      <c r="C409" s="436"/>
      <c r="D409" s="328"/>
      <c r="E409" s="326"/>
      <c r="F409" s="328"/>
      <c r="G409" s="333"/>
      <c r="H409" s="333"/>
      <c r="I409" s="333"/>
      <c r="J409" s="333"/>
      <c r="K409" s="328"/>
      <c r="L409" s="328"/>
      <c r="M409" s="341"/>
      <c r="N409" s="328"/>
      <c r="O409" s="436"/>
      <c r="P409" s="437"/>
      <c r="Q409" s="438"/>
      <c r="R409" s="198"/>
      <c r="S409" s="198"/>
      <c r="T409" s="198"/>
      <c r="U409" s="198"/>
      <c r="V409" s="198"/>
      <c r="W409" s="198"/>
      <c r="X409" s="198"/>
      <c r="Y409" s="198"/>
      <c r="Z409" s="198"/>
      <c r="AA409" s="198"/>
    </row>
    <row r="410" ht="70.5" customHeight="1">
      <c r="A410" s="354"/>
      <c r="B410" s="328"/>
      <c r="C410" s="436"/>
      <c r="D410" s="328"/>
      <c r="E410" s="326"/>
      <c r="F410" s="328"/>
      <c r="G410" s="333"/>
      <c r="H410" s="333"/>
      <c r="I410" s="333"/>
      <c r="J410" s="333"/>
      <c r="K410" s="328"/>
      <c r="L410" s="328"/>
      <c r="M410" s="341"/>
      <c r="N410" s="328"/>
      <c r="O410" s="436"/>
      <c r="P410" s="437"/>
      <c r="Q410" s="438"/>
      <c r="R410" s="198"/>
      <c r="S410" s="198"/>
      <c r="T410" s="198"/>
      <c r="U410" s="198"/>
      <c r="V410" s="198"/>
      <c r="W410" s="198"/>
      <c r="X410" s="198"/>
      <c r="Y410" s="198"/>
      <c r="Z410" s="198"/>
      <c r="AA410" s="198"/>
    </row>
    <row r="411" ht="70.5" customHeight="1">
      <c r="A411" s="354"/>
      <c r="B411" s="328"/>
      <c r="C411" s="436"/>
      <c r="D411" s="328"/>
      <c r="E411" s="326"/>
      <c r="F411" s="328"/>
      <c r="G411" s="333"/>
      <c r="H411" s="333"/>
      <c r="I411" s="333"/>
      <c r="J411" s="333"/>
      <c r="K411" s="328"/>
      <c r="L411" s="328"/>
      <c r="M411" s="341"/>
      <c r="N411" s="328"/>
      <c r="O411" s="436"/>
      <c r="P411" s="437"/>
      <c r="Q411" s="438"/>
      <c r="R411" s="198"/>
      <c r="S411" s="198"/>
      <c r="T411" s="198"/>
      <c r="U411" s="198"/>
      <c r="V411" s="198"/>
      <c r="W411" s="198"/>
      <c r="X411" s="198"/>
      <c r="Y411" s="198"/>
      <c r="Z411" s="198"/>
      <c r="AA411" s="198"/>
    </row>
    <row r="412" ht="70.5" customHeight="1">
      <c r="A412" s="354"/>
      <c r="B412" s="328"/>
      <c r="C412" s="436"/>
      <c r="D412" s="328"/>
      <c r="E412" s="326"/>
      <c r="F412" s="328"/>
      <c r="G412" s="333"/>
      <c r="H412" s="333"/>
      <c r="I412" s="333"/>
      <c r="J412" s="333"/>
      <c r="K412" s="328"/>
      <c r="L412" s="328"/>
      <c r="M412" s="341"/>
      <c r="N412" s="328"/>
      <c r="O412" s="436"/>
      <c r="P412" s="437"/>
      <c r="Q412" s="438"/>
      <c r="R412" s="198"/>
      <c r="S412" s="198"/>
      <c r="T412" s="198"/>
      <c r="U412" s="198"/>
      <c r="V412" s="198"/>
      <c r="W412" s="198"/>
      <c r="X412" s="198"/>
      <c r="Y412" s="198"/>
      <c r="Z412" s="198"/>
      <c r="AA412" s="198"/>
    </row>
    <row r="413" ht="70.5" customHeight="1">
      <c r="A413" s="354"/>
      <c r="B413" s="328"/>
      <c r="C413" s="436"/>
      <c r="D413" s="328"/>
      <c r="E413" s="326"/>
      <c r="F413" s="328"/>
      <c r="G413" s="333"/>
      <c r="H413" s="333"/>
      <c r="I413" s="333"/>
      <c r="J413" s="333"/>
      <c r="K413" s="328"/>
      <c r="L413" s="328"/>
      <c r="M413" s="341"/>
      <c r="N413" s="328"/>
      <c r="O413" s="436"/>
      <c r="P413" s="437"/>
      <c r="Q413" s="438"/>
      <c r="R413" s="198"/>
      <c r="S413" s="198"/>
      <c r="T413" s="198"/>
      <c r="U413" s="198"/>
      <c r="V413" s="198"/>
      <c r="W413" s="198"/>
      <c r="X413" s="198"/>
      <c r="Y413" s="198"/>
      <c r="Z413" s="198"/>
      <c r="AA413" s="198"/>
    </row>
    <row r="414" ht="70.5" customHeight="1">
      <c r="A414" s="354"/>
      <c r="B414" s="328"/>
      <c r="C414" s="436"/>
      <c r="D414" s="328"/>
      <c r="E414" s="326"/>
      <c r="F414" s="328"/>
      <c r="G414" s="333"/>
      <c r="H414" s="333"/>
      <c r="I414" s="333"/>
      <c r="J414" s="333"/>
      <c r="K414" s="328"/>
      <c r="L414" s="328"/>
      <c r="M414" s="341"/>
      <c r="N414" s="328"/>
      <c r="O414" s="436"/>
      <c r="P414" s="437"/>
      <c r="Q414" s="438"/>
      <c r="R414" s="198"/>
      <c r="S414" s="198"/>
      <c r="T414" s="198"/>
      <c r="U414" s="198"/>
      <c r="V414" s="198"/>
      <c r="W414" s="198"/>
      <c r="X414" s="198"/>
      <c r="Y414" s="198"/>
      <c r="Z414" s="198"/>
      <c r="AA414" s="198"/>
    </row>
    <row r="415" ht="70.5" customHeight="1">
      <c r="A415" s="354"/>
      <c r="B415" s="328"/>
      <c r="C415" s="436"/>
      <c r="D415" s="328"/>
      <c r="E415" s="326"/>
      <c r="F415" s="328"/>
      <c r="G415" s="333"/>
      <c r="H415" s="333"/>
      <c r="I415" s="333"/>
      <c r="J415" s="333"/>
      <c r="K415" s="328"/>
      <c r="L415" s="328"/>
      <c r="M415" s="341"/>
      <c r="N415" s="328"/>
      <c r="O415" s="436"/>
      <c r="P415" s="437"/>
      <c r="Q415" s="438"/>
      <c r="R415" s="198"/>
      <c r="S415" s="198"/>
      <c r="T415" s="198"/>
      <c r="U415" s="198"/>
      <c r="V415" s="198"/>
      <c r="W415" s="198"/>
      <c r="X415" s="198"/>
      <c r="Y415" s="198"/>
      <c r="Z415" s="198"/>
      <c r="AA415" s="198"/>
    </row>
    <row r="416" ht="70.5" customHeight="1">
      <c r="A416" s="354"/>
      <c r="B416" s="328"/>
      <c r="C416" s="436"/>
      <c r="D416" s="328"/>
      <c r="E416" s="326"/>
      <c r="F416" s="328"/>
      <c r="G416" s="333"/>
      <c r="H416" s="333"/>
      <c r="I416" s="333"/>
      <c r="J416" s="333"/>
      <c r="K416" s="328"/>
      <c r="L416" s="328"/>
      <c r="M416" s="341"/>
      <c r="N416" s="328"/>
      <c r="O416" s="436"/>
      <c r="P416" s="437"/>
      <c r="Q416" s="438"/>
      <c r="R416" s="198"/>
      <c r="S416" s="198"/>
      <c r="T416" s="198"/>
      <c r="U416" s="198"/>
      <c r="V416" s="198"/>
      <c r="W416" s="198"/>
      <c r="X416" s="198"/>
      <c r="Y416" s="198"/>
      <c r="Z416" s="198"/>
      <c r="AA416" s="198"/>
    </row>
    <row r="417" ht="70.5" customHeight="1">
      <c r="A417" s="354"/>
      <c r="B417" s="328"/>
      <c r="C417" s="436"/>
      <c r="D417" s="328"/>
      <c r="E417" s="326"/>
      <c r="F417" s="328"/>
      <c r="G417" s="333"/>
      <c r="H417" s="333"/>
      <c r="I417" s="333"/>
      <c r="J417" s="333"/>
      <c r="K417" s="328"/>
      <c r="L417" s="328"/>
      <c r="M417" s="341"/>
      <c r="N417" s="328"/>
      <c r="O417" s="436"/>
      <c r="P417" s="437"/>
      <c r="Q417" s="438"/>
      <c r="R417" s="198"/>
      <c r="S417" s="198"/>
      <c r="T417" s="198"/>
      <c r="U417" s="198"/>
      <c r="V417" s="198"/>
      <c r="W417" s="198"/>
      <c r="X417" s="198"/>
      <c r="Y417" s="198"/>
      <c r="Z417" s="198"/>
      <c r="AA417" s="198"/>
    </row>
    <row r="418" ht="70.5" customHeight="1">
      <c r="A418" s="354"/>
      <c r="B418" s="328"/>
      <c r="C418" s="436"/>
      <c r="D418" s="328"/>
      <c r="E418" s="326"/>
      <c r="F418" s="328"/>
      <c r="G418" s="333"/>
      <c r="H418" s="333"/>
      <c r="I418" s="333"/>
      <c r="J418" s="333"/>
      <c r="K418" s="328"/>
      <c r="L418" s="328"/>
      <c r="M418" s="341"/>
      <c r="N418" s="328"/>
      <c r="O418" s="436"/>
      <c r="P418" s="437"/>
      <c r="Q418" s="438"/>
      <c r="R418" s="198"/>
      <c r="S418" s="198"/>
      <c r="T418" s="198"/>
      <c r="U418" s="198"/>
      <c r="V418" s="198"/>
      <c r="W418" s="198"/>
      <c r="X418" s="198"/>
      <c r="Y418" s="198"/>
      <c r="Z418" s="198"/>
      <c r="AA418" s="198"/>
    </row>
    <row r="419" ht="70.5" customHeight="1">
      <c r="A419" s="354"/>
      <c r="B419" s="328"/>
      <c r="C419" s="436"/>
      <c r="D419" s="328"/>
      <c r="E419" s="326"/>
      <c r="F419" s="328"/>
      <c r="G419" s="333"/>
      <c r="H419" s="333"/>
      <c r="I419" s="333"/>
      <c r="J419" s="333"/>
      <c r="K419" s="328"/>
      <c r="L419" s="328"/>
      <c r="M419" s="341"/>
      <c r="N419" s="328"/>
      <c r="O419" s="436"/>
      <c r="P419" s="437"/>
      <c r="Q419" s="438"/>
      <c r="R419" s="198"/>
      <c r="S419" s="198"/>
      <c r="T419" s="198"/>
      <c r="U419" s="198"/>
      <c r="V419" s="198"/>
      <c r="W419" s="198"/>
      <c r="X419" s="198"/>
      <c r="Y419" s="198"/>
      <c r="Z419" s="198"/>
      <c r="AA419" s="198"/>
    </row>
    <row r="420" ht="70.5" customHeight="1">
      <c r="A420" s="354"/>
      <c r="B420" s="328"/>
      <c r="C420" s="436"/>
      <c r="D420" s="328"/>
      <c r="E420" s="326"/>
      <c r="F420" s="328"/>
      <c r="G420" s="333"/>
      <c r="H420" s="333"/>
      <c r="I420" s="333"/>
      <c r="J420" s="333"/>
      <c r="K420" s="328"/>
      <c r="L420" s="328"/>
      <c r="M420" s="341"/>
      <c r="N420" s="328"/>
      <c r="O420" s="436"/>
      <c r="P420" s="437"/>
      <c r="Q420" s="438"/>
      <c r="R420" s="198"/>
      <c r="S420" s="198"/>
      <c r="T420" s="198"/>
      <c r="U420" s="198"/>
      <c r="V420" s="198"/>
      <c r="W420" s="198"/>
      <c r="X420" s="198"/>
      <c r="Y420" s="198"/>
      <c r="Z420" s="198"/>
      <c r="AA420" s="198"/>
    </row>
    <row r="421" ht="70.5" customHeight="1">
      <c r="A421" s="354"/>
      <c r="B421" s="328"/>
      <c r="C421" s="436"/>
      <c r="D421" s="328"/>
      <c r="E421" s="326"/>
      <c r="F421" s="328"/>
      <c r="G421" s="333"/>
      <c r="H421" s="333"/>
      <c r="I421" s="333"/>
      <c r="J421" s="333"/>
      <c r="K421" s="328"/>
      <c r="L421" s="328"/>
      <c r="M421" s="341"/>
      <c r="N421" s="328"/>
      <c r="O421" s="436"/>
      <c r="P421" s="437"/>
      <c r="Q421" s="438"/>
      <c r="R421" s="198"/>
      <c r="S421" s="198"/>
      <c r="T421" s="198"/>
      <c r="U421" s="198"/>
      <c r="V421" s="198"/>
      <c r="W421" s="198"/>
      <c r="X421" s="198"/>
      <c r="Y421" s="198"/>
      <c r="Z421" s="198"/>
      <c r="AA421" s="198"/>
    </row>
    <row r="422" ht="70.5" customHeight="1">
      <c r="A422" s="354"/>
      <c r="B422" s="328"/>
      <c r="C422" s="436"/>
      <c r="D422" s="328"/>
      <c r="E422" s="326"/>
      <c r="F422" s="328"/>
      <c r="G422" s="333"/>
      <c r="H422" s="333"/>
      <c r="I422" s="333"/>
      <c r="J422" s="333"/>
      <c r="K422" s="328"/>
      <c r="L422" s="328"/>
      <c r="M422" s="341"/>
      <c r="N422" s="328"/>
      <c r="O422" s="436"/>
      <c r="P422" s="437"/>
      <c r="Q422" s="438"/>
      <c r="R422" s="198"/>
      <c r="S422" s="198"/>
      <c r="T422" s="198"/>
      <c r="U422" s="198"/>
      <c r="V422" s="198"/>
      <c r="W422" s="198"/>
      <c r="X422" s="198"/>
      <c r="Y422" s="198"/>
      <c r="Z422" s="198"/>
      <c r="AA422" s="198"/>
    </row>
    <row r="423" ht="70.5" customHeight="1">
      <c r="A423" s="354"/>
      <c r="B423" s="328"/>
      <c r="C423" s="436"/>
      <c r="D423" s="328"/>
      <c r="E423" s="326"/>
      <c r="F423" s="328"/>
      <c r="G423" s="333"/>
      <c r="H423" s="333"/>
      <c r="I423" s="333"/>
      <c r="J423" s="333"/>
      <c r="K423" s="328"/>
      <c r="L423" s="328"/>
      <c r="M423" s="341"/>
      <c r="N423" s="328"/>
      <c r="O423" s="436"/>
      <c r="P423" s="437"/>
      <c r="Q423" s="438"/>
      <c r="R423" s="198"/>
      <c r="S423" s="198"/>
      <c r="T423" s="198"/>
      <c r="U423" s="198"/>
      <c r="V423" s="198"/>
      <c r="W423" s="198"/>
      <c r="X423" s="198"/>
      <c r="Y423" s="198"/>
      <c r="Z423" s="198"/>
      <c r="AA423" s="198"/>
    </row>
    <row r="424" ht="70.5" customHeight="1">
      <c r="A424" s="354"/>
      <c r="B424" s="328"/>
      <c r="C424" s="436"/>
      <c r="D424" s="328"/>
      <c r="E424" s="326"/>
      <c r="F424" s="328"/>
      <c r="G424" s="333"/>
      <c r="H424" s="333"/>
      <c r="I424" s="333"/>
      <c r="J424" s="333"/>
      <c r="K424" s="328"/>
      <c r="L424" s="328"/>
      <c r="M424" s="341"/>
      <c r="N424" s="328"/>
      <c r="O424" s="436"/>
      <c r="P424" s="437"/>
      <c r="Q424" s="438"/>
      <c r="R424" s="198"/>
      <c r="S424" s="198"/>
      <c r="T424" s="198"/>
      <c r="U424" s="198"/>
      <c r="V424" s="198"/>
      <c r="W424" s="198"/>
      <c r="X424" s="198"/>
      <c r="Y424" s="198"/>
      <c r="Z424" s="198"/>
      <c r="AA424" s="198"/>
    </row>
    <row r="425" ht="70.5" customHeight="1">
      <c r="A425" s="354"/>
      <c r="B425" s="328"/>
      <c r="C425" s="436"/>
      <c r="D425" s="328"/>
      <c r="E425" s="326"/>
      <c r="F425" s="328"/>
      <c r="G425" s="333"/>
      <c r="H425" s="333"/>
      <c r="I425" s="333"/>
      <c r="J425" s="333"/>
      <c r="K425" s="328"/>
      <c r="L425" s="328"/>
      <c r="M425" s="341"/>
      <c r="N425" s="328"/>
      <c r="O425" s="436"/>
      <c r="P425" s="437"/>
      <c r="Q425" s="438"/>
      <c r="R425" s="198"/>
      <c r="S425" s="198"/>
      <c r="T425" s="198"/>
      <c r="U425" s="198"/>
      <c r="V425" s="198"/>
      <c r="W425" s="198"/>
      <c r="X425" s="198"/>
      <c r="Y425" s="198"/>
      <c r="Z425" s="198"/>
      <c r="AA425" s="198"/>
    </row>
    <row r="426" ht="70.5" customHeight="1">
      <c r="A426" s="354"/>
      <c r="B426" s="328"/>
      <c r="C426" s="436"/>
      <c r="D426" s="328"/>
      <c r="E426" s="326"/>
      <c r="F426" s="328"/>
      <c r="G426" s="333"/>
      <c r="H426" s="333"/>
      <c r="I426" s="333"/>
      <c r="J426" s="333"/>
      <c r="K426" s="328"/>
      <c r="L426" s="328"/>
      <c r="M426" s="341"/>
      <c r="N426" s="328"/>
      <c r="O426" s="436"/>
      <c r="P426" s="437"/>
      <c r="Q426" s="438"/>
      <c r="R426" s="198"/>
      <c r="S426" s="198"/>
      <c r="T426" s="198"/>
      <c r="U426" s="198"/>
      <c r="V426" s="198"/>
      <c r="W426" s="198"/>
      <c r="X426" s="198"/>
      <c r="Y426" s="198"/>
      <c r="Z426" s="198"/>
      <c r="AA426" s="198"/>
    </row>
    <row r="427" ht="70.5" customHeight="1">
      <c r="A427" s="354"/>
      <c r="B427" s="328"/>
      <c r="C427" s="436"/>
      <c r="D427" s="328"/>
      <c r="E427" s="326"/>
      <c r="F427" s="328"/>
      <c r="G427" s="333"/>
      <c r="H427" s="333"/>
      <c r="I427" s="333"/>
      <c r="J427" s="333"/>
      <c r="K427" s="328"/>
      <c r="L427" s="328"/>
      <c r="M427" s="341"/>
      <c r="N427" s="328"/>
      <c r="O427" s="436"/>
      <c r="P427" s="437"/>
      <c r="Q427" s="438"/>
      <c r="R427" s="198"/>
      <c r="S427" s="198"/>
      <c r="T427" s="198"/>
      <c r="U427" s="198"/>
      <c r="V427" s="198"/>
      <c r="W427" s="198"/>
      <c r="X427" s="198"/>
      <c r="Y427" s="198"/>
      <c r="Z427" s="198"/>
      <c r="AA427" s="198"/>
    </row>
    <row r="428" ht="70.5" customHeight="1">
      <c r="A428" s="354"/>
      <c r="B428" s="328"/>
      <c r="C428" s="436"/>
      <c r="D428" s="328"/>
      <c r="E428" s="326"/>
      <c r="F428" s="328"/>
      <c r="G428" s="333"/>
      <c r="H428" s="333"/>
      <c r="I428" s="333"/>
      <c r="J428" s="333"/>
      <c r="K428" s="328"/>
      <c r="L428" s="328"/>
      <c r="M428" s="341"/>
      <c r="N428" s="328"/>
      <c r="O428" s="436"/>
      <c r="P428" s="437"/>
      <c r="Q428" s="438"/>
      <c r="R428" s="198"/>
      <c r="S428" s="198"/>
      <c r="T428" s="198"/>
      <c r="U428" s="198"/>
      <c r="V428" s="198"/>
      <c r="W428" s="198"/>
      <c r="X428" s="198"/>
      <c r="Y428" s="198"/>
      <c r="Z428" s="198"/>
      <c r="AA428" s="198"/>
    </row>
    <row r="429" ht="70.5" customHeight="1">
      <c r="A429" s="354"/>
      <c r="B429" s="328"/>
      <c r="C429" s="436"/>
      <c r="D429" s="328"/>
      <c r="E429" s="326"/>
      <c r="F429" s="328"/>
      <c r="G429" s="333"/>
      <c r="H429" s="333"/>
      <c r="I429" s="333"/>
      <c r="J429" s="333"/>
      <c r="K429" s="328"/>
      <c r="L429" s="328"/>
      <c r="M429" s="341"/>
      <c r="N429" s="328"/>
      <c r="O429" s="436"/>
      <c r="P429" s="437"/>
      <c r="Q429" s="438"/>
      <c r="R429" s="198"/>
      <c r="S429" s="198"/>
      <c r="T429" s="198"/>
      <c r="U429" s="198"/>
      <c r="V429" s="198"/>
      <c r="W429" s="198"/>
      <c r="X429" s="198"/>
      <c r="Y429" s="198"/>
      <c r="Z429" s="198"/>
      <c r="AA429" s="198"/>
    </row>
    <row r="430" ht="70.5" customHeight="1">
      <c r="A430" s="354"/>
      <c r="B430" s="328"/>
      <c r="C430" s="436"/>
      <c r="D430" s="328"/>
      <c r="E430" s="326"/>
      <c r="F430" s="328"/>
      <c r="G430" s="333"/>
      <c r="H430" s="333"/>
      <c r="I430" s="333"/>
      <c r="J430" s="333"/>
      <c r="K430" s="328"/>
      <c r="L430" s="328"/>
      <c r="M430" s="341"/>
      <c r="N430" s="328"/>
      <c r="O430" s="436"/>
      <c r="P430" s="437"/>
      <c r="Q430" s="438"/>
      <c r="R430" s="198"/>
      <c r="S430" s="198"/>
      <c r="T430" s="198"/>
      <c r="U430" s="198"/>
      <c r="V430" s="198"/>
      <c r="W430" s="198"/>
      <c r="X430" s="198"/>
      <c r="Y430" s="198"/>
      <c r="Z430" s="198"/>
      <c r="AA430" s="198"/>
    </row>
    <row r="431" ht="70.5" customHeight="1">
      <c r="A431" s="354"/>
      <c r="B431" s="328"/>
      <c r="C431" s="436"/>
      <c r="D431" s="328"/>
      <c r="E431" s="326"/>
      <c r="F431" s="328"/>
      <c r="G431" s="333"/>
      <c r="H431" s="333"/>
      <c r="I431" s="333"/>
      <c r="J431" s="333"/>
      <c r="K431" s="328"/>
      <c r="L431" s="328"/>
      <c r="M431" s="341"/>
      <c r="N431" s="328"/>
      <c r="O431" s="436"/>
      <c r="P431" s="437"/>
      <c r="Q431" s="438"/>
      <c r="R431" s="198"/>
      <c r="S431" s="198"/>
      <c r="T431" s="198"/>
      <c r="U431" s="198"/>
      <c r="V431" s="198"/>
      <c r="W431" s="198"/>
      <c r="X431" s="198"/>
      <c r="Y431" s="198"/>
      <c r="Z431" s="198"/>
      <c r="AA431" s="198"/>
    </row>
    <row r="432" ht="70.5" customHeight="1">
      <c r="A432" s="354"/>
      <c r="B432" s="328"/>
      <c r="C432" s="436"/>
      <c r="D432" s="328"/>
      <c r="E432" s="326"/>
      <c r="F432" s="328"/>
      <c r="G432" s="333"/>
      <c r="H432" s="333"/>
      <c r="I432" s="333"/>
      <c r="J432" s="333"/>
      <c r="K432" s="328"/>
      <c r="L432" s="328"/>
      <c r="M432" s="341"/>
      <c r="N432" s="328"/>
      <c r="O432" s="436"/>
      <c r="P432" s="437"/>
      <c r="Q432" s="438"/>
      <c r="R432" s="198"/>
      <c r="S432" s="198"/>
      <c r="T432" s="198"/>
      <c r="U432" s="198"/>
      <c r="V432" s="198"/>
      <c r="W432" s="198"/>
      <c r="X432" s="198"/>
      <c r="Y432" s="198"/>
      <c r="Z432" s="198"/>
      <c r="AA432" s="198"/>
    </row>
    <row r="433" ht="70.5" customHeight="1">
      <c r="A433" s="354"/>
      <c r="B433" s="328"/>
      <c r="C433" s="436"/>
      <c r="D433" s="328"/>
      <c r="E433" s="326"/>
      <c r="F433" s="328"/>
      <c r="G433" s="333"/>
      <c r="H433" s="333"/>
      <c r="I433" s="333"/>
      <c r="J433" s="333"/>
      <c r="K433" s="328"/>
      <c r="L433" s="328"/>
      <c r="M433" s="341"/>
      <c r="N433" s="328"/>
      <c r="O433" s="436"/>
      <c r="P433" s="437"/>
      <c r="Q433" s="438"/>
      <c r="R433" s="198"/>
      <c r="S433" s="198"/>
      <c r="T433" s="198"/>
      <c r="U433" s="198"/>
      <c r="V433" s="198"/>
      <c r="W433" s="198"/>
      <c r="X433" s="198"/>
      <c r="Y433" s="198"/>
      <c r="Z433" s="198"/>
      <c r="AA433" s="198"/>
    </row>
    <row r="434" ht="70.5" customHeight="1">
      <c r="A434" s="354"/>
      <c r="B434" s="328"/>
      <c r="C434" s="436"/>
      <c r="D434" s="328"/>
      <c r="E434" s="326"/>
      <c r="F434" s="328"/>
      <c r="G434" s="333"/>
      <c r="H434" s="333"/>
      <c r="I434" s="333"/>
      <c r="J434" s="333"/>
      <c r="K434" s="328"/>
      <c r="L434" s="328"/>
      <c r="M434" s="341"/>
      <c r="N434" s="328"/>
      <c r="O434" s="436"/>
      <c r="P434" s="437"/>
      <c r="Q434" s="438"/>
      <c r="R434" s="198"/>
      <c r="S434" s="198"/>
      <c r="T434" s="198"/>
      <c r="U434" s="198"/>
      <c r="V434" s="198"/>
      <c r="W434" s="198"/>
      <c r="X434" s="198"/>
      <c r="Y434" s="198"/>
      <c r="Z434" s="198"/>
      <c r="AA434" s="198"/>
    </row>
    <row r="435" ht="70.5" customHeight="1">
      <c r="A435" s="354"/>
      <c r="B435" s="328"/>
      <c r="C435" s="436"/>
      <c r="D435" s="328"/>
      <c r="E435" s="326"/>
      <c r="F435" s="328"/>
      <c r="G435" s="333"/>
      <c r="H435" s="333"/>
      <c r="I435" s="333"/>
      <c r="J435" s="333"/>
      <c r="K435" s="328"/>
      <c r="L435" s="328"/>
      <c r="M435" s="341"/>
      <c r="N435" s="328"/>
      <c r="O435" s="436"/>
      <c r="P435" s="437"/>
      <c r="Q435" s="438"/>
      <c r="R435" s="198"/>
      <c r="S435" s="198"/>
      <c r="T435" s="198"/>
      <c r="U435" s="198"/>
      <c r="V435" s="198"/>
      <c r="W435" s="198"/>
      <c r="X435" s="198"/>
      <c r="Y435" s="198"/>
      <c r="Z435" s="198"/>
      <c r="AA435" s="198"/>
    </row>
    <row r="436" ht="70.5" customHeight="1">
      <c r="A436" s="354"/>
      <c r="B436" s="328"/>
      <c r="C436" s="436"/>
      <c r="D436" s="328"/>
      <c r="E436" s="326"/>
      <c r="F436" s="328"/>
      <c r="G436" s="333"/>
      <c r="H436" s="333"/>
      <c r="I436" s="333"/>
      <c r="J436" s="333"/>
      <c r="K436" s="328"/>
      <c r="L436" s="328"/>
      <c r="M436" s="341"/>
      <c r="N436" s="328"/>
      <c r="O436" s="436"/>
      <c r="P436" s="437"/>
      <c r="Q436" s="438"/>
      <c r="R436" s="198"/>
      <c r="S436" s="198"/>
      <c r="T436" s="198"/>
      <c r="U436" s="198"/>
      <c r="V436" s="198"/>
      <c r="W436" s="198"/>
      <c r="X436" s="198"/>
      <c r="Y436" s="198"/>
      <c r="Z436" s="198"/>
      <c r="AA436" s="198"/>
    </row>
    <row r="437" ht="70.5" customHeight="1">
      <c r="A437" s="354"/>
      <c r="B437" s="328"/>
      <c r="C437" s="436"/>
      <c r="D437" s="328"/>
      <c r="E437" s="326"/>
      <c r="F437" s="328"/>
      <c r="G437" s="333"/>
      <c r="H437" s="333"/>
      <c r="I437" s="333"/>
      <c r="J437" s="333"/>
      <c r="K437" s="328"/>
      <c r="L437" s="328"/>
      <c r="M437" s="341"/>
      <c r="N437" s="328"/>
      <c r="O437" s="436"/>
      <c r="P437" s="437"/>
      <c r="Q437" s="438"/>
      <c r="R437" s="198"/>
      <c r="S437" s="198"/>
      <c r="T437" s="198"/>
      <c r="U437" s="198"/>
      <c r="V437" s="198"/>
      <c r="W437" s="198"/>
      <c r="X437" s="198"/>
      <c r="Y437" s="198"/>
      <c r="Z437" s="198"/>
      <c r="AA437" s="198"/>
    </row>
    <row r="438" ht="70.5" customHeight="1">
      <c r="A438" s="354"/>
      <c r="B438" s="328"/>
      <c r="C438" s="436"/>
      <c r="D438" s="328"/>
      <c r="E438" s="326"/>
      <c r="F438" s="328"/>
      <c r="G438" s="333"/>
      <c r="H438" s="333"/>
      <c r="I438" s="333"/>
      <c r="J438" s="333"/>
      <c r="K438" s="328"/>
      <c r="L438" s="328"/>
      <c r="M438" s="341"/>
      <c r="N438" s="328"/>
      <c r="O438" s="436"/>
      <c r="P438" s="437"/>
      <c r="Q438" s="438"/>
      <c r="R438" s="198"/>
      <c r="S438" s="198"/>
      <c r="T438" s="198"/>
      <c r="U438" s="198"/>
      <c r="V438" s="198"/>
      <c r="W438" s="198"/>
      <c r="X438" s="198"/>
      <c r="Y438" s="198"/>
      <c r="Z438" s="198"/>
      <c r="AA438" s="198"/>
    </row>
    <row r="439" ht="70.5" customHeight="1">
      <c r="A439" s="354"/>
      <c r="B439" s="328"/>
      <c r="C439" s="436"/>
      <c r="D439" s="328"/>
      <c r="E439" s="326"/>
      <c r="F439" s="328"/>
      <c r="G439" s="333"/>
      <c r="H439" s="333"/>
      <c r="I439" s="333"/>
      <c r="J439" s="333"/>
      <c r="K439" s="328"/>
      <c r="L439" s="328"/>
      <c r="M439" s="341"/>
      <c r="N439" s="328"/>
      <c r="O439" s="436"/>
      <c r="P439" s="437"/>
      <c r="Q439" s="438"/>
      <c r="R439" s="198"/>
      <c r="S439" s="198"/>
      <c r="T439" s="198"/>
      <c r="U439" s="198"/>
      <c r="V439" s="198"/>
      <c r="W439" s="198"/>
      <c r="X439" s="198"/>
      <c r="Y439" s="198"/>
      <c r="Z439" s="198"/>
      <c r="AA439" s="198"/>
    </row>
    <row r="440" ht="70.5" customHeight="1">
      <c r="A440" s="354"/>
      <c r="B440" s="328"/>
      <c r="C440" s="436"/>
      <c r="D440" s="328"/>
      <c r="E440" s="326"/>
      <c r="F440" s="328"/>
      <c r="G440" s="333"/>
      <c r="H440" s="333"/>
      <c r="I440" s="333"/>
      <c r="J440" s="333"/>
      <c r="K440" s="328"/>
      <c r="L440" s="328"/>
      <c r="M440" s="341"/>
      <c r="N440" s="328"/>
      <c r="O440" s="436"/>
      <c r="P440" s="437"/>
      <c r="Q440" s="438"/>
      <c r="R440" s="198"/>
      <c r="S440" s="198"/>
      <c r="T440" s="198"/>
      <c r="U440" s="198"/>
      <c r="V440" s="198"/>
      <c r="W440" s="198"/>
      <c r="X440" s="198"/>
      <c r="Y440" s="198"/>
      <c r="Z440" s="198"/>
      <c r="AA440" s="198"/>
    </row>
    <row r="441" ht="70.5" customHeight="1">
      <c r="A441" s="354"/>
      <c r="B441" s="328"/>
      <c r="C441" s="436"/>
      <c r="D441" s="328"/>
      <c r="E441" s="326"/>
      <c r="F441" s="328"/>
      <c r="G441" s="333"/>
      <c r="H441" s="333"/>
      <c r="I441" s="333"/>
      <c r="J441" s="333"/>
      <c r="K441" s="328"/>
      <c r="L441" s="328"/>
      <c r="M441" s="341"/>
      <c r="N441" s="328"/>
      <c r="O441" s="436"/>
      <c r="P441" s="437"/>
      <c r="Q441" s="438"/>
      <c r="R441" s="198"/>
      <c r="S441" s="198"/>
      <c r="T441" s="198"/>
      <c r="U441" s="198"/>
      <c r="V441" s="198"/>
      <c r="W441" s="198"/>
      <c r="X441" s="198"/>
      <c r="Y441" s="198"/>
      <c r="Z441" s="198"/>
      <c r="AA441" s="198"/>
    </row>
    <row r="442" ht="70.5" customHeight="1">
      <c r="A442" s="354"/>
      <c r="B442" s="328"/>
      <c r="C442" s="436"/>
      <c r="D442" s="328"/>
      <c r="E442" s="326"/>
      <c r="F442" s="328"/>
      <c r="G442" s="333"/>
      <c r="H442" s="333"/>
      <c r="I442" s="333"/>
      <c r="J442" s="333"/>
      <c r="K442" s="328"/>
      <c r="L442" s="328"/>
      <c r="M442" s="341"/>
      <c r="N442" s="328"/>
      <c r="O442" s="436"/>
      <c r="P442" s="437"/>
      <c r="Q442" s="438"/>
      <c r="R442" s="198"/>
      <c r="S442" s="198"/>
      <c r="T442" s="198"/>
      <c r="U442" s="198"/>
      <c r="V442" s="198"/>
      <c r="W442" s="198"/>
      <c r="X442" s="198"/>
      <c r="Y442" s="198"/>
      <c r="Z442" s="198"/>
      <c r="AA442" s="198"/>
    </row>
    <row r="443" ht="70.5" customHeight="1">
      <c r="A443" s="354"/>
      <c r="B443" s="328"/>
      <c r="C443" s="436"/>
      <c r="D443" s="328"/>
      <c r="E443" s="326"/>
      <c r="F443" s="328"/>
      <c r="G443" s="333"/>
      <c r="H443" s="333"/>
      <c r="I443" s="333"/>
      <c r="J443" s="333"/>
      <c r="K443" s="328"/>
      <c r="L443" s="328"/>
      <c r="M443" s="341"/>
      <c r="N443" s="328"/>
      <c r="O443" s="436"/>
      <c r="P443" s="437"/>
      <c r="Q443" s="438"/>
      <c r="R443" s="198"/>
      <c r="S443" s="198"/>
      <c r="T443" s="198"/>
      <c r="U443" s="198"/>
      <c r="V443" s="198"/>
      <c r="W443" s="198"/>
      <c r="X443" s="198"/>
      <c r="Y443" s="198"/>
      <c r="Z443" s="198"/>
      <c r="AA443" s="198"/>
    </row>
    <row r="444" ht="70.5" customHeight="1">
      <c r="A444" s="354"/>
      <c r="B444" s="328"/>
      <c r="C444" s="436"/>
      <c r="D444" s="328"/>
      <c r="E444" s="326"/>
      <c r="F444" s="328"/>
      <c r="G444" s="333"/>
      <c r="H444" s="333"/>
      <c r="I444" s="333"/>
      <c r="J444" s="333"/>
      <c r="K444" s="328"/>
      <c r="L444" s="328"/>
      <c r="M444" s="341"/>
      <c r="N444" s="328"/>
      <c r="O444" s="436"/>
      <c r="P444" s="437"/>
      <c r="Q444" s="438"/>
      <c r="R444" s="198"/>
      <c r="S444" s="198"/>
      <c r="T444" s="198"/>
      <c r="U444" s="198"/>
      <c r="V444" s="198"/>
      <c r="W444" s="198"/>
      <c r="X444" s="198"/>
      <c r="Y444" s="198"/>
      <c r="Z444" s="198"/>
      <c r="AA444" s="198"/>
    </row>
    <row r="445" ht="70.5" customHeight="1">
      <c r="A445" s="354"/>
      <c r="B445" s="328"/>
      <c r="C445" s="436"/>
      <c r="D445" s="328"/>
      <c r="E445" s="326"/>
      <c r="F445" s="328"/>
      <c r="G445" s="333"/>
      <c r="H445" s="333"/>
      <c r="I445" s="333"/>
      <c r="J445" s="333"/>
      <c r="K445" s="328"/>
      <c r="L445" s="328"/>
      <c r="M445" s="341"/>
      <c r="N445" s="328"/>
      <c r="O445" s="436"/>
      <c r="P445" s="437"/>
      <c r="Q445" s="438"/>
      <c r="R445" s="198"/>
      <c r="S445" s="198"/>
      <c r="T445" s="198"/>
      <c r="U445" s="198"/>
      <c r="V445" s="198"/>
      <c r="W445" s="198"/>
      <c r="X445" s="198"/>
      <c r="Y445" s="198"/>
      <c r="Z445" s="198"/>
      <c r="AA445" s="198"/>
    </row>
    <row r="446" ht="70.5" customHeight="1">
      <c r="A446" s="354"/>
      <c r="B446" s="328"/>
      <c r="C446" s="436"/>
      <c r="D446" s="328"/>
      <c r="E446" s="326"/>
      <c r="F446" s="328"/>
      <c r="G446" s="333"/>
      <c r="H446" s="333"/>
      <c r="I446" s="333"/>
      <c r="J446" s="333"/>
      <c r="K446" s="328"/>
      <c r="L446" s="328"/>
      <c r="M446" s="341"/>
      <c r="N446" s="328"/>
      <c r="O446" s="436"/>
      <c r="P446" s="437"/>
      <c r="Q446" s="438"/>
      <c r="R446" s="198"/>
      <c r="S446" s="198"/>
      <c r="T446" s="198"/>
      <c r="U446" s="198"/>
      <c r="V446" s="198"/>
      <c r="W446" s="198"/>
      <c r="X446" s="198"/>
      <c r="Y446" s="198"/>
      <c r="Z446" s="198"/>
      <c r="AA446" s="198"/>
    </row>
    <row r="447" ht="70.5" customHeight="1">
      <c r="A447" s="354"/>
      <c r="B447" s="328"/>
      <c r="C447" s="436"/>
      <c r="D447" s="328"/>
      <c r="E447" s="326"/>
      <c r="F447" s="328"/>
      <c r="G447" s="333"/>
      <c r="H447" s="333"/>
      <c r="I447" s="333"/>
      <c r="J447" s="333"/>
      <c r="K447" s="328"/>
      <c r="L447" s="328"/>
      <c r="M447" s="341"/>
      <c r="N447" s="328"/>
      <c r="O447" s="436"/>
      <c r="P447" s="437"/>
      <c r="Q447" s="438"/>
      <c r="R447" s="198"/>
      <c r="S447" s="198"/>
      <c r="T447" s="198"/>
      <c r="U447" s="198"/>
      <c r="V447" s="198"/>
      <c r="W447" s="198"/>
      <c r="X447" s="198"/>
      <c r="Y447" s="198"/>
      <c r="Z447" s="198"/>
      <c r="AA447" s="198"/>
    </row>
    <row r="448" ht="70.5" customHeight="1">
      <c r="A448" s="354"/>
      <c r="B448" s="328"/>
      <c r="C448" s="436"/>
      <c r="D448" s="328"/>
      <c r="E448" s="326"/>
      <c r="F448" s="328"/>
      <c r="G448" s="333"/>
      <c r="H448" s="333"/>
      <c r="I448" s="333"/>
      <c r="J448" s="333"/>
      <c r="K448" s="328"/>
      <c r="L448" s="328"/>
      <c r="M448" s="341"/>
      <c r="N448" s="328"/>
      <c r="O448" s="436"/>
      <c r="P448" s="437"/>
      <c r="Q448" s="438"/>
      <c r="R448" s="198"/>
      <c r="S448" s="198"/>
      <c r="T448" s="198"/>
      <c r="U448" s="198"/>
      <c r="V448" s="198"/>
      <c r="W448" s="198"/>
      <c r="X448" s="198"/>
      <c r="Y448" s="198"/>
      <c r="Z448" s="198"/>
      <c r="AA448" s="198"/>
    </row>
    <row r="449" ht="70.5" customHeight="1">
      <c r="A449" s="354"/>
      <c r="B449" s="328"/>
      <c r="C449" s="436"/>
      <c r="D449" s="328"/>
      <c r="E449" s="326"/>
      <c r="F449" s="328"/>
      <c r="G449" s="333"/>
      <c r="H449" s="333"/>
      <c r="I449" s="333"/>
      <c r="J449" s="333"/>
      <c r="K449" s="328"/>
      <c r="L449" s="328"/>
      <c r="M449" s="341"/>
      <c r="N449" s="328"/>
      <c r="O449" s="436"/>
      <c r="P449" s="437"/>
      <c r="Q449" s="438"/>
      <c r="R449" s="198"/>
      <c r="S449" s="198"/>
      <c r="T449" s="198"/>
      <c r="U449" s="198"/>
      <c r="V449" s="198"/>
      <c r="W449" s="198"/>
      <c r="X449" s="198"/>
      <c r="Y449" s="198"/>
      <c r="Z449" s="198"/>
      <c r="AA449" s="198"/>
    </row>
    <row r="450" ht="70.5" customHeight="1">
      <c r="A450" s="354"/>
      <c r="B450" s="328"/>
      <c r="C450" s="436"/>
      <c r="D450" s="328"/>
      <c r="E450" s="326"/>
      <c r="F450" s="328"/>
      <c r="G450" s="333"/>
      <c r="H450" s="333"/>
      <c r="I450" s="333"/>
      <c r="J450" s="333"/>
      <c r="K450" s="328"/>
      <c r="L450" s="328"/>
      <c r="M450" s="341"/>
      <c r="N450" s="328"/>
      <c r="O450" s="436"/>
      <c r="P450" s="437"/>
      <c r="Q450" s="438"/>
      <c r="R450" s="198"/>
      <c r="S450" s="198"/>
      <c r="T450" s="198"/>
      <c r="U450" s="198"/>
      <c r="V450" s="198"/>
      <c r="W450" s="198"/>
      <c r="X450" s="198"/>
      <c r="Y450" s="198"/>
      <c r="Z450" s="198"/>
      <c r="AA450" s="198"/>
    </row>
    <row r="451" ht="70.5" customHeight="1">
      <c r="A451" s="354"/>
      <c r="B451" s="328"/>
      <c r="C451" s="436"/>
      <c r="D451" s="328"/>
      <c r="E451" s="326"/>
      <c r="F451" s="328"/>
      <c r="G451" s="333"/>
      <c r="H451" s="333"/>
      <c r="I451" s="333"/>
      <c r="J451" s="333"/>
      <c r="K451" s="328"/>
      <c r="L451" s="328"/>
      <c r="M451" s="341"/>
      <c r="N451" s="328"/>
      <c r="O451" s="436"/>
      <c r="P451" s="437"/>
      <c r="Q451" s="438"/>
      <c r="R451" s="198"/>
      <c r="S451" s="198"/>
      <c r="T451" s="198"/>
      <c r="U451" s="198"/>
      <c r="V451" s="198"/>
      <c r="W451" s="198"/>
      <c r="X451" s="198"/>
      <c r="Y451" s="198"/>
      <c r="Z451" s="198"/>
      <c r="AA451" s="198"/>
    </row>
    <row r="452" ht="70.5" customHeight="1">
      <c r="A452" s="354"/>
      <c r="B452" s="328"/>
      <c r="C452" s="436"/>
      <c r="D452" s="328"/>
      <c r="E452" s="326"/>
      <c r="F452" s="328"/>
      <c r="G452" s="333"/>
      <c r="H452" s="333"/>
      <c r="I452" s="333"/>
      <c r="J452" s="333"/>
      <c r="K452" s="328"/>
      <c r="L452" s="328"/>
      <c r="M452" s="341"/>
      <c r="N452" s="328"/>
      <c r="O452" s="436"/>
      <c r="P452" s="437"/>
      <c r="Q452" s="438"/>
      <c r="R452" s="198"/>
      <c r="S452" s="198"/>
      <c r="T452" s="198"/>
      <c r="U452" s="198"/>
      <c r="V452" s="198"/>
      <c r="W452" s="198"/>
      <c r="X452" s="198"/>
      <c r="Y452" s="198"/>
      <c r="Z452" s="198"/>
      <c r="AA452" s="198"/>
    </row>
    <row r="453" ht="70.5" customHeight="1">
      <c r="A453" s="354"/>
      <c r="B453" s="328"/>
      <c r="C453" s="436"/>
      <c r="D453" s="328"/>
      <c r="E453" s="326"/>
      <c r="F453" s="328"/>
      <c r="G453" s="333"/>
      <c r="H453" s="333"/>
      <c r="I453" s="333"/>
      <c r="J453" s="333"/>
      <c r="K453" s="328"/>
      <c r="L453" s="328"/>
      <c r="M453" s="341"/>
      <c r="N453" s="328"/>
      <c r="O453" s="436"/>
      <c r="P453" s="437"/>
      <c r="Q453" s="438"/>
      <c r="R453" s="198"/>
      <c r="S453" s="198"/>
      <c r="T453" s="198"/>
      <c r="U453" s="198"/>
      <c r="V453" s="198"/>
      <c r="W453" s="198"/>
      <c r="X453" s="198"/>
      <c r="Y453" s="198"/>
      <c r="Z453" s="198"/>
      <c r="AA453" s="198"/>
    </row>
    <row r="454" ht="70.5" customHeight="1">
      <c r="A454" s="354"/>
      <c r="B454" s="328"/>
      <c r="C454" s="436"/>
      <c r="D454" s="328"/>
      <c r="E454" s="326"/>
      <c r="F454" s="328"/>
      <c r="G454" s="333"/>
      <c r="H454" s="333"/>
      <c r="I454" s="333"/>
      <c r="J454" s="333"/>
      <c r="K454" s="328"/>
      <c r="L454" s="328"/>
      <c r="M454" s="341"/>
      <c r="N454" s="328"/>
      <c r="O454" s="436"/>
      <c r="P454" s="437"/>
      <c r="Q454" s="438"/>
      <c r="R454" s="198"/>
      <c r="S454" s="198"/>
      <c r="T454" s="198"/>
      <c r="U454" s="198"/>
      <c r="V454" s="198"/>
      <c r="W454" s="198"/>
      <c r="X454" s="198"/>
      <c r="Y454" s="198"/>
      <c r="Z454" s="198"/>
      <c r="AA454" s="198"/>
    </row>
    <row r="455" ht="70.5" customHeight="1">
      <c r="A455" s="354"/>
      <c r="B455" s="328"/>
      <c r="C455" s="436"/>
      <c r="D455" s="328"/>
      <c r="E455" s="326"/>
      <c r="F455" s="328"/>
      <c r="G455" s="333"/>
      <c r="H455" s="333"/>
      <c r="I455" s="333"/>
      <c r="J455" s="333"/>
      <c r="K455" s="328"/>
      <c r="L455" s="328"/>
      <c r="M455" s="341"/>
      <c r="N455" s="328"/>
      <c r="O455" s="436"/>
      <c r="P455" s="437"/>
      <c r="Q455" s="438"/>
      <c r="R455" s="198"/>
      <c r="S455" s="198"/>
      <c r="T455" s="198"/>
      <c r="U455" s="198"/>
      <c r="V455" s="198"/>
      <c r="W455" s="198"/>
      <c r="X455" s="198"/>
      <c r="Y455" s="198"/>
      <c r="Z455" s="198"/>
      <c r="AA455" s="198"/>
    </row>
    <row r="456" ht="70.5" customHeight="1">
      <c r="A456" s="354"/>
      <c r="B456" s="328"/>
      <c r="C456" s="436"/>
      <c r="D456" s="328"/>
      <c r="E456" s="326"/>
      <c r="F456" s="328"/>
      <c r="G456" s="333"/>
      <c r="H456" s="333"/>
      <c r="I456" s="333"/>
      <c r="J456" s="333"/>
      <c r="K456" s="328"/>
      <c r="L456" s="328"/>
      <c r="M456" s="341"/>
      <c r="N456" s="328"/>
      <c r="O456" s="436"/>
      <c r="P456" s="437"/>
      <c r="Q456" s="438"/>
      <c r="R456" s="198"/>
      <c r="S456" s="198"/>
      <c r="T456" s="198"/>
      <c r="U456" s="198"/>
      <c r="V456" s="198"/>
      <c r="W456" s="198"/>
      <c r="X456" s="198"/>
      <c r="Y456" s="198"/>
      <c r="Z456" s="198"/>
      <c r="AA456" s="198"/>
    </row>
    <row r="457" ht="70.5" customHeight="1">
      <c r="A457" s="354"/>
      <c r="B457" s="328"/>
      <c r="C457" s="436"/>
      <c r="D457" s="328"/>
      <c r="E457" s="326"/>
      <c r="F457" s="328"/>
      <c r="G457" s="333"/>
      <c r="H457" s="333"/>
      <c r="I457" s="333"/>
      <c r="J457" s="333"/>
      <c r="K457" s="328"/>
      <c r="L457" s="328"/>
      <c r="M457" s="341"/>
      <c r="N457" s="328"/>
      <c r="O457" s="436"/>
      <c r="P457" s="437"/>
      <c r="Q457" s="438"/>
      <c r="R457" s="198"/>
      <c r="S457" s="198"/>
      <c r="T457" s="198"/>
      <c r="U457" s="198"/>
      <c r="V457" s="198"/>
      <c r="W457" s="198"/>
      <c r="X457" s="198"/>
      <c r="Y457" s="198"/>
      <c r="Z457" s="198"/>
      <c r="AA457" s="198"/>
    </row>
    <row r="458" ht="70.5" customHeight="1">
      <c r="A458" s="354"/>
      <c r="B458" s="328"/>
      <c r="C458" s="436"/>
      <c r="D458" s="328"/>
      <c r="E458" s="326"/>
      <c r="F458" s="328"/>
      <c r="G458" s="333"/>
      <c r="H458" s="333"/>
      <c r="I458" s="333"/>
      <c r="J458" s="333"/>
      <c r="K458" s="328"/>
      <c r="L458" s="328"/>
      <c r="M458" s="341"/>
      <c r="N458" s="328"/>
      <c r="O458" s="436"/>
      <c r="P458" s="437"/>
      <c r="Q458" s="438"/>
      <c r="R458" s="198"/>
      <c r="S458" s="198"/>
      <c r="T458" s="198"/>
      <c r="U458" s="198"/>
      <c r="V458" s="198"/>
      <c r="W458" s="198"/>
      <c r="X458" s="198"/>
      <c r="Y458" s="198"/>
      <c r="Z458" s="198"/>
      <c r="AA458" s="198"/>
    </row>
    <row r="459" ht="70.5" customHeight="1">
      <c r="A459" s="354"/>
      <c r="B459" s="328"/>
      <c r="C459" s="436"/>
      <c r="D459" s="328"/>
      <c r="E459" s="326"/>
      <c r="F459" s="328"/>
      <c r="G459" s="333"/>
      <c r="H459" s="333"/>
      <c r="I459" s="333"/>
      <c r="J459" s="333"/>
      <c r="K459" s="328"/>
      <c r="L459" s="328"/>
      <c r="M459" s="341"/>
      <c r="N459" s="328"/>
      <c r="O459" s="436"/>
      <c r="P459" s="437"/>
      <c r="Q459" s="438"/>
      <c r="R459" s="198"/>
      <c r="S459" s="198"/>
      <c r="T459" s="198"/>
      <c r="U459" s="198"/>
      <c r="V459" s="198"/>
      <c r="W459" s="198"/>
      <c r="X459" s="198"/>
      <c r="Y459" s="198"/>
      <c r="Z459" s="198"/>
      <c r="AA459" s="198"/>
    </row>
    <row r="460" ht="70.5" customHeight="1">
      <c r="A460" s="354"/>
      <c r="B460" s="328"/>
      <c r="C460" s="436"/>
      <c r="D460" s="328"/>
      <c r="E460" s="326"/>
      <c r="F460" s="328"/>
      <c r="G460" s="333"/>
      <c r="H460" s="333"/>
      <c r="I460" s="333"/>
      <c r="J460" s="333"/>
      <c r="K460" s="328"/>
      <c r="L460" s="328"/>
      <c r="M460" s="341"/>
      <c r="N460" s="328"/>
      <c r="O460" s="436"/>
      <c r="P460" s="437"/>
      <c r="Q460" s="438"/>
      <c r="R460" s="198"/>
      <c r="S460" s="198"/>
      <c r="T460" s="198"/>
      <c r="U460" s="198"/>
      <c r="V460" s="198"/>
      <c r="W460" s="198"/>
      <c r="X460" s="198"/>
      <c r="Y460" s="198"/>
      <c r="Z460" s="198"/>
      <c r="AA460" s="198"/>
    </row>
    <row r="461" ht="70.5" customHeight="1">
      <c r="A461" s="354"/>
      <c r="B461" s="328"/>
      <c r="C461" s="436"/>
      <c r="D461" s="328"/>
      <c r="E461" s="326"/>
      <c r="F461" s="328"/>
      <c r="G461" s="333"/>
      <c r="H461" s="333"/>
      <c r="I461" s="333"/>
      <c r="J461" s="333"/>
      <c r="K461" s="328"/>
      <c r="L461" s="328"/>
      <c r="M461" s="341"/>
      <c r="N461" s="328"/>
      <c r="O461" s="436"/>
      <c r="P461" s="437"/>
      <c r="Q461" s="438"/>
      <c r="R461" s="198"/>
      <c r="S461" s="198"/>
      <c r="T461" s="198"/>
      <c r="U461" s="198"/>
      <c r="V461" s="198"/>
      <c r="W461" s="198"/>
      <c r="X461" s="198"/>
      <c r="Y461" s="198"/>
      <c r="Z461" s="198"/>
      <c r="AA461" s="198"/>
    </row>
    <row r="462" ht="70.5" customHeight="1">
      <c r="A462" s="354"/>
      <c r="B462" s="328"/>
      <c r="C462" s="436"/>
      <c r="D462" s="328"/>
      <c r="E462" s="326"/>
      <c r="F462" s="328"/>
      <c r="G462" s="333"/>
      <c r="H462" s="333"/>
      <c r="I462" s="333"/>
      <c r="J462" s="333"/>
      <c r="K462" s="328"/>
      <c r="L462" s="328"/>
      <c r="M462" s="341"/>
      <c r="N462" s="328"/>
      <c r="O462" s="436"/>
      <c r="P462" s="437"/>
      <c r="Q462" s="438"/>
      <c r="R462" s="198"/>
      <c r="S462" s="198"/>
      <c r="T462" s="198"/>
      <c r="U462" s="198"/>
      <c r="V462" s="198"/>
      <c r="W462" s="198"/>
      <c r="X462" s="198"/>
      <c r="Y462" s="198"/>
      <c r="Z462" s="198"/>
      <c r="AA462" s="198"/>
    </row>
    <row r="463" ht="70.5" customHeight="1">
      <c r="A463" s="354"/>
      <c r="B463" s="328"/>
      <c r="C463" s="436"/>
      <c r="D463" s="328"/>
      <c r="E463" s="326"/>
      <c r="F463" s="328"/>
      <c r="G463" s="333"/>
      <c r="H463" s="333"/>
      <c r="I463" s="333"/>
      <c r="J463" s="333"/>
      <c r="K463" s="328"/>
      <c r="L463" s="328"/>
      <c r="M463" s="341"/>
      <c r="N463" s="328"/>
      <c r="O463" s="436"/>
      <c r="P463" s="437"/>
      <c r="Q463" s="438"/>
      <c r="R463" s="198"/>
      <c r="S463" s="198"/>
      <c r="T463" s="198"/>
      <c r="U463" s="198"/>
      <c r="V463" s="198"/>
      <c r="W463" s="198"/>
      <c r="X463" s="198"/>
      <c r="Y463" s="198"/>
      <c r="Z463" s="198"/>
      <c r="AA463" s="198"/>
    </row>
    <row r="464" ht="70.5" customHeight="1">
      <c r="A464" s="354"/>
      <c r="B464" s="328"/>
      <c r="C464" s="436"/>
      <c r="D464" s="328"/>
      <c r="E464" s="326"/>
      <c r="F464" s="328"/>
      <c r="G464" s="333"/>
      <c r="H464" s="333"/>
      <c r="I464" s="333"/>
      <c r="J464" s="333"/>
      <c r="K464" s="328"/>
      <c r="L464" s="328"/>
      <c r="M464" s="341"/>
      <c r="N464" s="328"/>
      <c r="O464" s="436"/>
      <c r="P464" s="437"/>
      <c r="Q464" s="438"/>
      <c r="R464" s="198"/>
      <c r="S464" s="198"/>
      <c r="T464" s="198"/>
      <c r="U464" s="198"/>
      <c r="V464" s="198"/>
      <c r="W464" s="198"/>
      <c r="X464" s="198"/>
      <c r="Y464" s="198"/>
      <c r="Z464" s="198"/>
      <c r="AA464" s="198"/>
    </row>
    <row r="465" ht="70.5" customHeight="1">
      <c r="A465" s="354"/>
      <c r="B465" s="328"/>
      <c r="C465" s="436"/>
      <c r="D465" s="328"/>
      <c r="E465" s="326"/>
      <c r="F465" s="328"/>
      <c r="G465" s="333"/>
      <c r="H465" s="333"/>
      <c r="I465" s="333"/>
      <c r="J465" s="333"/>
      <c r="K465" s="328"/>
      <c r="L465" s="328"/>
      <c r="M465" s="341"/>
      <c r="N465" s="328"/>
      <c r="O465" s="436"/>
      <c r="P465" s="437"/>
      <c r="Q465" s="438"/>
      <c r="R465" s="198"/>
      <c r="S465" s="198"/>
      <c r="T465" s="198"/>
      <c r="U465" s="198"/>
      <c r="V465" s="198"/>
      <c r="W465" s="198"/>
      <c r="X465" s="198"/>
      <c r="Y465" s="198"/>
      <c r="Z465" s="198"/>
      <c r="AA465" s="198"/>
    </row>
    <row r="466" ht="70.5" customHeight="1">
      <c r="A466" s="354"/>
      <c r="B466" s="328"/>
      <c r="C466" s="436"/>
      <c r="D466" s="328"/>
      <c r="E466" s="326"/>
      <c r="F466" s="328"/>
      <c r="G466" s="333"/>
      <c r="H466" s="333"/>
      <c r="I466" s="333"/>
      <c r="J466" s="333"/>
      <c r="K466" s="328"/>
      <c r="L466" s="328"/>
      <c r="M466" s="341"/>
      <c r="N466" s="328"/>
      <c r="O466" s="436"/>
      <c r="P466" s="437"/>
      <c r="Q466" s="438"/>
      <c r="R466" s="198"/>
      <c r="S466" s="198"/>
      <c r="T466" s="198"/>
      <c r="U466" s="198"/>
      <c r="V466" s="198"/>
      <c r="W466" s="198"/>
      <c r="X466" s="198"/>
      <c r="Y466" s="198"/>
      <c r="Z466" s="198"/>
      <c r="AA466" s="198"/>
    </row>
    <row r="467" ht="70.5" customHeight="1">
      <c r="A467" s="354"/>
      <c r="B467" s="328"/>
      <c r="C467" s="436"/>
      <c r="D467" s="328"/>
      <c r="E467" s="326"/>
      <c r="F467" s="328"/>
      <c r="G467" s="333"/>
      <c r="H467" s="333"/>
      <c r="I467" s="333"/>
      <c r="J467" s="333"/>
      <c r="K467" s="328"/>
      <c r="L467" s="328"/>
      <c r="M467" s="341"/>
      <c r="N467" s="328"/>
      <c r="O467" s="436"/>
      <c r="P467" s="437"/>
      <c r="Q467" s="438"/>
      <c r="R467" s="198"/>
      <c r="S467" s="198"/>
      <c r="T467" s="198"/>
      <c r="U467" s="198"/>
      <c r="V467" s="198"/>
      <c r="W467" s="198"/>
      <c r="X467" s="198"/>
      <c r="Y467" s="198"/>
      <c r="Z467" s="198"/>
      <c r="AA467" s="198"/>
    </row>
    <row r="468" ht="70.5" customHeight="1">
      <c r="A468" s="354"/>
      <c r="B468" s="328"/>
      <c r="C468" s="436"/>
      <c r="D468" s="328"/>
      <c r="E468" s="326"/>
      <c r="F468" s="328"/>
      <c r="G468" s="333"/>
      <c r="H468" s="333"/>
      <c r="I468" s="333"/>
      <c r="J468" s="333"/>
      <c r="K468" s="328"/>
      <c r="L468" s="328"/>
      <c r="M468" s="341"/>
      <c r="N468" s="328"/>
      <c r="O468" s="436"/>
      <c r="P468" s="437"/>
      <c r="Q468" s="438"/>
      <c r="R468" s="198"/>
      <c r="S468" s="198"/>
      <c r="T468" s="198"/>
      <c r="U468" s="198"/>
      <c r="V468" s="198"/>
      <c r="W468" s="198"/>
      <c r="X468" s="198"/>
      <c r="Y468" s="198"/>
      <c r="Z468" s="198"/>
      <c r="AA468" s="198"/>
    </row>
    <row r="469" ht="70.5" customHeight="1">
      <c r="A469" s="354"/>
      <c r="B469" s="328"/>
      <c r="C469" s="436"/>
      <c r="D469" s="328"/>
      <c r="E469" s="326"/>
      <c r="F469" s="328"/>
      <c r="G469" s="333"/>
      <c r="H469" s="333"/>
      <c r="I469" s="333"/>
      <c r="J469" s="333"/>
      <c r="K469" s="328"/>
      <c r="L469" s="328"/>
      <c r="M469" s="341"/>
      <c r="N469" s="328"/>
      <c r="O469" s="436"/>
      <c r="P469" s="437"/>
      <c r="Q469" s="438"/>
      <c r="R469" s="198"/>
      <c r="S469" s="198"/>
      <c r="T469" s="198"/>
      <c r="U469" s="198"/>
      <c r="V469" s="198"/>
      <c r="W469" s="198"/>
      <c r="X469" s="198"/>
      <c r="Y469" s="198"/>
      <c r="Z469" s="198"/>
      <c r="AA469" s="198"/>
    </row>
    <row r="470" ht="70.5" customHeight="1">
      <c r="A470" s="354"/>
      <c r="B470" s="328"/>
      <c r="C470" s="436"/>
      <c r="D470" s="328"/>
      <c r="E470" s="326"/>
      <c r="F470" s="328"/>
      <c r="G470" s="333"/>
      <c r="H470" s="333"/>
      <c r="I470" s="333"/>
      <c r="J470" s="333"/>
      <c r="K470" s="328"/>
      <c r="L470" s="328"/>
      <c r="M470" s="341"/>
      <c r="N470" s="328"/>
      <c r="O470" s="436"/>
      <c r="P470" s="437"/>
      <c r="Q470" s="438"/>
      <c r="R470" s="198"/>
      <c r="S470" s="198"/>
      <c r="T470" s="198"/>
      <c r="U470" s="198"/>
      <c r="V470" s="198"/>
      <c r="W470" s="198"/>
      <c r="X470" s="198"/>
      <c r="Y470" s="198"/>
      <c r="Z470" s="198"/>
      <c r="AA470" s="198"/>
    </row>
    <row r="471" ht="70.5" customHeight="1">
      <c r="A471" s="354"/>
      <c r="B471" s="328"/>
      <c r="C471" s="436"/>
      <c r="D471" s="328"/>
      <c r="E471" s="326"/>
      <c r="F471" s="328"/>
      <c r="G471" s="333"/>
      <c r="H471" s="333"/>
      <c r="I471" s="333"/>
      <c r="J471" s="333"/>
      <c r="K471" s="328"/>
      <c r="L471" s="328"/>
      <c r="M471" s="341"/>
      <c r="N471" s="328"/>
      <c r="O471" s="436"/>
      <c r="P471" s="437"/>
      <c r="Q471" s="438"/>
      <c r="R471" s="198"/>
      <c r="S471" s="198"/>
      <c r="T471" s="198"/>
      <c r="U471" s="198"/>
      <c r="V471" s="198"/>
      <c r="W471" s="198"/>
      <c r="X471" s="198"/>
      <c r="Y471" s="198"/>
      <c r="Z471" s="198"/>
      <c r="AA471" s="198"/>
    </row>
    <row r="472" ht="70.5" customHeight="1">
      <c r="A472" s="354"/>
      <c r="B472" s="328"/>
      <c r="C472" s="436"/>
      <c r="D472" s="328"/>
      <c r="E472" s="326"/>
      <c r="F472" s="328"/>
      <c r="G472" s="333"/>
      <c r="H472" s="333"/>
      <c r="I472" s="333"/>
      <c r="J472" s="333"/>
      <c r="K472" s="328"/>
      <c r="L472" s="328"/>
      <c r="M472" s="341"/>
      <c r="N472" s="328"/>
      <c r="O472" s="436"/>
      <c r="P472" s="437"/>
      <c r="Q472" s="438"/>
      <c r="R472" s="198"/>
      <c r="S472" s="198"/>
      <c r="T472" s="198"/>
      <c r="U472" s="198"/>
      <c r="V472" s="198"/>
      <c r="W472" s="198"/>
      <c r="X472" s="198"/>
      <c r="Y472" s="198"/>
      <c r="Z472" s="198"/>
      <c r="AA472" s="198"/>
    </row>
    <row r="473" ht="70.5" customHeight="1">
      <c r="A473" s="354"/>
      <c r="B473" s="328"/>
      <c r="C473" s="436"/>
      <c r="D473" s="328"/>
      <c r="E473" s="326"/>
      <c r="F473" s="328"/>
      <c r="G473" s="333"/>
      <c r="H473" s="333"/>
      <c r="I473" s="333"/>
      <c r="J473" s="333"/>
      <c r="K473" s="328"/>
      <c r="L473" s="328"/>
      <c r="M473" s="341"/>
      <c r="N473" s="328"/>
      <c r="O473" s="436"/>
      <c r="P473" s="437"/>
      <c r="Q473" s="438"/>
      <c r="R473" s="198"/>
      <c r="S473" s="198"/>
      <c r="T473" s="198"/>
      <c r="U473" s="198"/>
      <c r="V473" s="198"/>
      <c r="W473" s="198"/>
      <c r="X473" s="198"/>
      <c r="Y473" s="198"/>
      <c r="Z473" s="198"/>
      <c r="AA473" s="198"/>
    </row>
    <row r="474" ht="70.5" customHeight="1">
      <c r="A474" s="354"/>
      <c r="B474" s="328"/>
      <c r="C474" s="436"/>
      <c r="D474" s="328"/>
      <c r="E474" s="326"/>
      <c r="F474" s="328"/>
      <c r="G474" s="333"/>
      <c r="H474" s="333"/>
      <c r="I474" s="333"/>
      <c r="J474" s="333"/>
      <c r="K474" s="328"/>
      <c r="L474" s="328"/>
      <c r="M474" s="341"/>
      <c r="N474" s="328"/>
      <c r="O474" s="436"/>
      <c r="P474" s="437"/>
      <c r="Q474" s="438"/>
      <c r="R474" s="198"/>
      <c r="S474" s="198"/>
      <c r="T474" s="198"/>
      <c r="U474" s="198"/>
      <c r="V474" s="198"/>
      <c r="W474" s="198"/>
      <c r="X474" s="198"/>
      <c r="Y474" s="198"/>
      <c r="Z474" s="198"/>
      <c r="AA474" s="198"/>
    </row>
    <row r="475" ht="70.5" customHeight="1">
      <c r="A475" s="354"/>
      <c r="B475" s="328"/>
      <c r="C475" s="436"/>
      <c r="D475" s="328"/>
      <c r="E475" s="326"/>
      <c r="F475" s="328"/>
      <c r="G475" s="333"/>
      <c r="H475" s="333"/>
      <c r="I475" s="333"/>
      <c r="J475" s="333"/>
      <c r="K475" s="328"/>
      <c r="L475" s="328"/>
      <c r="M475" s="341"/>
      <c r="N475" s="328"/>
      <c r="O475" s="436"/>
      <c r="P475" s="437"/>
      <c r="Q475" s="438"/>
      <c r="R475" s="198"/>
      <c r="S475" s="198"/>
      <c r="T475" s="198"/>
      <c r="U475" s="198"/>
      <c r="V475" s="198"/>
      <c r="W475" s="198"/>
      <c r="X475" s="198"/>
      <c r="Y475" s="198"/>
      <c r="Z475" s="198"/>
      <c r="AA475" s="198"/>
    </row>
    <row r="476" ht="70.5" customHeight="1">
      <c r="A476" s="354"/>
      <c r="B476" s="328"/>
      <c r="C476" s="436"/>
      <c r="D476" s="328"/>
      <c r="E476" s="326"/>
      <c r="F476" s="328"/>
      <c r="G476" s="333"/>
      <c r="H476" s="333"/>
      <c r="I476" s="333"/>
      <c r="J476" s="333"/>
      <c r="K476" s="328"/>
      <c r="L476" s="328"/>
      <c r="M476" s="341"/>
      <c r="N476" s="328"/>
      <c r="O476" s="436"/>
      <c r="P476" s="437"/>
      <c r="Q476" s="438"/>
      <c r="R476" s="198"/>
      <c r="S476" s="198"/>
      <c r="T476" s="198"/>
      <c r="U476" s="198"/>
      <c r="V476" s="198"/>
      <c r="W476" s="198"/>
      <c r="X476" s="198"/>
      <c r="Y476" s="198"/>
      <c r="Z476" s="198"/>
      <c r="AA476" s="198"/>
    </row>
    <row r="477" ht="70.5" customHeight="1">
      <c r="A477" s="354"/>
      <c r="B477" s="328"/>
      <c r="C477" s="436"/>
      <c r="D477" s="328"/>
      <c r="E477" s="326"/>
      <c r="F477" s="328"/>
      <c r="G477" s="333"/>
      <c r="H477" s="333"/>
      <c r="I477" s="333"/>
      <c r="J477" s="333"/>
      <c r="K477" s="328"/>
      <c r="L477" s="328"/>
      <c r="M477" s="341"/>
      <c r="N477" s="328"/>
      <c r="O477" s="436"/>
      <c r="P477" s="437"/>
      <c r="Q477" s="438"/>
      <c r="R477" s="198"/>
      <c r="S477" s="198"/>
      <c r="T477" s="198"/>
      <c r="U477" s="198"/>
      <c r="V477" s="198"/>
      <c r="W477" s="198"/>
      <c r="X477" s="198"/>
      <c r="Y477" s="198"/>
      <c r="Z477" s="198"/>
      <c r="AA477" s="198"/>
    </row>
    <row r="478" ht="70.5" customHeight="1">
      <c r="A478" s="354"/>
      <c r="B478" s="328"/>
      <c r="C478" s="436"/>
      <c r="D478" s="328"/>
      <c r="E478" s="326"/>
      <c r="F478" s="328"/>
      <c r="G478" s="333"/>
      <c r="H478" s="333"/>
      <c r="I478" s="333"/>
      <c r="J478" s="333"/>
      <c r="K478" s="328"/>
      <c r="L478" s="328"/>
      <c r="M478" s="341"/>
      <c r="N478" s="328"/>
      <c r="O478" s="436"/>
      <c r="P478" s="437"/>
      <c r="Q478" s="438"/>
      <c r="R478" s="198"/>
      <c r="S478" s="198"/>
      <c r="T478" s="198"/>
      <c r="U478" s="198"/>
      <c r="V478" s="198"/>
      <c r="W478" s="198"/>
      <c r="X478" s="198"/>
      <c r="Y478" s="198"/>
      <c r="Z478" s="198"/>
      <c r="AA478" s="198"/>
    </row>
    <row r="479" ht="70.5" customHeight="1">
      <c r="A479" s="354"/>
      <c r="B479" s="328"/>
      <c r="C479" s="436"/>
      <c r="D479" s="328"/>
      <c r="E479" s="326"/>
      <c r="F479" s="328"/>
      <c r="G479" s="333"/>
      <c r="H479" s="333"/>
      <c r="I479" s="333"/>
      <c r="J479" s="333"/>
      <c r="K479" s="328"/>
      <c r="L479" s="328"/>
      <c r="M479" s="341"/>
      <c r="N479" s="328"/>
      <c r="O479" s="436"/>
      <c r="P479" s="437"/>
      <c r="Q479" s="438"/>
      <c r="R479" s="198"/>
      <c r="S479" s="198"/>
      <c r="T479" s="198"/>
      <c r="U479" s="198"/>
      <c r="V479" s="198"/>
      <c r="W479" s="198"/>
      <c r="X479" s="198"/>
      <c r="Y479" s="198"/>
      <c r="Z479" s="198"/>
      <c r="AA479" s="198"/>
    </row>
    <row r="480" ht="70.5" customHeight="1">
      <c r="A480" s="354"/>
      <c r="B480" s="328"/>
      <c r="C480" s="436"/>
      <c r="D480" s="328"/>
      <c r="E480" s="326"/>
      <c r="F480" s="328"/>
      <c r="G480" s="333"/>
      <c r="H480" s="333"/>
      <c r="I480" s="333"/>
      <c r="J480" s="333"/>
      <c r="K480" s="328"/>
      <c r="L480" s="328"/>
      <c r="M480" s="341"/>
      <c r="N480" s="328"/>
      <c r="O480" s="436"/>
      <c r="P480" s="437"/>
      <c r="Q480" s="438"/>
      <c r="R480" s="198"/>
      <c r="S480" s="198"/>
      <c r="T480" s="198"/>
      <c r="U480" s="198"/>
      <c r="V480" s="198"/>
      <c r="W480" s="198"/>
      <c r="X480" s="198"/>
      <c r="Y480" s="198"/>
      <c r="Z480" s="198"/>
      <c r="AA480" s="198"/>
    </row>
    <row r="481" ht="70.5" customHeight="1">
      <c r="A481" s="354"/>
      <c r="B481" s="328"/>
      <c r="C481" s="436"/>
      <c r="D481" s="328"/>
      <c r="E481" s="326"/>
      <c r="F481" s="328"/>
      <c r="G481" s="333"/>
      <c r="H481" s="333"/>
      <c r="I481" s="333"/>
      <c r="J481" s="333"/>
      <c r="K481" s="328"/>
      <c r="L481" s="328"/>
      <c r="M481" s="341"/>
      <c r="N481" s="328"/>
      <c r="O481" s="436"/>
      <c r="P481" s="437"/>
      <c r="Q481" s="438"/>
      <c r="R481" s="198"/>
      <c r="S481" s="198"/>
      <c r="T481" s="198"/>
      <c r="U481" s="198"/>
      <c r="V481" s="198"/>
      <c r="W481" s="198"/>
      <c r="X481" s="198"/>
      <c r="Y481" s="198"/>
      <c r="Z481" s="198"/>
      <c r="AA481" s="198"/>
    </row>
    <row r="482" ht="70.5" customHeight="1">
      <c r="A482" s="354"/>
      <c r="B482" s="328"/>
      <c r="C482" s="436"/>
      <c r="D482" s="328"/>
      <c r="E482" s="326"/>
      <c r="F482" s="328"/>
      <c r="G482" s="333"/>
      <c r="H482" s="333"/>
      <c r="I482" s="333"/>
      <c r="J482" s="333"/>
      <c r="K482" s="328"/>
      <c r="L482" s="328"/>
      <c r="M482" s="341"/>
      <c r="N482" s="328"/>
      <c r="O482" s="436"/>
      <c r="P482" s="437"/>
      <c r="Q482" s="438"/>
      <c r="R482" s="198"/>
      <c r="S482" s="198"/>
      <c r="T482" s="198"/>
      <c r="U482" s="198"/>
      <c r="V482" s="198"/>
      <c r="W482" s="198"/>
      <c r="X482" s="198"/>
      <c r="Y482" s="198"/>
      <c r="Z482" s="198"/>
      <c r="AA482" s="198"/>
    </row>
    <row r="483" ht="70.5" customHeight="1">
      <c r="A483" s="354"/>
      <c r="B483" s="328"/>
      <c r="C483" s="436"/>
      <c r="D483" s="328"/>
      <c r="E483" s="326"/>
      <c r="F483" s="328"/>
      <c r="G483" s="333"/>
      <c r="H483" s="333"/>
      <c r="I483" s="333"/>
      <c r="J483" s="333"/>
      <c r="K483" s="328"/>
      <c r="L483" s="328"/>
      <c r="M483" s="341"/>
      <c r="N483" s="328"/>
      <c r="O483" s="436"/>
      <c r="P483" s="437"/>
      <c r="Q483" s="438"/>
      <c r="R483" s="198"/>
      <c r="S483" s="198"/>
      <c r="T483" s="198"/>
      <c r="U483" s="198"/>
      <c r="V483" s="198"/>
      <c r="W483" s="198"/>
      <c r="X483" s="198"/>
      <c r="Y483" s="198"/>
      <c r="Z483" s="198"/>
      <c r="AA483" s="198"/>
    </row>
    <row r="484" ht="70.5" customHeight="1">
      <c r="A484" s="354"/>
      <c r="B484" s="328"/>
      <c r="C484" s="436"/>
      <c r="D484" s="328"/>
      <c r="E484" s="326"/>
      <c r="F484" s="328"/>
      <c r="G484" s="333"/>
      <c r="H484" s="333"/>
      <c r="I484" s="333"/>
      <c r="J484" s="333"/>
      <c r="K484" s="328"/>
      <c r="L484" s="328"/>
      <c r="M484" s="341"/>
      <c r="N484" s="328"/>
      <c r="O484" s="436"/>
      <c r="P484" s="437"/>
      <c r="Q484" s="438"/>
      <c r="R484" s="198"/>
      <c r="S484" s="198"/>
      <c r="T484" s="198"/>
      <c r="U484" s="198"/>
      <c r="V484" s="198"/>
      <c r="W484" s="198"/>
      <c r="X484" s="198"/>
      <c r="Y484" s="198"/>
      <c r="Z484" s="198"/>
      <c r="AA484" s="198"/>
    </row>
    <row r="485" ht="70.5" customHeight="1">
      <c r="A485" s="354"/>
      <c r="B485" s="328"/>
      <c r="C485" s="436"/>
      <c r="D485" s="328"/>
      <c r="E485" s="326"/>
      <c r="F485" s="328"/>
      <c r="G485" s="333"/>
      <c r="H485" s="333"/>
      <c r="I485" s="333"/>
      <c r="J485" s="333"/>
      <c r="K485" s="328"/>
      <c r="L485" s="328"/>
      <c r="M485" s="341"/>
      <c r="N485" s="328"/>
      <c r="O485" s="436"/>
      <c r="P485" s="437"/>
      <c r="Q485" s="438"/>
      <c r="R485" s="198"/>
      <c r="S485" s="198"/>
      <c r="T485" s="198"/>
      <c r="U485" s="198"/>
      <c r="V485" s="198"/>
      <c r="W485" s="198"/>
      <c r="X485" s="198"/>
      <c r="Y485" s="198"/>
      <c r="Z485" s="198"/>
      <c r="AA485" s="198"/>
    </row>
    <row r="486" ht="70.5" customHeight="1">
      <c r="A486" s="354"/>
      <c r="B486" s="328"/>
      <c r="C486" s="436"/>
      <c r="D486" s="328"/>
      <c r="E486" s="326"/>
      <c r="F486" s="328"/>
      <c r="G486" s="333"/>
      <c r="H486" s="333"/>
      <c r="I486" s="333"/>
      <c r="J486" s="333"/>
      <c r="K486" s="328"/>
      <c r="L486" s="328"/>
      <c r="M486" s="341"/>
      <c r="N486" s="328"/>
      <c r="O486" s="436"/>
      <c r="P486" s="437"/>
      <c r="Q486" s="438"/>
      <c r="R486" s="198"/>
      <c r="S486" s="198"/>
      <c r="T486" s="198"/>
      <c r="U486" s="198"/>
      <c r="V486" s="198"/>
      <c r="W486" s="198"/>
      <c r="X486" s="198"/>
      <c r="Y486" s="198"/>
      <c r="Z486" s="198"/>
      <c r="AA486" s="198"/>
    </row>
    <row r="487" ht="70.5" customHeight="1">
      <c r="A487" s="354"/>
      <c r="B487" s="328"/>
      <c r="C487" s="436"/>
      <c r="D487" s="328"/>
      <c r="E487" s="326"/>
      <c r="F487" s="328"/>
      <c r="G487" s="333"/>
      <c r="H487" s="333"/>
      <c r="I487" s="333"/>
      <c r="J487" s="333"/>
      <c r="K487" s="328"/>
      <c r="L487" s="328"/>
      <c r="M487" s="341"/>
      <c r="N487" s="328"/>
      <c r="O487" s="436"/>
      <c r="P487" s="437"/>
      <c r="Q487" s="438"/>
      <c r="R487" s="198"/>
      <c r="S487" s="198"/>
      <c r="T487" s="198"/>
      <c r="U487" s="198"/>
      <c r="V487" s="198"/>
      <c r="W487" s="198"/>
      <c r="X487" s="198"/>
      <c r="Y487" s="198"/>
      <c r="Z487" s="198"/>
      <c r="AA487" s="198"/>
    </row>
    <row r="488" ht="70.5" customHeight="1">
      <c r="A488" s="354"/>
      <c r="B488" s="328"/>
      <c r="C488" s="436"/>
      <c r="D488" s="328"/>
      <c r="E488" s="326"/>
      <c r="F488" s="328"/>
      <c r="G488" s="333"/>
      <c r="H488" s="333"/>
      <c r="I488" s="333"/>
      <c r="J488" s="333"/>
      <c r="K488" s="328"/>
      <c r="L488" s="328"/>
      <c r="M488" s="341"/>
      <c r="N488" s="328"/>
      <c r="O488" s="436"/>
      <c r="P488" s="437"/>
      <c r="Q488" s="438"/>
      <c r="R488" s="198"/>
      <c r="S488" s="198"/>
      <c r="T488" s="198"/>
      <c r="U488" s="198"/>
      <c r="V488" s="198"/>
      <c r="W488" s="198"/>
      <c r="X488" s="198"/>
      <c r="Y488" s="198"/>
      <c r="Z488" s="198"/>
      <c r="AA488" s="198"/>
    </row>
    <row r="489" ht="70.5" customHeight="1">
      <c r="A489" s="354"/>
      <c r="B489" s="328"/>
      <c r="C489" s="436"/>
      <c r="D489" s="328"/>
      <c r="E489" s="326"/>
      <c r="F489" s="328"/>
      <c r="G489" s="333"/>
      <c r="H489" s="333"/>
      <c r="I489" s="333"/>
      <c r="J489" s="333"/>
      <c r="K489" s="328"/>
      <c r="L489" s="328"/>
      <c r="M489" s="341"/>
      <c r="N489" s="328"/>
      <c r="O489" s="436"/>
      <c r="P489" s="437"/>
      <c r="Q489" s="438"/>
      <c r="R489" s="198"/>
      <c r="S489" s="198"/>
      <c r="T489" s="198"/>
      <c r="U489" s="198"/>
      <c r="V489" s="198"/>
      <c r="W489" s="198"/>
      <c r="X489" s="198"/>
      <c r="Y489" s="198"/>
      <c r="Z489" s="198"/>
      <c r="AA489" s="198"/>
    </row>
    <row r="490" ht="70.5" customHeight="1">
      <c r="A490" s="354"/>
      <c r="B490" s="328"/>
      <c r="C490" s="436"/>
      <c r="D490" s="328"/>
      <c r="E490" s="326"/>
      <c r="F490" s="328"/>
      <c r="G490" s="333"/>
      <c r="H490" s="333"/>
      <c r="I490" s="333"/>
      <c r="J490" s="333"/>
      <c r="K490" s="328"/>
      <c r="L490" s="328"/>
      <c r="M490" s="341"/>
      <c r="N490" s="328"/>
      <c r="O490" s="436"/>
      <c r="P490" s="437"/>
      <c r="Q490" s="438"/>
      <c r="R490" s="198"/>
      <c r="S490" s="198"/>
      <c r="T490" s="198"/>
      <c r="U490" s="198"/>
      <c r="V490" s="198"/>
      <c r="W490" s="198"/>
      <c r="X490" s="198"/>
      <c r="Y490" s="198"/>
      <c r="Z490" s="198"/>
      <c r="AA490" s="198"/>
    </row>
    <row r="491" ht="70.5" customHeight="1">
      <c r="A491" s="354"/>
      <c r="B491" s="328"/>
      <c r="C491" s="436"/>
      <c r="D491" s="328"/>
      <c r="E491" s="326"/>
      <c r="F491" s="328"/>
      <c r="G491" s="333"/>
      <c r="H491" s="333"/>
      <c r="I491" s="333"/>
      <c r="J491" s="333"/>
      <c r="K491" s="328"/>
      <c r="L491" s="328"/>
      <c r="M491" s="341"/>
      <c r="N491" s="328"/>
      <c r="O491" s="436"/>
      <c r="P491" s="437"/>
      <c r="Q491" s="438"/>
      <c r="R491" s="198"/>
      <c r="S491" s="198"/>
      <c r="T491" s="198"/>
      <c r="U491" s="198"/>
      <c r="V491" s="198"/>
      <c r="W491" s="198"/>
      <c r="X491" s="198"/>
      <c r="Y491" s="198"/>
      <c r="Z491" s="198"/>
      <c r="AA491" s="198"/>
    </row>
    <row r="492" ht="70.5" customHeight="1">
      <c r="A492" s="354"/>
      <c r="B492" s="328"/>
      <c r="C492" s="436"/>
      <c r="D492" s="328"/>
      <c r="E492" s="326"/>
      <c r="F492" s="328"/>
      <c r="G492" s="333"/>
      <c r="H492" s="333"/>
      <c r="I492" s="333"/>
      <c r="J492" s="333"/>
      <c r="K492" s="328"/>
      <c r="L492" s="328"/>
      <c r="M492" s="341"/>
      <c r="N492" s="328"/>
      <c r="O492" s="436"/>
      <c r="P492" s="437"/>
      <c r="Q492" s="438"/>
      <c r="R492" s="198"/>
      <c r="S492" s="198"/>
      <c r="T492" s="198"/>
      <c r="U492" s="198"/>
      <c r="V492" s="198"/>
      <c r="W492" s="198"/>
      <c r="X492" s="198"/>
      <c r="Y492" s="198"/>
      <c r="Z492" s="198"/>
      <c r="AA492" s="198"/>
    </row>
    <row r="493" ht="70.5" customHeight="1">
      <c r="A493" s="354"/>
      <c r="B493" s="328"/>
      <c r="C493" s="436"/>
      <c r="D493" s="328"/>
      <c r="E493" s="326"/>
      <c r="F493" s="328"/>
      <c r="G493" s="333"/>
      <c r="H493" s="333"/>
      <c r="I493" s="333"/>
      <c r="J493" s="333"/>
      <c r="K493" s="328"/>
      <c r="L493" s="328"/>
      <c r="M493" s="341"/>
      <c r="N493" s="328"/>
      <c r="O493" s="436"/>
      <c r="P493" s="437"/>
      <c r="Q493" s="438"/>
      <c r="R493" s="198"/>
      <c r="S493" s="198"/>
      <c r="T493" s="198"/>
      <c r="U493" s="198"/>
      <c r="V493" s="198"/>
      <c r="W493" s="198"/>
      <c r="X493" s="198"/>
      <c r="Y493" s="198"/>
      <c r="Z493" s="198"/>
      <c r="AA493" s="198"/>
    </row>
    <row r="494" ht="70.5" customHeight="1">
      <c r="A494" s="354"/>
      <c r="B494" s="328"/>
      <c r="C494" s="436"/>
      <c r="D494" s="328"/>
      <c r="E494" s="326"/>
      <c r="F494" s="328"/>
      <c r="G494" s="333"/>
      <c r="H494" s="333"/>
      <c r="I494" s="333"/>
      <c r="J494" s="333"/>
      <c r="K494" s="328"/>
      <c r="L494" s="328"/>
      <c r="M494" s="341"/>
      <c r="N494" s="328"/>
      <c r="O494" s="436"/>
      <c r="P494" s="437"/>
      <c r="Q494" s="438"/>
      <c r="R494" s="198"/>
      <c r="S494" s="198"/>
      <c r="T494" s="198"/>
      <c r="U494" s="198"/>
      <c r="V494" s="198"/>
      <c r="W494" s="198"/>
      <c r="X494" s="198"/>
      <c r="Y494" s="198"/>
      <c r="Z494" s="198"/>
      <c r="AA494" s="198"/>
    </row>
    <row r="495" ht="70.5" customHeight="1">
      <c r="A495" s="354"/>
      <c r="B495" s="328"/>
      <c r="C495" s="436"/>
      <c r="D495" s="328"/>
      <c r="E495" s="326"/>
      <c r="F495" s="328"/>
      <c r="G495" s="333"/>
      <c r="H495" s="333"/>
      <c r="I495" s="333"/>
      <c r="J495" s="333"/>
      <c r="K495" s="328"/>
      <c r="L495" s="328"/>
      <c r="M495" s="341"/>
      <c r="N495" s="328"/>
      <c r="O495" s="436"/>
      <c r="P495" s="437"/>
      <c r="Q495" s="438"/>
      <c r="R495" s="198"/>
      <c r="S495" s="198"/>
      <c r="T495" s="198"/>
      <c r="U495" s="198"/>
      <c r="V495" s="198"/>
      <c r="W495" s="198"/>
      <c r="X495" s="198"/>
      <c r="Y495" s="198"/>
      <c r="Z495" s="198"/>
      <c r="AA495" s="198"/>
    </row>
    <row r="496" ht="70.5" customHeight="1">
      <c r="A496" s="354"/>
      <c r="B496" s="328"/>
      <c r="C496" s="436"/>
      <c r="D496" s="328"/>
      <c r="E496" s="326"/>
      <c r="F496" s="328"/>
      <c r="G496" s="333"/>
      <c r="H496" s="333"/>
      <c r="I496" s="333"/>
      <c r="J496" s="333"/>
      <c r="K496" s="328"/>
      <c r="L496" s="328"/>
      <c r="M496" s="341"/>
      <c r="N496" s="328"/>
      <c r="O496" s="436"/>
      <c r="P496" s="437"/>
      <c r="Q496" s="438"/>
      <c r="R496" s="198"/>
      <c r="S496" s="198"/>
      <c r="T496" s="198"/>
      <c r="U496" s="198"/>
      <c r="V496" s="198"/>
      <c r="W496" s="198"/>
      <c r="X496" s="198"/>
      <c r="Y496" s="198"/>
      <c r="Z496" s="198"/>
      <c r="AA496" s="198"/>
    </row>
    <row r="497" ht="70.5" customHeight="1">
      <c r="A497" s="354"/>
      <c r="B497" s="328"/>
      <c r="C497" s="436"/>
      <c r="D497" s="328"/>
      <c r="E497" s="326"/>
      <c r="F497" s="328"/>
      <c r="G497" s="333"/>
      <c r="H497" s="333"/>
      <c r="I497" s="333"/>
      <c r="J497" s="333"/>
      <c r="K497" s="328"/>
      <c r="L497" s="328"/>
      <c r="M497" s="341"/>
      <c r="N497" s="328"/>
      <c r="O497" s="436"/>
      <c r="P497" s="437"/>
      <c r="Q497" s="438"/>
      <c r="R497" s="198"/>
      <c r="S497" s="198"/>
      <c r="T497" s="198"/>
      <c r="U497" s="198"/>
      <c r="V497" s="198"/>
      <c r="W497" s="198"/>
      <c r="X497" s="198"/>
      <c r="Y497" s="198"/>
      <c r="Z497" s="198"/>
      <c r="AA497" s="198"/>
    </row>
    <row r="498" ht="70.5" customHeight="1">
      <c r="A498" s="354"/>
      <c r="B498" s="328"/>
      <c r="C498" s="436"/>
      <c r="D498" s="328"/>
      <c r="E498" s="326"/>
      <c r="F498" s="328"/>
      <c r="G498" s="333"/>
      <c r="H498" s="333"/>
      <c r="I498" s="333"/>
      <c r="J498" s="333"/>
      <c r="K498" s="328"/>
      <c r="L498" s="328"/>
      <c r="M498" s="341"/>
      <c r="N498" s="328"/>
      <c r="O498" s="436"/>
      <c r="P498" s="437"/>
      <c r="Q498" s="438"/>
      <c r="R498" s="198"/>
      <c r="S498" s="198"/>
      <c r="T498" s="198"/>
      <c r="U498" s="198"/>
      <c r="V498" s="198"/>
      <c r="W498" s="198"/>
      <c r="X498" s="198"/>
      <c r="Y498" s="198"/>
      <c r="Z498" s="198"/>
      <c r="AA498" s="198"/>
    </row>
    <row r="499" ht="70.5" customHeight="1">
      <c r="A499" s="354"/>
      <c r="B499" s="328"/>
      <c r="C499" s="436"/>
      <c r="D499" s="328"/>
      <c r="E499" s="326"/>
      <c r="F499" s="328"/>
      <c r="G499" s="333"/>
      <c r="H499" s="333"/>
      <c r="I499" s="333"/>
      <c r="J499" s="333"/>
      <c r="K499" s="328"/>
      <c r="L499" s="328"/>
      <c r="M499" s="341"/>
      <c r="N499" s="328"/>
      <c r="O499" s="436"/>
      <c r="P499" s="437"/>
      <c r="Q499" s="438"/>
      <c r="R499" s="198"/>
      <c r="S499" s="198"/>
      <c r="T499" s="198"/>
      <c r="U499" s="198"/>
      <c r="V499" s="198"/>
      <c r="W499" s="198"/>
      <c r="X499" s="198"/>
      <c r="Y499" s="198"/>
      <c r="Z499" s="198"/>
      <c r="AA499" s="198"/>
    </row>
    <row r="500" ht="70.5" customHeight="1">
      <c r="A500" s="354"/>
      <c r="B500" s="328"/>
      <c r="C500" s="436"/>
      <c r="D500" s="328"/>
      <c r="E500" s="326"/>
      <c r="F500" s="328"/>
      <c r="G500" s="333"/>
      <c r="H500" s="333"/>
      <c r="I500" s="333"/>
      <c r="J500" s="333"/>
      <c r="K500" s="328"/>
      <c r="L500" s="328"/>
      <c r="M500" s="341"/>
      <c r="N500" s="328"/>
      <c r="O500" s="436"/>
      <c r="P500" s="437"/>
      <c r="Q500" s="438"/>
      <c r="R500" s="198"/>
      <c r="S500" s="198"/>
      <c r="T500" s="198"/>
      <c r="U500" s="198"/>
      <c r="V500" s="198"/>
      <c r="W500" s="198"/>
      <c r="X500" s="198"/>
      <c r="Y500" s="198"/>
      <c r="Z500" s="198"/>
      <c r="AA500" s="198"/>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A$400">
    <sortState ref="A2:AA400">
      <sortCondition descending="1" ref="F2:F400"/>
      <sortCondition descending="1" ref="H2:H400"/>
      <sortCondition descending="1" ref="G2:G400"/>
    </sortState>
  </autoFilter>
  <customSheetViews>
    <customSheetView guid="{95BBA70E-041C-4252-8140-8C60EDD1FE61}" filter="1" showAutoFilter="1">
      <autoFilter ref="$A$2:$AA$393">
        <sortState ref="A2:AA393">
          <sortCondition descending="1" ref="G2:G393"/>
        </sortState>
      </autoFilter>
      <extLst>
        <ext uri="GoogleSheetsCustomDataVersion1">
          <go:sheetsCustomData xmlns:go="http://customooxmlschemas.google.com/" filterViewId="1438185704"/>
        </ext>
      </extLst>
    </customSheetView>
    <customSheetView guid="{00B2829D-B7E0-4616-9A59-3B9A6276FFD8}" filter="1" showAutoFilter="1">
      <autoFilter ref="$A$2:$AA$393">
        <sortState ref="A2:AA393">
          <sortCondition descending="1" ref="G2:G393"/>
        </sortState>
      </autoFilter>
      <extLst>
        <ext uri="GoogleSheetsCustomDataVersion1">
          <go:sheetsCustomData xmlns:go="http://customooxmlschemas.google.com/" filterViewId="1888637720"/>
        </ext>
      </extLst>
    </customSheetView>
    <customSheetView guid="{7D5F711D-5A8F-448B-80F8-7ED115B7D700}" filter="1" showAutoFilter="1">
      <autoFilter ref="$A$2:$AA$393">
        <sortState ref="A2:AA393">
          <sortCondition descending="1" ref="G2:G393"/>
        </sortState>
      </autoFilter>
      <extLst>
        <ext uri="GoogleSheetsCustomDataVersion1">
          <go:sheetsCustomData xmlns:go="http://customooxmlschemas.google.com/" filterViewId="1908602100"/>
        </ext>
      </extLst>
    </customSheetView>
    <customSheetView guid="{D323515A-3346-4B3A-AC6E-D498D2CE12A3}" filter="1" showAutoFilter="1">
      <autoFilter ref="$A$2:$AA$393">
        <sortState ref="A2:AA393">
          <sortCondition descending="1" ref="G2:G393"/>
        </sortState>
      </autoFilter>
      <extLst>
        <ext uri="GoogleSheetsCustomDataVersion1">
          <go:sheetsCustomData xmlns:go="http://customooxmlschemas.google.com/" filterViewId="28383043"/>
        </ext>
      </extLst>
    </customSheetView>
    <customSheetView guid="{A68C8BD8-0AC8-4474-A1AC-D148C94E75F1}" filter="1" showAutoFilter="1">
      <autoFilter ref="$A$2:$AA$393">
        <sortState ref="A2:AA393">
          <sortCondition descending="1" ref="G2:G393"/>
        </sortState>
      </autoFilter>
      <extLst>
        <ext uri="GoogleSheetsCustomDataVersion1">
          <go:sheetsCustomData xmlns:go="http://customooxmlschemas.google.com/" filterViewId="727665319"/>
        </ext>
      </extLst>
    </customSheetView>
    <customSheetView guid="{20EEC496-0D08-4E73-A8E0-60C165BF345B}" filter="1" showAutoFilter="1">
      <autoFilter ref="$A$2:$AA$400"/>
      <extLst>
        <ext uri="GoogleSheetsCustomDataVersion1">
          <go:sheetsCustomData xmlns:go="http://customooxmlschemas.google.com/" filterViewId="746832949"/>
        </ext>
      </extLst>
    </customSheetView>
  </customSheetView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E168"/>
    <hyperlink r:id="rId168" ref="A169"/>
    <hyperlink r:id="rId169" ref="E169"/>
    <hyperlink r:id="rId170" ref="A170"/>
    <hyperlink r:id="rId171" ref="E170"/>
    <hyperlink r:id="rId172" ref="A171"/>
    <hyperlink r:id="rId173" ref="A172"/>
    <hyperlink r:id="rId174" ref="A173"/>
    <hyperlink r:id="rId175" ref="A174"/>
    <hyperlink r:id="rId176" ref="A175"/>
    <hyperlink r:id="rId177" ref="A176"/>
    <hyperlink r:id="rId178" ref="A177"/>
    <hyperlink r:id="rId179" ref="A178"/>
    <hyperlink r:id="rId180" ref="A179"/>
    <hyperlink r:id="rId181" ref="A180"/>
    <hyperlink r:id="rId182" ref="A181"/>
    <hyperlink r:id="rId183" ref="A182"/>
    <hyperlink r:id="rId184" ref="A183"/>
    <hyperlink r:id="rId185" ref="A184"/>
    <hyperlink r:id="rId186" ref="A185"/>
    <hyperlink r:id="rId187" ref="A186"/>
    <hyperlink r:id="rId188" ref="A187"/>
    <hyperlink r:id="rId189" ref="A188"/>
    <hyperlink r:id="rId190" ref="A189"/>
    <hyperlink r:id="rId191" ref="A190"/>
    <hyperlink r:id="rId192" ref="A191"/>
    <hyperlink r:id="rId193" ref="A192"/>
    <hyperlink r:id="rId194" ref="A193"/>
    <hyperlink r:id="rId195" ref="A194"/>
    <hyperlink r:id="rId196" ref="A195"/>
    <hyperlink r:id="rId197" ref="A196"/>
    <hyperlink r:id="rId198" ref="A197"/>
    <hyperlink r:id="rId199" ref="A198"/>
    <hyperlink r:id="rId200" ref="A199"/>
    <hyperlink r:id="rId201" ref="A200"/>
    <hyperlink r:id="rId202" ref="A201"/>
    <hyperlink r:id="rId203" ref="A202"/>
    <hyperlink r:id="rId204" ref="A203"/>
    <hyperlink r:id="rId205" ref="A204"/>
    <hyperlink r:id="rId206" ref="A205"/>
    <hyperlink r:id="rId207" ref="A206"/>
    <hyperlink r:id="rId208" ref="A207"/>
    <hyperlink r:id="rId209" ref="A208"/>
    <hyperlink r:id="rId210" ref="A209"/>
    <hyperlink r:id="rId211" ref="A210"/>
    <hyperlink r:id="rId212" ref="A211"/>
    <hyperlink r:id="rId213" ref="A212"/>
    <hyperlink r:id="rId214" ref="A213"/>
    <hyperlink r:id="rId215" ref="A214"/>
    <hyperlink r:id="rId216" ref="A215"/>
    <hyperlink r:id="rId217" ref="A216"/>
    <hyperlink r:id="rId218" ref="A217"/>
    <hyperlink r:id="rId219" ref="A218"/>
    <hyperlink r:id="rId220" ref="A219"/>
    <hyperlink r:id="rId221" ref="A220"/>
    <hyperlink r:id="rId222" ref="A221"/>
    <hyperlink r:id="rId223" ref="A222"/>
    <hyperlink r:id="rId224" ref="A223"/>
    <hyperlink r:id="rId225" ref="A224"/>
    <hyperlink r:id="rId226" ref="A225"/>
    <hyperlink r:id="rId227" ref="A226"/>
    <hyperlink r:id="rId228" ref="A227"/>
    <hyperlink r:id="rId229" ref="A228"/>
    <hyperlink r:id="rId230" ref="A229"/>
    <hyperlink r:id="rId231" ref="A230"/>
    <hyperlink r:id="rId232" ref="A231"/>
    <hyperlink r:id="rId233" ref="A232"/>
    <hyperlink r:id="rId234" ref="A233"/>
    <hyperlink r:id="rId235" ref="A234"/>
    <hyperlink r:id="rId236" ref="A235"/>
    <hyperlink r:id="rId237" ref="A236"/>
    <hyperlink r:id="rId238" ref="A237"/>
    <hyperlink r:id="rId239" ref="A238"/>
    <hyperlink r:id="rId240" ref="A239"/>
    <hyperlink r:id="rId241" ref="A240"/>
    <hyperlink r:id="rId242" ref="A241"/>
    <hyperlink r:id="rId243" ref="A242"/>
    <hyperlink r:id="rId244" ref="A243"/>
    <hyperlink r:id="rId245" ref="A244"/>
    <hyperlink r:id="rId246" ref="A245"/>
    <hyperlink r:id="rId247" ref="A246"/>
    <hyperlink r:id="rId248" ref="A247"/>
    <hyperlink r:id="rId249" ref="A248"/>
    <hyperlink r:id="rId250" ref="A249"/>
    <hyperlink r:id="rId251" ref="A250"/>
    <hyperlink r:id="rId252" ref="A251"/>
    <hyperlink r:id="rId253" ref="A252"/>
    <hyperlink r:id="rId254" ref="A253"/>
    <hyperlink r:id="rId255" ref="A254"/>
    <hyperlink r:id="rId256" ref="A255"/>
    <hyperlink r:id="rId257" ref="A256"/>
    <hyperlink r:id="rId258" ref="A257"/>
    <hyperlink r:id="rId259" ref="A258"/>
    <hyperlink r:id="rId260" ref="A259"/>
    <hyperlink r:id="rId261" ref="A260"/>
    <hyperlink r:id="rId262" ref="A261"/>
    <hyperlink r:id="rId263" ref="A262"/>
    <hyperlink r:id="rId264" ref="A263"/>
    <hyperlink r:id="rId265" ref="A264"/>
    <hyperlink r:id="rId266" ref="A265"/>
    <hyperlink r:id="rId267" ref="A266"/>
    <hyperlink r:id="rId268" ref="A267"/>
    <hyperlink r:id="rId269" ref="A268"/>
    <hyperlink r:id="rId270" ref="A269"/>
    <hyperlink r:id="rId271" ref="A270"/>
    <hyperlink r:id="rId272" ref="A271"/>
    <hyperlink r:id="rId273" ref="A272"/>
    <hyperlink r:id="rId274" ref="A273"/>
    <hyperlink r:id="rId275" ref="A274"/>
    <hyperlink r:id="rId276" ref="A275"/>
    <hyperlink r:id="rId277" ref="A276"/>
    <hyperlink r:id="rId278" ref="A277"/>
    <hyperlink r:id="rId279" ref="A278"/>
    <hyperlink r:id="rId280" ref="A279"/>
    <hyperlink r:id="rId281" ref="A280"/>
    <hyperlink r:id="rId282" ref="A281"/>
    <hyperlink r:id="rId283" ref="A282"/>
    <hyperlink r:id="rId284" ref="A283"/>
    <hyperlink r:id="rId285" ref="A284"/>
    <hyperlink r:id="rId286" ref="A285"/>
    <hyperlink r:id="rId287" ref="A286"/>
    <hyperlink r:id="rId288" ref="A287"/>
    <hyperlink r:id="rId289" ref="A288"/>
    <hyperlink r:id="rId290" ref="A289"/>
    <hyperlink r:id="rId291" ref="A290"/>
    <hyperlink r:id="rId292" ref="A291"/>
    <hyperlink r:id="rId293" ref="A292"/>
    <hyperlink r:id="rId294" ref="A293"/>
    <hyperlink r:id="rId295" ref="A294"/>
    <hyperlink r:id="rId296" ref="A295"/>
    <hyperlink r:id="rId297" ref="A296"/>
    <hyperlink r:id="rId298" ref="A297"/>
    <hyperlink r:id="rId299" ref="A298"/>
    <hyperlink r:id="rId300" ref="A299"/>
    <hyperlink r:id="rId301" ref="A300"/>
    <hyperlink r:id="rId302" ref="A301"/>
    <hyperlink r:id="rId303" ref="A302"/>
    <hyperlink r:id="rId304" ref="A303"/>
    <hyperlink r:id="rId305" ref="A304"/>
    <hyperlink r:id="rId306" ref="A305"/>
    <hyperlink r:id="rId307" ref="A306"/>
    <hyperlink r:id="rId308" ref="A307"/>
    <hyperlink r:id="rId309" ref="A308"/>
    <hyperlink r:id="rId310" ref="A309"/>
    <hyperlink r:id="rId311" ref="A310"/>
    <hyperlink r:id="rId312" ref="A311"/>
    <hyperlink r:id="rId313" ref="A312"/>
    <hyperlink r:id="rId314" ref="A313"/>
    <hyperlink r:id="rId315" ref="A314"/>
    <hyperlink r:id="rId316" ref="A315"/>
    <hyperlink r:id="rId317" ref="A316"/>
    <hyperlink r:id="rId318" ref="A317"/>
    <hyperlink r:id="rId319" ref="A318"/>
    <hyperlink r:id="rId320" ref="A319"/>
    <hyperlink r:id="rId321" ref="A320"/>
    <hyperlink r:id="rId322" ref="A321"/>
    <hyperlink r:id="rId323" ref="A322"/>
    <hyperlink r:id="rId324" ref="A323"/>
    <hyperlink r:id="rId325" ref="A324"/>
    <hyperlink r:id="rId326" ref="A325"/>
    <hyperlink r:id="rId327" ref="A326"/>
    <hyperlink r:id="rId328" ref="A327"/>
    <hyperlink r:id="rId329" ref="A328"/>
    <hyperlink r:id="rId330" ref="A329"/>
    <hyperlink r:id="rId331" ref="A330"/>
    <hyperlink r:id="rId332" ref="A331"/>
    <hyperlink r:id="rId333" ref="A332"/>
    <hyperlink r:id="rId334" ref="A333"/>
    <hyperlink r:id="rId335" ref="A334"/>
    <hyperlink r:id="rId336" ref="A335"/>
    <hyperlink r:id="rId337" ref="A336"/>
    <hyperlink r:id="rId338" ref="A337"/>
    <hyperlink r:id="rId339" ref="A338"/>
    <hyperlink r:id="rId340" ref="A339"/>
    <hyperlink r:id="rId341" ref="A340"/>
    <hyperlink r:id="rId342" ref="A341"/>
    <hyperlink r:id="rId343" ref="A342"/>
    <hyperlink r:id="rId344" ref="A343"/>
    <hyperlink r:id="rId345" ref="A344"/>
    <hyperlink r:id="rId346" ref="A345"/>
    <hyperlink r:id="rId347" ref="A346"/>
    <hyperlink r:id="rId348" ref="A347"/>
    <hyperlink r:id="rId349" ref="A348"/>
    <hyperlink r:id="rId350" ref="A349"/>
    <hyperlink r:id="rId351" ref="A350"/>
    <hyperlink r:id="rId352" ref="A351"/>
    <hyperlink r:id="rId353" ref="A352"/>
    <hyperlink r:id="rId354" ref="A353"/>
    <hyperlink r:id="rId355" ref="A354"/>
    <hyperlink r:id="rId356" ref="A355"/>
    <hyperlink r:id="rId357" ref="A356"/>
    <hyperlink r:id="rId358" ref="A357"/>
    <hyperlink r:id="rId359" ref="A358"/>
    <hyperlink r:id="rId360" ref="A359"/>
    <hyperlink r:id="rId361" ref="A360"/>
    <hyperlink r:id="rId362" ref="A361"/>
    <hyperlink r:id="rId363" ref="A362"/>
    <hyperlink r:id="rId364" ref="A363"/>
    <hyperlink r:id="rId365" ref="A364"/>
    <hyperlink r:id="rId366" ref="A365"/>
    <hyperlink r:id="rId367" ref="A366"/>
    <hyperlink r:id="rId368" ref="A367"/>
    <hyperlink r:id="rId369" ref="A368"/>
    <hyperlink r:id="rId370" ref="A369"/>
    <hyperlink r:id="rId371" ref="A370"/>
    <hyperlink r:id="rId372" ref="A371"/>
    <hyperlink r:id="rId373" ref="A372"/>
    <hyperlink r:id="rId374" ref="A373"/>
    <hyperlink r:id="rId375" ref="A374"/>
    <hyperlink r:id="rId376" ref="A375"/>
    <hyperlink r:id="rId377" ref="A376"/>
    <hyperlink r:id="rId378" ref="A377"/>
    <hyperlink r:id="rId379" ref="A378"/>
    <hyperlink r:id="rId380" ref="A379"/>
    <hyperlink r:id="rId381" ref="A380"/>
    <hyperlink r:id="rId382" ref="A381"/>
    <hyperlink r:id="rId383" ref="A382"/>
    <hyperlink r:id="rId384" ref="A383"/>
    <hyperlink r:id="rId385" ref="A384"/>
    <hyperlink r:id="rId386" ref="A385"/>
    <hyperlink r:id="rId387" ref="A386"/>
    <hyperlink r:id="rId388" ref="A387"/>
    <hyperlink r:id="rId389" ref="A388"/>
    <hyperlink r:id="rId390" ref="A389"/>
    <hyperlink r:id="rId391" ref="A390"/>
    <hyperlink r:id="rId392" ref="A391"/>
    <hyperlink r:id="rId393" ref="A392"/>
    <hyperlink r:id="rId394" ref="A393"/>
    <hyperlink r:id="rId395" ref="A394"/>
    <hyperlink r:id="rId396" ref="A395"/>
    <hyperlink r:id="rId397" ref="A396"/>
    <hyperlink r:id="rId398" ref="A397"/>
    <hyperlink r:id="rId399" ref="A398"/>
    <hyperlink r:id="rId400" ref="A399"/>
    <hyperlink r:id="rId401" ref="A400"/>
  </hyperlinks>
  <printOptions gridLines="1" horizontalCentered="1"/>
  <pageMargins bottom="0.75" footer="0.0" header="0.0" left="0.7" right="0.7" top="0.75"/>
  <pageSetup fitToHeight="0" cellComments="atEnd" orientation="landscape" pageOrder="overThenDown"/>
  <drawing r:id="rId40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86"/>
    <col customWidth="1" min="2" max="3" width="10.71"/>
    <col customWidth="1" min="4" max="4" width="17.43"/>
    <col customWidth="1" min="5" max="5" width="55.0"/>
    <col customWidth="1" min="6" max="6" width="11.43"/>
    <col customWidth="1" min="7" max="7" width="11.71"/>
    <col customWidth="1" min="8" max="8" width="13.0"/>
    <col customWidth="1" min="9" max="9" width="13.29"/>
    <col customWidth="1" min="10" max="10" width="43.29"/>
    <col customWidth="1" min="11" max="11" width="14.29"/>
    <col customWidth="1" min="12" max="12" width="12.86"/>
    <col customWidth="1" min="13" max="13" width="39.14"/>
    <col customWidth="1" min="17" max="17" width="33.0"/>
  </cols>
  <sheetData>
    <row r="1" ht="51.0" customHeight="1">
      <c r="A1" s="269"/>
      <c r="B1" s="421" t="s">
        <v>6313</v>
      </c>
      <c r="C1" s="269"/>
      <c r="D1" s="358" t="s">
        <v>6314</v>
      </c>
      <c r="E1" s="270" t="s">
        <v>3</v>
      </c>
      <c r="F1" s="422" t="s">
        <v>6315</v>
      </c>
      <c r="G1" s="359" t="s">
        <v>5915</v>
      </c>
      <c r="H1" s="359" t="s">
        <v>7400</v>
      </c>
      <c r="I1" s="360" t="s">
        <v>2522</v>
      </c>
      <c r="J1" s="269" t="s">
        <v>2107</v>
      </c>
      <c r="K1" s="269"/>
      <c r="L1" s="269"/>
      <c r="M1" s="439"/>
      <c r="N1" s="269"/>
      <c r="O1" s="269"/>
      <c r="P1" s="275"/>
      <c r="Q1" s="363"/>
      <c r="R1" s="364"/>
      <c r="S1" s="364"/>
      <c r="T1" s="364"/>
      <c r="U1" s="364"/>
      <c r="V1" s="364"/>
      <c r="W1" s="364"/>
      <c r="X1" s="364"/>
      <c r="Y1" s="364"/>
      <c r="Z1" s="364"/>
      <c r="AA1" s="364"/>
    </row>
    <row r="2" ht="51.0" customHeight="1">
      <c r="A2" s="277" t="s">
        <v>7</v>
      </c>
      <c r="B2" s="278" t="s">
        <v>6316</v>
      </c>
      <c r="C2" s="277" t="s">
        <v>6317</v>
      </c>
      <c r="D2" s="277" t="s">
        <v>10</v>
      </c>
      <c r="E2" s="279" t="s">
        <v>11</v>
      </c>
      <c r="F2" s="277" t="s">
        <v>5916</v>
      </c>
      <c r="G2" s="277" t="s">
        <v>12</v>
      </c>
      <c r="H2" s="277" t="s">
        <v>12</v>
      </c>
      <c r="I2" s="277" t="s">
        <v>7401</v>
      </c>
      <c r="J2" s="277" t="s">
        <v>12</v>
      </c>
      <c r="K2" s="277" t="s">
        <v>2111</v>
      </c>
      <c r="L2" s="277" t="s">
        <v>2112</v>
      </c>
      <c r="M2" s="277" t="s">
        <v>2113</v>
      </c>
      <c r="N2" s="277" t="s">
        <v>493</v>
      </c>
      <c r="O2" s="277" t="s">
        <v>1025</v>
      </c>
      <c r="P2" s="283" t="s">
        <v>2523</v>
      </c>
      <c r="Q2" s="366"/>
      <c r="R2" s="366"/>
      <c r="S2" s="366"/>
      <c r="T2" s="366"/>
      <c r="U2" s="366"/>
      <c r="V2" s="366"/>
      <c r="W2" s="366"/>
      <c r="X2" s="366"/>
      <c r="Y2" s="366"/>
      <c r="Z2" s="366"/>
      <c r="AA2" s="366"/>
    </row>
    <row r="3" ht="71.25" customHeight="1">
      <c r="A3" s="440">
        <v>38356.0</v>
      </c>
      <c r="B3" s="441" t="s">
        <v>21</v>
      </c>
      <c r="C3" s="440">
        <v>4356.0</v>
      </c>
      <c r="D3" s="440" t="s">
        <v>7402</v>
      </c>
      <c r="E3" s="442" t="s">
        <v>7403</v>
      </c>
      <c r="F3" s="443" t="s">
        <v>7404</v>
      </c>
      <c r="G3" s="443" t="s">
        <v>7404</v>
      </c>
      <c r="H3" s="443" t="s">
        <v>7404</v>
      </c>
      <c r="I3" s="443" t="s">
        <v>7404</v>
      </c>
      <c r="J3" s="377" t="s">
        <v>7405</v>
      </c>
      <c r="K3" s="294"/>
      <c r="L3" s="294"/>
      <c r="M3" s="444" t="s">
        <v>7406</v>
      </c>
      <c r="N3" s="440" t="s">
        <v>497</v>
      </c>
      <c r="O3" s="445" t="s">
        <v>2554</v>
      </c>
      <c r="P3" s="446"/>
      <c r="Q3" s="198"/>
      <c r="R3" s="198"/>
      <c r="S3" s="198"/>
      <c r="T3" s="198"/>
      <c r="U3" s="198"/>
      <c r="V3" s="198"/>
      <c r="W3" s="198"/>
      <c r="X3" s="198"/>
      <c r="Y3" s="198"/>
      <c r="Z3" s="198"/>
      <c r="AA3" s="198"/>
    </row>
    <row r="4" ht="71.25" customHeight="1">
      <c r="A4" s="440">
        <v>38355.0</v>
      </c>
      <c r="B4" s="445" t="s">
        <v>25</v>
      </c>
      <c r="C4" s="440">
        <v>1306.0</v>
      </c>
      <c r="D4" s="440" t="s">
        <v>7407</v>
      </c>
      <c r="E4" s="442" t="s">
        <v>7408</v>
      </c>
      <c r="F4" s="443" t="s">
        <v>7404</v>
      </c>
      <c r="G4" s="443" t="s">
        <v>7404</v>
      </c>
      <c r="H4" s="443" t="s">
        <v>7404</v>
      </c>
      <c r="I4" s="443" t="s">
        <v>7404</v>
      </c>
      <c r="J4" s="377" t="s">
        <v>7409</v>
      </c>
      <c r="K4" s="294"/>
      <c r="L4" s="294"/>
      <c r="M4" s="444" t="s">
        <v>7410</v>
      </c>
      <c r="N4" s="440" t="s">
        <v>497</v>
      </c>
      <c r="O4" s="445" t="s">
        <v>2554</v>
      </c>
      <c r="P4" s="446"/>
      <c r="Q4" s="198"/>
      <c r="R4" s="198"/>
      <c r="S4" s="198"/>
      <c r="T4" s="198"/>
      <c r="U4" s="198"/>
      <c r="V4" s="198"/>
      <c r="W4" s="198"/>
      <c r="X4" s="198"/>
      <c r="Y4" s="198"/>
      <c r="Z4" s="198"/>
      <c r="AA4" s="198"/>
    </row>
    <row r="5" ht="71.25" customHeight="1">
      <c r="A5" s="370">
        <v>38573.0</v>
      </c>
      <c r="B5" s="285" t="s">
        <v>21</v>
      </c>
      <c r="C5" s="285">
        <v>4230.0</v>
      </c>
      <c r="D5" s="285" t="s">
        <v>7411</v>
      </c>
      <c r="E5" s="287" t="s">
        <v>4690</v>
      </c>
      <c r="F5" s="285" t="s">
        <v>5919</v>
      </c>
      <c r="G5" s="288">
        <v>45290.0</v>
      </c>
      <c r="H5" s="288">
        <v>45287.0</v>
      </c>
      <c r="I5" s="288">
        <v>45287.0</v>
      </c>
      <c r="J5" s="288">
        <v>45300.0</v>
      </c>
      <c r="K5" s="294">
        <v>5552591.0</v>
      </c>
      <c r="L5" s="294" t="s">
        <v>7412</v>
      </c>
      <c r="M5" s="290" t="s">
        <v>7413</v>
      </c>
      <c r="N5" s="285" t="s">
        <v>497</v>
      </c>
      <c r="O5" s="299" t="s">
        <v>2554</v>
      </c>
      <c r="P5" s="300">
        <v>30667.5</v>
      </c>
      <c r="Q5" s="198"/>
      <c r="R5" s="198"/>
      <c r="S5" s="198"/>
      <c r="T5" s="198"/>
      <c r="U5" s="198"/>
      <c r="V5" s="198"/>
      <c r="W5" s="198"/>
      <c r="X5" s="198"/>
      <c r="Y5" s="198"/>
      <c r="Z5" s="198"/>
      <c r="AA5" s="198"/>
    </row>
    <row r="6" ht="71.25" customHeight="1">
      <c r="A6" s="370">
        <v>38589.0</v>
      </c>
      <c r="B6" s="299" t="s">
        <v>715</v>
      </c>
      <c r="C6" s="285">
        <v>1152.0</v>
      </c>
      <c r="D6" s="285" t="s">
        <v>7414</v>
      </c>
      <c r="E6" s="287" t="s">
        <v>7415</v>
      </c>
      <c r="F6" s="285" t="s">
        <v>5919</v>
      </c>
      <c r="G6" s="288">
        <v>45290.0</v>
      </c>
      <c r="H6" s="288">
        <v>45287.0</v>
      </c>
      <c r="I6" s="288">
        <v>45287.0</v>
      </c>
      <c r="J6" s="288">
        <v>45296.0</v>
      </c>
      <c r="K6" s="294"/>
      <c r="L6" s="294"/>
      <c r="M6" s="290" t="s">
        <v>7416</v>
      </c>
      <c r="N6" s="285" t="s">
        <v>6366</v>
      </c>
      <c r="O6" s="299" t="s">
        <v>2628</v>
      </c>
      <c r="P6" s="300">
        <v>145635.7</v>
      </c>
      <c r="Q6" s="198"/>
      <c r="R6" s="198"/>
      <c r="S6" s="198"/>
      <c r="T6" s="198"/>
      <c r="U6" s="198"/>
      <c r="V6" s="198"/>
      <c r="W6" s="198"/>
      <c r="X6" s="198"/>
      <c r="Y6" s="198"/>
      <c r="Z6" s="198"/>
      <c r="AA6" s="198"/>
    </row>
    <row r="7" ht="71.25" customHeight="1">
      <c r="A7" s="370">
        <v>38352.0</v>
      </c>
      <c r="B7" s="299" t="s">
        <v>715</v>
      </c>
      <c r="C7" s="285">
        <v>1306.0</v>
      </c>
      <c r="D7" s="285" t="s">
        <v>7417</v>
      </c>
      <c r="E7" s="287" t="s">
        <v>7418</v>
      </c>
      <c r="F7" s="285" t="s">
        <v>5919</v>
      </c>
      <c r="G7" s="288">
        <v>45289.0</v>
      </c>
      <c r="H7" s="288">
        <v>45280.0</v>
      </c>
      <c r="I7" s="288">
        <v>45280.0</v>
      </c>
      <c r="J7" s="288">
        <v>45295.0</v>
      </c>
      <c r="K7" s="294"/>
      <c r="L7" s="294"/>
      <c r="M7" s="290" t="s">
        <v>7419</v>
      </c>
      <c r="N7" s="285" t="s">
        <v>497</v>
      </c>
      <c r="O7" s="299" t="s">
        <v>2554</v>
      </c>
      <c r="P7" s="300">
        <v>44795.8</v>
      </c>
      <c r="Q7" s="198"/>
      <c r="R7" s="198"/>
      <c r="S7" s="198"/>
      <c r="T7" s="198"/>
      <c r="U7" s="198"/>
      <c r="V7" s="198"/>
      <c r="W7" s="198"/>
      <c r="X7" s="198"/>
      <c r="Y7" s="198"/>
      <c r="Z7" s="198"/>
      <c r="AA7" s="198"/>
    </row>
    <row r="8" ht="86.25" customHeight="1">
      <c r="A8" s="370">
        <v>38676.0</v>
      </c>
      <c r="B8" s="299" t="s">
        <v>715</v>
      </c>
      <c r="C8" s="285">
        <v>940.0</v>
      </c>
      <c r="D8" s="285" t="s">
        <v>7420</v>
      </c>
      <c r="E8" s="287" t="s">
        <v>7421</v>
      </c>
      <c r="F8" s="285" t="s">
        <v>5919</v>
      </c>
      <c r="G8" s="288">
        <v>45286.0</v>
      </c>
      <c r="H8" s="288">
        <v>45316.0</v>
      </c>
      <c r="I8" s="288">
        <v>44929.0</v>
      </c>
      <c r="J8" s="288">
        <v>45294.0</v>
      </c>
      <c r="K8" s="294"/>
      <c r="L8" s="294"/>
      <c r="M8" s="290" t="s">
        <v>7422</v>
      </c>
      <c r="N8" s="285" t="s">
        <v>4635</v>
      </c>
      <c r="O8" s="299" t="s">
        <v>2621</v>
      </c>
      <c r="P8" s="300">
        <v>44367.6</v>
      </c>
      <c r="Q8" s="198"/>
      <c r="R8" s="198"/>
      <c r="S8" s="198"/>
      <c r="T8" s="198"/>
      <c r="U8" s="198"/>
      <c r="V8" s="198"/>
      <c r="W8" s="198"/>
      <c r="X8" s="198"/>
      <c r="Y8" s="198"/>
      <c r="Z8" s="198"/>
      <c r="AA8" s="198"/>
    </row>
    <row r="9" ht="86.25" customHeight="1">
      <c r="A9" s="370">
        <v>38553.0</v>
      </c>
      <c r="B9" s="299" t="s">
        <v>25</v>
      </c>
      <c r="C9" s="285">
        <v>610.0</v>
      </c>
      <c r="D9" s="285" t="s">
        <v>7423</v>
      </c>
      <c r="E9" s="287" t="s">
        <v>7424</v>
      </c>
      <c r="F9" s="285" t="s">
        <v>5919</v>
      </c>
      <c r="G9" s="288">
        <v>45286.0</v>
      </c>
      <c r="H9" s="288">
        <v>45281.0</v>
      </c>
      <c r="I9" s="288">
        <v>45281.0</v>
      </c>
      <c r="J9" s="288">
        <v>45295.0</v>
      </c>
      <c r="K9" s="294"/>
      <c r="L9" s="294"/>
      <c r="M9" s="290" t="s">
        <v>7425</v>
      </c>
      <c r="N9" s="285" t="s">
        <v>497</v>
      </c>
      <c r="O9" s="299" t="s">
        <v>2538</v>
      </c>
      <c r="P9" s="300">
        <v>53700.0</v>
      </c>
      <c r="Q9" s="198"/>
      <c r="R9" s="198"/>
      <c r="S9" s="198"/>
      <c r="T9" s="198"/>
      <c r="U9" s="198"/>
      <c r="V9" s="198"/>
      <c r="W9" s="198"/>
      <c r="X9" s="198"/>
      <c r="Y9" s="198"/>
      <c r="Z9" s="198"/>
      <c r="AA9" s="198"/>
    </row>
    <row r="10" ht="71.25" customHeight="1">
      <c r="A10" s="370">
        <v>38634.0</v>
      </c>
      <c r="B10" s="299" t="s">
        <v>715</v>
      </c>
      <c r="C10" s="285">
        <v>765.0</v>
      </c>
      <c r="D10" s="285" t="s">
        <v>7426</v>
      </c>
      <c r="E10" s="287" t="s">
        <v>6582</v>
      </c>
      <c r="F10" s="285" t="s">
        <v>5919</v>
      </c>
      <c r="G10" s="288">
        <v>45283.0</v>
      </c>
      <c r="H10" s="288">
        <v>45272.0</v>
      </c>
      <c r="I10" s="288">
        <v>45272.0</v>
      </c>
      <c r="J10" s="288">
        <v>45288.0</v>
      </c>
      <c r="K10" s="294"/>
      <c r="L10" s="294"/>
      <c r="M10" s="290" t="s">
        <v>7427</v>
      </c>
      <c r="N10" s="285" t="s">
        <v>497</v>
      </c>
      <c r="O10" s="299" t="s">
        <v>2621</v>
      </c>
      <c r="P10" s="300">
        <v>22550.5</v>
      </c>
      <c r="Q10" s="198"/>
      <c r="R10" s="198"/>
      <c r="S10" s="198"/>
      <c r="T10" s="198"/>
      <c r="U10" s="198"/>
      <c r="V10" s="198"/>
      <c r="W10" s="198"/>
      <c r="X10" s="198"/>
      <c r="Y10" s="198"/>
      <c r="Z10" s="198"/>
      <c r="AA10" s="198"/>
    </row>
    <row r="11" ht="74.25" customHeight="1">
      <c r="A11" s="370">
        <v>38552.0</v>
      </c>
      <c r="B11" s="285" t="s">
        <v>21</v>
      </c>
      <c r="C11" s="285">
        <v>535.0</v>
      </c>
      <c r="D11" s="285" t="s">
        <v>7428</v>
      </c>
      <c r="E11" s="287" t="s">
        <v>7429</v>
      </c>
      <c r="F11" s="285" t="s">
        <v>5919</v>
      </c>
      <c r="G11" s="288">
        <v>45283.0</v>
      </c>
      <c r="H11" s="288">
        <v>45278.0</v>
      </c>
      <c r="I11" s="288">
        <v>45278.0</v>
      </c>
      <c r="J11" s="288">
        <v>45293.0</v>
      </c>
      <c r="K11" s="425" t="s">
        <v>4841</v>
      </c>
      <c r="L11" s="294"/>
      <c r="M11" s="290" t="s">
        <v>7430</v>
      </c>
      <c r="N11" s="285" t="s">
        <v>497</v>
      </c>
      <c r="O11" s="299" t="s">
        <v>2538</v>
      </c>
      <c r="P11" s="300">
        <v>50710.0</v>
      </c>
      <c r="Q11" s="198"/>
      <c r="R11" s="198"/>
      <c r="S11" s="198"/>
      <c r="T11" s="198"/>
      <c r="U11" s="198"/>
      <c r="V11" s="198"/>
      <c r="W11" s="198"/>
      <c r="X11" s="198"/>
      <c r="Y11" s="198"/>
      <c r="Z11" s="198"/>
      <c r="AA11" s="198"/>
    </row>
    <row r="12" ht="77.25" customHeight="1">
      <c r="A12" s="370">
        <v>38318.0</v>
      </c>
      <c r="B12" s="285" t="s">
        <v>21</v>
      </c>
      <c r="C12" s="285">
        <v>1250.0</v>
      </c>
      <c r="D12" s="285" t="s">
        <v>7431</v>
      </c>
      <c r="E12" s="287" t="s">
        <v>4637</v>
      </c>
      <c r="F12" s="285" t="s">
        <v>5919</v>
      </c>
      <c r="G12" s="288">
        <v>45282.0</v>
      </c>
      <c r="H12" s="288">
        <v>45278.0</v>
      </c>
      <c r="I12" s="288">
        <v>45278.0</v>
      </c>
      <c r="J12" s="288">
        <v>45289.0</v>
      </c>
      <c r="K12" s="294">
        <v>5552591.0</v>
      </c>
      <c r="L12" s="294" t="s">
        <v>7412</v>
      </c>
      <c r="M12" s="290" t="s">
        <v>7432</v>
      </c>
      <c r="N12" s="285" t="s">
        <v>497</v>
      </c>
      <c r="O12" s="299" t="s">
        <v>2554</v>
      </c>
      <c r="P12" s="300">
        <v>36250.0</v>
      </c>
      <c r="Q12" s="198"/>
      <c r="R12" s="198"/>
      <c r="S12" s="198"/>
      <c r="T12" s="198"/>
      <c r="U12" s="198"/>
      <c r="V12" s="198"/>
      <c r="W12" s="198"/>
      <c r="X12" s="198"/>
      <c r="Y12" s="198"/>
      <c r="Z12" s="198"/>
      <c r="AA12" s="198"/>
    </row>
    <row r="13" ht="71.25" customHeight="1">
      <c r="A13" s="370">
        <v>38321.0</v>
      </c>
      <c r="B13" s="285" t="s">
        <v>21</v>
      </c>
      <c r="C13" s="285">
        <v>1250.0</v>
      </c>
      <c r="D13" s="285" t="s">
        <v>7433</v>
      </c>
      <c r="E13" s="287" t="s">
        <v>4637</v>
      </c>
      <c r="F13" s="285" t="s">
        <v>5919</v>
      </c>
      <c r="G13" s="288">
        <v>45282.0</v>
      </c>
      <c r="H13" s="288">
        <v>45278.0</v>
      </c>
      <c r="I13" s="288">
        <v>45278.0</v>
      </c>
      <c r="J13" s="288">
        <v>45289.0</v>
      </c>
      <c r="K13" s="294">
        <v>5552591.0</v>
      </c>
      <c r="L13" s="294" t="s">
        <v>7412</v>
      </c>
      <c r="M13" s="290" t="s">
        <v>7434</v>
      </c>
      <c r="N13" s="285" t="s">
        <v>497</v>
      </c>
      <c r="O13" s="299" t="s">
        <v>2554</v>
      </c>
      <c r="P13" s="300">
        <v>36250.0</v>
      </c>
      <c r="Q13" s="198"/>
      <c r="R13" s="198"/>
      <c r="S13" s="198"/>
      <c r="T13" s="198"/>
      <c r="U13" s="198"/>
      <c r="V13" s="198"/>
      <c r="W13" s="198"/>
      <c r="X13" s="198"/>
      <c r="Y13" s="198"/>
      <c r="Z13" s="198"/>
      <c r="AA13" s="198"/>
    </row>
    <row r="14" ht="71.25" customHeight="1">
      <c r="A14" s="370">
        <v>38588.0</v>
      </c>
      <c r="B14" s="299" t="s">
        <v>715</v>
      </c>
      <c r="C14" s="285">
        <v>1139.0</v>
      </c>
      <c r="D14" s="285" t="s">
        <v>7435</v>
      </c>
      <c r="E14" s="287" t="s">
        <v>7415</v>
      </c>
      <c r="F14" s="285" t="s">
        <v>5919</v>
      </c>
      <c r="G14" s="288">
        <v>45282.0</v>
      </c>
      <c r="H14" s="288">
        <v>45274.0</v>
      </c>
      <c r="I14" s="288">
        <v>45274.0</v>
      </c>
      <c r="J14" s="288">
        <v>45289.0</v>
      </c>
      <c r="K14" s="294"/>
      <c r="L14" s="294"/>
      <c r="M14" s="290" t="s">
        <v>7436</v>
      </c>
      <c r="N14" s="285" t="s">
        <v>6366</v>
      </c>
      <c r="O14" s="299" t="s">
        <v>2628</v>
      </c>
      <c r="P14" s="300">
        <v>130258.75</v>
      </c>
      <c r="Q14" s="198"/>
      <c r="R14" s="198"/>
      <c r="S14" s="198"/>
      <c r="T14" s="198"/>
      <c r="U14" s="198"/>
      <c r="V14" s="198"/>
      <c r="W14" s="198"/>
      <c r="X14" s="198"/>
      <c r="Y14" s="198"/>
      <c r="Z14" s="198"/>
      <c r="AA14" s="198"/>
    </row>
    <row r="15" ht="71.25" customHeight="1">
      <c r="A15" s="370">
        <v>38316.0</v>
      </c>
      <c r="B15" s="299" t="s">
        <v>715</v>
      </c>
      <c r="C15" s="285">
        <v>4230.0</v>
      </c>
      <c r="D15" s="285" t="s">
        <v>7437</v>
      </c>
      <c r="E15" s="287" t="s">
        <v>7438</v>
      </c>
      <c r="F15" s="285" t="s">
        <v>5919</v>
      </c>
      <c r="G15" s="288">
        <v>45282.0</v>
      </c>
      <c r="H15" s="288">
        <v>45273.0</v>
      </c>
      <c r="I15" s="288">
        <v>45273.0</v>
      </c>
      <c r="J15" s="288">
        <v>45289.0</v>
      </c>
      <c r="K15" s="294"/>
      <c r="L15" s="294"/>
      <c r="M15" s="290" t="s">
        <v>7439</v>
      </c>
      <c r="N15" s="285" t="s">
        <v>497</v>
      </c>
      <c r="O15" s="299" t="s">
        <v>2554</v>
      </c>
      <c r="P15" s="300">
        <v>31196.25</v>
      </c>
      <c r="Q15" s="198"/>
      <c r="R15" s="198"/>
      <c r="S15" s="198"/>
      <c r="T15" s="198"/>
      <c r="U15" s="198"/>
      <c r="V15" s="198"/>
      <c r="W15" s="198"/>
      <c r="X15" s="198"/>
      <c r="Y15" s="198"/>
      <c r="Z15" s="198"/>
      <c r="AA15" s="198"/>
    </row>
    <row r="16" ht="71.25" customHeight="1">
      <c r="A16" s="370">
        <v>38518.0</v>
      </c>
      <c r="B16" s="299" t="s">
        <v>715</v>
      </c>
      <c r="C16" s="285">
        <v>1620.0</v>
      </c>
      <c r="D16" s="285" t="s">
        <v>7440</v>
      </c>
      <c r="E16" s="447" t="s">
        <v>3740</v>
      </c>
      <c r="F16" s="285" t="s">
        <v>5919</v>
      </c>
      <c r="G16" s="288">
        <v>45282.0</v>
      </c>
      <c r="H16" s="288">
        <v>45277.0</v>
      </c>
      <c r="I16" s="288">
        <v>45277.0</v>
      </c>
      <c r="J16" s="288">
        <v>44929.0</v>
      </c>
      <c r="K16" s="294"/>
      <c r="L16" s="294"/>
      <c r="M16" s="290" t="s">
        <v>7441</v>
      </c>
      <c r="N16" s="285" t="s">
        <v>4745</v>
      </c>
      <c r="O16" s="299" t="s">
        <v>4711</v>
      </c>
      <c r="P16" s="300">
        <v>34352.75</v>
      </c>
      <c r="Q16" s="198"/>
      <c r="R16" s="198"/>
      <c r="S16" s="198"/>
      <c r="T16" s="198"/>
      <c r="U16" s="198"/>
      <c r="V16" s="198"/>
      <c r="W16" s="198"/>
      <c r="X16" s="198"/>
      <c r="Y16" s="198"/>
      <c r="Z16" s="198"/>
      <c r="AA16" s="198"/>
    </row>
    <row r="17" ht="71.25" customHeight="1">
      <c r="A17" s="370">
        <v>38448.0</v>
      </c>
      <c r="B17" s="299" t="s">
        <v>715</v>
      </c>
      <c r="C17" s="285">
        <v>1988.0</v>
      </c>
      <c r="D17" s="285" t="s">
        <v>7442</v>
      </c>
      <c r="E17" s="287" t="s">
        <v>7443</v>
      </c>
      <c r="F17" s="285" t="s">
        <v>5919</v>
      </c>
      <c r="G17" s="288">
        <v>45279.0</v>
      </c>
      <c r="H17" s="288">
        <v>45273.0</v>
      </c>
      <c r="I17" s="288">
        <v>45273.0</v>
      </c>
      <c r="J17" s="288">
        <v>45286.0</v>
      </c>
      <c r="K17" s="294"/>
      <c r="L17" s="294"/>
      <c r="M17" s="290" t="s">
        <v>7444</v>
      </c>
      <c r="N17" s="285" t="s">
        <v>497</v>
      </c>
      <c r="O17" s="299" t="s">
        <v>2554</v>
      </c>
      <c r="P17" s="300">
        <v>49501.2</v>
      </c>
      <c r="Q17" s="198"/>
      <c r="R17" s="198"/>
      <c r="S17" s="198"/>
      <c r="T17" s="198"/>
      <c r="U17" s="198"/>
      <c r="V17" s="198"/>
      <c r="W17" s="198"/>
      <c r="X17" s="198"/>
      <c r="Y17" s="198"/>
      <c r="Z17" s="198"/>
      <c r="AA17" s="198"/>
    </row>
    <row r="18" ht="71.25" customHeight="1">
      <c r="A18" s="370">
        <v>38351.0</v>
      </c>
      <c r="B18" s="299" t="s">
        <v>715</v>
      </c>
      <c r="C18" s="285">
        <v>1306.0</v>
      </c>
      <c r="D18" s="285" t="s">
        <v>7445</v>
      </c>
      <c r="E18" s="287" t="s">
        <v>4713</v>
      </c>
      <c r="F18" s="285" t="s">
        <v>5919</v>
      </c>
      <c r="G18" s="288">
        <v>45279.0</v>
      </c>
      <c r="H18" s="288">
        <v>45273.0</v>
      </c>
      <c r="I18" s="288">
        <v>45273.0</v>
      </c>
      <c r="J18" s="288">
        <v>45287.0</v>
      </c>
      <c r="K18" s="294"/>
      <c r="L18" s="294"/>
      <c r="M18" s="290" t="s">
        <v>7446</v>
      </c>
      <c r="N18" s="285" t="s">
        <v>497</v>
      </c>
      <c r="O18" s="299" t="s">
        <v>2554</v>
      </c>
      <c r="P18" s="300">
        <v>44795.8</v>
      </c>
      <c r="Q18" s="198"/>
      <c r="R18" s="198"/>
      <c r="S18" s="198"/>
      <c r="T18" s="198"/>
      <c r="U18" s="198"/>
      <c r="V18" s="198"/>
      <c r="W18" s="198"/>
      <c r="X18" s="198"/>
      <c r="Y18" s="198"/>
      <c r="Z18" s="198"/>
      <c r="AA18" s="198"/>
    </row>
    <row r="19" ht="71.25" customHeight="1">
      <c r="A19" s="370">
        <v>38453.0</v>
      </c>
      <c r="B19" s="299" t="s">
        <v>715</v>
      </c>
      <c r="C19" s="285">
        <v>2413.0</v>
      </c>
      <c r="D19" s="285" t="s">
        <v>7447</v>
      </c>
      <c r="E19" s="287" t="s">
        <v>7448</v>
      </c>
      <c r="F19" s="285" t="s">
        <v>5919</v>
      </c>
      <c r="G19" s="288">
        <v>45279.0</v>
      </c>
      <c r="H19" s="288">
        <v>45273.0</v>
      </c>
      <c r="I19" s="288">
        <v>45273.0</v>
      </c>
      <c r="J19" s="288">
        <v>45286.0</v>
      </c>
      <c r="K19" s="294"/>
      <c r="L19" s="294"/>
      <c r="M19" s="290" t="s">
        <v>7449</v>
      </c>
      <c r="N19" s="285" t="s">
        <v>497</v>
      </c>
      <c r="O19" s="299" t="s">
        <v>2554</v>
      </c>
      <c r="P19" s="300">
        <v>43424.0</v>
      </c>
      <c r="Q19" s="198"/>
      <c r="R19" s="198"/>
      <c r="S19" s="198"/>
      <c r="T19" s="198"/>
      <c r="U19" s="198"/>
      <c r="V19" s="198"/>
      <c r="W19" s="198"/>
      <c r="X19" s="198"/>
      <c r="Y19" s="198"/>
      <c r="Z19" s="198"/>
      <c r="AA19" s="198"/>
    </row>
    <row r="20" ht="71.25" customHeight="1">
      <c r="A20" s="370">
        <v>38322.0</v>
      </c>
      <c r="B20" s="299" t="s">
        <v>715</v>
      </c>
      <c r="C20" s="285">
        <v>1250.0</v>
      </c>
      <c r="D20" s="285" t="s">
        <v>7450</v>
      </c>
      <c r="E20" s="287" t="s">
        <v>4637</v>
      </c>
      <c r="F20" s="285" t="s">
        <v>5919</v>
      </c>
      <c r="G20" s="288">
        <v>45279.0</v>
      </c>
      <c r="H20" s="288">
        <v>45275.0</v>
      </c>
      <c r="I20" s="288">
        <v>45275.0</v>
      </c>
      <c r="J20" s="288">
        <v>45282.0</v>
      </c>
      <c r="K20" s="294"/>
      <c r="L20" s="294"/>
      <c r="M20" s="290" t="s">
        <v>7451</v>
      </c>
      <c r="N20" s="285" t="s">
        <v>4635</v>
      </c>
      <c r="O20" s="299" t="s">
        <v>2621</v>
      </c>
      <c r="P20" s="300">
        <v>36250.0</v>
      </c>
      <c r="Q20" s="198"/>
      <c r="R20" s="198"/>
      <c r="S20" s="198"/>
      <c r="T20" s="198"/>
      <c r="U20" s="198"/>
      <c r="V20" s="198"/>
      <c r="W20" s="198"/>
      <c r="X20" s="198"/>
      <c r="Y20" s="198"/>
      <c r="Z20" s="198"/>
      <c r="AA20" s="198"/>
    </row>
    <row r="21" ht="71.25" customHeight="1">
      <c r="A21" s="370">
        <v>38361.0</v>
      </c>
      <c r="B21" s="285" t="s">
        <v>21</v>
      </c>
      <c r="C21" s="285">
        <v>1306.0</v>
      </c>
      <c r="D21" s="285" t="s">
        <v>7452</v>
      </c>
      <c r="E21" s="287" t="s">
        <v>4713</v>
      </c>
      <c r="F21" s="285" t="s">
        <v>5919</v>
      </c>
      <c r="G21" s="288">
        <v>45277.0</v>
      </c>
      <c r="H21" s="288">
        <v>45272.0</v>
      </c>
      <c r="I21" s="288">
        <v>45272.0</v>
      </c>
      <c r="J21" s="288">
        <v>45281.0</v>
      </c>
      <c r="K21" s="294">
        <v>5552591.0</v>
      </c>
      <c r="L21" s="294" t="s">
        <v>7412</v>
      </c>
      <c r="M21" s="290" t="s">
        <v>7453</v>
      </c>
      <c r="N21" s="285" t="s">
        <v>497</v>
      </c>
      <c r="O21" s="299" t="s">
        <v>2554</v>
      </c>
      <c r="P21" s="300">
        <v>44795.8</v>
      </c>
      <c r="Q21" s="198"/>
      <c r="R21" s="198"/>
      <c r="S21" s="198"/>
      <c r="T21" s="198"/>
      <c r="U21" s="198"/>
      <c r="V21" s="198"/>
      <c r="W21" s="198"/>
      <c r="X21" s="198"/>
      <c r="Y21" s="198"/>
      <c r="Z21" s="198"/>
      <c r="AA21" s="198"/>
    </row>
    <row r="22" ht="71.25" customHeight="1">
      <c r="A22" s="370">
        <v>38562.0</v>
      </c>
      <c r="B22" s="299" t="s">
        <v>715</v>
      </c>
      <c r="C22" s="285">
        <v>1025.0</v>
      </c>
      <c r="D22" s="285" t="s">
        <v>7454</v>
      </c>
      <c r="E22" s="287" t="s">
        <v>7455</v>
      </c>
      <c r="F22" s="285" t="s">
        <v>5919</v>
      </c>
      <c r="G22" s="288">
        <v>45277.0</v>
      </c>
      <c r="H22" s="288">
        <v>45273.0</v>
      </c>
      <c r="I22" s="288">
        <v>45273.0</v>
      </c>
      <c r="J22" s="288">
        <v>45282.0</v>
      </c>
      <c r="K22" s="294"/>
      <c r="L22" s="294"/>
      <c r="M22" s="290" t="s">
        <v>7456</v>
      </c>
      <c r="N22" s="285" t="s">
        <v>4635</v>
      </c>
      <c r="O22" s="299" t="s">
        <v>2621</v>
      </c>
      <c r="P22" s="300">
        <v>96901.55</v>
      </c>
      <c r="Q22" s="198"/>
      <c r="R22" s="198"/>
      <c r="S22" s="198"/>
      <c r="T22" s="198"/>
      <c r="U22" s="198"/>
      <c r="V22" s="198"/>
      <c r="W22" s="198"/>
      <c r="X22" s="198"/>
      <c r="Y22" s="198"/>
      <c r="Z22" s="198"/>
      <c r="AA22" s="198"/>
    </row>
    <row r="23" ht="71.25" customHeight="1">
      <c r="A23" s="370">
        <v>38462.0</v>
      </c>
      <c r="B23" s="299" t="s">
        <v>25</v>
      </c>
      <c r="C23" s="285">
        <v>885.0</v>
      </c>
      <c r="D23" s="285" t="s">
        <v>7457</v>
      </c>
      <c r="E23" s="287" t="s">
        <v>2751</v>
      </c>
      <c r="F23" s="285" t="s">
        <v>5919</v>
      </c>
      <c r="G23" s="288">
        <v>45276.0</v>
      </c>
      <c r="H23" s="288">
        <v>45270.0</v>
      </c>
      <c r="I23" s="288">
        <v>45270.0</v>
      </c>
      <c r="J23" s="288">
        <v>45281.0</v>
      </c>
      <c r="K23" s="294"/>
      <c r="L23" s="294"/>
      <c r="M23" s="290" t="s">
        <v>7458</v>
      </c>
      <c r="N23" s="285" t="s">
        <v>6366</v>
      </c>
      <c r="O23" s="299" t="s">
        <v>2621</v>
      </c>
      <c r="P23" s="300">
        <v>38018.1</v>
      </c>
      <c r="Q23" s="198"/>
      <c r="R23" s="198"/>
      <c r="S23" s="198"/>
      <c r="T23" s="198"/>
      <c r="U23" s="198"/>
      <c r="V23" s="198"/>
      <c r="W23" s="198"/>
      <c r="X23" s="198"/>
      <c r="Y23" s="198"/>
      <c r="Z23" s="198"/>
      <c r="AA23" s="198"/>
    </row>
    <row r="24" ht="71.25" customHeight="1">
      <c r="A24" s="370">
        <v>38560.0</v>
      </c>
      <c r="B24" s="285" t="s">
        <v>21</v>
      </c>
      <c r="C24" s="285">
        <v>4857.0</v>
      </c>
      <c r="D24" s="285" t="s">
        <v>7459</v>
      </c>
      <c r="E24" s="287" t="s">
        <v>7460</v>
      </c>
      <c r="F24" s="285" t="s">
        <v>5919</v>
      </c>
      <c r="G24" s="288">
        <v>45275.0</v>
      </c>
      <c r="H24" s="288">
        <v>45270.0</v>
      </c>
      <c r="I24" s="288">
        <v>45270.0</v>
      </c>
      <c r="J24" s="288">
        <v>45280.0</v>
      </c>
      <c r="K24" s="294">
        <v>5552591.0</v>
      </c>
      <c r="L24" s="294" t="s">
        <v>7461</v>
      </c>
      <c r="M24" s="290" t="s">
        <v>7462</v>
      </c>
      <c r="N24" s="285" t="s">
        <v>4635</v>
      </c>
      <c r="O24" s="299" t="s">
        <v>2621</v>
      </c>
      <c r="P24" s="300">
        <v>45570.18</v>
      </c>
      <c r="Q24" s="198"/>
      <c r="R24" s="198"/>
      <c r="S24" s="198"/>
      <c r="T24" s="198"/>
      <c r="U24" s="198"/>
      <c r="V24" s="198"/>
      <c r="W24" s="198"/>
      <c r="X24" s="198"/>
      <c r="Y24" s="198"/>
      <c r="Z24" s="198"/>
      <c r="AA24" s="198"/>
    </row>
    <row r="25" ht="83.25" customHeight="1">
      <c r="A25" s="370">
        <v>38558.0</v>
      </c>
      <c r="B25" s="299" t="s">
        <v>715</v>
      </c>
      <c r="C25" s="285">
        <v>4999.0</v>
      </c>
      <c r="D25" s="285" t="s">
        <v>7463</v>
      </c>
      <c r="E25" s="287" t="s">
        <v>7464</v>
      </c>
      <c r="F25" s="285" t="s">
        <v>5919</v>
      </c>
      <c r="G25" s="288">
        <v>45274.0</v>
      </c>
      <c r="H25" s="288">
        <v>45270.0</v>
      </c>
      <c r="I25" s="288">
        <v>45270.0</v>
      </c>
      <c r="J25" s="288">
        <v>45280.0</v>
      </c>
      <c r="K25" s="294"/>
      <c r="L25" s="294"/>
      <c r="M25" s="290" t="s">
        <v>7465</v>
      </c>
      <c r="N25" s="285" t="s">
        <v>4635</v>
      </c>
      <c r="O25" s="299" t="s">
        <v>2621</v>
      </c>
      <c r="P25" s="300">
        <v>42082.98</v>
      </c>
      <c r="Q25" s="198"/>
      <c r="R25" s="198"/>
      <c r="S25" s="198"/>
      <c r="T25" s="198"/>
      <c r="U25" s="198"/>
      <c r="V25" s="198"/>
      <c r="W25" s="198"/>
      <c r="X25" s="198"/>
      <c r="Y25" s="198"/>
      <c r="Z25" s="198"/>
      <c r="AA25" s="198"/>
    </row>
    <row r="26" ht="71.25" customHeight="1">
      <c r="A26" s="370">
        <v>38463.0</v>
      </c>
      <c r="B26" s="299" t="s">
        <v>715</v>
      </c>
      <c r="C26" s="285">
        <v>960.0</v>
      </c>
      <c r="D26" s="285" t="s">
        <v>7466</v>
      </c>
      <c r="E26" s="287" t="s">
        <v>2751</v>
      </c>
      <c r="F26" s="285" t="s">
        <v>5919</v>
      </c>
      <c r="G26" s="288">
        <v>45274.0</v>
      </c>
      <c r="H26" s="288">
        <v>45251.0</v>
      </c>
      <c r="I26" s="288">
        <v>45251.0</v>
      </c>
      <c r="J26" s="288">
        <v>45281.0</v>
      </c>
      <c r="K26" s="294"/>
      <c r="L26" s="294"/>
      <c r="M26" s="290" t="s">
        <v>7467</v>
      </c>
      <c r="N26" s="285" t="s">
        <v>6366</v>
      </c>
      <c r="O26" s="299" t="s">
        <v>2621</v>
      </c>
      <c r="P26" s="300">
        <v>37490.6</v>
      </c>
      <c r="Q26" s="198"/>
      <c r="R26" s="198"/>
      <c r="S26" s="198"/>
      <c r="T26" s="198"/>
      <c r="U26" s="198"/>
      <c r="V26" s="198"/>
      <c r="W26" s="198"/>
      <c r="X26" s="198"/>
      <c r="Y26" s="198"/>
      <c r="Z26" s="198"/>
      <c r="AA26" s="198"/>
    </row>
    <row r="27" ht="71.25" customHeight="1">
      <c r="A27" s="370">
        <v>38565.0</v>
      </c>
      <c r="B27" s="299" t="s">
        <v>715</v>
      </c>
      <c r="C27" s="285">
        <v>940.0</v>
      </c>
      <c r="D27" s="285" t="s">
        <v>7468</v>
      </c>
      <c r="E27" s="287" t="s">
        <v>7469</v>
      </c>
      <c r="F27" s="285" t="s">
        <v>5919</v>
      </c>
      <c r="G27" s="288">
        <v>45274.0</v>
      </c>
      <c r="H27" s="288">
        <v>45272.0</v>
      </c>
      <c r="I27" s="288">
        <v>45272.0</v>
      </c>
      <c r="J27" s="288">
        <v>45281.0</v>
      </c>
      <c r="K27" s="294"/>
      <c r="L27" s="294"/>
      <c r="M27" s="290" t="s">
        <v>7470</v>
      </c>
      <c r="N27" s="285" t="s">
        <v>4635</v>
      </c>
      <c r="O27" s="299" t="s">
        <v>2621</v>
      </c>
      <c r="P27" s="300">
        <v>41284.8</v>
      </c>
      <c r="Q27" s="198"/>
      <c r="R27" s="198"/>
      <c r="S27" s="198"/>
      <c r="T27" s="198"/>
      <c r="U27" s="198"/>
      <c r="V27" s="198"/>
      <c r="W27" s="198"/>
      <c r="X27" s="198"/>
      <c r="Y27" s="198"/>
      <c r="Z27" s="198"/>
      <c r="AA27" s="198"/>
    </row>
    <row r="28" ht="71.25" customHeight="1">
      <c r="A28" s="370">
        <v>38312.0</v>
      </c>
      <c r="B28" s="299" t="s">
        <v>715</v>
      </c>
      <c r="C28" s="285">
        <v>1250.0</v>
      </c>
      <c r="D28" s="285" t="s">
        <v>7471</v>
      </c>
      <c r="E28" s="287" t="s">
        <v>4637</v>
      </c>
      <c r="F28" s="285" t="s">
        <v>5919</v>
      </c>
      <c r="G28" s="288">
        <v>45273.0</v>
      </c>
      <c r="H28" s="288">
        <v>45268.0</v>
      </c>
      <c r="I28" s="288">
        <v>45268.0</v>
      </c>
      <c r="J28" s="288">
        <v>45275.0</v>
      </c>
      <c r="K28" s="294"/>
      <c r="L28" s="294"/>
      <c r="M28" s="290" t="s">
        <v>7472</v>
      </c>
      <c r="N28" s="285" t="s">
        <v>497</v>
      </c>
      <c r="O28" s="299" t="s">
        <v>2554</v>
      </c>
      <c r="P28" s="300">
        <v>36250.0</v>
      </c>
      <c r="Q28" s="198"/>
      <c r="R28" s="198"/>
      <c r="S28" s="198"/>
      <c r="T28" s="198"/>
      <c r="U28" s="198"/>
      <c r="V28" s="198"/>
      <c r="W28" s="198"/>
      <c r="X28" s="198"/>
      <c r="Y28" s="198"/>
      <c r="Z28" s="198"/>
      <c r="AA28" s="198"/>
    </row>
    <row r="29" ht="71.25" customHeight="1">
      <c r="A29" s="370">
        <v>38311.0</v>
      </c>
      <c r="B29" s="299" t="s">
        <v>715</v>
      </c>
      <c r="C29" s="285">
        <v>4230.0</v>
      </c>
      <c r="D29" s="285" t="s">
        <v>7473</v>
      </c>
      <c r="E29" s="287" t="s">
        <v>7438</v>
      </c>
      <c r="F29" s="285" t="s">
        <v>5919</v>
      </c>
      <c r="G29" s="288">
        <v>45273.0</v>
      </c>
      <c r="H29" s="288">
        <v>45268.0</v>
      </c>
      <c r="I29" s="288">
        <v>45268.0</v>
      </c>
      <c r="J29" s="288">
        <v>45279.0</v>
      </c>
      <c r="K29" s="294"/>
      <c r="L29" s="294"/>
      <c r="M29" s="290" t="s">
        <v>7474</v>
      </c>
      <c r="N29" s="285" t="s">
        <v>497</v>
      </c>
      <c r="O29" s="299" t="s">
        <v>2554</v>
      </c>
      <c r="P29" s="300">
        <v>31196.25</v>
      </c>
      <c r="Q29" s="198"/>
      <c r="R29" s="198"/>
      <c r="S29" s="198"/>
      <c r="T29" s="198"/>
      <c r="U29" s="198"/>
      <c r="V29" s="198"/>
      <c r="W29" s="198"/>
      <c r="X29" s="198"/>
      <c r="Y29" s="198"/>
      <c r="Z29" s="198"/>
      <c r="AA29" s="198"/>
    </row>
    <row r="30" ht="71.25" customHeight="1">
      <c r="A30" s="370">
        <v>38445.0</v>
      </c>
      <c r="B30" s="299" t="s">
        <v>715</v>
      </c>
      <c r="C30" s="285">
        <v>2413.0</v>
      </c>
      <c r="D30" s="285" t="s">
        <v>7475</v>
      </c>
      <c r="E30" s="287" t="s">
        <v>7476</v>
      </c>
      <c r="F30" s="285" t="s">
        <v>5919</v>
      </c>
      <c r="G30" s="288">
        <v>45271.0</v>
      </c>
      <c r="H30" s="288">
        <v>45266.0</v>
      </c>
      <c r="I30" s="288">
        <v>45266.0</v>
      </c>
      <c r="J30" s="288">
        <v>45278.0</v>
      </c>
      <c r="K30" s="294"/>
      <c r="L30" s="294"/>
      <c r="M30" s="290" t="s">
        <v>7477</v>
      </c>
      <c r="N30" s="285" t="s">
        <v>497</v>
      </c>
      <c r="O30" s="299" t="s">
        <v>2554</v>
      </c>
      <c r="P30" s="300">
        <v>42468.8</v>
      </c>
      <c r="Q30" s="198"/>
      <c r="R30" s="198"/>
      <c r="S30" s="198"/>
      <c r="T30" s="198"/>
      <c r="U30" s="198"/>
      <c r="V30" s="198"/>
      <c r="W30" s="198"/>
      <c r="X30" s="198"/>
      <c r="Y30" s="198"/>
      <c r="Z30" s="198"/>
      <c r="AA30" s="198"/>
    </row>
    <row r="31" ht="71.25" customHeight="1">
      <c r="A31" s="370">
        <v>38353.0</v>
      </c>
      <c r="B31" s="299" t="s">
        <v>715</v>
      </c>
      <c r="C31" s="285">
        <v>4356.0</v>
      </c>
      <c r="D31" s="285" t="s">
        <v>7478</v>
      </c>
      <c r="E31" s="287" t="s">
        <v>7479</v>
      </c>
      <c r="F31" s="285" t="s">
        <v>5919</v>
      </c>
      <c r="G31" s="288">
        <v>45271.0</v>
      </c>
      <c r="H31" s="288">
        <v>45266.0</v>
      </c>
      <c r="I31" s="288">
        <v>45266.0</v>
      </c>
      <c r="J31" s="288">
        <v>45274.0</v>
      </c>
      <c r="K31" s="294"/>
      <c r="L31" s="294"/>
      <c r="M31" s="290" t="s">
        <v>7480</v>
      </c>
      <c r="N31" s="285" t="s">
        <v>497</v>
      </c>
      <c r="O31" s="299" t="s">
        <v>2554</v>
      </c>
      <c r="P31" s="300">
        <v>35980.56</v>
      </c>
      <c r="Q31" s="198"/>
      <c r="R31" s="198"/>
      <c r="S31" s="198"/>
      <c r="T31" s="198"/>
      <c r="U31" s="198"/>
      <c r="V31" s="198"/>
      <c r="W31" s="198"/>
      <c r="X31" s="198"/>
      <c r="Y31" s="198"/>
      <c r="Z31" s="198"/>
      <c r="AA31" s="198"/>
    </row>
    <row r="32" ht="71.25" customHeight="1">
      <c r="A32" s="370">
        <v>38348.0</v>
      </c>
      <c r="B32" s="285" t="s">
        <v>21</v>
      </c>
      <c r="C32" s="285">
        <v>1306.0</v>
      </c>
      <c r="D32" s="285" t="s">
        <v>7481</v>
      </c>
      <c r="E32" s="287" t="s">
        <v>4713</v>
      </c>
      <c r="F32" s="285" t="s">
        <v>5919</v>
      </c>
      <c r="G32" s="288">
        <v>45269.0</v>
      </c>
      <c r="H32" s="288">
        <v>45265.0</v>
      </c>
      <c r="I32" s="288">
        <v>45265.0</v>
      </c>
      <c r="J32" s="288">
        <v>45275.0</v>
      </c>
      <c r="K32" s="294">
        <v>5552591.0</v>
      </c>
      <c r="L32" s="294" t="s">
        <v>7412</v>
      </c>
      <c r="M32" s="290" t="s">
        <v>7482</v>
      </c>
      <c r="N32" s="285" t="s">
        <v>497</v>
      </c>
      <c r="O32" s="299" t="s">
        <v>2554</v>
      </c>
      <c r="P32" s="300">
        <v>44795.8</v>
      </c>
      <c r="Q32" s="198"/>
      <c r="R32" s="198"/>
      <c r="S32" s="198"/>
      <c r="T32" s="198"/>
      <c r="U32" s="198"/>
      <c r="V32" s="198"/>
      <c r="W32" s="198"/>
      <c r="X32" s="198"/>
      <c r="Y32" s="198"/>
      <c r="Z32" s="198"/>
      <c r="AA32" s="198"/>
    </row>
    <row r="33" ht="71.25" customHeight="1">
      <c r="A33" s="370">
        <v>38559.0</v>
      </c>
      <c r="B33" s="299" t="s">
        <v>715</v>
      </c>
      <c r="C33" s="285">
        <v>4772.0</v>
      </c>
      <c r="D33" s="285" t="s">
        <v>7483</v>
      </c>
      <c r="E33" s="287" t="s">
        <v>7484</v>
      </c>
      <c r="F33" s="285" t="s">
        <v>5919</v>
      </c>
      <c r="G33" s="288">
        <v>45265.0</v>
      </c>
      <c r="H33" s="288">
        <v>45257.0</v>
      </c>
      <c r="I33" s="288">
        <v>45257.0</v>
      </c>
      <c r="J33" s="288">
        <v>45271.0</v>
      </c>
      <c r="K33" s="294"/>
      <c r="L33" s="294"/>
      <c r="M33" s="290" t="s">
        <v>7485</v>
      </c>
      <c r="N33" s="285" t="s">
        <v>4635</v>
      </c>
      <c r="O33" s="299" t="s">
        <v>2621</v>
      </c>
      <c r="P33" s="300">
        <v>49291.88</v>
      </c>
      <c r="Q33" s="198"/>
      <c r="R33" s="198"/>
      <c r="S33" s="198"/>
      <c r="T33" s="198"/>
      <c r="U33" s="198"/>
      <c r="V33" s="198"/>
      <c r="W33" s="198"/>
      <c r="X33" s="198"/>
      <c r="Y33" s="198"/>
      <c r="Z33" s="198"/>
      <c r="AA33" s="198"/>
    </row>
    <row r="34" ht="71.25" customHeight="1">
      <c r="A34" s="370">
        <v>38567.0</v>
      </c>
      <c r="B34" s="299" t="s">
        <v>715</v>
      </c>
      <c r="C34" s="285">
        <v>940.0</v>
      </c>
      <c r="D34" s="285" t="s">
        <v>7486</v>
      </c>
      <c r="E34" s="287" t="s">
        <v>7487</v>
      </c>
      <c r="F34" s="285" t="s">
        <v>5919</v>
      </c>
      <c r="G34" s="288">
        <v>45265.0</v>
      </c>
      <c r="H34" s="288">
        <v>45258.0</v>
      </c>
      <c r="I34" s="288">
        <v>45258.0</v>
      </c>
      <c r="J34" s="288">
        <v>45271.0</v>
      </c>
      <c r="K34" s="294"/>
      <c r="L34" s="294"/>
      <c r="M34" s="290" t="s">
        <v>7488</v>
      </c>
      <c r="N34" s="285" t="s">
        <v>4635</v>
      </c>
      <c r="O34" s="299" t="s">
        <v>2621</v>
      </c>
      <c r="P34" s="300">
        <v>59518.6</v>
      </c>
      <c r="Q34" s="198"/>
      <c r="R34" s="198"/>
      <c r="S34" s="198"/>
      <c r="T34" s="198"/>
      <c r="U34" s="198"/>
      <c r="V34" s="198"/>
      <c r="W34" s="198"/>
      <c r="X34" s="198"/>
      <c r="Y34" s="198"/>
      <c r="Z34" s="198"/>
      <c r="AA34" s="198"/>
    </row>
    <row r="35" ht="71.25" customHeight="1">
      <c r="A35" s="370">
        <v>38317.0</v>
      </c>
      <c r="B35" s="299" t="s">
        <v>715</v>
      </c>
      <c r="C35" s="285">
        <v>1250.0</v>
      </c>
      <c r="D35" s="285" t="s">
        <v>7489</v>
      </c>
      <c r="E35" s="287" t="s">
        <v>4637</v>
      </c>
      <c r="F35" s="285" t="s">
        <v>5919</v>
      </c>
      <c r="G35" s="288">
        <v>45264.0</v>
      </c>
      <c r="H35" s="288">
        <v>45261.0</v>
      </c>
      <c r="I35" s="288">
        <v>45261.0</v>
      </c>
      <c r="J35" s="288">
        <v>45272.0</v>
      </c>
      <c r="K35" s="294"/>
      <c r="L35" s="294"/>
      <c r="M35" s="290" t="s">
        <v>7490</v>
      </c>
      <c r="N35" s="285" t="s">
        <v>497</v>
      </c>
      <c r="O35" s="299" t="s">
        <v>2554</v>
      </c>
      <c r="P35" s="300">
        <v>36250.0</v>
      </c>
      <c r="Q35" s="198"/>
      <c r="R35" s="198"/>
      <c r="S35" s="198"/>
      <c r="T35" s="198"/>
      <c r="U35" s="198"/>
      <c r="V35" s="198"/>
      <c r="W35" s="198"/>
      <c r="X35" s="198"/>
      <c r="Y35" s="198"/>
      <c r="Z35" s="198"/>
      <c r="AA35" s="198"/>
    </row>
    <row r="36" ht="74.25" customHeight="1">
      <c r="A36" s="370">
        <v>38319.0</v>
      </c>
      <c r="B36" s="299" t="s">
        <v>25</v>
      </c>
      <c r="C36" s="285">
        <v>1250.0</v>
      </c>
      <c r="D36" s="285" t="s">
        <v>7491</v>
      </c>
      <c r="E36" s="287" t="s">
        <v>4637</v>
      </c>
      <c r="F36" s="285" t="s">
        <v>5919</v>
      </c>
      <c r="G36" s="288">
        <v>45264.0</v>
      </c>
      <c r="H36" s="288">
        <v>45260.0</v>
      </c>
      <c r="I36" s="288">
        <v>45260.0</v>
      </c>
      <c r="J36" s="288">
        <v>45268.0</v>
      </c>
      <c r="K36" s="294"/>
      <c r="L36" s="294"/>
      <c r="M36" s="290" t="s">
        <v>7492</v>
      </c>
      <c r="N36" s="285" t="s">
        <v>497</v>
      </c>
      <c r="O36" s="299" t="s">
        <v>2554</v>
      </c>
      <c r="P36" s="300">
        <v>36250.0</v>
      </c>
      <c r="Q36" s="198"/>
      <c r="R36" s="198"/>
      <c r="S36" s="198"/>
      <c r="T36" s="198"/>
      <c r="U36" s="198"/>
      <c r="V36" s="198"/>
      <c r="W36" s="198"/>
      <c r="X36" s="198"/>
      <c r="Y36" s="198"/>
      <c r="Z36" s="198"/>
      <c r="AA36" s="198"/>
    </row>
    <row r="37" ht="71.25" customHeight="1">
      <c r="A37" s="370">
        <v>38320.0</v>
      </c>
      <c r="B37" s="299" t="s">
        <v>715</v>
      </c>
      <c r="C37" s="285">
        <v>4230.0</v>
      </c>
      <c r="D37" s="285" t="s">
        <v>7493</v>
      </c>
      <c r="E37" s="287" t="s">
        <v>7438</v>
      </c>
      <c r="F37" s="285" t="s">
        <v>5919</v>
      </c>
      <c r="G37" s="288">
        <v>45264.0</v>
      </c>
      <c r="H37" s="288">
        <v>45260.0</v>
      </c>
      <c r="I37" s="288">
        <v>45260.0</v>
      </c>
      <c r="J37" s="288">
        <v>45271.0</v>
      </c>
      <c r="K37" s="294"/>
      <c r="L37" s="294"/>
      <c r="M37" s="290" t="s">
        <v>7494</v>
      </c>
      <c r="N37" s="285" t="s">
        <v>497</v>
      </c>
      <c r="O37" s="299" t="s">
        <v>2554</v>
      </c>
      <c r="P37" s="300">
        <v>31196.25</v>
      </c>
      <c r="Q37" s="198"/>
      <c r="R37" s="198"/>
      <c r="S37" s="198"/>
      <c r="T37" s="198"/>
      <c r="U37" s="198"/>
      <c r="V37" s="198"/>
      <c r="W37" s="198"/>
      <c r="X37" s="198"/>
      <c r="Y37" s="198"/>
      <c r="Z37" s="198"/>
      <c r="AA37" s="198"/>
    </row>
    <row r="38" ht="82.5" customHeight="1">
      <c r="A38" s="370">
        <v>38315.0</v>
      </c>
      <c r="B38" s="285" t="s">
        <v>21</v>
      </c>
      <c r="C38" s="285">
        <v>2400.0</v>
      </c>
      <c r="D38" s="285" t="s">
        <v>7495</v>
      </c>
      <c r="E38" s="287" t="s">
        <v>6435</v>
      </c>
      <c r="F38" s="285" t="s">
        <v>5919</v>
      </c>
      <c r="G38" s="288">
        <v>45262.0</v>
      </c>
      <c r="H38" s="288">
        <v>45280.0</v>
      </c>
      <c r="I38" s="288">
        <v>45262.0</v>
      </c>
      <c r="J38" s="288">
        <v>45267.0</v>
      </c>
      <c r="K38" s="294">
        <v>5552591.0</v>
      </c>
      <c r="L38" s="294" t="s">
        <v>7412</v>
      </c>
      <c r="M38" s="290" t="s">
        <v>7496</v>
      </c>
      <c r="N38" s="285" t="s">
        <v>497</v>
      </c>
      <c r="O38" s="299" t="s">
        <v>2554</v>
      </c>
      <c r="P38" s="300">
        <v>39600.0</v>
      </c>
      <c r="Q38" s="198"/>
      <c r="R38" s="198"/>
      <c r="S38" s="198"/>
      <c r="T38" s="198"/>
      <c r="U38" s="198"/>
      <c r="V38" s="198"/>
      <c r="W38" s="198"/>
      <c r="X38" s="198"/>
      <c r="Y38" s="198"/>
      <c r="Z38" s="198"/>
      <c r="AA38" s="198"/>
    </row>
    <row r="39" ht="71.25" customHeight="1">
      <c r="A39" s="370">
        <v>38098.0</v>
      </c>
      <c r="B39" s="285" t="s">
        <v>21</v>
      </c>
      <c r="C39" s="285">
        <v>4356.0</v>
      </c>
      <c r="D39" s="285" t="s">
        <v>7497</v>
      </c>
      <c r="E39" s="287" t="s">
        <v>7403</v>
      </c>
      <c r="F39" s="285" t="s">
        <v>5919</v>
      </c>
      <c r="G39" s="288">
        <v>45262.0</v>
      </c>
      <c r="H39" s="288">
        <v>45257.0</v>
      </c>
      <c r="I39" s="288">
        <v>45257.0</v>
      </c>
      <c r="J39" s="288">
        <v>45267.0</v>
      </c>
      <c r="K39" s="294">
        <v>5552591.0</v>
      </c>
      <c r="L39" s="294" t="s">
        <v>7412</v>
      </c>
      <c r="M39" s="290" t="s">
        <v>7498</v>
      </c>
      <c r="N39" s="285" t="s">
        <v>497</v>
      </c>
      <c r="O39" s="299" t="s">
        <v>2554</v>
      </c>
      <c r="P39" s="300">
        <v>35980.56</v>
      </c>
      <c r="Q39" s="198"/>
      <c r="R39" s="198"/>
      <c r="S39" s="198"/>
      <c r="T39" s="198"/>
      <c r="U39" s="198"/>
      <c r="V39" s="198"/>
      <c r="W39" s="198"/>
      <c r="X39" s="198"/>
      <c r="Y39" s="198"/>
      <c r="Z39" s="198"/>
      <c r="AA39" s="198"/>
    </row>
    <row r="40" ht="71.25" customHeight="1">
      <c r="A40" s="370">
        <v>38566.0</v>
      </c>
      <c r="B40" s="299" t="s">
        <v>715</v>
      </c>
      <c r="C40" s="285">
        <v>943.0</v>
      </c>
      <c r="D40" s="285" t="s">
        <v>7499</v>
      </c>
      <c r="E40" s="287" t="s">
        <v>7500</v>
      </c>
      <c r="F40" s="285" t="s">
        <v>5919</v>
      </c>
      <c r="G40" s="288">
        <v>45262.0</v>
      </c>
      <c r="H40" s="288">
        <v>45258.0</v>
      </c>
      <c r="I40" s="288">
        <v>45258.0</v>
      </c>
      <c r="J40" s="288">
        <v>45267.0</v>
      </c>
      <c r="K40" s="294"/>
      <c r="L40" s="294"/>
      <c r="M40" s="290" t="s">
        <v>7501</v>
      </c>
      <c r="N40" s="285" t="s">
        <v>4635</v>
      </c>
      <c r="O40" s="299" t="s">
        <v>2621</v>
      </c>
      <c r="P40" s="300">
        <v>41048.28</v>
      </c>
      <c r="Q40" s="198"/>
      <c r="R40" s="198"/>
      <c r="S40" s="198"/>
      <c r="T40" s="198"/>
      <c r="U40" s="198"/>
      <c r="V40" s="198"/>
      <c r="W40" s="198"/>
      <c r="X40" s="198"/>
      <c r="Y40" s="198"/>
      <c r="Z40" s="198"/>
      <c r="AA40" s="198"/>
    </row>
    <row r="41" ht="71.25" customHeight="1">
      <c r="A41" s="370">
        <v>38554.0</v>
      </c>
      <c r="B41" s="299" t="s">
        <v>25</v>
      </c>
      <c r="C41" s="285">
        <v>600.0</v>
      </c>
      <c r="D41" s="285" t="s">
        <v>7502</v>
      </c>
      <c r="E41" s="287" t="s">
        <v>7503</v>
      </c>
      <c r="F41" s="285" t="s">
        <v>5919</v>
      </c>
      <c r="G41" s="288">
        <v>45257.0</v>
      </c>
      <c r="H41" s="288">
        <v>45251.0</v>
      </c>
      <c r="I41" s="288">
        <v>45251.0</v>
      </c>
      <c r="J41" s="288">
        <v>45266.0</v>
      </c>
      <c r="K41" s="294"/>
      <c r="L41" s="294"/>
      <c r="M41" s="290" t="s">
        <v>7504</v>
      </c>
      <c r="N41" s="285" t="s">
        <v>497</v>
      </c>
      <c r="O41" s="299" t="s">
        <v>2538</v>
      </c>
      <c r="P41" s="300">
        <v>68400.0</v>
      </c>
      <c r="Q41" s="198"/>
      <c r="R41" s="198"/>
      <c r="S41" s="198"/>
      <c r="T41" s="198"/>
      <c r="U41" s="198"/>
      <c r="V41" s="198"/>
      <c r="W41" s="198"/>
      <c r="X41" s="198"/>
      <c r="Y41" s="198"/>
      <c r="Z41" s="198"/>
      <c r="AA41" s="198"/>
    </row>
    <row r="42" ht="71.25" customHeight="1">
      <c r="A42" s="370">
        <v>38564.0</v>
      </c>
      <c r="B42" s="299" t="s">
        <v>715</v>
      </c>
      <c r="C42" s="285">
        <v>930.0</v>
      </c>
      <c r="D42" s="285" t="s">
        <v>7505</v>
      </c>
      <c r="E42" s="287" t="s">
        <v>7506</v>
      </c>
      <c r="F42" s="285" t="s">
        <v>5919</v>
      </c>
      <c r="G42" s="288">
        <v>45256.0</v>
      </c>
      <c r="H42" s="288">
        <v>45252.0</v>
      </c>
      <c r="I42" s="288">
        <v>45252.0</v>
      </c>
      <c r="J42" s="288">
        <v>45260.0</v>
      </c>
      <c r="K42" s="294"/>
      <c r="L42" s="294"/>
      <c r="M42" s="290" t="s">
        <v>7507</v>
      </c>
      <c r="N42" s="285" t="s">
        <v>4635</v>
      </c>
      <c r="O42" s="299" t="s">
        <v>2621</v>
      </c>
      <c r="P42" s="300">
        <v>40059.8</v>
      </c>
      <c r="Q42" s="198"/>
      <c r="R42" s="198"/>
      <c r="S42" s="198"/>
      <c r="T42" s="198"/>
      <c r="U42" s="198"/>
      <c r="V42" s="198"/>
      <c r="W42" s="198"/>
      <c r="X42" s="198"/>
      <c r="Y42" s="198"/>
      <c r="Z42" s="198"/>
      <c r="AA42" s="198"/>
    </row>
    <row r="43" ht="71.25" customHeight="1">
      <c r="A43" s="370">
        <v>38549.0</v>
      </c>
      <c r="B43" s="299" t="s">
        <v>6501</v>
      </c>
      <c r="C43" s="285">
        <v>940.0</v>
      </c>
      <c r="D43" s="285" t="s">
        <v>7508</v>
      </c>
      <c r="E43" s="287" t="s">
        <v>7509</v>
      </c>
      <c r="F43" s="285" t="s">
        <v>5919</v>
      </c>
      <c r="G43" s="288">
        <v>45255.0</v>
      </c>
      <c r="H43" s="288">
        <v>45260.0</v>
      </c>
      <c r="I43" s="288">
        <v>45260.0</v>
      </c>
      <c r="J43" s="288">
        <v>45265.0</v>
      </c>
      <c r="K43" s="294"/>
      <c r="L43" s="294"/>
      <c r="M43" s="290" t="s">
        <v>7510</v>
      </c>
      <c r="N43" s="285" t="s">
        <v>4635</v>
      </c>
      <c r="O43" s="299" t="s">
        <v>2621</v>
      </c>
      <c r="P43" s="300">
        <v>40833.6</v>
      </c>
      <c r="Q43" s="198"/>
      <c r="R43" s="198"/>
      <c r="S43" s="198"/>
      <c r="T43" s="198"/>
      <c r="U43" s="198"/>
      <c r="V43" s="198"/>
      <c r="W43" s="198"/>
      <c r="X43" s="198"/>
      <c r="Y43" s="198"/>
      <c r="Z43" s="198"/>
      <c r="AA43" s="198"/>
    </row>
    <row r="44" ht="71.25" customHeight="1">
      <c r="A44" s="370">
        <v>38148.0</v>
      </c>
      <c r="B44" s="299" t="s">
        <v>25</v>
      </c>
      <c r="C44" s="285">
        <v>2040.0</v>
      </c>
      <c r="D44" s="285" t="s">
        <v>7511</v>
      </c>
      <c r="E44" s="287" t="s">
        <v>5211</v>
      </c>
      <c r="F44" s="285" t="s">
        <v>5919</v>
      </c>
      <c r="G44" s="288">
        <v>45254.0</v>
      </c>
      <c r="H44" s="288">
        <v>45249.0</v>
      </c>
      <c r="I44" s="288">
        <v>45249.0</v>
      </c>
      <c r="J44" s="288">
        <v>45260.0</v>
      </c>
      <c r="K44" s="294"/>
      <c r="L44" s="294"/>
      <c r="M44" s="290" t="s">
        <v>7512</v>
      </c>
      <c r="N44" s="285" t="s">
        <v>497</v>
      </c>
      <c r="O44" s="299" t="s">
        <v>2604</v>
      </c>
      <c r="P44" s="300">
        <v>33939.0</v>
      </c>
      <c r="Q44" s="198"/>
      <c r="R44" s="198"/>
      <c r="S44" s="198"/>
      <c r="T44" s="198"/>
      <c r="U44" s="198"/>
      <c r="V44" s="198"/>
      <c r="W44" s="198"/>
      <c r="X44" s="198"/>
      <c r="Y44" s="198"/>
      <c r="Z44" s="198"/>
      <c r="AA44" s="198"/>
    </row>
    <row r="45" ht="77.25" customHeight="1">
      <c r="A45" s="370">
        <v>38596.0</v>
      </c>
      <c r="B45" s="299" t="s">
        <v>25</v>
      </c>
      <c r="C45" s="285" t="s">
        <v>7513</v>
      </c>
      <c r="D45" s="285" t="s">
        <v>7514</v>
      </c>
      <c r="E45" s="287" t="s">
        <v>7515</v>
      </c>
      <c r="F45" s="285" t="s">
        <v>5919</v>
      </c>
      <c r="G45" s="288">
        <v>45250.0</v>
      </c>
      <c r="H45" s="285" t="s">
        <v>4841</v>
      </c>
      <c r="I45" s="285" t="s">
        <v>4841</v>
      </c>
      <c r="J45" s="288">
        <v>45258.0</v>
      </c>
      <c r="K45" s="294"/>
      <c r="L45" s="294"/>
      <c r="M45" s="290" t="s">
        <v>7516</v>
      </c>
      <c r="N45" s="285" t="s">
        <v>497</v>
      </c>
      <c r="O45" s="299" t="s">
        <v>2538</v>
      </c>
      <c r="P45" s="300">
        <v>0.0</v>
      </c>
      <c r="Q45" s="198"/>
      <c r="R45" s="198"/>
      <c r="S45" s="198"/>
      <c r="T45" s="198"/>
      <c r="U45" s="198"/>
      <c r="V45" s="198"/>
      <c r="W45" s="198"/>
      <c r="X45" s="198"/>
      <c r="Y45" s="198"/>
      <c r="Z45" s="198"/>
      <c r="AA45" s="198"/>
    </row>
    <row r="46" ht="71.25" customHeight="1">
      <c r="A46" s="370">
        <v>38314.0</v>
      </c>
      <c r="B46" s="299" t="s">
        <v>25</v>
      </c>
      <c r="C46" s="285">
        <v>1250.0</v>
      </c>
      <c r="D46" s="285" t="s">
        <v>7517</v>
      </c>
      <c r="E46" s="287" t="s">
        <v>4637</v>
      </c>
      <c r="F46" s="285" t="s">
        <v>5919</v>
      </c>
      <c r="G46" s="288">
        <v>45250.0</v>
      </c>
      <c r="H46" s="288">
        <v>45245.0</v>
      </c>
      <c r="I46" s="288">
        <v>45245.0</v>
      </c>
      <c r="J46" s="288">
        <v>45259.0</v>
      </c>
      <c r="K46" s="294"/>
      <c r="L46" s="294"/>
      <c r="M46" s="290" t="s">
        <v>7518</v>
      </c>
      <c r="N46" s="285" t="s">
        <v>497</v>
      </c>
      <c r="O46" s="299" t="s">
        <v>2554</v>
      </c>
      <c r="P46" s="300">
        <v>36250.0</v>
      </c>
      <c r="Q46" s="198"/>
      <c r="R46" s="198"/>
      <c r="S46" s="198"/>
      <c r="T46" s="198"/>
      <c r="U46" s="198"/>
      <c r="V46" s="198"/>
      <c r="W46" s="198"/>
      <c r="X46" s="198"/>
      <c r="Y46" s="198"/>
      <c r="Z46" s="198"/>
      <c r="AA46" s="198"/>
    </row>
    <row r="47" ht="71.25" customHeight="1">
      <c r="A47" s="370">
        <v>38099.0</v>
      </c>
      <c r="B47" s="299" t="s">
        <v>25</v>
      </c>
      <c r="C47" s="285">
        <v>1306.0</v>
      </c>
      <c r="D47" s="285" t="s">
        <v>7519</v>
      </c>
      <c r="E47" s="287" t="s">
        <v>7520</v>
      </c>
      <c r="F47" s="285" t="s">
        <v>5919</v>
      </c>
      <c r="G47" s="288">
        <v>45250.0</v>
      </c>
      <c r="H47" s="288">
        <v>45245.0</v>
      </c>
      <c r="I47" s="288">
        <v>45245.0</v>
      </c>
      <c r="J47" s="288">
        <v>45260.0</v>
      </c>
      <c r="K47" s="294"/>
      <c r="L47" s="294"/>
      <c r="M47" s="290" t="s">
        <v>7521</v>
      </c>
      <c r="N47" s="285" t="s">
        <v>497</v>
      </c>
      <c r="O47" s="299" t="s">
        <v>2554</v>
      </c>
      <c r="P47" s="300">
        <v>44795.8</v>
      </c>
      <c r="Q47" s="198"/>
      <c r="R47" s="198"/>
      <c r="S47" s="198"/>
      <c r="T47" s="198"/>
      <c r="U47" s="198"/>
      <c r="V47" s="198"/>
      <c r="W47" s="198"/>
      <c r="X47" s="198"/>
      <c r="Y47" s="198"/>
      <c r="Z47" s="198"/>
      <c r="AA47" s="198"/>
    </row>
    <row r="48" ht="71.25" customHeight="1">
      <c r="A48" s="370">
        <v>38091.0</v>
      </c>
      <c r="B48" s="285" t="s">
        <v>21</v>
      </c>
      <c r="C48" s="285">
        <v>4356.0</v>
      </c>
      <c r="D48" s="285" t="s">
        <v>7522</v>
      </c>
      <c r="E48" s="287" t="s">
        <v>7523</v>
      </c>
      <c r="F48" s="285" t="s">
        <v>5919</v>
      </c>
      <c r="G48" s="288">
        <v>45249.0</v>
      </c>
      <c r="H48" s="288">
        <v>45244.0</v>
      </c>
      <c r="I48" s="288">
        <v>45244.0</v>
      </c>
      <c r="J48" s="288">
        <v>45254.0</v>
      </c>
      <c r="K48" s="294">
        <v>5545026.0</v>
      </c>
      <c r="L48" s="294" t="s">
        <v>7524</v>
      </c>
      <c r="M48" s="290" t="s">
        <v>7525</v>
      </c>
      <c r="N48" s="285" t="s">
        <v>497</v>
      </c>
      <c r="O48" s="299" t="s">
        <v>2554</v>
      </c>
      <c r="P48" s="300">
        <v>35980.56</v>
      </c>
      <c r="Q48" s="198"/>
      <c r="R48" s="198"/>
      <c r="S48" s="198"/>
      <c r="T48" s="198"/>
      <c r="U48" s="198"/>
      <c r="V48" s="198"/>
      <c r="W48" s="198"/>
      <c r="X48" s="198"/>
      <c r="Y48" s="198"/>
      <c r="Z48" s="198"/>
      <c r="AA48" s="198"/>
    </row>
    <row r="49" ht="71.25" customHeight="1">
      <c r="A49" s="370">
        <v>38313.0</v>
      </c>
      <c r="B49" s="285" t="s">
        <v>21</v>
      </c>
      <c r="C49" s="285">
        <v>4230.0</v>
      </c>
      <c r="D49" s="285" t="s">
        <v>7526</v>
      </c>
      <c r="E49" s="287" t="s">
        <v>7438</v>
      </c>
      <c r="F49" s="285" t="s">
        <v>5919</v>
      </c>
      <c r="G49" s="288">
        <v>45249.0</v>
      </c>
      <c r="H49" s="288">
        <v>45244.0</v>
      </c>
      <c r="I49" s="288">
        <v>45244.0</v>
      </c>
      <c r="J49" s="288">
        <v>45254.0</v>
      </c>
      <c r="K49" s="294">
        <v>5545026.0</v>
      </c>
      <c r="L49" s="294" t="s">
        <v>7527</v>
      </c>
      <c r="M49" s="290" t="s">
        <v>7528</v>
      </c>
      <c r="N49" s="285" t="s">
        <v>497</v>
      </c>
      <c r="O49" s="299" t="s">
        <v>2554</v>
      </c>
      <c r="P49" s="300">
        <v>31196.25</v>
      </c>
      <c r="Q49" s="198"/>
      <c r="R49" s="198"/>
      <c r="S49" s="198"/>
      <c r="T49" s="198"/>
      <c r="U49" s="198"/>
      <c r="V49" s="198"/>
      <c r="W49" s="198"/>
      <c r="X49" s="198"/>
      <c r="Y49" s="198"/>
      <c r="Z49" s="198"/>
      <c r="AA49" s="198"/>
    </row>
    <row r="50" ht="71.25" customHeight="1">
      <c r="A50" s="370">
        <v>38310.0</v>
      </c>
      <c r="B50" s="285" t="s">
        <v>21</v>
      </c>
      <c r="C50" s="285">
        <v>1250.0</v>
      </c>
      <c r="D50" s="285" t="s">
        <v>7529</v>
      </c>
      <c r="E50" s="287" t="s">
        <v>4637</v>
      </c>
      <c r="F50" s="285" t="s">
        <v>5919</v>
      </c>
      <c r="G50" s="288">
        <v>45249.0</v>
      </c>
      <c r="H50" s="288">
        <v>45244.0</v>
      </c>
      <c r="I50" s="288">
        <v>45244.0</v>
      </c>
      <c r="J50" s="288">
        <v>45254.0</v>
      </c>
      <c r="K50" s="294">
        <v>5545026.0</v>
      </c>
      <c r="L50" s="294" t="s">
        <v>7530</v>
      </c>
      <c r="M50" s="290" t="s">
        <v>7531</v>
      </c>
      <c r="N50" s="285" t="s">
        <v>497</v>
      </c>
      <c r="O50" s="299" t="s">
        <v>2554</v>
      </c>
      <c r="P50" s="300">
        <v>36250.0</v>
      </c>
      <c r="Q50" s="198"/>
      <c r="R50" s="198"/>
      <c r="S50" s="198"/>
      <c r="T50" s="198"/>
      <c r="U50" s="198"/>
      <c r="V50" s="198"/>
      <c r="W50" s="198"/>
      <c r="X50" s="198"/>
      <c r="Y50" s="198"/>
      <c r="Z50" s="198"/>
      <c r="AA50" s="198"/>
    </row>
    <row r="51" ht="71.25" customHeight="1">
      <c r="A51" s="370">
        <v>38563.0</v>
      </c>
      <c r="B51" s="285" t="s">
        <v>21</v>
      </c>
      <c r="C51" s="285">
        <v>962.0</v>
      </c>
      <c r="D51" s="285" t="s">
        <v>7532</v>
      </c>
      <c r="E51" s="287" t="s">
        <v>7533</v>
      </c>
      <c r="F51" s="285" t="s">
        <v>5919</v>
      </c>
      <c r="G51" s="288">
        <v>45248.0</v>
      </c>
      <c r="H51" s="288">
        <v>45246.0</v>
      </c>
      <c r="I51" s="288">
        <v>45246.0</v>
      </c>
      <c r="J51" s="288">
        <v>45252.0</v>
      </c>
      <c r="K51" s="294">
        <v>5545026.0</v>
      </c>
      <c r="L51" s="294" t="s">
        <v>7534</v>
      </c>
      <c r="M51" s="290" t="s">
        <v>7535</v>
      </c>
      <c r="N51" s="285" t="s">
        <v>4635</v>
      </c>
      <c r="O51" s="299" t="s">
        <v>2621</v>
      </c>
      <c r="P51" s="300">
        <v>61646.32</v>
      </c>
      <c r="Q51" s="198"/>
      <c r="R51" s="198"/>
      <c r="S51" s="198"/>
      <c r="T51" s="198"/>
      <c r="U51" s="198"/>
      <c r="V51" s="198"/>
      <c r="W51" s="198"/>
      <c r="X51" s="198"/>
      <c r="Y51" s="198"/>
      <c r="Z51" s="198"/>
      <c r="AA51" s="198"/>
    </row>
    <row r="52" ht="71.25" customHeight="1">
      <c r="A52" s="370">
        <v>38527.0</v>
      </c>
      <c r="B52" s="285" t="s">
        <v>21</v>
      </c>
      <c r="C52" s="285">
        <v>1120.0</v>
      </c>
      <c r="D52" s="285" t="s">
        <v>7536</v>
      </c>
      <c r="E52" s="287" t="s">
        <v>7537</v>
      </c>
      <c r="F52" s="285" t="s">
        <v>5919</v>
      </c>
      <c r="G52" s="288">
        <v>45248.0</v>
      </c>
      <c r="H52" s="288">
        <v>45244.0</v>
      </c>
      <c r="I52" s="288">
        <v>45244.0</v>
      </c>
      <c r="J52" s="288">
        <v>45258.0</v>
      </c>
      <c r="K52" s="294">
        <v>5545026.0</v>
      </c>
      <c r="L52" s="294" t="s">
        <v>7538</v>
      </c>
      <c r="M52" s="290" t="s">
        <v>7539</v>
      </c>
      <c r="N52" s="285" t="s">
        <v>4635</v>
      </c>
      <c r="O52" s="299" t="s">
        <v>2621</v>
      </c>
      <c r="P52" s="300">
        <v>83436.4</v>
      </c>
      <c r="Q52" s="198"/>
      <c r="R52" s="198"/>
      <c r="S52" s="198"/>
      <c r="T52" s="198"/>
      <c r="U52" s="198"/>
      <c r="V52" s="198"/>
      <c r="W52" s="198"/>
      <c r="X52" s="198"/>
      <c r="Y52" s="198"/>
      <c r="Z52" s="198"/>
      <c r="AA52" s="198"/>
    </row>
    <row r="53" ht="71.25" customHeight="1">
      <c r="A53" s="370">
        <v>38461.0</v>
      </c>
      <c r="B53" s="285" t="s">
        <v>21</v>
      </c>
      <c r="C53" s="285">
        <v>885.0</v>
      </c>
      <c r="D53" s="285" t="s">
        <v>7540</v>
      </c>
      <c r="E53" s="287" t="s">
        <v>2751</v>
      </c>
      <c r="F53" s="285" t="s">
        <v>5919</v>
      </c>
      <c r="G53" s="288">
        <v>45246.0</v>
      </c>
      <c r="H53" s="288">
        <v>45242.0</v>
      </c>
      <c r="I53" s="288">
        <v>45242.0</v>
      </c>
      <c r="J53" s="288">
        <v>45252.0</v>
      </c>
      <c r="K53" s="294">
        <v>5545026.0</v>
      </c>
      <c r="L53" s="294" t="s">
        <v>7541</v>
      </c>
      <c r="M53" s="290" t="s">
        <v>7542</v>
      </c>
      <c r="N53" s="285" t="s">
        <v>6366</v>
      </c>
      <c r="O53" s="299" t="s">
        <v>2621</v>
      </c>
      <c r="P53" s="300">
        <v>36211.5</v>
      </c>
      <c r="Q53" s="198"/>
      <c r="R53" s="198"/>
      <c r="S53" s="198"/>
      <c r="T53" s="198"/>
      <c r="U53" s="198"/>
      <c r="V53" s="198"/>
      <c r="W53" s="198"/>
      <c r="X53" s="198"/>
      <c r="Y53" s="198"/>
      <c r="Z53" s="198"/>
      <c r="AA53" s="198"/>
    </row>
    <row r="54" ht="71.25" customHeight="1">
      <c r="A54" s="370">
        <v>38118.0</v>
      </c>
      <c r="B54" s="299" t="s">
        <v>715</v>
      </c>
      <c r="C54" s="285">
        <v>4230.0</v>
      </c>
      <c r="D54" s="285" t="s">
        <v>7543</v>
      </c>
      <c r="E54" s="287" t="s">
        <v>4690</v>
      </c>
      <c r="F54" s="285" t="s">
        <v>5919</v>
      </c>
      <c r="G54" s="288">
        <v>45243.0</v>
      </c>
      <c r="H54" s="288">
        <v>45239.0</v>
      </c>
      <c r="I54" s="288">
        <v>45239.0</v>
      </c>
      <c r="J54" s="288">
        <v>45250.0</v>
      </c>
      <c r="K54" s="294"/>
      <c r="L54" s="294"/>
      <c r="M54" s="290" t="s">
        <v>7544</v>
      </c>
      <c r="N54" s="285" t="s">
        <v>497</v>
      </c>
      <c r="O54" s="299" t="s">
        <v>2554</v>
      </c>
      <c r="P54" s="300">
        <v>30667.5</v>
      </c>
      <c r="Q54" s="198"/>
      <c r="R54" s="198"/>
      <c r="S54" s="198"/>
      <c r="T54" s="198"/>
      <c r="U54" s="198"/>
      <c r="V54" s="198"/>
      <c r="W54" s="198"/>
      <c r="X54" s="198"/>
      <c r="Y54" s="198"/>
      <c r="Z54" s="198"/>
      <c r="AA54" s="198"/>
    </row>
    <row r="55" ht="71.25" customHeight="1">
      <c r="A55" s="370">
        <v>38110.0</v>
      </c>
      <c r="B55" s="299" t="s">
        <v>715</v>
      </c>
      <c r="C55" s="285">
        <v>1250.0</v>
      </c>
      <c r="D55" s="285" t="s">
        <v>7545</v>
      </c>
      <c r="E55" s="287" t="s">
        <v>4637</v>
      </c>
      <c r="F55" s="285" t="s">
        <v>5919</v>
      </c>
      <c r="G55" s="288">
        <v>45241.0</v>
      </c>
      <c r="H55" s="288">
        <v>45237.0</v>
      </c>
      <c r="I55" s="288">
        <v>45237.0</v>
      </c>
      <c r="J55" s="288">
        <v>45246.0</v>
      </c>
      <c r="K55" s="294"/>
      <c r="L55" s="294"/>
      <c r="M55" s="290" t="s">
        <v>7546</v>
      </c>
      <c r="N55" s="285" t="s">
        <v>497</v>
      </c>
      <c r="O55" s="299" t="s">
        <v>2554</v>
      </c>
      <c r="P55" s="300">
        <v>36250.0</v>
      </c>
      <c r="Q55" s="198"/>
      <c r="R55" s="198"/>
      <c r="S55" s="198"/>
      <c r="T55" s="198"/>
      <c r="U55" s="198"/>
      <c r="V55" s="198"/>
      <c r="W55" s="198"/>
      <c r="X55" s="198"/>
      <c r="Y55" s="198"/>
      <c r="Z55" s="198"/>
      <c r="AA55" s="198"/>
    </row>
    <row r="56" ht="71.25" customHeight="1">
      <c r="A56" s="370">
        <v>38112.0</v>
      </c>
      <c r="B56" s="299" t="s">
        <v>715</v>
      </c>
      <c r="C56" s="285">
        <v>4230.0</v>
      </c>
      <c r="D56" s="285" t="s">
        <v>7547</v>
      </c>
      <c r="E56" s="287" t="s">
        <v>7438</v>
      </c>
      <c r="F56" s="285" t="s">
        <v>5919</v>
      </c>
      <c r="G56" s="288">
        <v>45241.0</v>
      </c>
      <c r="H56" s="288">
        <v>45237.0</v>
      </c>
      <c r="I56" s="288">
        <v>45237.0</v>
      </c>
      <c r="J56" s="288">
        <v>45247.0</v>
      </c>
      <c r="K56" s="294"/>
      <c r="L56" s="294"/>
      <c r="M56" s="290" t="s">
        <v>7548</v>
      </c>
      <c r="N56" s="285" t="s">
        <v>497</v>
      </c>
      <c r="O56" s="299" t="s">
        <v>2554</v>
      </c>
      <c r="P56" s="300">
        <v>31196.25</v>
      </c>
      <c r="Q56" s="198"/>
      <c r="R56" s="198"/>
      <c r="S56" s="198"/>
      <c r="T56" s="198"/>
      <c r="U56" s="198"/>
      <c r="V56" s="198"/>
      <c r="W56" s="198"/>
      <c r="X56" s="198"/>
      <c r="Y56" s="198"/>
      <c r="Z56" s="198"/>
      <c r="AA56" s="198"/>
    </row>
    <row r="57" ht="71.25" customHeight="1">
      <c r="A57" s="370">
        <v>38550.0</v>
      </c>
      <c r="B57" s="299" t="s">
        <v>715</v>
      </c>
      <c r="C57" s="285">
        <v>1082.0</v>
      </c>
      <c r="D57" s="285" t="s">
        <v>7549</v>
      </c>
      <c r="E57" s="287" t="s">
        <v>7550</v>
      </c>
      <c r="F57" s="285" t="s">
        <v>5919</v>
      </c>
      <c r="G57" s="288">
        <v>45240.0</v>
      </c>
      <c r="H57" s="288">
        <v>45236.0</v>
      </c>
      <c r="I57" s="288">
        <v>45236.0</v>
      </c>
      <c r="J57" s="288">
        <v>45246.0</v>
      </c>
      <c r="K57" s="294"/>
      <c r="L57" s="294"/>
      <c r="M57" s="290" t="s">
        <v>7551</v>
      </c>
      <c r="N57" s="285" t="s">
        <v>4635</v>
      </c>
      <c r="O57" s="299" t="s">
        <v>2621</v>
      </c>
      <c r="P57" s="300">
        <v>35289.22</v>
      </c>
      <c r="Q57" s="198"/>
      <c r="R57" s="198"/>
      <c r="S57" s="198"/>
      <c r="T57" s="198"/>
      <c r="U57" s="198"/>
      <c r="V57" s="198"/>
      <c r="W57" s="198"/>
      <c r="X57" s="198"/>
      <c r="Y57" s="198"/>
      <c r="Z57" s="198"/>
      <c r="AA57" s="198"/>
    </row>
    <row r="58" ht="71.25" customHeight="1">
      <c r="A58" s="370">
        <v>38532.0</v>
      </c>
      <c r="B58" s="299" t="s">
        <v>715</v>
      </c>
      <c r="C58" s="285">
        <v>1270.0</v>
      </c>
      <c r="D58" s="285" t="s">
        <v>7552</v>
      </c>
      <c r="E58" s="287" t="s">
        <v>7553</v>
      </c>
      <c r="F58" s="285" t="s">
        <v>5919</v>
      </c>
      <c r="G58" s="288">
        <v>45237.0</v>
      </c>
      <c r="H58" s="288">
        <v>45230.0</v>
      </c>
      <c r="I58" s="288">
        <v>45230.0</v>
      </c>
      <c r="J58" s="288">
        <v>45244.0</v>
      </c>
      <c r="K58" s="294"/>
      <c r="L58" s="294"/>
      <c r="M58" s="290" t="s">
        <v>7554</v>
      </c>
      <c r="N58" s="285" t="s">
        <v>4635</v>
      </c>
      <c r="O58" s="299" t="s">
        <v>2621</v>
      </c>
      <c r="P58" s="300">
        <v>31516.4</v>
      </c>
      <c r="Q58" s="198"/>
      <c r="R58" s="198"/>
      <c r="S58" s="198"/>
      <c r="T58" s="198"/>
      <c r="U58" s="198"/>
      <c r="V58" s="198"/>
      <c r="W58" s="198"/>
      <c r="X58" s="198"/>
      <c r="Y58" s="198"/>
      <c r="Z58" s="198"/>
      <c r="AA58" s="198"/>
    </row>
    <row r="59" ht="71.25" customHeight="1">
      <c r="A59" s="370">
        <v>38041.0</v>
      </c>
      <c r="B59" s="299" t="s">
        <v>715</v>
      </c>
      <c r="C59" s="285">
        <v>2578.0</v>
      </c>
      <c r="D59" s="285" t="s">
        <v>7555</v>
      </c>
      <c r="E59" s="287" t="s">
        <v>7556</v>
      </c>
      <c r="F59" s="285" t="s">
        <v>5919</v>
      </c>
      <c r="G59" s="288">
        <v>45236.0</v>
      </c>
      <c r="H59" s="288">
        <v>45231.0</v>
      </c>
      <c r="I59" s="288">
        <v>45231.0</v>
      </c>
      <c r="J59" s="288">
        <v>45243.0</v>
      </c>
      <c r="K59" s="294"/>
      <c r="L59" s="294"/>
      <c r="M59" s="290" t="s">
        <v>7557</v>
      </c>
      <c r="N59" s="285" t="s">
        <v>497</v>
      </c>
      <c r="O59" s="299" t="s">
        <v>2554</v>
      </c>
      <c r="P59" s="300">
        <v>57958.4</v>
      </c>
      <c r="Q59" s="198"/>
      <c r="R59" s="198"/>
      <c r="S59" s="198"/>
      <c r="T59" s="198"/>
      <c r="U59" s="198"/>
      <c r="V59" s="198"/>
      <c r="W59" s="198"/>
      <c r="X59" s="198"/>
      <c r="Y59" s="198"/>
      <c r="Z59" s="198"/>
      <c r="AA59" s="198"/>
    </row>
    <row r="60" ht="71.25" customHeight="1">
      <c r="A60" s="370">
        <v>38228.0</v>
      </c>
      <c r="B60" s="285" t="s">
        <v>21</v>
      </c>
      <c r="C60" s="285">
        <v>1800.0</v>
      </c>
      <c r="D60" s="285" t="s">
        <v>7558</v>
      </c>
      <c r="E60" s="287" t="s">
        <v>3740</v>
      </c>
      <c r="F60" s="285" t="s">
        <v>5919</v>
      </c>
      <c r="G60" s="288">
        <v>45236.0</v>
      </c>
      <c r="H60" s="288">
        <v>45231.0</v>
      </c>
      <c r="I60" s="288">
        <v>45231.0</v>
      </c>
      <c r="J60" s="288">
        <v>45244.0</v>
      </c>
      <c r="K60" s="294">
        <v>5545026.0</v>
      </c>
      <c r="L60" s="294" t="s">
        <v>7534</v>
      </c>
      <c r="M60" s="290" t="s">
        <v>7559</v>
      </c>
      <c r="N60" s="285" t="s">
        <v>497</v>
      </c>
      <c r="O60" s="299" t="s">
        <v>4711</v>
      </c>
      <c r="P60" s="300">
        <v>38169.72</v>
      </c>
      <c r="Q60" s="198"/>
      <c r="R60" s="198"/>
      <c r="S60" s="198"/>
      <c r="T60" s="198"/>
      <c r="U60" s="198"/>
      <c r="V60" s="198"/>
      <c r="W60" s="198"/>
      <c r="X60" s="198"/>
      <c r="Y60" s="198"/>
      <c r="Z60" s="198"/>
      <c r="AA60" s="198"/>
    </row>
    <row r="61" ht="79.5" customHeight="1">
      <c r="A61" s="370">
        <v>38088.0</v>
      </c>
      <c r="B61" s="285" t="s">
        <v>21</v>
      </c>
      <c r="C61" s="285">
        <v>4356.0</v>
      </c>
      <c r="D61" s="285" t="s">
        <v>7560</v>
      </c>
      <c r="E61" s="287" t="s">
        <v>7561</v>
      </c>
      <c r="F61" s="285" t="s">
        <v>5919</v>
      </c>
      <c r="G61" s="288">
        <v>45235.0</v>
      </c>
      <c r="H61" s="288">
        <v>45231.0</v>
      </c>
      <c r="I61" s="288">
        <v>45231.0</v>
      </c>
      <c r="J61" s="288">
        <v>45240.0</v>
      </c>
      <c r="K61" s="294">
        <v>5545026.0</v>
      </c>
      <c r="L61" s="294" t="s">
        <v>7527</v>
      </c>
      <c r="M61" s="290" t="s">
        <v>7562</v>
      </c>
      <c r="N61" s="285" t="s">
        <v>497</v>
      </c>
      <c r="O61" s="299" t="s">
        <v>2554</v>
      </c>
      <c r="P61" s="300">
        <v>35980.56</v>
      </c>
      <c r="Q61" s="198"/>
      <c r="R61" s="198"/>
      <c r="S61" s="198"/>
      <c r="T61" s="198"/>
      <c r="U61" s="198"/>
      <c r="V61" s="198"/>
      <c r="W61" s="198"/>
      <c r="X61" s="198"/>
      <c r="Y61" s="198"/>
      <c r="Z61" s="198"/>
      <c r="AA61" s="198"/>
    </row>
    <row r="62" ht="71.25" customHeight="1">
      <c r="A62" s="370">
        <v>38153.0</v>
      </c>
      <c r="B62" s="285" t="s">
        <v>21</v>
      </c>
      <c r="C62" s="285">
        <v>2110.0</v>
      </c>
      <c r="D62" s="285" t="s">
        <v>7563</v>
      </c>
      <c r="E62" s="287" t="s">
        <v>3812</v>
      </c>
      <c r="F62" s="285" t="s">
        <v>5919</v>
      </c>
      <c r="G62" s="288">
        <v>45235.0</v>
      </c>
      <c r="H62" s="288">
        <v>45231.0</v>
      </c>
      <c r="I62" s="288">
        <v>45231.0</v>
      </c>
      <c r="J62" s="288">
        <v>45240.0</v>
      </c>
      <c r="K62" s="425" t="s">
        <v>4841</v>
      </c>
      <c r="L62" s="294"/>
      <c r="M62" s="290" t="s">
        <v>7564</v>
      </c>
      <c r="N62" s="285" t="s">
        <v>497</v>
      </c>
      <c r="O62" s="299" t="s">
        <v>4662</v>
      </c>
      <c r="P62" s="300">
        <v>137815.0</v>
      </c>
      <c r="Q62" s="198"/>
      <c r="R62" s="198"/>
      <c r="S62" s="198"/>
      <c r="T62" s="198"/>
      <c r="U62" s="198"/>
      <c r="V62" s="198"/>
      <c r="W62" s="198"/>
      <c r="X62" s="198"/>
      <c r="Y62" s="198"/>
      <c r="Z62" s="198"/>
      <c r="AA62" s="198"/>
    </row>
    <row r="63" ht="75.0" customHeight="1">
      <c r="A63" s="370">
        <v>38093.0</v>
      </c>
      <c r="B63" s="285" t="s">
        <v>21</v>
      </c>
      <c r="C63" s="285">
        <v>1306.0</v>
      </c>
      <c r="D63" s="285" t="s">
        <v>7565</v>
      </c>
      <c r="E63" s="287" t="s">
        <v>7566</v>
      </c>
      <c r="F63" s="285" t="s">
        <v>5919</v>
      </c>
      <c r="G63" s="288">
        <v>45235.0</v>
      </c>
      <c r="H63" s="288">
        <v>45230.0</v>
      </c>
      <c r="I63" s="288">
        <v>45230.0</v>
      </c>
      <c r="J63" s="288">
        <v>45240.0</v>
      </c>
      <c r="K63" s="294">
        <v>5545026.0</v>
      </c>
      <c r="L63" s="294" t="s">
        <v>7530</v>
      </c>
      <c r="M63" s="290" t="s">
        <v>7567</v>
      </c>
      <c r="N63" s="285" t="s">
        <v>497</v>
      </c>
      <c r="O63" s="299" t="s">
        <v>2554</v>
      </c>
      <c r="P63" s="300">
        <v>44795.8</v>
      </c>
      <c r="Q63" s="198"/>
      <c r="R63" s="198"/>
      <c r="S63" s="198"/>
      <c r="T63" s="198"/>
      <c r="U63" s="198"/>
      <c r="V63" s="198"/>
      <c r="W63" s="198"/>
      <c r="X63" s="198"/>
      <c r="Y63" s="198"/>
      <c r="Z63" s="198"/>
      <c r="AA63" s="198"/>
    </row>
    <row r="64" ht="71.25" customHeight="1">
      <c r="A64" s="370">
        <v>38117.0</v>
      </c>
      <c r="B64" s="285" t="s">
        <v>21</v>
      </c>
      <c r="C64" s="285">
        <v>4230.0</v>
      </c>
      <c r="D64" s="285" t="s">
        <v>7568</v>
      </c>
      <c r="E64" s="287" t="s">
        <v>7438</v>
      </c>
      <c r="F64" s="285" t="s">
        <v>5919</v>
      </c>
      <c r="G64" s="288">
        <v>45235.0</v>
      </c>
      <c r="H64" s="288">
        <v>45230.0</v>
      </c>
      <c r="I64" s="288">
        <v>45230.0</v>
      </c>
      <c r="J64" s="288">
        <v>45239.0</v>
      </c>
      <c r="K64" s="294">
        <v>5545026.0</v>
      </c>
      <c r="L64" s="294" t="s">
        <v>7527</v>
      </c>
      <c r="M64" s="290" t="s">
        <v>7569</v>
      </c>
      <c r="N64" s="285" t="s">
        <v>497</v>
      </c>
      <c r="O64" s="299" t="s">
        <v>2554</v>
      </c>
      <c r="P64" s="300">
        <v>31196.25</v>
      </c>
      <c r="Q64" s="198"/>
      <c r="R64" s="198"/>
      <c r="S64" s="198"/>
      <c r="T64" s="198"/>
      <c r="U64" s="198"/>
      <c r="V64" s="198"/>
      <c r="W64" s="198"/>
      <c r="X64" s="198"/>
      <c r="Y64" s="198"/>
      <c r="Z64" s="198"/>
      <c r="AA64" s="198"/>
    </row>
    <row r="65" ht="71.25" customHeight="1">
      <c r="A65" s="370">
        <v>38111.0</v>
      </c>
      <c r="B65" s="285" t="s">
        <v>21</v>
      </c>
      <c r="C65" s="285">
        <v>1250.0</v>
      </c>
      <c r="D65" s="285" t="s">
        <v>7570</v>
      </c>
      <c r="E65" s="287" t="s">
        <v>4637</v>
      </c>
      <c r="F65" s="285" t="s">
        <v>5919</v>
      </c>
      <c r="G65" s="288">
        <v>45235.0</v>
      </c>
      <c r="H65" s="288">
        <v>45230.0</v>
      </c>
      <c r="I65" s="288">
        <v>45230.0</v>
      </c>
      <c r="J65" s="288">
        <v>45239.0</v>
      </c>
      <c r="K65" s="294">
        <v>5545026.0</v>
      </c>
      <c r="L65" s="294" t="s">
        <v>7530</v>
      </c>
      <c r="M65" s="290" t="s">
        <v>7571</v>
      </c>
      <c r="N65" s="285" t="s">
        <v>497</v>
      </c>
      <c r="O65" s="299" t="s">
        <v>2554</v>
      </c>
      <c r="P65" s="300">
        <v>36250.0</v>
      </c>
      <c r="Q65" s="198"/>
      <c r="R65" s="198"/>
      <c r="S65" s="198"/>
      <c r="T65" s="198"/>
      <c r="U65" s="198"/>
      <c r="V65" s="198"/>
      <c r="W65" s="198"/>
      <c r="X65" s="198"/>
      <c r="Y65" s="198"/>
      <c r="Z65" s="198"/>
      <c r="AA65" s="198"/>
    </row>
    <row r="66" ht="71.25" customHeight="1">
      <c r="A66" s="370">
        <v>38113.0</v>
      </c>
      <c r="B66" s="299" t="s">
        <v>25</v>
      </c>
      <c r="C66" s="285">
        <v>1250.0</v>
      </c>
      <c r="D66" s="285" t="s">
        <v>7572</v>
      </c>
      <c r="E66" s="287" t="s">
        <v>4637</v>
      </c>
      <c r="F66" s="285" t="s">
        <v>5919</v>
      </c>
      <c r="G66" s="288">
        <v>45234.0</v>
      </c>
      <c r="H66" s="288">
        <v>45229.0</v>
      </c>
      <c r="I66" s="288">
        <v>45229.0</v>
      </c>
      <c r="J66" s="288">
        <v>45239.0</v>
      </c>
      <c r="K66" s="294"/>
      <c r="L66" s="294"/>
      <c r="M66" s="290" t="s">
        <v>7573</v>
      </c>
      <c r="N66" s="285" t="s">
        <v>497</v>
      </c>
      <c r="O66" s="299" t="s">
        <v>2554</v>
      </c>
      <c r="P66" s="300">
        <v>36250.0</v>
      </c>
      <c r="Q66" s="198"/>
      <c r="R66" s="198"/>
      <c r="S66" s="198"/>
      <c r="T66" s="198"/>
      <c r="U66" s="198"/>
      <c r="V66" s="198"/>
      <c r="W66" s="198"/>
      <c r="X66" s="198"/>
      <c r="Y66" s="198"/>
      <c r="Z66" s="198"/>
      <c r="AA66" s="198"/>
    </row>
    <row r="67" ht="71.25" customHeight="1">
      <c r="A67" s="370">
        <v>38053.0</v>
      </c>
      <c r="B67" s="299" t="s">
        <v>715</v>
      </c>
      <c r="C67" s="285">
        <v>1060.0</v>
      </c>
      <c r="D67" s="285" t="s">
        <v>7574</v>
      </c>
      <c r="E67" s="287" t="s">
        <v>7575</v>
      </c>
      <c r="F67" s="285" t="s">
        <v>5919</v>
      </c>
      <c r="G67" s="288">
        <v>45233.0</v>
      </c>
      <c r="H67" s="288">
        <v>45221.0</v>
      </c>
      <c r="I67" s="288">
        <v>45221.0</v>
      </c>
      <c r="J67" s="288">
        <v>45239.0</v>
      </c>
      <c r="K67" s="294"/>
      <c r="L67" s="294"/>
      <c r="M67" s="290" t="s">
        <v>7576</v>
      </c>
      <c r="N67" s="285" t="s">
        <v>497</v>
      </c>
      <c r="O67" s="299" t="s">
        <v>2604</v>
      </c>
      <c r="P67" s="300">
        <v>50672.07</v>
      </c>
      <c r="Q67" s="198"/>
      <c r="R67" s="198"/>
      <c r="S67" s="198"/>
      <c r="T67" s="198"/>
      <c r="U67" s="198"/>
      <c r="V67" s="198"/>
      <c r="W67" s="198"/>
      <c r="X67" s="198"/>
      <c r="Y67" s="198"/>
      <c r="Z67" s="198"/>
      <c r="AA67" s="198"/>
    </row>
    <row r="68" ht="71.25" customHeight="1">
      <c r="A68" s="370">
        <v>38105.0</v>
      </c>
      <c r="B68" s="299" t="s">
        <v>6501</v>
      </c>
      <c r="C68" s="285">
        <v>2595.0</v>
      </c>
      <c r="D68" s="285" t="s">
        <v>7577</v>
      </c>
      <c r="E68" s="287" t="s">
        <v>7578</v>
      </c>
      <c r="F68" s="285" t="s">
        <v>5919</v>
      </c>
      <c r="G68" s="288">
        <v>45233.0</v>
      </c>
      <c r="H68" s="288">
        <v>45222.0</v>
      </c>
      <c r="I68" s="288">
        <v>45222.0</v>
      </c>
      <c r="J68" s="288">
        <v>45238.0</v>
      </c>
      <c r="K68" s="294"/>
      <c r="L68" s="294"/>
      <c r="M68" s="290" t="s">
        <v>7579</v>
      </c>
      <c r="N68" s="285" t="s">
        <v>497</v>
      </c>
      <c r="O68" s="299" t="s">
        <v>2554</v>
      </c>
      <c r="P68" s="300">
        <v>46710.0</v>
      </c>
      <c r="Q68" s="198"/>
      <c r="R68" s="198"/>
      <c r="S68" s="198"/>
      <c r="T68" s="198"/>
      <c r="U68" s="198"/>
      <c r="V68" s="198"/>
      <c r="W68" s="198"/>
      <c r="X68" s="198"/>
      <c r="Y68" s="198"/>
      <c r="Z68" s="198"/>
      <c r="AA68" s="198"/>
    </row>
    <row r="69" ht="71.25" customHeight="1">
      <c r="A69" s="370">
        <v>38089.0</v>
      </c>
      <c r="B69" s="299" t="s">
        <v>715</v>
      </c>
      <c r="C69" s="285">
        <v>4356.0</v>
      </c>
      <c r="D69" s="285" t="s">
        <v>7580</v>
      </c>
      <c r="E69" s="287" t="s">
        <v>7581</v>
      </c>
      <c r="F69" s="285" t="s">
        <v>5919</v>
      </c>
      <c r="G69" s="288">
        <v>45233.0</v>
      </c>
      <c r="H69" s="288">
        <v>45221.0</v>
      </c>
      <c r="I69" s="288">
        <v>45221.0</v>
      </c>
      <c r="J69" s="288">
        <v>45240.0</v>
      </c>
      <c r="K69" s="294"/>
      <c r="L69" s="294"/>
      <c r="M69" s="290" t="s">
        <v>7582</v>
      </c>
      <c r="N69" s="285" t="s">
        <v>497</v>
      </c>
      <c r="O69" s="299" t="s">
        <v>2554</v>
      </c>
      <c r="P69" s="300">
        <v>35980.56</v>
      </c>
      <c r="Q69" s="198"/>
      <c r="R69" s="198"/>
      <c r="S69" s="198"/>
      <c r="T69" s="198"/>
      <c r="U69" s="198"/>
      <c r="V69" s="198"/>
      <c r="W69" s="198"/>
      <c r="X69" s="198"/>
      <c r="Y69" s="198"/>
      <c r="Z69" s="198"/>
      <c r="AA69" s="198"/>
    </row>
    <row r="70" ht="71.25" customHeight="1">
      <c r="A70" s="370">
        <v>38046.0</v>
      </c>
      <c r="B70" s="299" t="s">
        <v>715</v>
      </c>
      <c r="C70" s="285">
        <v>4230.0</v>
      </c>
      <c r="D70" s="285" t="s">
        <v>7583</v>
      </c>
      <c r="E70" s="287" t="s">
        <v>7438</v>
      </c>
      <c r="F70" s="285" t="s">
        <v>5919</v>
      </c>
      <c r="G70" s="288">
        <v>45233.0</v>
      </c>
      <c r="H70" s="288">
        <v>45222.0</v>
      </c>
      <c r="I70" s="288">
        <v>45222.0</v>
      </c>
      <c r="J70" s="288">
        <v>45238.0</v>
      </c>
      <c r="K70" s="294"/>
      <c r="L70" s="294"/>
      <c r="M70" s="290" t="s">
        <v>7584</v>
      </c>
      <c r="N70" s="285" t="s">
        <v>497</v>
      </c>
      <c r="O70" s="299" t="s">
        <v>2554</v>
      </c>
      <c r="P70" s="300">
        <v>31196.25</v>
      </c>
      <c r="Q70" s="198"/>
      <c r="R70" s="198"/>
      <c r="S70" s="198"/>
      <c r="T70" s="198"/>
      <c r="U70" s="198"/>
      <c r="V70" s="198"/>
      <c r="W70" s="198"/>
      <c r="X70" s="198"/>
      <c r="Y70" s="198"/>
      <c r="Z70" s="198"/>
      <c r="AA70" s="198"/>
    </row>
    <row r="71" ht="71.25" customHeight="1">
      <c r="A71" s="370">
        <v>38155.0</v>
      </c>
      <c r="B71" s="299" t="s">
        <v>25</v>
      </c>
      <c r="C71" s="285">
        <v>1794.0</v>
      </c>
      <c r="D71" s="285" t="s">
        <v>7585</v>
      </c>
      <c r="E71" s="287" t="s">
        <v>3812</v>
      </c>
      <c r="F71" s="285" t="s">
        <v>5919</v>
      </c>
      <c r="G71" s="288">
        <v>45232.0</v>
      </c>
      <c r="H71" s="288">
        <v>45229.0</v>
      </c>
      <c r="I71" s="288">
        <v>45229.0</v>
      </c>
      <c r="J71" s="288">
        <v>45238.0</v>
      </c>
      <c r="K71" s="294"/>
      <c r="L71" s="294"/>
      <c r="M71" s="290" t="s">
        <v>7586</v>
      </c>
      <c r="N71" s="285" t="s">
        <v>497</v>
      </c>
      <c r="O71" s="299" t="s">
        <v>4662</v>
      </c>
      <c r="P71" s="300">
        <v>124133.0</v>
      </c>
      <c r="Q71" s="198"/>
      <c r="R71" s="198"/>
      <c r="S71" s="198"/>
      <c r="T71" s="198"/>
      <c r="U71" s="198"/>
      <c r="V71" s="198"/>
      <c r="W71" s="198"/>
      <c r="X71" s="198"/>
      <c r="Y71" s="198"/>
      <c r="Z71" s="198"/>
      <c r="AA71" s="198"/>
    </row>
    <row r="72" ht="71.25" customHeight="1">
      <c r="A72" s="370">
        <v>38229.0</v>
      </c>
      <c r="B72" s="299" t="s">
        <v>25</v>
      </c>
      <c r="C72" s="285">
        <v>900.0</v>
      </c>
      <c r="D72" s="285" t="s">
        <v>7587</v>
      </c>
      <c r="E72" s="287" t="s">
        <v>3740</v>
      </c>
      <c r="F72" s="285" t="s">
        <v>5919</v>
      </c>
      <c r="G72" s="288">
        <v>45232.0</v>
      </c>
      <c r="H72" s="288">
        <v>45228.0</v>
      </c>
      <c r="I72" s="288">
        <v>45228.0</v>
      </c>
      <c r="J72" s="288">
        <v>45238.0</v>
      </c>
      <c r="K72" s="294"/>
      <c r="L72" s="294"/>
      <c r="M72" s="290" t="s">
        <v>7588</v>
      </c>
      <c r="N72" s="285" t="s">
        <v>497</v>
      </c>
      <c r="O72" s="299" t="s">
        <v>4711</v>
      </c>
      <c r="P72" s="300">
        <v>19084.86</v>
      </c>
      <c r="Q72" s="198"/>
      <c r="R72" s="198"/>
      <c r="S72" s="198"/>
      <c r="T72" s="198"/>
      <c r="U72" s="198"/>
      <c r="V72" s="198"/>
      <c r="W72" s="198"/>
      <c r="X72" s="198"/>
      <c r="Y72" s="198"/>
      <c r="Z72" s="198"/>
      <c r="AA72" s="198"/>
    </row>
    <row r="73" ht="71.25" customHeight="1">
      <c r="A73" s="370">
        <v>38047.0</v>
      </c>
      <c r="B73" s="299" t="s">
        <v>715</v>
      </c>
      <c r="C73" s="285">
        <v>1250.0</v>
      </c>
      <c r="D73" s="285" t="s">
        <v>7589</v>
      </c>
      <c r="E73" s="287" t="s">
        <v>4637</v>
      </c>
      <c r="F73" s="285" t="s">
        <v>5919</v>
      </c>
      <c r="G73" s="288">
        <v>45231.0</v>
      </c>
      <c r="H73" s="288">
        <v>45229.0</v>
      </c>
      <c r="I73" s="288">
        <v>45229.0</v>
      </c>
      <c r="J73" s="288">
        <v>45238.0</v>
      </c>
      <c r="K73" s="294"/>
      <c r="L73" s="294"/>
      <c r="M73" s="290" t="s">
        <v>7590</v>
      </c>
      <c r="N73" s="285" t="s">
        <v>497</v>
      </c>
      <c r="O73" s="299" t="s">
        <v>2621</v>
      </c>
      <c r="P73" s="300">
        <v>36250.0</v>
      </c>
      <c r="Q73" s="198"/>
      <c r="R73" s="198"/>
      <c r="S73" s="198"/>
      <c r="T73" s="198"/>
      <c r="U73" s="198"/>
      <c r="V73" s="198"/>
      <c r="W73" s="198"/>
      <c r="X73" s="198"/>
      <c r="Y73" s="198"/>
      <c r="Z73" s="198"/>
      <c r="AA73" s="198"/>
    </row>
    <row r="74" ht="71.25" customHeight="1">
      <c r="A74" s="370">
        <v>38398.0</v>
      </c>
      <c r="B74" s="285" t="s">
        <v>21</v>
      </c>
      <c r="C74" s="285">
        <v>4300.0</v>
      </c>
      <c r="D74" s="285" t="s">
        <v>7591</v>
      </c>
      <c r="E74" s="287" t="s">
        <v>3903</v>
      </c>
      <c r="F74" s="285" t="s">
        <v>5919</v>
      </c>
      <c r="G74" s="288">
        <v>45231.0</v>
      </c>
      <c r="H74" s="288">
        <v>45228.0</v>
      </c>
      <c r="I74" s="288">
        <v>45228.0</v>
      </c>
      <c r="J74" s="288">
        <v>45237.0</v>
      </c>
      <c r="K74" s="294">
        <v>5545026.0</v>
      </c>
      <c r="L74" s="294" t="s">
        <v>7592</v>
      </c>
      <c r="M74" s="290" t="s">
        <v>7593</v>
      </c>
      <c r="N74" s="285" t="s">
        <v>4635</v>
      </c>
      <c r="O74" s="299" t="s">
        <v>2621</v>
      </c>
      <c r="P74" s="300">
        <v>124278.0</v>
      </c>
      <c r="Q74" s="198"/>
      <c r="R74" s="198"/>
      <c r="S74" s="198"/>
      <c r="T74" s="198"/>
      <c r="U74" s="198"/>
      <c r="V74" s="198"/>
      <c r="W74" s="198"/>
      <c r="X74" s="198"/>
      <c r="Y74" s="198"/>
      <c r="Z74" s="198"/>
      <c r="AA74" s="198"/>
    </row>
    <row r="75" ht="71.25" customHeight="1">
      <c r="A75" s="370">
        <v>38154.0</v>
      </c>
      <c r="B75" s="299" t="s">
        <v>715</v>
      </c>
      <c r="C75" s="285">
        <v>2110.0</v>
      </c>
      <c r="D75" s="285" t="s">
        <v>7594</v>
      </c>
      <c r="E75" s="287" t="s">
        <v>3812</v>
      </c>
      <c r="F75" s="285" t="s">
        <v>5919</v>
      </c>
      <c r="G75" s="288">
        <v>45230.0</v>
      </c>
      <c r="H75" s="288">
        <v>45226.0</v>
      </c>
      <c r="I75" s="288">
        <v>45226.0</v>
      </c>
      <c r="J75" s="288">
        <v>45233.0</v>
      </c>
      <c r="K75" s="294"/>
      <c r="L75" s="294"/>
      <c r="M75" s="290" t="s">
        <v>7595</v>
      </c>
      <c r="N75" s="285" t="s">
        <v>497</v>
      </c>
      <c r="O75" s="299" t="s">
        <v>4662</v>
      </c>
      <c r="P75" s="300">
        <v>124613.62</v>
      </c>
      <c r="Q75" s="198"/>
      <c r="R75" s="198"/>
      <c r="S75" s="198"/>
      <c r="T75" s="198"/>
      <c r="U75" s="198"/>
      <c r="V75" s="198"/>
      <c r="W75" s="198"/>
      <c r="X75" s="198"/>
      <c r="Y75" s="198"/>
      <c r="Z75" s="198"/>
      <c r="AA75" s="198"/>
    </row>
    <row r="76" ht="71.25" customHeight="1">
      <c r="A76" s="370">
        <v>38528.0</v>
      </c>
      <c r="B76" s="299" t="s">
        <v>25</v>
      </c>
      <c r="C76" s="285">
        <v>4979.0</v>
      </c>
      <c r="D76" s="285" t="s">
        <v>7596</v>
      </c>
      <c r="E76" s="287" t="s">
        <v>7597</v>
      </c>
      <c r="F76" s="285" t="s">
        <v>5919</v>
      </c>
      <c r="G76" s="288">
        <v>45230.0</v>
      </c>
      <c r="H76" s="288">
        <v>45225.0</v>
      </c>
      <c r="I76" s="288">
        <v>45225.0</v>
      </c>
      <c r="J76" s="288">
        <v>45236.0</v>
      </c>
      <c r="K76" s="294"/>
      <c r="L76" s="294"/>
      <c r="M76" s="290" t="s">
        <v>7598</v>
      </c>
      <c r="N76" s="285" t="s">
        <v>4635</v>
      </c>
      <c r="O76" s="299" t="s">
        <v>2621</v>
      </c>
      <c r="P76" s="300">
        <v>42175.6</v>
      </c>
      <c r="Q76" s="198"/>
      <c r="R76" s="198"/>
      <c r="S76" s="198"/>
      <c r="T76" s="198"/>
      <c r="U76" s="198"/>
      <c r="V76" s="198"/>
      <c r="W76" s="198"/>
      <c r="X76" s="198"/>
      <c r="Y76" s="198"/>
      <c r="Z76" s="198"/>
      <c r="AA76" s="198"/>
    </row>
    <row r="77" ht="71.25" customHeight="1">
      <c r="A77" s="370">
        <v>38039.0</v>
      </c>
      <c r="B77" s="299" t="s">
        <v>715</v>
      </c>
      <c r="C77" s="285">
        <v>4356.0</v>
      </c>
      <c r="D77" s="285" t="s">
        <v>7599</v>
      </c>
      <c r="E77" s="287" t="s">
        <v>4644</v>
      </c>
      <c r="F77" s="285" t="s">
        <v>5919</v>
      </c>
      <c r="G77" s="288">
        <v>45229.0</v>
      </c>
      <c r="H77" s="288">
        <v>45224.0</v>
      </c>
      <c r="I77" s="288">
        <v>45224.0</v>
      </c>
      <c r="J77" s="288">
        <v>45236.0</v>
      </c>
      <c r="K77" s="294"/>
      <c r="L77" s="294"/>
      <c r="M77" s="290" t="s">
        <v>7600</v>
      </c>
      <c r="N77" s="285" t="s">
        <v>497</v>
      </c>
      <c r="O77" s="299" t="s">
        <v>2554</v>
      </c>
      <c r="P77" s="300">
        <v>35980.56</v>
      </c>
      <c r="Q77" s="198"/>
      <c r="R77" s="198"/>
      <c r="S77" s="198"/>
      <c r="T77" s="198"/>
      <c r="U77" s="198"/>
      <c r="V77" s="198"/>
      <c r="W77" s="198"/>
      <c r="X77" s="198"/>
      <c r="Y77" s="198"/>
      <c r="Z77" s="198"/>
      <c r="AA77" s="198"/>
    </row>
    <row r="78" ht="71.25" customHeight="1">
      <c r="A78" s="370">
        <v>38037.0</v>
      </c>
      <c r="B78" s="285" t="s">
        <v>21</v>
      </c>
      <c r="C78" s="285">
        <v>1306.0</v>
      </c>
      <c r="D78" s="285" t="s">
        <v>7601</v>
      </c>
      <c r="E78" s="287" t="s">
        <v>7418</v>
      </c>
      <c r="F78" s="285" t="s">
        <v>5919</v>
      </c>
      <c r="G78" s="288">
        <v>45229.0</v>
      </c>
      <c r="H78" s="288">
        <v>45224.0</v>
      </c>
      <c r="I78" s="288">
        <v>45224.0</v>
      </c>
      <c r="J78" s="288">
        <v>45233.0</v>
      </c>
      <c r="K78" s="294">
        <v>5540886.0</v>
      </c>
      <c r="L78" s="294" t="s">
        <v>7602</v>
      </c>
      <c r="M78" s="290" t="s">
        <v>7603</v>
      </c>
      <c r="N78" s="285" t="s">
        <v>497</v>
      </c>
      <c r="O78" s="299" t="s">
        <v>2554</v>
      </c>
      <c r="P78" s="300">
        <v>44795.8</v>
      </c>
      <c r="Q78" s="198"/>
      <c r="R78" s="198"/>
      <c r="S78" s="198"/>
      <c r="T78" s="198"/>
      <c r="U78" s="198"/>
      <c r="V78" s="198"/>
      <c r="W78" s="198"/>
      <c r="X78" s="198"/>
      <c r="Y78" s="198"/>
      <c r="Z78" s="198"/>
      <c r="AA78" s="198"/>
    </row>
    <row r="79" ht="71.25" customHeight="1">
      <c r="A79" s="370">
        <v>38513.0</v>
      </c>
      <c r="B79" s="299" t="s">
        <v>715</v>
      </c>
      <c r="C79" s="285">
        <v>1150.0</v>
      </c>
      <c r="D79" s="285" t="s">
        <v>7604</v>
      </c>
      <c r="E79" s="287" t="s">
        <v>7605</v>
      </c>
      <c r="F79" s="285" t="s">
        <v>5919</v>
      </c>
      <c r="G79" s="288">
        <v>45228.0</v>
      </c>
      <c r="H79" s="288">
        <v>45222.0</v>
      </c>
      <c r="I79" s="288">
        <v>45222.0</v>
      </c>
      <c r="J79" s="288">
        <v>45233.0</v>
      </c>
      <c r="K79" s="294"/>
      <c r="L79" s="294"/>
      <c r="M79" s="290" t="s">
        <v>7606</v>
      </c>
      <c r="N79" s="285" t="s">
        <v>4635</v>
      </c>
      <c r="O79" s="299" t="s">
        <v>2621</v>
      </c>
      <c r="P79" s="300">
        <v>37387.0</v>
      </c>
      <c r="Q79" s="198"/>
      <c r="R79" s="198"/>
      <c r="S79" s="198"/>
      <c r="T79" s="198"/>
      <c r="U79" s="198"/>
      <c r="V79" s="198"/>
      <c r="W79" s="198"/>
      <c r="X79" s="198"/>
      <c r="Y79" s="198"/>
      <c r="Z79" s="198"/>
      <c r="AA79" s="198"/>
    </row>
    <row r="80" ht="71.25" customHeight="1">
      <c r="A80" s="370">
        <v>38512.0</v>
      </c>
      <c r="B80" s="299" t="s">
        <v>25</v>
      </c>
      <c r="C80" s="285">
        <v>940.0</v>
      </c>
      <c r="D80" s="285" t="s">
        <v>7607</v>
      </c>
      <c r="E80" s="287" t="s">
        <v>4295</v>
      </c>
      <c r="F80" s="285" t="s">
        <v>5919</v>
      </c>
      <c r="G80" s="288">
        <v>45227.0</v>
      </c>
      <c r="H80" s="288">
        <v>45222.0</v>
      </c>
      <c r="I80" s="288">
        <v>45222.0</v>
      </c>
      <c r="J80" s="288">
        <v>45232.0</v>
      </c>
      <c r="K80" s="294"/>
      <c r="L80" s="294"/>
      <c r="M80" s="290" t="s">
        <v>7608</v>
      </c>
      <c r="N80" s="285" t="s">
        <v>4635</v>
      </c>
      <c r="O80" s="299" t="s">
        <v>2621</v>
      </c>
      <c r="P80" s="300">
        <v>45928.4</v>
      </c>
      <c r="Q80" s="198"/>
      <c r="R80" s="198"/>
      <c r="S80" s="198"/>
      <c r="T80" s="198"/>
      <c r="U80" s="198"/>
      <c r="V80" s="198"/>
      <c r="W80" s="198"/>
      <c r="X80" s="198"/>
      <c r="Y80" s="198"/>
      <c r="Z80" s="198"/>
      <c r="AA80" s="198"/>
    </row>
    <row r="81" ht="71.25" customHeight="1">
      <c r="A81" s="370">
        <v>38106.0</v>
      </c>
      <c r="B81" s="285" t="s">
        <v>21</v>
      </c>
      <c r="C81" s="285">
        <v>2400.0</v>
      </c>
      <c r="D81" s="285" t="s">
        <v>7609</v>
      </c>
      <c r="E81" s="287" t="s">
        <v>6435</v>
      </c>
      <c r="F81" s="285" t="s">
        <v>5919</v>
      </c>
      <c r="G81" s="288">
        <v>45226.0</v>
      </c>
      <c r="H81" s="288">
        <v>45222.0</v>
      </c>
      <c r="I81" s="288">
        <v>45222.0</v>
      </c>
      <c r="J81" s="288">
        <v>45236.0</v>
      </c>
      <c r="K81" s="294">
        <v>5540886.0</v>
      </c>
      <c r="L81" s="294" t="s">
        <v>7602</v>
      </c>
      <c r="M81" s="290" t="s">
        <v>7610</v>
      </c>
      <c r="N81" s="285" t="s">
        <v>497</v>
      </c>
      <c r="O81" s="299" t="s">
        <v>2554</v>
      </c>
      <c r="P81" s="300">
        <v>39600.0</v>
      </c>
      <c r="Q81" s="198"/>
      <c r="R81" s="198"/>
      <c r="S81" s="198"/>
      <c r="T81" s="198"/>
      <c r="U81" s="198"/>
      <c r="V81" s="198"/>
      <c r="W81" s="198"/>
      <c r="X81" s="198"/>
      <c r="Y81" s="198"/>
      <c r="Z81" s="198"/>
      <c r="AA81" s="198"/>
    </row>
    <row r="82" ht="71.25" customHeight="1">
      <c r="A82" s="370">
        <v>38328.0</v>
      </c>
      <c r="B82" s="299" t="s">
        <v>715</v>
      </c>
      <c r="C82" s="285">
        <v>4754.0</v>
      </c>
      <c r="D82" s="285" t="s">
        <v>7611</v>
      </c>
      <c r="E82" s="287" t="s">
        <v>7612</v>
      </c>
      <c r="F82" s="285" t="s">
        <v>5919</v>
      </c>
      <c r="G82" s="288">
        <v>45224.0</v>
      </c>
      <c r="H82" s="288">
        <v>45218.0</v>
      </c>
      <c r="I82" s="288">
        <v>45218.0</v>
      </c>
      <c r="J82" s="288">
        <v>45230.0</v>
      </c>
      <c r="K82" s="294"/>
      <c r="L82" s="294"/>
      <c r="M82" s="290" t="s">
        <v>7613</v>
      </c>
      <c r="N82" s="285" t="s">
        <v>4635</v>
      </c>
      <c r="O82" s="299" t="s">
        <v>2621</v>
      </c>
      <c r="P82" s="300">
        <v>42979.0</v>
      </c>
      <c r="Q82" s="198"/>
      <c r="R82" s="198"/>
      <c r="S82" s="198"/>
      <c r="T82" s="198"/>
      <c r="U82" s="198"/>
      <c r="V82" s="198"/>
      <c r="W82" s="198"/>
      <c r="X82" s="198"/>
      <c r="Y82" s="198"/>
      <c r="Z82" s="198"/>
      <c r="AA82" s="198"/>
    </row>
    <row r="83" ht="71.25" customHeight="1">
      <c r="A83" s="370">
        <v>38094.0</v>
      </c>
      <c r="B83" s="299" t="s">
        <v>715</v>
      </c>
      <c r="C83" s="285">
        <v>1306.0</v>
      </c>
      <c r="D83" s="285" t="s">
        <v>7614</v>
      </c>
      <c r="E83" s="287" t="s">
        <v>4713</v>
      </c>
      <c r="F83" s="285" t="s">
        <v>5919</v>
      </c>
      <c r="G83" s="288">
        <v>45222.0</v>
      </c>
      <c r="H83" s="288">
        <v>45217.0</v>
      </c>
      <c r="I83" s="288">
        <v>45217.0</v>
      </c>
      <c r="J83" s="288">
        <v>45225.0</v>
      </c>
      <c r="K83" s="294"/>
      <c r="L83" s="294"/>
      <c r="M83" s="290" t="s">
        <v>7615</v>
      </c>
      <c r="N83" s="285" t="s">
        <v>497</v>
      </c>
      <c r="O83" s="299" t="s">
        <v>2554</v>
      </c>
      <c r="P83" s="300">
        <v>44795.8</v>
      </c>
      <c r="Q83" s="198"/>
      <c r="R83" s="198"/>
      <c r="S83" s="198"/>
      <c r="T83" s="198"/>
      <c r="U83" s="198"/>
      <c r="V83" s="198"/>
      <c r="W83" s="198"/>
      <c r="X83" s="198"/>
      <c r="Y83" s="198"/>
      <c r="Z83" s="198"/>
      <c r="AA83" s="198"/>
    </row>
    <row r="84" ht="71.25" customHeight="1">
      <c r="A84" s="370">
        <v>37824.0</v>
      </c>
      <c r="B84" s="299" t="s">
        <v>715</v>
      </c>
      <c r="C84" s="285">
        <v>1306.0</v>
      </c>
      <c r="D84" s="285" t="s">
        <v>7616</v>
      </c>
      <c r="E84" s="287" t="s">
        <v>6938</v>
      </c>
      <c r="F84" s="285" t="s">
        <v>5919</v>
      </c>
      <c r="G84" s="288">
        <v>45222.0</v>
      </c>
      <c r="H84" s="288">
        <v>45217.0</v>
      </c>
      <c r="I84" s="288">
        <v>45217.0</v>
      </c>
      <c r="J84" s="288">
        <v>45226.0</v>
      </c>
      <c r="K84" s="294"/>
      <c r="L84" s="294"/>
      <c r="M84" s="290" t="s">
        <v>7617</v>
      </c>
      <c r="N84" s="285" t="s">
        <v>497</v>
      </c>
      <c r="O84" s="299" t="s">
        <v>2554</v>
      </c>
      <c r="P84" s="300">
        <v>44795.8</v>
      </c>
      <c r="Q84" s="198"/>
      <c r="R84" s="198"/>
      <c r="S84" s="198"/>
      <c r="T84" s="198"/>
      <c r="U84" s="198"/>
      <c r="V84" s="198"/>
      <c r="W84" s="198"/>
      <c r="X84" s="198"/>
      <c r="Y84" s="198"/>
      <c r="Z84" s="198"/>
      <c r="AA84" s="198"/>
    </row>
    <row r="85" ht="71.25" customHeight="1">
      <c r="A85" s="370">
        <v>38092.0</v>
      </c>
      <c r="B85" s="299" t="s">
        <v>715</v>
      </c>
      <c r="C85" s="285">
        <v>2275.0</v>
      </c>
      <c r="D85" s="285" t="s">
        <v>7618</v>
      </c>
      <c r="E85" s="287" t="s">
        <v>4667</v>
      </c>
      <c r="F85" s="285" t="s">
        <v>5919</v>
      </c>
      <c r="G85" s="288">
        <v>45222.0</v>
      </c>
      <c r="H85" s="288">
        <v>45217.0</v>
      </c>
      <c r="I85" s="288">
        <v>45217.0</v>
      </c>
      <c r="J85" s="288">
        <v>45225.0</v>
      </c>
      <c r="K85" s="294"/>
      <c r="L85" s="294"/>
      <c r="M85" s="290" t="s">
        <v>7619</v>
      </c>
      <c r="N85" s="285" t="s">
        <v>497</v>
      </c>
      <c r="O85" s="299" t="s">
        <v>2554</v>
      </c>
      <c r="P85" s="300">
        <v>31280.9</v>
      </c>
      <c r="Q85" s="198"/>
      <c r="R85" s="198"/>
      <c r="S85" s="198"/>
      <c r="T85" s="198"/>
      <c r="U85" s="198"/>
      <c r="V85" s="198"/>
      <c r="W85" s="198"/>
      <c r="X85" s="198"/>
      <c r="Y85" s="198"/>
      <c r="Z85" s="198"/>
      <c r="AA85" s="198"/>
    </row>
    <row r="86" ht="71.25" customHeight="1">
      <c r="A86" s="370">
        <v>38095.0</v>
      </c>
      <c r="B86" s="285" t="s">
        <v>21</v>
      </c>
      <c r="C86" s="285">
        <v>1306.0</v>
      </c>
      <c r="D86" s="285" t="s">
        <v>7620</v>
      </c>
      <c r="E86" s="287" t="s">
        <v>4713</v>
      </c>
      <c r="F86" s="285" t="s">
        <v>5919</v>
      </c>
      <c r="G86" s="288">
        <v>45221.0</v>
      </c>
      <c r="H86" s="288">
        <v>45216.0</v>
      </c>
      <c r="I86" s="288">
        <v>45216.0</v>
      </c>
      <c r="J86" s="288">
        <v>45226.0</v>
      </c>
      <c r="K86" s="294">
        <v>5540886.0</v>
      </c>
      <c r="L86" s="294" t="s">
        <v>7602</v>
      </c>
      <c r="M86" s="290" t="s">
        <v>7621</v>
      </c>
      <c r="N86" s="285" t="s">
        <v>497</v>
      </c>
      <c r="O86" s="299" t="s">
        <v>2554</v>
      </c>
      <c r="P86" s="300">
        <v>44795.8</v>
      </c>
      <c r="Q86" s="198"/>
      <c r="R86" s="198"/>
      <c r="S86" s="198"/>
      <c r="T86" s="198"/>
      <c r="U86" s="198"/>
      <c r="V86" s="198"/>
      <c r="W86" s="198"/>
      <c r="X86" s="198"/>
      <c r="Y86" s="198"/>
      <c r="Z86" s="198"/>
      <c r="AA86" s="198"/>
    </row>
    <row r="87" ht="71.25" customHeight="1">
      <c r="A87" s="370">
        <v>38040.0</v>
      </c>
      <c r="B87" s="285" t="s">
        <v>21</v>
      </c>
      <c r="C87" s="285">
        <v>4356.0</v>
      </c>
      <c r="D87" s="285" t="s">
        <v>7622</v>
      </c>
      <c r="E87" s="287" t="s">
        <v>6358</v>
      </c>
      <c r="F87" s="285" t="s">
        <v>5919</v>
      </c>
      <c r="G87" s="288">
        <v>45221.0</v>
      </c>
      <c r="H87" s="288">
        <v>45216.0</v>
      </c>
      <c r="I87" s="288">
        <v>45216.0</v>
      </c>
      <c r="J87" s="288">
        <v>45225.0</v>
      </c>
      <c r="K87" s="294">
        <v>5540886.0</v>
      </c>
      <c r="L87" s="294" t="s">
        <v>7623</v>
      </c>
      <c r="M87" s="290" t="s">
        <v>7624</v>
      </c>
      <c r="N87" s="285" t="s">
        <v>497</v>
      </c>
      <c r="O87" s="299" t="s">
        <v>2554</v>
      </c>
      <c r="P87" s="300">
        <v>35980.56</v>
      </c>
      <c r="Q87" s="198"/>
      <c r="R87" s="198"/>
      <c r="S87" s="198"/>
      <c r="T87" s="198"/>
      <c r="U87" s="198"/>
      <c r="V87" s="198"/>
      <c r="W87" s="198"/>
      <c r="X87" s="198"/>
      <c r="Y87" s="198"/>
      <c r="Z87" s="198"/>
      <c r="AA87" s="198"/>
    </row>
    <row r="88" ht="71.25" customHeight="1">
      <c r="A88" s="370">
        <v>38100.0</v>
      </c>
      <c r="B88" s="285" t="s">
        <v>21</v>
      </c>
      <c r="C88" s="285">
        <v>1306.0</v>
      </c>
      <c r="D88" s="285" t="s">
        <v>7625</v>
      </c>
      <c r="E88" s="287" t="s">
        <v>4713</v>
      </c>
      <c r="F88" s="285" t="s">
        <v>5919</v>
      </c>
      <c r="G88" s="288">
        <v>45221.0</v>
      </c>
      <c r="H88" s="288">
        <v>45216.0</v>
      </c>
      <c r="I88" s="288">
        <v>45216.0</v>
      </c>
      <c r="J88" s="288">
        <v>45226.0</v>
      </c>
      <c r="K88" s="294">
        <v>5540886.0</v>
      </c>
      <c r="L88" s="294" t="s">
        <v>7623</v>
      </c>
      <c r="M88" s="290" t="s">
        <v>7626</v>
      </c>
      <c r="N88" s="285" t="s">
        <v>497</v>
      </c>
      <c r="O88" s="299" t="s">
        <v>2554</v>
      </c>
      <c r="P88" s="300">
        <v>44795.8</v>
      </c>
      <c r="Q88" s="198"/>
      <c r="R88" s="198"/>
      <c r="S88" s="198"/>
      <c r="T88" s="198"/>
      <c r="U88" s="198"/>
      <c r="V88" s="198"/>
      <c r="W88" s="198"/>
      <c r="X88" s="198"/>
      <c r="Y88" s="198"/>
      <c r="Z88" s="198"/>
      <c r="AA88" s="198"/>
    </row>
    <row r="89" ht="71.25" customHeight="1">
      <c r="A89" s="370">
        <v>38077.0</v>
      </c>
      <c r="B89" s="285" t="s">
        <v>21</v>
      </c>
      <c r="C89" s="285">
        <v>1290.0</v>
      </c>
      <c r="D89" s="285" t="s">
        <v>7627</v>
      </c>
      <c r="E89" s="287" t="s">
        <v>3169</v>
      </c>
      <c r="F89" s="285" t="s">
        <v>5919</v>
      </c>
      <c r="G89" s="288">
        <v>45221.0</v>
      </c>
      <c r="H89" s="288">
        <v>45216.0</v>
      </c>
      <c r="I89" s="288">
        <v>45216.0</v>
      </c>
      <c r="J89" s="288">
        <v>45224.0</v>
      </c>
      <c r="K89" s="294">
        <v>5540886.0</v>
      </c>
      <c r="L89" s="294" t="s">
        <v>7602</v>
      </c>
      <c r="M89" s="290" t="s">
        <v>7628</v>
      </c>
      <c r="N89" s="285" t="s">
        <v>6366</v>
      </c>
      <c r="O89" s="299" t="s">
        <v>2621</v>
      </c>
      <c r="P89" s="300">
        <v>53348.0</v>
      </c>
      <c r="Q89" s="198"/>
      <c r="R89" s="198"/>
      <c r="S89" s="198"/>
      <c r="T89" s="198"/>
      <c r="U89" s="198"/>
      <c r="V89" s="198"/>
      <c r="W89" s="198"/>
      <c r="X89" s="198"/>
      <c r="Y89" s="198"/>
      <c r="Z89" s="198"/>
      <c r="AA89" s="198"/>
    </row>
    <row r="90" ht="71.25" customHeight="1">
      <c r="A90" s="370">
        <v>38108.0</v>
      </c>
      <c r="B90" s="285" t="s">
        <v>21</v>
      </c>
      <c r="C90" s="285">
        <v>4230.0</v>
      </c>
      <c r="D90" s="285" t="s">
        <v>7629</v>
      </c>
      <c r="E90" s="287" t="s">
        <v>7438</v>
      </c>
      <c r="F90" s="285" t="s">
        <v>5919</v>
      </c>
      <c r="G90" s="288">
        <v>45221.0</v>
      </c>
      <c r="H90" s="288">
        <v>45217.0</v>
      </c>
      <c r="I90" s="288">
        <v>45217.0</v>
      </c>
      <c r="J90" s="288">
        <v>45224.0</v>
      </c>
      <c r="K90" s="294">
        <v>5540886.0</v>
      </c>
      <c r="L90" s="294" t="s">
        <v>7623</v>
      </c>
      <c r="M90" s="290" t="s">
        <v>7630</v>
      </c>
      <c r="N90" s="285" t="s">
        <v>497</v>
      </c>
      <c r="O90" s="299" t="s">
        <v>2554</v>
      </c>
      <c r="P90" s="300">
        <v>31196.25</v>
      </c>
      <c r="Q90" s="198"/>
      <c r="R90" s="198"/>
      <c r="S90" s="198"/>
      <c r="T90" s="198"/>
      <c r="U90" s="198"/>
      <c r="V90" s="198"/>
      <c r="W90" s="198"/>
      <c r="X90" s="198"/>
      <c r="Y90" s="198"/>
      <c r="Z90" s="198"/>
      <c r="AA90" s="198"/>
    </row>
    <row r="91" ht="71.25" customHeight="1">
      <c r="A91" s="370">
        <v>38428.0</v>
      </c>
      <c r="B91" s="299" t="s">
        <v>6501</v>
      </c>
      <c r="C91" s="285">
        <v>758.0</v>
      </c>
      <c r="D91" s="285" t="s">
        <v>7631</v>
      </c>
      <c r="E91" s="287" t="s">
        <v>7632</v>
      </c>
      <c r="F91" s="285" t="s">
        <v>5919</v>
      </c>
      <c r="G91" s="288">
        <v>45221.0</v>
      </c>
      <c r="H91" s="288">
        <v>45216.0</v>
      </c>
      <c r="I91" s="288">
        <v>45216.0</v>
      </c>
      <c r="J91" s="288">
        <v>45225.0</v>
      </c>
      <c r="K91" s="294"/>
      <c r="L91" s="294"/>
      <c r="M91" s="290" t="s">
        <v>7633</v>
      </c>
      <c r="N91" s="285" t="s">
        <v>4635</v>
      </c>
      <c r="O91" s="299" t="s">
        <v>2621</v>
      </c>
      <c r="P91" s="300">
        <v>37208.0</v>
      </c>
      <c r="Q91" s="198"/>
      <c r="R91" s="198"/>
      <c r="S91" s="198"/>
      <c r="T91" s="198"/>
      <c r="U91" s="198"/>
      <c r="V91" s="198"/>
      <c r="W91" s="198"/>
      <c r="X91" s="198"/>
      <c r="Y91" s="198"/>
      <c r="Z91" s="198"/>
      <c r="AA91" s="198"/>
    </row>
    <row r="92" ht="71.25" customHeight="1">
      <c r="A92" s="370">
        <v>38104.0</v>
      </c>
      <c r="B92" s="299" t="s">
        <v>25</v>
      </c>
      <c r="C92" s="285">
        <v>1250.0</v>
      </c>
      <c r="D92" s="285" t="s">
        <v>7634</v>
      </c>
      <c r="E92" s="287" t="s">
        <v>4637</v>
      </c>
      <c r="F92" s="285" t="s">
        <v>5919</v>
      </c>
      <c r="G92" s="288">
        <v>45220.0</v>
      </c>
      <c r="H92" s="288">
        <v>45215.0</v>
      </c>
      <c r="I92" s="288">
        <v>45215.0</v>
      </c>
      <c r="J92" s="288">
        <v>45225.0</v>
      </c>
      <c r="K92" s="294"/>
      <c r="L92" s="294"/>
      <c r="M92" s="290" t="s">
        <v>7635</v>
      </c>
      <c r="N92" s="285" t="s">
        <v>497</v>
      </c>
      <c r="O92" s="299" t="s">
        <v>2554</v>
      </c>
      <c r="P92" s="300">
        <v>36250.0</v>
      </c>
      <c r="Q92" s="198"/>
      <c r="R92" s="198"/>
      <c r="S92" s="198"/>
      <c r="T92" s="198"/>
      <c r="U92" s="198"/>
      <c r="V92" s="198"/>
      <c r="W92" s="198"/>
      <c r="X92" s="198"/>
      <c r="Y92" s="198"/>
      <c r="Z92" s="198"/>
      <c r="AA92" s="198"/>
    </row>
    <row r="93" ht="71.25" customHeight="1">
      <c r="A93" s="370" t="s">
        <v>7636</v>
      </c>
      <c r="B93" s="299" t="s">
        <v>25</v>
      </c>
      <c r="C93" s="285">
        <v>857.0</v>
      </c>
      <c r="D93" s="285" t="s">
        <v>7637</v>
      </c>
      <c r="E93" s="287" t="s">
        <v>6395</v>
      </c>
      <c r="F93" s="285" t="s">
        <v>5919</v>
      </c>
      <c r="G93" s="288">
        <v>45217.0</v>
      </c>
      <c r="H93" s="288">
        <v>45217.0</v>
      </c>
      <c r="I93" s="288">
        <v>45217.0</v>
      </c>
      <c r="J93" s="288">
        <v>45224.0</v>
      </c>
      <c r="K93" s="294"/>
      <c r="L93" s="294"/>
      <c r="M93" s="290" t="s">
        <v>7638</v>
      </c>
      <c r="N93" s="285" t="s">
        <v>4635</v>
      </c>
      <c r="O93" s="299" t="s">
        <v>4912</v>
      </c>
      <c r="P93" s="300">
        <v>425565.0</v>
      </c>
      <c r="Q93" s="198"/>
      <c r="R93" s="198"/>
      <c r="S93" s="198"/>
      <c r="T93" s="198"/>
      <c r="U93" s="198"/>
      <c r="V93" s="198"/>
      <c r="W93" s="198"/>
      <c r="X93" s="198"/>
      <c r="Y93" s="198"/>
      <c r="Z93" s="198"/>
      <c r="AA93" s="198"/>
    </row>
    <row r="94" ht="71.25" customHeight="1">
      <c r="A94" s="370">
        <v>38071.0</v>
      </c>
      <c r="B94" s="299" t="s">
        <v>715</v>
      </c>
      <c r="C94" s="285">
        <v>1020.0</v>
      </c>
      <c r="D94" s="285" t="s">
        <v>7639</v>
      </c>
      <c r="E94" s="287" t="s">
        <v>7640</v>
      </c>
      <c r="F94" s="285" t="s">
        <v>5919</v>
      </c>
      <c r="G94" s="288">
        <v>45213.0</v>
      </c>
      <c r="H94" s="288">
        <v>45204.0</v>
      </c>
      <c r="I94" s="288">
        <v>45204.0</v>
      </c>
      <c r="J94" s="288">
        <v>45217.0</v>
      </c>
      <c r="K94" s="294"/>
      <c r="L94" s="294"/>
      <c r="M94" s="290" t="s">
        <v>7641</v>
      </c>
      <c r="N94" s="285" t="s">
        <v>6366</v>
      </c>
      <c r="O94" s="299" t="s">
        <v>2628</v>
      </c>
      <c r="P94" s="300">
        <v>118971.31</v>
      </c>
      <c r="Q94" s="198"/>
      <c r="R94" s="198"/>
      <c r="S94" s="198"/>
      <c r="T94" s="198"/>
      <c r="U94" s="198"/>
      <c r="V94" s="198"/>
      <c r="W94" s="198"/>
      <c r="X94" s="198"/>
      <c r="Y94" s="198"/>
      <c r="Z94" s="198"/>
      <c r="AA94" s="198"/>
    </row>
    <row r="95" ht="71.25" customHeight="1">
      <c r="A95" s="370">
        <v>38511.0</v>
      </c>
      <c r="B95" s="285" t="s">
        <v>21</v>
      </c>
      <c r="C95" s="285">
        <v>1050.0</v>
      </c>
      <c r="D95" s="285" t="s">
        <v>7642</v>
      </c>
      <c r="E95" s="287" t="s">
        <v>7643</v>
      </c>
      <c r="F95" s="285" t="s">
        <v>5919</v>
      </c>
      <c r="G95" s="288">
        <v>45213.0</v>
      </c>
      <c r="H95" s="288">
        <v>45210.0</v>
      </c>
      <c r="I95" s="288">
        <v>45210.0</v>
      </c>
      <c r="J95" s="288">
        <v>45222.0</v>
      </c>
      <c r="K95" s="294">
        <v>5540886.0</v>
      </c>
      <c r="L95" s="294" t="s">
        <v>7602</v>
      </c>
      <c r="M95" s="290" t="s">
        <v>7644</v>
      </c>
      <c r="N95" s="285" t="s">
        <v>4635</v>
      </c>
      <c r="O95" s="299" t="s">
        <v>2621</v>
      </c>
      <c r="P95" s="300">
        <v>66481.0</v>
      </c>
      <c r="Q95" s="198"/>
      <c r="R95" s="198"/>
      <c r="S95" s="198"/>
      <c r="T95" s="198"/>
      <c r="U95" s="198"/>
      <c r="V95" s="198"/>
      <c r="W95" s="198"/>
      <c r="X95" s="198"/>
      <c r="Y95" s="198"/>
      <c r="Z95" s="198"/>
      <c r="AA95" s="198"/>
    </row>
    <row r="96" ht="71.25" customHeight="1">
      <c r="A96" s="370">
        <v>37989.0</v>
      </c>
      <c r="B96" s="299" t="s">
        <v>715</v>
      </c>
      <c r="C96" s="285">
        <v>1250.0</v>
      </c>
      <c r="D96" s="285" t="s">
        <v>7645</v>
      </c>
      <c r="E96" s="287" t="s">
        <v>4637</v>
      </c>
      <c r="F96" s="285" t="s">
        <v>5919</v>
      </c>
      <c r="G96" s="288">
        <v>45213.0</v>
      </c>
      <c r="H96" s="288">
        <v>45209.0</v>
      </c>
      <c r="I96" s="288">
        <v>45209.0</v>
      </c>
      <c r="J96" s="288">
        <v>45219.0</v>
      </c>
      <c r="K96" s="294"/>
      <c r="L96" s="294"/>
      <c r="M96" s="290" t="s">
        <v>7646</v>
      </c>
      <c r="N96" s="285" t="s">
        <v>497</v>
      </c>
      <c r="O96" s="299" t="s">
        <v>2554</v>
      </c>
      <c r="P96" s="300">
        <v>36250.0</v>
      </c>
      <c r="Q96" s="198"/>
      <c r="R96" s="198"/>
      <c r="S96" s="198"/>
      <c r="T96" s="198"/>
      <c r="U96" s="198"/>
      <c r="V96" s="198"/>
      <c r="W96" s="198"/>
      <c r="X96" s="198"/>
      <c r="Y96" s="198"/>
      <c r="Z96" s="198"/>
      <c r="AA96" s="198"/>
    </row>
    <row r="97" ht="71.25" customHeight="1">
      <c r="A97" s="370">
        <v>37990.0</v>
      </c>
      <c r="B97" s="299" t="s">
        <v>715</v>
      </c>
      <c r="C97" s="285">
        <v>4230.0</v>
      </c>
      <c r="D97" s="285" t="s">
        <v>7647</v>
      </c>
      <c r="E97" s="287" t="s">
        <v>4658</v>
      </c>
      <c r="F97" s="285" t="s">
        <v>5919</v>
      </c>
      <c r="G97" s="288">
        <v>45213.0</v>
      </c>
      <c r="H97" s="288">
        <v>45209.0</v>
      </c>
      <c r="I97" s="288">
        <v>45209.0</v>
      </c>
      <c r="J97" s="288">
        <v>45219.0</v>
      </c>
      <c r="K97" s="294"/>
      <c r="L97" s="294"/>
      <c r="M97" s="290" t="s">
        <v>7648</v>
      </c>
      <c r="N97" s="285" t="s">
        <v>497</v>
      </c>
      <c r="O97" s="299" t="s">
        <v>2554</v>
      </c>
      <c r="P97" s="300">
        <v>31725.0</v>
      </c>
      <c r="Q97" s="198"/>
      <c r="R97" s="198"/>
      <c r="S97" s="198"/>
      <c r="T97" s="198"/>
      <c r="U97" s="198"/>
      <c r="V97" s="198"/>
      <c r="W97" s="198"/>
      <c r="X97" s="198"/>
      <c r="Y97" s="198"/>
      <c r="Z97" s="198"/>
      <c r="AA97" s="198"/>
    </row>
    <row r="98" ht="71.25" customHeight="1">
      <c r="A98" s="370">
        <v>38048.0</v>
      </c>
      <c r="B98" s="285" t="s">
        <v>21</v>
      </c>
      <c r="C98" s="285">
        <v>1250.0</v>
      </c>
      <c r="D98" s="285" t="s">
        <v>7649</v>
      </c>
      <c r="E98" s="287" t="s">
        <v>4637</v>
      </c>
      <c r="F98" s="285" t="s">
        <v>5919</v>
      </c>
      <c r="G98" s="288">
        <v>45213.0</v>
      </c>
      <c r="H98" s="288">
        <v>45209.0</v>
      </c>
      <c r="I98" s="288">
        <v>45209.0</v>
      </c>
      <c r="J98" s="288">
        <v>45217.0</v>
      </c>
      <c r="K98" s="294">
        <v>5540886.0</v>
      </c>
      <c r="L98" s="294" t="s">
        <v>7623</v>
      </c>
      <c r="M98" s="290" t="s">
        <v>7650</v>
      </c>
      <c r="N98" s="285" t="s">
        <v>497</v>
      </c>
      <c r="O98" s="299" t="s">
        <v>2554</v>
      </c>
      <c r="P98" s="300">
        <v>36250.0</v>
      </c>
      <c r="Q98" s="198"/>
      <c r="R98" s="198"/>
      <c r="S98" s="198"/>
      <c r="T98" s="198"/>
      <c r="U98" s="198"/>
      <c r="V98" s="198"/>
      <c r="W98" s="198"/>
      <c r="X98" s="198"/>
      <c r="Y98" s="198"/>
      <c r="Z98" s="198"/>
      <c r="AA98" s="198"/>
    </row>
    <row r="99" ht="71.25" customHeight="1">
      <c r="A99" s="370">
        <v>38044.0</v>
      </c>
      <c r="B99" s="285" t="s">
        <v>21</v>
      </c>
      <c r="C99" s="285">
        <v>4230.0</v>
      </c>
      <c r="D99" s="285" t="s">
        <v>7651</v>
      </c>
      <c r="E99" s="287" t="s">
        <v>7438</v>
      </c>
      <c r="F99" s="285" t="s">
        <v>5919</v>
      </c>
      <c r="G99" s="288">
        <v>45213.0</v>
      </c>
      <c r="H99" s="288">
        <v>45209.0</v>
      </c>
      <c r="I99" s="288">
        <v>45209.0</v>
      </c>
      <c r="J99" s="288">
        <v>45218.0</v>
      </c>
      <c r="K99" s="294">
        <v>5540886.0</v>
      </c>
      <c r="L99" s="294" t="s">
        <v>7623</v>
      </c>
      <c r="M99" s="290" t="s">
        <v>7652</v>
      </c>
      <c r="N99" s="285" t="s">
        <v>497</v>
      </c>
      <c r="O99" s="299" t="s">
        <v>2554</v>
      </c>
      <c r="P99" s="300">
        <v>31196.25</v>
      </c>
      <c r="Q99" s="198"/>
      <c r="R99" s="198"/>
      <c r="S99" s="198"/>
      <c r="T99" s="198"/>
      <c r="U99" s="198"/>
      <c r="V99" s="198"/>
      <c r="W99" s="198"/>
      <c r="X99" s="198"/>
      <c r="Y99" s="198"/>
      <c r="Z99" s="198"/>
      <c r="AA99" s="198"/>
    </row>
    <row r="100" ht="75.75" customHeight="1">
      <c r="A100" s="370">
        <v>38600.0</v>
      </c>
      <c r="B100" s="285" t="s">
        <v>25</v>
      </c>
      <c r="C100" s="285" t="s">
        <v>7653</v>
      </c>
      <c r="D100" s="285" t="s">
        <v>7654</v>
      </c>
      <c r="E100" s="287" t="s">
        <v>7655</v>
      </c>
      <c r="F100" s="285" t="s">
        <v>5919</v>
      </c>
      <c r="G100" s="288">
        <v>45213.0</v>
      </c>
      <c r="H100" s="288">
        <v>45216.0</v>
      </c>
      <c r="I100" s="288">
        <v>45216.0</v>
      </c>
      <c r="J100" s="288">
        <v>45225.0</v>
      </c>
      <c r="K100" s="294"/>
      <c r="L100" s="294"/>
      <c r="M100" s="290" t="s">
        <v>7656</v>
      </c>
      <c r="N100" s="285" t="s">
        <v>497</v>
      </c>
      <c r="O100" s="299" t="s">
        <v>2538</v>
      </c>
      <c r="P100" s="300">
        <v>1258.0</v>
      </c>
      <c r="Q100" s="198"/>
      <c r="R100" s="198"/>
      <c r="S100" s="198"/>
      <c r="T100" s="198"/>
      <c r="U100" s="198"/>
      <c r="V100" s="198"/>
      <c r="W100" s="198"/>
      <c r="X100" s="198"/>
      <c r="Y100" s="198"/>
      <c r="Z100" s="198"/>
      <c r="AA100" s="198"/>
    </row>
    <row r="101" ht="71.25" customHeight="1">
      <c r="A101" s="370">
        <v>38374.0</v>
      </c>
      <c r="B101" s="299" t="s">
        <v>715</v>
      </c>
      <c r="C101" s="285">
        <v>940.0</v>
      </c>
      <c r="D101" s="285" t="s">
        <v>7657</v>
      </c>
      <c r="E101" s="287" t="s">
        <v>7658</v>
      </c>
      <c r="F101" s="285" t="s">
        <v>5919</v>
      </c>
      <c r="G101" s="288">
        <v>45211.0</v>
      </c>
      <c r="H101" s="288">
        <v>45209.0</v>
      </c>
      <c r="I101" s="288">
        <v>45209.0</v>
      </c>
      <c r="J101" s="288">
        <v>45218.0</v>
      </c>
      <c r="K101" s="294"/>
      <c r="L101" s="294"/>
      <c r="M101" s="290" t="s">
        <v>7659</v>
      </c>
      <c r="N101" s="285" t="s">
        <v>4635</v>
      </c>
      <c r="O101" s="299" t="s">
        <v>2621</v>
      </c>
      <c r="P101" s="300">
        <v>43738.2</v>
      </c>
      <c r="Q101" s="198"/>
      <c r="R101" s="198"/>
      <c r="S101" s="198"/>
      <c r="T101" s="198"/>
      <c r="U101" s="198"/>
      <c r="V101" s="198"/>
      <c r="W101" s="198"/>
      <c r="X101" s="198"/>
      <c r="Y101" s="198"/>
      <c r="Z101" s="198"/>
      <c r="AA101" s="198"/>
    </row>
    <row r="102" ht="71.25" customHeight="1">
      <c r="A102" s="370">
        <v>38387.0</v>
      </c>
      <c r="B102" s="299" t="s">
        <v>715</v>
      </c>
      <c r="C102" s="285">
        <v>1100.0</v>
      </c>
      <c r="D102" s="285" t="s">
        <v>7660</v>
      </c>
      <c r="E102" s="287" t="s">
        <v>7661</v>
      </c>
      <c r="F102" s="285" t="s">
        <v>5919</v>
      </c>
      <c r="G102" s="288">
        <v>45211.0</v>
      </c>
      <c r="H102" s="288">
        <v>45202.0</v>
      </c>
      <c r="I102" s="288">
        <v>45202.0</v>
      </c>
      <c r="J102" s="288">
        <v>45217.0</v>
      </c>
      <c r="K102" s="294"/>
      <c r="L102" s="294"/>
      <c r="M102" s="290" t="s">
        <v>7662</v>
      </c>
      <c r="N102" s="285" t="s">
        <v>4635</v>
      </c>
      <c r="O102" s="299" t="s">
        <v>2621</v>
      </c>
      <c r="P102" s="300">
        <v>79595.5</v>
      </c>
      <c r="Q102" s="198"/>
      <c r="R102" s="198"/>
      <c r="S102" s="198"/>
      <c r="T102" s="198"/>
      <c r="U102" s="198"/>
      <c r="V102" s="198"/>
      <c r="W102" s="198"/>
      <c r="X102" s="198"/>
      <c r="Y102" s="198"/>
      <c r="Z102" s="198"/>
      <c r="AA102" s="198"/>
    </row>
    <row r="103" ht="71.25" customHeight="1">
      <c r="A103" s="370">
        <v>37827.0</v>
      </c>
      <c r="B103" s="299" t="s">
        <v>715</v>
      </c>
      <c r="C103" s="285">
        <v>4356.0</v>
      </c>
      <c r="D103" s="285" t="s">
        <v>7663</v>
      </c>
      <c r="E103" s="287" t="s">
        <v>7664</v>
      </c>
      <c r="F103" s="285" t="s">
        <v>5919</v>
      </c>
      <c r="G103" s="288">
        <v>45209.0</v>
      </c>
      <c r="H103" s="288">
        <v>45203.0</v>
      </c>
      <c r="I103" s="288">
        <v>45203.0</v>
      </c>
      <c r="J103" s="288">
        <v>45215.0</v>
      </c>
      <c r="K103" s="294"/>
      <c r="L103" s="294"/>
      <c r="M103" s="290" t="s">
        <v>7665</v>
      </c>
      <c r="N103" s="285" t="s">
        <v>497</v>
      </c>
      <c r="O103" s="299" t="s">
        <v>2554</v>
      </c>
      <c r="P103" s="300">
        <v>35980.56</v>
      </c>
      <c r="Q103" s="198"/>
      <c r="R103" s="198"/>
      <c r="S103" s="198"/>
      <c r="T103" s="198"/>
      <c r="U103" s="198"/>
      <c r="V103" s="198"/>
      <c r="W103" s="198"/>
      <c r="X103" s="198"/>
      <c r="Y103" s="198"/>
      <c r="Z103" s="198"/>
      <c r="AA103" s="198"/>
    </row>
    <row r="104" ht="66.75" customHeight="1">
      <c r="A104" s="370">
        <v>38063.0</v>
      </c>
      <c r="B104" s="299" t="s">
        <v>25</v>
      </c>
      <c r="C104" s="285">
        <v>640.0</v>
      </c>
      <c r="D104" s="285" t="s">
        <v>7666</v>
      </c>
      <c r="E104" s="287" t="s">
        <v>4743</v>
      </c>
      <c r="F104" s="285" t="s">
        <v>5919</v>
      </c>
      <c r="G104" s="288">
        <v>45205.0</v>
      </c>
      <c r="H104" s="288">
        <v>45200.0</v>
      </c>
      <c r="I104" s="288">
        <v>45200.0</v>
      </c>
      <c r="J104" s="288">
        <v>45212.0</v>
      </c>
      <c r="K104" s="294"/>
      <c r="L104" s="294"/>
      <c r="M104" s="290" t="s">
        <v>7667</v>
      </c>
      <c r="N104" s="285" t="s">
        <v>4745</v>
      </c>
      <c r="O104" s="299" t="s">
        <v>4746</v>
      </c>
      <c r="P104" s="300">
        <v>86424.0</v>
      </c>
      <c r="Q104" s="198"/>
      <c r="R104" s="198"/>
      <c r="S104" s="198"/>
      <c r="T104" s="198"/>
      <c r="U104" s="198"/>
      <c r="V104" s="198"/>
      <c r="W104" s="198"/>
      <c r="X104" s="198"/>
      <c r="Y104" s="198"/>
      <c r="Z104" s="198"/>
      <c r="AA104" s="198"/>
    </row>
    <row r="105" ht="66.0" customHeight="1">
      <c r="A105" s="370">
        <v>38447.0</v>
      </c>
      <c r="B105" s="299" t="s">
        <v>715</v>
      </c>
      <c r="C105" s="285">
        <v>1100.0</v>
      </c>
      <c r="D105" s="285" t="s">
        <v>7668</v>
      </c>
      <c r="E105" s="287" t="s">
        <v>7669</v>
      </c>
      <c r="F105" s="285" t="s">
        <v>5919</v>
      </c>
      <c r="G105" s="288">
        <v>45205.0</v>
      </c>
      <c r="H105" s="288">
        <v>45202.0</v>
      </c>
      <c r="I105" s="288">
        <v>45202.0</v>
      </c>
      <c r="J105" s="288">
        <v>45211.0</v>
      </c>
      <c r="K105" s="294"/>
      <c r="L105" s="294"/>
      <c r="M105" s="290" t="s">
        <v>7670</v>
      </c>
      <c r="N105" s="285" t="s">
        <v>4635</v>
      </c>
      <c r="O105" s="299" t="s">
        <v>2621</v>
      </c>
      <c r="P105" s="300">
        <v>87956.0</v>
      </c>
      <c r="Q105" s="198"/>
      <c r="R105" s="198"/>
      <c r="S105" s="198"/>
      <c r="T105" s="198"/>
      <c r="U105" s="198"/>
      <c r="V105" s="198"/>
      <c r="W105" s="198"/>
      <c r="X105" s="198"/>
      <c r="Y105" s="198"/>
      <c r="Z105" s="198"/>
      <c r="AA105" s="198"/>
    </row>
    <row r="106" ht="66.0" customHeight="1">
      <c r="A106" s="370">
        <v>38054.0</v>
      </c>
      <c r="B106" s="285" t="s">
        <v>21</v>
      </c>
      <c r="C106" s="285">
        <v>1060.0</v>
      </c>
      <c r="D106" s="285" t="s">
        <v>7671</v>
      </c>
      <c r="E106" s="287" t="s">
        <v>7575</v>
      </c>
      <c r="F106" s="285" t="s">
        <v>5919</v>
      </c>
      <c r="G106" s="288">
        <v>45205.0</v>
      </c>
      <c r="H106" s="288">
        <v>45200.0</v>
      </c>
      <c r="I106" s="288">
        <v>45200.0</v>
      </c>
      <c r="J106" s="288">
        <v>45211.0</v>
      </c>
      <c r="K106" s="294">
        <v>5539797.0</v>
      </c>
      <c r="L106" s="294" t="s">
        <v>7672</v>
      </c>
      <c r="M106" s="290" t="s">
        <v>7673</v>
      </c>
      <c r="N106" s="285" t="s">
        <v>497</v>
      </c>
      <c r="O106" s="299" t="s">
        <v>2604</v>
      </c>
      <c r="P106" s="300">
        <v>50672.07</v>
      </c>
      <c r="Q106" s="198"/>
      <c r="R106" s="198"/>
      <c r="S106" s="198"/>
      <c r="T106" s="198"/>
      <c r="U106" s="198"/>
      <c r="V106" s="198"/>
      <c r="W106" s="198"/>
      <c r="X106" s="198"/>
      <c r="Y106" s="198"/>
      <c r="Z106" s="198"/>
      <c r="AA106" s="198"/>
    </row>
    <row r="107" ht="69.0" customHeight="1">
      <c r="A107" s="370">
        <v>38225.0</v>
      </c>
      <c r="B107" s="299" t="s">
        <v>715</v>
      </c>
      <c r="C107" s="285">
        <v>1475.0</v>
      </c>
      <c r="D107" s="285" t="s">
        <v>7674</v>
      </c>
      <c r="E107" s="287" t="s">
        <v>5198</v>
      </c>
      <c r="F107" s="285" t="s">
        <v>5919</v>
      </c>
      <c r="G107" s="288">
        <v>45204.0</v>
      </c>
      <c r="H107" s="288">
        <v>45200.0</v>
      </c>
      <c r="I107" s="288">
        <v>45222.0</v>
      </c>
      <c r="J107" s="288">
        <v>45224.0</v>
      </c>
      <c r="K107" s="294"/>
      <c r="L107" s="294"/>
      <c r="M107" s="290" t="s">
        <v>7675</v>
      </c>
      <c r="N107" s="285" t="s">
        <v>497</v>
      </c>
      <c r="O107" s="299" t="s">
        <v>2621</v>
      </c>
      <c r="P107" s="300">
        <v>49117.5</v>
      </c>
      <c r="Q107" s="198"/>
      <c r="R107" s="198"/>
      <c r="S107" s="198"/>
      <c r="T107" s="198"/>
      <c r="U107" s="198"/>
      <c r="V107" s="198"/>
      <c r="W107" s="198"/>
      <c r="X107" s="198"/>
      <c r="Y107" s="198"/>
      <c r="Z107" s="198"/>
      <c r="AA107" s="198"/>
    </row>
    <row r="108" ht="60.0" customHeight="1">
      <c r="A108" s="370">
        <v>37941.0</v>
      </c>
      <c r="B108" s="299" t="s">
        <v>715</v>
      </c>
      <c r="C108" s="285">
        <v>982.0</v>
      </c>
      <c r="D108" s="285" t="s">
        <v>7676</v>
      </c>
      <c r="E108" s="287" t="s">
        <v>2751</v>
      </c>
      <c r="F108" s="285" t="s">
        <v>5919</v>
      </c>
      <c r="G108" s="288">
        <v>45204.0</v>
      </c>
      <c r="H108" s="288">
        <v>45195.0</v>
      </c>
      <c r="I108" s="288">
        <v>45195.0</v>
      </c>
      <c r="J108" s="288">
        <v>45210.0</v>
      </c>
      <c r="K108" s="294"/>
      <c r="L108" s="294"/>
      <c r="M108" s="290" t="s">
        <v>7677</v>
      </c>
      <c r="N108" s="285" t="s">
        <v>6366</v>
      </c>
      <c r="O108" s="299" t="s">
        <v>2621</v>
      </c>
      <c r="P108" s="300">
        <v>37951.1</v>
      </c>
      <c r="Q108" s="198"/>
      <c r="R108" s="198"/>
      <c r="S108" s="198"/>
      <c r="T108" s="198"/>
      <c r="U108" s="198"/>
      <c r="V108" s="198"/>
      <c r="W108" s="198"/>
      <c r="X108" s="198"/>
      <c r="Y108" s="198"/>
      <c r="Z108" s="198"/>
      <c r="AA108" s="198"/>
    </row>
    <row r="109" ht="60.0" customHeight="1">
      <c r="A109" s="370">
        <v>38043.0</v>
      </c>
      <c r="B109" s="299" t="s">
        <v>25</v>
      </c>
      <c r="C109" s="285">
        <v>2400.0</v>
      </c>
      <c r="D109" s="285" t="s">
        <v>7678</v>
      </c>
      <c r="E109" s="287" t="s">
        <v>6435</v>
      </c>
      <c r="F109" s="285" t="s">
        <v>5919</v>
      </c>
      <c r="G109" s="288">
        <v>45202.0</v>
      </c>
      <c r="H109" s="288">
        <v>45198.0</v>
      </c>
      <c r="I109" s="288">
        <v>45198.0</v>
      </c>
      <c r="J109" s="288">
        <v>45211.0</v>
      </c>
      <c r="K109" s="294"/>
      <c r="L109" s="294"/>
      <c r="M109" s="290" t="s">
        <v>7679</v>
      </c>
      <c r="N109" s="285" t="s">
        <v>497</v>
      </c>
      <c r="O109" s="299" t="s">
        <v>2554</v>
      </c>
      <c r="P109" s="300">
        <v>39600.0</v>
      </c>
      <c r="Q109" s="198"/>
      <c r="R109" s="198"/>
      <c r="S109" s="198"/>
      <c r="T109" s="198"/>
      <c r="U109" s="198"/>
      <c r="V109" s="198"/>
      <c r="W109" s="198"/>
      <c r="X109" s="198"/>
      <c r="Y109" s="198"/>
      <c r="Z109" s="198"/>
      <c r="AA109" s="198"/>
    </row>
    <row r="110" ht="60.0" customHeight="1">
      <c r="A110" s="370">
        <v>38038.0</v>
      </c>
      <c r="B110" s="299" t="s">
        <v>715</v>
      </c>
      <c r="C110" s="285">
        <v>1306.0</v>
      </c>
      <c r="D110" s="285" t="s">
        <v>7680</v>
      </c>
      <c r="E110" s="287" t="s">
        <v>7323</v>
      </c>
      <c r="F110" s="285" t="s">
        <v>5919</v>
      </c>
      <c r="G110" s="288">
        <v>45201.0</v>
      </c>
      <c r="H110" s="288">
        <v>45196.0</v>
      </c>
      <c r="I110" s="288">
        <v>45196.0</v>
      </c>
      <c r="J110" s="288">
        <v>45205.0</v>
      </c>
      <c r="K110" s="294"/>
      <c r="L110" s="294"/>
      <c r="M110" s="290" t="s">
        <v>7681</v>
      </c>
      <c r="N110" s="285" t="s">
        <v>497</v>
      </c>
      <c r="O110" s="299" t="s">
        <v>2554</v>
      </c>
      <c r="P110" s="300">
        <v>44795.8</v>
      </c>
      <c r="Q110" s="198"/>
      <c r="R110" s="198"/>
      <c r="S110" s="198"/>
      <c r="T110" s="198"/>
      <c r="U110" s="198"/>
      <c r="V110" s="198"/>
      <c r="W110" s="198"/>
      <c r="X110" s="198"/>
      <c r="Y110" s="198"/>
      <c r="Z110" s="198"/>
      <c r="AA110" s="198"/>
    </row>
    <row r="111" ht="60.0" customHeight="1">
      <c r="A111" s="370">
        <v>38218.0</v>
      </c>
      <c r="B111" s="285" t="s">
        <v>21</v>
      </c>
      <c r="C111" s="285" t="s">
        <v>5121</v>
      </c>
      <c r="D111" s="285" t="s">
        <v>7682</v>
      </c>
      <c r="E111" s="287" t="s">
        <v>7683</v>
      </c>
      <c r="F111" s="285" t="s">
        <v>5919</v>
      </c>
      <c r="G111" s="288">
        <v>45201.0</v>
      </c>
      <c r="H111" s="285" t="s">
        <v>4841</v>
      </c>
      <c r="I111" s="285" t="s">
        <v>4841</v>
      </c>
      <c r="J111" s="288">
        <v>45210.0</v>
      </c>
      <c r="K111" s="425" t="s">
        <v>4841</v>
      </c>
      <c r="L111" s="294"/>
      <c r="M111" s="290" t="s">
        <v>7684</v>
      </c>
      <c r="N111" s="285" t="s">
        <v>497</v>
      </c>
      <c r="O111" s="299" t="s">
        <v>2628</v>
      </c>
      <c r="P111" s="300">
        <v>1353.39</v>
      </c>
      <c r="Q111" s="198"/>
      <c r="R111" s="198"/>
      <c r="S111" s="198"/>
      <c r="T111" s="198"/>
      <c r="U111" s="198"/>
      <c r="V111" s="198"/>
      <c r="W111" s="198"/>
      <c r="X111" s="198"/>
      <c r="Y111" s="198"/>
      <c r="Z111" s="198"/>
      <c r="AA111" s="198"/>
    </row>
    <row r="112" ht="60.0" customHeight="1">
      <c r="A112" s="370">
        <v>38226.0</v>
      </c>
      <c r="B112" s="285" t="s">
        <v>21</v>
      </c>
      <c r="C112" s="285">
        <v>1475.0</v>
      </c>
      <c r="D112" s="285" t="s">
        <v>7685</v>
      </c>
      <c r="E112" s="287" t="s">
        <v>5198</v>
      </c>
      <c r="F112" s="285" t="s">
        <v>5919</v>
      </c>
      <c r="G112" s="288">
        <v>45200.0</v>
      </c>
      <c r="H112" s="288">
        <v>45196.0</v>
      </c>
      <c r="I112" s="288">
        <v>45196.0</v>
      </c>
      <c r="J112" s="288">
        <v>45209.0</v>
      </c>
      <c r="K112" s="425" t="s">
        <v>4841</v>
      </c>
      <c r="L112" s="294"/>
      <c r="M112" s="290" t="s">
        <v>7686</v>
      </c>
      <c r="N112" s="285" t="s">
        <v>497</v>
      </c>
      <c r="O112" s="299" t="s">
        <v>2621</v>
      </c>
      <c r="P112" s="300">
        <v>49117.5</v>
      </c>
      <c r="Q112" s="198"/>
      <c r="R112" s="198"/>
      <c r="S112" s="198"/>
      <c r="T112" s="198"/>
      <c r="U112" s="198"/>
      <c r="V112" s="198"/>
      <c r="W112" s="198"/>
      <c r="X112" s="198"/>
      <c r="Y112" s="198"/>
      <c r="Z112" s="198"/>
      <c r="AA112" s="198"/>
    </row>
    <row r="113" ht="60.0" customHeight="1">
      <c r="A113" s="370">
        <v>37826.0</v>
      </c>
      <c r="B113" s="285" t="s">
        <v>21</v>
      </c>
      <c r="C113" s="285">
        <v>4356.0</v>
      </c>
      <c r="D113" s="285" t="s">
        <v>7687</v>
      </c>
      <c r="E113" s="287" t="s">
        <v>4644</v>
      </c>
      <c r="F113" s="285" t="s">
        <v>5919</v>
      </c>
      <c r="G113" s="288">
        <v>45200.0</v>
      </c>
      <c r="H113" s="288">
        <v>45195.0</v>
      </c>
      <c r="I113" s="288">
        <v>45195.0</v>
      </c>
      <c r="J113" s="288">
        <v>45204.0</v>
      </c>
      <c r="K113" s="294">
        <v>5540886.0</v>
      </c>
      <c r="L113" s="294" t="s">
        <v>7623</v>
      </c>
      <c r="M113" s="290" t="s">
        <v>7688</v>
      </c>
      <c r="N113" s="285" t="s">
        <v>497</v>
      </c>
      <c r="O113" s="299" t="s">
        <v>2554</v>
      </c>
      <c r="P113" s="300">
        <v>35980.56</v>
      </c>
      <c r="Q113" s="198"/>
      <c r="R113" s="198"/>
      <c r="S113" s="198"/>
      <c r="T113" s="198"/>
      <c r="U113" s="198"/>
      <c r="V113" s="198"/>
      <c r="W113" s="198"/>
      <c r="X113" s="198"/>
      <c r="Y113" s="198"/>
      <c r="Z113" s="198"/>
      <c r="AA113" s="198"/>
    </row>
    <row r="114" ht="60.0" customHeight="1">
      <c r="A114" s="370">
        <v>37899.0</v>
      </c>
      <c r="B114" s="285" t="s">
        <v>21</v>
      </c>
      <c r="C114" s="285">
        <v>4356.0</v>
      </c>
      <c r="D114" s="285" t="s">
        <v>7689</v>
      </c>
      <c r="E114" s="287" t="s">
        <v>7690</v>
      </c>
      <c r="F114" s="285" t="s">
        <v>5919</v>
      </c>
      <c r="G114" s="288">
        <v>45200.0</v>
      </c>
      <c r="H114" s="288">
        <v>45195.0</v>
      </c>
      <c r="I114" s="288">
        <v>45195.0</v>
      </c>
      <c r="J114" s="288">
        <v>45204.0</v>
      </c>
      <c r="K114" s="294">
        <v>5540886.0</v>
      </c>
      <c r="L114" s="294" t="s">
        <v>7623</v>
      </c>
      <c r="M114" s="290" t="s">
        <v>7691</v>
      </c>
      <c r="N114" s="285" t="s">
        <v>497</v>
      </c>
      <c r="O114" s="299" t="s">
        <v>2554</v>
      </c>
      <c r="P114" s="300">
        <v>35980.56</v>
      </c>
      <c r="Q114" s="198"/>
      <c r="R114" s="198"/>
      <c r="S114" s="198"/>
      <c r="T114" s="198"/>
      <c r="U114" s="198"/>
      <c r="V114" s="198"/>
      <c r="W114" s="198"/>
      <c r="X114" s="198"/>
      <c r="Y114" s="198"/>
      <c r="Z114" s="198"/>
      <c r="AA114" s="198"/>
    </row>
    <row r="115" ht="60.0" customHeight="1">
      <c r="A115" s="370">
        <v>38223.0</v>
      </c>
      <c r="B115" s="299" t="s">
        <v>715</v>
      </c>
      <c r="C115" s="285">
        <v>1230.0</v>
      </c>
      <c r="D115" s="285" t="s">
        <v>7692</v>
      </c>
      <c r="E115" s="287" t="s">
        <v>7693</v>
      </c>
      <c r="F115" s="285" t="s">
        <v>5919</v>
      </c>
      <c r="G115" s="288">
        <v>45198.0</v>
      </c>
      <c r="H115" s="288">
        <v>45195.0</v>
      </c>
      <c r="I115" s="288">
        <v>45195.0</v>
      </c>
      <c r="J115" s="288">
        <v>45203.0</v>
      </c>
      <c r="K115" s="294"/>
      <c r="L115" s="294"/>
      <c r="M115" s="290" t="s">
        <v>7694</v>
      </c>
      <c r="N115" s="285" t="s">
        <v>4635</v>
      </c>
      <c r="O115" s="299" t="s">
        <v>2621</v>
      </c>
      <c r="P115" s="300">
        <v>30774.3</v>
      </c>
      <c r="Q115" s="198"/>
      <c r="R115" s="198"/>
      <c r="S115" s="198"/>
      <c r="T115" s="198"/>
      <c r="U115" s="198"/>
      <c r="V115" s="198"/>
      <c r="W115" s="198"/>
      <c r="X115" s="198"/>
      <c r="Y115" s="198"/>
      <c r="Z115" s="198"/>
      <c r="AA115" s="198"/>
    </row>
    <row r="116" ht="60.0" customHeight="1">
      <c r="A116" s="370">
        <v>38152.0</v>
      </c>
      <c r="B116" s="299" t="s">
        <v>25</v>
      </c>
      <c r="C116" s="285">
        <v>2036.0</v>
      </c>
      <c r="D116" s="285" t="s">
        <v>7695</v>
      </c>
      <c r="E116" s="287" t="s">
        <v>3812</v>
      </c>
      <c r="F116" s="285" t="s">
        <v>5919</v>
      </c>
      <c r="G116" s="288">
        <v>45197.0</v>
      </c>
      <c r="H116" s="288">
        <v>45194.0</v>
      </c>
      <c r="I116" s="288">
        <v>45194.0</v>
      </c>
      <c r="J116" s="288">
        <v>45202.0</v>
      </c>
      <c r="K116" s="294"/>
      <c r="L116" s="294"/>
      <c r="M116" s="290" t="s">
        <v>7696</v>
      </c>
      <c r="N116" s="285" t="s">
        <v>497</v>
      </c>
      <c r="O116" s="299" t="s">
        <v>4662</v>
      </c>
      <c r="P116" s="300">
        <v>143574.12</v>
      </c>
      <c r="Q116" s="198"/>
      <c r="R116" s="198"/>
      <c r="S116" s="198"/>
      <c r="T116" s="198"/>
      <c r="U116" s="198"/>
      <c r="V116" s="198"/>
      <c r="W116" s="198"/>
      <c r="X116" s="198"/>
      <c r="Y116" s="198"/>
      <c r="Z116" s="198"/>
      <c r="AA116" s="198"/>
    </row>
    <row r="117" ht="60.0" customHeight="1">
      <c r="A117" s="370">
        <v>37978.0</v>
      </c>
      <c r="B117" s="299" t="s">
        <v>715</v>
      </c>
      <c r="C117" s="285">
        <v>4230.0</v>
      </c>
      <c r="D117" s="285" t="s">
        <v>7697</v>
      </c>
      <c r="E117" s="287" t="s">
        <v>4690</v>
      </c>
      <c r="F117" s="285" t="s">
        <v>5919</v>
      </c>
      <c r="G117" s="288">
        <v>45196.0</v>
      </c>
      <c r="H117" s="288">
        <v>45195.0</v>
      </c>
      <c r="I117" s="288">
        <v>45195.0</v>
      </c>
      <c r="J117" s="288">
        <v>45202.0</v>
      </c>
      <c r="K117" s="294"/>
      <c r="L117" s="294"/>
      <c r="M117" s="290" t="s">
        <v>7698</v>
      </c>
      <c r="N117" s="285" t="s">
        <v>497</v>
      </c>
      <c r="O117" s="299" t="s">
        <v>2554</v>
      </c>
      <c r="P117" s="300">
        <v>30667.5</v>
      </c>
      <c r="Q117" s="198"/>
      <c r="R117" s="198"/>
      <c r="S117" s="198"/>
      <c r="T117" s="198"/>
      <c r="U117" s="198"/>
      <c r="V117" s="198"/>
      <c r="W117" s="198"/>
      <c r="X117" s="198"/>
      <c r="Y117" s="198"/>
      <c r="Z117" s="198"/>
      <c r="AA117" s="198"/>
    </row>
    <row r="118" ht="60.0" customHeight="1">
      <c r="A118" s="370">
        <v>38052.0</v>
      </c>
      <c r="B118" s="285" t="s">
        <v>21</v>
      </c>
      <c r="C118" s="285">
        <v>945.0</v>
      </c>
      <c r="D118" s="285" t="s">
        <v>7699</v>
      </c>
      <c r="E118" s="287" t="s">
        <v>4958</v>
      </c>
      <c r="F118" s="285" t="s">
        <v>5919</v>
      </c>
      <c r="G118" s="288">
        <v>45196.0</v>
      </c>
      <c r="H118" s="288">
        <v>45191.0</v>
      </c>
      <c r="I118" s="288">
        <v>45191.0</v>
      </c>
      <c r="J118" s="288">
        <v>45203.0</v>
      </c>
      <c r="K118" s="294">
        <v>5540886.0</v>
      </c>
      <c r="L118" s="294" t="s">
        <v>7700</v>
      </c>
      <c r="M118" s="290" t="s">
        <v>7701</v>
      </c>
      <c r="N118" s="285" t="s">
        <v>497</v>
      </c>
      <c r="O118" s="299" t="s">
        <v>2604</v>
      </c>
      <c r="P118" s="300">
        <v>46872.0</v>
      </c>
      <c r="Q118" s="198"/>
      <c r="R118" s="198"/>
      <c r="S118" s="198"/>
      <c r="T118" s="198"/>
      <c r="U118" s="198"/>
      <c r="V118" s="198"/>
      <c r="W118" s="198"/>
      <c r="X118" s="198"/>
      <c r="Y118" s="198"/>
      <c r="Z118" s="198"/>
      <c r="AA118" s="198"/>
    </row>
    <row r="119" ht="72.75" customHeight="1">
      <c r="A119" s="370">
        <v>38345.0</v>
      </c>
      <c r="B119" s="285" t="s">
        <v>21</v>
      </c>
      <c r="C119" s="285">
        <v>2207.0</v>
      </c>
      <c r="D119" s="285" t="s">
        <v>7702</v>
      </c>
      <c r="E119" s="287" t="s">
        <v>6582</v>
      </c>
      <c r="F119" s="285" t="s">
        <v>5919</v>
      </c>
      <c r="G119" s="288">
        <v>45196.0</v>
      </c>
      <c r="H119" s="288">
        <v>45197.0</v>
      </c>
      <c r="I119" s="288">
        <v>45197.0</v>
      </c>
      <c r="J119" s="288">
        <v>45202.0</v>
      </c>
      <c r="K119" s="425" t="s">
        <v>4841</v>
      </c>
      <c r="L119" s="294"/>
      <c r="M119" s="290" t="s">
        <v>7703</v>
      </c>
      <c r="N119" s="285" t="s">
        <v>497</v>
      </c>
      <c r="O119" s="299" t="s">
        <v>2621</v>
      </c>
      <c r="P119" s="300">
        <v>35235.81</v>
      </c>
      <c r="Q119" s="198"/>
      <c r="R119" s="198"/>
      <c r="S119" s="198"/>
      <c r="T119" s="198"/>
      <c r="U119" s="198"/>
      <c r="V119" s="198"/>
      <c r="W119" s="198"/>
      <c r="X119" s="198"/>
      <c r="Y119" s="198"/>
      <c r="Z119" s="198"/>
      <c r="AA119" s="198"/>
    </row>
    <row r="120" ht="60.0" customHeight="1">
      <c r="A120" s="370">
        <v>37825.0</v>
      </c>
      <c r="B120" s="299" t="s">
        <v>715</v>
      </c>
      <c r="C120" s="285">
        <v>2578.0</v>
      </c>
      <c r="D120" s="285" t="s">
        <v>7704</v>
      </c>
      <c r="E120" s="287" t="s">
        <v>7556</v>
      </c>
      <c r="F120" s="285" t="s">
        <v>5919</v>
      </c>
      <c r="G120" s="288">
        <v>45194.0</v>
      </c>
      <c r="H120" s="288">
        <v>45190.0</v>
      </c>
      <c r="I120" s="288">
        <v>45190.0</v>
      </c>
      <c r="J120" s="288">
        <v>45198.0</v>
      </c>
      <c r="K120" s="294"/>
      <c r="L120" s="294"/>
      <c r="M120" s="290" t="s">
        <v>7705</v>
      </c>
      <c r="N120" s="285" t="s">
        <v>497</v>
      </c>
      <c r="O120" s="299" t="s">
        <v>2554</v>
      </c>
      <c r="P120" s="300">
        <v>58494.4</v>
      </c>
      <c r="Q120" s="198"/>
      <c r="R120" s="198"/>
      <c r="S120" s="198"/>
      <c r="T120" s="198"/>
      <c r="U120" s="198"/>
      <c r="V120" s="198"/>
      <c r="W120" s="198"/>
      <c r="X120" s="198"/>
      <c r="Y120" s="198"/>
      <c r="Z120" s="198"/>
      <c r="AA120" s="198"/>
    </row>
    <row r="121" ht="60.0" customHeight="1">
      <c r="A121" s="370">
        <v>38344.0</v>
      </c>
      <c r="B121" s="299" t="s">
        <v>25</v>
      </c>
      <c r="C121" s="285">
        <v>2209.0</v>
      </c>
      <c r="D121" s="285" t="s">
        <v>7706</v>
      </c>
      <c r="E121" s="287" t="s">
        <v>6582</v>
      </c>
      <c r="F121" s="285" t="s">
        <v>5919</v>
      </c>
      <c r="G121" s="288">
        <v>45192.0</v>
      </c>
      <c r="H121" s="288">
        <v>45188.0</v>
      </c>
      <c r="I121" s="288">
        <v>45188.0</v>
      </c>
      <c r="J121" s="288">
        <v>44830.0</v>
      </c>
      <c r="K121" s="294"/>
      <c r="L121" s="294"/>
      <c r="M121" s="290" t="s">
        <v>7707</v>
      </c>
      <c r="N121" s="285" t="s">
        <v>497</v>
      </c>
      <c r="O121" s="299" t="s">
        <v>2621</v>
      </c>
      <c r="P121" s="300">
        <v>35271.3</v>
      </c>
      <c r="Q121" s="198"/>
      <c r="R121" s="198"/>
      <c r="S121" s="198"/>
      <c r="T121" s="198"/>
      <c r="U121" s="198"/>
      <c r="V121" s="198"/>
      <c r="W121" s="198"/>
      <c r="X121" s="198"/>
      <c r="Y121" s="198"/>
      <c r="Z121" s="198"/>
      <c r="AA121" s="198"/>
    </row>
    <row r="122" ht="60.0" customHeight="1">
      <c r="A122" s="370">
        <v>38377.0</v>
      </c>
      <c r="B122" s="299" t="s">
        <v>25</v>
      </c>
      <c r="C122" s="285">
        <v>940.0</v>
      </c>
      <c r="D122" s="285" t="s">
        <v>7708</v>
      </c>
      <c r="E122" s="287" t="s">
        <v>4295</v>
      </c>
      <c r="F122" s="285" t="s">
        <v>5919</v>
      </c>
      <c r="G122" s="288">
        <v>45191.0</v>
      </c>
      <c r="H122" s="288">
        <v>45194.0</v>
      </c>
      <c r="I122" s="288">
        <v>45194.0</v>
      </c>
      <c r="J122" s="288">
        <v>45202.0</v>
      </c>
      <c r="K122" s="294"/>
      <c r="L122" s="294"/>
      <c r="M122" s="290" t="s">
        <v>7709</v>
      </c>
      <c r="N122" s="285" t="s">
        <v>4635</v>
      </c>
      <c r="O122" s="299" t="s">
        <v>2621</v>
      </c>
      <c r="P122" s="300">
        <v>42168.4</v>
      </c>
      <c r="Q122" s="198"/>
      <c r="R122" s="198"/>
      <c r="S122" s="198"/>
      <c r="T122" s="198"/>
      <c r="U122" s="198"/>
      <c r="V122" s="198"/>
      <c r="W122" s="198"/>
      <c r="X122" s="198"/>
      <c r="Y122" s="198"/>
      <c r="Z122" s="198"/>
      <c r="AA122" s="198"/>
    </row>
    <row r="123" ht="60.0" customHeight="1">
      <c r="A123" s="370">
        <v>38306.0</v>
      </c>
      <c r="B123" s="285" t="s">
        <v>21</v>
      </c>
      <c r="C123" s="285">
        <v>4762.0</v>
      </c>
      <c r="D123" s="285" t="s">
        <v>7710</v>
      </c>
      <c r="E123" s="287" t="s">
        <v>7711</v>
      </c>
      <c r="F123" s="285" t="s">
        <v>5919</v>
      </c>
      <c r="G123" s="288">
        <v>45191.0</v>
      </c>
      <c r="H123" s="288">
        <v>45187.0</v>
      </c>
      <c r="I123" s="288">
        <v>45187.0</v>
      </c>
      <c r="J123" s="288">
        <v>45197.0</v>
      </c>
      <c r="K123" s="294">
        <v>5540886.0</v>
      </c>
      <c r="L123" s="294" t="s">
        <v>7712</v>
      </c>
      <c r="M123" s="290" t="s">
        <v>7713</v>
      </c>
      <c r="N123" s="285" t="s">
        <v>4635</v>
      </c>
      <c r="O123" s="299" t="s">
        <v>2621</v>
      </c>
      <c r="P123" s="300">
        <v>47679.08</v>
      </c>
      <c r="Q123" s="198"/>
      <c r="R123" s="198"/>
      <c r="S123" s="198"/>
      <c r="T123" s="198"/>
      <c r="U123" s="198"/>
      <c r="V123" s="198"/>
      <c r="W123" s="198"/>
      <c r="X123" s="198"/>
      <c r="Y123" s="198"/>
      <c r="Z123" s="198"/>
      <c r="AA123" s="198"/>
    </row>
    <row r="124" ht="60.0" customHeight="1">
      <c r="A124" s="370">
        <v>38062.0</v>
      </c>
      <c r="B124" s="299" t="s">
        <v>715</v>
      </c>
      <c r="C124" s="285">
        <v>640.0</v>
      </c>
      <c r="D124" s="285" t="s">
        <v>7714</v>
      </c>
      <c r="E124" s="287" t="s">
        <v>4743</v>
      </c>
      <c r="F124" s="285" t="s">
        <v>5919</v>
      </c>
      <c r="G124" s="288">
        <v>45191.0</v>
      </c>
      <c r="H124" s="288">
        <v>45188.0</v>
      </c>
      <c r="I124" s="288">
        <v>45188.0</v>
      </c>
      <c r="J124" s="288">
        <v>45195.0</v>
      </c>
      <c r="K124" s="294"/>
      <c r="L124" s="294"/>
      <c r="M124" s="290" t="s">
        <v>7715</v>
      </c>
      <c r="N124" s="285" t="s">
        <v>4745</v>
      </c>
      <c r="O124" s="299" t="s">
        <v>4746</v>
      </c>
      <c r="P124" s="300">
        <v>88224.0</v>
      </c>
      <c r="Q124" s="198"/>
      <c r="R124" s="198"/>
      <c r="S124" s="198"/>
      <c r="T124" s="198"/>
      <c r="U124" s="198"/>
      <c r="V124" s="198"/>
      <c r="W124" s="198"/>
      <c r="X124" s="198"/>
      <c r="Y124" s="198"/>
      <c r="Z124" s="198"/>
      <c r="AA124" s="198"/>
    </row>
    <row r="125" ht="60.0" customHeight="1">
      <c r="A125" s="370">
        <v>37987.0</v>
      </c>
      <c r="B125" s="299" t="s">
        <v>25</v>
      </c>
      <c r="C125" s="285">
        <v>1250.0</v>
      </c>
      <c r="D125" s="285" t="s">
        <v>7716</v>
      </c>
      <c r="E125" s="287" t="s">
        <v>4637</v>
      </c>
      <c r="F125" s="285" t="s">
        <v>5919</v>
      </c>
      <c r="G125" s="288">
        <v>45182.0</v>
      </c>
      <c r="H125" s="288">
        <v>45176.0</v>
      </c>
      <c r="I125" s="288">
        <v>45176.0</v>
      </c>
      <c r="J125" s="288">
        <v>45189.0</v>
      </c>
      <c r="K125" s="294"/>
      <c r="L125" s="294"/>
      <c r="M125" s="290" t="s">
        <v>7717</v>
      </c>
      <c r="N125" s="285" t="s">
        <v>497</v>
      </c>
      <c r="O125" s="299" t="s">
        <v>2554</v>
      </c>
      <c r="P125" s="300">
        <v>36250.0</v>
      </c>
      <c r="Q125" s="198"/>
      <c r="R125" s="198"/>
      <c r="S125" s="198"/>
      <c r="T125" s="198"/>
      <c r="U125" s="198"/>
      <c r="V125" s="198"/>
      <c r="W125" s="198"/>
      <c r="X125" s="198"/>
      <c r="Y125" s="198"/>
      <c r="Z125" s="198"/>
      <c r="AA125" s="198"/>
    </row>
    <row r="126" ht="60.0" customHeight="1">
      <c r="A126" s="370">
        <v>38167.0</v>
      </c>
      <c r="B126" s="448" t="s">
        <v>715</v>
      </c>
      <c r="C126" s="285">
        <v>1964.0</v>
      </c>
      <c r="D126" s="285" t="s">
        <v>7718</v>
      </c>
      <c r="E126" s="287" t="s">
        <v>6582</v>
      </c>
      <c r="F126" s="285" t="s">
        <v>5919</v>
      </c>
      <c r="G126" s="288">
        <v>45182.0</v>
      </c>
      <c r="H126" s="288">
        <v>45174.0</v>
      </c>
      <c r="I126" s="288">
        <v>45174.0</v>
      </c>
      <c r="J126" s="288">
        <v>45188.0</v>
      </c>
      <c r="K126" s="294"/>
      <c r="L126" s="294"/>
      <c r="M126" s="290" t="s">
        <v>7719</v>
      </c>
      <c r="N126" s="285" t="s">
        <v>497</v>
      </c>
      <c r="O126" s="299" t="s">
        <v>2621</v>
      </c>
      <c r="P126" s="300">
        <v>23652.81</v>
      </c>
      <c r="Q126" s="198"/>
      <c r="R126" s="198"/>
      <c r="S126" s="198"/>
      <c r="T126" s="198"/>
      <c r="U126" s="198"/>
      <c r="V126" s="198"/>
      <c r="W126" s="198"/>
      <c r="X126" s="198"/>
      <c r="Y126" s="198"/>
      <c r="Z126" s="198"/>
      <c r="AA126" s="198"/>
    </row>
    <row r="127" ht="60.0" customHeight="1">
      <c r="A127" s="370">
        <v>38173.0</v>
      </c>
      <c r="B127" s="299" t="s">
        <v>715</v>
      </c>
      <c r="C127" s="285">
        <v>1450.0</v>
      </c>
      <c r="D127" s="285" t="s">
        <v>7720</v>
      </c>
      <c r="E127" s="287" t="s">
        <v>7721</v>
      </c>
      <c r="F127" s="285" t="s">
        <v>5919</v>
      </c>
      <c r="G127" s="288">
        <v>45182.0</v>
      </c>
      <c r="H127" s="288">
        <v>45174.0</v>
      </c>
      <c r="I127" s="288">
        <v>45174.0</v>
      </c>
      <c r="J127" s="288">
        <v>45187.0</v>
      </c>
      <c r="K127" s="294"/>
      <c r="L127" s="294"/>
      <c r="M127" s="290" t="s">
        <v>7722</v>
      </c>
      <c r="N127" s="285" t="s">
        <v>497</v>
      </c>
      <c r="O127" s="299" t="s">
        <v>2621</v>
      </c>
      <c r="P127" s="300">
        <v>33518.58</v>
      </c>
      <c r="Q127" s="198"/>
      <c r="R127" s="198"/>
      <c r="S127" s="198"/>
      <c r="T127" s="198"/>
      <c r="U127" s="198"/>
      <c r="V127" s="198"/>
      <c r="W127" s="198"/>
      <c r="X127" s="198"/>
      <c r="Y127" s="198"/>
      <c r="Z127" s="198"/>
      <c r="AA127" s="198"/>
    </row>
    <row r="128" ht="60.0" customHeight="1">
      <c r="A128" s="370">
        <v>37855.0</v>
      </c>
      <c r="B128" s="299" t="s">
        <v>715</v>
      </c>
      <c r="C128" s="285">
        <v>2413.0</v>
      </c>
      <c r="D128" s="285" t="s">
        <v>7723</v>
      </c>
      <c r="E128" s="287" t="s">
        <v>7448</v>
      </c>
      <c r="F128" s="285" t="s">
        <v>5919</v>
      </c>
      <c r="G128" s="288">
        <v>45180.0</v>
      </c>
      <c r="H128" s="288">
        <v>45175.0</v>
      </c>
      <c r="I128" s="288">
        <v>45175.0</v>
      </c>
      <c r="J128" s="288">
        <v>45184.0</v>
      </c>
      <c r="K128" s="294"/>
      <c r="L128" s="294"/>
      <c r="M128" s="290" t="s">
        <v>7724</v>
      </c>
      <c r="N128" s="285" t="s">
        <v>497</v>
      </c>
      <c r="O128" s="299" t="s">
        <v>2554</v>
      </c>
      <c r="P128" s="300">
        <v>42955.2</v>
      </c>
      <c r="Q128" s="198"/>
      <c r="R128" s="198"/>
      <c r="S128" s="198"/>
      <c r="T128" s="198"/>
      <c r="U128" s="198"/>
      <c r="V128" s="198"/>
      <c r="W128" s="198"/>
      <c r="X128" s="198"/>
      <c r="Y128" s="198"/>
      <c r="Z128" s="198"/>
      <c r="AA128" s="198"/>
    </row>
    <row r="129" ht="60.0" customHeight="1">
      <c r="A129" s="370">
        <v>37983.0</v>
      </c>
      <c r="B129" s="299" t="s">
        <v>715</v>
      </c>
      <c r="C129" s="285">
        <v>2400.0</v>
      </c>
      <c r="D129" s="285" t="s">
        <v>7725</v>
      </c>
      <c r="E129" s="287" t="s">
        <v>6435</v>
      </c>
      <c r="F129" s="285" t="s">
        <v>5919</v>
      </c>
      <c r="G129" s="288">
        <v>45180.0</v>
      </c>
      <c r="H129" s="288">
        <v>45176.0</v>
      </c>
      <c r="I129" s="288">
        <v>45176.0</v>
      </c>
      <c r="J129" s="288">
        <v>45183.0</v>
      </c>
      <c r="K129" s="294"/>
      <c r="L129" s="294"/>
      <c r="M129" s="290" t="s">
        <v>7726</v>
      </c>
      <c r="N129" s="285" t="s">
        <v>497</v>
      </c>
      <c r="O129" s="299" t="s">
        <v>2554</v>
      </c>
      <c r="P129" s="300">
        <v>39600.0</v>
      </c>
      <c r="Q129" s="198"/>
      <c r="R129" s="198"/>
      <c r="S129" s="198"/>
      <c r="T129" s="198"/>
      <c r="U129" s="198"/>
      <c r="V129" s="198"/>
      <c r="W129" s="198"/>
      <c r="X129" s="198"/>
      <c r="Y129" s="198"/>
      <c r="Z129" s="198"/>
      <c r="AA129" s="198"/>
    </row>
    <row r="130" ht="60.0" customHeight="1">
      <c r="A130" s="370">
        <v>37985.0</v>
      </c>
      <c r="B130" s="299" t="s">
        <v>715</v>
      </c>
      <c r="C130" s="285">
        <v>4230.0</v>
      </c>
      <c r="D130" s="285" t="s">
        <v>7727</v>
      </c>
      <c r="E130" s="287" t="s">
        <v>7438</v>
      </c>
      <c r="F130" s="285" t="s">
        <v>5919</v>
      </c>
      <c r="G130" s="288">
        <v>45180.0</v>
      </c>
      <c r="H130" s="288">
        <v>45176.0</v>
      </c>
      <c r="I130" s="288">
        <v>45176.0</v>
      </c>
      <c r="J130" s="288">
        <v>45182.0</v>
      </c>
      <c r="K130" s="294"/>
      <c r="L130" s="294"/>
      <c r="M130" s="290" t="s">
        <v>7728</v>
      </c>
      <c r="N130" s="285" t="s">
        <v>497</v>
      </c>
      <c r="O130" s="299" t="s">
        <v>2554</v>
      </c>
      <c r="P130" s="300">
        <v>31196.25</v>
      </c>
      <c r="Q130" s="198"/>
      <c r="R130" s="198"/>
      <c r="S130" s="198"/>
      <c r="T130" s="198"/>
      <c r="U130" s="198"/>
      <c r="V130" s="198"/>
      <c r="W130" s="198"/>
      <c r="X130" s="198"/>
      <c r="Y130" s="198"/>
      <c r="Z130" s="198"/>
      <c r="AA130" s="198"/>
    </row>
    <row r="131" ht="68.25" customHeight="1">
      <c r="A131" s="370">
        <v>37988.0</v>
      </c>
      <c r="B131" s="299" t="s">
        <v>6501</v>
      </c>
      <c r="C131" s="285">
        <v>2595.0</v>
      </c>
      <c r="D131" s="285" t="s">
        <v>7729</v>
      </c>
      <c r="E131" s="287" t="s">
        <v>7730</v>
      </c>
      <c r="F131" s="285" t="s">
        <v>5919</v>
      </c>
      <c r="G131" s="288">
        <v>45180.0</v>
      </c>
      <c r="H131" s="288">
        <v>45176.0</v>
      </c>
      <c r="I131" s="288">
        <v>45176.0</v>
      </c>
      <c r="J131" s="288">
        <v>45188.0</v>
      </c>
      <c r="K131" s="294"/>
      <c r="L131" s="294"/>
      <c r="M131" s="290" t="s">
        <v>7731</v>
      </c>
      <c r="N131" s="285" t="s">
        <v>497</v>
      </c>
      <c r="O131" s="299" t="s">
        <v>2554</v>
      </c>
      <c r="P131" s="300">
        <v>46710.0</v>
      </c>
      <c r="Q131" s="198"/>
      <c r="R131" s="198"/>
      <c r="S131" s="198"/>
      <c r="T131" s="198"/>
      <c r="U131" s="198"/>
      <c r="V131" s="198"/>
      <c r="W131" s="198"/>
      <c r="X131" s="198"/>
      <c r="Y131" s="198"/>
      <c r="Z131" s="198"/>
      <c r="AA131" s="198"/>
    </row>
    <row r="132" ht="60.0" customHeight="1">
      <c r="A132" s="370">
        <v>37807.0</v>
      </c>
      <c r="B132" s="299" t="s">
        <v>715</v>
      </c>
      <c r="C132" s="285">
        <v>4356.0</v>
      </c>
      <c r="D132" s="285" t="s">
        <v>7732</v>
      </c>
      <c r="E132" s="287" t="s">
        <v>7523</v>
      </c>
      <c r="F132" s="285" t="s">
        <v>5919</v>
      </c>
      <c r="G132" s="288">
        <v>45180.0</v>
      </c>
      <c r="H132" s="288">
        <v>45178.0</v>
      </c>
      <c r="I132" s="288">
        <v>45175.0</v>
      </c>
      <c r="J132" s="288">
        <v>45187.0</v>
      </c>
      <c r="K132" s="294"/>
      <c r="L132" s="294"/>
      <c r="M132" s="290" t="s">
        <v>7733</v>
      </c>
      <c r="N132" s="285" t="s">
        <v>497</v>
      </c>
      <c r="O132" s="299" t="s">
        <v>2554</v>
      </c>
      <c r="P132" s="300">
        <v>30056.4</v>
      </c>
      <c r="Q132" s="198"/>
      <c r="R132" s="198"/>
      <c r="S132" s="198"/>
      <c r="T132" s="198"/>
      <c r="U132" s="198"/>
      <c r="V132" s="198"/>
      <c r="W132" s="198"/>
      <c r="X132" s="198"/>
      <c r="Y132" s="198"/>
      <c r="Z132" s="198"/>
      <c r="AA132" s="198"/>
    </row>
    <row r="133" ht="60.0" customHeight="1">
      <c r="A133" s="370">
        <v>38227.0</v>
      </c>
      <c r="B133" s="285" t="s">
        <v>21</v>
      </c>
      <c r="C133" s="285">
        <v>4850.0</v>
      </c>
      <c r="D133" s="285" t="s">
        <v>7734</v>
      </c>
      <c r="E133" s="287" t="s">
        <v>7735</v>
      </c>
      <c r="F133" s="285" t="s">
        <v>5919</v>
      </c>
      <c r="G133" s="288">
        <v>45180.0</v>
      </c>
      <c r="H133" s="288">
        <v>45173.0</v>
      </c>
      <c r="I133" s="288">
        <v>45173.0</v>
      </c>
      <c r="J133" s="288">
        <v>45183.0</v>
      </c>
      <c r="K133" s="294">
        <v>5539797.0</v>
      </c>
      <c r="L133" s="294" t="s">
        <v>7736</v>
      </c>
      <c r="M133" s="290" t="s">
        <v>7737</v>
      </c>
      <c r="N133" s="285" t="s">
        <v>4635</v>
      </c>
      <c r="O133" s="299" t="s">
        <v>2621</v>
      </c>
      <c r="P133" s="300">
        <v>37147.2</v>
      </c>
      <c r="Q133" s="198"/>
      <c r="R133" s="198"/>
      <c r="S133" s="198"/>
      <c r="T133" s="198"/>
      <c r="U133" s="198"/>
      <c r="V133" s="198"/>
      <c r="W133" s="198"/>
      <c r="X133" s="198"/>
      <c r="Y133" s="198"/>
      <c r="Z133" s="198"/>
      <c r="AA133" s="198"/>
    </row>
    <row r="134" ht="66.0" customHeight="1">
      <c r="A134" s="370">
        <v>38324.0</v>
      </c>
      <c r="B134" s="285" t="s">
        <v>21</v>
      </c>
      <c r="C134" s="285" t="s">
        <v>4993</v>
      </c>
      <c r="D134" s="285" t="s">
        <v>7738</v>
      </c>
      <c r="E134" s="287" t="s">
        <v>7739</v>
      </c>
      <c r="F134" s="285" t="s">
        <v>5919</v>
      </c>
      <c r="G134" s="288">
        <v>45179.0</v>
      </c>
      <c r="H134" s="288">
        <v>45176.0</v>
      </c>
      <c r="I134" s="288">
        <v>45176.0</v>
      </c>
      <c r="J134" s="288">
        <v>45183.0</v>
      </c>
      <c r="K134" s="425" t="s">
        <v>4841</v>
      </c>
      <c r="L134" s="294"/>
      <c r="M134" s="290" t="s">
        <v>7740</v>
      </c>
      <c r="N134" s="285" t="s">
        <v>4635</v>
      </c>
      <c r="O134" s="299" t="s">
        <v>2621</v>
      </c>
      <c r="P134" s="300">
        <v>25954.5</v>
      </c>
      <c r="Q134" s="198"/>
      <c r="R134" s="198"/>
      <c r="S134" s="198"/>
      <c r="T134" s="198"/>
      <c r="U134" s="198"/>
      <c r="V134" s="198"/>
      <c r="W134" s="198"/>
      <c r="X134" s="198"/>
      <c r="Y134" s="198"/>
      <c r="Z134" s="198"/>
      <c r="AA134" s="198"/>
    </row>
    <row r="135" ht="60.0" customHeight="1">
      <c r="A135" s="370">
        <v>38224.0</v>
      </c>
      <c r="B135" s="285" t="s">
        <v>21</v>
      </c>
      <c r="C135" s="285">
        <v>1185.0</v>
      </c>
      <c r="D135" s="285" t="s">
        <v>7741</v>
      </c>
      <c r="E135" s="287" t="s">
        <v>7742</v>
      </c>
      <c r="F135" s="285" t="s">
        <v>5919</v>
      </c>
      <c r="G135" s="288">
        <v>45179.0</v>
      </c>
      <c r="H135" s="288">
        <v>45175.0</v>
      </c>
      <c r="I135" s="288">
        <v>45175.0</v>
      </c>
      <c r="J135" s="288">
        <v>45188.0</v>
      </c>
      <c r="K135" s="294">
        <v>5539797.0</v>
      </c>
      <c r="L135" s="294" t="s">
        <v>7743</v>
      </c>
      <c r="M135" s="290" t="s">
        <v>7744</v>
      </c>
      <c r="N135" s="285" t="s">
        <v>4635</v>
      </c>
      <c r="O135" s="299" t="s">
        <v>2621</v>
      </c>
      <c r="P135" s="300">
        <v>64245.6</v>
      </c>
      <c r="Q135" s="198"/>
      <c r="R135" s="198"/>
      <c r="S135" s="198"/>
      <c r="T135" s="198"/>
      <c r="U135" s="198"/>
      <c r="V135" s="198"/>
      <c r="W135" s="198"/>
      <c r="X135" s="198"/>
      <c r="Y135" s="198"/>
      <c r="Z135" s="198"/>
      <c r="AA135" s="198"/>
    </row>
    <row r="136" ht="63.75" customHeight="1">
      <c r="A136" s="370">
        <v>37932.0</v>
      </c>
      <c r="B136" s="285" t="s">
        <v>21</v>
      </c>
      <c r="C136" s="285">
        <v>2036.0</v>
      </c>
      <c r="D136" s="285" t="s">
        <v>7745</v>
      </c>
      <c r="E136" s="287" t="s">
        <v>3812</v>
      </c>
      <c r="F136" s="285" t="s">
        <v>5919</v>
      </c>
      <c r="G136" s="288">
        <v>45178.0</v>
      </c>
      <c r="H136" s="288">
        <v>45173.0</v>
      </c>
      <c r="I136" s="288">
        <v>45173.0</v>
      </c>
      <c r="J136" s="288">
        <v>45183.0</v>
      </c>
      <c r="K136" s="425" t="s">
        <v>4841</v>
      </c>
      <c r="L136" s="294"/>
      <c r="M136" s="290" t="s">
        <v>7746</v>
      </c>
      <c r="N136" s="285" t="s">
        <v>497</v>
      </c>
      <c r="O136" s="299" t="s">
        <v>4662</v>
      </c>
      <c r="P136" s="300">
        <v>145467.0</v>
      </c>
      <c r="Q136" s="198"/>
      <c r="R136" s="198"/>
      <c r="S136" s="198"/>
      <c r="T136" s="198"/>
      <c r="U136" s="198"/>
      <c r="V136" s="198"/>
      <c r="W136" s="198"/>
      <c r="X136" s="198"/>
      <c r="Y136" s="198"/>
      <c r="Z136" s="198"/>
      <c r="AA136" s="198"/>
    </row>
    <row r="137" ht="63.75" customHeight="1">
      <c r="A137" s="370">
        <v>37984.0</v>
      </c>
      <c r="B137" s="285" t="s">
        <v>21</v>
      </c>
      <c r="C137" s="285">
        <v>1250.0</v>
      </c>
      <c r="D137" s="285" t="s">
        <v>7747</v>
      </c>
      <c r="E137" s="287" t="s">
        <v>4637</v>
      </c>
      <c r="F137" s="285" t="s">
        <v>5919</v>
      </c>
      <c r="G137" s="288">
        <v>45178.0</v>
      </c>
      <c r="H137" s="288">
        <v>45174.0</v>
      </c>
      <c r="I137" s="288">
        <v>45174.0</v>
      </c>
      <c r="J137" s="288">
        <v>45183.0</v>
      </c>
      <c r="K137" s="294">
        <v>5539797.0</v>
      </c>
      <c r="L137" s="294" t="s">
        <v>7743</v>
      </c>
      <c r="M137" s="290" t="s">
        <v>7748</v>
      </c>
      <c r="N137" s="285" t="s">
        <v>497</v>
      </c>
      <c r="O137" s="299" t="s">
        <v>2554</v>
      </c>
      <c r="P137" s="300">
        <v>36250.0</v>
      </c>
      <c r="Q137" s="198"/>
      <c r="R137" s="198"/>
      <c r="S137" s="198"/>
      <c r="T137" s="198"/>
      <c r="U137" s="198"/>
      <c r="V137" s="198"/>
      <c r="W137" s="198"/>
      <c r="X137" s="198"/>
      <c r="Y137" s="198"/>
      <c r="Z137" s="198"/>
      <c r="AA137" s="198"/>
    </row>
    <row r="138" ht="57.75" customHeight="1">
      <c r="A138" s="370">
        <v>37808.0</v>
      </c>
      <c r="B138" s="299" t="s">
        <v>25</v>
      </c>
      <c r="C138" s="285">
        <v>4356.0</v>
      </c>
      <c r="D138" s="285" t="s">
        <v>7749</v>
      </c>
      <c r="E138" s="287" t="s">
        <v>7750</v>
      </c>
      <c r="F138" s="285" t="s">
        <v>5919</v>
      </c>
      <c r="G138" s="288">
        <v>45176.0</v>
      </c>
      <c r="H138" s="288">
        <v>45173.0</v>
      </c>
      <c r="I138" s="288">
        <v>45173.0</v>
      </c>
      <c r="J138" s="288">
        <v>45180.0</v>
      </c>
      <c r="K138" s="294"/>
      <c r="L138" s="294"/>
      <c r="M138" s="290" t="s">
        <v>7751</v>
      </c>
      <c r="N138" s="285" t="s">
        <v>497</v>
      </c>
      <c r="O138" s="299" t="s">
        <v>2554</v>
      </c>
      <c r="P138" s="300">
        <v>30056.4</v>
      </c>
      <c r="Q138" s="198"/>
      <c r="R138" s="198"/>
      <c r="S138" s="198"/>
      <c r="T138" s="198"/>
      <c r="U138" s="198"/>
      <c r="V138" s="198"/>
      <c r="W138" s="198"/>
      <c r="X138" s="198"/>
      <c r="Y138" s="198"/>
      <c r="Z138" s="198"/>
      <c r="AA138" s="198"/>
    </row>
    <row r="139" ht="57.75" customHeight="1">
      <c r="A139" s="370">
        <v>38222.0</v>
      </c>
      <c r="B139" s="285" t="s">
        <v>21</v>
      </c>
      <c r="C139" s="285">
        <v>1185.0</v>
      </c>
      <c r="D139" s="285" t="s">
        <v>7752</v>
      </c>
      <c r="E139" s="287" t="s">
        <v>7753</v>
      </c>
      <c r="F139" s="285" t="s">
        <v>5919</v>
      </c>
      <c r="G139" s="288">
        <v>45175.0</v>
      </c>
      <c r="H139" s="288">
        <v>45169.0</v>
      </c>
      <c r="I139" s="288">
        <v>45169.0</v>
      </c>
      <c r="J139" s="288">
        <v>45180.0</v>
      </c>
      <c r="K139" s="294">
        <v>5539797.0</v>
      </c>
      <c r="L139" s="294" t="s">
        <v>7541</v>
      </c>
      <c r="M139" s="290" t="s">
        <v>7754</v>
      </c>
      <c r="N139" s="285" t="s">
        <v>4635</v>
      </c>
      <c r="O139" s="299" t="s">
        <v>2621</v>
      </c>
      <c r="P139" s="300">
        <v>65036.15</v>
      </c>
      <c r="Q139" s="198"/>
      <c r="R139" s="198"/>
      <c r="S139" s="198"/>
      <c r="T139" s="198"/>
      <c r="U139" s="198"/>
      <c r="V139" s="198"/>
      <c r="W139" s="198"/>
      <c r="X139" s="198"/>
      <c r="Y139" s="198"/>
      <c r="Z139" s="198"/>
      <c r="AA139" s="198"/>
    </row>
    <row r="140" ht="63.75" customHeight="1">
      <c r="A140" s="370">
        <v>37933.0</v>
      </c>
      <c r="B140" s="299" t="s">
        <v>25</v>
      </c>
      <c r="C140" s="285">
        <v>2006.0</v>
      </c>
      <c r="D140" s="285" t="s">
        <v>7755</v>
      </c>
      <c r="E140" s="287" t="s">
        <v>3812</v>
      </c>
      <c r="F140" s="285" t="s">
        <v>5919</v>
      </c>
      <c r="G140" s="288">
        <v>45174.0</v>
      </c>
      <c r="H140" s="288">
        <v>45169.0</v>
      </c>
      <c r="I140" s="288">
        <v>45169.0</v>
      </c>
      <c r="J140" s="288">
        <v>45176.0</v>
      </c>
      <c r="K140" s="294"/>
      <c r="L140" s="294"/>
      <c r="M140" s="290" t="s">
        <v>7756</v>
      </c>
      <c r="N140" s="285" t="s">
        <v>497</v>
      </c>
      <c r="O140" s="299" t="s">
        <v>4662</v>
      </c>
      <c r="P140" s="300">
        <v>145342.0</v>
      </c>
      <c r="Q140" s="198"/>
      <c r="R140" s="198"/>
      <c r="S140" s="198"/>
      <c r="T140" s="198"/>
      <c r="U140" s="198"/>
      <c r="V140" s="198"/>
      <c r="W140" s="198"/>
      <c r="X140" s="198"/>
      <c r="Y140" s="198"/>
      <c r="Z140" s="198"/>
      <c r="AA140" s="198"/>
    </row>
    <row r="141" ht="57.75" customHeight="1">
      <c r="A141" s="370">
        <v>37854.0</v>
      </c>
      <c r="B141" s="299" t="s">
        <v>715</v>
      </c>
      <c r="C141" s="285">
        <v>2413.0</v>
      </c>
      <c r="D141" s="285" t="s">
        <v>7757</v>
      </c>
      <c r="E141" s="287" t="s">
        <v>7448</v>
      </c>
      <c r="F141" s="285" t="s">
        <v>5919</v>
      </c>
      <c r="G141" s="288">
        <v>45174.0</v>
      </c>
      <c r="H141" s="288">
        <v>45168.0</v>
      </c>
      <c r="I141" s="288">
        <v>45168.0</v>
      </c>
      <c r="J141" s="288">
        <v>45177.0</v>
      </c>
      <c r="K141" s="294"/>
      <c r="L141" s="294"/>
      <c r="M141" s="290" t="s">
        <v>7758</v>
      </c>
      <c r="N141" s="285" t="s">
        <v>497</v>
      </c>
      <c r="O141" s="299" t="s">
        <v>2554</v>
      </c>
      <c r="P141" s="300">
        <v>42951.2</v>
      </c>
      <c r="Q141" s="198"/>
      <c r="R141" s="198"/>
      <c r="S141" s="198"/>
      <c r="T141" s="198"/>
      <c r="U141" s="198"/>
      <c r="V141" s="198"/>
      <c r="W141" s="198"/>
      <c r="X141" s="198"/>
      <c r="Y141" s="198"/>
      <c r="Z141" s="198"/>
      <c r="AA141" s="198"/>
    </row>
    <row r="142" ht="57.75" customHeight="1">
      <c r="A142" s="370">
        <v>37755.0</v>
      </c>
      <c r="B142" s="299" t="s">
        <v>715</v>
      </c>
      <c r="C142" s="285">
        <v>2275.0</v>
      </c>
      <c r="D142" s="285" t="s">
        <v>7759</v>
      </c>
      <c r="E142" s="287" t="s">
        <v>7760</v>
      </c>
      <c r="F142" s="285" t="s">
        <v>5919</v>
      </c>
      <c r="G142" s="288">
        <v>45174.0</v>
      </c>
      <c r="H142" s="288">
        <v>45168.0</v>
      </c>
      <c r="I142" s="288">
        <v>45168.0</v>
      </c>
      <c r="J142" s="288">
        <v>45180.0</v>
      </c>
      <c r="K142" s="294"/>
      <c r="L142" s="294"/>
      <c r="M142" s="290" t="s">
        <v>7761</v>
      </c>
      <c r="N142" s="285" t="s">
        <v>497</v>
      </c>
      <c r="O142" s="299" t="s">
        <v>2554</v>
      </c>
      <c r="P142" s="300">
        <v>30485.0</v>
      </c>
      <c r="Q142" s="198"/>
      <c r="R142" s="198"/>
      <c r="S142" s="198"/>
      <c r="T142" s="198"/>
      <c r="U142" s="198"/>
      <c r="V142" s="198"/>
      <c r="W142" s="198"/>
      <c r="X142" s="198"/>
      <c r="Y142" s="198"/>
      <c r="Z142" s="198"/>
      <c r="AA142" s="198"/>
    </row>
    <row r="143" ht="57.75" customHeight="1">
      <c r="A143" s="370">
        <v>38254.0</v>
      </c>
      <c r="B143" s="285" t="s">
        <v>21</v>
      </c>
      <c r="C143" s="285">
        <v>1120.0</v>
      </c>
      <c r="D143" s="285" t="s">
        <v>7762</v>
      </c>
      <c r="E143" s="287" t="s">
        <v>7179</v>
      </c>
      <c r="F143" s="285" t="s">
        <v>5919</v>
      </c>
      <c r="G143" s="288">
        <v>45174.0</v>
      </c>
      <c r="H143" s="288">
        <v>45168.0</v>
      </c>
      <c r="I143" s="288">
        <v>45168.0</v>
      </c>
      <c r="J143" s="288">
        <v>45180.0</v>
      </c>
      <c r="K143" s="294">
        <v>5539797.0</v>
      </c>
      <c r="L143" s="294" t="s">
        <v>7763</v>
      </c>
      <c r="M143" s="290" t="s">
        <v>7764</v>
      </c>
      <c r="N143" s="285" t="s">
        <v>4635</v>
      </c>
      <c r="O143" s="299" t="s">
        <v>2621</v>
      </c>
      <c r="P143" s="300">
        <v>82201.6</v>
      </c>
      <c r="Q143" s="198"/>
      <c r="R143" s="198"/>
      <c r="S143" s="198"/>
      <c r="T143" s="198"/>
      <c r="U143" s="198"/>
      <c r="V143" s="198"/>
      <c r="W143" s="198"/>
      <c r="X143" s="198"/>
      <c r="Y143" s="198"/>
      <c r="Z143" s="198"/>
      <c r="AA143" s="198"/>
    </row>
    <row r="144" ht="57.75" customHeight="1">
      <c r="A144" s="370">
        <v>37850.0</v>
      </c>
      <c r="B144" s="299" t="s">
        <v>715</v>
      </c>
      <c r="C144" s="285">
        <v>1250.0</v>
      </c>
      <c r="D144" s="285" t="s">
        <v>7765</v>
      </c>
      <c r="E144" s="287" t="s">
        <v>4637</v>
      </c>
      <c r="F144" s="285" t="s">
        <v>5919</v>
      </c>
      <c r="G144" s="288">
        <v>45172.0</v>
      </c>
      <c r="H144" s="288">
        <v>45167.0</v>
      </c>
      <c r="I144" s="288">
        <v>45167.0</v>
      </c>
      <c r="J144" s="288">
        <v>45175.0</v>
      </c>
      <c r="K144" s="294"/>
      <c r="L144" s="294"/>
      <c r="M144" s="290" t="s">
        <v>7766</v>
      </c>
      <c r="N144" s="285" t="s">
        <v>497</v>
      </c>
      <c r="O144" s="299" t="s">
        <v>2554</v>
      </c>
      <c r="P144" s="300">
        <v>36250.0</v>
      </c>
      <c r="Q144" s="198"/>
      <c r="R144" s="198"/>
      <c r="S144" s="198"/>
      <c r="T144" s="198"/>
      <c r="U144" s="198"/>
      <c r="V144" s="198"/>
      <c r="W144" s="198"/>
      <c r="X144" s="198"/>
      <c r="Y144" s="198"/>
      <c r="Z144" s="198"/>
      <c r="AA144" s="198"/>
    </row>
    <row r="145" ht="57.75" customHeight="1">
      <c r="A145" s="370">
        <v>38024.0</v>
      </c>
      <c r="B145" s="299" t="s">
        <v>25</v>
      </c>
      <c r="C145" s="285">
        <v>1078.0</v>
      </c>
      <c r="D145" s="285" t="s">
        <v>7767</v>
      </c>
      <c r="E145" s="287" t="s">
        <v>7768</v>
      </c>
      <c r="F145" s="285" t="s">
        <v>5919</v>
      </c>
      <c r="G145" s="288">
        <v>45170.0</v>
      </c>
      <c r="H145" s="288">
        <v>45167.0</v>
      </c>
      <c r="I145" s="288">
        <v>45167.0</v>
      </c>
      <c r="J145" s="288">
        <v>45177.0</v>
      </c>
      <c r="K145" s="294"/>
      <c r="L145" s="294"/>
      <c r="M145" s="290" t="s">
        <v>7769</v>
      </c>
      <c r="N145" s="285" t="s">
        <v>497</v>
      </c>
      <c r="O145" s="299" t="s">
        <v>4853</v>
      </c>
      <c r="P145" s="300">
        <v>34189.3</v>
      </c>
      <c r="Q145" s="198"/>
      <c r="R145" s="198"/>
      <c r="S145" s="198"/>
      <c r="T145" s="198"/>
      <c r="U145" s="198"/>
      <c r="V145" s="198"/>
      <c r="W145" s="198"/>
      <c r="X145" s="198"/>
      <c r="Y145" s="198"/>
      <c r="Z145" s="198"/>
      <c r="AA145" s="198"/>
    </row>
    <row r="146" ht="57.75" customHeight="1">
      <c r="A146" s="370">
        <v>37942.0</v>
      </c>
      <c r="B146" s="285" t="s">
        <v>21</v>
      </c>
      <c r="C146" s="285">
        <v>970.0</v>
      </c>
      <c r="D146" s="285" t="s">
        <v>7770</v>
      </c>
      <c r="E146" s="287" t="s">
        <v>2751</v>
      </c>
      <c r="F146" s="285" t="s">
        <v>5919</v>
      </c>
      <c r="G146" s="288">
        <v>45168.0</v>
      </c>
      <c r="H146" s="288">
        <v>45159.0</v>
      </c>
      <c r="I146" s="288">
        <v>45159.0</v>
      </c>
      <c r="J146" s="288">
        <v>45176.0</v>
      </c>
      <c r="K146" s="294">
        <v>5539797.0</v>
      </c>
      <c r="L146" s="294" t="s">
        <v>7743</v>
      </c>
      <c r="M146" s="290" t="s">
        <v>7771</v>
      </c>
      <c r="N146" s="285" t="s">
        <v>6366</v>
      </c>
      <c r="O146" s="299" t="s">
        <v>2621</v>
      </c>
      <c r="P146" s="300">
        <v>37783.0</v>
      </c>
      <c r="Q146" s="198"/>
      <c r="R146" s="198"/>
      <c r="S146" s="198"/>
      <c r="T146" s="198"/>
      <c r="U146" s="198"/>
      <c r="V146" s="198"/>
      <c r="W146" s="198"/>
      <c r="X146" s="198"/>
      <c r="Y146" s="198"/>
      <c r="Z146" s="198"/>
      <c r="AA146" s="198"/>
    </row>
    <row r="147" ht="61.5" customHeight="1">
      <c r="A147" s="370">
        <v>37791.0</v>
      </c>
      <c r="B147" s="285" t="s">
        <v>21</v>
      </c>
      <c r="C147" s="285">
        <v>2578.0</v>
      </c>
      <c r="D147" s="285" t="s">
        <v>7772</v>
      </c>
      <c r="E147" s="287" t="s">
        <v>7773</v>
      </c>
      <c r="F147" s="285" t="s">
        <v>5919</v>
      </c>
      <c r="G147" s="288">
        <v>45167.0</v>
      </c>
      <c r="H147" s="288">
        <v>45162.0</v>
      </c>
      <c r="I147" s="288">
        <v>45162.0</v>
      </c>
      <c r="J147" s="288">
        <v>45175.0</v>
      </c>
      <c r="K147" s="294">
        <v>5539797.0</v>
      </c>
      <c r="L147" s="294" t="s">
        <v>7774</v>
      </c>
      <c r="M147" s="290" t="s">
        <v>7775</v>
      </c>
      <c r="N147" s="285" t="s">
        <v>497</v>
      </c>
      <c r="O147" s="299" t="s">
        <v>2554</v>
      </c>
      <c r="P147" s="300">
        <v>57489.4</v>
      </c>
      <c r="Q147" s="198"/>
      <c r="R147" s="198"/>
      <c r="S147" s="198"/>
      <c r="T147" s="198"/>
      <c r="U147" s="198"/>
      <c r="V147" s="198"/>
      <c r="W147" s="198"/>
      <c r="X147" s="198"/>
      <c r="Y147" s="198"/>
      <c r="Z147" s="198"/>
      <c r="AA147" s="198"/>
    </row>
    <row r="148" ht="63.0" customHeight="1">
      <c r="A148" s="370">
        <v>38150.0</v>
      </c>
      <c r="B148" s="299" t="s">
        <v>715</v>
      </c>
      <c r="C148" s="285">
        <v>900.0</v>
      </c>
      <c r="D148" s="285" t="s">
        <v>7776</v>
      </c>
      <c r="E148" s="287" t="s">
        <v>3740</v>
      </c>
      <c r="F148" s="285" t="s">
        <v>5919</v>
      </c>
      <c r="G148" s="288">
        <v>45167.0</v>
      </c>
      <c r="H148" s="288">
        <v>45162.0</v>
      </c>
      <c r="I148" s="288">
        <v>45162.0</v>
      </c>
      <c r="J148" s="288">
        <v>45174.0</v>
      </c>
      <c r="K148" s="294"/>
      <c r="L148" s="294"/>
      <c r="M148" s="290" t="s">
        <v>7777</v>
      </c>
      <c r="N148" s="285" t="s">
        <v>497</v>
      </c>
      <c r="O148" s="299" t="s">
        <v>4711</v>
      </c>
      <c r="P148" s="300">
        <v>19084.86</v>
      </c>
      <c r="Q148" s="198"/>
      <c r="R148" s="198"/>
      <c r="S148" s="198"/>
      <c r="T148" s="198"/>
      <c r="U148" s="198"/>
      <c r="V148" s="198"/>
      <c r="W148" s="198"/>
      <c r="X148" s="198"/>
      <c r="Y148" s="198"/>
      <c r="Z148" s="198"/>
      <c r="AA148" s="198"/>
    </row>
    <row r="149" ht="64.5" customHeight="1">
      <c r="A149" s="370">
        <v>38171.0</v>
      </c>
      <c r="B149" s="285" t="s">
        <v>21</v>
      </c>
      <c r="C149" s="285">
        <v>3088.0</v>
      </c>
      <c r="D149" s="285" t="s">
        <v>7778</v>
      </c>
      <c r="E149" s="287" t="s">
        <v>7779</v>
      </c>
      <c r="F149" s="285" t="s">
        <v>5919</v>
      </c>
      <c r="G149" s="288">
        <v>45167.0</v>
      </c>
      <c r="H149" s="288">
        <v>45162.0</v>
      </c>
      <c r="I149" s="288">
        <v>45162.0</v>
      </c>
      <c r="J149" s="288">
        <v>45174.0</v>
      </c>
      <c r="K149" s="425" t="s">
        <v>4841</v>
      </c>
      <c r="L149" s="294"/>
      <c r="M149" s="290" t="s">
        <v>7780</v>
      </c>
      <c r="N149" s="285" t="s">
        <v>497</v>
      </c>
      <c r="O149" s="299" t="s">
        <v>2621</v>
      </c>
      <c r="P149" s="300">
        <v>36932.58</v>
      </c>
      <c r="Q149" s="198"/>
      <c r="R149" s="198"/>
      <c r="S149" s="198"/>
      <c r="T149" s="198"/>
      <c r="U149" s="198"/>
      <c r="V149" s="198"/>
      <c r="W149" s="198"/>
      <c r="X149" s="198"/>
      <c r="Y149" s="198"/>
      <c r="Z149" s="198"/>
      <c r="AA149" s="198"/>
    </row>
    <row r="150" ht="61.5" customHeight="1">
      <c r="A150" s="370">
        <v>38208.0</v>
      </c>
      <c r="B150" s="285" t="s">
        <v>715</v>
      </c>
      <c r="C150" s="285">
        <v>1050.0</v>
      </c>
      <c r="D150" s="285" t="s">
        <v>7781</v>
      </c>
      <c r="E150" s="287" t="s">
        <v>7782</v>
      </c>
      <c r="F150" s="285" t="s">
        <v>5919</v>
      </c>
      <c r="G150" s="288">
        <v>45167.0</v>
      </c>
      <c r="H150" s="288">
        <v>45160.0</v>
      </c>
      <c r="I150" s="288">
        <v>45160.0</v>
      </c>
      <c r="J150" s="288">
        <v>45174.0</v>
      </c>
      <c r="K150" s="294"/>
      <c r="L150" s="294"/>
      <c r="M150" s="290" t="s">
        <v>7783</v>
      </c>
      <c r="N150" s="285" t="s">
        <v>4635</v>
      </c>
      <c r="O150" s="299" t="s">
        <v>2621</v>
      </c>
      <c r="P150" s="300">
        <v>34474.5</v>
      </c>
      <c r="Q150" s="198"/>
      <c r="R150" s="198"/>
      <c r="S150" s="198"/>
      <c r="T150" s="198"/>
      <c r="U150" s="198"/>
      <c r="V150" s="198"/>
      <c r="W150" s="198"/>
      <c r="X150" s="198"/>
      <c r="Y150" s="198"/>
      <c r="Z150" s="198"/>
      <c r="AA150" s="198"/>
    </row>
    <row r="151" ht="57.75" customHeight="1">
      <c r="A151" s="370">
        <v>37953.0</v>
      </c>
      <c r="B151" s="285" t="s">
        <v>715</v>
      </c>
      <c r="C151" s="285">
        <v>1380.0</v>
      </c>
      <c r="D151" s="285" t="s">
        <v>7784</v>
      </c>
      <c r="E151" s="287" t="s">
        <v>5198</v>
      </c>
      <c r="F151" s="285" t="s">
        <v>5919</v>
      </c>
      <c r="G151" s="288">
        <v>45164.0</v>
      </c>
      <c r="H151" s="288">
        <v>45159.0</v>
      </c>
      <c r="I151" s="288">
        <v>45159.0</v>
      </c>
      <c r="J151" s="288">
        <v>45167.0</v>
      </c>
      <c r="K151" s="294"/>
      <c r="L151" s="294"/>
      <c r="M151" s="290" t="s">
        <v>7785</v>
      </c>
      <c r="N151" s="285" t="s">
        <v>497</v>
      </c>
      <c r="O151" s="299" t="s">
        <v>2621</v>
      </c>
      <c r="P151" s="300">
        <v>48258.0</v>
      </c>
      <c r="Q151" s="198"/>
      <c r="R151" s="198"/>
      <c r="S151" s="198"/>
      <c r="T151" s="198"/>
      <c r="U151" s="198"/>
      <c r="V151" s="198"/>
      <c r="W151" s="198"/>
      <c r="X151" s="198"/>
      <c r="Y151" s="198"/>
      <c r="Z151" s="198"/>
      <c r="AA151" s="198"/>
    </row>
    <row r="152" ht="57.75" customHeight="1">
      <c r="A152" s="370">
        <v>38183.0</v>
      </c>
      <c r="B152" s="285" t="s">
        <v>715</v>
      </c>
      <c r="C152" s="285">
        <v>940.0</v>
      </c>
      <c r="D152" s="285" t="s">
        <v>7786</v>
      </c>
      <c r="E152" s="287" t="s">
        <v>7658</v>
      </c>
      <c r="F152" s="285" t="s">
        <v>5919</v>
      </c>
      <c r="G152" s="288">
        <v>45164.0</v>
      </c>
      <c r="H152" s="288">
        <v>45159.0</v>
      </c>
      <c r="I152" s="288">
        <v>45159.0</v>
      </c>
      <c r="J152" s="288">
        <v>45168.0</v>
      </c>
      <c r="K152" s="294"/>
      <c r="L152" s="294"/>
      <c r="M152" s="290" t="s">
        <v>7787</v>
      </c>
      <c r="N152" s="285" t="s">
        <v>4635</v>
      </c>
      <c r="O152" s="299" t="s">
        <v>2621</v>
      </c>
      <c r="P152" s="300">
        <v>43738.2</v>
      </c>
      <c r="Q152" s="198"/>
      <c r="R152" s="198"/>
      <c r="S152" s="198"/>
      <c r="T152" s="198"/>
      <c r="U152" s="198"/>
      <c r="V152" s="198"/>
      <c r="W152" s="198"/>
      <c r="X152" s="198"/>
      <c r="Y152" s="198"/>
      <c r="Z152" s="198"/>
      <c r="AA152" s="198"/>
    </row>
    <row r="153" ht="72.75" customHeight="1">
      <c r="A153" s="370">
        <v>38157.0</v>
      </c>
      <c r="B153" s="299" t="s">
        <v>25</v>
      </c>
      <c r="C153" s="285" t="s">
        <v>7788</v>
      </c>
      <c r="D153" s="285" t="s">
        <v>7789</v>
      </c>
      <c r="E153" s="287" t="s">
        <v>7790</v>
      </c>
      <c r="F153" s="285" t="s">
        <v>5919</v>
      </c>
      <c r="G153" s="288">
        <v>45162.0</v>
      </c>
      <c r="H153" s="285" t="s">
        <v>4841</v>
      </c>
      <c r="I153" s="285" t="s">
        <v>4841</v>
      </c>
      <c r="J153" s="288">
        <v>45175.0</v>
      </c>
      <c r="K153" s="294"/>
      <c r="L153" s="294"/>
      <c r="M153" s="290" t="s">
        <v>7791</v>
      </c>
      <c r="N153" s="285" t="s">
        <v>497</v>
      </c>
      <c r="O153" s="299" t="s">
        <v>2538</v>
      </c>
      <c r="P153" s="300">
        <v>53280.0</v>
      </c>
      <c r="Q153" s="198"/>
      <c r="R153" s="198"/>
      <c r="S153" s="198"/>
      <c r="T153" s="198"/>
      <c r="U153" s="198"/>
      <c r="V153" s="198"/>
      <c r="W153" s="198"/>
      <c r="X153" s="198"/>
      <c r="Y153" s="198"/>
      <c r="Z153" s="198"/>
      <c r="AA153" s="198"/>
    </row>
    <row r="154" ht="63.75" customHeight="1">
      <c r="A154" s="370">
        <v>38166.0</v>
      </c>
      <c r="B154" s="299" t="s">
        <v>25</v>
      </c>
      <c r="C154" s="285">
        <v>1950.0</v>
      </c>
      <c r="D154" s="285" t="s">
        <v>7792</v>
      </c>
      <c r="E154" s="287" t="s">
        <v>6582</v>
      </c>
      <c r="F154" s="285" t="s">
        <v>5919</v>
      </c>
      <c r="G154" s="288">
        <v>45162.0</v>
      </c>
      <c r="H154" s="288">
        <v>45158.0</v>
      </c>
      <c r="I154" s="288">
        <v>45158.0</v>
      </c>
      <c r="J154" s="288">
        <v>45170.0</v>
      </c>
      <c r="K154" s="294"/>
      <c r="L154" s="294"/>
      <c r="M154" s="290" t="s">
        <v>7793</v>
      </c>
      <c r="N154" s="285" t="s">
        <v>497</v>
      </c>
      <c r="O154" s="299" t="s">
        <v>2621</v>
      </c>
      <c r="P154" s="300">
        <v>23484.21</v>
      </c>
      <c r="Q154" s="198"/>
      <c r="R154" s="198"/>
      <c r="S154" s="198"/>
      <c r="T154" s="198"/>
      <c r="U154" s="198"/>
      <c r="V154" s="198"/>
      <c r="W154" s="198"/>
      <c r="X154" s="198"/>
      <c r="Y154" s="198"/>
      <c r="Z154" s="198"/>
      <c r="AA154" s="198"/>
    </row>
    <row r="155" ht="57.75" customHeight="1">
      <c r="A155" s="370">
        <v>37821.0</v>
      </c>
      <c r="B155" s="285" t="s">
        <v>21</v>
      </c>
      <c r="C155" s="285">
        <v>2275.0</v>
      </c>
      <c r="D155" s="285" t="s">
        <v>7794</v>
      </c>
      <c r="E155" s="287" t="s">
        <v>7760</v>
      </c>
      <c r="F155" s="285" t="s">
        <v>5919</v>
      </c>
      <c r="G155" s="288">
        <v>45161.0</v>
      </c>
      <c r="H155" s="288">
        <v>45155.0</v>
      </c>
      <c r="I155" s="288">
        <v>45155.0</v>
      </c>
      <c r="J155" s="288">
        <v>45166.0</v>
      </c>
      <c r="K155" s="294">
        <v>5539797.0</v>
      </c>
      <c r="L155" s="294" t="s">
        <v>7672</v>
      </c>
      <c r="M155" s="290" t="s">
        <v>7795</v>
      </c>
      <c r="N155" s="285" t="s">
        <v>497</v>
      </c>
      <c r="O155" s="299" t="s">
        <v>2554</v>
      </c>
      <c r="P155" s="300">
        <v>30485.0</v>
      </c>
      <c r="Q155" s="198"/>
      <c r="R155" s="198"/>
      <c r="S155" s="198"/>
      <c r="T155" s="198"/>
      <c r="U155" s="198"/>
      <c r="V155" s="198"/>
      <c r="W155" s="198"/>
      <c r="X155" s="198"/>
      <c r="Y155" s="198"/>
      <c r="Z155" s="198"/>
      <c r="AA155" s="198"/>
    </row>
    <row r="156" ht="57.75" customHeight="1">
      <c r="A156" s="370">
        <v>37851.0</v>
      </c>
      <c r="B156" s="285" t="s">
        <v>21</v>
      </c>
      <c r="C156" s="285">
        <v>4230.0</v>
      </c>
      <c r="D156" s="285" t="s">
        <v>7796</v>
      </c>
      <c r="E156" s="287" t="s">
        <v>7438</v>
      </c>
      <c r="F156" s="285" t="s">
        <v>5919</v>
      </c>
      <c r="G156" s="288">
        <v>45161.0</v>
      </c>
      <c r="H156" s="288">
        <v>45155.0</v>
      </c>
      <c r="I156" s="288">
        <v>45155.0</v>
      </c>
      <c r="J156" s="288">
        <v>45167.0</v>
      </c>
      <c r="K156" s="294">
        <v>5539797.0</v>
      </c>
      <c r="L156" s="294" t="s">
        <v>7672</v>
      </c>
      <c r="M156" s="290" t="s">
        <v>7797</v>
      </c>
      <c r="N156" s="285" t="s">
        <v>497</v>
      </c>
      <c r="O156" s="299" t="s">
        <v>2554</v>
      </c>
      <c r="P156" s="300">
        <v>31196.25</v>
      </c>
      <c r="Q156" s="198"/>
      <c r="R156" s="198"/>
      <c r="S156" s="198"/>
      <c r="T156" s="198"/>
      <c r="U156" s="198"/>
      <c r="V156" s="198"/>
      <c r="W156" s="198"/>
      <c r="X156" s="198"/>
      <c r="Y156" s="198"/>
      <c r="Z156" s="198"/>
      <c r="AA156" s="198"/>
    </row>
    <row r="157" ht="57.75" customHeight="1">
      <c r="A157" s="370">
        <v>37848.0</v>
      </c>
      <c r="B157" s="285" t="s">
        <v>21</v>
      </c>
      <c r="C157" s="285">
        <v>1250.0</v>
      </c>
      <c r="D157" s="285" t="s">
        <v>7798</v>
      </c>
      <c r="E157" s="287" t="s">
        <v>4637</v>
      </c>
      <c r="F157" s="285" t="s">
        <v>5919</v>
      </c>
      <c r="G157" s="288">
        <v>45161.0</v>
      </c>
      <c r="H157" s="288">
        <v>45155.0</v>
      </c>
      <c r="I157" s="288">
        <v>45155.0</v>
      </c>
      <c r="J157" s="288">
        <v>45168.0</v>
      </c>
      <c r="K157" s="294">
        <v>5539797.0</v>
      </c>
      <c r="L157" s="294" t="s">
        <v>7672</v>
      </c>
      <c r="M157" s="290" t="s">
        <v>7799</v>
      </c>
      <c r="N157" s="285" t="s">
        <v>497</v>
      </c>
      <c r="O157" s="299" t="s">
        <v>2554</v>
      </c>
      <c r="P157" s="300">
        <v>36250.0</v>
      </c>
      <c r="Q157" s="198"/>
      <c r="R157" s="198"/>
      <c r="S157" s="198"/>
      <c r="T157" s="198"/>
      <c r="U157" s="198"/>
      <c r="V157" s="198"/>
      <c r="W157" s="198"/>
      <c r="X157" s="198"/>
      <c r="Y157" s="198"/>
      <c r="Z157" s="198"/>
      <c r="AA157" s="198"/>
    </row>
    <row r="158" ht="67.5" customHeight="1">
      <c r="A158" s="370">
        <v>37823.0</v>
      </c>
      <c r="B158" s="299" t="s">
        <v>715</v>
      </c>
      <c r="C158" s="285">
        <v>2275.0</v>
      </c>
      <c r="D158" s="285" t="s">
        <v>7800</v>
      </c>
      <c r="E158" s="287" t="s">
        <v>4667</v>
      </c>
      <c r="F158" s="285" t="s">
        <v>5919</v>
      </c>
      <c r="G158" s="288">
        <v>45159.0</v>
      </c>
      <c r="H158" s="288">
        <v>45154.0</v>
      </c>
      <c r="I158" s="288">
        <v>45154.0</v>
      </c>
      <c r="J158" s="288">
        <v>45162.0</v>
      </c>
      <c r="K158" s="294"/>
      <c r="L158" s="294"/>
      <c r="M158" s="290" t="s">
        <v>7801</v>
      </c>
      <c r="N158" s="285" t="s">
        <v>497</v>
      </c>
      <c r="O158" s="299" t="s">
        <v>2554</v>
      </c>
      <c r="P158" s="300">
        <v>31280.9</v>
      </c>
      <c r="Q158" s="198"/>
      <c r="R158" s="198"/>
      <c r="S158" s="198"/>
      <c r="T158" s="198"/>
      <c r="U158" s="198"/>
      <c r="V158" s="198"/>
      <c r="W158" s="198"/>
      <c r="X158" s="198"/>
      <c r="Y158" s="198"/>
      <c r="Z158" s="198"/>
      <c r="AA158" s="198"/>
    </row>
    <row r="159" ht="93.75" customHeight="1">
      <c r="A159" s="370">
        <v>37806.0</v>
      </c>
      <c r="B159" s="299" t="s">
        <v>25</v>
      </c>
      <c r="C159" s="285">
        <v>2390.0</v>
      </c>
      <c r="D159" s="285" t="s">
        <v>7802</v>
      </c>
      <c r="E159" s="287" t="s">
        <v>7803</v>
      </c>
      <c r="F159" s="285" t="s">
        <v>5919</v>
      </c>
      <c r="G159" s="288">
        <v>45156.0</v>
      </c>
      <c r="H159" s="288">
        <v>45154.0</v>
      </c>
      <c r="I159" s="288">
        <v>45154.0</v>
      </c>
      <c r="J159" s="288">
        <v>45161.0</v>
      </c>
      <c r="K159" s="294"/>
      <c r="L159" s="294"/>
      <c r="M159" s="290" t="s">
        <v>7804</v>
      </c>
      <c r="N159" s="285" t="s">
        <v>497</v>
      </c>
      <c r="O159" s="299" t="s">
        <v>2554</v>
      </c>
      <c r="P159" s="300">
        <v>49556.85</v>
      </c>
      <c r="Q159" s="198"/>
      <c r="R159" s="198"/>
      <c r="S159" s="198"/>
      <c r="T159" s="198"/>
      <c r="U159" s="198"/>
      <c r="V159" s="198"/>
      <c r="W159" s="198"/>
      <c r="X159" s="198"/>
      <c r="Y159" s="198"/>
      <c r="Z159" s="198"/>
      <c r="AA159" s="198"/>
    </row>
    <row r="160" ht="69.0" customHeight="1">
      <c r="A160" s="370">
        <v>38172.0</v>
      </c>
      <c r="B160" s="299" t="s">
        <v>25</v>
      </c>
      <c r="C160" s="285">
        <v>1448.0</v>
      </c>
      <c r="D160" s="285" t="s">
        <v>7805</v>
      </c>
      <c r="E160" s="287" t="s">
        <v>7721</v>
      </c>
      <c r="F160" s="285" t="s">
        <v>5919</v>
      </c>
      <c r="G160" s="288">
        <v>45156.0</v>
      </c>
      <c r="H160" s="288">
        <v>45152.0</v>
      </c>
      <c r="I160" s="288">
        <v>45152.0</v>
      </c>
      <c r="J160" s="288">
        <v>45162.0</v>
      </c>
      <c r="K160" s="294"/>
      <c r="L160" s="294"/>
      <c r="M160" s="290" t="s">
        <v>7806</v>
      </c>
      <c r="N160" s="285" t="s">
        <v>497</v>
      </c>
      <c r="O160" s="299" t="s">
        <v>2621</v>
      </c>
      <c r="P160" s="300">
        <v>33472.35</v>
      </c>
      <c r="Q160" s="198"/>
      <c r="R160" s="198"/>
      <c r="S160" s="198"/>
      <c r="T160" s="198"/>
      <c r="U160" s="198"/>
      <c r="V160" s="198"/>
      <c r="W160" s="198"/>
      <c r="X160" s="198"/>
      <c r="Y160" s="198"/>
      <c r="Z160" s="198"/>
      <c r="AA160" s="198"/>
    </row>
    <row r="161" ht="57.75" customHeight="1">
      <c r="A161" s="370">
        <v>37901.0</v>
      </c>
      <c r="B161" s="299" t="s">
        <v>25</v>
      </c>
      <c r="C161" s="285">
        <v>2503.0</v>
      </c>
      <c r="D161" s="285" t="s">
        <v>7807</v>
      </c>
      <c r="E161" s="287" t="s">
        <v>6455</v>
      </c>
      <c r="F161" s="285" t="s">
        <v>5919</v>
      </c>
      <c r="G161" s="288">
        <v>45156.0</v>
      </c>
      <c r="H161" s="288">
        <v>45151.0</v>
      </c>
      <c r="I161" s="288">
        <v>45151.0</v>
      </c>
      <c r="J161" s="288">
        <v>45160.0</v>
      </c>
      <c r="K161" s="294"/>
      <c r="L161" s="294"/>
      <c r="M161" s="290" t="s">
        <v>7808</v>
      </c>
      <c r="N161" s="285" t="s">
        <v>497</v>
      </c>
      <c r="O161" s="299" t="s">
        <v>2604</v>
      </c>
      <c r="P161" s="300">
        <v>49680.0</v>
      </c>
      <c r="Q161" s="198"/>
      <c r="R161" s="198"/>
      <c r="S161" s="198"/>
      <c r="T161" s="198"/>
      <c r="U161" s="198"/>
      <c r="V161" s="198"/>
      <c r="W161" s="198"/>
      <c r="X161" s="198"/>
      <c r="Y161" s="198"/>
      <c r="Z161" s="198"/>
      <c r="AA161" s="198"/>
    </row>
    <row r="162" ht="57.75" customHeight="1">
      <c r="A162" s="370">
        <v>37849.0</v>
      </c>
      <c r="B162" s="299" t="s">
        <v>25</v>
      </c>
      <c r="C162" s="285">
        <v>1250.0</v>
      </c>
      <c r="D162" s="285" t="s">
        <v>7809</v>
      </c>
      <c r="E162" s="287" t="s">
        <v>7810</v>
      </c>
      <c r="F162" s="285" t="s">
        <v>5919</v>
      </c>
      <c r="G162" s="288">
        <v>45156.0</v>
      </c>
      <c r="H162" s="288">
        <v>45151.0</v>
      </c>
      <c r="I162" s="288">
        <v>45151.0</v>
      </c>
      <c r="J162" s="288">
        <v>45161.0</v>
      </c>
      <c r="K162" s="294"/>
      <c r="L162" s="294"/>
      <c r="M162" s="290" t="s">
        <v>7811</v>
      </c>
      <c r="N162" s="285" t="s">
        <v>497</v>
      </c>
      <c r="O162" s="299" t="s">
        <v>2554</v>
      </c>
      <c r="P162" s="300">
        <v>36250.0</v>
      </c>
      <c r="Q162" s="198"/>
      <c r="R162" s="198"/>
      <c r="S162" s="198"/>
      <c r="T162" s="198"/>
      <c r="U162" s="198"/>
      <c r="V162" s="198"/>
      <c r="W162" s="198"/>
      <c r="X162" s="198"/>
      <c r="Y162" s="198"/>
      <c r="Z162" s="198"/>
      <c r="AA162" s="198"/>
    </row>
    <row r="163" ht="71.25" customHeight="1">
      <c r="A163" s="370">
        <v>38184.0</v>
      </c>
      <c r="B163" s="299" t="s">
        <v>6501</v>
      </c>
      <c r="C163" s="285">
        <v>940.0</v>
      </c>
      <c r="D163" s="285" t="s">
        <v>7812</v>
      </c>
      <c r="E163" s="287" t="s">
        <v>7813</v>
      </c>
      <c r="F163" s="285" t="s">
        <v>5919</v>
      </c>
      <c r="G163" s="288">
        <v>45151.0</v>
      </c>
      <c r="H163" s="288">
        <v>45148.0</v>
      </c>
      <c r="I163" s="288">
        <v>45148.0</v>
      </c>
      <c r="J163" s="288">
        <v>45155.0</v>
      </c>
      <c r="K163" s="294"/>
      <c r="L163" s="294"/>
      <c r="M163" s="290" t="s">
        <v>7814</v>
      </c>
      <c r="N163" s="285" t="s">
        <v>4635</v>
      </c>
      <c r="O163" s="299" t="s">
        <v>2621</v>
      </c>
      <c r="P163" s="300">
        <v>43249.0</v>
      </c>
      <c r="Q163" s="198"/>
      <c r="R163" s="198"/>
      <c r="S163" s="198"/>
      <c r="T163" s="198"/>
      <c r="U163" s="198"/>
      <c r="V163" s="198"/>
      <c r="W163" s="198"/>
      <c r="X163" s="198"/>
      <c r="Y163" s="198"/>
      <c r="Z163" s="198"/>
      <c r="AA163" s="198"/>
    </row>
    <row r="164" ht="69.75" customHeight="1">
      <c r="A164" s="370">
        <v>38207.0</v>
      </c>
      <c r="B164" s="285" t="s">
        <v>21</v>
      </c>
      <c r="C164" s="285">
        <v>1130.0</v>
      </c>
      <c r="D164" s="285" t="s">
        <v>7815</v>
      </c>
      <c r="E164" s="287" t="s">
        <v>7816</v>
      </c>
      <c r="F164" s="285" t="s">
        <v>5919</v>
      </c>
      <c r="G164" s="288">
        <v>45150.0</v>
      </c>
      <c r="H164" s="288">
        <v>45149.0</v>
      </c>
      <c r="I164" s="288">
        <v>45149.0</v>
      </c>
      <c r="J164" s="288">
        <v>45155.0</v>
      </c>
      <c r="K164" s="449">
        <v>5534012.0</v>
      </c>
      <c r="L164" s="294"/>
      <c r="M164" s="290" t="s">
        <v>7817</v>
      </c>
      <c r="N164" s="285" t="s">
        <v>4635</v>
      </c>
      <c r="O164" s="299" t="s">
        <v>2621</v>
      </c>
      <c r="P164" s="300">
        <v>36796.9</v>
      </c>
      <c r="Q164" s="198"/>
      <c r="R164" s="198"/>
      <c r="S164" s="198"/>
      <c r="T164" s="198"/>
      <c r="U164" s="198"/>
      <c r="V164" s="198"/>
      <c r="W164" s="198"/>
      <c r="X164" s="198"/>
      <c r="Y164" s="198"/>
      <c r="Z164" s="198"/>
      <c r="AA164" s="198"/>
    </row>
    <row r="165" ht="57.75" customHeight="1">
      <c r="A165" s="370">
        <v>38042.0</v>
      </c>
      <c r="B165" s="299" t="s">
        <v>25</v>
      </c>
      <c r="C165" s="285">
        <v>624.0</v>
      </c>
      <c r="D165" s="285" t="s">
        <v>7818</v>
      </c>
      <c r="E165" s="287" t="s">
        <v>4641</v>
      </c>
      <c r="F165" s="285" t="s">
        <v>5919</v>
      </c>
      <c r="G165" s="288">
        <v>45147.0</v>
      </c>
      <c r="H165" s="288">
        <v>45145.0</v>
      </c>
      <c r="I165" s="288">
        <v>45145.0</v>
      </c>
      <c r="J165" s="288">
        <v>45152.0</v>
      </c>
      <c r="K165" s="294"/>
      <c r="L165" s="294"/>
      <c r="M165" s="290" t="s">
        <v>7819</v>
      </c>
      <c r="N165" s="285" t="s">
        <v>497</v>
      </c>
      <c r="O165" s="299" t="s">
        <v>2538</v>
      </c>
      <c r="P165" s="300">
        <v>135418.5</v>
      </c>
      <c r="Q165" s="198"/>
      <c r="R165" s="198"/>
      <c r="S165" s="198"/>
      <c r="T165" s="198"/>
      <c r="U165" s="198"/>
      <c r="V165" s="198"/>
      <c r="W165" s="198"/>
      <c r="X165" s="198"/>
      <c r="Y165" s="198"/>
      <c r="Z165" s="198"/>
      <c r="AA165" s="198"/>
    </row>
    <row r="166" ht="60.75" customHeight="1">
      <c r="A166" s="370">
        <v>37677.0</v>
      </c>
      <c r="B166" s="285" t="s">
        <v>21</v>
      </c>
      <c r="C166" s="285">
        <v>1800.0</v>
      </c>
      <c r="D166" s="285" t="s">
        <v>7820</v>
      </c>
      <c r="E166" s="287" t="s">
        <v>3740</v>
      </c>
      <c r="F166" s="285" t="s">
        <v>5919</v>
      </c>
      <c r="G166" s="288">
        <v>45147.0</v>
      </c>
      <c r="H166" s="288">
        <v>45140.0</v>
      </c>
      <c r="I166" s="288">
        <v>45140.0</v>
      </c>
      <c r="J166" s="288">
        <v>45149.0</v>
      </c>
      <c r="K166" s="449">
        <v>5534012.0</v>
      </c>
      <c r="L166" s="294"/>
      <c r="M166" s="290" t="s">
        <v>7821</v>
      </c>
      <c r="N166" s="285" t="s">
        <v>497</v>
      </c>
      <c r="O166" s="299" t="s">
        <v>4711</v>
      </c>
      <c r="P166" s="300">
        <v>38169.72</v>
      </c>
      <c r="Q166" s="198"/>
      <c r="R166" s="198"/>
      <c r="S166" s="198"/>
      <c r="T166" s="198"/>
      <c r="U166" s="198"/>
      <c r="V166" s="198"/>
      <c r="W166" s="198"/>
      <c r="X166" s="198"/>
      <c r="Y166" s="198"/>
      <c r="Z166" s="198"/>
      <c r="AA166" s="198"/>
    </row>
    <row r="167" ht="57.75" customHeight="1">
      <c r="A167" s="370">
        <v>37751.0</v>
      </c>
      <c r="B167" s="299" t="s">
        <v>715</v>
      </c>
      <c r="C167" s="285">
        <v>4230.0</v>
      </c>
      <c r="D167" s="285" t="s">
        <v>7822</v>
      </c>
      <c r="E167" s="287" t="s">
        <v>7438</v>
      </c>
      <c r="F167" s="285" t="s">
        <v>5919</v>
      </c>
      <c r="G167" s="288">
        <v>45145.0</v>
      </c>
      <c r="H167" s="288">
        <v>45140.0</v>
      </c>
      <c r="I167" s="288">
        <v>45140.0</v>
      </c>
      <c r="J167" s="288">
        <v>45148.0</v>
      </c>
      <c r="K167" s="294"/>
      <c r="L167" s="294"/>
      <c r="M167" s="290" t="s">
        <v>7823</v>
      </c>
      <c r="N167" s="285" t="s">
        <v>497</v>
      </c>
      <c r="O167" s="299" t="s">
        <v>2554</v>
      </c>
      <c r="P167" s="300">
        <v>31196.25</v>
      </c>
      <c r="Q167" s="198"/>
      <c r="R167" s="198"/>
      <c r="S167" s="198"/>
      <c r="T167" s="198"/>
      <c r="U167" s="198"/>
      <c r="V167" s="198"/>
      <c r="W167" s="198"/>
      <c r="X167" s="198"/>
      <c r="Y167" s="198"/>
      <c r="Z167" s="198"/>
      <c r="AA167" s="198"/>
    </row>
    <row r="168" ht="73.5" customHeight="1">
      <c r="A168" s="370">
        <v>37954.0</v>
      </c>
      <c r="B168" s="299" t="s">
        <v>21</v>
      </c>
      <c r="C168" s="285">
        <v>1358.0</v>
      </c>
      <c r="D168" s="285" t="s">
        <v>7824</v>
      </c>
      <c r="E168" s="287" t="s">
        <v>5198</v>
      </c>
      <c r="F168" s="285" t="s">
        <v>5919</v>
      </c>
      <c r="G168" s="288">
        <v>45141.0</v>
      </c>
      <c r="H168" s="288">
        <v>45137.0</v>
      </c>
      <c r="I168" s="288">
        <v>45137.0</v>
      </c>
      <c r="J168" s="288">
        <v>45152.0</v>
      </c>
      <c r="K168" s="425" t="s">
        <v>4841</v>
      </c>
      <c r="L168" s="294"/>
      <c r="M168" s="290" t="s">
        <v>7825</v>
      </c>
      <c r="N168" s="285" t="s">
        <v>497</v>
      </c>
      <c r="O168" s="299" t="s">
        <v>2621</v>
      </c>
      <c r="P168" s="300">
        <v>48461.4</v>
      </c>
      <c r="Q168" s="198"/>
      <c r="R168" s="198"/>
      <c r="S168" s="198"/>
      <c r="T168" s="198"/>
      <c r="U168" s="198"/>
      <c r="V168" s="198"/>
      <c r="W168" s="198"/>
      <c r="X168" s="198"/>
      <c r="Y168" s="198"/>
      <c r="Z168" s="198"/>
      <c r="AA168" s="198"/>
    </row>
    <row r="169" ht="57.75" customHeight="1">
      <c r="A169" s="370">
        <v>37750.0</v>
      </c>
      <c r="B169" s="285" t="s">
        <v>21</v>
      </c>
      <c r="C169" s="285">
        <v>2543.0</v>
      </c>
      <c r="D169" s="285" t="s">
        <v>7826</v>
      </c>
      <c r="E169" s="287" t="s">
        <v>7827</v>
      </c>
      <c r="F169" s="285" t="s">
        <v>5919</v>
      </c>
      <c r="G169" s="288">
        <v>45140.0</v>
      </c>
      <c r="H169" s="288">
        <v>45138.0</v>
      </c>
      <c r="I169" s="288">
        <v>45138.0</v>
      </c>
      <c r="J169" s="288">
        <v>45146.0</v>
      </c>
      <c r="K169" s="449">
        <v>5534012.0</v>
      </c>
      <c r="L169" s="294"/>
      <c r="M169" s="290" t="s">
        <v>7828</v>
      </c>
      <c r="N169" s="285" t="s">
        <v>497</v>
      </c>
      <c r="O169" s="299" t="s">
        <v>4662</v>
      </c>
      <c r="P169" s="300">
        <v>40662.25</v>
      </c>
      <c r="Q169" s="198"/>
      <c r="R169" s="198"/>
      <c r="S169" s="198"/>
      <c r="T169" s="198"/>
      <c r="U169" s="198"/>
      <c r="V169" s="198"/>
      <c r="W169" s="198"/>
      <c r="X169" s="198"/>
      <c r="Y169" s="198"/>
      <c r="Z169" s="198"/>
      <c r="AA169" s="198"/>
    </row>
    <row r="170" ht="57.75" customHeight="1">
      <c r="A170" s="370">
        <v>37934.0</v>
      </c>
      <c r="B170" s="299" t="s">
        <v>715</v>
      </c>
      <c r="C170" s="285">
        <v>1962.0</v>
      </c>
      <c r="D170" s="285" t="s">
        <v>7829</v>
      </c>
      <c r="E170" s="287" t="s">
        <v>3812</v>
      </c>
      <c r="F170" s="285" t="s">
        <v>5919</v>
      </c>
      <c r="G170" s="288">
        <v>45139.0</v>
      </c>
      <c r="H170" s="288">
        <v>45135.0</v>
      </c>
      <c r="I170" s="285" t="s">
        <v>7830</v>
      </c>
      <c r="J170" s="288">
        <v>45142.0</v>
      </c>
      <c r="K170" s="294"/>
      <c r="L170" s="294"/>
      <c r="M170" s="290" t="s">
        <v>7831</v>
      </c>
      <c r="N170" s="285" t="s">
        <v>497</v>
      </c>
      <c r="O170" s="299" t="s">
        <v>4662</v>
      </c>
      <c r="P170" s="300">
        <v>134389.0</v>
      </c>
      <c r="Q170" s="198"/>
      <c r="R170" s="198"/>
      <c r="S170" s="198"/>
      <c r="T170" s="198"/>
      <c r="U170" s="198"/>
      <c r="V170" s="198"/>
      <c r="W170" s="198"/>
      <c r="X170" s="198"/>
      <c r="Y170" s="198"/>
      <c r="Z170" s="198"/>
      <c r="AA170" s="198"/>
    </row>
    <row r="171" ht="57.75" customHeight="1">
      <c r="A171" s="370">
        <v>37732.0</v>
      </c>
      <c r="B171" s="299" t="s">
        <v>715</v>
      </c>
      <c r="C171" s="285">
        <v>1625.0</v>
      </c>
      <c r="D171" s="285" t="s">
        <v>7832</v>
      </c>
      <c r="E171" s="287" t="s">
        <v>6322</v>
      </c>
      <c r="F171" s="285" t="s">
        <v>5919</v>
      </c>
      <c r="G171" s="288">
        <v>45138.0</v>
      </c>
      <c r="H171" s="288">
        <v>45134.0</v>
      </c>
      <c r="I171" s="288">
        <v>45134.0</v>
      </c>
      <c r="J171" s="288">
        <v>45141.0</v>
      </c>
      <c r="K171" s="294"/>
      <c r="L171" s="294"/>
      <c r="M171" s="290" t="s">
        <v>7833</v>
      </c>
      <c r="N171" s="285" t="s">
        <v>497</v>
      </c>
      <c r="O171" s="299" t="s">
        <v>2604</v>
      </c>
      <c r="P171" s="300">
        <v>74787.25</v>
      </c>
      <c r="Q171" s="198"/>
      <c r="R171" s="198"/>
      <c r="S171" s="198"/>
      <c r="T171" s="198"/>
      <c r="U171" s="198"/>
      <c r="V171" s="198"/>
      <c r="W171" s="198"/>
      <c r="X171" s="198"/>
      <c r="Y171" s="198"/>
      <c r="Z171" s="198"/>
      <c r="AA171" s="198"/>
    </row>
    <row r="172" ht="68.25" customHeight="1">
      <c r="A172" s="370">
        <v>37762.0</v>
      </c>
      <c r="B172" s="285" t="s">
        <v>21</v>
      </c>
      <c r="C172" s="285">
        <v>1280.0</v>
      </c>
      <c r="D172" s="285" t="s">
        <v>7834</v>
      </c>
      <c r="E172" s="287" t="s">
        <v>5211</v>
      </c>
      <c r="F172" s="285" t="s">
        <v>5919</v>
      </c>
      <c r="G172" s="288">
        <v>45137.0</v>
      </c>
      <c r="H172" s="288">
        <v>45137.0</v>
      </c>
      <c r="I172" s="288">
        <v>45137.0</v>
      </c>
      <c r="J172" s="288">
        <v>45146.0</v>
      </c>
      <c r="K172" s="449">
        <v>5534012.0</v>
      </c>
      <c r="L172" s="294"/>
      <c r="M172" s="290" t="s">
        <v>7835</v>
      </c>
      <c r="N172" s="285" t="s">
        <v>497</v>
      </c>
      <c r="O172" s="299" t="s">
        <v>2604</v>
      </c>
      <c r="P172" s="300">
        <v>19894.8</v>
      </c>
      <c r="Q172" s="198"/>
      <c r="R172" s="198"/>
      <c r="S172" s="198"/>
      <c r="T172" s="198"/>
      <c r="U172" s="198"/>
      <c r="V172" s="198"/>
      <c r="W172" s="198"/>
      <c r="X172" s="198"/>
      <c r="Y172" s="198"/>
      <c r="Z172" s="198"/>
      <c r="AA172" s="198"/>
    </row>
    <row r="173" ht="100.5" customHeight="1">
      <c r="A173" s="370">
        <v>38200.0</v>
      </c>
      <c r="B173" s="299" t="s">
        <v>715</v>
      </c>
      <c r="C173" s="285">
        <v>1100.0</v>
      </c>
      <c r="D173" s="285" t="s">
        <v>7836</v>
      </c>
      <c r="E173" s="287" t="s">
        <v>7837</v>
      </c>
      <c r="F173" s="285" t="s">
        <v>5919</v>
      </c>
      <c r="G173" s="288">
        <v>45133.0</v>
      </c>
      <c r="H173" s="288" t="s">
        <v>7838</v>
      </c>
      <c r="I173" s="288">
        <v>45141.0</v>
      </c>
      <c r="J173" s="288">
        <v>45142.0</v>
      </c>
      <c r="K173" s="294"/>
      <c r="L173" s="294"/>
      <c r="M173" s="290" t="s">
        <v>7839</v>
      </c>
      <c r="N173" s="285" t="s">
        <v>4635</v>
      </c>
      <c r="O173" s="299" t="s">
        <v>2621</v>
      </c>
      <c r="P173" s="300">
        <v>81512.7</v>
      </c>
      <c r="Q173" s="198"/>
      <c r="R173" s="198"/>
      <c r="S173" s="198"/>
      <c r="T173" s="198"/>
      <c r="U173" s="198"/>
      <c r="V173" s="198"/>
      <c r="W173" s="198"/>
      <c r="X173" s="198"/>
      <c r="Y173" s="198"/>
      <c r="Z173" s="198"/>
      <c r="AA173" s="198"/>
    </row>
    <row r="174" ht="75.0" customHeight="1">
      <c r="A174" s="370">
        <v>37763.0</v>
      </c>
      <c r="B174" s="299" t="s">
        <v>25</v>
      </c>
      <c r="C174" s="285">
        <v>1290.0</v>
      </c>
      <c r="D174" s="285" t="s">
        <v>7840</v>
      </c>
      <c r="E174" s="287" t="s">
        <v>5211</v>
      </c>
      <c r="F174" s="285" t="s">
        <v>5919</v>
      </c>
      <c r="G174" s="288">
        <v>45130.0</v>
      </c>
      <c r="H174" s="288">
        <v>45127.0</v>
      </c>
      <c r="I174" s="288">
        <v>45127.0</v>
      </c>
      <c r="J174" s="288">
        <v>45138.0</v>
      </c>
      <c r="K174" s="450"/>
      <c r="L174" s="285"/>
      <c r="M174" s="290" t="s">
        <v>7841</v>
      </c>
      <c r="N174" s="285" t="s">
        <v>497</v>
      </c>
      <c r="O174" s="299" t="s">
        <v>2604</v>
      </c>
      <c r="P174" s="300">
        <v>19700.1</v>
      </c>
      <c r="Q174" s="198"/>
      <c r="R174" s="198"/>
      <c r="S174" s="198"/>
      <c r="T174" s="198"/>
      <c r="U174" s="198"/>
      <c r="V174" s="198"/>
      <c r="W174" s="198"/>
      <c r="X174" s="198"/>
      <c r="Y174" s="198"/>
      <c r="Z174" s="198"/>
      <c r="AA174" s="198"/>
    </row>
    <row r="175" ht="70.5" customHeight="1">
      <c r="A175" s="370">
        <v>38015.0</v>
      </c>
      <c r="B175" s="285" t="s">
        <v>21</v>
      </c>
      <c r="C175" s="285">
        <v>2063.0</v>
      </c>
      <c r="D175" s="285" t="s">
        <v>7842</v>
      </c>
      <c r="E175" s="287" t="s">
        <v>6582</v>
      </c>
      <c r="F175" s="285" t="s">
        <v>5919</v>
      </c>
      <c r="G175" s="288">
        <v>45129.0</v>
      </c>
      <c r="H175" s="288" t="s">
        <v>7843</v>
      </c>
      <c r="I175" s="288">
        <v>45152.0</v>
      </c>
      <c r="J175" s="288">
        <v>45153.0</v>
      </c>
      <c r="K175" s="294" t="s">
        <v>4841</v>
      </c>
      <c r="L175" s="294"/>
      <c r="M175" s="290" t="s">
        <v>7844</v>
      </c>
      <c r="N175" s="285" t="s">
        <v>497</v>
      </c>
      <c r="O175" s="299" t="s">
        <v>2621</v>
      </c>
      <c r="P175" s="300">
        <v>29689.37</v>
      </c>
      <c r="Q175" s="198"/>
      <c r="R175" s="198"/>
      <c r="S175" s="198"/>
      <c r="T175" s="198"/>
      <c r="U175" s="198"/>
      <c r="V175" s="198"/>
      <c r="W175" s="198"/>
      <c r="X175" s="198"/>
      <c r="Y175" s="198"/>
      <c r="Z175" s="198"/>
      <c r="AA175" s="198"/>
    </row>
    <row r="176" ht="57.75" customHeight="1">
      <c r="A176" s="370">
        <v>37879.0</v>
      </c>
      <c r="B176" s="299" t="s">
        <v>25</v>
      </c>
      <c r="C176" s="285">
        <v>1800.0</v>
      </c>
      <c r="D176" s="285" t="s">
        <v>7845</v>
      </c>
      <c r="E176" s="287" t="s">
        <v>3740</v>
      </c>
      <c r="F176" s="285" t="s">
        <v>5919</v>
      </c>
      <c r="G176" s="288">
        <v>45128.0</v>
      </c>
      <c r="H176" s="288">
        <v>45123.0</v>
      </c>
      <c r="I176" s="288">
        <v>45123.0</v>
      </c>
      <c r="J176" s="288">
        <v>45135.0</v>
      </c>
      <c r="K176" s="294"/>
      <c r="L176" s="294"/>
      <c r="M176" s="290" t="s">
        <v>7846</v>
      </c>
      <c r="N176" s="285" t="s">
        <v>497</v>
      </c>
      <c r="O176" s="299" t="s">
        <v>4711</v>
      </c>
      <c r="P176" s="300">
        <v>38169.72</v>
      </c>
      <c r="Q176" s="198"/>
      <c r="R176" s="198"/>
      <c r="S176" s="198"/>
      <c r="T176" s="198"/>
      <c r="U176" s="198"/>
      <c r="V176" s="198"/>
      <c r="W176" s="198"/>
      <c r="X176" s="198"/>
      <c r="Y176" s="198"/>
      <c r="Z176" s="198"/>
      <c r="AA176" s="198"/>
    </row>
    <row r="177" ht="62.25" customHeight="1">
      <c r="A177" s="370">
        <v>38070.0</v>
      </c>
      <c r="B177" s="299" t="s">
        <v>715</v>
      </c>
      <c r="C177" s="285">
        <v>5067.0</v>
      </c>
      <c r="D177" s="285" t="s">
        <v>7847</v>
      </c>
      <c r="E177" s="287" t="s">
        <v>7848</v>
      </c>
      <c r="F177" s="285" t="s">
        <v>5919</v>
      </c>
      <c r="G177" s="288">
        <v>45126.0</v>
      </c>
      <c r="H177" s="288">
        <v>45123.0</v>
      </c>
      <c r="I177" s="288">
        <v>45123.0</v>
      </c>
      <c r="J177" s="288">
        <v>45134.0</v>
      </c>
      <c r="K177" s="294"/>
      <c r="L177" s="294"/>
      <c r="M177" s="290" t="s">
        <v>7849</v>
      </c>
      <c r="N177" s="285" t="s">
        <v>4635</v>
      </c>
      <c r="O177" s="299" t="s">
        <v>2621</v>
      </c>
      <c r="P177" s="300">
        <v>42809.86</v>
      </c>
      <c r="Q177" s="198"/>
      <c r="R177" s="198"/>
      <c r="S177" s="198"/>
      <c r="T177" s="198"/>
      <c r="U177" s="198"/>
      <c r="V177" s="198"/>
      <c r="W177" s="198"/>
      <c r="X177" s="198"/>
      <c r="Y177" s="198"/>
      <c r="Z177" s="198"/>
      <c r="AA177" s="198"/>
    </row>
    <row r="178" ht="57.75" customHeight="1">
      <c r="A178" s="370">
        <v>37710.0</v>
      </c>
      <c r="B178" s="299" t="s">
        <v>715</v>
      </c>
      <c r="C178" s="285">
        <v>1205.0</v>
      </c>
      <c r="D178" s="285" t="s">
        <v>7850</v>
      </c>
      <c r="E178" s="287" t="s">
        <v>4637</v>
      </c>
      <c r="F178" s="285" t="s">
        <v>5919</v>
      </c>
      <c r="G178" s="288">
        <v>45124.0</v>
      </c>
      <c r="H178" s="288">
        <v>45120.0</v>
      </c>
      <c r="I178" s="288">
        <v>45120.0</v>
      </c>
      <c r="J178" s="288">
        <v>45127.0</v>
      </c>
      <c r="K178" s="294"/>
      <c r="L178" s="294"/>
      <c r="M178" s="290" t="s">
        <v>7851</v>
      </c>
      <c r="N178" s="285" t="s">
        <v>497</v>
      </c>
      <c r="O178" s="299" t="s">
        <v>2554</v>
      </c>
      <c r="P178" s="300">
        <v>34945.0</v>
      </c>
      <c r="Q178" s="198"/>
      <c r="R178" s="198"/>
      <c r="S178" s="198"/>
      <c r="T178" s="198"/>
      <c r="U178" s="198"/>
      <c r="V178" s="198"/>
      <c r="W178" s="198"/>
      <c r="X178" s="198"/>
      <c r="Y178" s="198"/>
      <c r="Z178" s="198"/>
      <c r="AA178" s="198"/>
    </row>
    <row r="179" ht="57.75" customHeight="1">
      <c r="A179" s="370">
        <v>37749.0</v>
      </c>
      <c r="B179" s="299" t="s">
        <v>715</v>
      </c>
      <c r="C179" s="285">
        <v>4230.0</v>
      </c>
      <c r="D179" s="285" t="s">
        <v>7852</v>
      </c>
      <c r="E179" s="287" t="s">
        <v>7438</v>
      </c>
      <c r="F179" s="285" t="s">
        <v>5919</v>
      </c>
      <c r="G179" s="288">
        <v>45124.0</v>
      </c>
      <c r="H179" s="288">
        <v>45120.0</v>
      </c>
      <c r="I179" s="288">
        <v>45120.0</v>
      </c>
      <c r="J179" s="288">
        <v>45128.0</v>
      </c>
      <c r="K179" s="294"/>
      <c r="L179" s="294"/>
      <c r="M179" s="290" t="s">
        <v>7853</v>
      </c>
      <c r="N179" s="285" t="s">
        <v>497</v>
      </c>
      <c r="O179" s="299" t="s">
        <v>2554</v>
      </c>
      <c r="P179" s="300">
        <v>31196.25</v>
      </c>
      <c r="Q179" s="198"/>
      <c r="R179" s="198"/>
      <c r="S179" s="198"/>
      <c r="T179" s="198"/>
      <c r="U179" s="198"/>
      <c r="V179" s="198"/>
      <c r="W179" s="198"/>
      <c r="X179" s="198"/>
      <c r="Y179" s="198"/>
      <c r="Z179" s="198"/>
      <c r="AA179" s="198"/>
    </row>
    <row r="180" ht="57.75" customHeight="1">
      <c r="A180" s="370">
        <v>38058.0</v>
      </c>
      <c r="B180" s="299" t="s">
        <v>715</v>
      </c>
      <c r="C180" s="285">
        <v>1020.0</v>
      </c>
      <c r="D180" s="285" t="s">
        <v>7854</v>
      </c>
      <c r="E180" s="287" t="s">
        <v>7855</v>
      </c>
      <c r="F180" s="285" t="s">
        <v>5919</v>
      </c>
      <c r="G180" s="288">
        <v>45123.0</v>
      </c>
      <c r="H180" s="288">
        <v>45120.0</v>
      </c>
      <c r="I180" s="288">
        <v>45119.0</v>
      </c>
      <c r="J180" s="288">
        <v>45131.0</v>
      </c>
      <c r="K180" s="294"/>
      <c r="L180" s="294"/>
      <c r="M180" s="290" t="s">
        <v>7856</v>
      </c>
      <c r="N180" s="285" t="s">
        <v>4635</v>
      </c>
      <c r="O180" s="299" t="s">
        <v>2621</v>
      </c>
      <c r="P180" s="300">
        <v>39876.6</v>
      </c>
      <c r="Q180" s="198"/>
      <c r="R180" s="198"/>
      <c r="S180" s="198"/>
      <c r="T180" s="198"/>
      <c r="U180" s="198"/>
      <c r="V180" s="198"/>
      <c r="W180" s="198"/>
      <c r="X180" s="198"/>
      <c r="Y180" s="198"/>
      <c r="Z180" s="198"/>
      <c r="AA180" s="198"/>
    </row>
    <row r="181" ht="57.75" customHeight="1">
      <c r="A181" s="370">
        <v>38014.0</v>
      </c>
      <c r="B181" s="285" t="s">
        <v>21</v>
      </c>
      <c r="C181" s="285">
        <v>2059.0</v>
      </c>
      <c r="D181" s="285" t="s">
        <v>7857</v>
      </c>
      <c r="E181" s="287" t="s">
        <v>6582</v>
      </c>
      <c r="F181" s="285" t="s">
        <v>5919</v>
      </c>
      <c r="G181" s="288">
        <v>45122.0</v>
      </c>
      <c r="H181" s="288" t="s">
        <v>7843</v>
      </c>
      <c r="I181" s="288">
        <v>45152.0</v>
      </c>
      <c r="J181" s="288">
        <v>45153.0</v>
      </c>
      <c r="K181" s="294" t="s">
        <v>4841</v>
      </c>
      <c r="L181" s="294"/>
      <c r="M181" s="290" t="s">
        <v>7858</v>
      </c>
      <c r="N181" s="285" t="s">
        <v>497</v>
      </c>
      <c r="O181" s="299" t="s">
        <v>2621</v>
      </c>
      <c r="P181" s="300">
        <v>29629.37</v>
      </c>
      <c r="Q181" s="198"/>
      <c r="R181" s="198"/>
      <c r="S181" s="198"/>
      <c r="T181" s="198"/>
      <c r="U181" s="198"/>
      <c r="V181" s="198"/>
      <c r="W181" s="198"/>
      <c r="X181" s="198"/>
      <c r="Y181" s="198"/>
      <c r="Z181" s="198"/>
      <c r="AA181" s="198"/>
    </row>
    <row r="182" ht="71.25" customHeight="1">
      <c r="A182" s="370">
        <v>38199.0</v>
      </c>
      <c r="B182" s="285" t="s">
        <v>21</v>
      </c>
      <c r="C182" s="285">
        <v>1185.0</v>
      </c>
      <c r="D182" s="285" t="s">
        <v>7859</v>
      </c>
      <c r="E182" s="287" t="s">
        <v>7860</v>
      </c>
      <c r="F182" s="285" t="s">
        <v>5919</v>
      </c>
      <c r="G182" s="288">
        <v>45122.0</v>
      </c>
      <c r="H182" s="288">
        <v>45119.0</v>
      </c>
      <c r="I182" s="288">
        <v>45119.0</v>
      </c>
      <c r="J182" s="288">
        <v>45133.0</v>
      </c>
      <c r="K182" s="449">
        <v>5534012.0</v>
      </c>
      <c r="L182" s="294"/>
      <c r="M182" s="290" t="s">
        <v>7861</v>
      </c>
      <c r="N182" s="285" t="s">
        <v>4635</v>
      </c>
      <c r="O182" s="299" t="s">
        <v>2621</v>
      </c>
      <c r="P182" s="300">
        <v>65036.15</v>
      </c>
      <c r="Q182" s="198"/>
      <c r="R182" s="198"/>
      <c r="S182" s="198"/>
      <c r="T182" s="198"/>
      <c r="U182" s="198"/>
      <c r="V182" s="198"/>
      <c r="W182" s="198"/>
      <c r="X182" s="198"/>
      <c r="Y182" s="198"/>
      <c r="Z182" s="198"/>
      <c r="AA182" s="198"/>
    </row>
    <row r="183" ht="57.75" customHeight="1">
      <c r="A183" s="370">
        <v>37585.0</v>
      </c>
      <c r="B183" s="285" t="s">
        <v>21</v>
      </c>
      <c r="C183" s="285">
        <v>4189.0</v>
      </c>
      <c r="D183" s="285" t="s">
        <v>7862</v>
      </c>
      <c r="E183" s="287" t="s">
        <v>4690</v>
      </c>
      <c r="F183" s="285" t="s">
        <v>5919</v>
      </c>
      <c r="G183" s="288">
        <v>45122.0</v>
      </c>
      <c r="H183" s="288">
        <v>45117.0</v>
      </c>
      <c r="I183" s="288">
        <v>45117.0</v>
      </c>
      <c r="J183" s="288">
        <v>45131.0</v>
      </c>
      <c r="K183" s="449">
        <v>5534012.0</v>
      </c>
      <c r="L183" s="294"/>
      <c r="M183" s="290" t="s">
        <v>7863</v>
      </c>
      <c r="N183" s="285" t="s">
        <v>497</v>
      </c>
      <c r="O183" s="299" t="s">
        <v>2554</v>
      </c>
      <c r="P183" s="300">
        <v>30370.25</v>
      </c>
      <c r="Q183" s="198"/>
      <c r="R183" s="198"/>
      <c r="S183" s="198"/>
      <c r="T183" s="198"/>
      <c r="U183" s="198"/>
      <c r="V183" s="198"/>
      <c r="W183" s="198"/>
      <c r="X183" s="198"/>
      <c r="Y183" s="198"/>
      <c r="Z183" s="198"/>
      <c r="AA183" s="198"/>
    </row>
    <row r="184" ht="57.75" customHeight="1">
      <c r="A184" s="370">
        <v>38086.0</v>
      </c>
      <c r="B184" s="299" t="s">
        <v>715</v>
      </c>
      <c r="C184" s="285">
        <v>940.0</v>
      </c>
      <c r="D184" s="285" t="s">
        <v>7864</v>
      </c>
      <c r="E184" s="287" t="s">
        <v>4295</v>
      </c>
      <c r="F184" s="285" t="s">
        <v>5919</v>
      </c>
      <c r="G184" s="288">
        <v>45120.0</v>
      </c>
      <c r="H184" s="288">
        <v>45117.0</v>
      </c>
      <c r="I184" s="288">
        <v>45117.0</v>
      </c>
      <c r="J184" s="288">
        <v>45126.0</v>
      </c>
      <c r="K184" s="294"/>
      <c r="L184" s="294"/>
      <c r="M184" s="290" t="s">
        <v>7865</v>
      </c>
      <c r="N184" s="285" t="s">
        <v>4635</v>
      </c>
      <c r="O184" s="299" t="s">
        <v>2621</v>
      </c>
      <c r="P184" s="300">
        <v>43738.2</v>
      </c>
      <c r="Q184" s="198"/>
      <c r="R184" s="198"/>
      <c r="S184" s="198"/>
      <c r="T184" s="198"/>
      <c r="U184" s="198"/>
      <c r="V184" s="198"/>
      <c r="W184" s="198"/>
      <c r="X184" s="198"/>
      <c r="Y184" s="198"/>
      <c r="Z184" s="198"/>
      <c r="AA184" s="198"/>
    </row>
    <row r="185" ht="72.75" customHeight="1">
      <c r="A185" s="370">
        <v>38013.0</v>
      </c>
      <c r="B185" s="299" t="s">
        <v>25</v>
      </c>
      <c r="C185" s="285">
        <v>2058.0</v>
      </c>
      <c r="D185" s="285" t="s">
        <v>7866</v>
      </c>
      <c r="E185" s="287" t="s">
        <v>6582</v>
      </c>
      <c r="F185" s="285" t="s">
        <v>5919</v>
      </c>
      <c r="G185" s="288">
        <v>45117.0</v>
      </c>
      <c r="H185" s="288" t="s">
        <v>7867</v>
      </c>
      <c r="I185" s="288">
        <v>45155.0</v>
      </c>
      <c r="J185" s="288">
        <v>45155.0</v>
      </c>
      <c r="K185" s="294"/>
      <c r="L185" s="294"/>
      <c r="M185" s="290" t="s">
        <v>7868</v>
      </c>
      <c r="N185" s="285" t="s">
        <v>497</v>
      </c>
      <c r="O185" s="299" t="s">
        <v>2621</v>
      </c>
      <c r="P185" s="300">
        <v>29628.38</v>
      </c>
      <c r="Q185" s="198"/>
      <c r="R185" s="198"/>
      <c r="S185" s="198"/>
      <c r="T185" s="198"/>
      <c r="U185" s="198"/>
      <c r="V185" s="198"/>
      <c r="W185" s="198"/>
      <c r="X185" s="198"/>
      <c r="Y185" s="198"/>
      <c r="Z185" s="198"/>
      <c r="AA185" s="198"/>
    </row>
    <row r="186" ht="57.75" customHeight="1">
      <c r="A186" s="370">
        <v>37796.0</v>
      </c>
      <c r="B186" s="285" t="s">
        <v>21</v>
      </c>
      <c r="C186" s="285">
        <v>1306.0</v>
      </c>
      <c r="D186" s="285" t="s">
        <v>7869</v>
      </c>
      <c r="E186" s="287" t="s">
        <v>4681</v>
      </c>
      <c r="F186" s="285" t="s">
        <v>5919</v>
      </c>
      <c r="G186" s="288">
        <v>45116.0</v>
      </c>
      <c r="H186" s="288">
        <v>45112.0</v>
      </c>
      <c r="I186" s="288">
        <v>45112.0</v>
      </c>
      <c r="J186" s="288">
        <v>45120.0</v>
      </c>
      <c r="K186" s="449">
        <v>5534012.0</v>
      </c>
      <c r="L186" s="294"/>
      <c r="M186" s="290" t="s">
        <v>7870</v>
      </c>
      <c r="N186" s="285" t="s">
        <v>497</v>
      </c>
      <c r="O186" s="299" t="s">
        <v>2554</v>
      </c>
      <c r="P186" s="300">
        <v>44795.8</v>
      </c>
      <c r="Q186" s="198"/>
      <c r="R186" s="198"/>
      <c r="S186" s="198"/>
      <c r="T186" s="198"/>
      <c r="U186" s="198"/>
      <c r="V186" s="198"/>
      <c r="W186" s="198"/>
      <c r="X186" s="198"/>
      <c r="Y186" s="198"/>
      <c r="Z186" s="198"/>
      <c r="AA186" s="198"/>
    </row>
    <row r="187" ht="57.75" customHeight="1">
      <c r="A187" s="370">
        <v>38057.0</v>
      </c>
      <c r="B187" s="285" t="s">
        <v>21</v>
      </c>
      <c r="C187" s="285">
        <v>1180.0</v>
      </c>
      <c r="D187" s="285" t="s">
        <v>7871</v>
      </c>
      <c r="E187" s="287" t="s">
        <v>7872</v>
      </c>
      <c r="F187" s="285" t="s">
        <v>5919</v>
      </c>
      <c r="G187" s="288">
        <v>45116.0</v>
      </c>
      <c r="H187" s="288">
        <v>45112.0</v>
      </c>
      <c r="I187" s="288">
        <v>45112.0</v>
      </c>
      <c r="J187" s="288">
        <v>45126.0</v>
      </c>
      <c r="K187" s="449">
        <v>5534012.0</v>
      </c>
      <c r="L187" s="294"/>
      <c r="M187" s="290" t="s">
        <v>7873</v>
      </c>
      <c r="N187" s="285" t="s">
        <v>4635</v>
      </c>
      <c r="O187" s="299" t="s">
        <v>2621</v>
      </c>
      <c r="P187" s="300">
        <v>64002.8</v>
      </c>
      <c r="Q187" s="198"/>
      <c r="R187" s="198"/>
      <c r="S187" s="198"/>
      <c r="T187" s="198"/>
      <c r="U187" s="198"/>
      <c r="V187" s="198"/>
      <c r="W187" s="198"/>
      <c r="X187" s="198"/>
      <c r="Y187" s="198"/>
      <c r="Z187" s="198"/>
      <c r="AA187" s="198"/>
    </row>
    <row r="188" ht="70.5" customHeight="1">
      <c r="A188" s="370">
        <v>37981.0</v>
      </c>
      <c r="B188" s="285" t="s">
        <v>21</v>
      </c>
      <c r="C188" s="285">
        <v>1100.0</v>
      </c>
      <c r="D188" s="285" t="s">
        <v>7874</v>
      </c>
      <c r="E188" s="287" t="s">
        <v>7875</v>
      </c>
      <c r="F188" s="285" t="s">
        <v>5919</v>
      </c>
      <c r="G188" s="288">
        <v>45115.0</v>
      </c>
      <c r="H188" s="288">
        <v>45146.0</v>
      </c>
      <c r="I188" s="288">
        <v>45127.0</v>
      </c>
      <c r="J188" s="288">
        <v>45127.0</v>
      </c>
      <c r="K188" s="449">
        <v>5534012.0</v>
      </c>
      <c r="L188" s="294"/>
      <c r="M188" s="290" t="s">
        <v>7876</v>
      </c>
      <c r="N188" s="285" t="s">
        <v>4635</v>
      </c>
      <c r="O188" s="299" t="s">
        <v>2621</v>
      </c>
      <c r="P188" s="300">
        <v>81333.5</v>
      </c>
      <c r="Q188" s="198"/>
      <c r="R188" s="198"/>
      <c r="S188" s="198"/>
      <c r="T188" s="198"/>
      <c r="U188" s="198"/>
      <c r="V188" s="198"/>
      <c r="W188" s="198"/>
      <c r="X188" s="198"/>
      <c r="Y188" s="198"/>
      <c r="Z188" s="198"/>
      <c r="AA188" s="198"/>
    </row>
    <row r="189" ht="61.5" customHeight="1">
      <c r="A189" s="370">
        <v>38008.0</v>
      </c>
      <c r="B189" s="299" t="s">
        <v>715</v>
      </c>
      <c r="C189" s="285">
        <v>4962.0</v>
      </c>
      <c r="D189" s="285" t="s">
        <v>7877</v>
      </c>
      <c r="E189" s="287" t="s">
        <v>7878</v>
      </c>
      <c r="F189" s="285" t="s">
        <v>5919</v>
      </c>
      <c r="G189" s="288">
        <v>45114.0</v>
      </c>
      <c r="H189" s="288" t="s">
        <v>7879</v>
      </c>
      <c r="I189" s="288" t="s">
        <v>7880</v>
      </c>
      <c r="J189" s="288">
        <v>45118.0</v>
      </c>
      <c r="K189" s="294"/>
      <c r="L189" s="294"/>
      <c r="M189" s="290" t="s">
        <v>7881</v>
      </c>
      <c r="N189" s="285" t="s">
        <v>4635</v>
      </c>
      <c r="O189" s="299" t="s">
        <v>2621</v>
      </c>
      <c r="P189" s="300">
        <v>48183.24</v>
      </c>
      <c r="Q189" s="198"/>
      <c r="R189" s="198"/>
      <c r="S189" s="198"/>
      <c r="T189" s="198"/>
      <c r="U189" s="198"/>
      <c r="V189" s="198"/>
      <c r="W189" s="198"/>
      <c r="X189" s="198"/>
      <c r="Y189" s="198"/>
      <c r="Z189" s="198"/>
      <c r="AA189" s="198"/>
    </row>
    <row r="190" ht="80.25" customHeight="1">
      <c r="A190" s="370">
        <v>37914.0</v>
      </c>
      <c r="B190" s="285" t="s">
        <v>21</v>
      </c>
      <c r="C190" s="285">
        <v>829.0</v>
      </c>
      <c r="D190" s="285" t="s">
        <v>7882</v>
      </c>
      <c r="E190" s="287" t="s">
        <v>5016</v>
      </c>
      <c r="F190" s="285" t="s">
        <v>5919</v>
      </c>
      <c r="G190" s="288">
        <v>45113.0</v>
      </c>
      <c r="H190" s="288">
        <v>45110.0</v>
      </c>
      <c r="I190" s="288">
        <v>45110.0</v>
      </c>
      <c r="J190" s="288">
        <v>45124.0</v>
      </c>
      <c r="K190" s="425" t="s">
        <v>4841</v>
      </c>
      <c r="L190" s="294"/>
      <c r="M190" s="290" t="s">
        <v>7883</v>
      </c>
      <c r="N190" s="285" t="s">
        <v>497</v>
      </c>
      <c r="O190" s="299" t="s">
        <v>2628</v>
      </c>
      <c r="P190" s="300">
        <v>288082.29</v>
      </c>
      <c r="Q190" s="198"/>
      <c r="R190" s="198"/>
      <c r="S190" s="198"/>
      <c r="T190" s="198"/>
      <c r="U190" s="198"/>
      <c r="V190" s="198"/>
      <c r="W190" s="198"/>
      <c r="X190" s="198"/>
      <c r="Y190" s="198"/>
      <c r="Z190" s="198"/>
      <c r="AA190" s="198"/>
    </row>
    <row r="191" ht="63.75" customHeight="1">
      <c r="A191" s="370">
        <v>37913.0</v>
      </c>
      <c r="B191" s="285" t="s">
        <v>21</v>
      </c>
      <c r="C191" s="285">
        <v>831.0</v>
      </c>
      <c r="D191" s="285" t="s">
        <v>7884</v>
      </c>
      <c r="E191" s="287" t="s">
        <v>5016</v>
      </c>
      <c r="F191" s="285" t="s">
        <v>5919</v>
      </c>
      <c r="G191" s="288">
        <v>45113.0</v>
      </c>
      <c r="H191" s="288">
        <v>45110.0</v>
      </c>
      <c r="I191" s="288">
        <v>45110.0</v>
      </c>
      <c r="J191" s="288">
        <v>45120.0</v>
      </c>
      <c r="K191" s="425" t="s">
        <v>4841</v>
      </c>
      <c r="L191" s="294"/>
      <c r="M191" s="290" t="s">
        <v>7885</v>
      </c>
      <c r="N191" s="285" t="s">
        <v>497</v>
      </c>
      <c r="O191" s="299" t="s">
        <v>2628</v>
      </c>
      <c r="P191" s="300">
        <v>289641.54</v>
      </c>
      <c r="Q191" s="198"/>
      <c r="R191" s="198"/>
      <c r="S191" s="198"/>
      <c r="T191" s="198"/>
      <c r="U191" s="198"/>
      <c r="V191" s="198"/>
      <c r="W191" s="198"/>
      <c r="X191" s="198"/>
      <c r="Y191" s="198"/>
      <c r="Z191" s="198"/>
      <c r="AA191" s="198"/>
    </row>
    <row r="192" ht="70.5" customHeight="1">
      <c r="A192" s="370">
        <v>37912.0</v>
      </c>
      <c r="B192" s="285" t="s">
        <v>21</v>
      </c>
      <c r="C192" s="285">
        <v>831.0</v>
      </c>
      <c r="D192" s="285" t="s">
        <v>7886</v>
      </c>
      <c r="E192" s="287" t="s">
        <v>5016</v>
      </c>
      <c r="F192" s="285" t="s">
        <v>5919</v>
      </c>
      <c r="G192" s="288">
        <v>45113.0</v>
      </c>
      <c r="H192" s="288">
        <v>45110.0</v>
      </c>
      <c r="I192" s="288">
        <v>45110.0</v>
      </c>
      <c r="J192" s="288">
        <v>45125.0</v>
      </c>
      <c r="K192" s="425" t="s">
        <v>4841</v>
      </c>
      <c r="L192" s="294"/>
      <c r="M192" s="290" t="s">
        <v>7887</v>
      </c>
      <c r="N192" s="285" t="s">
        <v>497</v>
      </c>
      <c r="O192" s="299" t="s">
        <v>2628</v>
      </c>
      <c r="P192" s="300">
        <v>282909.49</v>
      </c>
      <c r="Q192" s="198"/>
      <c r="R192" s="198"/>
      <c r="S192" s="198"/>
      <c r="T192" s="198"/>
      <c r="U192" s="198"/>
      <c r="V192" s="198"/>
      <c r="W192" s="198"/>
      <c r="X192" s="198"/>
      <c r="Y192" s="198"/>
      <c r="Z192" s="198"/>
      <c r="AA192" s="198"/>
    </row>
    <row r="193" ht="69.75" customHeight="1">
      <c r="A193" s="370">
        <v>37870.0</v>
      </c>
      <c r="B193" s="285" t="s">
        <v>21</v>
      </c>
      <c r="C193" s="285">
        <v>950.0</v>
      </c>
      <c r="D193" s="285" t="s">
        <v>7888</v>
      </c>
      <c r="E193" s="287" t="s">
        <v>2751</v>
      </c>
      <c r="F193" s="285" t="s">
        <v>5919</v>
      </c>
      <c r="G193" s="288">
        <v>45113.0</v>
      </c>
      <c r="H193" s="288">
        <v>45105.0</v>
      </c>
      <c r="I193" s="288">
        <v>45105.0</v>
      </c>
      <c r="J193" s="288">
        <v>45120.0</v>
      </c>
      <c r="K193" s="449">
        <v>5534012.0</v>
      </c>
      <c r="L193" s="294"/>
      <c r="M193" s="290" t="s">
        <v>7889</v>
      </c>
      <c r="N193" s="285" t="s">
        <v>6366</v>
      </c>
      <c r="O193" s="299" t="s">
        <v>2621</v>
      </c>
      <c r="P193" s="300">
        <v>37620.0</v>
      </c>
      <c r="Q193" s="198"/>
      <c r="R193" s="198"/>
      <c r="S193" s="198"/>
      <c r="T193" s="198"/>
      <c r="U193" s="198"/>
      <c r="V193" s="198"/>
      <c r="W193" s="198"/>
      <c r="X193" s="198"/>
      <c r="Y193" s="198"/>
      <c r="Z193" s="198"/>
      <c r="AA193" s="198"/>
    </row>
    <row r="194" ht="58.5" customHeight="1">
      <c r="A194" s="370">
        <v>37869.0</v>
      </c>
      <c r="B194" s="299" t="s">
        <v>715</v>
      </c>
      <c r="C194" s="285">
        <v>960.0</v>
      </c>
      <c r="D194" s="285" t="s">
        <v>7890</v>
      </c>
      <c r="E194" s="287" t="s">
        <v>2751</v>
      </c>
      <c r="F194" s="285" t="s">
        <v>5919</v>
      </c>
      <c r="G194" s="288">
        <v>45109.0</v>
      </c>
      <c r="H194" s="288">
        <v>45104.0</v>
      </c>
      <c r="I194" s="288">
        <v>45104.0</v>
      </c>
      <c r="J194" s="288">
        <v>45114.0</v>
      </c>
      <c r="K194" s="294"/>
      <c r="L194" s="294"/>
      <c r="M194" s="290" t="s">
        <v>7891</v>
      </c>
      <c r="N194" s="285" t="s">
        <v>6366</v>
      </c>
      <c r="O194" s="299" t="s">
        <v>2621</v>
      </c>
      <c r="P194" s="300">
        <v>37490.6</v>
      </c>
      <c r="Q194" s="198"/>
      <c r="R194" s="198"/>
      <c r="S194" s="198"/>
      <c r="T194" s="198"/>
      <c r="U194" s="198"/>
      <c r="V194" s="198"/>
      <c r="W194" s="198"/>
      <c r="X194" s="198"/>
      <c r="Y194" s="198"/>
      <c r="Z194" s="198"/>
      <c r="AA194" s="198"/>
    </row>
    <row r="195" ht="57.75" customHeight="1">
      <c r="A195" s="370">
        <v>37916.0</v>
      </c>
      <c r="B195" s="299" t="s">
        <v>715</v>
      </c>
      <c r="C195" s="285" t="s">
        <v>7892</v>
      </c>
      <c r="D195" s="285" t="s">
        <v>7893</v>
      </c>
      <c r="E195" s="287" t="s">
        <v>7894</v>
      </c>
      <c r="F195" s="285" t="s">
        <v>5919</v>
      </c>
      <c r="G195" s="288">
        <v>45108.0</v>
      </c>
      <c r="H195" s="288">
        <v>45106.0</v>
      </c>
      <c r="I195" s="288">
        <v>45106.0</v>
      </c>
      <c r="J195" s="288">
        <v>45117.0</v>
      </c>
      <c r="K195" s="294"/>
      <c r="L195" s="294"/>
      <c r="M195" s="290" t="s">
        <v>7895</v>
      </c>
      <c r="N195" s="285" t="s">
        <v>4635</v>
      </c>
      <c r="O195" s="299" t="s">
        <v>2621</v>
      </c>
      <c r="P195" s="300">
        <v>88452.0</v>
      </c>
      <c r="Q195" s="198"/>
      <c r="R195" s="198"/>
      <c r="S195" s="198"/>
      <c r="T195" s="198"/>
      <c r="U195" s="198"/>
      <c r="V195" s="198"/>
      <c r="W195" s="198"/>
      <c r="X195" s="198"/>
      <c r="Y195" s="198"/>
      <c r="Z195" s="198"/>
      <c r="AA195" s="198"/>
    </row>
    <row r="196" ht="57.75" customHeight="1">
      <c r="A196" s="370">
        <v>37822.0</v>
      </c>
      <c r="B196" s="285" t="s">
        <v>21</v>
      </c>
      <c r="C196" s="285">
        <v>2578.0</v>
      </c>
      <c r="D196" s="285" t="s">
        <v>7896</v>
      </c>
      <c r="E196" s="287" t="s">
        <v>7106</v>
      </c>
      <c r="F196" s="285" t="s">
        <v>5919</v>
      </c>
      <c r="G196" s="288">
        <v>45108.0</v>
      </c>
      <c r="H196" s="288">
        <v>45105.0</v>
      </c>
      <c r="I196" s="288">
        <v>45105.0</v>
      </c>
      <c r="J196" s="288">
        <v>45118.0</v>
      </c>
      <c r="K196" s="449">
        <v>5534012.0</v>
      </c>
      <c r="L196" s="294"/>
      <c r="M196" s="290" t="s">
        <v>7897</v>
      </c>
      <c r="N196" s="285" t="s">
        <v>497</v>
      </c>
      <c r="O196" s="299" t="s">
        <v>2554</v>
      </c>
      <c r="P196" s="300">
        <v>57489.4</v>
      </c>
      <c r="Q196" s="198"/>
      <c r="R196" s="198"/>
      <c r="S196" s="198"/>
      <c r="T196" s="198"/>
      <c r="U196" s="198"/>
      <c r="V196" s="198"/>
      <c r="W196" s="198"/>
      <c r="X196" s="198"/>
      <c r="Y196" s="198"/>
      <c r="Z196" s="198"/>
      <c r="AA196" s="198"/>
    </row>
    <row r="197" ht="57.75" customHeight="1">
      <c r="A197" s="370">
        <v>37711.0</v>
      </c>
      <c r="B197" s="285" t="s">
        <v>21</v>
      </c>
      <c r="C197" s="285">
        <v>4128.0</v>
      </c>
      <c r="D197" s="285" t="s">
        <v>7898</v>
      </c>
      <c r="E197" s="287" t="s">
        <v>7438</v>
      </c>
      <c r="F197" s="285" t="s">
        <v>5919</v>
      </c>
      <c r="G197" s="288">
        <v>45108.0</v>
      </c>
      <c r="H197" s="288">
        <v>45104.0</v>
      </c>
      <c r="I197" s="288">
        <v>45104.0</v>
      </c>
      <c r="J197" s="288">
        <v>45120.0</v>
      </c>
      <c r="K197" s="449">
        <v>5534012.0</v>
      </c>
      <c r="L197" s="294"/>
      <c r="M197" s="290" t="s">
        <v>7899</v>
      </c>
      <c r="N197" s="285" t="s">
        <v>497</v>
      </c>
      <c r="O197" s="299" t="s">
        <v>2554</v>
      </c>
      <c r="P197" s="300">
        <v>31037.5</v>
      </c>
      <c r="Q197" s="198"/>
      <c r="R197" s="198"/>
      <c r="S197" s="198"/>
      <c r="T197" s="198"/>
      <c r="U197" s="198"/>
      <c r="V197" s="198"/>
      <c r="W197" s="198"/>
      <c r="X197" s="198"/>
      <c r="Y197" s="198"/>
      <c r="Z197" s="198"/>
      <c r="AA197" s="198"/>
    </row>
    <row r="198" ht="57.75" customHeight="1">
      <c r="A198" s="370">
        <v>37977.0</v>
      </c>
      <c r="B198" s="299" t="s">
        <v>715</v>
      </c>
      <c r="C198" s="285">
        <v>980.0</v>
      </c>
      <c r="D198" s="285" t="s">
        <v>7900</v>
      </c>
      <c r="E198" s="287" t="s">
        <v>7901</v>
      </c>
      <c r="F198" s="285" t="s">
        <v>5919</v>
      </c>
      <c r="G198" s="288">
        <v>45108.0</v>
      </c>
      <c r="H198" s="288">
        <v>45104.0</v>
      </c>
      <c r="I198" s="288">
        <v>45104.0</v>
      </c>
      <c r="J198" s="288">
        <v>45112.0</v>
      </c>
      <c r="K198" s="294"/>
      <c r="L198" s="294"/>
      <c r="M198" s="290" t="s">
        <v>7902</v>
      </c>
      <c r="N198" s="285" t="s">
        <v>4635</v>
      </c>
      <c r="O198" s="299" t="s">
        <v>2621</v>
      </c>
      <c r="P198" s="300">
        <v>41263.4</v>
      </c>
      <c r="Q198" s="198"/>
      <c r="R198" s="198"/>
      <c r="S198" s="198"/>
      <c r="T198" s="198"/>
      <c r="U198" s="198"/>
      <c r="V198" s="198"/>
      <c r="W198" s="198"/>
      <c r="X198" s="198"/>
      <c r="Y198" s="198"/>
      <c r="Z198" s="198"/>
      <c r="AA198" s="198"/>
    </row>
    <row r="199" ht="57.75" customHeight="1">
      <c r="A199" s="370">
        <v>38036.0</v>
      </c>
      <c r="B199" s="285" t="s">
        <v>21</v>
      </c>
      <c r="C199" s="285">
        <v>1280.0</v>
      </c>
      <c r="D199" s="285" t="s">
        <v>7903</v>
      </c>
      <c r="E199" s="287" t="s">
        <v>7904</v>
      </c>
      <c r="F199" s="285" t="s">
        <v>5919</v>
      </c>
      <c r="G199" s="288">
        <v>45108.0</v>
      </c>
      <c r="H199" s="288">
        <v>45103.0</v>
      </c>
      <c r="I199" s="288">
        <v>45103.0</v>
      </c>
      <c r="J199" s="288">
        <v>45121.0</v>
      </c>
      <c r="K199" s="449">
        <v>5534012.0</v>
      </c>
      <c r="L199" s="294"/>
      <c r="M199" s="290" t="s">
        <v>7905</v>
      </c>
      <c r="N199" s="285" t="s">
        <v>4635</v>
      </c>
      <c r="O199" s="299" t="s">
        <v>2621</v>
      </c>
      <c r="P199" s="300">
        <v>30619.8</v>
      </c>
      <c r="Q199" s="198"/>
      <c r="R199" s="198"/>
      <c r="S199" s="198"/>
      <c r="T199" s="198"/>
      <c r="U199" s="198"/>
      <c r="V199" s="198"/>
      <c r="W199" s="198"/>
      <c r="X199" s="198"/>
      <c r="Y199" s="198"/>
      <c r="Z199" s="198"/>
      <c r="AA199" s="198"/>
    </row>
    <row r="200" ht="59.25" customHeight="1">
      <c r="A200" s="370">
        <v>38059.0</v>
      </c>
      <c r="B200" s="285" t="s">
        <v>21</v>
      </c>
      <c r="C200" s="285">
        <v>4831.0</v>
      </c>
      <c r="D200" s="285" t="s">
        <v>7906</v>
      </c>
      <c r="E200" s="287" t="s">
        <v>7907</v>
      </c>
      <c r="F200" s="285" t="s">
        <v>5919</v>
      </c>
      <c r="G200" s="288">
        <v>45107.0</v>
      </c>
      <c r="H200" s="288" t="s">
        <v>7908</v>
      </c>
      <c r="I200" s="288" t="s">
        <v>7908</v>
      </c>
      <c r="J200" s="288">
        <v>45117.0</v>
      </c>
      <c r="K200" s="449">
        <v>5534012.0</v>
      </c>
      <c r="L200" s="294"/>
      <c r="M200" s="290" t="s">
        <v>7909</v>
      </c>
      <c r="N200" s="285" t="s">
        <v>4635</v>
      </c>
      <c r="O200" s="299" t="s">
        <v>2621</v>
      </c>
      <c r="P200" s="300">
        <v>46184.28</v>
      </c>
      <c r="Q200" s="198"/>
      <c r="R200" s="198"/>
      <c r="S200" s="198"/>
      <c r="T200" s="198"/>
      <c r="U200" s="198"/>
      <c r="V200" s="198"/>
      <c r="W200" s="198"/>
      <c r="X200" s="198"/>
      <c r="Y200" s="198"/>
      <c r="Z200" s="198"/>
      <c r="AA200" s="198"/>
    </row>
    <row r="201" ht="57.75" customHeight="1">
      <c r="A201" s="370">
        <v>37795.0</v>
      </c>
      <c r="B201" s="299" t="s">
        <v>25</v>
      </c>
      <c r="C201" s="285">
        <v>1306.0</v>
      </c>
      <c r="D201" s="285" t="s">
        <v>7910</v>
      </c>
      <c r="E201" s="287" t="s">
        <v>7911</v>
      </c>
      <c r="F201" s="285" t="s">
        <v>5919</v>
      </c>
      <c r="G201" s="288">
        <v>45107.0</v>
      </c>
      <c r="H201" s="288">
        <v>45103.0</v>
      </c>
      <c r="I201" s="288">
        <v>45103.0</v>
      </c>
      <c r="J201" s="288">
        <v>45114.0</v>
      </c>
      <c r="K201" s="294"/>
      <c r="L201" s="294"/>
      <c r="M201" s="290" t="s">
        <v>7912</v>
      </c>
      <c r="N201" s="285" t="s">
        <v>497</v>
      </c>
      <c r="O201" s="299" t="s">
        <v>2554</v>
      </c>
      <c r="P201" s="300">
        <v>46036.5</v>
      </c>
      <c r="Q201" s="198"/>
      <c r="R201" s="198"/>
      <c r="S201" s="198"/>
      <c r="T201" s="198"/>
      <c r="U201" s="198"/>
      <c r="V201" s="198"/>
      <c r="W201" s="198"/>
      <c r="X201" s="198"/>
      <c r="Y201" s="198"/>
      <c r="Z201" s="198"/>
      <c r="AA201" s="198"/>
    </row>
    <row r="202" ht="60.75" customHeight="1">
      <c r="A202" s="370">
        <v>37878.0</v>
      </c>
      <c r="B202" s="299" t="s">
        <v>715</v>
      </c>
      <c r="C202" s="285">
        <v>1800.0</v>
      </c>
      <c r="D202" s="285" t="s">
        <v>7913</v>
      </c>
      <c r="E202" s="287" t="s">
        <v>3740</v>
      </c>
      <c r="F202" s="285" t="s">
        <v>5919</v>
      </c>
      <c r="G202" s="288">
        <v>45105.0</v>
      </c>
      <c r="H202" s="288">
        <v>45103.0</v>
      </c>
      <c r="I202" s="288">
        <v>45103.0</v>
      </c>
      <c r="J202" s="288">
        <v>45110.0</v>
      </c>
      <c r="K202" s="294"/>
      <c r="L202" s="294"/>
      <c r="M202" s="290" t="s">
        <v>7914</v>
      </c>
      <c r="N202" s="285" t="s">
        <v>497</v>
      </c>
      <c r="O202" s="299" t="s">
        <v>4711</v>
      </c>
      <c r="P202" s="300">
        <v>38169.72</v>
      </c>
      <c r="Q202" s="198"/>
      <c r="R202" s="198"/>
      <c r="S202" s="198"/>
      <c r="T202" s="198"/>
      <c r="U202" s="198"/>
      <c r="V202" s="198"/>
      <c r="W202" s="198"/>
      <c r="X202" s="198"/>
      <c r="Y202" s="198"/>
      <c r="Z202" s="198"/>
      <c r="AA202" s="198"/>
    </row>
    <row r="203" ht="57.75" customHeight="1">
      <c r="A203" s="370">
        <v>37969.0</v>
      </c>
      <c r="B203" s="285" t="s">
        <v>21</v>
      </c>
      <c r="C203" s="285">
        <v>1980.0</v>
      </c>
      <c r="D203" s="285" t="s">
        <v>7915</v>
      </c>
      <c r="E203" s="287" t="s">
        <v>6582</v>
      </c>
      <c r="F203" s="285" t="s">
        <v>5919</v>
      </c>
      <c r="G203" s="288">
        <v>45103.0</v>
      </c>
      <c r="H203" s="288">
        <v>45104.0</v>
      </c>
      <c r="I203" s="288">
        <v>45104.0</v>
      </c>
      <c r="J203" s="288">
        <v>45114.0</v>
      </c>
      <c r="K203" s="294" t="s">
        <v>4841</v>
      </c>
      <c r="L203" s="294"/>
      <c r="M203" s="290" t="s">
        <v>7916</v>
      </c>
      <c r="N203" s="285" t="s">
        <v>497</v>
      </c>
      <c r="O203" s="299" t="s">
        <v>2621</v>
      </c>
      <c r="P203" s="300">
        <v>33865.15</v>
      </c>
      <c r="Q203" s="198"/>
      <c r="R203" s="198"/>
      <c r="S203" s="198"/>
      <c r="T203" s="198"/>
      <c r="U203" s="198"/>
      <c r="V203" s="198"/>
      <c r="W203" s="198"/>
      <c r="X203" s="198"/>
      <c r="Y203" s="198"/>
      <c r="Z203" s="198"/>
      <c r="AA203" s="198"/>
    </row>
    <row r="204" ht="57.75" customHeight="1">
      <c r="A204" s="370">
        <v>37968.0</v>
      </c>
      <c r="B204" s="285" t="s">
        <v>21</v>
      </c>
      <c r="C204" s="285">
        <v>1985.0</v>
      </c>
      <c r="D204" s="285" t="s">
        <v>7917</v>
      </c>
      <c r="E204" s="287" t="s">
        <v>6582</v>
      </c>
      <c r="F204" s="285" t="s">
        <v>5919</v>
      </c>
      <c r="G204" s="288">
        <v>45103.0</v>
      </c>
      <c r="H204" s="288">
        <v>45104.0</v>
      </c>
      <c r="I204" s="288">
        <v>45104.0</v>
      </c>
      <c r="J204" s="288">
        <v>45114.0</v>
      </c>
      <c r="K204" s="294" t="s">
        <v>4841</v>
      </c>
      <c r="L204" s="294"/>
      <c r="M204" s="290" t="s">
        <v>7918</v>
      </c>
      <c r="N204" s="285" t="s">
        <v>497</v>
      </c>
      <c r="O204" s="299" t="s">
        <v>2621</v>
      </c>
      <c r="P204" s="300">
        <v>34177.21</v>
      </c>
      <c r="Q204" s="198"/>
      <c r="R204" s="198"/>
      <c r="S204" s="198"/>
      <c r="T204" s="198"/>
      <c r="U204" s="198"/>
      <c r="V204" s="198"/>
      <c r="W204" s="198"/>
      <c r="X204" s="198"/>
      <c r="Y204" s="198"/>
      <c r="Z204" s="198"/>
      <c r="AA204" s="198"/>
    </row>
    <row r="205" ht="66.75" customHeight="1">
      <c r="A205" s="370">
        <v>37789.0</v>
      </c>
      <c r="B205" s="299" t="s">
        <v>715</v>
      </c>
      <c r="C205" s="285">
        <v>1306.0</v>
      </c>
      <c r="D205" s="285" t="s">
        <v>7919</v>
      </c>
      <c r="E205" s="287" t="s">
        <v>4681</v>
      </c>
      <c r="F205" s="285" t="s">
        <v>5919</v>
      </c>
      <c r="G205" s="288">
        <v>45103.0</v>
      </c>
      <c r="H205" s="288">
        <v>45099.0</v>
      </c>
      <c r="I205" s="288">
        <v>45099.0</v>
      </c>
      <c r="J205" s="288">
        <v>45104.0</v>
      </c>
      <c r="K205" s="294"/>
      <c r="L205" s="294"/>
      <c r="M205" s="290" t="s">
        <v>7920</v>
      </c>
      <c r="N205" s="285" t="s">
        <v>497</v>
      </c>
      <c r="O205" s="299" t="s">
        <v>2554</v>
      </c>
      <c r="P205" s="300">
        <v>44795.8</v>
      </c>
      <c r="Q205" s="198"/>
      <c r="R205" s="198"/>
      <c r="S205" s="198"/>
      <c r="T205" s="198"/>
      <c r="U205" s="198"/>
      <c r="V205" s="198"/>
      <c r="W205" s="198"/>
      <c r="X205" s="198"/>
      <c r="Y205" s="198"/>
      <c r="Z205" s="198"/>
      <c r="AA205" s="198"/>
    </row>
    <row r="206" ht="63.0" customHeight="1">
      <c r="A206" s="370">
        <v>37753.0</v>
      </c>
      <c r="B206" s="299" t="s">
        <v>715</v>
      </c>
      <c r="C206" s="285">
        <v>1215.0</v>
      </c>
      <c r="D206" s="367" t="s">
        <v>7921</v>
      </c>
      <c r="E206" s="287" t="s">
        <v>7922</v>
      </c>
      <c r="F206" s="285" t="s">
        <v>5919</v>
      </c>
      <c r="G206" s="288">
        <v>45103.0</v>
      </c>
      <c r="H206" s="288">
        <v>45098.0</v>
      </c>
      <c r="I206" s="288">
        <v>45098.0</v>
      </c>
      <c r="J206" s="288">
        <v>45106.0</v>
      </c>
      <c r="K206" s="294"/>
      <c r="L206" s="294"/>
      <c r="M206" s="290" t="s">
        <v>7923</v>
      </c>
      <c r="N206" s="285" t="s">
        <v>6366</v>
      </c>
      <c r="O206" s="299" t="s">
        <v>2621</v>
      </c>
      <c r="P206" s="300">
        <v>55991.0</v>
      </c>
      <c r="Q206" s="198"/>
      <c r="R206" s="198"/>
      <c r="S206" s="198"/>
      <c r="T206" s="198"/>
      <c r="U206" s="198"/>
      <c r="V206" s="198"/>
      <c r="W206" s="198"/>
      <c r="X206" s="198"/>
      <c r="Y206" s="198"/>
      <c r="Z206" s="198"/>
      <c r="AA206" s="198"/>
    </row>
    <row r="207" ht="57.75" customHeight="1">
      <c r="A207" s="370">
        <v>37716.0</v>
      </c>
      <c r="B207" s="285" t="s">
        <v>21</v>
      </c>
      <c r="C207" s="285">
        <v>4356.0</v>
      </c>
      <c r="D207" s="285" t="s">
        <v>7924</v>
      </c>
      <c r="E207" s="287" t="s">
        <v>4644</v>
      </c>
      <c r="F207" s="285" t="s">
        <v>5919</v>
      </c>
      <c r="G207" s="288">
        <v>45103.0</v>
      </c>
      <c r="H207" s="288">
        <v>45098.0</v>
      </c>
      <c r="I207" s="288">
        <v>45098.0</v>
      </c>
      <c r="J207" s="288">
        <v>45113.0</v>
      </c>
      <c r="K207" s="449" t="s">
        <v>7925</v>
      </c>
      <c r="L207" s="294"/>
      <c r="M207" s="290" t="s">
        <v>7926</v>
      </c>
      <c r="N207" s="285" t="s">
        <v>497</v>
      </c>
      <c r="O207" s="299" t="s">
        <v>2554</v>
      </c>
      <c r="P207" s="300">
        <v>30056.4</v>
      </c>
      <c r="Q207" s="198"/>
      <c r="R207" s="198"/>
      <c r="S207" s="198"/>
      <c r="T207" s="198"/>
      <c r="U207" s="198"/>
      <c r="V207" s="198"/>
      <c r="W207" s="198"/>
      <c r="X207" s="198"/>
      <c r="Y207" s="198"/>
      <c r="Z207" s="198"/>
      <c r="AA207" s="198"/>
    </row>
    <row r="208" ht="57.75" customHeight="1">
      <c r="A208" s="370">
        <v>38001.0</v>
      </c>
      <c r="B208" s="285" t="s">
        <v>21</v>
      </c>
      <c r="C208" s="285">
        <v>1185.0</v>
      </c>
      <c r="D208" s="285" t="s">
        <v>7927</v>
      </c>
      <c r="E208" s="287" t="s">
        <v>7928</v>
      </c>
      <c r="F208" s="285" t="s">
        <v>5919</v>
      </c>
      <c r="G208" s="288">
        <v>45098.0</v>
      </c>
      <c r="H208" s="288">
        <v>45089.0</v>
      </c>
      <c r="I208" s="288">
        <v>45089.0</v>
      </c>
      <c r="J208" s="288">
        <v>45106.0</v>
      </c>
      <c r="K208" s="451">
        <v>5524559.0</v>
      </c>
      <c r="L208" s="294"/>
      <c r="M208" s="290" t="s">
        <v>7929</v>
      </c>
      <c r="N208" s="285" t="s">
        <v>4635</v>
      </c>
      <c r="O208" s="299" t="s">
        <v>2621</v>
      </c>
      <c r="P208" s="300">
        <v>63335.6</v>
      </c>
      <c r="Q208" s="198"/>
      <c r="R208" s="198"/>
      <c r="S208" s="198"/>
      <c r="T208" s="198"/>
      <c r="U208" s="198"/>
      <c r="V208" s="198"/>
      <c r="W208" s="198"/>
      <c r="X208" s="198"/>
      <c r="Y208" s="198"/>
      <c r="Z208" s="198"/>
      <c r="AA208" s="198"/>
    </row>
    <row r="209" ht="64.5" customHeight="1">
      <c r="A209" s="370">
        <v>37746.0</v>
      </c>
      <c r="B209" s="299" t="s">
        <v>715</v>
      </c>
      <c r="C209" s="285">
        <v>2145.0</v>
      </c>
      <c r="D209" s="285" t="s">
        <v>7930</v>
      </c>
      <c r="E209" s="287" t="s">
        <v>6975</v>
      </c>
      <c r="F209" s="285" t="s">
        <v>5919</v>
      </c>
      <c r="G209" s="288">
        <v>45097.0</v>
      </c>
      <c r="H209" s="288">
        <v>45093.0</v>
      </c>
      <c r="I209" s="288">
        <v>45093.0</v>
      </c>
      <c r="J209" s="288">
        <v>45100.0</v>
      </c>
      <c r="K209" s="294"/>
      <c r="L209" s="294"/>
      <c r="M209" s="290" t="s">
        <v>7931</v>
      </c>
      <c r="N209" s="285" t="s">
        <v>497</v>
      </c>
      <c r="O209" s="299" t="s">
        <v>4662</v>
      </c>
      <c r="P209" s="300">
        <v>24644.91</v>
      </c>
      <c r="Q209" s="198"/>
      <c r="R209" s="198"/>
      <c r="S209" s="198"/>
      <c r="T209" s="198"/>
      <c r="U209" s="198"/>
      <c r="V209" s="198"/>
      <c r="W209" s="198"/>
      <c r="X209" s="198"/>
      <c r="Y209" s="198"/>
      <c r="Z209" s="198"/>
      <c r="AA209" s="198"/>
    </row>
    <row r="210" ht="67.5" customHeight="1">
      <c r="A210" s="370">
        <v>37970.0</v>
      </c>
      <c r="B210" s="299" t="s">
        <v>25</v>
      </c>
      <c r="C210" s="285">
        <v>1984.0</v>
      </c>
      <c r="D210" s="285" t="s">
        <v>7932</v>
      </c>
      <c r="E210" s="287" t="s">
        <v>6582</v>
      </c>
      <c r="F210" s="285" t="s">
        <v>5919</v>
      </c>
      <c r="G210" s="288">
        <v>45097.0</v>
      </c>
      <c r="H210" s="288">
        <v>45093.0</v>
      </c>
      <c r="I210" s="288">
        <v>45093.0</v>
      </c>
      <c r="J210" s="288">
        <v>45103.0</v>
      </c>
      <c r="K210" s="294"/>
      <c r="L210" s="294"/>
      <c r="M210" s="290" t="s">
        <v>7933</v>
      </c>
      <c r="N210" s="285" t="s">
        <v>497</v>
      </c>
      <c r="O210" s="299" t="s">
        <v>2621</v>
      </c>
      <c r="P210" s="300">
        <v>34164.51</v>
      </c>
      <c r="Q210" s="198"/>
      <c r="R210" s="198"/>
      <c r="S210" s="198"/>
      <c r="T210" s="198"/>
      <c r="U210" s="198"/>
      <c r="V210" s="198"/>
      <c r="W210" s="198"/>
      <c r="X210" s="198"/>
      <c r="Y210" s="198"/>
      <c r="Z210" s="198"/>
      <c r="AA210" s="198"/>
    </row>
    <row r="211" ht="65.25" customHeight="1">
      <c r="A211" s="370">
        <v>37792.0</v>
      </c>
      <c r="B211" s="285" t="s">
        <v>21</v>
      </c>
      <c r="C211" s="285">
        <v>4356.0</v>
      </c>
      <c r="D211" s="285" t="s">
        <v>7934</v>
      </c>
      <c r="E211" s="287" t="s">
        <v>7523</v>
      </c>
      <c r="F211" s="285" t="s">
        <v>5919</v>
      </c>
      <c r="G211" s="288">
        <v>45096.0</v>
      </c>
      <c r="H211" s="288">
        <v>45089.0</v>
      </c>
      <c r="I211" s="288">
        <v>45089.0</v>
      </c>
      <c r="J211" s="288">
        <v>45103.0</v>
      </c>
      <c r="K211" s="451">
        <v>5524559.0</v>
      </c>
      <c r="L211" s="294"/>
      <c r="M211" s="290" t="s">
        <v>7935</v>
      </c>
      <c r="N211" s="285" t="s">
        <v>497</v>
      </c>
      <c r="O211" s="299" t="s">
        <v>2554</v>
      </c>
      <c r="P211" s="300">
        <v>30056.4</v>
      </c>
      <c r="Q211" s="198"/>
      <c r="R211" s="198"/>
      <c r="S211" s="198"/>
      <c r="T211" s="198"/>
      <c r="U211" s="198"/>
      <c r="V211" s="198"/>
      <c r="W211" s="198"/>
      <c r="X211" s="198"/>
      <c r="Y211" s="198"/>
      <c r="Z211" s="198"/>
      <c r="AA211" s="198"/>
    </row>
    <row r="212" ht="62.25" customHeight="1">
      <c r="A212" s="370">
        <v>37898.0</v>
      </c>
      <c r="B212" s="299" t="s">
        <v>715</v>
      </c>
      <c r="C212" s="285">
        <v>4802.0</v>
      </c>
      <c r="D212" s="285" t="s">
        <v>7936</v>
      </c>
      <c r="E212" s="287" t="s">
        <v>7937</v>
      </c>
      <c r="F212" s="285" t="s">
        <v>5919</v>
      </c>
      <c r="G212" s="288">
        <v>45095.0</v>
      </c>
      <c r="H212" s="288">
        <v>45089.0</v>
      </c>
      <c r="I212" s="288">
        <v>45089.0</v>
      </c>
      <c r="J212" s="288">
        <v>45099.0</v>
      </c>
      <c r="K212" s="294"/>
      <c r="L212" s="294"/>
      <c r="M212" s="290" t="s">
        <v>7938</v>
      </c>
      <c r="N212" s="285" t="s">
        <v>4635</v>
      </c>
      <c r="O212" s="299" t="s">
        <v>2621</v>
      </c>
      <c r="P212" s="300">
        <v>48356.72</v>
      </c>
      <c r="Q212" s="198"/>
      <c r="R212" s="198"/>
      <c r="S212" s="198"/>
      <c r="T212" s="198"/>
      <c r="U212" s="198"/>
      <c r="V212" s="198"/>
      <c r="W212" s="198"/>
      <c r="X212" s="198"/>
      <c r="Y212" s="198"/>
      <c r="Z212" s="198"/>
      <c r="AA212" s="198"/>
    </row>
    <row r="213" ht="62.25" customHeight="1">
      <c r="A213" s="370">
        <v>37842.0</v>
      </c>
      <c r="B213" s="299" t="s">
        <v>25</v>
      </c>
      <c r="C213" s="285" t="s">
        <v>7939</v>
      </c>
      <c r="D213" s="285" t="s">
        <v>7940</v>
      </c>
      <c r="E213" s="287" t="s">
        <v>4641</v>
      </c>
      <c r="F213" s="285" t="s">
        <v>5919</v>
      </c>
      <c r="G213" s="288">
        <v>45094.0</v>
      </c>
      <c r="H213" s="288">
        <v>45090.0</v>
      </c>
      <c r="I213" s="288">
        <v>45090.0</v>
      </c>
      <c r="J213" s="288">
        <v>44734.0</v>
      </c>
      <c r="K213" s="294"/>
      <c r="L213" s="294"/>
      <c r="M213" s="290" t="s">
        <v>7941</v>
      </c>
      <c r="N213" s="285" t="s">
        <v>497</v>
      </c>
      <c r="O213" s="299" t="s">
        <v>2538</v>
      </c>
      <c r="P213" s="300">
        <v>156676.0</v>
      </c>
      <c r="Q213" s="198"/>
      <c r="R213" s="198"/>
      <c r="S213" s="198"/>
      <c r="T213" s="198"/>
      <c r="U213" s="198"/>
      <c r="V213" s="198"/>
      <c r="W213" s="198"/>
      <c r="X213" s="198"/>
      <c r="Y213" s="198"/>
      <c r="Z213" s="198"/>
      <c r="AA213" s="198"/>
    </row>
    <row r="214" ht="57.75" customHeight="1">
      <c r="A214" s="370">
        <v>37947.0</v>
      </c>
      <c r="B214" s="299" t="s">
        <v>715</v>
      </c>
      <c r="C214" s="285">
        <v>1100.0</v>
      </c>
      <c r="D214" s="285" t="s">
        <v>7942</v>
      </c>
      <c r="E214" s="287" t="s">
        <v>7943</v>
      </c>
      <c r="F214" s="285" t="s">
        <v>5919</v>
      </c>
      <c r="G214" s="288">
        <v>45093.0</v>
      </c>
      <c r="H214" s="288">
        <v>45092.0</v>
      </c>
      <c r="I214" s="288">
        <v>45092.0</v>
      </c>
      <c r="J214" s="288">
        <v>45098.0</v>
      </c>
      <c r="K214" s="294"/>
      <c r="L214" s="294"/>
      <c r="M214" s="290" t="s">
        <v>7944</v>
      </c>
      <c r="N214" s="285" t="s">
        <v>4635</v>
      </c>
      <c r="O214" s="299" t="s">
        <v>2621</v>
      </c>
      <c r="P214" s="300">
        <v>80984.6</v>
      </c>
      <c r="Q214" s="198"/>
      <c r="R214" s="198"/>
      <c r="S214" s="198"/>
      <c r="T214" s="198"/>
      <c r="U214" s="198"/>
      <c r="V214" s="198"/>
      <c r="W214" s="198"/>
      <c r="X214" s="198"/>
      <c r="Y214" s="198"/>
      <c r="Z214" s="198"/>
      <c r="AA214" s="198"/>
    </row>
    <row r="215" ht="57.75" customHeight="1">
      <c r="A215" s="370">
        <v>38004.0</v>
      </c>
      <c r="B215" s="285" t="s">
        <v>21</v>
      </c>
      <c r="C215" s="285">
        <v>1185.0</v>
      </c>
      <c r="D215" s="285" t="s">
        <v>7945</v>
      </c>
      <c r="E215" s="287" t="s">
        <v>7928</v>
      </c>
      <c r="F215" s="285" t="s">
        <v>5919</v>
      </c>
      <c r="G215" s="288">
        <v>45093.0</v>
      </c>
      <c r="H215" s="288">
        <v>45089.0</v>
      </c>
      <c r="I215" s="288">
        <v>45089.0</v>
      </c>
      <c r="J215" s="288">
        <v>45103.0</v>
      </c>
      <c r="K215" s="451">
        <v>5524559.0</v>
      </c>
      <c r="L215" s="294"/>
      <c r="M215" s="290" t="s">
        <v>7946</v>
      </c>
      <c r="N215" s="285" t="s">
        <v>4635</v>
      </c>
      <c r="O215" s="299" t="s">
        <v>2621</v>
      </c>
      <c r="P215" s="300">
        <v>63335.6</v>
      </c>
      <c r="Q215" s="198"/>
      <c r="R215" s="198"/>
      <c r="S215" s="198"/>
      <c r="T215" s="198"/>
      <c r="U215" s="198"/>
      <c r="V215" s="198"/>
      <c r="W215" s="198"/>
      <c r="X215" s="198"/>
      <c r="Y215" s="198"/>
      <c r="Z215" s="198"/>
      <c r="AA215" s="198"/>
    </row>
    <row r="216" ht="66.75" customHeight="1">
      <c r="A216" s="370">
        <v>37707.0</v>
      </c>
      <c r="B216" s="285" t="s">
        <v>21</v>
      </c>
      <c r="C216" s="285">
        <v>2550.0</v>
      </c>
      <c r="D216" s="285" t="s">
        <v>7947</v>
      </c>
      <c r="E216" s="287" t="s">
        <v>6582</v>
      </c>
      <c r="F216" s="285" t="s">
        <v>5919</v>
      </c>
      <c r="G216" s="288">
        <v>45091.0</v>
      </c>
      <c r="H216" s="288">
        <v>45092.0</v>
      </c>
      <c r="I216" s="288">
        <v>45092.0</v>
      </c>
      <c r="J216" s="288">
        <v>45097.0</v>
      </c>
      <c r="K216" s="425" t="s">
        <v>4841</v>
      </c>
      <c r="L216" s="294"/>
      <c r="M216" s="290" t="s">
        <v>7948</v>
      </c>
      <c r="N216" s="285" t="s">
        <v>497</v>
      </c>
      <c r="O216" s="299" t="s">
        <v>2621</v>
      </c>
      <c r="P216" s="300">
        <v>32446.32</v>
      </c>
      <c r="Q216" s="198"/>
      <c r="R216" s="198"/>
      <c r="S216" s="198"/>
      <c r="T216" s="198"/>
      <c r="U216" s="198"/>
      <c r="V216" s="198"/>
      <c r="W216" s="198"/>
      <c r="X216" s="198"/>
      <c r="Y216" s="198"/>
      <c r="Z216" s="198"/>
      <c r="AA216" s="198"/>
    </row>
    <row r="217" ht="66.75" customHeight="1">
      <c r="A217" s="370">
        <v>37708.0</v>
      </c>
      <c r="B217" s="285" t="s">
        <v>21</v>
      </c>
      <c r="C217" s="285">
        <v>2550.0</v>
      </c>
      <c r="D217" s="285" t="s">
        <v>7949</v>
      </c>
      <c r="E217" s="287" t="s">
        <v>6582</v>
      </c>
      <c r="F217" s="285" t="s">
        <v>5919</v>
      </c>
      <c r="G217" s="288">
        <v>45091.0</v>
      </c>
      <c r="H217" s="288">
        <v>45092.0</v>
      </c>
      <c r="I217" s="288">
        <v>45092.0</v>
      </c>
      <c r="J217" s="288">
        <v>45098.0</v>
      </c>
      <c r="K217" s="425" t="s">
        <v>4841</v>
      </c>
      <c r="L217" s="294"/>
      <c r="M217" s="290" t="s">
        <v>7950</v>
      </c>
      <c r="N217" s="285" t="s">
        <v>497</v>
      </c>
      <c r="O217" s="299" t="s">
        <v>2621</v>
      </c>
      <c r="P217" s="300">
        <v>32446.32</v>
      </c>
      <c r="Q217" s="198"/>
      <c r="R217" s="198"/>
      <c r="S217" s="198"/>
      <c r="T217" s="198"/>
      <c r="U217" s="198"/>
      <c r="V217" s="198"/>
      <c r="W217" s="198"/>
      <c r="X217" s="198"/>
      <c r="Y217" s="198"/>
      <c r="Z217" s="198"/>
      <c r="AA217" s="198"/>
    </row>
    <row r="218" ht="57.75" customHeight="1">
      <c r="A218" s="370">
        <v>37944.0</v>
      </c>
      <c r="B218" s="299" t="s">
        <v>715</v>
      </c>
      <c r="C218" s="285">
        <v>5040.0</v>
      </c>
      <c r="D218" s="285" t="s">
        <v>7951</v>
      </c>
      <c r="E218" s="287" t="s">
        <v>7952</v>
      </c>
      <c r="F218" s="285" t="s">
        <v>5919</v>
      </c>
      <c r="G218" s="288">
        <v>45089.0</v>
      </c>
      <c r="H218" s="288">
        <v>45084.0</v>
      </c>
      <c r="I218" s="288">
        <v>45084.0</v>
      </c>
      <c r="J218" s="288">
        <v>45092.0</v>
      </c>
      <c r="K218" s="294"/>
      <c r="L218" s="294"/>
      <c r="M218" s="290" t="s">
        <v>7953</v>
      </c>
      <c r="N218" s="285" t="s">
        <v>4635</v>
      </c>
      <c r="O218" s="299" t="s">
        <v>2621</v>
      </c>
      <c r="P218" s="300">
        <v>41868.26</v>
      </c>
      <c r="Q218" s="198"/>
      <c r="R218" s="198"/>
      <c r="S218" s="198"/>
      <c r="T218" s="198"/>
      <c r="U218" s="198"/>
      <c r="V218" s="198"/>
      <c r="W218" s="198"/>
      <c r="X218" s="198"/>
      <c r="Y218" s="198"/>
      <c r="Z218" s="198"/>
      <c r="AA218" s="198"/>
    </row>
    <row r="219" ht="57.75" customHeight="1">
      <c r="A219" s="370">
        <v>37706.0</v>
      </c>
      <c r="B219" s="299" t="s">
        <v>25</v>
      </c>
      <c r="C219" s="285">
        <v>2550.0</v>
      </c>
      <c r="D219" s="285" t="s">
        <v>7954</v>
      </c>
      <c r="E219" s="287" t="s">
        <v>6582</v>
      </c>
      <c r="F219" s="285" t="s">
        <v>5919</v>
      </c>
      <c r="G219" s="288">
        <v>45086.0</v>
      </c>
      <c r="H219" s="288">
        <v>45082.0</v>
      </c>
      <c r="I219" s="288">
        <v>45082.0</v>
      </c>
      <c r="J219" s="288">
        <v>45092.0</v>
      </c>
      <c r="K219" s="294"/>
      <c r="L219" s="294"/>
      <c r="M219" s="290" t="s">
        <v>7955</v>
      </c>
      <c r="N219" s="285" t="s">
        <v>497</v>
      </c>
      <c r="O219" s="299" t="s">
        <v>2621</v>
      </c>
      <c r="P219" s="300">
        <v>12140.44</v>
      </c>
      <c r="Q219" s="198"/>
      <c r="R219" s="198"/>
      <c r="S219" s="198"/>
      <c r="T219" s="198"/>
      <c r="U219" s="198"/>
      <c r="V219" s="198"/>
      <c r="W219" s="198"/>
      <c r="X219" s="198"/>
      <c r="Y219" s="198"/>
      <c r="Z219" s="198"/>
      <c r="AA219" s="198"/>
    </row>
    <row r="220" ht="57.75" customHeight="1">
      <c r="A220" s="370">
        <v>37679.0</v>
      </c>
      <c r="B220" s="285" t="s">
        <v>21</v>
      </c>
      <c r="C220" s="285">
        <v>2413.0</v>
      </c>
      <c r="D220" s="285" t="s">
        <v>7956</v>
      </c>
      <c r="E220" s="287" t="s">
        <v>7957</v>
      </c>
      <c r="F220" s="285" t="s">
        <v>5919</v>
      </c>
      <c r="G220" s="288">
        <v>45086.0</v>
      </c>
      <c r="H220" s="288">
        <v>45078.0</v>
      </c>
      <c r="I220" s="288">
        <v>45078.0</v>
      </c>
      <c r="J220" s="288">
        <v>45089.0</v>
      </c>
      <c r="K220" s="451">
        <v>5524559.0</v>
      </c>
      <c r="L220" s="294"/>
      <c r="M220" s="290" t="s">
        <v>7958</v>
      </c>
      <c r="N220" s="285" t="s">
        <v>497</v>
      </c>
      <c r="O220" s="299" t="s">
        <v>2554</v>
      </c>
      <c r="P220" s="300">
        <v>43434.0</v>
      </c>
      <c r="Q220" s="198"/>
      <c r="R220" s="198"/>
      <c r="S220" s="198"/>
      <c r="T220" s="198"/>
      <c r="U220" s="198"/>
      <c r="V220" s="198"/>
      <c r="W220" s="198"/>
      <c r="X220" s="198"/>
      <c r="Y220" s="198"/>
      <c r="Z220" s="198"/>
      <c r="AA220" s="198"/>
    </row>
    <row r="221" ht="57.75" customHeight="1">
      <c r="A221" s="370">
        <v>37678.0</v>
      </c>
      <c r="B221" s="285" t="s">
        <v>21</v>
      </c>
      <c r="C221" s="285">
        <v>2413.0</v>
      </c>
      <c r="D221" s="285" t="s">
        <v>7959</v>
      </c>
      <c r="E221" s="287" t="s">
        <v>7476</v>
      </c>
      <c r="F221" s="285" t="s">
        <v>5919</v>
      </c>
      <c r="G221" s="288">
        <v>45086.0</v>
      </c>
      <c r="H221" s="288">
        <v>45078.0</v>
      </c>
      <c r="I221" s="288">
        <v>45078.0</v>
      </c>
      <c r="J221" s="288">
        <v>45092.0</v>
      </c>
      <c r="K221" s="451">
        <v>5524559.0</v>
      </c>
      <c r="L221" s="294"/>
      <c r="M221" s="290" t="s">
        <v>7960</v>
      </c>
      <c r="N221" s="285" t="s">
        <v>497</v>
      </c>
      <c r="O221" s="299" t="s">
        <v>2554</v>
      </c>
      <c r="P221" s="300">
        <v>42468.8</v>
      </c>
      <c r="Q221" s="198"/>
      <c r="R221" s="198"/>
      <c r="S221" s="198"/>
      <c r="T221" s="198"/>
      <c r="U221" s="198"/>
      <c r="V221" s="198"/>
      <c r="W221" s="198"/>
      <c r="X221" s="198"/>
      <c r="Y221" s="198"/>
      <c r="Z221" s="198"/>
      <c r="AA221" s="198"/>
    </row>
    <row r="222" ht="57.75" customHeight="1">
      <c r="A222" s="370">
        <v>37680.0</v>
      </c>
      <c r="B222" s="285" t="s">
        <v>21</v>
      </c>
      <c r="C222" s="285">
        <v>2413.0</v>
      </c>
      <c r="D222" s="285" t="s">
        <v>7961</v>
      </c>
      <c r="E222" s="287" t="s">
        <v>7962</v>
      </c>
      <c r="F222" s="285" t="s">
        <v>5919</v>
      </c>
      <c r="G222" s="288">
        <v>45086.0</v>
      </c>
      <c r="H222" s="288">
        <v>45078.0</v>
      </c>
      <c r="I222" s="288">
        <v>45078.0</v>
      </c>
      <c r="J222" s="288">
        <v>45089.0</v>
      </c>
      <c r="K222" s="451">
        <v>5524559.0</v>
      </c>
      <c r="L222" s="294"/>
      <c r="M222" s="290" t="s">
        <v>7963</v>
      </c>
      <c r="N222" s="285" t="s">
        <v>497</v>
      </c>
      <c r="O222" s="299" t="s">
        <v>2554</v>
      </c>
      <c r="P222" s="300">
        <v>42951.2</v>
      </c>
      <c r="Q222" s="198"/>
      <c r="R222" s="198"/>
      <c r="S222" s="198"/>
      <c r="T222" s="198"/>
      <c r="U222" s="198"/>
      <c r="V222" s="198"/>
      <c r="W222" s="198"/>
      <c r="X222" s="198"/>
      <c r="Y222" s="198"/>
      <c r="Z222" s="198"/>
      <c r="AA222" s="198"/>
    </row>
    <row r="223" ht="57.75" customHeight="1">
      <c r="A223" s="370">
        <v>37537.0</v>
      </c>
      <c r="B223" s="285" t="s">
        <v>21</v>
      </c>
      <c r="C223" s="285">
        <v>1435.0</v>
      </c>
      <c r="D223" s="285" t="s">
        <v>7964</v>
      </c>
      <c r="E223" s="287" t="s">
        <v>5211</v>
      </c>
      <c r="F223" s="285" t="s">
        <v>5919</v>
      </c>
      <c r="G223" s="288">
        <v>45086.0</v>
      </c>
      <c r="H223" s="288">
        <v>45078.0</v>
      </c>
      <c r="I223" s="288">
        <v>45078.0</v>
      </c>
      <c r="J223" s="288">
        <v>45092.0</v>
      </c>
      <c r="K223" s="451">
        <v>5524559.0</v>
      </c>
      <c r="L223" s="294"/>
      <c r="M223" s="290" t="s">
        <v>7965</v>
      </c>
      <c r="N223" s="285" t="s">
        <v>497</v>
      </c>
      <c r="O223" s="299" t="s">
        <v>2604</v>
      </c>
      <c r="P223" s="300">
        <v>21178.35</v>
      </c>
      <c r="Q223" s="198"/>
      <c r="R223" s="198"/>
      <c r="S223" s="198"/>
      <c r="T223" s="198"/>
      <c r="U223" s="198"/>
      <c r="V223" s="198"/>
      <c r="W223" s="198"/>
      <c r="X223" s="198"/>
      <c r="Y223" s="198"/>
      <c r="Z223" s="198"/>
      <c r="AA223" s="198"/>
    </row>
    <row r="224" ht="57.75" customHeight="1">
      <c r="A224" s="370">
        <v>37714.0</v>
      </c>
      <c r="B224" s="299" t="s">
        <v>715</v>
      </c>
      <c r="C224" s="285">
        <v>2578.0</v>
      </c>
      <c r="D224" s="285" t="s">
        <v>7966</v>
      </c>
      <c r="E224" s="287" t="s">
        <v>7106</v>
      </c>
      <c r="F224" s="285" t="s">
        <v>5919</v>
      </c>
      <c r="G224" s="288">
        <v>45083.0</v>
      </c>
      <c r="H224" s="288">
        <v>45078.0</v>
      </c>
      <c r="I224" s="288">
        <v>45078.0</v>
      </c>
      <c r="J224" s="288">
        <v>45086.0</v>
      </c>
      <c r="K224" s="294"/>
      <c r="L224" s="294"/>
      <c r="M224" s="290" t="s">
        <v>7967</v>
      </c>
      <c r="N224" s="285" t="s">
        <v>497</v>
      </c>
      <c r="O224" s="299" t="s">
        <v>2554</v>
      </c>
      <c r="P224" s="300">
        <v>57489.4</v>
      </c>
      <c r="Q224" s="198"/>
      <c r="R224" s="198"/>
      <c r="S224" s="198"/>
      <c r="T224" s="198"/>
      <c r="U224" s="198"/>
      <c r="V224" s="198"/>
      <c r="W224" s="198"/>
      <c r="X224" s="198"/>
      <c r="Y224" s="198"/>
      <c r="Z224" s="198"/>
      <c r="AA224" s="198"/>
    </row>
    <row r="225" ht="64.5" customHeight="1">
      <c r="A225" s="370">
        <v>37709.0</v>
      </c>
      <c r="B225" s="299" t="s">
        <v>25</v>
      </c>
      <c r="C225" s="285">
        <v>1892.0</v>
      </c>
      <c r="D225" s="285" t="s">
        <v>7968</v>
      </c>
      <c r="E225" s="287" t="s">
        <v>3812</v>
      </c>
      <c r="F225" s="285" t="s">
        <v>5919</v>
      </c>
      <c r="G225" s="288">
        <v>45083.0</v>
      </c>
      <c r="H225" s="288">
        <v>45077.0</v>
      </c>
      <c r="I225" s="288">
        <v>45077.0</v>
      </c>
      <c r="J225" s="288">
        <v>45086.0</v>
      </c>
      <c r="K225" s="294"/>
      <c r="L225" s="294"/>
      <c r="M225" s="290" t="s">
        <v>7969</v>
      </c>
      <c r="N225" s="285" t="s">
        <v>497</v>
      </c>
      <c r="O225" s="299" t="s">
        <v>4662</v>
      </c>
      <c r="P225" s="300">
        <v>148215.71</v>
      </c>
      <c r="Q225" s="198"/>
      <c r="R225" s="198"/>
      <c r="S225" s="198"/>
      <c r="T225" s="198"/>
      <c r="U225" s="198"/>
      <c r="V225" s="198"/>
      <c r="W225" s="198"/>
      <c r="X225" s="198"/>
      <c r="Y225" s="198"/>
      <c r="Z225" s="198"/>
      <c r="AA225" s="198"/>
    </row>
    <row r="226" ht="74.25" customHeight="1">
      <c r="A226" s="370">
        <v>37487.0</v>
      </c>
      <c r="B226" s="299" t="s">
        <v>6501</v>
      </c>
      <c r="C226" s="285">
        <v>2595.0</v>
      </c>
      <c r="D226" s="285" t="s">
        <v>7970</v>
      </c>
      <c r="E226" s="287" t="s">
        <v>7730</v>
      </c>
      <c r="F226" s="285" t="s">
        <v>5919</v>
      </c>
      <c r="G226" s="288">
        <v>45075.0</v>
      </c>
      <c r="H226" s="288">
        <v>45071.0</v>
      </c>
      <c r="I226" s="288">
        <v>45071.0</v>
      </c>
      <c r="J226" s="288">
        <v>45082.0</v>
      </c>
      <c r="K226" s="294"/>
      <c r="L226" s="294"/>
      <c r="M226" s="290" t="s">
        <v>7971</v>
      </c>
      <c r="N226" s="285" t="s">
        <v>497</v>
      </c>
      <c r="O226" s="299" t="s">
        <v>2554</v>
      </c>
      <c r="P226" s="300">
        <v>46710.0</v>
      </c>
      <c r="Q226" s="198"/>
      <c r="R226" s="198"/>
      <c r="S226" s="198"/>
      <c r="T226" s="198"/>
      <c r="U226" s="198"/>
      <c r="V226" s="198"/>
      <c r="W226" s="198"/>
      <c r="X226" s="198"/>
      <c r="Y226" s="198"/>
      <c r="Z226" s="198"/>
      <c r="AA226" s="198"/>
    </row>
    <row r="227" ht="78.0" customHeight="1">
      <c r="A227" s="370">
        <v>37897.0</v>
      </c>
      <c r="B227" s="299" t="s">
        <v>6501</v>
      </c>
      <c r="C227" s="285">
        <v>930.0</v>
      </c>
      <c r="D227" s="285" t="s">
        <v>7972</v>
      </c>
      <c r="E227" s="287" t="s">
        <v>7973</v>
      </c>
      <c r="F227" s="285" t="s">
        <v>5919</v>
      </c>
      <c r="G227" s="288">
        <v>45072.0</v>
      </c>
      <c r="H227" s="288">
        <v>45070.0</v>
      </c>
      <c r="I227" s="288">
        <v>45070.0</v>
      </c>
      <c r="J227" s="288">
        <v>45079.0</v>
      </c>
      <c r="K227" s="294"/>
      <c r="L227" s="294"/>
      <c r="M227" s="290" t="s">
        <v>7974</v>
      </c>
      <c r="N227" s="292" t="s">
        <v>4635</v>
      </c>
      <c r="O227" s="299" t="s">
        <v>2621</v>
      </c>
      <c r="P227" s="300">
        <v>45597.9</v>
      </c>
      <c r="Q227" s="198"/>
      <c r="R227" s="198"/>
      <c r="S227" s="198"/>
      <c r="T227" s="198"/>
      <c r="U227" s="198"/>
      <c r="V227" s="198"/>
      <c r="W227" s="198"/>
      <c r="X227" s="198"/>
      <c r="Y227" s="198"/>
      <c r="Z227" s="198"/>
      <c r="AA227" s="198"/>
    </row>
    <row r="228" ht="64.5" customHeight="1">
      <c r="A228" s="370">
        <v>37874.0</v>
      </c>
      <c r="B228" s="285" t="s">
        <v>715</v>
      </c>
      <c r="C228" s="285">
        <v>1050.0</v>
      </c>
      <c r="D228" s="285" t="s">
        <v>7975</v>
      </c>
      <c r="E228" s="287" t="s">
        <v>7976</v>
      </c>
      <c r="F228" s="285" t="s">
        <v>5919</v>
      </c>
      <c r="G228" s="288">
        <v>45070.0</v>
      </c>
      <c r="H228" s="288">
        <v>45065.0</v>
      </c>
      <c r="I228" s="288">
        <v>45065.0</v>
      </c>
      <c r="J228" s="288">
        <v>45077.0</v>
      </c>
      <c r="K228" s="294"/>
      <c r="L228" s="294"/>
      <c r="M228" s="290" t="s">
        <v>7977</v>
      </c>
      <c r="N228" s="292" t="s">
        <v>4635</v>
      </c>
      <c r="O228" s="299" t="s">
        <v>2621</v>
      </c>
      <c r="P228" s="300">
        <v>108494.5</v>
      </c>
      <c r="Q228" s="198"/>
      <c r="R228" s="198"/>
      <c r="S228" s="198"/>
      <c r="T228" s="198"/>
      <c r="U228" s="198"/>
      <c r="V228" s="198"/>
      <c r="W228" s="198"/>
      <c r="X228" s="198"/>
      <c r="Y228" s="198"/>
      <c r="Z228" s="198"/>
      <c r="AA228" s="198"/>
    </row>
    <row r="229" ht="60.75" customHeight="1">
      <c r="A229" s="370">
        <v>37837.0</v>
      </c>
      <c r="B229" s="285" t="s">
        <v>21</v>
      </c>
      <c r="C229" s="285">
        <v>5009.0</v>
      </c>
      <c r="D229" s="285" t="s">
        <v>7978</v>
      </c>
      <c r="E229" s="287" t="s">
        <v>7979</v>
      </c>
      <c r="F229" s="285" t="s">
        <v>5919</v>
      </c>
      <c r="G229" s="288">
        <v>45065.0</v>
      </c>
      <c r="H229" s="288">
        <v>45061.0</v>
      </c>
      <c r="I229" s="288">
        <v>45061.0</v>
      </c>
      <c r="J229" s="288">
        <v>45072.0</v>
      </c>
      <c r="K229" s="451">
        <v>5524559.0</v>
      </c>
      <c r="L229" s="294"/>
      <c r="M229" s="290" t="s">
        <v>7980</v>
      </c>
      <c r="N229" s="285" t="s">
        <v>4635</v>
      </c>
      <c r="O229" s="299" t="s">
        <v>2621</v>
      </c>
      <c r="P229" s="300">
        <v>40140.46</v>
      </c>
      <c r="Q229" s="198"/>
      <c r="R229" s="198"/>
      <c r="S229" s="198"/>
      <c r="T229" s="198"/>
      <c r="U229" s="198"/>
      <c r="V229" s="198"/>
      <c r="W229" s="198"/>
      <c r="X229" s="198"/>
      <c r="Y229" s="198"/>
      <c r="Z229" s="198"/>
      <c r="AA229" s="198"/>
    </row>
    <row r="230" ht="57.75" customHeight="1">
      <c r="A230" s="370">
        <v>37649.0</v>
      </c>
      <c r="B230" s="299" t="s">
        <v>715</v>
      </c>
      <c r="C230" s="285">
        <v>1306.0</v>
      </c>
      <c r="D230" s="285" t="s">
        <v>7981</v>
      </c>
      <c r="E230" s="287" t="s">
        <v>6938</v>
      </c>
      <c r="F230" s="285" t="s">
        <v>5919</v>
      </c>
      <c r="G230" s="288">
        <v>45064.0</v>
      </c>
      <c r="H230" s="288">
        <v>45061.0</v>
      </c>
      <c r="I230" s="288">
        <v>45061.0</v>
      </c>
      <c r="J230" s="288">
        <v>45070.0</v>
      </c>
      <c r="K230" s="294"/>
      <c r="L230" s="294"/>
      <c r="M230" s="290" t="s">
        <v>7982</v>
      </c>
      <c r="N230" s="285" t="s">
        <v>497</v>
      </c>
      <c r="O230" s="299" t="s">
        <v>2554</v>
      </c>
      <c r="P230" s="300">
        <v>44795.8</v>
      </c>
      <c r="Q230" s="198"/>
      <c r="R230" s="198"/>
      <c r="S230" s="198"/>
      <c r="T230" s="198"/>
      <c r="U230" s="198"/>
      <c r="V230" s="198"/>
      <c r="W230" s="198"/>
      <c r="X230" s="198"/>
      <c r="Y230" s="198"/>
      <c r="Z230" s="198"/>
      <c r="AA230" s="198"/>
    </row>
    <row r="231" ht="57.75" customHeight="1">
      <c r="A231" s="370">
        <v>37633.0</v>
      </c>
      <c r="B231" s="285" t="s">
        <v>21</v>
      </c>
      <c r="C231" s="285">
        <v>1181.0</v>
      </c>
      <c r="D231" s="285" t="s">
        <v>7983</v>
      </c>
      <c r="E231" s="287" t="s">
        <v>3169</v>
      </c>
      <c r="F231" s="285" t="s">
        <v>5919</v>
      </c>
      <c r="G231" s="288">
        <v>45060.0</v>
      </c>
      <c r="H231" s="288">
        <v>45054.0</v>
      </c>
      <c r="I231" s="288">
        <v>45054.0</v>
      </c>
      <c r="J231" s="288">
        <v>45064.0</v>
      </c>
      <c r="K231" s="451">
        <v>5524559.0</v>
      </c>
      <c r="L231" s="294"/>
      <c r="M231" s="290" t="s">
        <v>7984</v>
      </c>
      <c r="N231" s="285" t="s">
        <v>6366</v>
      </c>
      <c r="O231" s="299" t="s">
        <v>2621</v>
      </c>
      <c r="P231" s="300">
        <v>60655.22</v>
      </c>
      <c r="Q231" s="198"/>
      <c r="R231" s="198"/>
      <c r="S231" s="198"/>
      <c r="T231" s="198"/>
      <c r="U231" s="198"/>
      <c r="V231" s="198"/>
      <c r="W231" s="198"/>
      <c r="X231" s="198"/>
      <c r="Y231" s="198"/>
      <c r="Z231" s="198"/>
      <c r="AA231" s="198"/>
    </row>
    <row r="232" ht="57.75" customHeight="1">
      <c r="A232" s="370">
        <v>37847.0</v>
      </c>
      <c r="B232" s="299" t="s">
        <v>715</v>
      </c>
      <c r="C232" s="285">
        <v>1260.0</v>
      </c>
      <c r="D232" s="285" t="s">
        <v>7985</v>
      </c>
      <c r="E232" s="287" t="s">
        <v>4782</v>
      </c>
      <c r="F232" s="285" t="s">
        <v>5919</v>
      </c>
      <c r="G232" s="288">
        <v>45058.0</v>
      </c>
      <c r="H232" s="288">
        <v>45055.0</v>
      </c>
      <c r="I232" s="288">
        <v>45055.0</v>
      </c>
      <c r="J232" s="288">
        <v>45064.0</v>
      </c>
      <c r="K232" s="294"/>
      <c r="L232" s="294"/>
      <c r="M232" s="290" t="s">
        <v>7986</v>
      </c>
      <c r="N232" s="285" t="s">
        <v>4635</v>
      </c>
      <c r="O232" s="299" t="s">
        <v>2621</v>
      </c>
      <c r="P232" s="300">
        <v>33576.0</v>
      </c>
      <c r="Q232" s="198"/>
      <c r="R232" s="198"/>
      <c r="S232" s="198"/>
      <c r="T232" s="198"/>
      <c r="U232" s="198"/>
      <c r="V232" s="198"/>
      <c r="W232" s="198"/>
      <c r="X232" s="198"/>
      <c r="Y232" s="198"/>
      <c r="Z232" s="198"/>
      <c r="AA232" s="198"/>
    </row>
    <row r="233" ht="57.75" customHeight="1">
      <c r="A233" s="370">
        <v>37846.0</v>
      </c>
      <c r="B233" s="299" t="s">
        <v>715</v>
      </c>
      <c r="C233" s="285">
        <v>1260.0</v>
      </c>
      <c r="D233" s="285" t="s">
        <v>7987</v>
      </c>
      <c r="E233" s="287" t="s">
        <v>7988</v>
      </c>
      <c r="F233" s="285" t="s">
        <v>5919</v>
      </c>
      <c r="G233" s="288">
        <v>45058.0</v>
      </c>
      <c r="H233" s="288">
        <v>45055.0</v>
      </c>
      <c r="I233" s="288">
        <v>45055.0</v>
      </c>
      <c r="J233" s="288">
        <v>45062.0</v>
      </c>
      <c r="K233" s="294"/>
      <c r="L233" s="294"/>
      <c r="M233" s="290" t="s">
        <v>7989</v>
      </c>
      <c r="N233" s="285" t="s">
        <v>4635</v>
      </c>
      <c r="O233" s="299" t="s">
        <v>2621</v>
      </c>
      <c r="P233" s="300">
        <v>36285.0</v>
      </c>
      <c r="Q233" s="198"/>
      <c r="R233" s="198"/>
      <c r="S233" s="198"/>
      <c r="T233" s="198"/>
      <c r="U233" s="198"/>
      <c r="V233" s="198"/>
      <c r="W233" s="198"/>
      <c r="X233" s="198"/>
      <c r="Y233" s="198"/>
      <c r="Z233" s="198"/>
      <c r="AA233" s="198"/>
    </row>
    <row r="234" ht="57.75" customHeight="1">
      <c r="A234" s="370">
        <v>37804.0</v>
      </c>
      <c r="B234" s="285" t="s">
        <v>21</v>
      </c>
      <c r="C234" s="285">
        <v>4918.0</v>
      </c>
      <c r="D234" s="285" t="s">
        <v>7990</v>
      </c>
      <c r="E234" s="287" t="s">
        <v>7991</v>
      </c>
      <c r="F234" s="285" t="s">
        <v>5919</v>
      </c>
      <c r="G234" s="288">
        <v>45057.0</v>
      </c>
      <c r="H234" s="288">
        <v>45054.0</v>
      </c>
      <c r="I234" s="288">
        <v>45054.0</v>
      </c>
      <c r="J234" s="288">
        <v>45062.0</v>
      </c>
      <c r="K234" s="451">
        <v>5524559.0</v>
      </c>
      <c r="L234" s="294"/>
      <c r="M234" s="290" t="s">
        <v>7992</v>
      </c>
      <c r="N234" s="285" t="s">
        <v>4635</v>
      </c>
      <c r="O234" s="299" t="s">
        <v>2621</v>
      </c>
      <c r="P234" s="300">
        <v>44936.2</v>
      </c>
      <c r="Q234" s="198"/>
      <c r="R234" s="198"/>
      <c r="S234" s="198"/>
      <c r="T234" s="198"/>
      <c r="U234" s="198"/>
      <c r="V234" s="198"/>
      <c r="W234" s="198"/>
      <c r="X234" s="198"/>
      <c r="Y234" s="198"/>
      <c r="Z234" s="198"/>
      <c r="AA234" s="198"/>
    </row>
    <row r="235" ht="56.25" customHeight="1">
      <c r="A235" s="370">
        <v>37845.0</v>
      </c>
      <c r="B235" s="285" t="s">
        <v>21</v>
      </c>
      <c r="C235" s="285">
        <v>1185.0</v>
      </c>
      <c r="D235" s="285" t="s">
        <v>7993</v>
      </c>
      <c r="E235" s="287" t="s">
        <v>7994</v>
      </c>
      <c r="F235" s="285" t="s">
        <v>5919</v>
      </c>
      <c r="G235" s="288">
        <v>45055.0</v>
      </c>
      <c r="H235" s="288">
        <v>45047.0</v>
      </c>
      <c r="I235" s="288">
        <v>45047.0</v>
      </c>
      <c r="J235" s="288">
        <v>45062.0</v>
      </c>
      <c r="K235" s="451" t="s">
        <v>7995</v>
      </c>
      <c r="L235" s="294"/>
      <c r="M235" s="290" t="s">
        <v>7996</v>
      </c>
      <c r="N235" s="285" t="s">
        <v>4635</v>
      </c>
      <c r="O235" s="299" t="s">
        <v>2621</v>
      </c>
      <c r="P235" s="300">
        <v>73087.25</v>
      </c>
      <c r="Q235" s="198"/>
      <c r="R235" s="198"/>
      <c r="S235" s="198"/>
      <c r="T235" s="198"/>
      <c r="U235" s="198"/>
      <c r="V235" s="198"/>
      <c r="W235" s="198"/>
      <c r="X235" s="198"/>
      <c r="Y235" s="198"/>
      <c r="Z235" s="198"/>
      <c r="AA235" s="198"/>
    </row>
    <row r="236" ht="57.75" customHeight="1">
      <c r="A236" s="370">
        <v>37648.0</v>
      </c>
      <c r="B236" s="299" t="s">
        <v>715</v>
      </c>
      <c r="C236" s="285">
        <v>4356.0</v>
      </c>
      <c r="D236" s="285" t="s">
        <v>7997</v>
      </c>
      <c r="E236" s="287" t="s">
        <v>6358</v>
      </c>
      <c r="F236" s="285" t="s">
        <v>5919</v>
      </c>
      <c r="G236" s="288">
        <v>45054.0</v>
      </c>
      <c r="H236" s="288">
        <v>45051.0</v>
      </c>
      <c r="I236" s="288">
        <v>45051.0</v>
      </c>
      <c r="J236" s="288">
        <v>45058.0</v>
      </c>
      <c r="K236" s="294"/>
      <c r="L236" s="294"/>
      <c r="M236" s="290" t="s">
        <v>7998</v>
      </c>
      <c r="N236" s="285" t="s">
        <v>497</v>
      </c>
      <c r="O236" s="299" t="s">
        <v>2554</v>
      </c>
      <c r="P236" s="300">
        <v>30056.4</v>
      </c>
      <c r="Q236" s="198"/>
      <c r="R236" s="198"/>
      <c r="S236" s="198"/>
      <c r="T236" s="198"/>
      <c r="U236" s="198"/>
      <c r="V236" s="198"/>
      <c r="W236" s="198"/>
      <c r="X236" s="198"/>
      <c r="Y236" s="198"/>
      <c r="Z236" s="198"/>
      <c r="AA236" s="198"/>
    </row>
    <row r="237" ht="57.75" customHeight="1">
      <c r="A237" s="370">
        <v>37730.0</v>
      </c>
      <c r="B237" s="299" t="s">
        <v>25</v>
      </c>
      <c r="C237" s="285" t="s">
        <v>5121</v>
      </c>
      <c r="D237" s="285" t="s">
        <v>7999</v>
      </c>
      <c r="E237" s="287" t="s">
        <v>8000</v>
      </c>
      <c r="F237" s="285" t="s">
        <v>5919</v>
      </c>
      <c r="G237" s="288">
        <v>45053.0</v>
      </c>
      <c r="H237" s="285" t="s">
        <v>4841</v>
      </c>
      <c r="I237" s="285" t="s">
        <v>4841</v>
      </c>
      <c r="J237" s="288">
        <v>45058.0</v>
      </c>
      <c r="K237" s="294"/>
      <c r="L237" s="294"/>
      <c r="M237" s="290" t="s">
        <v>8001</v>
      </c>
      <c r="N237" s="285" t="s">
        <v>497</v>
      </c>
      <c r="O237" s="299" t="s">
        <v>2538</v>
      </c>
      <c r="P237" s="300">
        <v>36000.0</v>
      </c>
      <c r="Q237" s="198"/>
      <c r="R237" s="198"/>
      <c r="S237" s="198"/>
      <c r="T237" s="198"/>
      <c r="U237" s="198"/>
      <c r="V237" s="198"/>
      <c r="W237" s="198"/>
      <c r="X237" s="198"/>
      <c r="Y237" s="198"/>
      <c r="Z237" s="198"/>
      <c r="AA237" s="198"/>
    </row>
    <row r="238" ht="63.0" customHeight="1">
      <c r="A238" s="370">
        <v>37538.0</v>
      </c>
      <c r="B238" s="285" t="s">
        <v>25</v>
      </c>
      <c r="C238" s="285">
        <v>1435.0</v>
      </c>
      <c r="D238" s="285" t="s">
        <v>8002</v>
      </c>
      <c r="E238" s="287" t="s">
        <v>5211</v>
      </c>
      <c r="F238" s="285" t="s">
        <v>5919</v>
      </c>
      <c r="G238" s="288">
        <v>45053.0</v>
      </c>
      <c r="H238" s="288">
        <v>45048.0</v>
      </c>
      <c r="I238" s="288">
        <v>45048.0</v>
      </c>
      <c r="J238" s="288">
        <v>45055.0</v>
      </c>
      <c r="K238" s="294"/>
      <c r="L238" s="294"/>
      <c r="M238" s="290" t="s">
        <v>8003</v>
      </c>
      <c r="N238" s="285" t="s">
        <v>497</v>
      </c>
      <c r="O238" s="299" t="s">
        <v>2604</v>
      </c>
      <c r="P238" s="300">
        <v>21521.3</v>
      </c>
      <c r="Q238" s="198"/>
      <c r="R238" s="198"/>
      <c r="S238" s="198"/>
      <c r="T238" s="198"/>
      <c r="U238" s="198"/>
      <c r="V238" s="198"/>
      <c r="W238" s="198"/>
      <c r="X238" s="198"/>
      <c r="Y238" s="198"/>
      <c r="Z238" s="198"/>
      <c r="AA238" s="198"/>
    </row>
    <row r="239" ht="57.75" customHeight="1">
      <c r="A239" s="370">
        <v>37687.0</v>
      </c>
      <c r="B239" s="299" t="s">
        <v>715</v>
      </c>
      <c r="C239" s="285">
        <v>470.0</v>
      </c>
      <c r="D239" s="285" t="s">
        <v>8004</v>
      </c>
      <c r="E239" s="287" t="s">
        <v>2751</v>
      </c>
      <c r="F239" s="285" t="s">
        <v>5919</v>
      </c>
      <c r="G239" s="288">
        <v>45051.0</v>
      </c>
      <c r="H239" s="288">
        <v>45047.0</v>
      </c>
      <c r="I239" s="288">
        <v>45047.0</v>
      </c>
      <c r="J239" s="288">
        <v>45055.0</v>
      </c>
      <c r="K239" s="294"/>
      <c r="L239" s="294"/>
      <c r="M239" s="290" t="s">
        <v>8005</v>
      </c>
      <c r="N239" s="285" t="s">
        <v>6366</v>
      </c>
      <c r="O239" s="299" t="s">
        <v>2621</v>
      </c>
      <c r="P239" s="300">
        <v>18101.4</v>
      </c>
      <c r="Q239" s="198"/>
      <c r="R239" s="198"/>
      <c r="S239" s="198"/>
      <c r="T239" s="198"/>
      <c r="U239" s="198"/>
      <c r="V239" s="198"/>
      <c r="W239" s="198"/>
      <c r="X239" s="198"/>
      <c r="Y239" s="198"/>
      <c r="Z239" s="198"/>
      <c r="AA239" s="198"/>
    </row>
    <row r="240" ht="57.75" customHeight="1">
      <c r="A240" s="370">
        <v>37583.0</v>
      </c>
      <c r="B240" s="285" t="s">
        <v>21</v>
      </c>
      <c r="C240" s="285">
        <v>1306.0</v>
      </c>
      <c r="D240" s="285" t="s">
        <v>8006</v>
      </c>
      <c r="E240" s="287" t="s">
        <v>8007</v>
      </c>
      <c r="F240" s="285" t="s">
        <v>5919</v>
      </c>
      <c r="G240" s="288">
        <v>45046.0</v>
      </c>
      <c r="H240" s="288">
        <v>45041.0</v>
      </c>
      <c r="I240" s="288">
        <v>45044.0</v>
      </c>
      <c r="J240" s="288">
        <v>45054.0</v>
      </c>
      <c r="K240" s="451" t="s">
        <v>8008</v>
      </c>
      <c r="L240" s="294"/>
      <c r="M240" s="290" t="s">
        <v>8009</v>
      </c>
      <c r="N240" s="285" t="s">
        <v>497</v>
      </c>
      <c r="O240" s="299" t="s">
        <v>2554</v>
      </c>
      <c r="P240" s="300">
        <v>44798.41</v>
      </c>
      <c r="Q240" s="198"/>
      <c r="R240" s="198"/>
      <c r="S240" s="198"/>
      <c r="T240" s="198"/>
      <c r="U240" s="198"/>
      <c r="V240" s="198"/>
      <c r="W240" s="198"/>
      <c r="X240" s="198"/>
      <c r="Y240" s="198"/>
      <c r="Z240" s="198"/>
      <c r="AA240" s="198"/>
    </row>
    <row r="241" ht="57.75" customHeight="1">
      <c r="A241" s="370">
        <v>37647.0</v>
      </c>
      <c r="B241" s="285" t="s">
        <v>21</v>
      </c>
      <c r="C241" s="285">
        <v>4356.0</v>
      </c>
      <c r="D241" s="285" t="s">
        <v>8010</v>
      </c>
      <c r="E241" s="287" t="s">
        <v>7664</v>
      </c>
      <c r="F241" s="285" t="s">
        <v>5919</v>
      </c>
      <c r="G241" s="288">
        <v>45046.0</v>
      </c>
      <c r="H241" s="288">
        <v>45041.0</v>
      </c>
      <c r="I241" s="288">
        <v>45044.0</v>
      </c>
      <c r="J241" s="288">
        <v>45055.0</v>
      </c>
      <c r="K241" s="451" t="s">
        <v>8008</v>
      </c>
      <c r="L241" s="294"/>
      <c r="M241" s="290" t="s">
        <v>8011</v>
      </c>
      <c r="N241" s="285" t="s">
        <v>497</v>
      </c>
      <c r="O241" s="299" t="s">
        <v>2554</v>
      </c>
      <c r="P241" s="300">
        <v>30056.4</v>
      </c>
      <c r="Q241" s="198"/>
      <c r="R241" s="198"/>
      <c r="S241" s="198"/>
      <c r="T241" s="198"/>
      <c r="U241" s="198"/>
      <c r="V241" s="198"/>
      <c r="W241" s="198"/>
      <c r="X241" s="198"/>
      <c r="Y241" s="198"/>
      <c r="Z241" s="198"/>
      <c r="AA241" s="198"/>
    </row>
    <row r="242" ht="65.25" customHeight="1">
      <c r="A242" s="370">
        <v>37646.0</v>
      </c>
      <c r="B242" s="285" t="s">
        <v>21</v>
      </c>
      <c r="C242" s="285">
        <v>4356.0</v>
      </c>
      <c r="D242" s="285" t="s">
        <v>8012</v>
      </c>
      <c r="E242" s="287" t="s">
        <v>4644</v>
      </c>
      <c r="F242" s="285" t="s">
        <v>5919</v>
      </c>
      <c r="G242" s="288">
        <v>45046.0</v>
      </c>
      <c r="H242" s="288">
        <v>45041.0</v>
      </c>
      <c r="I242" s="288">
        <v>45044.0</v>
      </c>
      <c r="J242" s="288">
        <v>45051.0</v>
      </c>
      <c r="K242" s="451" t="s">
        <v>8008</v>
      </c>
      <c r="L242" s="294"/>
      <c r="M242" s="290" t="s">
        <v>8013</v>
      </c>
      <c r="N242" s="285" t="s">
        <v>497</v>
      </c>
      <c r="O242" s="299" t="s">
        <v>2554</v>
      </c>
      <c r="P242" s="300">
        <v>30056.4</v>
      </c>
      <c r="Q242" s="198"/>
      <c r="R242" s="198"/>
      <c r="S242" s="198"/>
      <c r="T242" s="198"/>
      <c r="U242" s="198"/>
      <c r="V242" s="198"/>
      <c r="W242" s="198"/>
      <c r="X242" s="198"/>
      <c r="Y242" s="198"/>
      <c r="Z242" s="198"/>
      <c r="AA242" s="198"/>
    </row>
    <row r="243" ht="69.0" customHeight="1">
      <c r="A243" s="370">
        <v>37844.0</v>
      </c>
      <c r="B243" s="299" t="s">
        <v>715</v>
      </c>
      <c r="C243" s="285">
        <v>1260.0</v>
      </c>
      <c r="D243" s="285" t="s">
        <v>8014</v>
      </c>
      <c r="E243" s="287" t="s">
        <v>4782</v>
      </c>
      <c r="F243" s="285" t="s">
        <v>5919</v>
      </c>
      <c r="G243" s="288">
        <v>45045.0</v>
      </c>
      <c r="H243" s="288">
        <v>45057.0</v>
      </c>
      <c r="I243" s="288">
        <v>45047.0</v>
      </c>
      <c r="J243" s="288">
        <v>45050.0</v>
      </c>
      <c r="K243" s="294"/>
      <c r="L243" s="294"/>
      <c r="M243" s="290" t="s">
        <v>8015</v>
      </c>
      <c r="N243" s="285" t="s">
        <v>4635</v>
      </c>
      <c r="O243" s="299" t="s">
        <v>2621</v>
      </c>
      <c r="P243" s="300">
        <v>33726.0</v>
      </c>
      <c r="Q243" s="198"/>
      <c r="R243" s="198"/>
      <c r="S243" s="198"/>
      <c r="T243" s="198"/>
      <c r="U243" s="198"/>
      <c r="V243" s="198"/>
      <c r="W243" s="198"/>
      <c r="X243" s="198"/>
      <c r="Y243" s="198"/>
      <c r="Z243" s="198"/>
      <c r="AA243" s="198"/>
    </row>
    <row r="244" ht="65.25" customHeight="1">
      <c r="A244" s="370">
        <v>37705.0</v>
      </c>
      <c r="B244" s="299" t="s">
        <v>715</v>
      </c>
      <c r="C244" s="285">
        <v>1936.0</v>
      </c>
      <c r="D244" s="285" t="s">
        <v>8016</v>
      </c>
      <c r="E244" s="287" t="s">
        <v>6582</v>
      </c>
      <c r="F244" s="285" t="s">
        <v>5919</v>
      </c>
      <c r="G244" s="288">
        <v>45042.0</v>
      </c>
      <c r="H244" s="288">
        <v>45071.0</v>
      </c>
      <c r="I244" s="288">
        <v>45071.0</v>
      </c>
      <c r="J244" s="288">
        <v>45076.0</v>
      </c>
      <c r="K244" s="294"/>
      <c r="L244" s="294"/>
      <c r="M244" s="290" t="s">
        <v>8017</v>
      </c>
      <c r="N244" s="285" t="s">
        <v>497</v>
      </c>
      <c r="O244" s="299" t="s">
        <v>2621</v>
      </c>
      <c r="P244" s="300">
        <v>33542.58</v>
      </c>
      <c r="Q244" s="198"/>
      <c r="R244" s="198"/>
      <c r="S244" s="198"/>
      <c r="T244" s="198"/>
      <c r="U244" s="198"/>
      <c r="V244" s="198"/>
      <c r="W244" s="198"/>
      <c r="X244" s="198"/>
      <c r="Y244" s="198"/>
      <c r="Z244" s="198"/>
      <c r="AA244" s="198"/>
    </row>
    <row r="245" ht="63.0" customHeight="1">
      <c r="A245" s="370">
        <v>37819.0</v>
      </c>
      <c r="B245" s="285" t="s">
        <v>21</v>
      </c>
      <c r="C245" s="285">
        <v>1185.0</v>
      </c>
      <c r="D245" s="285" t="s">
        <v>8018</v>
      </c>
      <c r="E245" s="287" t="s">
        <v>8019</v>
      </c>
      <c r="F245" s="285" t="s">
        <v>5919</v>
      </c>
      <c r="G245" s="288">
        <v>45040.0</v>
      </c>
      <c r="H245" s="288">
        <v>45033.0</v>
      </c>
      <c r="I245" s="288">
        <v>45033.0</v>
      </c>
      <c r="J245" s="288">
        <v>45048.0</v>
      </c>
      <c r="K245" s="451" t="s">
        <v>8008</v>
      </c>
      <c r="L245" s="294"/>
      <c r="M245" s="290" t="s">
        <v>8020</v>
      </c>
      <c r="N245" s="285" t="s">
        <v>4635</v>
      </c>
      <c r="O245" s="299" t="s">
        <v>2621</v>
      </c>
      <c r="P245" s="300">
        <v>71080.0</v>
      </c>
      <c r="Q245" s="198"/>
      <c r="R245" s="198"/>
      <c r="S245" s="198"/>
      <c r="T245" s="198"/>
      <c r="U245" s="198"/>
      <c r="V245" s="198"/>
      <c r="W245" s="198"/>
      <c r="X245" s="198"/>
      <c r="Y245" s="198"/>
      <c r="Z245" s="198"/>
      <c r="AA245" s="198"/>
    </row>
    <row r="246" ht="57.75" customHeight="1">
      <c r="A246" s="370">
        <v>37817.0</v>
      </c>
      <c r="B246" s="299" t="s">
        <v>715</v>
      </c>
      <c r="C246" s="285">
        <v>1260.0</v>
      </c>
      <c r="D246" s="285" t="s">
        <v>8021</v>
      </c>
      <c r="E246" s="287" t="s">
        <v>4782</v>
      </c>
      <c r="F246" s="285" t="s">
        <v>5919</v>
      </c>
      <c r="G246" s="288">
        <v>45038.0</v>
      </c>
      <c r="H246" s="288">
        <v>45034.0</v>
      </c>
      <c r="I246" s="288">
        <v>45034.0</v>
      </c>
      <c r="J246" s="288">
        <v>45041.0</v>
      </c>
      <c r="K246" s="294"/>
      <c r="L246" s="294"/>
      <c r="M246" s="290" t="s">
        <v>8022</v>
      </c>
      <c r="N246" s="285" t="s">
        <v>4635</v>
      </c>
      <c r="O246" s="299" t="s">
        <v>2621</v>
      </c>
      <c r="P246" s="300">
        <v>33726.0</v>
      </c>
      <c r="Q246" s="198"/>
      <c r="R246" s="198"/>
      <c r="S246" s="198"/>
      <c r="T246" s="198"/>
      <c r="U246" s="198"/>
      <c r="V246" s="198"/>
      <c r="W246" s="198"/>
      <c r="X246" s="198"/>
      <c r="Y246" s="198"/>
      <c r="Z246" s="198"/>
      <c r="AA246" s="198"/>
    </row>
    <row r="247" ht="57.75" customHeight="1">
      <c r="A247" s="370">
        <v>37688.0</v>
      </c>
      <c r="B247" s="299" t="s">
        <v>25</v>
      </c>
      <c r="C247" s="285">
        <v>925.0</v>
      </c>
      <c r="D247" s="285" t="s">
        <v>8023</v>
      </c>
      <c r="E247" s="287" t="s">
        <v>2751</v>
      </c>
      <c r="F247" s="285" t="s">
        <v>5919</v>
      </c>
      <c r="G247" s="288">
        <v>45037.0</v>
      </c>
      <c r="H247" s="288">
        <v>45032.0</v>
      </c>
      <c r="I247" s="288">
        <v>45032.0</v>
      </c>
      <c r="J247" s="288">
        <v>45041.0</v>
      </c>
      <c r="K247" s="294"/>
      <c r="L247" s="294"/>
      <c r="M247" s="290" t="s">
        <v>8024</v>
      </c>
      <c r="N247" s="285" t="s">
        <v>6366</v>
      </c>
      <c r="O247" s="299" t="s">
        <v>2621</v>
      </c>
      <c r="P247" s="300">
        <v>36889.0</v>
      </c>
      <c r="Q247" s="198"/>
      <c r="R247" s="198"/>
      <c r="S247" s="198"/>
      <c r="T247" s="198"/>
      <c r="U247" s="198"/>
      <c r="V247" s="198"/>
      <c r="W247" s="198"/>
      <c r="X247" s="198"/>
      <c r="Y247" s="198"/>
      <c r="Z247" s="198"/>
      <c r="AA247" s="198"/>
    </row>
    <row r="248" ht="57.75" customHeight="1">
      <c r="A248" s="370">
        <v>37643.0</v>
      </c>
      <c r="B248" s="299" t="s">
        <v>715</v>
      </c>
      <c r="C248" s="285">
        <v>2275.0</v>
      </c>
      <c r="D248" s="285" t="s">
        <v>8025</v>
      </c>
      <c r="E248" s="287" t="s">
        <v>7760</v>
      </c>
      <c r="F248" s="285" t="s">
        <v>5919</v>
      </c>
      <c r="G248" s="288">
        <v>45035.0</v>
      </c>
      <c r="H248" s="288">
        <v>45029.0</v>
      </c>
      <c r="I248" s="288">
        <v>45029.0</v>
      </c>
      <c r="J248" s="288">
        <v>45036.0</v>
      </c>
      <c r="K248" s="294"/>
      <c r="L248" s="294"/>
      <c r="M248" s="290" t="s">
        <v>8026</v>
      </c>
      <c r="N248" s="285" t="s">
        <v>497</v>
      </c>
      <c r="O248" s="299" t="s">
        <v>2554</v>
      </c>
      <c r="P248" s="300">
        <v>30485.0</v>
      </c>
      <c r="Q248" s="198"/>
      <c r="R248" s="198"/>
      <c r="S248" s="198"/>
      <c r="T248" s="198"/>
      <c r="U248" s="198"/>
      <c r="V248" s="198"/>
      <c r="W248" s="198"/>
      <c r="X248" s="198"/>
      <c r="Y248" s="198"/>
      <c r="Z248" s="198"/>
      <c r="AA248" s="198"/>
    </row>
    <row r="249" ht="66.75" customHeight="1">
      <c r="A249" s="370">
        <v>37625.0</v>
      </c>
      <c r="B249" s="299" t="s">
        <v>715</v>
      </c>
      <c r="C249" s="285">
        <v>1999.0</v>
      </c>
      <c r="D249" s="285" t="s">
        <v>8027</v>
      </c>
      <c r="E249" s="287" t="s">
        <v>6582</v>
      </c>
      <c r="F249" s="285" t="s">
        <v>5919</v>
      </c>
      <c r="G249" s="288">
        <v>45034.0</v>
      </c>
      <c r="H249" s="288">
        <v>45033.0</v>
      </c>
      <c r="I249" s="288">
        <v>45070.0</v>
      </c>
      <c r="J249" s="288">
        <v>45072.0</v>
      </c>
      <c r="K249" s="294"/>
      <c r="L249" s="294"/>
      <c r="M249" s="290" t="s">
        <v>8028</v>
      </c>
      <c r="N249" s="285" t="s">
        <v>497</v>
      </c>
      <c r="O249" s="299" t="s">
        <v>2621</v>
      </c>
      <c r="P249" s="300">
        <v>33472.35</v>
      </c>
      <c r="Q249" s="198"/>
      <c r="R249" s="198"/>
      <c r="S249" s="198"/>
      <c r="T249" s="198"/>
      <c r="U249" s="198"/>
      <c r="V249" s="198"/>
      <c r="W249" s="198"/>
      <c r="X249" s="198"/>
      <c r="Y249" s="198"/>
      <c r="Z249" s="198"/>
      <c r="AA249" s="198"/>
    </row>
    <row r="250" ht="60.75" customHeight="1">
      <c r="A250" s="370">
        <v>37818.0</v>
      </c>
      <c r="B250" s="285" t="s">
        <v>21</v>
      </c>
      <c r="C250" s="285">
        <v>1260.0</v>
      </c>
      <c r="D250" s="285" t="s">
        <v>8029</v>
      </c>
      <c r="E250" s="287" t="s">
        <v>8030</v>
      </c>
      <c r="F250" s="285" t="s">
        <v>5919</v>
      </c>
      <c r="G250" s="288">
        <v>45033.0</v>
      </c>
      <c r="H250" s="288">
        <v>45026.0</v>
      </c>
      <c r="I250" s="288">
        <v>45026.0</v>
      </c>
      <c r="J250" s="288">
        <v>45041.0</v>
      </c>
      <c r="K250" s="451" t="s">
        <v>8008</v>
      </c>
      <c r="L250" s="294"/>
      <c r="M250" s="290" t="s">
        <v>8031</v>
      </c>
      <c r="N250" s="285" t="s">
        <v>4635</v>
      </c>
      <c r="O250" s="299" t="s">
        <v>2621</v>
      </c>
      <c r="P250" s="300">
        <v>35536.0</v>
      </c>
      <c r="Q250" s="198"/>
      <c r="R250" s="198"/>
      <c r="S250" s="198"/>
      <c r="T250" s="198"/>
      <c r="U250" s="198"/>
      <c r="V250" s="198"/>
      <c r="W250" s="198"/>
      <c r="X250" s="198"/>
      <c r="Y250" s="198"/>
      <c r="Z250" s="198"/>
      <c r="AA250" s="198"/>
    </row>
    <row r="251" ht="57.75" customHeight="1">
      <c r="A251" s="370">
        <v>37610.0</v>
      </c>
      <c r="B251" s="285" t="s">
        <v>21</v>
      </c>
      <c r="C251" s="285">
        <v>4356.0</v>
      </c>
      <c r="D251" s="285" t="s">
        <v>8032</v>
      </c>
      <c r="E251" s="287" t="s">
        <v>6358</v>
      </c>
      <c r="F251" s="285" t="s">
        <v>5919</v>
      </c>
      <c r="G251" s="288">
        <v>45032.0</v>
      </c>
      <c r="H251" s="288">
        <v>45027.0</v>
      </c>
      <c r="I251" s="288">
        <v>45027.0</v>
      </c>
      <c r="J251" s="288">
        <v>45044.0</v>
      </c>
      <c r="K251" s="451" t="s">
        <v>8008</v>
      </c>
      <c r="L251" s="294"/>
      <c r="M251" s="290" t="s">
        <v>8033</v>
      </c>
      <c r="N251" s="285" t="s">
        <v>497</v>
      </c>
      <c r="O251" s="299" t="s">
        <v>2554</v>
      </c>
      <c r="P251" s="300">
        <v>30056.4</v>
      </c>
      <c r="Q251" s="198"/>
      <c r="R251" s="198"/>
      <c r="S251" s="198"/>
      <c r="T251" s="198"/>
      <c r="U251" s="198"/>
      <c r="V251" s="198"/>
      <c r="W251" s="198"/>
      <c r="X251" s="198"/>
      <c r="Y251" s="198"/>
      <c r="Z251" s="198"/>
      <c r="AA251" s="198"/>
    </row>
    <row r="252" ht="57.75" customHeight="1">
      <c r="A252" s="370">
        <v>37346.0</v>
      </c>
      <c r="B252" s="299" t="s">
        <v>25</v>
      </c>
      <c r="C252" s="285" t="s">
        <v>8034</v>
      </c>
      <c r="D252" s="285" t="s">
        <v>8035</v>
      </c>
      <c r="E252" s="287" t="s">
        <v>6395</v>
      </c>
      <c r="F252" s="285" t="s">
        <v>5919</v>
      </c>
      <c r="G252" s="288">
        <v>45031.0</v>
      </c>
      <c r="H252" s="288">
        <v>45041.0</v>
      </c>
      <c r="I252" s="288">
        <v>45037.0</v>
      </c>
      <c r="J252" s="288">
        <v>45037.0</v>
      </c>
      <c r="K252" s="294"/>
      <c r="L252" s="294"/>
      <c r="M252" s="290" t="s">
        <v>8036</v>
      </c>
      <c r="N252" s="285" t="s">
        <v>4635</v>
      </c>
      <c r="O252" s="299" t="s">
        <v>4912</v>
      </c>
      <c r="P252" s="300">
        <v>132570.0</v>
      </c>
      <c r="Q252" s="198"/>
      <c r="R252" s="198"/>
      <c r="S252" s="198"/>
      <c r="T252" s="198"/>
      <c r="U252" s="198"/>
      <c r="V252" s="198"/>
      <c r="W252" s="198"/>
      <c r="X252" s="198"/>
      <c r="Y252" s="198"/>
      <c r="Z252" s="198"/>
      <c r="AA252" s="198"/>
    </row>
    <row r="253" ht="62.25" customHeight="1">
      <c r="A253" s="370">
        <v>37739.0</v>
      </c>
      <c r="B253" s="285" t="s">
        <v>21</v>
      </c>
      <c r="C253" s="285">
        <v>214.0</v>
      </c>
      <c r="D253" s="285" t="s">
        <v>8037</v>
      </c>
      <c r="E253" s="287" t="s">
        <v>8038</v>
      </c>
      <c r="F253" s="285" t="s">
        <v>5919</v>
      </c>
      <c r="G253" s="288">
        <v>45026.0</v>
      </c>
      <c r="H253" s="288">
        <v>45016.0</v>
      </c>
      <c r="I253" s="288">
        <v>45016.0</v>
      </c>
      <c r="J253" s="288">
        <v>45033.0</v>
      </c>
      <c r="K253" s="425" t="s">
        <v>4841</v>
      </c>
      <c r="L253" s="294"/>
      <c r="M253" s="290" t="s">
        <v>8039</v>
      </c>
      <c r="N253" s="285" t="s">
        <v>4635</v>
      </c>
      <c r="O253" s="299" t="s">
        <v>2621</v>
      </c>
      <c r="P253" s="300">
        <v>61435.66</v>
      </c>
      <c r="Q253" s="198"/>
      <c r="R253" s="198"/>
      <c r="S253" s="198"/>
      <c r="T253" s="198"/>
      <c r="U253" s="198"/>
      <c r="V253" s="198"/>
      <c r="W253" s="198"/>
      <c r="X253" s="198"/>
      <c r="Y253" s="198"/>
      <c r="Z253" s="198"/>
      <c r="AA253" s="198"/>
    </row>
    <row r="254" ht="70.5" customHeight="1">
      <c r="A254" s="370">
        <v>37704.0</v>
      </c>
      <c r="B254" s="285" t="s">
        <v>21</v>
      </c>
      <c r="C254" s="285">
        <v>1950.0</v>
      </c>
      <c r="D254" s="285" t="s">
        <v>8040</v>
      </c>
      <c r="E254" s="287" t="s">
        <v>6582</v>
      </c>
      <c r="F254" s="285" t="s">
        <v>5919</v>
      </c>
      <c r="G254" s="288">
        <v>45024.0</v>
      </c>
      <c r="H254" s="288">
        <v>45057.0</v>
      </c>
      <c r="I254" s="288">
        <v>45057.0</v>
      </c>
      <c r="J254" s="288">
        <v>45058.0</v>
      </c>
      <c r="K254" s="425" t="s">
        <v>4841</v>
      </c>
      <c r="L254" s="294"/>
      <c r="M254" s="290" t="s">
        <v>8041</v>
      </c>
      <c r="N254" s="285" t="s">
        <v>497</v>
      </c>
      <c r="O254" s="299" t="s">
        <v>2621</v>
      </c>
      <c r="P254" s="300">
        <v>33713.0</v>
      </c>
      <c r="Q254" s="198"/>
      <c r="R254" s="198"/>
      <c r="S254" s="198"/>
      <c r="T254" s="198"/>
      <c r="U254" s="198"/>
      <c r="V254" s="198"/>
      <c r="W254" s="198"/>
      <c r="X254" s="198"/>
      <c r="Y254" s="198"/>
      <c r="Z254" s="198"/>
      <c r="AA254" s="198"/>
    </row>
    <row r="255" ht="58.5" customHeight="1">
      <c r="A255" s="370">
        <v>37671.0</v>
      </c>
      <c r="B255" s="299" t="s">
        <v>25</v>
      </c>
      <c r="C255" s="285" t="s">
        <v>8042</v>
      </c>
      <c r="D255" s="285" t="s">
        <v>8043</v>
      </c>
      <c r="E255" s="287" t="s">
        <v>4641</v>
      </c>
      <c r="F255" s="285" t="s">
        <v>5919</v>
      </c>
      <c r="G255" s="288">
        <v>45022.0</v>
      </c>
      <c r="H255" s="288">
        <v>45019.0</v>
      </c>
      <c r="I255" s="288">
        <v>45019.0</v>
      </c>
      <c r="J255" s="288">
        <v>45029.0</v>
      </c>
      <c r="K255" s="294"/>
      <c r="L255" s="294"/>
      <c r="M255" s="290" t="s">
        <v>8044</v>
      </c>
      <c r="N255" s="285" t="s">
        <v>497</v>
      </c>
      <c r="O255" s="299" t="s">
        <v>2538</v>
      </c>
      <c r="P255" s="300">
        <v>53090.0</v>
      </c>
      <c r="Q255" s="198"/>
      <c r="R255" s="198"/>
      <c r="S255" s="198"/>
      <c r="T255" s="198"/>
      <c r="U255" s="198"/>
      <c r="V255" s="198"/>
      <c r="W255" s="198"/>
      <c r="X255" s="198"/>
      <c r="Y255" s="198"/>
      <c r="Z255" s="198"/>
      <c r="AA255" s="198"/>
    </row>
    <row r="256" ht="57.75" customHeight="1">
      <c r="A256" s="370">
        <v>37676.0</v>
      </c>
      <c r="B256" s="299" t="s">
        <v>715</v>
      </c>
      <c r="C256" s="285">
        <v>1470.0</v>
      </c>
      <c r="D256" s="285" t="s">
        <v>8045</v>
      </c>
      <c r="E256" s="287" t="s">
        <v>8046</v>
      </c>
      <c r="F256" s="285" t="s">
        <v>5919</v>
      </c>
      <c r="G256" s="288">
        <v>45022.0</v>
      </c>
      <c r="H256" s="288">
        <v>45015.0</v>
      </c>
      <c r="I256" s="288">
        <v>45015.0</v>
      </c>
      <c r="J256" s="288">
        <v>45027.0</v>
      </c>
      <c r="K256" s="294"/>
      <c r="L256" s="294"/>
      <c r="M256" s="290" t="s">
        <v>8047</v>
      </c>
      <c r="N256" s="285" t="s">
        <v>4635</v>
      </c>
      <c r="O256" s="299" t="s">
        <v>2621</v>
      </c>
      <c r="P256" s="300">
        <v>46363.5</v>
      </c>
      <c r="Q256" s="198"/>
      <c r="R256" s="198"/>
      <c r="S256" s="198"/>
      <c r="T256" s="198"/>
      <c r="U256" s="198"/>
      <c r="V256" s="198"/>
      <c r="W256" s="198"/>
      <c r="X256" s="198"/>
      <c r="Y256" s="198"/>
      <c r="Z256" s="198"/>
      <c r="AA256" s="198"/>
    </row>
    <row r="257" ht="64.5" customHeight="1">
      <c r="A257" s="370">
        <v>37738.0</v>
      </c>
      <c r="B257" s="285" t="s">
        <v>21</v>
      </c>
      <c r="C257" s="285">
        <v>1185.0</v>
      </c>
      <c r="D257" s="285" t="s">
        <v>8048</v>
      </c>
      <c r="E257" s="287" t="s">
        <v>8049</v>
      </c>
      <c r="F257" s="285" t="s">
        <v>5919</v>
      </c>
      <c r="G257" s="288">
        <v>45021.0</v>
      </c>
      <c r="H257" s="288">
        <v>45013.0</v>
      </c>
      <c r="I257" s="288">
        <v>45013.0</v>
      </c>
      <c r="J257" s="288">
        <v>45027.0</v>
      </c>
      <c r="K257" s="451" t="s">
        <v>8008</v>
      </c>
      <c r="L257" s="294"/>
      <c r="M257" s="290" t="s">
        <v>8050</v>
      </c>
      <c r="N257" s="285" t="s">
        <v>4635</v>
      </c>
      <c r="O257" s="299" t="s">
        <v>2621</v>
      </c>
      <c r="P257" s="300">
        <v>73137.25</v>
      </c>
      <c r="Q257" s="198"/>
      <c r="R257" s="198"/>
      <c r="S257" s="198"/>
      <c r="T257" s="198"/>
      <c r="U257" s="198"/>
      <c r="V257" s="198"/>
      <c r="W257" s="198"/>
      <c r="X257" s="198"/>
      <c r="Y257" s="198"/>
      <c r="Z257" s="198"/>
      <c r="AA257" s="198"/>
    </row>
    <row r="258" ht="79.5" customHeight="1">
      <c r="A258" s="370">
        <v>37703.0</v>
      </c>
      <c r="B258" s="299" t="s">
        <v>25</v>
      </c>
      <c r="C258" s="285">
        <v>1950.0</v>
      </c>
      <c r="D258" s="285" t="s">
        <v>8051</v>
      </c>
      <c r="E258" s="287" t="s">
        <v>6582</v>
      </c>
      <c r="F258" s="285" t="s">
        <v>5919</v>
      </c>
      <c r="G258" s="288">
        <v>45019.0</v>
      </c>
      <c r="H258" s="288" t="s">
        <v>8052</v>
      </c>
      <c r="I258" s="288">
        <v>45061.0</v>
      </c>
      <c r="J258" s="288">
        <v>45063.0</v>
      </c>
      <c r="K258" s="294"/>
      <c r="L258" s="294"/>
      <c r="M258" s="290" t="s">
        <v>8053</v>
      </c>
      <c r="N258" s="285" t="s">
        <v>497</v>
      </c>
      <c r="O258" s="299" t="s">
        <v>2621</v>
      </c>
      <c r="P258" s="300">
        <v>33713.0</v>
      </c>
      <c r="Q258" s="198"/>
      <c r="R258" s="198"/>
      <c r="S258" s="198"/>
      <c r="T258" s="198"/>
      <c r="U258" s="198"/>
      <c r="V258" s="198"/>
      <c r="W258" s="198"/>
      <c r="X258" s="198"/>
      <c r="Y258" s="198"/>
      <c r="Z258" s="198"/>
      <c r="AA258" s="198"/>
    </row>
    <row r="259" ht="59.25" customHeight="1">
      <c r="A259" s="370">
        <v>37624.0</v>
      </c>
      <c r="B259" s="285" t="s">
        <v>21</v>
      </c>
      <c r="C259" s="285">
        <v>2000.0</v>
      </c>
      <c r="D259" s="285" t="s">
        <v>8054</v>
      </c>
      <c r="E259" s="287" t="s">
        <v>6582</v>
      </c>
      <c r="F259" s="285" t="s">
        <v>5919</v>
      </c>
      <c r="G259" s="288">
        <v>45018.0</v>
      </c>
      <c r="H259" s="288">
        <v>45012.0</v>
      </c>
      <c r="I259" s="288">
        <v>45012.0</v>
      </c>
      <c r="J259" s="288">
        <v>45022.0</v>
      </c>
      <c r="K259" s="425" t="s">
        <v>4841</v>
      </c>
      <c r="L259" s="294"/>
      <c r="M259" s="290" t="s">
        <v>8055</v>
      </c>
      <c r="N259" s="285" t="s">
        <v>497</v>
      </c>
      <c r="O259" s="299" t="s">
        <v>2621</v>
      </c>
      <c r="P259" s="300">
        <v>33929.0</v>
      </c>
      <c r="Q259" s="198"/>
      <c r="R259" s="198"/>
      <c r="S259" s="198"/>
      <c r="T259" s="198"/>
      <c r="U259" s="198"/>
      <c r="V259" s="198"/>
      <c r="W259" s="198"/>
      <c r="X259" s="198"/>
      <c r="Y259" s="198"/>
      <c r="Z259" s="198"/>
      <c r="AA259" s="198"/>
    </row>
    <row r="260" ht="57.75" customHeight="1">
      <c r="A260" s="370">
        <v>37511.0</v>
      </c>
      <c r="B260" s="299" t="s">
        <v>715</v>
      </c>
      <c r="C260" s="285">
        <v>1306.0</v>
      </c>
      <c r="D260" s="285" t="s">
        <v>8056</v>
      </c>
      <c r="E260" s="287" t="s">
        <v>6938</v>
      </c>
      <c r="F260" s="285" t="s">
        <v>5919</v>
      </c>
      <c r="G260" s="288">
        <v>45017.0</v>
      </c>
      <c r="H260" s="288">
        <v>45012.0</v>
      </c>
      <c r="I260" s="288">
        <v>45012.0</v>
      </c>
      <c r="J260" s="288">
        <v>45020.0</v>
      </c>
      <c r="K260" s="294"/>
      <c r="L260" s="294"/>
      <c r="M260" s="290" t="s">
        <v>8057</v>
      </c>
      <c r="N260" s="285" t="s">
        <v>497</v>
      </c>
      <c r="O260" s="299" t="s">
        <v>2554</v>
      </c>
      <c r="P260" s="300">
        <v>44798.41</v>
      </c>
      <c r="Q260" s="198"/>
      <c r="R260" s="198"/>
      <c r="S260" s="198"/>
      <c r="T260" s="198"/>
      <c r="U260" s="198"/>
      <c r="V260" s="198"/>
      <c r="W260" s="198"/>
      <c r="X260" s="198"/>
      <c r="Y260" s="198"/>
      <c r="Z260" s="198"/>
      <c r="AA260" s="198"/>
    </row>
    <row r="261" ht="65.25" customHeight="1">
      <c r="A261" s="370">
        <v>37623.0</v>
      </c>
      <c r="B261" s="299" t="s">
        <v>25</v>
      </c>
      <c r="C261" s="285">
        <v>1998.0</v>
      </c>
      <c r="D261" s="285" t="s">
        <v>8058</v>
      </c>
      <c r="E261" s="287" t="s">
        <v>6582</v>
      </c>
      <c r="F261" s="285" t="s">
        <v>5919</v>
      </c>
      <c r="G261" s="288">
        <v>45013.0</v>
      </c>
      <c r="H261" s="288">
        <v>45009.0</v>
      </c>
      <c r="I261" s="288">
        <v>45009.0</v>
      </c>
      <c r="J261" s="288">
        <v>45019.0</v>
      </c>
      <c r="K261" s="294"/>
      <c r="L261" s="294"/>
      <c r="M261" s="290" t="s">
        <v>8059</v>
      </c>
      <c r="N261" s="285" t="s">
        <v>497</v>
      </c>
      <c r="O261" s="299" t="s">
        <v>2621</v>
      </c>
      <c r="P261" s="300">
        <v>33156.14</v>
      </c>
      <c r="Q261" s="198"/>
      <c r="R261" s="198"/>
      <c r="S261" s="198"/>
      <c r="T261" s="198"/>
      <c r="U261" s="198"/>
      <c r="V261" s="198"/>
      <c r="W261" s="198"/>
      <c r="X261" s="198"/>
      <c r="Y261" s="198"/>
      <c r="Z261" s="198"/>
      <c r="AA261" s="198"/>
    </row>
    <row r="262" ht="57.75" customHeight="1">
      <c r="A262" s="370">
        <v>37619.0</v>
      </c>
      <c r="B262" s="299" t="s">
        <v>25</v>
      </c>
      <c r="C262" s="285" t="s">
        <v>8060</v>
      </c>
      <c r="D262" s="285" t="s">
        <v>8061</v>
      </c>
      <c r="E262" s="287" t="s">
        <v>4641</v>
      </c>
      <c r="F262" s="285" t="s">
        <v>5919</v>
      </c>
      <c r="G262" s="288">
        <v>45004.0</v>
      </c>
      <c r="H262" s="288">
        <v>45000.0</v>
      </c>
      <c r="I262" s="288">
        <v>45000.0</v>
      </c>
      <c r="J262" s="288">
        <v>45008.0</v>
      </c>
      <c r="K262" s="294"/>
      <c r="L262" s="294"/>
      <c r="M262" s="290" t="s">
        <v>8062</v>
      </c>
      <c r="N262" s="285" t="s">
        <v>497</v>
      </c>
      <c r="O262" s="299" t="s">
        <v>2538</v>
      </c>
      <c r="P262" s="300">
        <v>86400.0</v>
      </c>
      <c r="Q262" s="198"/>
      <c r="R262" s="198"/>
      <c r="S262" s="198"/>
      <c r="T262" s="198"/>
      <c r="U262" s="198"/>
      <c r="V262" s="198"/>
      <c r="W262" s="198"/>
      <c r="X262" s="198"/>
      <c r="Y262" s="198"/>
      <c r="Z262" s="198"/>
      <c r="AA262" s="198"/>
    </row>
    <row r="263" ht="57.75" customHeight="1">
      <c r="A263" s="370">
        <v>37349.0</v>
      </c>
      <c r="B263" s="285" t="s">
        <v>21</v>
      </c>
      <c r="C263" s="285">
        <v>1390.0</v>
      </c>
      <c r="D263" s="285" t="s">
        <v>8063</v>
      </c>
      <c r="E263" s="287" t="s">
        <v>5211</v>
      </c>
      <c r="F263" s="285" t="s">
        <v>5919</v>
      </c>
      <c r="G263" s="288">
        <v>45003.0</v>
      </c>
      <c r="H263" s="285" t="s">
        <v>8064</v>
      </c>
      <c r="I263" s="288">
        <v>44998.0</v>
      </c>
      <c r="J263" s="288">
        <v>45008.0</v>
      </c>
      <c r="K263" s="451" t="s">
        <v>8065</v>
      </c>
      <c r="L263" s="294"/>
      <c r="M263" s="290" t="s">
        <v>8066</v>
      </c>
      <c r="N263" s="285" t="s">
        <v>497</v>
      </c>
      <c r="O263" s="299" t="s">
        <v>2604</v>
      </c>
      <c r="P263" s="300">
        <v>20306.7</v>
      </c>
      <c r="Q263" s="198"/>
      <c r="R263" s="198"/>
      <c r="S263" s="198"/>
      <c r="T263" s="198"/>
      <c r="U263" s="198"/>
      <c r="V263" s="198"/>
      <c r="W263" s="198"/>
      <c r="X263" s="198"/>
      <c r="Y263" s="198"/>
      <c r="Z263" s="198"/>
      <c r="AA263" s="198"/>
    </row>
    <row r="264" ht="57.75" customHeight="1">
      <c r="A264" s="370">
        <v>37435.0</v>
      </c>
      <c r="B264" s="285" t="s">
        <v>21</v>
      </c>
      <c r="C264" s="285">
        <v>2655.0</v>
      </c>
      <c r="D264" s="285" t="s">
        <v>8067</v>
      </c>
      <c r="E264" s="287" t="s">
        <v>6322</v>
      </c>
      <c r="F264" s="285" t="s">
        <v>5919</v>
      </c>
      <c r="G264" s="288">
        <v>44998.0</v>
      </c>
      <c r="H264" s="288">
        <v>44994.0</v>
      </c>
      <c r="I264" s="288">
        <v>44994.0</v>
      </c>
      <c r="J264" s="288">
        <v>45002.0</v>
      </c>
      <c r="K264" s="451" t="s">
        <v>8065</v>
      </c>
      <c r="L264" s="294"/>
      <c r="M264" s="290" t="s">
        <v>8068</v>
      </c>
      <c r="N264" s="285" t="s">
        <v>497</v>
      </c>
      <c r="O264" s="299" t="s">
        <v>2604</v>
      </c>
      <c r="P264" s="300">
        <v>84331.25</v>
      </c>
      <c r="Q264" s="198"/>
      <c r="R264" s="198"/>
      <c r="S264" s="198"/>
      <c r="T264" s="198"/>
      <c r="U264" s="198"/>
      <c r="V264" s="198"/>
      <c r="W264" s="198"/>
      <c r="X264" s="198"/>
      <c r="Y264" s="198"/>
      <c r="Z264" s="198"/>
      <c r="AA264" s="198"/>
    </row>
    <row r="265" ht="62.25" customHeight="1">
      <c r="A265" s="370">
        <v>37512.0</v>
      </c>
      <c r="B265" s="285" t="s">
        <v>21</v>
      </c>
      <c r="C265" s="285">
        <v>3976.0</v>
      </c>
      <c r="D265" s="285" t="s">
        <v>8069</v>
      </c>
      <c r="E265" s="287" t="s">
        <v>8070</v>
      </c>
      <c r="F265" s="285" t="s">
        <v>5919</v>
      </c>
      <c r="G265" s="288">
        <v>44998.0</v>
      </c>
      <c r="H265" s="288">
        <v>44994.0</v>
      </c>
      <c r="I265" s="288">
        <v>44994.0</v>
      </c>
      <c r="J265" s="288">
        <v>45006.0</v>
      </c>
      <c r="K265" s="451" t="s">
        <v>8065</v>
      </c>
      <c r="L265" s="294"/>
      <c r="M265" s="290" t="s">
        <v>8071</v>
      </c>
      <c r="N265" s="285" t="s">
        <v>497</v>
      </c>
      <c r="O265" s="299" t="s">
        <v>2554</v>
      </c>
      <c r="P265" s="300">
        <v>31714.4</v>
      </c>
      <c r="Q265" s="198"/>
      <c r="R265" s="198"/>
      <c r="S265" s="198"/>
      <c r="T265" s="198"/>
      <c r="U265" s="198"/>
      <c r="V265" s="198"/>
      <c r="W265" s="198"/>
      <c r="X265" s="198"/>
      <c r="Y265" s="198"/>
      <c r="Z265" s="198"/>
      <c r="AA265" s="198"/>
    </row>
    <row r="266" ht="71.25" customHeight="1">
      <c r="A266" s="370">
        <v>37350.0</v>
      </c>
      <c r="B266" s="299" t="s">
        <v>25</v>
      </c>
      <c r="C266" s="285">
        <v>1360.0</v>
      </c>
      <c r="D266" s="285" t="s">
        <v>8072</v>
      </c>
      <c r="E266" s="287" t="s">
        <v>5211</v>
      </c>
      <c r="F266" s="285" t="s">
        <v>5919</v>
      </c>
      <c r="G266" s="288">
        <v>44996.0</v>
      </c>
      <c r="H266" s="285" t="s">
        <v>8073</v>
      </c>
      <c r="I266" s="288">
        <v>44999.0</v>
      </c>
      <c r="J266" s="288">
        <v>44999.0</v>
      </c>
      <c r="K266" s="294"/>
      <c r="L266" s="294"/>
      <c r="M266" s="290" t="s">
        <v>8074</v>
      </c>
      <c r="N266" s="285" t="s">
        <v>497</v>
      </c>
      <c r="O266" s="299" t="s">
        <v>2604</v>
      </c>
      <c r="P266" s="300">
        <v>19955.7</v>
      </c>
      <c r="Q266" s="198"/>
      <c r="R266" s="198"/>
      <c r="S266" s="198"/>
      <c r="T266" s="198"/>
      <c r="U266" s="198"/>
      <c r="V266" s="198"/>
      <c r="W266" s="198"/>
      <c r="X266" s="198"/>
      <c r="Y266" s="198"/>
      <c r="Z266" s="198"/>
      <c r="AA266" s="198"/>
    </row>
    <row r="267" ht="57.75" customHeight="1">
      <c r="A267" s="370">
        <v>37658.0</v>
      </c>
      <c r="B267" s="285" t="s">
        <v>21</v>
      </c>
      <c r="C267" s="285">
        <v>940.0</v>
      </c>
      <c r="D267" s="285" t="s">
        <v>8075</v>
      </c>
      <c r="E267" s="287" t="s">
        <v>8076</v>
      </c>
      <c r="F267" s="285" t="s">
        <v>5919</v>
      </c>
      <c r="G267" s="288">
        <v>44989.0</v>
      </c>
      <c r="H267" s="288">
        <v>44985.0</v>
      </c>
      <c r="I267" s="288">
        <v>44985.0</v>
      </c>
      <c r="J267" s="288">
        <v>44995.0</v>
      </c>
      <c r="K267" s="425" t="s">
        <v>8077</v>
      </c>
      <c r="L267" s="294"/>
      <c r="M267" s="290" t="s">
        <v>8078</v>
      </c>
      <c r="N267" s="285" t="s">
        <v>4635</v>
      </c>
      <c r="O267" s="299" t="s">
        <v>2621</v>
      </c>
      <c r="P267" s="300">
        <v>74063.4</v>
      </c>
      <c r="Q267" s="198"/>
      <c r="R267" s="198"/>
      <c r="S267" s="198"/>
      <c r="T267" s="198"/>
      <c r="U267" s="198"/>
      <c r="V267" s="198"/>
      <c r="W267" s="198"/>
      <c r="X267" s="198"/>
      <c r="Y267" s="198"/>
      <c r="Z267" s="198"/>
      <c r="AA267" s="198"/>
    </row>
    <row r="268" ht="57.75" customHeight="1">
      <c r="A268" s="370">
        <v>36842.0</v>
      </c>
      <c r="B268" s="299" t="s">
        <v>715</v>
      </c>
      <c r="C268" s="285">
        <v>1216.0</v>
      </c>
      <c r="D268" s="285" t="s">
        <v>8079</v>
      </c>
      <c r="E268" s="287" t="s">
        <v>8080</v>
      </c>
      <c r="F268" s="285" t="s">
        <v>5919</v>
      </c>
      <c r="G268" s="288">
        <v>44988.0</v>
      </c>
      <c r="H268" s="288">
        <v>44984.0</v>
      </c>
      <c r="I268" s="288">
        <v>44984.0</v>
      </c>
      <c r="J268" s="288">
        <v>44992.0</v>
      </c>
      <c r="K268" s="294"/>
      <c r="L268" s="294"/>
      <c r="M268" s="290" t="s">
        <v>8081</v>
      </c>
      <c r="N268" s="285" t="s">
        <v>497</v>
      </c>
      <c r="O268" s="299" t="s">
        <v>2554</v>
      </c>
      <c r="P268" s="300">
        <v>40829.77</v>
      </c>
      <c r="Q268" s="198"/>
      <c r="R268" s="198"/>
      <c r="S268" s="198"/>
      <c r="T268" s="198"/>
      <c r="U268" s="198"/>
      <c r="V268" s="198"/>
      <c r="W268" s="198"/>
      <c r="X268" s="198"/>
      <c r="Y268" s="198"/>
      <c r="Z268" s="198"/>
      <c r="AA268" s="198"/>
    </row>
    <row r="269" ht="57.75" customHeight="1">
      <c r="A269" s="370">
        <v>37552.0</v>
      </c>
      <c r="B269" s="285" t="s">
        <v>21</v>
      </c>
      <c r="C269" s="285">
        <v>1377.0</v>
      </c>
      <c r="D269" s="285" t="s">
        <v>8082</v>
      </c>
      <c r="E269" s="287" t="s">
        <v>8083</v>
      </c>
      <c r="F269" s="285" t="s">
        <v>5919</v>
      </c>
      <c r="G269" s="288">
        <v>44986.0</v>
      </c>
      <c r="H269" s="288">
        <v>44983.0</v>
      </c>
      <c r="I269" s="288">
        <v>44983.0</v>
      </c>
      <c r="J269" s="288">
        <v>44992.0</v>
      </c>
      <c r="K269" s="425" t="s">
        <v>4841</v>
      </c>
      <c r="L269" s="294"/>
      <c r="M269" s="290" t="s">
        <v>8084</v>
      </c>
      <c r="N269" s="285" t="s">
        <v>497</v>
      </c>
      <c r="O269" s="299" t="s">
        <v>2621</v>
      </c>
      <c r="P269" s="300">
        <v>47349.0</v>
      </c>
      <c r="Q269" s="198"/>
      <c r="R269" s="198"/>
      <c r="S269" s="198"/>
      <c r="T269" s="198"/>
      <c r="U269" s="198"/>
      <c r="V269" s="198"/>
      <c r="W269" s="198"/>
      <c r="X269" s="198"/>
      <c r="Y269" s="198"/>
      <c r="Z269" s="198"/>
      <c r="AA269" s="198"/>
    </row>
    <row r="270" ht="57.75" customHeight="1">
      <c r="A270" s="370">
        <v>36972.0</v>
      </c>
      <c r="B270" s="285" t="s">
        <v>21</v>
      </c>
      <c r="C270" s="285">
        <v>1306.0</v>
      </c>
      <c r="D270" s="285" t="s">
        <v>8085</v>
      </c>
      <c r="E270" s="287" t="s">
        <v>4681</v>
      </c>
      <c r="F270" s="285" t="s">
        <v>5919</v>
      </c>
      <c r="G270" s="288">
        <v>44985.0</v>
      </c>
      <c r="H270" s="288">
        <v>44984.0</v>
      </c>
      <c r="I270" s="288">
        <v>44984.0</v>
      </c>
      <c r="J270" s="288">
        <v>44991.0</v>
      </c>
      <c r="K270" s="425">
        <v>5513879.0</v>
      </c>
      <c r="L270" s="294"/>
      <c r="M270" s="290" t="s">
        <v>8086</v>
      </c>
      <c r="N270" s="285" t="s">
        <v>497</v>
      </c>
      <c r="O270" s="299" t="s">
        <v>2554</v>
      </c>
      <c r="P270" s="300">
        <v>44798.41</v>
      </c>
      <c r="Q270" s="198"/>
      <c r="R270" s="198"/>
      <c r="S270" s="198"/>
      <c r="T270" s="198"/>
      <c r="U270" s="198"/>
      <c r="V270" s="198"/>
      <c r="W270" s="198"/>
      <c r="X270" s="198"/>
      <c r="Y270" s="198"/>
      <c r="Z270" s="198"/>
      <c r="AA270" s="198"/>
    </row>
    <row r="271" ht="57.75" customHeight="1">
      <c r="A271" s="370">
        <v>37559.0</v>
      </c>
      <c r="B271" s="299" t="s">
        <v>715</v>
      </c>
      <c r="C271" s="285">
        <v>1060.0</v>
      </c>
      <c r="D271" s="285" t="s">
        <v>8087</v>
      </c>
      <c r="E271" s="287" t="s">
        <v>8088</v>
      </c>
      <c r="F271" s="285" t="s">
        <v>5919</v>
      </c>
      <c r="G271" s="288">
        <v>44984.0</v>
      </c>
      <c r="H271" s="288">
        <v>44978.0</v>
      </c>
      <c r="I271" s="288">
        <v>44978.0</v>
      </c>
      <c r="J271" s="288">
        <v>44988.0</v>
      </c>
      <c r="K271" s="294"/>
      <c r="L271" s="294"/>
      <c r="M271" s="290" t="s">
        <v>8089</v>
      </c>
      <c r="N271" s="285" t="s">
        <v>4635</v>
      </c>
      <c r="O271" s="299" t="s">
        <v>2621</v>
      </c>
      <c r="P271" s="300">
        <v>42525.8</v>
      </c>
      <c r="Q271" s="198"/>
      <c r="R271" s="198"/>
      <c r="S271" s="198"/>
      <c r="T271" s="198"/>
      <c r="U271" s="198"/>
      <c r="V271" s="198"/>
      <c r="W271" s="198"/>
      <c r="X271" s="198"/>
      <c r="Y271" s="198"/>
      <c r="Z271" s="198"/>
      <c r="AA271" s="198"/>
    </row>
    <row r="272" ht="57.75" customHeight="1">
      <c r="A272" s="370">
        <v>37546.0</v>
      </c>
      <c r="B272" s="299" t="s">
        <v>715</v>
      </c>
      <c r="C272" s="285">
        <v>940.0</v>
      </c>
      <c r="D272" s="285" t="s">
        <v>8090</v>
      </c>
      <c r="E272" s="287" t="s">
        <v>8091</v>
      </c>
      <c r="F272" s="285" t="s">
        <v>5919</v>
      </c>
      <c r="G272" s="288">
        <v>44982.0</v>
      </c>
      <c r="H272" s="288">
        <v>44978.0</v>
      </c>
      <c r="I272" s="288">
        <v>44978.0</v>
      </c>
      <c r="J272" s="288">
        <v>44985.0</v>
      </c>
      <c r="K272" s="294"/>
      <c r="L272" s="294"/>
      <c r="M272" s="290" t="s">
        <v>8092</v>
      </c>
      <c r="N272" s="285" t="s">
        <v>4635</v>
      </c>
      <c r="O272" s="299" t="s">
        <v>2621</v>
      </c>
      <c r="P272" s="300">
        <v>48757.0</v>
      </c>
      <c r="Q272" s="198"/>
      <c r="R272" s="198"/>
      <c r="S272" s="198"/>
      <c r="T272" s="198"/>
      <c r="U272" s="198"/>
      <c r="V272" s="198"/>
      <c r="W272" s="198"/>
      <c r="X272" s="198"/>
      <c r="Y272" s="198"/>
      <c r="Z272" s="198"/>
      <c r="AA272" s="198"/>
    </row>
    <row r="273" ht="57.75" customHeight="1">
      <c r="A273" s="370">
        <v>37564.0</v>
      </c>
      <c r="B273" s="285" t="s">
        <v>21</v>
      </c>
      <c r="C273" s="285">
        <v>1160.0</v>
      </c>
      <c r="D273" s="285" t="s">
        <v>8093</v>
      </c>
      <c r="E273" s="287" t="s">
        <v>8094</v>
      </c>
      <c r="F273" s="285" t="s">
        <v>5919</v>
      </c>
      <c r="G273" s="288">
        <v>44982.0</v>
      </c>
      <c r="H273" s="288">
        <v>44978.0</v>
      </c>
      <c r="I273" s="288">
        <v>44984.0</v>
      </c>
      <c r="J273" s="288">
        <v>44988.0</v>
      </c>
      <c r="K273" s="425">
        <v>5513879.0</v>
      </c>
      <c r="L273" s="294"/>
      <c r="M273" s="290" t="s">
        <v>8095</v>
      </c>
      <c r="N273" s="285" t="s">
        <v>4635</v>
      </c>
      <c r="O273" s="299" t="s">
        <v>2621</v>
      </c>
      <c r="P273" s="300">
        <v>125973.8</v>
      </c>
      <c r="Q273" s="198"/>
      <c r="R273" s="198"/>
      <c r="S273" s="198"/>
      <c r="T273" s="198"/>
      <c r="U273" s="198"/>
      <c r="V273" s="198"/>
      <c r="W273" s="198"/>
      <c r="X273" s="198"/>
      <c r="Y273" s="198"/>
      <c r="Z273" s="198"/>
      <c r="AA273" s="198"/>
    </row>
    <row r="274" ht="57.75" customHeight="1">
      <c r="A274" s="370">
        <v>37573.0</v>
      </c>
      <c r="B274" s="299" t="s">
        <v>715</v>
      </c>
      <c r="C274" s="285">
        <v>1260.0</v>
      </c>
      <c r="D274" s="285" t="s">
        <v>8096</v>
      </c>
      <c r="E274" s="287" t="s">
        <v>8097</v>
      </c>
      <c r="F274" s="285" t="s">
        <v>5919</v>
      </c>
      <c r="G274" s="288">
        <v>44982.0</v>
      </c>
      <c r="H274" s="288">
        <v>44978.0</v>
      </c>
      <c r="I274" s="288">
        <v>44978.0</v>
      </c>
      <c r="J274" s="288">
        <v>44986.0</v>
      </c>
      <c r="K274" s="294"/>
      <c r="L274" s="294"/>
      <c r="M274" s="290" t="s">
        <v>8098</v>
      </c>
      <c r="N274" s="285" t="s">
        <v>4635</v>
      </c>
      <c r="O274" s="299" t="s">
        <v>2621</v>
      </c>
      <c r="P274" s="300">
        <v>36530.4</v>
      </c>
      <c r="Q274" s="198"/>
      <c r="R274" s="198"/>
      <c r="S274" s="198"/>
      <c r="T274" s="198"/>
      <c r="U274" s="198"/>
      <c r="V274" s="198"/>
      <c r="W274" s="198"/>
      <c r="X274" s="198"/>
      <c r="Y274" s="198"/>
      <c r="Z274" s="198"/>
      <c r="AA274" s="198"/>
    </row>
    <row r="275" ht="59.25" customHeight="1">
      <c r="A275" s="370">
        <v>37403.0</v>
      </c>
      <c r="B275" s="285" t="s">
        <v>21</v>
      </c>
      <c r="C275" s="285">
        <v>480.0</v>
      </c>
      <c r="D275" s="285" t="s">
        <v>8099</v>
      </c>
      <c r="E275" s="287" t="s">
        <v>2751</v>
      </c>
      <c r="F275" s="285" t="s">
        <v>5919</v>
      </c>
      <c r="G275" s="288">
        <v>44981.0</v>
      </c>
      <c r="H275" s="288">
        <v>44969.0</v>
      </c>
      <c r="I275" s="288">
        <v>44969.0</v>
      </c>
      <c r="J275" s="288">
        <v>44987.0</v>
      </c>
      <c r="K275" s="425">
        <v>5513879.0</v>
      </c>
      <c r="L275" s="294"/>
      <c r="M275" s="290" t="s">
        <v>8100</v>
      </c>
      <c r="N275" s="285" t="s">
        <v>6366</v>
      </c>
      <c r="O275" s="299" t="s">
        <v>2621</v>
      </c>
      <c r="P275" s="300">
        <v>17964.5</v>
      </c>
      <c r="Q275" s="198"/>
      <c r="R275" s="198"/>
      <c r="S275" s="198"/>
      <c r="T275" s="198"/>
      <c r="U275" s="198"/>
      <c r="V275" s="198"/>
      <c r="W275" s="198"/>
      <c r="X275" s="198"/>
      <c r="Y275" s="198"/>
      <c r="Z275" s="198"/>
      <c r="AA275" s="198"/>
    </row>
    <row r="276" ht="57.75" customHeight="1">
      <c r="A276" s="370">
        <v>37519.0</v>
      </c>
      <c r="B276" s="299" t="s">
        <v>715</v>
      </c>
      <c r="C276" s="285">
        <v>1150.0</v>
      </c>
      <c r="D276" s="285" t="s">
        <v>8101</v>
      </c>
      <c r="E276" s="287" t="s">
        <v>8102</v>
      </c>
      <c r="F276" s="285" t="s">
        <v>5919</v>
      </c>
      <c r="G276" s="288">
        <v>44974.0</v>
      </c>
      <c r="H276" s="285" t="s">
        <v>8103</v>
      </c>
      <c r="I276" s="285" t="s">
        <v>8103</v>
      </c>
      <c r="J276" s="288">
        <v>44979.0</v>
      </c>
      <c r="K276" s="294"/>
      <c r="L276" s="294"/>
      <c r="M276" s="290" t="s">
        <v>8104</v>
      </c>
      <c r="N276" s="285" t="s">
        <v>4635</v>
      </c>
      <c r="O276" s="299" t="s">
        <v>2621</v>
      </c>
      <c r="P276" s="300">
        <v>100182.0</v>
      </c>
      <c r="Q276" s="198"/>
      <c r="R276" s="198"/>
      <c r="S276" s="198"/>
      <c r="T276" s="198"/>
      <c r="U276" s="198"/>
      <c r="V276" s="198"/>
      <c r="W276" s="198"/>
      <c r="X276" s="198"/>
      <c r="Y276" s="198"/>
      <c r="Z276" s="198"/>
      <c r="AA276" s="198"/>
    </row>
    <row r="277" ht="57.75" customHeight="1">
      <c r="A277" s="370">
        <v>37515.0</v>
      </c>
      <c r="B277" s="285" t="s">
        <v>21</v>
      </c>
      <c r="C277" s="285">
        <v>1000.0</v>
      </c>
      <c r="D277" s="285" t="s">
        <v>8105</v>
      </c>
      <c r="E277" s="287" t="s">
        <v>8106</v>
      </c>
      <c r="F277" s="285" t="s">
        <v>5919</v>
      </c>
      <c r="G277" s="288">
        <v>44972.0</v>
      </c>
      <c r="H277" s="288">
        <v>44949.0</v>
      </c>
      <c r="I277" s="288">
        <v>44949.0</v>
      </c>
      <c r="J277" s="288">
        <v>44979.0</v>
      </c>
      <c r="K277" s="425">
        <v>5513879.0</v>
      </c>
      <c r="L277" s="294"/>
      <c r="M277" s="290" t="s">
        <v>8107</v>
      </c>
      <c r="N277" s="285" t="s">
        <v>4635</v>
      </c>
      <c r="O277" s="299" t="s">
        <v>2621</v>
      </c>
      <c r="P277" s="300">
        <v>102558.0</v>
      </c>
      <c r="Q277" s="198"/>
      <c r="R277" s="198"/>
      <c r="S277" s="198"/>
      <c r="T277" s="198"/>
      <c r="U277" s="198"/>
      <c r="V277" s="198"/>
      <c r="W277" s="198"/>
      <c r="X277" s="198"/>
      <c r="Y277" s="198"/>
      <c r="Z277" s="198"/>
      <c r="AA277" s="198"/>
    </row>
    <row r="278" ht="57.75" customHeight="1">
      <c r="A278" s="370">
        <v>36958.0</v>
      </c>
      <c r="B278" s="299" t="s">
        <v>715</v>
      </c>
      <c r="C278" s="285">
        <v>2100.0</v>
      </c>
      <c r="D278" s="285" t="s">
        <v>8108</v>
      </c>
      <c r="E278" s="287" t="s">
        <v>4637</v>
      </c>
      <c r="F278" s="285" t="s">
        <v>5919</v>
      </c>
      <c r="G278" s="288">
        <v>44971.0</v>
      </c>
      <c r="H278" s="288">
        <v>44973.0</v>
      </c>
      <c r="I278" s="288">
        <v>44973.0</v>
      </c>
      <c r="J278" s="288">
        <v>44978.0</v>
      </c>
      <c r="K278" s="294"/>
      <c r="L278" s="294"/>
      <c r="M278" s="290" t="s">
        <v>8109</v>
      </c>
      <c r="N278" s="285" t="s">
        <v>497</v>
      </c>
      <c r="O278" s="299" t="s">
        <v>2554</v>
      </c>
      <c r="P278" s="300">
        <v>29190.0</v>
      </c>
      <c r="Q278" s="198"/>
      <c r="R278" s="198"/>
      <c r="S278" s="198"/>
      <c r="T278" s="198"/>
      <c r="U278" s="198"/>
      <c r="V278" s="198"/>
      <c r="W278" s="198"/>
      <c r="X278" s="198"/>
      <c r="Y278" s="198"/>
      <c r="Z278" s="198"/>
      <c r="AA278" s="198"/>
    </row>
    <row r="279" ht="57.75" customHeight="1">
      <c r="A279" s="370">
        <v>37543.0</v>
      </c>
      <c r="B279" s="285" t="s">
        <v>21</v>
      </c>
      <c r="C279" s="285">
        <v>1101.0</v>
      </c>
      <c r="D279" s="285" t="s">
        <v>8110</v>
      </c>
      <c r="E279" s="287" t="s">
        <v>8111</v>
      </c>
      <c r="F279" s="285" t="s">
        <v>5919</v>
      </c>
      <c r="G279" s="288">
        <v>44966.0</v>
      </c>
      <c r="H279" s="288" t="s">
        <v>8112</v>
      </c>
      <c r="I279" s="288" t="s">
        <v>8112</v>
      </c>
      <c r="J279" s="288">
        <v>44971.0</v>
      </c>
      <c r="K279" s="425" t="s">
        <v>8077</v>
      </c>
      <c r="L279" s="294"/>
      <c r="M279" s="290" t="s">
        <v>8113</v>
      </c>
      <c r="N279" s="285" t="s">
        <v>4635</v>
      </c>
      <c r="O279" s="299" t="s">
        <v>2621</v>
      </c>
      <c r="P279" s="300">
        <v>49683.3</v>
      </c>
      <c r="Q279" s="198"/>
      <c r="R279" s="198"/>
      <c r="S279" s="198"/>
      <c r="T279" s="198"/>
      <c r="U279" s="198"/>
      <c r="V279" s="198"/>
      <c r="W279" s="198"/>
      <c r="X279" s="198"/>
      <c r="Y279" s="198"/>
      <c r="Z279" s="198"/>
      <c r="AA279" s="198"/>
    </row>
    <row r="280" ht="57.75" customHeight="1">
      <c r="A280" s="370">
        <v>37510.0</v>
      </c>
      <c r="B280" s="285" t="s">
        <v>21</v>
      </c>
      <c r="C280" s="285">
        <v>1160.0</v>
      </c>
      <c r="D280" s="285" t="s">
        <v>8114</v>
      </c>
      <c r="E280" s="287" t="s">
        <v>8115</v>
      </c>
      <c r="F280" s="285" t="s">
        <v>5919</v>
      </c>
      <c r="G280" s="288">
        <v>44966.0</v>
      </c>
      <c r="H280" s="288">
        <v>44963.0</v>
      </c>
      <c r="I280" s="288">
        <v>44981.0</v>
      </c>
      <c r="J280" s="288">
        <v>44984.0</v>
      </c>
      <c r="K280" s="425">
        <v>5513879.0</v>
      </c>
      <c r="L280" s="294"/>
      <c r="M280" s="290" t="s">
        <v>8116</v>
      </c>
      <c r="N280" s="285" t="s">
        <v>4635</v>
      </c>
      <c r="O280" s="299" t="s">
        <v>2621</v>
      </c>
      <c r="P280" s="300">
        <v>120098.2</v>
      </c>
      <c r="Q280" s="198"/>
      <c r="R280" s="198"/>
      <c r="S280" s="198"/>
      <c r="T280" s="198"/>
      <c r="U280" s="198"/>
      <c r="V280" s="198"/>
      <c r="W280" s="198"/>
      <c r="X280" s="198"/>
      <c r="Y280" s="198"/>
      <c r="Z280" s="198"/>
      <c r="AA280" s="198"/>
    </row>
    <row r="281" ht="57.75" customHeight="1">
      <c r="A281" s="370">
        <v>36952.0</v>
      </c>
      <c r="B281" s="285" t="s">
        <v>21</v>
      </c>
      <c r="C281" s="285">
        <v>4300.0</v>
      </c>
      <c r="D281" s="285" t="s">
        <v>8117</v>
      </c>
      <c r="E281" s="287" t="s">
        <v>3903</v>
      </c>
      <c r="F281" s="285" t="s">
        <v>5919</v>
      </c>
      <c r="G281" s="288">
        <v>44961.0</v>
      </c>
      <c r="H281" s="288">
        <v>44956.0</v>
      </c>
      <c r="I281" s="288">
        <v>44956.0</v>
      </c>
      <c r="J281" s="288">
        <v>44966.0</v>
      </c>
      <c r="K281" s="451" t="s">
        <v>8008</v>
      </c>
      <c r="L281" s="294"/>
      <c r="M281" s="290" t="s">
        <v>8118</v>
      </c>
      <c r="N281" s="285" t="s">
        <v>4635</v>
      </c>
      <c r="O281" s="299" t="s">
        <v>2621</v>
      </c>
      <c r="P281" s="300">
        <v>122766.0</v>
      </c>
      <c r="Q281" s="198"/>
      <c r="R281" s="198"/>
      <c r="S281" s="198"/>
      <c r="T281" s="198"/>
      <c r="U281" s="198"/>
      <c r="V281" s="198"/>
      <c r="W281" s="198"/>
      <c r="X281" s="198"/>
      <c r="Y281" s="198"/>
      <c r="Z281" s="198"/>
      <c r="AA281" s="198"/>
    </row>
    <row r="282" ht="57.75" customHeight="1">
      <c r="A282" s="370">
        <v>37574.0</v>
      </c>
      <c r="B282" s="285" t="s">
        <v>21</v>
      </c>
      <c r="C282" s="285">
        <v>1185.0</v>
      </c>
      <c r="D282" s="285" t="s">
        <v>8119</v>
      </c>
      <c r="E282" s="287" t="s">
        <v>8120</v>
      </c>
      <c r="F282" s="285" t="s">
        <v>5919</v>
      </c>
      <c r="G282" s="288">
        <v>44961.0</v>
      </c>
      <c r="H282" s="288">
        <v>44956.0</v>
      </c>
      <c r="I282" s="288">
        <v>44956.0</v>
      </c>
      <c r="J282" s="288">
        <v>44967.0</v>
      </c>
      <c r="K282" s="425" t="s">
        <v>8077</v>
      </c>
      <c r="L282" s="294"/>
      <c r="M282" s="290" t="s">
        <v>8121</v>
      </c>
      <c r="N282" s="285" t="s">
        <v>4635</v>
      </c>
      <c r="O282" s="299" t="s">
        <v>2621</v>
      </c>
      <c r="P282" s="300">
        <v>72173.75</v>
      </c>
      <c r="Q282" s="198"/>
      <c r="R282" s="198"/>
      <c r="S282" s="198"/>
      <c r="T282" s="198"/>
      <c r="U282" s="198"/>
      <c r="V282" s="198"/>
      <c r="W282" s="198"/>
      <c r="X282" s="198"/>
      <c r="Y282" s="198"/>
      <c r="Z282" s="198"/>
      <c r="AA282" s="198"/>
    </row>
    <row r="283" ht="57.75" customHeight="1">
      <c r="A283" s="370">
        <v>36960.0</v>
      </c>
      <c r="B283" s="285" t="s">
        <v>21</v>
      </c>
      <c r="C283" s="285">
        <v>4230.0</v>
      </c>
      <c r="D283" s="285" t="s">
        <v>8122</v>
      </c>
      <c r="E283" s="287" t="s">
        <v>4690</v>
      </c>
      <c r="F283" s="285" t="s">
        <v>5919</v>
      </c>
      <c r="G283" s="288">
        <v>44958.0</v>
      </c>
      <c r="H283" s="288">
        <v>44953.0</v>
      </c>
      <c r="I283" s="288">
        <v>44953.0</v>
      </c>
      <c r="J283" s="288">
        <v>44964.0</v>
      </c>
      <c r="K283" s="425">
        <v>5513879.0</v>
      </c>
      <c r="L283" s="294"/>
      <c r="M283" s="290" t="s">
        <v>8123</v>
      </c>
      <c r="N283" s="285" t="s">
        <v>497</v>
      </c>
      <c r="O283" s="299" t="s">
        <v>2554</v>
      </c>
      <c r="P283" s="300">
        <v>29060.1</v>
      </c>
      <c r="Q283" s="198"/>
      <c r="R283" s="198"/>
      <c r="S283" s="198"/>
      <c r="T283" s="198"/>
      <c r="U283" s="198"/>
      <c r="V283" s="198"/>
      <c r="W283" s="198"/>
      <c r="X283" s="198"/>
      <c r="Y283" s="198"/>
      <c r="Z283" s="198"/>
      <c r="AA283" s="198"/>
    </row>
    <row r="284" ht="57.75" customHeight="1">
      <c r="A284" s="370">
        <v>36962.0</v>
      </c>
      <c r="B284" s="285" t="s">
        <v>21</v>
      </c>
      <c r="C284" s="285">
        <v>1250.0</v>
      </c>
      <c r="D284" s="285" t="s">
        <v>8124</v>
      </c>
      <c r="E284" s="287" t="s">
        <v>4637</v>
      </c>
      <c r="F284" s="285" t="s">
        <v>5919</v>
      </c>
      <c r="G284" s="288">
        <v>44958.0</v>
      </c>
      <c r="H284" s="288">
        <v>44953.0</v>
      </c>
      <c r="I284" s="288">
        <v>44953.0</v>
      </c>
      <c r="J284" s="288">
        <v>44960.0</v>
      </c>
      <c r="K284" s="425">
        <v>5513879.0</v>
      </c>
      <c r="L284" s="294"/>
      <c r="M284" s="290" t="s">
        <v>8125</v>
      </c>
      <c r="N284" s="285" t="s">
        <v>497</v>
      </c>
      <c r="O284" s="299" t="s">
        <v>2554</v>
      </c>
      <c r="P284" s="300">
        <v>34342.5</v>
      </c>
      <c r="Q284" s="198"/>
      <c r="R284" s="198"/>
      <c r="S284" s="198"/>
      <c r="T284" s="198"/>
      <c r="U284" s="198"/>
      <c r="V284" s="198"/>
      <c r="W284" s="198"/>
      <c r="X284" s="198"/>
      <c r="Y284" s="198"/>
      <c r="Z284" s="198"/>
      <c r="AA284" s="198"/>
    </row>
    <row r="285" ht="57.75" customHeight="1">
      <c r="A285" s="370">
        <v>36959.0</v>
      </c>
      <c r="B285" s="285" t="s">
        <v>21</v>
      </c>
      <c r="C285" s="285">
        <v>2100.0</v>
      </c>
      <c r="D285" s="285" t="s">
        <v>8126</v>
      </c>
      <c r="E285" s="287" t="s">
        <v>4637</v>
      </c>
      <c r="F285" s="285" t="s">
        <v>5919</v>
      </c>
      <c r="G285" s="288">
        <v>44958.0</v>
      </c>
      <c r="H285" s="288">
        <v>44953.0</v>
      </c>
      <c r="I285" s="288">
        <v>44953.0</v>
      </c>
      <c r="J285" s="288">
        <v>44963.0</v>
      </c>
      <c r="K285" s="425" t="s">
        <v>8127</v>
      </c>
      <c r="L285" s="294"/>
      <c r="M285" s="290" t="s">
        <v>8128</v>
      </c>
      <c r="N285" s="285" t="s">
        <v>497</v>
      </c>
      <c r="O285" s="299" t="s">
        <v>2554</v>
      </c>
      <c r="P285" s="300">
        <v>29190.0</v>
      </c>
      <c r="Q285" s="198"/>
      <c r="R285" s="198"/>
      <c r="S285" s="198"/>
      <c r="T285" s="198"/>
      <c r="U285" s="198"/>
      <c r="V285" s="198"/>
      <c r="W285" s="198"/>
      <c r="X285" s="198"/>
      <c r="Y285" s="198"/>
      <c r="Z285" s="198"/>
      <c r="AA285" s="198"/>
    </row>
    <row r="286" ht="57.75" customHeight="1">
      <c r="A286" s="370">
        <v>37438.0</v>
      </c>
      <c r="B286" s="285" t="s">
        <v>21</v>
      </c>
      <c r="C286" s="285">
        <v>1901.0</v>
      </c>
      <c r="D286" s="285" t="s">
        <v>8129</v>
      </c>
      <c r="E286" s="287" t="s">
        <v>8130</v>
      </c>
      <c r="F286" s="285" t="s">
        <v>5919</v>
      </c>
      <c r="G286" s="288">
        <v>44955.0</v>
      </c>
      <c r="H286" s="288">
        <v>44951.0</v>
      </c>
      <c r="I286" s="288">
        <v>44951.0</v>
      </c>
      <c r="J286" s="288">
        <v>44972.0</v>
      </c>
      <c r="K286" s="425" t="s">
        <v>4841</v>
      </c>
      <c r="L286" s="294"/>
      <c r="M286" s="290" t="s">
        <v>8131</v>
      </c>
      <c r="N286" s="285" t="s">
        <v>497</v>
      </c>
      <c r="O286" s="299" t="s">
        <v>2621</v>
      </c>
      <c r="P286" s="300">
        <v>22933.0</v>
      </c>
      <c r="Q286" s="198"/>
      <c r="R286" s="198"/>
      <c r="S286" s="198"/>
      <c r="T286" s="198"/>
      <c r="U286" s="198"/>
      <c r="V286" s="198"/>
      <c r="W286" s="198"/>
      <c r="X286" s="198"/>
      <c r="Y286" s="198"/>
      <c r="Z286" s="198"/>
      <c r="AA286" s="198"/>
    </row>
    <row r="287" ht="57.75" customHeight="1">
      <c r="A287" s="370">
        <v>36828.0</v>
      </c>
      <c r="B287" s="285" t="s">
        <v>21</v>
      </c>
      <c r="C287" s="285">
        <v>1306.0</v>
      </c>
      <c r="D287" s="285" t="s">
        <v>8132</v>
      </c>
      <c r="E287" s="287" t="s">
        <v>4681</v>
      </c>
      <c r="F287" s="285" t="s">
        <v>5919</v>
      </c>
      <c r="G287" s="288">
        <v>44955.0</v>
      </c>
      <c r="H287" s="288">
        <v>44949.0</v>
      </c>
      <c r="I287" s="288">
        <v>44949.0</v>
      </c>
      <c r="J287" s="288">
        <v>44967.0</v>
      </c>
      <c r="K287" s="425">
        <v>5513879.0</v>
      </c>
      <c r="L287" s="294"/>
      <c r="M287" s="290" t="s">
        <v>8133</v>
      </c>
      <c r="N287" s="285" t="s">
        <v>497</v>
      </c>
      <c r="O287" s="299" t="s">
        <v>2554</v>
      </c>
      <c r="P287" s="300">
        <v>44798.41</v>
      </c>
      <c r="Q287" s="198"/>
      <c r="R287" s="198"/>
      <c r="S287" s="198"/>
      <c r="T287" s="198"/>
      <c r="U287" s="198"/>
      <c r="V287" s="198"/>
      <c r="W287" s="198"/>
      <c r="X287" s="198"/>
      <c r="Y287" s="198"/>
      <c r="Z287" s="198"/>
      <c r="AA287" s="198"/>
    </row>
    <row r="288" ht="57.75" customHeight="1">
      <c r="A288" s="370" t="s">
        <v>8134</v>
      </c>
      <c r="B288" s="285" t="s">
        <v>21</v>
      </c>
      <c r="C288" s="285" t="s">
        <v>8135</v>
      </c>
      <c r="D288" s="285" t="s">
        <v>8136</v>
      </c>
      <c r="E288" s="287" t="s">
        <v>4641</v>
      </c>
      <c r="F288" s="285" t="s">
        <v>5919</v>
      </c>
      <c r="G288" s="288">
        <v>44955.0</v>
      </c>
      <c r="H288" s="288">
        <v>44949.0</v>
      </c>
      <c r="I288" s="288">
        <v>44949.0</v>
      </c>
      <c r="J288" s="288">
        <v>44970.0</v>
      </c>
      <c r="K288" s="425" t="s">
        <v>8077</v>
      </c>
      <c r="L288" s="294"/>
      <c r="M288" s="290" t="s">
        <v>8137</v>
      </c>
      <c r="N288" s="285" t="s">
        <v>4745</v>
      </c>
      <c r="O288" s="299" t="s">
        <v>2538</v>
      </c>
      <c r="P288" s="300">
        <v>68428.8</v>
      </c>
      <c r="Q288" s="198"/>
      <c r="R288" s="198"/>
      <c r="S288" s="198"/>
      <c r="T288" s="198"/>
      <c r="U288" s="198"/>
      <c r="V288" s="198"/>
      <c r="W288" s="198"/>
      <c r="X288" s="198"/>
      <c r="Y288" s="198"/>
      <c r="Z288" s="198"/>
      <c r="AA288" s="198"/>
    </row>
    <row r="289" ht="57.75" customHeight="1">
      <c r="A289" s="370">
        <v>37545.0</v>
      </c>
      <c r="B289" s="299" t="s">
        <v>6501</v>
      </c>
      <c r="C289" s="285">
        <v>940.0</v>
      </c>
      <c r="D289" s="285" t="s">
        <v>8138</v>
      </c>
      <c r="E289" s="287" t="s">
        <v>8139</v>
      </c>
      <c r="F289" s="285" t="s">
        <v>5919</v>
      </c>
      <c r="G289" s="288">
        <v>44954.0</v>
      </c>
      <c r="H289" s="288">
        <v>44950.0</v>
      </c>
      <c r="I289" s="288">
        <v>44950.0</v>
      </c>
      <c r="J289" s="288">
        <v>44963.0</v>
      </c>
      <c r="K289" s="294"/>
      <c r="L289" s="294"/>
      <c r="M289" s="290" t="s">
        <v>8140</v>
      </c>
      <c r="N289" s="285" t="s">
        <v>4635</v>
      </c>
      <c r="O289" s="299" t="s">
        <v>2621</v>
      </c>
      <c r="P289" s="300">
        <v>56050.0</v>
      </c>
      <c r="Q289" s="198"/>
      <c r="R289" s="198"/>
      <c r="S289" s="198"/>
      <c r="T289" s="198"/>
      <c r="U289" s="198"/>
      <c r="V289" s="198"/>
      <c r="W289" s="198"/>
      <c r="X289" s="198"/>
      <c r="Y289" s="198"/>
      <c r="Z289" s="198"/>
      <c r="AA289" s="198"/>
    </row>
    <row r="290" ht="57.75" customHeight="1">
      <c r="A290" s="370">
        <v>37565.0</v>
      </c>
      <c r="B290" s="299" t="s">
        <v>6501</v>
      </c>
      <c r="C290" s="285">
        <v>735.0</v>
      </c>
      <c r="D290" s="285" t="s">
        <v>8141</v>
      </c>
      <c r="E290" s="287" t="s">
        <v>8142</v>
      </c>
      <c r="F290" s="285" t="s">
        <v>5919</v>
      </c>
      <c r="G290" s="288">
        <v>44954.0</v>
      </c>
      <c r="H290" s="288">
        <v>44949.0</v>
      </c>
      <c r="I290" s="288">
        <v>44949.0</v>
      </c>
      <c r="J290" s="288">
        <v>44959.0</v>
      </c>
      <c r="K290" s="294"/>
      <c r="L290" s="294"/>
      <c r="M290" s="290" t="s">
        <v>8143</v>
      </c>
      <c r="N290" s="285" t="s">
        <v>4635</v>
      </c>
      <c r="O290" s="299" t="s">
        <v>2621</v>
      </c>
      <c r="P290" s="300">
        <v>39964.0</v>
      </c>
      <c r="Q290" s="198"/>
      <c r="R290" s="198"/>
      <c r="S290" s="198"/>
      <c r="T290" s="198"/>
      <c r="U290" s="198"/>
      <c r="V290" s="198"/>
      <c r="W290" s="198"/>
      <c r="X290" s="198"/>
      <c r="Y290" s="198"/>
      <c r="Z290" s="198"/>
      <c r="AA290" s="198"/>
    </row>
    <row r="291" ht="57.75" customHeight="1">
      <c r="A291" s="370">
        <v>36957.0</v>
      </c>
      <c r="B291" s="299" t="s">
        <v>25</v>
      </c>
      <c r="C291" s="285">
        <v>2100.0</v>
      </c>
      <c r="D291" s="285" t="s">
        <v>8144</v>
      </c>
      <c r="E291" s="287" t="s">
        <v>4637</v>
      </c>
      <c r="F291" s="285" t="s">
        <v>5919</v>
      </c>
      <c r="G291" s="288">
        <v>44952.0</v>
      </c>
      <c r="H291" s="288">
        <v>44949.0</v>
      </c>
      <c r="I291" s="288">
        <v>44949.0</v>
      </c>
      <c r="J291" s="288">
        <v>44964.0</v>
      </c>
      <c r="K291" s="294"/>
      <c r="L291" s="294"/>
      <c r="M291" s="290" t="s">
        <v>8145</v>
      </c>
      <c r="N291" s="285" t="s">
        <v>497</v>
      </c>
      <c r="O291" s="299" t="s">
        <v>2554</v>
      </c>
      <c r="P291" s="300">
        <v>29190.0</v>
      </c>
      <c r="Q291" s="198"/>
      <c r="R291" s="198"/>
      <c r="S291" s="198"/>
      <c r="T291" s="198"/>
      <c r="U291" s="198"/>
      <c r="V291" s="198"/>
      <c r="W291" s="198"/>
      <c r="X291" s="198"/>
      <c r="Y291" s="198"/>
      <c r="Z291" s="198"/>
      <c r="AA291" s="198"/>
    </row>
    <row r="292" ht="57.75" customHeight="1">
      <c r="A292" s="370">
        <v>36961.0</v>
      </c>
      <c r="B292" s="299" t="s">
        <v>25</v>
      </c>
      <c r="C292" s="285">
        <v>1250.0</v>
      </c>
      <c r="D292" s="285" t="s">
        <v>8146</v>
      </c>
      <c r="E292" s="287" t="s">
        <v>4637</v>
      </c>
      <c r="F292" s="285" t="s">
        <v>5919</v>
      </c>
      <c r="G292" s="288">
        <v>44952.0</v>
      </c>
      <c r="H292" s="288">
        <v>44948.0</v>
      </c>
      <c r="I292" s="288">
        <v>44948.0</v>
      </c>
      <c r="J292" s="288">
        <v>44958.0</v>
      </c>
      <c r="K292" s="294"/>
      <c r="L292" s="294"/>
      <c r="M292" s="290" t="s">
        <v>8147</v>
      </c>
      <c r="N292" s="285" t="s">
        <v>497</v>
      </c>
      <c r="O292" s="299" t="s">
        <v>2554</v>
      </c>
      <c r="P292" s="300">
        <v>34342.5</v>
      </c>
      <c r="Q292" s="198"/>
      <c r="R292" s="198"/>
      <c r="S292" s="198"/>
      <c r="T292" s="198"/>
      <c r="U292" s="198"/>
      <c r="V292" s="198"/>
      <c r="W292" s="198"/>
      <c r="X292" s="198"/>
      <c r="Y292" s="198"/>
      <c r="Z292" s="198"/>
      <c r="AA292" s="198"/>
    </row>
    <row r="293" ht="57.75" customHeight="1">
      <c r="A293" s="370">
        <v>36955.0</v>
      </c>
      <c r="B293" s="299" t="s">
        <v>6501</v>
      </c>
      <c r="C293" s="285">
        <v>2595.0</v>
      </c>
      <c r="D293" s="285" t="s">
        <v>8148</v>
      </c>
      <c r="E293" s="287" t="s">
        <v>8149</v>
      </c>
      <c r="F293" s="285" t="s">
        <v>5919</v>
      </c>
      <c r="G293" s="288">
        <v>44950.0</v>
      </c>
      <c r="H293" s="288">
        <v>44945.0</v>
      </c>
      <c r="I293" s="288">
        <v>44945.0</v>
      </c>
      <c r="J293" s="288">
        <v>44956.0</v>
      </c>
      <c r="K293" s="294"/>
      <c r="L293" s="294"/>
      <c r="M293" s="290" t="s">
        <v>8150</v>
      </c>
      <c r="N293" s="285" t="s">
        <v>497</v>
      </c>
      <c r="O293" s="299" t="s">
        <v>2554</v>
      </c>
      <c r="P293" s="300">
        <v>44763.5</v>
      </c>
      <c r="Q293" s="198"/>
      <c r="R293" s="198"/>
      <c r="S293" s="198"/>
      <c r="T293" s="198"/>
      <c r="U293" s="198"/>
      <c r="V293" s="198"/>
      <c r="W293" s="198"/>
      <c r="X293" s="198"/>
      <c r="Y293" s="198"/>
      <c r="Z293" s="198"/>
      <c r="AA293" s="198"/>
    </row>
    <row r="294" ht="57.75" customHeight="1">
      <c r="A294" s="370">
        <v>37419.0</v>
      </c>
      <c r="B294" s="285" t="s">
        <v>21</v>
      </c>
      <c r="C294" s="285">
        <v>4356.0</v>
      </c>
      <c r="D294" s="285" t="s">
        <v>8151</v>
      </c>
      <c r="E294" s="287" t="s">
        <v>6358</v>
      </c>
      <c r="F294" s="285" t="s">
        <v>5919</v>
      </c>
      <c r="G294" s="288">
        <v>44950.0</v>
      </c>
      <c r="H294" s="288">
        <v>44944.0</v>
      </c>
      <c r="I294" s="288">
        <v>44944.0</v>
      </c>
      <c r="J294" s="288">
        <v>44956.0</v>
      </c>
      <c r="K294" s="425">
        <v>5513879.0</v>
      </c>
      <c r="L294" s="294"/>
      <c r="M294" s="290" t="s">
        <v>8152</v>
      </c>
      <c r="N294" s="285" t="s">
        <v>497</v>
      </c>
      <c r="O294" s="299" t="s">
        <v>2554</v>
      </c>
      <c r="P294" s="300">
        <v>30056.4</v>
      </c>
      <c r="Q294" s="198"/>
      <c r="R294" s="198"/>
      <c r="S294" s="198"/>
      <c r="T294" s="198"/>
      <c r="U294" s="198"/>
      <c r="V294" s="198"/>
      <c r="W294" s="198"/>
      <c r="X294" s="198"/>
      <c r="Y294" s="198"/>
      <c r="Z294" s="198"/>
      <c r="AA294" s="198"/>
    </row>
    <row r="295" ht="57.75" customHeight="1">
      <c r="A295" s="370">
        <v>37544.0</v>
      </c>
      <c r="B295" s="299" t="s">
        <v>25</v>
      </c>
      <c r="C295" s="285">
        <v>940.0</v>
      </c>
      <c r="D295" s="285" t="s">
        <v>8153</v>
      </c>
      <c r="E295" s="287" t="s">
        <v>8154</v>
      </c>
      <c r="F295" s="285" t="s">
        <v>5919</v>
      </c>
      <c r="G295" s="288">
        <v>44945.0</v>
      </c>
      <c r="H295" s="288">
        <v>44938.0</v>
      </c>
      <c r="I295" s="288">
        <v>44938.0</v>
      </c>
      <c r="J295" s="288">
        <v>44586.0</v>
      </c>
      <c r="K295" s="294"/>
      <c r="L295" s="294"/>
      <c r="M295" s="290" t="s">
        <v>8155</v>
      </c>
      <c r="N295" s="285" t="s">
        <v>4635</v>
      </c>
      <c r="O295" s="299" t="s">
        <v>2621</v>
      </c>
      <c r="P295" s="300">
        <v>47298.8</v>
      </c>
      <c r="Q295" s="198"/>
      <c r="R295" s="198"/>
      <c r="S295" s="198"/>
      <c r="T295" s="198"/>
      <c r="U295" s="198"/>
      <c r="V295" s="198"/>
      <c r="W295" s="198"/>
      <c r="X295" s="198"/>
      <c r="Y295" s="198"/>
      <c r="Z295" s="198"/>
      <c r="AA295" s="198"/>
    </row>
    <row r="296" ht="57.75" customHeight="1">
      <c r="A296" s="370">
        <v>36974.0</v>
      </c>
      <c r="B296" s="299" t="s">
        <v>715</v>
      </c>
      <c r="C296" s="285">
        <v>4356.0</v>
      </c>
      <c r="D296" s="285" t="s">
        <v>8156</v>
      </c>
      <c r="E296" s="287" t="s">
        <v>4644</v>
      </c>
      <c r="F296" s="285" t="s">
        <v>5919</v>
      </c>
      <c r="G296" s="288">
        <v>44941.0</v>
      </c>
      <c r="H296" s="288">
        <v>44936.0</v>
      </c>
      <c r="I296" s="288">
        <v>44936.0</v>
      </c>
      <c r="J296" s="288">
        <v>44945.0</v>
      </c>
      <c r="K296" s="294"/>
      <c r="L296" s="294"/>
      <c r="M296" s="290" t="s">
        <v>8157</v>
      </c>
      <c r="N296" s="285" t="s">
        <v>497</v>
      </c>
      <c r="O296" s="299" t="s">
        <v>2554</v>
      </c>
      <c r="P296" s="300">
        <v>28290.0</v>
      </c>
      <c r="Q296" s="198"/>
      <c r="R296" s="198"/>
      <c r="S296" s="198"/>
      <c r="T296" s="198"/>
      <c r="U296" s="198"/>
      <c r="V296" s="198"/>
      <c r="W296" s="198"/>
      <c r="X296" s="198"/>
      <c r="Y296" s="198"/>
      <c r="Z296" s="198"/>
      <c r="AA296" s="198"/>
    </row>
    <row r="297" ht="57.75" customHeight="1">
      <c r="A297" s="370">
        <v>37194.0</v>
      </c>
      <c r="B297" s="285" t="s">
        <v>21</v>
      </c>
      <c r="C297" s="285">
        <v>3487.0</v>
      </c>
      <c r="D297" s="285" t="s">
        <v>8158</v>
      </c>
      <c r="E297" s="287" t="s">
        <v>6398</v>
      </c>
      <c r="F297" s="285" t="s">
        <v>5919</v>
      </c>
      <c r="G297" s="288">
        <v>44940.0</v>
      </c>
      <c r="H297" s="288">
        <v>44935.0</v>
      </c>
      <c r="I297" s="288">
        <v>44935.0</v>
      </c>
      <c r="J297" s="288">
        <v>44945.0</v>
      </c>
      <c r="K297" s="451" t="s">
        <v>8159</v>
      </c>
      <c r="L297" s="294"/>
      <c r="M297" s="290" t="s">
        <v>8160</v>
      </c>
      <c r="N297" s="285" t="s">
        <v>497</v>
      </c>
      <c r="O297" s="299" t="s">
        <v>2554</v>
      </c>
      <c r="P297" s="300">
        <v>29780.3</v>
      </c>
      <c r="Q297" s="198"/>
      <c r="R297" s="198"/>
      <c r="S297" s="198"/>
      <c r="T297" s="198"/>
      <c r="U297" s="198"/>
      <c r="V297" s="198"/>
      <c r="W297" s="198"/>
      <c r="X297" s="198"/>
      <c r="Y297" s="198"/>
      <c r="Z297" s="198"/>
      <c r="AA297" s="198"/>
    </row>
    <row r="298" ht="57.75" customHeight="1">
      <c r="A298" s="370">
        <v>37485.0</v>
      </c>
      <c r="B298" s="299" t="s">
        <v>715</v>
      </c>
      <c r="C298" s="285">
        <v>1070.0</v>
      </c>
      <c r="D298" s="285" t="s">
        <v>8161</v>
      </c>
      <c r="E298" s="287" t="s">
        <v>8162</v>
      </c>
      <c r="F298" s="285" t="s">
        <v>5919</v>
      </c>
      <c r="G298" s="288">
        <v>44939.0</v>
      </c>
      <c r="H298" s="285" t="s">
        <v>8163</v>
      </c>
      <c r="I298" s="285" t="s">
        <v>8163</v>
      </c>
      <c r="J298" s="288">
        <v>44944.0</v>
      </c>
      <c r="K298" s="294"/>
      <c r="L298" s="294"/>
      <c r="M298" s="290" t="s">
        <v>8164</v>
      </c>
      <c r="N298" s="285" t="s">
        <v>4635</v>
      </c>
      <c r="O298" s="299" t="s">
        <v>2621</v>
      </c>
      <c r="P298" s="300">
        <v>46929.43</v>
      </c>
      <c r="Q298" s="198"/>
      <c r="R298" s="198"/>
      <c r="S298" s="198"/>
      <c r="T298" s="198"/>
      <c r="U298" s="198"/>
      <c r="V298" s="198"/>
      <c r="W298" s="198"/>
      <c r="X298" s="198"/>
      <c r="Y298" s="198"/>
      <c r="Z298" s="198"/>
      <c r="AA298" s="198"/>
    </row>
    <row r="299" ht="57.75" customHeight="1">
      <c r="A299" s="370">
        <v>36840.0</v>
      </c>
      <c r="B299" s="299" t="s">
        <v>715</v>
      </c>
      <c r="C299" s="285">
        <v>1306.0</v>
      </c>
      <c r="D299" s="285" t="s">
        <v>8165</v>
      </c>
      <c r="E299" s="287" t="s">
        <v>4713</v>
      </c>
      <c r="F299" s="285" t="s">
        <v>5919</v>
      </c>
      <c r="G299" s="288">
        <v>44936.0</v>
      </c>
      <c r="H299" s="288">
        <v>44932.0</v>
      </c>
      <c r="I299" s="288">
        <v>44932.0</v>
      </c>
      <c r="J299" s="288">
        <v>44942.0</v>
      </c>
      <c r="K299" s="294"/>
      <c r="L299" s="294"/>
      <c r="M299" s="290" t="s">
        <v>8166</v>
      </c>
      <c r="N299" s="285" t="s">
        <v>497</v>
      </c>
      <c r="O299" s="299" t="s">
        <v>2554</v>
      </c>
      <c r="P299" s="300">
        <v>44798.41</v>
      </c>
      <c r="Q299" s="198"/>
      <c r="R299" s="198"/>
      <c r="S299" s="198"/>
      <c r="T299" s="198"/>
      <c r="U299" s="198"/>
      <c r="V299" s="198"/>
      <c r="W299" s="198"/>
      <c r="X299" s="198"/>
      <c r="Y299" s="198"/>
      <c r="Z299" s="198"/>
      <c r="AA299" s="198"/>
    </row>
    <row r="300" ht="67.5" customHeight="1">
      <c r="A300" s="370">
        <v>36956.0</v>
      </c>
      <c r="B300" s="299" t="s">
        <v>715</v>
      </c>
      <c r="C300" s="285">
        <v>4230.0</v>
      </c>
      <c r="D300" s="285" t="s">
        <v>8167</v>
      </c>
      <c r="E300" s="287" t="s">
        <v>4690</v>
      </c>
      <c r="F300" s="285" t="s">
        <v>5919</v>
      </c>
      <c r="G300" s="288">
        <v>44934.0</v>
      </c>
      <c r="H300" s="288">
        <v>44929.0</v>
      </c>
      <c r="I300" s="288">
        <v>44929.0</v>
      </c>
      <c r="J300" s="288">
        <v>44938.0</v>
      </c>
      <c r="K300" s="294"/>
      <c r="L300" s="294"/>
      <c r="M300" s="290" t="s">
        <v>8168</v>
      </c>
      <c r="N300" s="285" t="s">
        <v>497</v>
      </c>
      <c r="O300" s="299" t="s">
        <v>2554</v>
      </c>
      <c r="P300" s="300">
        <v>29060.1</v>
      </c>
      <c r="Q300" s="198"/>
      <c r="R300" s="198"/>
      <c r="S300" s="198"/>
      <c r="T300" s="198"/>
      <c r="U300" s="198"/>
      <c r="V300" s="198"/>
      <c r="W300" s="198"/>
      <c r="X300" s="198"/>
      <c r="Y300" s="198"/>
      <c r="Z300" s="198"/>
      <c r="AA300" s="198"/>
    </row>
    <row r="301" ht="68.25" customHeight="1">
      <c r="A301" s="370">
        <v>36689.0</v>
      </c>
      <c r="B301" s="285" t="s">
        <v>21</v>
      </c>
      <c r="C301" s="285">
        <v>660.0</v>
      </c>
      <c r="D301" s="285" t="s">
        <v>8169</v>
      </c>
      <c r="E301" s="287" t="s">
        <v>2832</v>
      </c>
      <c r="F301" s="285" t="s">
        <v>5919</v>
      </c>
      <c r="G301" s="288">
        <v>44933.0</v>
      </c>
      <c r="H301" s="288">
        <v>44932.0</v>
      </c>
      <c r="I301" s="288">
        <v>44932.0</v>
      </c>
      <c r="J301" s="288">
        <v>44937.0</v>
      </c>
      <c r="K301" s="425">
        <v>5513879.0</v>
      </c>
      <c r="L301" s="294"/>
      <c r="M301" s="290" t="s">
        <v>8170</v>
      </c>
      <c r="N301" s="285" t="s">
        <v>4745</v>
      </c>
      <c r="O301" s="299" t="s">
        <v>4746</v>
      </c>
      <c r="P301" s="300">
        <v>80190.0</v>
      </c>
      <c r="Q301" s="198"/>
      <c r="R301" s="198"/>
      <c r="S301" s="198"/>
      <c r="T301" s="198"/>
      <c r="U301" s="198"/>
      <c r="V301" s="198"/>
      <c r="W301" s="198"/>
      <c r="X301" s="198"/>
      <c r="Y301" s="198"/>
      <c r="Z301" s="198"/>
      <c r="AA301" s="198"/>
    </row>
    <row r="302" ht="72.0" customHeight="1">
      <c r="A302" s="370">
        <v>37442.0</v>
      </c>
      <c r="B302" s="285" t="s">
        <v>21</v>
      </c>
      <c r="C302" s="285">
        <v>1130.0</v>
      </c>
      <c r="D302" s="285" t="s">
        <v>8171</v>
      </c>
      <c r="E302" s="287" t="s">
        <v>8172</v>
      </c>
      <c r="F302" s="285" t="s">
        <v>5919</v>
      </c>
      <c r="G302" s="288">
        <v>44933.0</v>
      </c>
      <c r="H302" s="288">
        <v>44929.0</v>
      </c>
      <c r="I302" s="288">
        <v>44929.0</v>
      </c>
      <c r="J302" s="288">
        <v>44943.0</v>
      </c>
      <c r="K302" s="425" t="s">
        <v>8159</v>
      </c>
      <c r="L302" s="294"/>
      <c r="M302" s="290" t="s">
        <v>8173</v>
      </c>
      <c r="N302" s="285" t="s">
        <v>4635</v>
      </c>
      <c r="O302" s="299" t="s">
        <v>2621</v>
      </c>
      <c r="P302" s="300">
        <v>119567.6</v>
      </c>
      <c r="Q302" s="198"/>
      <c r="R302" s="198"/>
      <c r="S302" s="198"/>
      <c r="T302" s="198"/>
      <c r="U302" s="198"/>
      <c r="V302" s="198"/>
      <c r="W302" s="198"/>
      <c r="X302" s="198"/>
      <c r="Y302" s="198"/>
      <c r="Z302" s="198"/>
      <c r="AA302" s="198"/>
    </row>
    <row r="303" ht="66.75" customHeight="1">
      <c r="A303" s="370">
        <v>36827.0</v>
      </c>
      <c r="B303" s="299" t="s">
        <v>715</v>
      </c>
      <c r="C303" s="285">
        <v>1306.0</v>
      </c>
      <c r="D303" s="285" t="s">
        <v>8174</v>
      </c>
      <c r="E303" s="287" t="s">
        <v>4713</v>
      </c>
      <c r="F303" s="285" t="s">
        <v>5919</v>
      </c>
      <c r="G303" s="288">
        <v>44928.0</v>
      </c>
      <c r="H303" s="288">
        <v>44924.0</v>
      </c>
      <c r="I303" s="288">
        <v>44924.0</v>
      </c>
      <c r="J303" s="288">
        <v>44936.0</v>
      </c>
      <c r="K303" s="294"/>
      <c r="L303" s="294"/>
      <c r="M303" s="290" t="s">
        <v>8175</v>
      </c>
      <c r="N303" s="285" t="s">
        <v>497</v>
      </c>
      <c r="O303" s="299" t="s">
        <v>2554</v>
      </c>
      <c r="P303" s="300">
        <v>44798.41</v>
      </c>
      <c r="Q303" s="198"/>
      <c r="R303" s="198"/>
      <c r="S303" s="198"/>
      <c r="T303" s="198"/>
      <c r="U303" s="198"/>
      <c r="V303" s="198"/>
      <c r="W303" s="198"/>
      <c r="X303" s="198"/>
      <c r="Y303" s="198"/>
      <c r="Z303" s="198"/>
      <c r="AA303" s="198"/>
    </row>
    <row r="304" ht="61.5" customHeight="1">
      <c r="A304" s="370">
        <v>36973.0</v>
      </c>
      <c r="B304" s="299" t="s">
        <v>715</v>
      </c>
      <c r="C304" s="285">
        <v>4356.0</v>
      </c>
      <c r="D304" s="285" t="s">
        <v>8176</v>
      </c>
      <c r="E304" s="287" t="s">
        <v>4644</v>
      </c>
      <c r="F304" s="285" t="s">
        <v>5919</v>
      </c>
      <c r="G304" s="288">
        <v>44928.0</v>
      </c>
      <c r="H304" s="288">
        <v>44924.0</v>
      </c>
      <c r="I304" s="288">
        <v>44924.0</v>
      </c>
      <c r="J304" s="288">
        <v>44935.0</v>
      </c>
      <c r="K304" s="294"/>
      <c r="L304" s="294"/>
      <c r="M304" s="290" t="s">
        <v>8177</v>
      </c>
      <c r="N304" s="285" t="s">
        <v>497</v>
      </c>
      <c r="O304" s="299" t="s">
        <v>2554</v>
      </c>
      <c r="P304" s="300">
        <v>30056.4</v>
      </c>
      <c r="Q304" s="198"/>
      <c r="R304" s="198"/>
      <c r="S304" s="198"/>
      <c r="T304" s="198"/>
      <c r="U304" s="198"/>
      <c r="V304" s="198"/>
      <c r="W304" s="198"/>
      <c r="X304" s="198"/>
      <c r="Y304" s="198"/>
      <c r="Z304" s="198"/>
      <c r="AA304" s="198"/>
    </row>
    <row r="305" ht="57.75" customHeight="1">
      <c r="A305" s="370">
        <v>37486.0</v>
      </c>
      <c r="B305" s="299" t="s">
        <v>25</v>
      </c>
      <c r="C305" s="285">
        <v>940.0</v>
      </c>
      <c r="D305" s="285" t="s">
        <v>8178</v>
      </c>
      <c r="E305" s="287" t="s">
        <v>6664</v>
      </c>
      <c r="F305" s="285" t="s">
        <v>5919</v>
      </c>
      <c r="G305" s="288">
        <v>44928.0</v>
      </c>
      <c r="H305" s="288">
        <v>44923.0</v>
      </c>
      <c r="I305" s="288">
        <v>44923.0</v>
      </c>
      <c r="J305" s="288">
        <v>44935.0</v>
      </c>
      <c r="K305" s="294"/>
      <c r="L305" s="294"/>
      <c r="M305" s="290" t="s">
        <v>8179</v>
      </c>
      <c r="N305" s="285" t="s">
        <v>4635</v>
      </c>
      <c r="O305" s="299" t="s">
        <v>2621</v>
      </c>
      <c r="P305" s="300">
        <v>47298.8</v>
      </c>
      <c r="Q305" s="198"/>
      <c r="R305" s="198"/>
      <c r="S305" s="198"/>
      <c r="T305" s="198"/>
      <c r="U305" s="198"/>
      <c r="V305" s="198"/>
      <c r="W305" s="198"/>
      <c r="X305" s="198"/>
      <c r="Y305" s="198"/>
      <c r="Z305" s="198"/>
      <c r="AA305" s="198"/>
    </row>
    <row r="306" ht="57.75" customHeight="1">
      <c r="A306" s="299"/>
      <c r="B306" s="285"/>
      <c r="C306" s="285"/>
      <c r="D306" s="285"/>
      <c r="E306" s="287"/>
      <c r="F306" s="285"/>
      <c r="G306" s="288"/>
      <c r="H306" s="301"/>
      <c r="I306" s="301"/>
      <c r="J306" s="377"/>
      <c r="K306" s="294"/>
      <c r="L306" s="294"/>
      <c r="M306" s="290"/>
      <c r="N306" s="285"/>
      <c r="O306" s="299"/>
      <c r="P306" s="300"/>
      <c r="Q306" s="198"/>
      <c r="R306" s="198"/>
      <c r="S306" s="198"/>
      <c r="T306" s="198"/>
      <c r="U306" s="198"/>
      <c r="V306" s="198"/>
      <c r="W306" s="198"/>
      <c r="X306" s="198"/>
      <c r="Y306" s="198"/>
      <c r="Z306" s="198"/>
      <c r="AA306" s="198"/>
    </row>
    <row r="307" ht="57.75" customHeight="1">
      <c r="A307" s="285"/>
      <c r="B307" s="299"/>
      <c r="C307" s="285"/>
      <c r="D307" s="367"/>
      <c r="E307" s="287"/>
      <c r="F307" s="285"/>
      <c r="G307" s="288"/>
      <c r="H307" s="367"/>
      <c r="I307" s="301"/>
      <c r="J307" s="377"/>
      <c r="K307" s="294"/>
      <c r="L307" s="294"/>
      <c r="M307" s="290"/>
      <c r="N307" s="285"/>
      <c r="O307" s="299"/>
      <c r="P307" s="300"/>
      <c r="Q307" s="198"/>
      <c r="R307" s="198"/>
      <c r="S307" s="198"/>
      <c r="T307" s="198"/>
      <c r="U307" s="198"/>
      <c r="V307" s="198"/>
      <c r="W307" s="198"/>
      <c r="X307" s="198"/>
      <c r="Y307" s="198"/>
      <c r="Z307" s="198"/>
      <c r="AA307" s="198"/>
    </row>
    <row r="308" ht="57.75" customHeight="1">
      <c r="A308" s="285"/>
      <c r="B308" s="299"/>
      <c r="C308" s="285"/>
      <c r="D308" s="367"/>
      <c r="E308" s="287"/>
      <c r="F308" s="285"/>
      <c r="G308" s="288"/>
      <c r="H308" s="367"/>
      <c r="I308" s="301"/>
      <c r="J308" s="377"/>
      <c r="K308" s="294"/>
      <c r="L308" s="294"/>
      <c r="M308" s="290"/>
      <c r="N308" s="285"/>
      <c r="O308" s="299"/>
      <c r="P308" s="300"/>
      <c r="Q308" s="198"/>
      <c r="R308" s="198"/>
      <c r="S308" s="198"/>
      <c r="T308" s="198"/>
      <c r="U308" s="198"/>
      <c r="V308" s="198"/>
      <c r="W308" s="198"/>
      <c r="X308" s="198"/>
      <c r="Y308" s="198"/>
      <c r="Z308" s="198"/>
      <c r="AA308" s="198"/>
    </row>
    <row r="309" ht="57.75" customHeight="1">
      <c r="A309" s="299"/>
      <c r="B309" s="285"/>
      <c r="C309" s="285"/>
      <c r="D309" s="285"/>
      <c r="E309" s="287"/>
      <c r="F309" s="285"/>
      <c r="G309" s="288"/>
      <c r="H309" s="301"/>
      <c r="I309" s="301"/>
      <c r="J309" s="377"/>
      <c r="K309" s="294"/>
      <c r="L309" s="294"/>
      <c r="M309" s="290"/>
      <c r="N309" s="285"/>
      <c r="O309" s="299"/>
      <c r="P309" s="300"/>
      <c r="Q309" s="198"/>
      <c r="R309" s="198"/>
      <c r="S309" s="198"/>
      <c r="T309" s="198"/>
      <c r="U309" s="198"/>
      <c r="V309" s="198"/>
      <c r="W309" s="198"/>
      <c r="X309" s="198"/>
      <c r="Y309" s="198"/>
      <c r="Z309" s="198"/>
      <c r="AA309" s="198"/>
    </row>
    <row r="310" ht="57.75" customHeight="1">
      <c r="A310" s="285"/>
      <c r="B310" s="299"/>
      <c r="C310" s="285"/>
      <c r="D310" s="367"/>
      <c r="E310" s="287"/>
      <c r="F310" s="285"/>
      <c r="G310" s="288"/>
      <c r="H310" s="367"/>
      <c r="I310" s="301"/>
      <c r="J310" s="377"/>
      <c r="K310" s="294"/>
      <c r="L310" s="294"/>
      <c r="M310" s="290"/>
      <c r="N310" s="285"/>
      <c r="O310" s="299"/>
      <c r="P310" s="300"/>
      <c r="Q310" s="198"/>
      <c r="R310" s="198"/>
      <c r="S310" s="198"/>
      <c r="T310" s="198"/>
      <c r="U310" s="198"/>
      <c r="V310" s="198"/>
      <c r="W310" s="198"/>
      <c r="X310" s="198"/>
      <c r="Y310" s="198"/>
      <c r="Z310" s="198"/>
      <c r="AA310" s="198"/>
    </row>
    <row r="311" ht="57.75" customHeight="1">
      <c r="A311" s="285"/>
      <c r="B311" s="299"/>
      <c r="C311" s="285"/>
      <c r="D311" s="367"/>
      <c r="E311" s="287"/>
      <c r="F311" s="285"/>
      <c r="G311" s="288"/>
      <c r="H311" s="367"/>
      <c r="I311" s="301"/>
      <c r="J311" s="377"/>
      <c r="K311" s="294"/>
      <c r="L311" s="294"/>
      <c r="M311" s="290"/>
      <c r="N311" s="285"/>
      <c r="O311" s="299"/>
      <c r="P311" s="300"/>
      <c r="Q311" s="198"/>
      <c r="R311" s="198"/>
      <c r="S311" s="198"/>
      <c r="T311" s="198"/>
      <c r="U311" s="198"/>
      <c r="V311" s="198"/>
      <c r="W311" s="198"/>
      <c r="X311" s="198"/>
      <c r="Y311" s="198"/>
      <c r="Z311" s="198"/>
      <c r="AA311" s="198"/>
    </row>
    <row r="312" ht="57.75" customHeight="1">
      <c r="A312" s="299"/>
      <c r="B312" s="285"/>
      <c r="C312" s="285"/>
      <c r="D312" s="285"/>
      <c r="E312" s="287"/>
      <c r="F312" s="285"/>
      <c r="G312" s="288"/>
      <c r="H312" s="301"/>
      <c r="I312" s="301"/>
      <c r="J312" s="377"/>
      <c r="K312" s="294"/>
      <c r="L312" s="294"/>
      <c r="M312" s="290"/>
      <c r="N312" s="285"/>
      <c r="O312" s="299"/>
      <c r="P312" s="300"/>
      <c r="Q312" s="198"/>
      <c r="R312" s="198"/>
      <c r="S312" s="198"/>
      <c r="T312" s="198"/>
      <c r="U312" s="198"/>
      <c r="V312" s="198"/>
      <c r="W312" s="198"/>
      <c r="X312" s="198"/>
      <c r="Y312" s="198"/>
      <c r="Z312" s="198"/>
      <c r="AA312" s="198"/>
    </row>
    <row r="313" ht="57.75" customHeight="1">
      <c r="A313" s="285"/>
      <c r="B313" s="299"/>
      <c r="C313" s="285"/>
      <c r="D313" s="367"/>
      <c r="E313" s="287"/>
      <c r="F313" s="285"/>
      <c r="G313" s="288"/>
      <c r="H313" s="367"/>
      <c r="I313" s="301"/>
      <c r="J313" s="377"/>
      <c r="K313" s="294"/>
      <c r="L313" s="294"/>
      <c r="M313" s="290"/>
      <c r="N313" s="285"/>
      <c r="O313" s="299"/>
      <c r="P313" s="300"/>
      <c r="Q313" s="198"/>
      <c r="R313" s="198"/>
      <c r="S313" s="198"/>
      <c r="T313" s="198"/>
      <c r="U313" s="198"/>
      <c r="V313" s="198"/>
      <c r="W313" s="198"/>
      <c r="X313" s="198"/>
      <c r="Y313" s="198"/>
      <c r="Z313" s="198"/>
      <c r="AA313" s="198"/>
    </row>
    <row r="314" ht="57.75" customHeight="1">
      <c r="A314" s="285"/>
      <c r="B314" s="299"/>
      <c r="C314" s="285"/>
      <c r="D314" s="367"/>
      <c r="E314" s="287"/>
      <c r="F314" s="285"/>
      <c r="G314" s="288"/>
      <c r="H314" s="367"/>
      <c r="I314" s="301"/>
      <c r="J314" s="377"/>
      <c r="K314" s="294"/>
      <c r="L314" s="294"/>
      <c r="M314" s="290"/>
      <c r="N314" s="285"/>
      <c r="O314" s="299"/>
      <c r="P314" s="300"/>
      <c r="Q314" s="198"/>
      <c r="R314" s="198"/>
      <c r="S314" s="198"/>
      <c r="T314" s="198"/>
      <c r="U314" s="198"/>
      <c r="V314" s="198"/>
      <c r="W314" s="198"/>
      <c r="X314" s="198"/>
      <c r="Y314" s="198"/>
      <c r="Z314" s="198"/>
      <c r="AA314" s="198"/>
    </row>
    <row r="315" ht="57.75" customHeight="1">
      <c r="A315" s="299"/>
      <c r="B315" s="285"/>
      <c r="C315" s="285"/>
      <c r="D315" s="285"/>
      <c r="E315" s="287"/>
      <c r="F315" s="285"/>
      <c r="G315" s="288"/>
      <c r="H315" s="301"/>
      <c r="I315" s="301"/>
      <c r="J315" s="377"/>
      <c r="K315" s="294"/>
      <c r="L315" s="294"/>
      <c r="M315" s="290"/>
      <c r="N315" s="285"/>
      <c r="O315" s="299"/>
      <c r="P315" s="300"/>
      <c r="Q315" s="198"/>
      <c r="R315" s="198"/>
      <c r="S315" s="198"/>
      <c r="T315" s="198"/>
      <c r="U315" s="198"/>
      <c r="V315" s="198"/>
      <c r="W315" s="198"/>
      <c r="X315" s="198"/>
      <c r="Y315" s="198"/>
      <c r="Z315" s="198"/>
      <c r="AA315" s="198"/>
    </row>
    <row r="316" ht="57.75" customHeight="1">
      <c r="A316" s="285"/>
      <c r="B316" s="299"/>
      <c r="C316" s="285"/>
      <c r="D316" s="367"/>
      <c r="E316" s="287"/>
      <c r="F316" s="285"/>
      <c r="G316" s="288"/>
      <c r="H316" s="367"/>
      <c r="I316" s="301"/>
      <c r="J316" s="377"/>
      <c r="K316" s="294"/>
      <c r="L316" s="294"/>
      <c r="M316" s="290"/>
      <c r="N316" s="285"/>
      <c r="O316" s="299"/>
      <c r="P316" s="300"/>
      <c r="Q316" s="198"/>
      <c r="R316" s="198"/>
      <c r="S316" s="198"/>
      <c r="T316" s="198"/>
      <c r="U316" s="198"/>
      <c r="V316" s="198"/>
      <c r="W316" s="198"/>
      <c r="X316" s="198"/>
      <c r="Y316" s="198"/>
      <c r="Z316" s="198"/>
      <c r="AA316" s="198"/>
    </row>
    <row r="317" ht="63.0" customHeight="1">
      <c r="A317" s="285"/>
      <c r="B317" s="299"/>
      <c r="C317" s="285"/>
      <c r="D317" s="367"/>
      <c r="E317" s="287"/>
      <c r="F317" s="285"/>
      <c r="G317" s="288"/>
      <c r="H317" s="367"/>
      <c r="I317" s="301"/>
      <c r="J317" s="377"/>
      <c r="K317" s="294"/>
      <c r="L317" s="294"/>
      <c r="M317" s="290"/>
      <c r="N317" s="285"/>
      <c r="O317" s="299"/>
      <c r="P317" s="300"/>
      <c r="Q317" s="198"/>
      <c r="R317" s="198"/>
      <c r="S317" s="198"/>
      <c r="T317" s="198"/>
      <c r="U317" s="198"/>
      <c r="V317" s="198"/>
      <c r="W317" s="198"/>
      <c r="X317" s="198"/>
      <c r="Y317" s="198"/>
      <c r="Z317" s="198"/>
      <c r="AA317" s="198"/>
    </row>
    <row r="318" ht="57.75" customHeight="1">
      <c r="A318" s="299"/>
      <c r="B318" s="285"/>
      <c r="C318" s="285"/>
      <c r="D318" s="285"/>
      <c r="E318" s="287"/>
      <c r="F318" s="285"/>
      <c r="G318" s="288"/>
      <c r="H318" s="301"/>
      <c r="I318" s="301"/>
      <c r="J318" s="377"/>
      <c r="K318" s="294"/>
      <c r="L318" s="294"/>
      <c r="M318" s="290"/>
      <c r="N318" s="285"/>
      <c r="O318" s="299"/>
      <c r="P318" s="300"/>
      <c r="Q318" s="198"/>
      <c r="R318" s="198"/>
      <c r="S318" s="198"/>
      <c r="T318" s="198"/>
      <c r="U318" s="198"/>
      <c r="V318" s="198"/>
      <c r="W318" s="198"/>
      <c r="X318" s="198"/>
      <c r="Y318" s="198"/>
      <c r="Z318" s="198"/>
      <c r="AA318" s="198"/>
    </row>
    <row r="319" ht="57.75" customHeight="1">
      <c r="A319" s="285"/>
      <c r="B319" s="299"/>
      <c r="C319" s="285"/>
      <c r="D319" s="367"/>
      <c r="E319" s="287"/>
      <c r="F319" s="285"/>
      <c r="G319" s="288"/>
      <c r="H319" s="367"/>
      <c r="I319" s="301"/>
      <c r="J319" s="377"/>
      <c r="K319" s="294"/>
      <c r="L319" s="294"/>
      <c r="M319" s="290"/>
      <c r="N319" s="285"/>
      <c r="O319" s="299"/>
      <c r="P319" s="300"/>
      <c r="Q319" s="198"/>
      <c r="R319" s="198"/>
      <c r="S319" s="198"/>
      <c r="T319" s="198"/>
      <c r="U319" s="198"/>
      <c r="V319" s="198"/>
      <c r="W319" s="198"/>
      <c r="X319" s="198"/>
      <c r="Y319" s="198"/>
      <c r="Z319" s="198"/>
      <c r="AA319" s="198"/>
    </row>
    <row r="320" ht="72.75" customHeight="1">
      <c r="A320" s="285"/>
      <c r="B320" s="299"/>
      <c r="C320" s="285"/>
      <c r="D320" s="367"/>
      <c r="E320" s="287"/>
      <c r="F320" s="285"/>
      <c r="G320" s="288"/>
      <c r="H320" s="367"/>
      <c r="I320" s="301"/>
      <c r="J320" s="377"/>
      <c r="K320" s="294"/>
      <c r="L320" s="294"/>
      <c r="M320" s="290"/>
      <c r="N320" s="285"/>
      <c r="O320" s="299"/>
      <c r="P320" s="300"/>
      <c r="Q320" s="198"/>
      <c r="R320" s="198"/>
      <c r="S320" s="198"/>
      <c r="T320" s="198"/>
      <c r="U320" s="198"/>
      <c r="V320" s="198"/>
      <c r="W320" s="198"/>
      <c r="X320" s="198"/>
      <c r="Y320" s="198"/>
      <c r="Z320" s="198"/>
      <c r="AA320" s="198"/>
    </row>
    <row r="321" ht="57.75" customHeight="1">
      <c r="A321" s="299"/>
      <c r="B321" s="285"/>
      <c r="C321" s="285"/>
      <c r="D321" s="285"/>
      <c r="E321" s="287"/>
      <c r="F321" s="285"/>
      <c r="G321" s="288"/>
      <c r="H321" s="301"/>
      <c r="I321" s="301"/>
      <c r="J321" s="377"/>
      <c r="K321" s="294"/>
      <c r="L321" s="294"/>
      <c r="M321" s="290"/>
      <c r="N321" s="285"/>
      <c r="O321" s="299"/>
      <c r="P321" s="300"/>
      <c r="Q321" s="198"/>
      <c r="R321" s="198"/>
      <c r="S321" s="198"/>
      <c r="T321" s="198"/>
      <c r="U321" s="198"/>
      <c r="V321" s="198"/>
      <c r="W321" s="198"/>
      <c r="X321" s="198"/>
      <c r="Y321" s="198"/>
      <c r="Z321" s="198"/>
      <c r="AA321" s="198"/>
    </row>
    <row r="322" ht="57.75" customHeight="1">
      <c r="A322" s="285"/>
      <c r="B322" s="299"/>
      <c r="C322" s="285"/>
      <c r="D322" s="367"/>
      <c r="E322" s="287"/>
      <c r="F322" s="285"/>
      <c r="G322" s="288"/>
      <c r="H322" s="367"/>
      <c r="I322" s="301"/>
      <c r="J322" s="377"/>
      <c r="K322" s="294"/>
      <c r="L322" s="294"/>
      <c r="M322" s="290"/>
      <c r="N322" s="285"/>
      <c r="O322" s="299"/>
      <c r="P322" s="300"/>
      <c r="Q322" s="198"/>
      <c r="R322" s="198"/>
      <c r="S322" s="198"/>
      <c r="T322" s="198"/>
      <c r="U322" s="198"/>
      <c r="V322" s="198"/>
      <c r="W322" s="198"/>
      <c r="X322" s="198"/>
      <c r="Y322" s="198"/>
      <c r="Z322" s="198"/>
      <c r="AA322" s="198"/>
    </row>
    <row r="323" ht="57.75" customHeight="1">
      <c r="A323" s="285"/>
      <c r="B323" s="299"/>
      <c r="C323" s="285"/>
      <c r="D323" s="367"/>
      <c r="E323" s="287"/>
      <c r="F323" s="285"/>
      <c r="G323" s="288"/>
      <c r="H323" s="367"/>
      <c r="I323" s="301"/>
      <c r="J323" s="377"/>
      <c r="K323" s="294"/>
      <c r="L323" s="294"/>
      <c r="M323" s="290"/>
      <c r="N323" s="285"/>
      <c r="O323" s="299"/>
      <c r="P323" s="300"/>
      <c r="Q323" s="198"/>
      <c r="R323" s="198"/>
      <c r="S323" s="198"/>
      <c r="T323" s="198"/>
      <c r="U323" s="198"/>
      <c r="V323" s="198"/>
      <c r="W323" s="198"/>
      <c r="X323" s="198"/>
      <c r="Y323" s="198"/>
      <c r="Z323" s="198"/>
      <c r="AA323" s="198"/>
    </row>
    <row r="324" ht="63.0" customHeight="1">
      <c r="A324" s="299"/>
      <c r="B324" s="285"/>
      <c r="C324" s="285"/>
      <c r="D324" s="285"/>
      <c r="E324" s="287"/>
      <c r="F324" s="285"/>
      <c r="G324" s="288"/>
      <c r="H324" s="301"/>
      <c r="I324" s="301"/>
      <c r="J324" s="377"/>
      <c r="K324" s="294"/>
      <c r="L324" s="294"/>
      <c r="M324" s="290"/>
      <c r="N324" s="285"/>
      <c r="O324" s="299"/>
      <c r="P324" s="300"/>
      <c r="Q324" s="198"/>
      <c r="R324" s="198"/>
      <c r="S324" s="198"/>
      <c r="T324" s="198"/>
      <c r="U324" s="198"/>
      <c r="V324" s="198"/>
      <c r="W324" s="198"/>
      <c r="X324" s="198"/>
      <c r="Y324" s="198"/>
      <c r="Z324" s="198"/>
      <c r="AA324" s="198"/>
    </row>
    <row r="325" ht="69.75" customHeight="1">
      <c r="A325" s="285"/>
      <c r="B325" s="299"/>
      <c r="C325" s="285"/>
      <c r="D325" s="367"/>
      <c r="E325" s="287"/>
      <c r="F325" s="285"/>
      <c r="G325" s="288"/>
      <c r="H325" s="367"/>
      <c r="I325" s="301"/>
      <c r="J325" s="377"/>
      <c r="K325" s="294"/>
      <c r="L325" s="294"/>
      <c r="M325" s="290"/>
      <c r="N325" s="285"/>
      <c r="O325" s="299"/>
      <c r="P325" s="300"/>
      <c r="Q325" s="198"/>
      <c r="R325" s="198"/>
      <c r="S325" s="198"/>
      <c r="T325" s="198"/>
      <c r="U325" s="198"/>
      <c r="V325" s="198"/>
      <c r="W325" s="198"/>
      <c r="X325" s="198"/>
      <c r="Y325" s="198"/>
      <c r="Z325" s="198"/>
      <c r="AA325" s="198"/>
    </row>
    <row r="326" ht="73.5" customHeight="1">
      <c r="A326" s="285"/>
      <c r="B326" s="299"/>
      <c r="C326" s="285"/>
      <c r="D326" s="367"/>
      <c r="E326" s="287"/>
      <c r="F326" s="285"/>
      <c r="G326" s="288"/>
      <c r="H326" s="367"/>
      <c r="I326" s="301"/>
      <c r="J326" s="377"/>
      <c r="K326" s="294"/>
      <c r="L326" s="294"/>
      <c r="M326" s="290"/>
      <c r="N326" s="285"/>
      <c r="O326" s="299"/>
      <c r="P326" s="300"/>
      <c r="Q326" s="198"/>
      <c r="R326" s="198"/>
      <c r="S326" s="198"/>
      <c r="T326" s="198"/>
      <c r="U326" s="198"/>
      <c r="V326" s="198"/>
      <c r="W326" s="198"/>
      <c r="X326" s="198"/>
      <c r="Y326" s="198"/>
      <c r="Z326" s="198"/>
      <c r="AA326" s="198"/>
    </row>
    <row r="327" ht="57.75" customHeight="1">
      <c r="A327" s="299"/>
      <c r="B327" s="285"/>
      <c r="C327" s="285"/>
      <c r="D327" s="285"/>
      <c r="E327" s="287"/>
      <c r="F327" s="285"/>
      <c r="G327" s="288"/>
      <c r="H327" s="301"/>
      <c r="I327" s="301"/>
      <c r="J327" s="377"/>
      <c r="K327" s="294"/>
      <c r="L327" s="294"/>
      <c r="M327" s="290"/>
      <c r="N327" s="285"/>
      <c r="O327" s="299"/>
      <c r="P327" s="300"/>
      <c r="Q327" s="198"/>
      <c r="R327" s="198"/>
      <c r="S327" s="198"/>
      <c r="T327" s="198"/>
      <c r="U327" s="198"/>
      <c r="V327" s="198"/>
      <c r="W327" s="198"/>
      <c r="X327" s="198"/>
      <c r="Y327" s="198"/>
      <c r="Z327" s="198"/>
      <c r="AA327" s="198"/>
    </row>
    <row r="328" ht="57.75" customHeight="1">
      <c r="A328" s="285"/>
      <c r="B328" s="299"/>
      <c r="C328" s="285"/>
      <c r="D328" s="367"/>
      <c r="E328" s="287"/>
      <c r="F328" s="285"/>
      <c r="G328" s="288"/>
      <c r="H328" s="367"/>
      <c r="I328" s="301"/>
      <c r="J328" s="377"/>
      <c r="K328" s="294"/>
      <c r="L328" s="294"/>
      <c r="M328" s="290"/>
      <c r="N328" s="285"/>
      <c r="O328" s="299"/>
      <c r="P328" s="300"/>
      <c r="Q328" s="198"/>
      <c r="R328" s="198"/>
      <c r="S328" s="198"/>
      <c r="T328" s="198"/>
      <c r="U328" s="198"/>
      <c r="V328" s="198"/>
      <c r="W328" s="198"/>
      <c r="X328" s="198"/>
      <c r="Y328" s="198"/>
      <c r="Z328" s="198"/>
      <c r="AA328" s="198"/>
    </row>
    <row r="329" ht="57.75" customHeight="1">
      <c r="A329" s="285"/>
      <c r="B329" s="299"/>
      <c r="C329" s="285"/>
      <c r="D329" s="367"/>
      <c r="E329" s="287"/>
      <c r="F329" s="285"/>
      <c r="G329" s="288"/>
      <c r="H329" s="367"/>
      <c r="I329" s="301"/>
      <c r="J329" s="377"/>
      <c r="K329" s="294"/>
      <c r="L329" s="294"/>
      <c r="M329" s="290"/>
      <c r="N329" s="285"/>
      <c r="O329" s="299"/>
      <c r="P329" s="300"/>
      <c r="Q329" s="198"/>
      <c r="R329" s="198"/>
      <c r="S329" s="198"/>
      <c r="T329" s="198"/>
      <c r="U329" s="198"/>
      <c r="V329" s="198"/>
      <c r="W329" s="198"/>
      <c r="X329" s="198"/>
      <c r="Y329" s="198"/>
      <c r="Z329" s="198"/>
      <c r="AA329" s="198"/>
    </row>
    <row r="330" ht="57.75" customHeight="1">
      <c r="A330" s="299"/>
      <c r="B330" s="285"/>
      <c r="C330" s="285"/>
      <c r="D330" s="285"/>
      <c r="E330" s="287"/>
      <c r="F330" s="285"/>
      <c r="G330" s="288"/>
      <c r="H330" s="301"/>
      <c r="I330" s="301"/>
      <c r="J330" s="377"/>
      <c r="K330" s="294"/>
      <c r="L330" s="294"/>
      <c r="M330" s="290"/>
      <c r="N330" s="285"/>
      <c r="O330" s="299"/>
      <c r="P330" s="300"/>
      <c r="Q330" s="198"/>
      <c r="R330" s="198"/>
      <c r="S330" s="198"/>
      <c r="T330" s="198"/>
      <c r="U330" s="198"/>
      <c r="V330" s="198"/>
      <c r="W330" s="198"/>
      <c r="X330" s="198"/>
      <c r="Y330" s="198"/>
      <c r="Z330" s="198"/>
      <c r="AA330" s="198"/>
    </row>
    <row r="331" ht="66.75" customHeight="1">
      <c r="A331" s="285"/>
      <c r="B331" s="299"/>
      <c r="C331" s="285"/>
      <c r="D331" s="367"/>
      <c r="E331" s="287"/>
      <c r="F331" s="285"/>
      <c r="G331" s="288"/>
      <c r="H331" s="367"/>
      <c r="I331" s="301"/>
      <c r="J331" s="377"/>
      <c r="K331" s="294"/>
      <c r="L331" s="294"/>
      <c r="M331" s="290"/>
      <c r="N331" s="285"/>
      <c r="O331" s="299"/>
      <c r="P331" s="300"/>
      <c r="Q331" s="198"/>
      <c r="R331" s="198"/>
      <c r="S331" s="198"/>
      <c r="T331" s="198"/>
      <c r="U331" s="198"/>
      <c r="V331" s="198"/>
      <c r="W331" s="198"/>
      <c r="X331" s="198"/>
      <c r="Y331" s="198"/>
      <c r="Z331" s="198"/>
      <c r="AA331" s="198"/>
    </row>
    <row r="332" ht="73.5" customHeight="1">
      <c r="A332" s="285"/>
      <c r="B332" s="299"/>
      <c r="C332" s="285"/>
      <c r="D332" s="367"/>
      <c r="E332" s="287"/>
      <c r="F332" s="285"/>
      <c r="G332" s="288"/>
      <c r="H332" s="367"/>
      <c r="I332" s="301"/>
      <c r="J332" s="377"/>
      <c r="K332" s="294"/>
      <c r="L332" s="294"/>
      <c r="M332" s="290"/>
      <c r="N332" s="285"/>
      <c r="O332" s="299"/>
      <c r="P332" s="300"/>
      <c r="Q332" s="198"/>
      <c r="R332" s="198"/>
      <c r="S332" s="198"/>
      <c r="T332" s="198"/>
      <c r="U332" s="198"/>
      <c r="V332" s="198"/>
      <c r="W332" s="198"/>
      <c r="X332" s="198"/>
      <c r="Y332" s="198"/>
      <c r="Z332" s="198"/>
      <c r="AA332" s="198"/>
    </row>
    <row r="333" ht="73.5" customHeight="1">
      <c r="A333" s="299"/>
      <c r="B333" s="285"/>
      <c r="C333" s="285"/>
      <c r="D333" s="285"/>
      <c r="E333" s="287"/>
      <c r="F333" s="285"/>
      <c r="G333" s="288"/>
      <c r="H333" s="301"/>
      <c r="I333" s="301"/>
      <c r="J333" s="377"/>
      <c r="K333" s="294"/>
      <c r="L333" s="294"/>
      <c r="M333" s="290"/>
      <c r="N333" s="285"/>
      <c r="O333" s="299"/>
      <c r="P333" s="300"/>
      <c r="Q333" s="198"/>
      <c r="R333" s="198"/>
      <c r="S333" s="198"/>
      <c r="T333" s="198"/>
      <c r="U333" s="198"/>
      <c r="V333" s="198"/>
      <c r="W333" s="198"/>
      <c r="X333" s="198"/>
      <c r="Y333" s="198"/>
      <c r="Z333" s="198"/>
      <c r="AA333" s="198"/>
    </row>
    <row r="334" ht="67.5" customHeight="1">
      <c r="A334" s="285"/>
      <c r="B334" s="299"/>
      <c r="C334" s="285"/>
      <c r="D334" s="367"/>
      <c r="E334" s="287"/>
      <c r="F334" s="285"/>
      <c r="G334" s="288"/>
      <c r="H334" s="367"/>
      <c r="I334" s="301"/>
      <c r="J334" s="377"/>
      <c r="K334" s="294"/>
      <c r="L334" s="294"/>
      <c r="M334" s="290"/>
      <c r="N334" s="285"/>
      <c r="O334" s="299"/>
      <c r="P334" s="300"/>
      <c r="Q334" s="198"/>
      <c r="R334" s="198"/>
      <c r="S334" s="198"/>
      <c r="T334" s="198"/>
      <c r="U334" s="198"/>
      <c r="V334" s="198"/>
      <c r="W334" s="198"/>
      <c r="X334" s="198"/>
      <c r="Y334" s="198"/>
      <c r="Z334" s="198"/>
      <c r="AA334" s="198"/>
    </row>
    <row r="335" ht="65.25" customHeight="1">
      <c r="A335" s="285"/>
      <c r="B335" s="299"/>
      <c r="C335" s="285"/>
      <c r="D335" s="367"/>
      <c r="E335" s="287"/>
      <c r="F335" s="285"/>
      <c r="G335" s="288"/>
      <c r="H335" s="367"/>
      <c r="I335" s="301"/>
      <c r="J335" s="377"/>
      <c r="K335" s="294"/>
      <c r="L335" s="294"/>
      <c r="M335" s="290"/>
      <c r="N335" s="285"/>
      <c r="O335" s="299"/>
      <c r="P335" s="300"/>
      <c r="Q335" s="198"/>
      <c r="R335" s="198"/>
      <c r="S335" s="198"/>
      <c r="T335" s="198"/>
      <c r="U335" s="198"/>
      <c r="V335" s="198"/>
      <c r="W335" s="198"/>
      <c r="X335" s="198"/>
      <c r="Y335" s="198"/>
      <c r="Z335" s="198"/>
      <c r="AA335" s="198"/>
    </row>
    <row r="336" ht="59.25" customHeight="1">
      <c r="A336" s="299"/>
      <c r="B336" s="285"/>
      <c r="C336" s="285"/>
      <c r="D336" s="285"/>
      <c r="E336" s="287"/>
      <c r="F336" s="285"/>
      <c r="G336" s="288"/>
      <c r="H336" s="301"/>
      <c r="I336" s="301"/>
      <c r="J336" s="377"/>
      <c r="K336" s="294"/>
      <c r="L336" s="294"/>
      <c r="M336" s="290"/>
      <c r="N336" s="285"/>
      <c r="O336" s="299"/>
      <c r="P336" s="300"/>
      <c r="Q336" s="198"/>
      <c r="R336" s="198"/>
      <c r="S336" s="198"/>
      <c r="T336" s="198"/>
      <c r="U336" s="198"/>
      <c r="V336" s="198"/>
      <c r="W336" s="198"/>
      <c r="X336" s="198"/>
      <c r="Y336" s="198"/>
      <c r="Z336" s="198"/>
      <c r="AA336" s="198"/>
    </row>
    <row r="337" ht="60.75" customHeight="1">
      <c r="A337" s="285"/>
      <c r="B337" s="299"/>
      <c r="C337" s="285"/>
      <c r="D337" s="367"/>
      <c r="E337" s="287"/>
      <c r="F337" s="285"/>
      <c r="G337" s="288"/>
      <c r="H337" s="367"/>
      <c r="I337" s="301"/>
      <c r="J337" s="377"/>
      <c r="K337" s="294"/>
      <c r="L337" s="294"/>
      <c r="M337" s="290"/>
      <c r="N337" s="285"/>
      <c r="O337" s="299"/>
      <c r="P337" s="300"/>
      <c r="Q337" s="198"/>
      <c r="R337" s="198"/>
      <c r="S337" s="198"/>
      <c r="T337" s="198"/>
      <c r="U337" s="198"/>
      <c r="V337" s="198"/>
      <c r="W337" s="198"/>
      <c r="X337" s="198"/>
      <c r="Y337" s="198"/>
      <c r="Z337" s="198"/>
      <c r="AA337" s="198"/>
    </row>
    <row r="338" ht="60.75" customHeight="1">
      <c r="A338" s="285"/>
      <c r="B338" s="299"/>
      <c r="C338" s="285"/>
      <c r="D338" s="367"/>
      <c r="E338" s="287"/>
      <c r="F338" s="285"/>
      <c r="G338" s="288"/>
      <c r="H338" s="367"/>
      <c r="I338" s="301"/>
      <c r="J338" s="377"/>
      <c r="K338" s="294"/>
      <c r="L338" s="294"/>
      <c r="M338" s="290"/>
      <c r="N338" s="285"/>
      <c r="O338" s="299"/>
      <c r="P338" s="300"/>
      <c r="Q338" s="198"/>
      <c r="R338" s="198"/>
      <c r="S338" s="198"/>
      <c r="T338" s="198"/>
      <c r="U338" s="198"/>
      <c r="V338" s="198"/>
      <c r="W338" s="198"/>
      <c r="X338" s="198"/>
      <c r="Y338" s="198"/>
      <c r="Z338" s="198"/>
      <c r="AA338" s="198"/>
    </row>
    <row r="339" ht="57.75" customHeight="1">
      <c r="A339" s="299"/>
      <c r="B339" s="285"/>
      <c r="C339" s="285"/>
      <c r="D339" s="285"/>
      <c r="E339" s="287"/>
      <c r="F339" s="285"/>
      <c r="G339" s="288"/>
      <c r="H339" s="301"/>
      <c r="I339" s="301"/>
      <c r="J339" s="377"/>
      <c r="K339" s="294"/>
      <c r="L339" s="294"/>
      <c r="M339" s="290"/>
      <c r="N339" s="285"/>
      <c r="O339" s="299"/>
      <c r="P339" s="300"/>
      <c r="Q339" s="198"/>
      <c r="R339" s="198"/>
      <c r="S339" s="198"/>
      <c r="T339" s="198"/>
      <c r="U339" s="198"/>
      <c r="V339" s="198"/>
      <c r="W339" s="198"/>
      <c r="X339" s="198"/>
      <c r="Y339" s="198"/>
      <c r="Z339" s="198"/>
      <c r="AA339" s="198"/>
    </row>
    <row r="340" ht="57.75" customHeight="1">
      <c r="A340" s="285"/>
      <c r="B340" s="299"/>
      <c r="C340" s="285"/>
      <c r="D340" s="367"/>
      <c r="E340" s="287"/>
      <c r="F340" s="285"/>
      <c r="G340" s="288"/>
      <c r="H340" s="367"/>
      <c r="I340" s="301"/>
      <c r="J340" s="377"/>
      <c r="K340" s="294"/>
      <c r="L340" s="294"/>
      <c r="M340" s="290"/>
      <c r="N340" s="285"/>
      <c r="O340" s="299"/>
      <c r="P340" s="300"/>
      <c r="Q340" s="198"/>
      <c r="R340" s="198"/>
      <c r="S340" s="198"/>
      <c r="T340" s="198"/>
      <c r="U340" s="198"/>
      <c r="V340" s="198"/>
      <c r="W340" s="198"/>
      <c r="X340" s="198"/>
      <c r="Y340" s="198"/>
      <c r="Z340" s="198"/>
      <c r="AA340" s="198"/>
    </row>
    <row r="341" ht="57.75" customHeight="1">
      <c r="A341" s="285"/>
      <c r="B341" s="299"/>
      <c r="C341" s="285"/>
      <c r="D341" s="367"/>
      <c r="E341" s="287"/>
      <c r="F341" s="285"/>
      <c r="G341" s="288"/>
      <c r="H341" s="367"/>
      <c r="I341" s="301"/>
      <c r="J341" s="377"/>
      <c r="K341" s="294"/>
      <c r="L341" s="294"/>
      <c r="M341" s="290"/>
      <c r="N341" s="285"/>
      <c r="O341" s="299"/>
      <c r="P341" s="300"/>
      <c r="Q341" s="198"/>
      <c r="R341" s="198"/>
      <c r="S341" s="198"/>
      <c r="T341" s="198"/>
      <c r="U341" s="198"/>
      <c r="V341" s="198"/>
      <c r="W341" s="198"/>
      <c r="X341" s="198"/>
      <c r="Y341" s="198"/>
      <c r="Z341" s="198"/>
      <c r="AA341" s="198"/>
    </row>
    <row r="342" ht="57.75" customHeight="1">
      <c r="A342" s="299"/>
      <c r="B342" s="285"/>
      <c r="C342" s="285"/>
      <c r="D342" s="285"/>
      <c r="E342" s="287"/>
      <c r="F342" s="285"/>
      <c r="G342" s="288"/>
      <c r="H342" s="301"/>
      <c r="I342" s="301"/>
      <c r="J342" s="377"/>
      <c r="K342" s="294"/>
      <c r="L342" s="294"/>
      <c r="M342" s="290"/>
      <c r="N342" s="285"/>
      <c r="O342" s="299"/>
      <c r="P342" s="300"/>
      <c r="Q342" s="198"/>
      <c r="R342" s="198"/>
      <c r="S342" s="198"/>
      <c r="T342" s="198"/>
      <c r="U342" s="198"/>
      <c r="V342" s="198"/>
      <c r="W342" s="198"/>
      <c r="X342" s="198"/>
      <c r="Y342" s="198"/>
      <c r="Z342" s="198"/>
      <c r="AA342" s="198"/>
    </row>
    <row r="343" ht="57.75" customHeight="1">
      <c r="A343" s="285"/>
      <c r="B343" s="299"/>
      <c r="C343" s="285"/>
      <c r="D343" s="367"/>
      <c r="E343" s="287"/>
      <c r="F343" s="285"/>
      <c r="G343" s="288"/>
      <c r="H343" s="367"/>
      <c r="I343" s="301"/>
      <c r="J343" s="377"/>
      <c r="K343" s="294"/>
      <c r="L343" s="294"/>
      <c r="M343" s="290"/>
      <c r="N343" s="285"/>
      <c r="O343" s="299"/>
      <c r="P343" s="300"/>
      <c r="Q343" s="198"/>
      <c r="R343" s="198"/>
      <c r="S343" s="198"/>
      <c r="T343" s="198"/>
      <c r="U343" s="198"/>
      <c r="V343" s="198"/>
      <c r="W343" s="198"/>
      <c r="X343" s="198"/>
      <c r="Y343" s="198"/>
      <c r="Z343" s="198"/>
      <c r="AA343" s="198"/>
    </row>
    <row r="344" ht="63.75" customHeight="1">
      <c r="A344" s="285"/>
      <c r="B344" s="299"/>
      <c r="C344" s="285"/>
      <c r="D344" s="367"/>
      <c r="E344" s="287"/>
      <c r="F344" s="285"/>
      <c r="G344" s="288"/>
      <c r="H344" s="367"/>
      <c r="I344" s="301"/>
      <c r="J344" s="377"/>
      <c r="K344" s="294"/>
      <c r="L344" s="294"/>
      <c r="M344" s="290"/>
      <c r="N344" s="285"/>
      <c r="O344" s="299"/>
      <c r="P344" s="300"/>
      <c r="Q344" s="198"/>
      <c r="R344" s="198"/>
      <c r="S344" s="198"/>
      <c r="T344" s="198"/>
      <c r="U344" s="198"/>
      <c r="V344" s="198"/>
      <c r="W344" s="198"/>
      <c r="X344" s="198"/>
      <c r="Y344" s="198"/>
      <c r="Z344" s="198"/>
      <c r="AA344" s="198"/>
    </row>
    <row r="345" ht="63.75" customHeight="1">
      <c r="A345" s="299"/>
      <c r="B345" s="285"/>
      <c r="C345" s="285"/>
      <c r="D345" s="285"/>
      <c r="E345" s="287"/>
      <c r="F345" s="285"/>
      <c r="G345" s="288"/>
      <c r="H345" s="301"/>
      <c r="I345" s="301"/>
      <c r="J345" s="377"/>
      <c r="K345" s="294"/>
      <c r="L345" s="294"/>
      <c r="M345" s="290"/>
      <c r="N345" s="285"/>
      <c r="O345" s="299"/>
      <c r="P345" s="300"/>
      <c r="Q345" s="198"/>
      <c r="R345" s="198"/>
      <c r="S345" s="198"/>
      <c r="T345" s="198"/>
      <c r="U345" s="198"/>
      <c r="V345" s="198"/>
      <c r="W345" s="198"/>
      <c r="X345" s="198"/>
      <c r="Y345" s="198"/>
      <c r="Z345" s="198"/>
      <c r="AA345" s="198"/>
    </row>
    <row r="346" ht="71.25" customHeight="1">
      <c r="A346" s="285"/>
      <c r="B346" s="299"/>
      <c r="C346" s="285"/>
      <c r="D346" s="367"/>
      <c r="E346" s="287"/>
      <c r="F346" s="285"/>
      <c r="G346" s="288"/>
      <c r="H346" s="367"/>
      <c r="I346" s="301"/>
      <c r="J346" s="377"/>
      <c r="K346" s="294"/>
      <c r="L346" s="294"/>
      <c r="M346" s="290"/>
      <c r="N346" s="285"/>
      <c r="O346" s="299"/>
      <c r="P346" s="300"/>
      <c r="Q346" s="198"/>
      <c r="R346" s="198"/>
      <c r="S346" s="198"/>
      <c r="T346" s="198"/>
      <c r="U346" s="198"/>
      <c r="V346" s="198"/>
      <c r="W346" s="198"/>
      <c r="X346" s="198"/>
      <c r="Y346" s="198"/>
      <c r="Z346" s="198"/>
      <c r="AA346" s="198"/>
    </row>
    <row r="347" ht="76.5" customHeight="1">
      <c r="A347" s="285"/>
      <c r="B347" s="299"/>
      <c r="C347" s="285"/>
      <c r="D347" s="367"/>
      <c r="E347" s="287"/>
      <c r="F347" s="285"/>
      <c r="G347" s="288"/>
      <c r="H347" s="367"/>
      <c r="I347" s="301"/>
      <c r="J347" s="377"/>
      <c r="K347" s="294"/>
      <c r="L347" s="294"/>
      <c r="M347" s="290"/>
      <c r="N347" s="285"/>
      <c r="O347" s="299"/>
      <c r="P347" s="300"/>
      <c r="Q347" s="198"/>
      <c r="R347" s="198"/>
      <c r="S347" s="198"/>
      <c r="T347" s="198"/>
      <c r="U347" s="198"/>
      <c r="V347" s="198"/>
      <c r="W347" s="198"/>
      <c r="X347" s="198"/>
      <c r="Y347" s="198"/>
      <c r="Z347" s="198"/>
      <c r="AA347" s="198"/>
    </row>
    <row r="348" ht="75.0" customHeight="1">
      <c r="A348" s="299"/>
      <c r="B348" s="285"/>
      <c r="C348" s="285"/>
      <c r="D348" s="285"/>
      <c r="E348" s="287"/>
      <c r="F348" s="285"/>
      <c r="G348" s="288"/>
      <c r="H348" s="301"/>
      <c r="I348" s="301"/>
      <c r="J348" s="377"/>
      <c r="K348" s="294"/>
      <c r="L348" s="294"/>
      <c r="M348" s="290"/>
      <c r="N348" s="285"/>
      <c r="O348" s="299"/>
      <c r="P348" s="300"/>
      <c r="Q348" s="198"/>
      <c r="R348" s="198"/>
      <c r="S348" s="198"/>
      <c r="T348" s="198"/>
      <c r="U348" s="198"/>
      <c r="V348" s="198"/>
      <c r="W348" s="198"/>
      <c r="X348" s="198"/>
      <c r="Y348" s="198"/>
      <c r="Z348" s="198"/>
      <c r="AA348" s="198"/>
    </row>
    <row r="349" ht="68.25" customHeight="1">
      <c r="A349" s="285"/>
      <c r="B349" s="299"/>
      <c r="C349" s="285"/>
      <c r="D349" s="367"/>
      <c r="E349" s="287"/>
      <c r="F349" s="285"/>
      <c r="G349" s="288"/>
      <c r="H349" s="367"/>
      <c r="I349" s="301"/>
      <c r="J349" s="377"/>
      <c r="K349" s="294"/>
      <c r="L349" s="294"/>
      <c r="M349" s="290"/>
      <c r="N349" s="285"/>
      <c r="O349" s="299"/>
      <c r="P349" s="300"/>
      <c r="Q349" s="198"/>
      <c r="R349" s="198"/>
      <c r="S349" s="198"/>
      <c r="T349" s="198"/>
      <c r="U349" s="198"/>
      <c r="V349" s="198"/>
      <c r="W349" s="198"/>
      <c r="X349" s="198"/>
      <c r="Y349" s="198"/>
      <c r="Z349" s="198"/>
      <c r="AA349" s="198"/>
    </row>
    <row r="350" ht="71.25" customHeight="1">
      <c r="A350" s="285"/>
      <c r="B350" s="299"/>
      <c r="C350" s="285"/>
      <c r="D350" s="367"/>
      <c r="E350" s="287"/>
      <c r="F350" s="285"/>
      <c r="G350" s="288"/>
      <c r="H350" s="367"/>
      <c r="I350" s="301"/>
      <c r="J350" s="377"/>
      <c r="K350" s="294"/>
      <c r="L350" s="294"/>
      <c r="M350" s="290"/>
      <c r="N350" s="285"/>
      <c r="O350" s="299"/>
      <c r="P350" s="300"/>
      <c r="Q350" s="198"/>
      <c r="R350" s="198"/>
      <c r="S350" s="198"/>
      <c r="T350" s="198"/>
      <c r="U350" s="198"/>
      <c r="V350" s="198"/>
      <c r="W350" s="198"/>
      <c r="X350" s="198"/>
      <c r="Y350" s="198"/>
      <c r="Z350" s="198"/>
      <c r="AA350" s="198"/>
    </row>
    <row r="351" ht="69.75" customHeight="1">
      <c r="A351" s="299"/>
      <c r="B351" s="285"/>
      <c r="C351" s="285"/>
      <c r="D351" s="285"/>
      <c r="E351" s="287"/>
      <c r="F351" s="285"/>
      <c r="G351" s="288"/>
      <c r="H351" s="301"/>
      <c r="I351" s="301"/>
      <c r="J351" s="377"/>
      <c r="K351" s="294"/>
      <c r="L351" s="294"/>
      <c r="M351" s="290"/>
      <c r="N351" s="285"/>
      <c r="O351" s="299"/>
      <c r="P351" s="300"/>
      <c r="Q351" s="198"/>
      <c r="R351" s="198"/>
      <c r="S351" s="198"/>
      <c r="T351" s="198"/>
      <c r="U351" s="198"/>
      <c r="V351" s="198"/>
      <c r="W351" s="198"/>
      <c r="X351" s="198"/>
      <c r="Y351" s="198"/>
      <c r="Z351" s="198"/>
      <c r="AA351" s="198"/>
    </row>
    <row r="352" ht="69.75" customHeight="1">
      <c r="A352" s="285"/>
      <c r="B352" s="299"/>
      <c r="C352" s="285"/>
      <c r="D352" s="367"/>
      <c r="E352" s="287"/>
      <c r="F352" s="285"/>
      <c r="G352" s="288"/>
      <c r="H352" s="367"/>
      <c r="I352" s="301"/>
      <c r="J352" s="377"/>
      <c r="K352" s="294"/>
      <c r="L352" s="294"/>
      <c r="M352" s="290"/>
      <c r="N352" s="285"/>
      <c r="O352" s="299"/>
      <c r="P352" s="300"/>
      <c r="Q352" s="198"/>
      <c r="R352" s="198"/>
      <c r="S352" s="198"/>
      <c r="T352" s="198"/>
      <c r="U352" s="198"/>
      <c r="V352" s="198"/>
      <c r="W352" s="198"/>
      <c r="X352" s="198"/>
      <c r="Y352" s="198"/>
      <c r="Z352" s="198"/>
      <c r="AA352" s="198"/>
    </row>
    <row r="353" ht="67.5" customHeight="1">
      <c r="A353" s="285"/>
      <c r="B353" s="299"/>
      <c r="C353" s="285"/>
      <c r="D353" s="367"/>
      <c r="E353" s="287"/>
      <c r="F353" s="285"/>
      <c r="G353" s="288"/>
      <c r="H353" s="367"/>
      <c r="I353" s="301"/>
      <c r="J353" s="377"/>
      <c r="K353" s="294"/>
      <c r="L353" s="294"/>
      <c r="M353" s="290"/>
      <c r="N353" s="285"/>
      <c r="O353" s="299"/>
      <c r="P353" s="300"/>
      <c r="Q353" s="198"/>
      <c r="R353" s="198"/>
      <c r="S353" s="198"/>
      <c r="T353" s="198"/>
      <c r="U353" s="198"/>
      <c r="V353" s="198"/>
      <c r="W353" s="198"/>
      <c r="X353" s="198"/>
      <c r="Y353" s="198"/>
      <c r="Z353" s="198"/>
      <c r="AA353" s="198"/>
    </row>
    <row r="354" ht="63.0" customHeight="1">
      <c r="A354" s="299"/>
      <c r="B354" s="285"/>
      <c r="C354" s="285"/>
      <c r="D354" s="285"/>
      <c r="E354" s="287"/>
      <c r="F354" s="285"/>
      <c r="G354" s="288"/>
      <c r="H354" s="301"/>
      <c r="I354" s="301"/>
      <c r="J354" s="377"/>
      <c r="K354" s="294"/>
      <c r="L354" s="294"/>
      <c r="M354" s="290"/>
      <c r="N354" s="285"/>
      <c r="O354" s="299"/>
      <c r="P354" s="300"/>
      <c r="Q354" s="198"/>
      <c r="R354" s="198"/>
      <c r="S354" s="198"/>
      <c r="T354" s="198"/>
      <c r="U354" s="198"/>
      <c r="V354" s="198"/>
      <c r="W354" s="198"/>
      <c r="X354" s="198"/>
      <c r="Y354" s="198"/>
      <c r="Z354" s="198"/>
      <c r="AA354" s="198"/>
    </row>
    <row r="355" ht="61.5" customHeight="1">
      <c r="A355" s="285"/>
      <c r="B355" s="299"/>
      <c r="C355" s="285"/>
      <c r="D355" s="367"/>
      <c r="E355" s="287"/>
      <c r="F355" s="285"/>
      <c r="G355" s="288"/>
      <c r="H355" s="367"/>
      <c r="I355" s="301"/>
      <c r="J355" s="377"/>
      <c r="K355" s="294"/>
      <c r="L355" s="294"/>
      <c r="M355" s="290"/>
      <c r="N355" s="285"/>
      <c r="O355" s="299"/>
      <c r="P355" s="300"/>
      <c r="Q355" s="198"/>
      <c r="R355" s="198"/>
      <c r="S355" s="198"/>
      <c r="T355" s="198"/>
      <c r="U355" s="198"/>
      <c r="V355" s="198"/>
      <c r="W355" s="198"/>
      <c r="X355" s="198"/>
      <c r="Y355" s="198"/>
      <c r="Z355" s="198"/>
      <c r="AA355" s="198"/>
    </row>
    <row r="356" ht="69.75" customHeight="1">
      <c r="A356" s="285"/>
      <c r="B356" s="299"/>
      <c r="C356" s="285"/>
      <c r="D356" s="367"/>
      <c r="E356" s="287"/>
      <c r="F356" s="285"/>
      <c r="G356" s="288"/>
      <c r="H356" s="367"/>
      <c r="I356" s="301"/>
      <c r="J356" s="377"/>
      <c r="K356" s="294"/>
      <c r="L356" s="294"/>
      <c r="M356" s="290"/>
      <c r="N356" s="285"/>
      <c r="O356" s="299"/>
      <c r="P356" s="300"/>
      <c r="Q356" s="198"/>
      <c r="R356" s="198"/>
      <c r="S356" s="198"/>
      <c r="T356" s="198"/>
      <c r="U356" s="198"/>
      <c r="V356" s="198"/>
      <c r="W356" s="198"/>
      <c r="X356" s="198"/>
      <c r="Y356" s="198"/>
      <c r="Z356" s="198"/>
      <c r="AA356" s="198"/>
    </row>
    <row r="357" ht="70.5" customHeight="1">
      <c r="A357" s="299"/>
      <c r="B357" s="285"/>
      <c r="C357" s="285"/>
      <c r="D357" s="285"/>
      <c r="E357" s="287"/>
      <c r="F357" s="285"/>
      <c r="G357" s="288"/>
      <c r="H357" s="301"/>
      <c r="I357" s="301"/>
      <c r="J357" s="377"/>
      <c r="K357" s="294"/>
      <c r="L357" s="294"/>
      <c r="M357" s="290"/>
      <c r="N357" s="285"/>
      <c r="O357" s="299"/>
      <c r="P357" s="300"/>
      <c r="Q357" s="198"/>
      <c r="R357" s="198"/>
      <c r="S357" s="198"/>
      <c r="T357" s="198"/>
      <c r="U357" s="198"/>
      <c r="V357" s="198"/>
      <c r="W357" s="198"/>
      <c r="X357" s="198"/>
      <c r="Y357" s="198"/>
      <c r="Z357" s="198"/>
      <c r="AA357" s="198"/>
    </row>
    <row r="358" ht="61.5" customHeight="1">
      <c r="A358" s="285"/>
      <c r="B358" s="299"/>
      <c r="C358" s="285"/>
      <c r="D358" s="367"/>
      <c r="E358" s="287"/>
      <c r="F358" s="285"/>
      <c r="G358" s="288"/>
      <c r="H358" s="367"/>
      <c r="I358" s="301"/>
      <c r="J358" s="377"/>
      <c r="K358" s="294"/>
      <c r="L358" s="294"/>
      <c r="M358" s="290"/>
      <c r="N358" s="285"/>
      <c r="O358" s="299"/>
      <c r="P358" s="300"/>
      <c r="Q358" s="198"/>
      <c r="R358" s="198"/>
      <c r="S358" s="198"/>
      <c r="T358" s="198"/>
      <c r="U358" s="198"/>
      <c r="V358" s="198"/>
      <c r="W358" s="198"/>
      <c r="X358" s="198"/>
      <c r="Y358" s="198"/>
      <c r="Z358" s="198"/>
      <c r="AA358" s="198"/>
    </row>
    <row r="359" ht="57.75" customHeight="1">
      <c r="A359" s="285"/>
      <c r="B359" s="299"/>
      <c r="C359" s="285"/>
      <c r="D359" s="367"/>
      <c r="E359" s="287"/>
      <c r="F359" s="285"/>
      <c r="G359" s="288"/>
      <c r="H359" s="367"/>
      <c r="I359" s="301"/>
      <c r="J359" s="377"/>
      <c r="K359" s="294"/>
      <c r="L359" s="294"/>
      <c r="M359" s="290"/>
      <c r="N359" s="285"/>
      <c r="O359" s="299"/>
      <c r="P359" s="300"/>
      <c r="Q359" s="198"/>
      <c r="R359" s="198"/>
      <c r="S359" s="198"/>
      <c r="T359" s="198"/>
      <c r="U359" s="198"/>
      <c r="V359" s="198"/>
      <c r="W359" s="198"/>
      <c r="X359" s="198"/>
      <c r="Y359" s="198"/>
      <c r="Z359" s="198"/>
      <c r="AA359" s="198"/>
    </row>
    <row r="360" ht="57.75" customHeight="1">
      <c r="A360" s="299"/>
      <c r="B360" s="285"/>
      <c r="C360" s="285"/>
      <c r="D360" s="285"/>
      <c r="E360" s="287"/>
      <c r="F360" s="285"/>
      <c r="G360" s="288"/>
      <c r="H360" s="301"/>
      <c r="I360" s="301"/>
      <c r="J360" s="377"/>
      <c r="K360" s="294"/>
      <c r="L360" s="294"/>
      <c r="M360" s="290"/>
      <c r="N360" s="285"/>
      <c r="O360" s="299"/>
      <c r="P360" s="300"/>
      <c r="Q360" s="198"/>
      <c r="R360" s="198"/>
      <c r="S360" s="198"/>
      <c r="T360" s="198"/>
      <c r="U360" s="198"/>
      <c r="V360" s="198"/>
      <c r="W360" s="198"/>
      <c r="X360" s="198"/>
      <c r="Y360" s="198"/>
      <c r="Z360" s="198"/>
      <c r="AA360" s="198"/>
    </row>
    <row r="361" ht="57.75" customHeight="1">
      <c r="A361" s="285"/>
      <c r="B361" s="299"/>
      <c r="C361" s="285"/>
      <c r="D361" s="367"/>
      <c r="E361" s="287"/>
      <c r="F361" s="285"/>
      <c r="G361" s="288"/>
      <c r="H361" s="367"/>
      <c r="I361" s="301"/>
      <c r="J361" s="377"/>
      <c r="K361" s="294"/>
      <c r="L361" s="294"/>
      <c r="M361" s="290"/>
      <c r="N361" s="285"/>
      <c r="O361" s="299"/>
      <c r="P361" s="300"/>
      <c r="Q361" s="198"/>
      <c r="R361" s="198"/>
      <c r="S361" s="198"/>
      <c r="T361" s="198"/>
      <c r="U361" s="198"/>
      <c r="V361" s="198"/>
      <c r="W361" s="198"/>
      <c r="X361" s="198"/>
      <c r="Y361" s="198"/>
      <c r="Z361" s="198"/>
      <c r="AA361" s="198"/>
    </row>
    <row r="362" ht="57.75" customHeight="1">
      <c r="A362" s="285"/>
      <c r="B362" s="299"/>
      <c r="C362" s="285"/>
      <c r="D362" s="367"/>
      <c r="E362" s="287"/>
      <c r="F362" s="285"/>
      <c r="G362" s="288"/>
      <c r="H362" s="367"/>
      <c r="I362" s="301"/>
      <c r="J362" s="377"/>
      <c r="K362" s="294"/>
      <c r="L362" s="294"/>
      <c r="M362" s="290"/>
      <c r="N362" s="285"/>
      <c r="O362" s="299"/>
      <c r="P362" s="300"/>
      <c r="Q362" s="198"/>
      <c r="R362" s="198"/>
      <c r="S362" s="198"/>
      <c r="T362" s="198"/>
      <c r="U362" s="198"/>
      <c r="V362" s="198"/>
      <c r="W362" s="198"/>
      <c r="X362" s="198"/>
      <c r="Y362" s="198"/>
      <c r="Z362" s="198"/>
      <c r="AA362" s="198"/>
    </row>
    <row r="363" ht="57.75" customHeight="1">
      <c r="A363" s="299"/>
      <c r="B363" s="285"/>
      <c r="C363" s="285"/>
      <c r="D363" s="285"/>
      <c r="E363" s="287"/>
      <c r="F363" s="285"/>
      <c r="G363" s="288"/>
      <c r="H363" s="301"/>
      <c r="I363" s="301"/>
      <c r="J363" s="377"/>
      <c r="K363" s="294"/>
      <c r="L363" s="294"/>
      <c r="M363" s="290"/>
      <c r="N363" s="285"/>
      <c r="O363" s="299"/>
      <c r="P363" s="300"/>
      <c r="Q363" s="198"/>
      <c r="R363" s="198"/>
      <c r="S363" s="198"/>
      <c r="T363" s="198"/>
      <c r="U363" s="198"/>
      <c r="V363" s="198"/>
      <c r="W363" s="198"/>
      <c r="X363" s="198"/>
      <c r="Y363" s="198"/>
      <c r="Z363" s="198"/>
      <c r="AA363" s="198"/>
    </row>
    <row r="364" ht="57.75" customHeight="1">
      <c r="A364" s="285"/>
      <c r="B364" s="299"/>
      <c r="C364" s="285"/>
      <c r="D364" s="367"/>
      <c r="E364" s="287"/>
      <c r="F364" s="285"/>
      <c r="G364" s="288"/>
      <c r="H364" s="367"/>
      <c r="I364" s="301"/>
      <c r="J364" s="377"/>
      <c r="K364" s="294"/>
      <c r="L364" s="294"/>
      <c r="M364" s="290"/>
      <c r="N364" s="285"/>
      <c r="O364" s="299"/>
      <c r="P364" s="300"/>
      <c r="Q364" s="198"/>
      <c r="R364" s="198"/>
      <c r="S364" s="198"/>
      <c r="T364" s="198"/>
      <c r="U364" s="198"/>
      <c r="V364" s="198"/>
      <c r="W364" s="198"/>
      <c r="X364" s="198"/>
      <c r="Y364" s="198"/>
      <c r="Z364" s="198"/>
      <c r="AA364" s="198"/>
    </row>
    <row r="365" ht="57.75" customHeight="1">
      <c r="A365" s="285"/>
      <c r="B365" s="299"/>
      <c r="C365" s="285"/>
      <c r="D365" s="367"/>
      <c r="E365" s="287"/>
      <c r="F365" s="285"/>
      <c r="G365" s="288"/>
      <c r="H365" s="367"/>
      <c r="I365" s="301"/>
      <c r="J365" s="377"/>
      <c r="K365" s="294"/>
      <c r="L365" s="294"/>
      <c r="M365" s="290"/>
      <c r="N365" s="285"/>
      <c r="O365" s="299"/>
      <c r="P365" s="300"/>
      <c r="Q365" s="198"/>
      <c r="R365" s="198"/>
      <c r="S365" s="198"/>
      <c r="T365" s="198"/>
      <c r="U365" s="198"/>
      <c r="V365" s="198"/>
      <c r="W365" s="198"/>
      <c r="X365" s="198"/>
      <c r="Y365" s="198"/>
      <c r="Z365" s="198"/>
      <c r="AA365" s="198"/>
    </row>
    <row r="366" ht="57.75" customHeight="1">
      <c r="A366" s="299"/>
      <c r="B366" s="285"/>
      <c r="C366" s="285"/>
      <c r="D366" s="285"/>
      <c r="E366" s="287"/>
      <c r="F366" s="285"/>
      <c r="G366" s="288"/>
      <c r="H366" s="301"/>
      <c r="I366" s="301"/>
      <c r="J366" s="377"/>
      <c r="K366" s="294"/>
      <c r="L366" s="294"/>
      <c r="M366" s="290"/>
      <c r="N366" s="285"/>
      <c r="O366" s="299"/>
      <c r="P366" s="300"/>
      <c r="Q366" s="198"/>
      <c r="R366" s="198"/>
      <c r="S366" s="198"/>
      <c r="T366" s="198"/>
      <c r="U366" s="198"/>
      <c r="V366" s="198"/>
      <c r="W366" s="198"/>
      <c r="X366" s="198"/>
      <c r="Y366" s="198"/>
      <c r="Z366" s="198"/>
      <c r="AA366" s="198"/>
    </row>
    <row r="367" ht="69.75" customHeight="1">
      <c r="A367" s="285"/>
      <c r="B367" s="299"/>
      <c r="C367" s="285"/>
      <c r="D367" s="367"/>
      <c r="E367" s="287"/>
      <c r="F367" s="285"/>
      <c r="G367" s="288"/>
      <c r="H367" s="367"/>
      <c r="I367" s="301"/>
      <c r="J367" s="377"/>
      <c r="K367" s="294"/>
      <c r="L367" s="294"/>
      <c r="M367" s="290"/>
      <c r="N367" s="285"/>
      <c r="O367" s="299"/>
      <c r="P367" s="300"/>
      <c r="Q367" s="198"/>
      <c r="R367" s="198"/>
      <c r="S367" s="198"/>
      <c r="T367" s="198"/>
      <c r="U367" s="198"/>
      <c r="V367" s="198"/>
      <c r="W367" s="198"/>
      <c r="X367" s="198"/>
      <c r="Y367" s="198"/>
      <c r="Z367" s="198"/>
      <c r="AA367" s="198"/>
    </row>
    <row r="368" ht="57.75" customHeight="1">
      <c r="A368" s="285"/>
      <c r="B368" s="299"/>
      <c r="C368" s="285"/>
      <c r="D368" s="367"/>
      <c r="E368" s="287"/>
      <c r="F368" s="285"/>
      <c r="G368" s="288"/>
      <c r="H368" s="367"/>
      <c r="I368" s="301"/>
      <c r="J368" s="377"/>
      <c r="K368" s="294"/>
      <c r="L368" s="294"/>
      <c r="M368" s="290"/>
      <c r="N368" s="285"/>
      <c r="O368" s="299"/>
      <c r="P368" s="300"/>
      <c r="Q368" s="198"/>
      <c r="R368" s="198"/>
      <c r="S368" s="198"/>
      <c r="T368" s="198"/>
      <c r="U368" s="198"/>
      <c r="V368" s="198"/>
      <c r="W368" s="198"/>
      <c r="X368" s="198"/>
      <c r="Y368" s="198"/>
      <c r="Z368" s="198"/>
      <c r="AA368" s="198"/>
    </row>
    <row r="369" ht="57.75" customHeight="1">
      <c r="A369" s="299"/>
      <c r="B369" s="285"/>
      <c r="C369" s="285"/>
      <c r="D369" s="285"/>
      <c r="E369" s="287"/>
      <c r="F369" s="285"/>
      <c r="G369" s="288"/>
      <c r="H369" s="301"/>
      <c r="I369" s="301"/>
      <c r="J369" s="377"/>
      <c r="K369" s="294"/>
      <c r="L369" s="294"/>
      <c r="M369" s="290"/>
      <c r="N369" s="285"/>
      <c r="O369" s="299"/>
      <c r="P369" s="300"/>
      <c r="Q369" s="198"/>
      <c r="R369" s="198"/>
      <c r="S369" s="198"/>
      <c r="T369" s="198"/>
      <c r="U369" s="198"/>
      <c r="V369" s="198"/>
      <c r="W369" s="198"/>
      <c r="X369" s="198"/>
      <c r="Y369" s="198"/>
      <c r="Z369" s="198"/>
      <c r="AA369" s="198"/>
    </row>
    <row r="370" ht="57.75" customHeight="1">
      <c r="A370" s="285"/>
      <c r="B370" s="299"/>
      <c r="C370" s="285"/>
      <c r="D370" s="367"/>
      <c r="E370" s="287"/>
      <c r="F370" s="285"/>
      <c r="G370" s="288"/>
      <c r="H370" s="367"/>
      <c r="I370" s="301"/>
      <c r="J370" s="377"/>
      <c r="K370" s="294"/>
      <c r="L370" s="294"/>
      <c r="M370" s="290"/>
      <c r="N370" s="285"/>
      <c r="O370" s="299"/>
      <c r="P370" s="300"/>
      <c r="Q370" s="198"/>
      <c r="R370" s="198"/>
      <c r="S370" s="198"/>
      <c r="T370" s="198"/>
      <c r="U370" s="198"/>
      <c r="V370" s="198"/>
      <c r="W370" s="198"/>
      <c r="X370" s="198"/>
      <c r="Y370" s="198"/>
      <c r="Z370" s="198"/>
      <c r="AA370" s="198"/>
    </row>
    <row r="371" ht="72.75" customHeight="1">
      <c r="A371" s="285"/>
      <c r="B371" s="299"/>
      <c r="C371" s="285"/>
      <c r="D371" s="367"/>
      <c r="E371" s="287"/>
      <c r="F371" s="285"/>
      <c r="G371" s="288"/>
      <c r="H371" s="367"/>
      <c r="I371" s="301"/>
      <c r="J371" s="377"/>
      <c r="K371" s="294"/>
      <c r="L371" s="294"/>
      <c r="M371" s="290"/>
      <c r="N371" s="285"/>
      <c r="O371" s="299"/>
      <c r="P371" s="300"/>
      <c r="Q371" s="198"/>
      <c r="R371" s="198"/>
      <c r="S371" s="198"/>
      <c r="T371" s="198"/>
      <c r="U371" s="198"/>
      <c r="V371" s="198"/>
      <c r="W371" s="198"/>
      <c r="X371" s="198"/>
      <c r="Y371" s="198"/>
      <c r="Z371" s="198"/>
      <c r="AA371" s="198"/>
    </row>
    <row r="372" ht="57.75" customHeight="1">
      <c r="A372" s="299"/>
      <c r="B372" s="285"/>
      <c r="C372" s="285"/>
      <c r="D372" s="285"/>
      <c r="E372" s="287"/>
      <c r="F372" s="285"/>
      <c r="G372" s="288"/>
      <c r="H372" s="301"/>
      <c r="I372" s="301"/>
      <c r="J372" s="377"/>
      <c r="K372" s="294"/>
      <c r="L372" s="294"/>
      <c r="M372" s="290"/>
      <c r="N372" s="285"/>
      <c r="O372" s="299"/>
      <c r="P372" s="300"/>
      <c r="Q372" s="198"/>
      <c r="R372" s="198"/>
      <c r="S372" s="198"/>
      <c r="T372" s="198"/>
      <c r="U372" s="198"/>
      <c r="V372" s="198"/>
      <c r="W372" s="198"/>
      <c r="X372" s="198"/>
      <c r="Y372" s="198"/>
      <c r="Z372" s="198"/>
      <c r="AA372" s="198"/>
    </row>
    <row r="373" ht="57.75" customHeight="1">
      <c r="A373" s="285"/>
      <c r="B373" s="299"/>
      <c r="C373" s="285"/>
      <c r="D373" s="367"/>
      <c r="E373" s="287"/>
      <c r="F373" s="285"/>
      <c r="G373" s="288"/>
      <c r="H373" s="367"/>
      <c r="I373" s="301"/>
      <c r="J373" s="377"/>
      <c r="K373" s="294"/>
      <c r="L373" s="294"/>
      <c r="M373" s="290"/>
      <c r="N373" s="285"/>
      <c r="O373" s="299"/>
      <c r="P373" s="300"/>
      <c r="Q373" s="198"/>
      <c r="R373" s="198"/>
      <c r="S373" s="198"/>
      <c r="T373" s="198"/>
      <c r="U373" s="198"/>
      <c r="V373" s="198"/>
      <c r="W373" s="198"/>
      <c r="X373" s="198"/>
      <c r="Y373" s="198"/>
      <c r="Z373" s="198"/>
      <c r="AA373" s="198"/>
    </row>
    <row r="374" ht="57.75" customHeight="1">
      <c r="A374" s="285"/>
      <c r="B374" s="299"/>
      <c r="C374" s="285"/>
      <c r="D374" s="367"/>
      <c r="E374" s="287"/>
      <c r="F374" s="285"/>
      <c r="G374" s="288"/>
      <c r="H374" s="367"/>
      <c r="I374" s="301"/>
      <c r="J374" s="377"/>
      <c r="K374" s="294"/>
      <c r="L374" s="294"/>
      <c r="M374" s="290"/>
      <c r="N374" s="285"/>
      <c r="O374" s="299"/>
      <c r="P374" s="300"/>
      <c r="Q374" s="198"/>
      <c r="R374" s="198"/>
      <c r="S374" s="198"/>
      <c r="T374" s="198"/>
      <c r="U374" s="198"/>
      <c r="V374" s="198"/>
      <c r="W374" s="198"/>
      <c r="X374" s="198"/>
      <c r="Y374" s="198"/>
      <c r="Z374" s="198"/>
      <c r="AA374" s="198"/>
    </row>
    <row r="375" ht="72.0" customHeight="1">
      <c r="A375" s="299"/>
      <c r="B375" s="285"/>
      <c r="C375" s="285"/>
      <c r="D375" s="285"/>
      <c r="E375" s="287"/>
      <c r="F375" s="285"/>
      <c r="G375" s="288"/>
      <c r="H375" s="301"/>
      <c r="I375" s="301"/>
      <c r="J375" s="377"/>
      <c r="K375" s="294"/>
      <c r="L375" s="294"/>
      <c r="M375" s="290"/>
      <c r="N375" s="285"/>
      <c r="O375" s="299"/>
      <c r="P375" s="300"/>
      <c r="Q375" s="198"/>
      <c r="R375" s="198"/>
      <c r="S375" s="198"/>
      <c r="T375" s="198"/>
      <c r="U375" s="198"/>
      <c r="V375" s="198"/>
      <c r="W375" s="198"/>
      <c r="X375" s="198"/>
      <c r="Y375" s="198"/>
      <c r="Z375" s="198"/>
      <c r="AA375" s="198"/>
    </row>
    <row r="376" ht="57.75" customHeight="1">
      <c r="A376" s="285"/>
      <c r="B376" s="299"/>
      <c r="C376" s="285"/>
      <c r="D376" s="367"/>
      <c r="E376" s="287"/>
      <c r="F376" s="285"/>
      <c r="G376" s="288"/>
      <c r="H376" s="367"/>
      <c r="I376" s="301"/>
      <c r="J376" s="377"/>
      <c r="K376" s="294"/>
      <c r="L376" s="294"/>
      <c r="M376" s="290"/>
      <c r="N376" s="285"/>
      <c r="O376" s="299"/>
      <c r="P376" s="300"/>
      <c r="Q376" s="198"/>
      <c r="R376" s="198"/>
      <c r="S376" s="198"/>
      <c r="T376" s="198"/>
      <c r="U376" s="198"/>
      <c r="V376" s="198"/>
      <c r="W376" s="198"/>
      <c r="X376" s="198"/>
      <c r="Y376" s="198"/>
      <c r="Z376" s="198"/>
      <c r="AA376" s="198"/>
    </row>
    <row r="377" ht="59.25" customHeight="1">
      <c r="A377" s="285"/>
      <c r="B377" s="299"/>
      <c r="C377" s="285"/>
      <c r="D377" s="367"/>
      <c r="E377" s="287"/>
      <c r="F377" s="285"/>
      <c r="G377" s="288"/>
      <c r="H377" s="367"/>
      <c r="I377" s="301"/>
      <c r="J377" s="377"/>
      <c r="K377" s="294"/>
      <c r="L377" s="294"/>
      <c r="M377" s="290"/>
      <c r="N377" s="285"/>
      <c r="O377" s="299"/>
      <c r="P377" s="300"/>
      <c r="Q377" s="198"/>
      <c r="R377" s="198"/>
      <c r="S377" s="198"/>
      <c r="T377" s="198"/>
      <c r="U377" s="198"/>
      <c r="V377" s="198"/>
      <c r="W377" s="198"/>
      <c r="X377" s="198"/>
      <c r="Y377" s="198"/>
      <c r="Z377" s="198"/>
      <c r="AA377" s="198"/>
    </row>
    <row r="378" ht="55.5" customHeight="1">
      <c r="A378" s="299"/>
      <c r="B378" s="285"/>
      <c r="C378" s="285"/>
      <c r="D378" s="285"/>
      <c r="E378" s="287"/>
      <c r="F378" s="285"/>
      <c r="G378" s="288"/>
      <c r="H378" s="301"/>
      <c r="I378" s="301"/>
      <c r="J378" s="377"/>
      <c r="K378" s="294"/>
      <c r="L378" s="294"/>
      <c r="M378" s="290"/>
      <c r="N378" s="285"/>
      <c r="O378" s="299"/>
      <c r="P378" s="300"/>
      <c r="Q378" s="198"/>
      <c r="R378" s="198"/>
      <c r="S378" s="198"/>
      <c r="T378" s="198"/>
      <c r="U378" s="198"/>
      <c r="V378" s="198"/>
      <c r="W378" s="198"/>
      <c r="X378" s="198"/>
      <c r="Y378" s="198"/>
      <c r="Z378" s="198"/>
      <c r="AA378" s="198"/>
    </row>
    <row r="379" ht="62.25" customHeight="1">
      <c r="A379" s="285"/>
      <c r="B379" s="299"/>
      <c r="C379" s="285"/>
      <c r="D379" s="367"/>
      <c r="E379" s="287"/>
      <c r="F379" s="285"/>
      <c r="G379" s="288"/>
      <c r="H379" s="367"/>
      <c r="I379" s="301"/>
      <c r="J379" s="377"/>
      <c r="K379" s="294"/>
      <c r="L379" s="294"/>
      <c r="M379" s="290"/>
      <c r="N379" s="285"/>
      <c r="O379" s="299"/>
      <c r="P379" s="300"/>
      <c r="Q379" s="198"/>
      <c r="R379" s="198"/>
      <c r="S379" s="198"/>
      <c r="T379" s="198"/>
      <c r="U379" s="198"/>
      <c r="V379" s="198"/>
      <c r="W379" s="198"/>
      <c r="X379" s="198"/>
      <c r="Y379" s="198"/>
      <c r="Z379" s="198"/>
      <c r="AA379" s="198"/>
    </row>
    <row r="380" ht="63.75" customHeight="1">
      <c r="A380" s="285"/>
      <c r="B380" s="299"/>
      <c r="C380" s="285"/>
      <c r="D380" s="367"/>
      <c r="E380" s="287"/>
      <c r="F380" s="285"/>
      <c r="G380" s="288"/>
      <c r="H380" s="367"/>
      <c r="I380" s="301"/>
      <c r="J380" s="377"/>
      <c r="K380" s="294"/>
      <c r="L380" s="294"/>
      <c r="M380" s="290"/>
      <c r="N380" s="285"/>
      <c r="O380" s="299"/>
      <c r="P380" s="300"/>
      <c r="Q380" s="198"/>
      <c r="R380" s="198"/>
      <c r="S380" s="198"/>
      <c r="T380" s="198"/>
      <c r="U380" s="198"/>
      <c r="V380" s="198"/>
      <c r="W380" s="198"/>
      <c r="X380" s="198"/>
      <c r="Y380" s="198"/>
      <c r="Z380" s="198"/>
      <c r="AA380" s="198"/>
    </row>
    <row r="381" ht="60.75" customHeight="1">
      <c r="A381" s="299"/>
      <c r="B381" s="285"/>
      <c r="C381" s="285"/>
      <c r="D381" s="285"/>
      <c r="E381" s="287"/>
      <c r="F381" s="285"/>
      <c r="G381" s="288"/>
      <c r="H381" s="301"/>
      <c r="I381" s="301"/>
      <c r="J381" s="377"/>
      <c r="K381" s="294"/>
      <c r="L381" s="294"/>
      <c r="M381" s="290"/>
      <c r="N381" s="285"/>
      <c r="O381" s="299"/>
      <c r="P381" s="300"/>
      <c r="Q381" s="198"/>
      <c r="R381" s="198"/>
      <c r="S381" s="198"/>
      <c r="T381" s="198"/>
      <c r="U381" s="198"/>
      <c r="V381" s="198"/>
      <c r="W381" s="198"/>
      <c r="X381" s="198"/>
      <c r="Y381" s="198"/>
      <c r="Z381" s="198"/>
      <c r="AA381" s="198"/>
    </row>
    <row r="382" ht="72.0" customHeight="1">
      <c r="A382" s="285"/>
      <c r="B382" s="299"/>
      <c r="C382" s="285"/>
      <c r="D382" s="367"/>
      <c r="E382" s="287"/>
      <c r="F382" s="285"/>
      <c r="G382" s="288"/>
      <c r="H382" s="367"/>
      <c r="I382" s="301"/>
      <c r="J382" s="377"/>
      <c r="K382" s="294"/>
      <c r="L382" s="294"/>
      <c r="M382" s="290"/>
      <c r="N382" s="285"/>
      <c r="O382" s="299"/>
      <c r="P382" s="300"/>
      <c r="Q382" s="198"/>
      <c r="R382" s="198"/>
      <c r="S382" s="198"/>
      <c r="T382" s="198"/>
      <c r="U382" s="198"/>
      <c r="V382" s="198"/>
      <c r="W382" s="198"/>
      <c r="X382" s="198"/>
      <c r="Y382" s="198"/>
      <c r="Z382" s="198"/>
      <c r="AA382" s="198"/>
    </row>
    <row r="383" ht="57.75" customHeight="1">
      <c r="A383" s="285"/>
      <c r="B383" s="299"/>
      <c r="C383" s="285"/>
      <c r="D383" s="367"/>
      <c r="E383" s="287"/>
      <c r="F383" s="285"/>
      <c r="G383" s="288"/>
      <c r="H383" s="367"/>
      <c r="I383" s="301"/>
      <c r="J383" s="377"/>
      <c r="K383" s="294"/>
      <c r="L383" s="294"/>
      <c r="M383" s="290"/>
      <c r="N383" s="285"/>
      <c r="O383" s="299"/>
      <c r="P383" s="300"/>
      <c r="Q383" s="198"/>
      <c r="R383" s="198"/>
      <c r="S383" s="198"/>
      <c r="T383" s="198"/>
      <c r="U383" s="198"/>
      <c r="V383" s="198"/>
      <c r="W383" s="198"/>
      <c r="X383" s="198"/>
      <c r="Y383" s="198"/>
      <c r="Z383" s="198"/>
      <c r="AA383" s="198"/>
    </row>
    <row r="384" ht="57.75" customHeight="1">
      <c r="A384" s="299"/>
      <c r="B384" s="285"/>
      <c r="C384" s="285"/>
      <c r="D384" s="285"/>
      <c r="E384" s="287"/>
      <c r="F384" s="285"/>
      <c r="G384" s="288"/>
      <c r="H384" s="301"/>
      <c r="I384" s="301"/>
      <c r="J384" s="377"/>
      <c r="K384" s="294"/>
      <c r="L384" s="294"/>
      <c r="M384" s="290"/>
      <c r="N384" s="285"/>
      <c r="O384" s="299"/>
      <c r="P384" s="300"/>
      <c r="Q384" s="198"/>
      <c r="R384" s="198"/>
      <c r="S384" s="198"/>
      <c r="T384" s="198"/>
      <c r="U384" s="198"/>
      <c r="V384" s="198"/>
      <c r="W384" s="198"/>
      <c r="X384" s="198"/>
      <c r="Y384" s="198"/>
      <c r="Z384" s="198"/>
      <c r="AA384" s="198"/>
    </row>
    <row r="385" ht="63.0" customHeight="1">
      <c r="A385" s="285"/>
      <c r="B385" s="299"/>
      <c r="C385" s="285"/>
      <c r="D385" s="367"/>
      <c r="E385" s="287"/>
      <c r="F385" s="285"/>
      <c r="G385" s="288"/>
      <c r="H385" s="367"/>
      <c r="I385" s="301"/>
      <c r="J385" s="377"/>
      <c r="K385" s="294"/>
      <c r="L385" s="294"/>
      <c r="M385" s="290"/>
      <c r="N385" s="285"/>
      <c r="O385" s="299"/>
      <c r="P385" s="300"/>
      <c r="Q385" s="198"/>
      <c r="R385" s="198"/>
      <c r="S385" s="198"/>
      <c r="T385" s="198"/>
      <c r="U385" s="198"/>
      <c r="V385" s="198"/>
      <c r="W385" s="198"/>
      <c r="X385" s="198"/>
      <c r="Y385" s="198"/>
      <c r="Z385" s="198"/>
      <c r="AA385" s="198"/>
    </row>
    <row r="386" ht="69.0" customHeight="1">
      <c r="A386" s="285"/>
      <c r="B386" s="299"/>
      <c r="C386" s="285"/>
      <c r="D386" s="367"/>
      <c r="E386" s="287"/>
      <c r="F386" s="285"/>
      <c r="G386" s="288"/>
      <c r="H386" s="367"/>
      <c r="I386" s="301"/>
      <c r="J386" s="377"/>
      <c r="K386" s="294"/>
      <c r="L386" s="294"/>
      <c r="M386" s="290"/>
      <c r="N386" s="285"/>
      <c r="O386" s="299"/>
      <c r="P386" s="300"/>
      <c r="Q386" s="198"/>
      <c r="R386" s="198"/>
      <c r="S386" s="198"/>
      <c r="T386" s="198"/>
      <c r="U386" s="198"/>
      <c r="V386" s="198"/>
      <c r="W386" s="198"/>
      <c r="X386" s="198"/>
      <c r="Y386" s="198"/>
      <c r="Z386" s="198"/>
      <c r="AA386" s="198"/>
    </row>
    <row r="387" ht="61.5" customHeight="1">
      <c r="A387" s="299"/>
      <c r="B387" s="285"/>
      <c r="C387" s="285"/>
      <c r="D387" s="285"/>
      <c r="E387" s="287"/>
      <c r="F387" s="285"/>
      <c r="G387" s="288"/>
      <c r="H387" s="301"/>
      <c r="I387" s="301"/>
      <c r="J387" s="377"/>
      <c r="K387" s="294"/>
      <c r="L387" s="294"/>
      <c r="M387" s="290"/>
      <c r="N387" s="285"/>
      <c r="O387" s="299"/>
      <c r="P387" s="300"/>
      <c r="Q387" s="198"/>
      <c r="R387" s="198"/>
      <c r="S387" s="198"/>
      <c r="T387" s="198"/>
      <c r="U387" s="198"/>
      <c r="V387" s="198"/>
      <c r="W387" s="198"/>
      <c r="X387" s="198"/>
      <c r="Y387" s="198"/>
      <c r="Z387" s="198"/>
      <c r="AA387" s="198"/>
    </row>
    <row r="388" ht="57.75" customHeight="1">
      <c r="A388" s="285"/>
      <c r="B388" s="299"/>
      <c r="C388" s="285"/>
      <c r="D388" s="367"/>
      <c r="E388" s="287"/>
      <c r="F388" s="285"/>
      <c r="G388" s="288"/>
      <c r="H388" s="367"/>
      <c r="I388" s="301"/>
      <c r="J388" s="377"/>
      <c r="K388" s="294"/>
      <c r="L388" s="294"/>
      <c r="M388" s="290"/>
      <c r="N388" s="285"/>
      <c r="O388" s="299"/>
      <c r="P388" s="300"/>
      <c r="Q388" s="198"/>
      <c r="R388" s="198"/>
      <c r="S388" s="198"/>
      <c r="T388" s="198"/>
      <c r="U388" s="198"/>
      <c r="V388" s="198"/>
      <c r="W388" s="198"/>
      <c r="X388" s="198"/>
      <c r="Y388" s="198"/>
      <c r="Z388" s="198"/>
      <c r="AA388" s="198"/>
    </row>
    <row r="389" ht="62.25" customHeight="1">
      <c r="A389" s="285"/>
      <c r="B389" s="299"/>
      <c r="C389" s="285"/>
      <c r="D389" s="367"/>
      <c r="E389" s="287"/>
      <c r="F389" s="285"/>
      <c r="G389" s="288"/>
      <c r="H389" s="367"/>
      <c r="I389" s="301"/>
      <c r="J389" s="377"/>
      <c r="K389" s="294"/>
      <c r="L389" s="294"/>
      <c r="M389" s="290"/>
      <c r="N389" s="285"/>
      <c r="O389" s="299"/>
      <c r="P389" s="300"/>
      <c r="Q389" s="198"/>
      <c r="R389" s="198"/>
      <c r="S389" s="198"/>
      <c r="T389" s="198"/>
      <c r="U389" s="198"/>
      <c r="V389" s="198"/>
      <c r="W389" s="198"/>
      <c r="X389" s="198"/>
      <c r="Y389" s="198"/>
      <c r="Z389" s="198"/>
      <c r="AA389" s="198"/>
    </row>
    <row r="390" ht="69.0" customHeight="1">
      <c r="A390" s="299"/>
      <c r="B390" s="285"/>
      <c r="C390" s="285"/>
      <c r="D390" s="285"/>
      <c r="E390" s="287"/>
      <c r="F390" s="285"/>
      <c r="G390" s="288"/>
      <c r="H390" s="301"/>
      <c r="I390" s="301"/>
      <c r="J390" s="377"/>
      <c r="K390" s="294"/>
      <c r="L390" s="294"/>
      <c r="M390" s="290"/>
      <c r="N390" s="285"/>
      <c r="O390" s="299"/>
      <c r="P390" s="300"/>
      <c r="Q390" s="198"/>
      <c r="R390" s="198"/>
      <c r="S390" s="198"/>
      <c r="T390" s="198"/>
      <c r="U390" s="198"/>
      <c r="V390" s="198"/>
      <c r="W390" s="198"/>
      <c r="X390" s="198"/>
      <c r="Y390" s="198"/>
      <c r="Z390" s="198"/>
      <c r="AA390" s="198"/>
    </row>
    <row r="391" ht="63.0" customHeight="1">
      <c r="A391" s="285"/>
      <c r="B391" s="299"/>
      <c r="C391" s="285"/>
      <c r="D391" s="367"/>
      <c r="E391" s="287"/>
      <c r="F391" s="285"/>
      <c r="G391" s="288"/>
      <c r="H391" s="367"/>
      <c r="I391" s="301"/>
      <c r="J391" s="377"/>
      <c r="K391" s="294"/>
      <c r="L391" s="294"/>
      <c r="M391" s="290"/>
      <c r="N391" s="285"/>
      <c r="O391" s="299"/>
      <c r="P391" s="300"/>
      <c r="Q391" s="198"/>
      <c r="R391" s="198"/>
      <c r="S391" s="198"/>
      <c r="T391" s="198"/>
      <c r="U391" s="198"/>
      <c r="V391" s="198"/>
      <c r="W391" s="198"/>
      <c r="X391" s="198"/>
      <c r="Y391" s="198"/>
      <c r="Z391" s="198"/>
      <c r="AA391" s="198"/>
    </row>
    <row r="392" ht="57.75" customHeight="1">
      <c r="A392" s="285"/>
      <c r="B392" s="299"/>
      <c r="C392" s="285"/>
      <c r="D392" s="367"/>
      <c r="E392" s="287"/>
      <c r="F392" s="285"/>
      <c r="G392" s="288"/>
      <c r="H392" s="367"/>
      <c r="I392" s="301"/>
      <c r="J392" s="377"/>
      <c r="K392" s="294"/>
      <c r="L392" s="294"/>
      <c r="M392" s="290"/>
      <c r="N392" s="285"/>
      <c r="O392" s="299"/>
      <c r="P392" s="300"/>
      <c r="Q392" s="198"/>
      <c r="R392" s="198"/>
      <c r="S392" s="198"/>
      <c r="T392" s="198"/>
      <c r="U392" s="198"/>
      <c r="V392" s="198"/>
      <c r="W392" s="198"/>
      <c r="X392" s="198"/>
      <c r="Y392" s="198"/>
      <c r="Z392" s="198"/>
      <c r="AA392" s="198"/>
    </row>
    <row r="393" ht="61.5" customHeight="1">
      <c r="A393" s="299"/>
      <c r="B393" s="285"/>
      <c r="C393" s="285"/>
      <c r="D393" s="285"/>
      <c r="E393" s="287"/>
      <c r="F393" s="285"/>
      <c r="G393" s="288"/>
      <c r="H393" s="301"/>
      <c r="I393" s="301"/>
      <c r="J393" s="377"/>
      <c r="K393" s="294"/>
      <c r="L393" s="294"/>
      <c r="M393" s="290"/>
      <c r="N393" s="285"/>
      <c r="O393" s="299"/>
      <c r="P393" s="300"/>
      <c r="Q393" s="198"/>
      <c r="R393" s="198"/>
      <c r="S393" s="198"/>
      <c r="T393" s="198"/>
      <c r="U393" s="198"/>
      <c r="V393" s="198"/>
      <c r="W393" s="198"/>
      <c r="X393" s="198"/>
      <c r="Y393" s="198"/>
      <c r="Z393" s="198"/>
      <c r="AA393" s="198"/>
    </row>
    <row r="394" ht="66.75" customHeight="1">
      <c r="A394" s="285"/>
      <c r="B394" s="299"/>
      <c r="C394" s="285"/>
      <c r="D394" s="367"/>
      <c r="E394" s="287"/>
      <c r="F394" s="285"/>
      <c r="G394" s="288"/>
      <c r="H394" s="367"/>
      <c r="I394" s="301"/>
      <c r="J394" s="377"/>
      <c r="K394" s="294"/>
      <c r="L394" s="294"/>
      <c r="M394" s="290"/>
      <c r="N394" s="285"/>
      <c r="O394" s="299"/>
      <c r="P394" s="300"/>
      <c r="Q394" s="198"/>
      <c r="R394" s="198"/>
      <c r="S394" s="198"/>
      <c r="T394" s="198"/>
      <c r="U394" s="198"/>
      <c r="V394" s="198"/>
      <c r="W394" s="198"/>
      <c r="X394" s="198"/>
      <c r="Y394" s="198"/>
      <c r="Z394" s="198"/>
      <c r="AA394" s="198"/>
    </row>
    <row r="395" ht="57.75" customHeight="1">
      <c r="A395" s="285"/>
      <c r="B395" s="299"/>
      <c r="C395" s="285"/>
      <c r="D395" s="367"/>
      <c r="E395" s="287"/>
      <c r="F395" s="285"/>
      <c r="G395" s="288"/>
      <c r="H395" s="367"/>
      <c r="I395" s="301"/>
      <c r="J395" s="377"/>
      <c r="K395" s="294"/>
      <c r="L395" s="294"/>
      <c r="M395" s="290"/>
      <c r="N395" s="285"/>
      <c r="O395" s="299"/>
      <c r="P395" s="300"/>
      <c r="Q395" s="198"/>
      <c r="R395" s="198"/>
      <c r="S395" s="198"/>
      <c r="T395" s="198"/>
      <c r="U395" s="198"/>
      <c r="V395" s="198"/>
      <c r="W395" s="198"/>
      <c r="X395" s="198"/>
      <c r="Y395" s="198"/>
      <c r="Z395" s="198"/>
      <c r="AA395" s="198"/>
    </row>
    <row r="396" ht="57.75" customHeight="1">
      <c r="A396" s="299"/>
      <c r="B396" s="285"/>
      <c r="C396" s="285"/>
      <c r="D396" s="285"/>
      <c r="E396" s="287"/>
      <c r="F396" s="285"/>
      <c r="G396" s="288"/>
      <c r="H396" s="301"/>
      <c r="I396" s="301"/>
      <c r="J396" s="377"/>
      <c r="K396" s="294"/>
      <c r="L396" s="294"/>
      <c r="M396" s="290"/>
      <c r="N396" s="285"/>
      <c r="O396" s="299"/>
      <c r="P396" s="300"/>
      <c r="Q396" s="198"/>
      <c r="R396" s="198"/>
      <c r="S396" s="198"/>
      <c r="T396" s="198"/>
      <c r="U396" s="198"/>
      <c r="V396" s="198"/>
      <c r="W396" s="198"/>
      <c r="X396" s="198"/>
      <c r="Y396" s="198"/>
      <c r="Z396" s="198"/>
      <c r="AA396" s="198"/>
    </row>
    <row r="397" ht="57.75" customHeight="1">
      <c r="A397" s="285"/>
      <c r="B397" s="299"/>
      <c r="C397" s="285"/>
      <c r="D397" s="367"/>
      <c r="E397" s="287"/>
      <c r="F397" s="285"/>
      <c r="G397" s="288"/>
      <c r="H397" s="367"/>
      <c r="I397" s="301"/>
      <c r="J397" s="377"/>
      <c r="K397" s="294"/>
      <c r="L397" s="294"/>
      <c r="M397" s="290"/>
      <c r="N397" s="285"/>
      <c r="O397" s="299"/>
      <c r="P397" s="300"/>
      <c r="Q397" s="198"/>
      <c r="R397" s="198"/>
      <c r="S397" s="198"/>
      <c r="T397" s="198"/>
      <c r="U397" s="198"/>
      <c r="V397" s="198"/>
      <c r="W397" s="198"/>
      <c r="X397" s="198"/>
      <c r="Y397" s="198"/>
      <c r="Z397" s="198"/>
      <c r="AA397" s="198"/>
    </row>
    <row r="398" ht="57.75" customHeight="1">
      <c r="A398" s="285"/>
      <c r="B398" s="299"/>
      <c r="C398" s="285"/>
      <c r="D398" s="367"/>
      <c r="E398" s="287"/>
      <c r="F398" s="285"/>
      <c r="G398" s="288"/>
      <c r="H398" s="367"/>
      <c r="I398" s="301"/>
      <c r="J398" s="377"/>
      <c r="K398" s="294"/>
      <c r="L398" s="294"/>
      <c r="M398" s="290"/>
      <c r="N398" s="285"/>
      <c r="O398" s="299"/>
      <c r="P398" s="300"/>
      <c r="Q398" s="198"/>
      <c r="R398" s="198"/>
      <c r="S398" s="198"/>
      <c r="T398" s="198"/>
      <c r="U398" s="198"/>
      <c r="V398" s="198"/>
      <c r="W398" s="198"/>
      <c r="X398" s="198"/>
      <c r="Y398" s="198"/>
      <c r="Z398" s="198"/>
      <c r="AA398" s="198"/>
    </row>
    <row r="399" ht="62.25" customHeight="1">
      <c r="A399" s="299"/>
      <c r="B399" s="285"/>
      <c r="C399" s="285"/>
      <c r="D399" s="285"/>
      <c r="E399" s="287"/>
      <c r="F399" s="285"/>
      <c r="G399" s="288"/>
      <c r="H399" s="301"/>
      <c r="I399" s="301"/>
      <c r="J399" s="377"/>
      <c r="K399" s="294"/>
      <c r="L399" s="294"/>
      <c r="M399" s="290"/>
      <c r="N399" s="285"/>
      <c r="O399" s="299"/>
      <c r="P399" s="300"/>
      <c r="Q399" s="198"/>
      <c r="R399" s="198"/>
      <c r="S399" s="198"/>
      <c r="T399" s="198"/>
      <c r="U399" s="198"/>
      <c r="V399" s="198"/>
      <c r="W399" s="198"/>
      <c r="X399" s="198"/>
      <c r="Y399" s="198"/>
      <c r="Z399" s="198"/>
      <c r="AA399" s="198"/>
    </row>
    <row r="400" ht="57.75" customHeight="1">
      <c r="A400" s="285"/>
      <c r="B400" s="299"/>
      <c r="C400" s="285"/>
      <c r="D400" s="367"/>
      <c r="E400" s="287"/>
      <c r="F400" s="285"/>
      <c r="G400" s="288"/>
      <c r="H400" s="367"/>
      <c r="I400" s="301"/>
      <c r="J400" s="377"/>
      <c r="K400" s="294"/>
      <c r="L400" s="294"/>
      <c r="M400" s="290"/>
      <c r="N400" s="285"/>
      <c r="O400" s="299"/>
      <c r="P400" s="300"/>
      <c r="Q400" s="198"/>
      <c r="R400" s="198"/>
      <c r="S400" s="198"/>
      <c r="T400" s="198"/>
      <c r="U400" s="198"/>
      <c r="V400" s="198"/>
      <c r="W400" s="198"/>
      <c r="X400" s="198"/>
      <c r="Y400" s="198"/>
      <c r="Z400" s="198"/>
      <c r="AA400" s="198"/>
    </row>
    <row r="401" ht="57.75" customHeight="1">
      <c r="A401" s="285"/>
      <c r="B401" s="299"/>
      <c r="C401" s="285"/>
      <c r="D401" s="367"/>
      <c r="E401" s="287"/>
      <c r="F401" s="285"/>
      <c r="G401" s="288"/>
      <c r="H401" s="367"/>
      <c r="I401" s="301"/>
      <c r="J401" s="377"/>
      <c r="K401" s="294"/>
      <c r="L401" s="294"/>
      <c r="M401" s="290"/>
      <c r="N401" s="285"/>
      <c r="O401" s="299"/>
      <c r="P401" s="300"/>
      <c r="Q401" s="198"/>
      <c r="R401" s="198"/>
      <c r="S401" s="198"/>
      <c r="T401" s="198"/>
      <c r="U401" s="198"/>
      <c r="V401" s="198"/>
      <c r="W401" s="198"/>
      <c r="X401" s="198"/>
      <c r="Y401" s="198"/>
      <c r="Z401" s="198"/>
      <c r="AA401" s="198"/>
    </row>
    <row r="402" ht="84.0" customHeight="1">
      <c r="A402" s="299"/>
      <c r="B402" s="285"/>
      <c r="C402" s="285"/>
      <c r="D402" s="285"/>
      <c r="E402" s="287"/>
      <c r="F402" s="285"/>
      <c r="G402" s="288"/>
      <c r="H402" s="301"/>
      <c r="I402" s="301"/>
      <c r="J402" s="377"/>
      <c r="K402" s="294"/>
      <c r="L402" s="294"/>
      <c r="M402" s="290"/>
      <c r="N402" s="285"/>
      <c r="O402" s="299"/>
      <c r="P402" s="300"/>
      <c r="Q402" s="198"/>
      <c r="R402" s="198"/>
      <c r="S402" s="198"/>
      <c r="T402" s="198"/>
      <c r="U402" s="198"/>
      <c r="V402" s="198"/>
      <c r="W402" s="198"/>
      <c r="X402" s="198"/>
      <c r="Y402" s="198"/>
      <c r="Z402" s="198"/>
      <c r="AA402" s="198"/>
    </row>
    <row r="403" ht="68.25" customHeight="1">
      <c r="A403" s="285"/>
      <c r="B403" s="299"/>
      <c r="C403" s="285"/>
      <c r="D403" s="367"/>
      <c r="E403" s="287"/>
      <c r="F403" s="285"/>
      <c r="G403" s="288"/>
      <c r="H403" s="367"/>
      <c r="I403" s="301"/>
      <c r="J403" s="377"/>
      <c r="K403" s="294"/>
      <c r="L403" s="294"/>
      <c r="M403" s="290"/>
      <c r="N403" s="285"/>
      <c r="O403" s="299"/>
      <c r="P403" s="300"/>
      <c r="Q403" s="198"/>
      <c r="R403" s="198"/>
      <c r="S403" s="198"/>
      <c r="T403" s="198"/>
      <c r="U403" s="198"/>
      <c r="V403" s="198"/>
      <c r="W403" s="198"/>
      <c r="X403" s="198"/>
      <c r="Y403" s="198"/>
      <c r="Z403" s="198"/>
      <c r="AA403" s="198"/>
    </row>
    <row r="404" ht="72.75" customHeight="1">
      <c r="A404" s="285"/>
      <c r="B404" s="299"/>
      <c r="C404" s="285"/>
      <c r="D404" s="367"/>
      <c r="E404" s="287"/>
      <c r="F404" s="285"/>
      <c r="G404" s="288"/>
      <c r="H404" s="367"/>
      <c r="I404" s="301"/>
      <c r="J404" s="377"/>
      <c r="K404" s="294"/>
      <c r="L404" s="294"/>
      <c r="M404" s="290"/>
      <c r="N404" s="285"/>
      <c r="O404" s="299"/>
      <c r="P404" s="300"/>
      <c r="Q404" s="198"/>
      <c r="R404" s="198"/>
      <c r="S404" s="198"/>
      <c r="T404" s="198"/>
      <c r="U404" s="198"/>
      <c r="V404" s="198"/>
      <c r="W404" s="198"/>
      <c r="X404" s="198"/>
      <c r="Y404" s="198"/>
      <c r="Z404" s="198"/>
      <c r="AA404" s="198"/>
    </row>
    <row r="405" ht="64.5" customHeight="1">
      <c r="A405" s="299"/>
      <c r="B405" s="285"/>
      <c r="C405" s="285"/>
      <c r="D405" s="285"/>
      <c r="E405" s="287"/>
      <c r="F405" s="285"/>
      <c r="G405" s="288"/>
      <c r="H405" s="301"/>
      <c r="I405" s="301"/>
      <c r="J405" s="377"/>
      <c r="K405" s="294"/>
      <c r="L405" s="294"/>
      <c r="M405" s="290"/>
      <c r="N405" s="285"/>
      <c r="O405" s="299"/>
      <c r="P405" s="300"/>
      <c r="Q405" s="198"/>
      <c r="R405" s="198"/>
      <c r="S405" s="198"/>
      <c r="T405" s="198"/>
      <c r="U405" s="198"/>
      <c r="V405" s="198"/>
      <c r="W405" s="198"/>
      <c r="X405" s="198"/>
      <c r="Y405" s="198"/>
      <c r="Z405" s="198"/>
      <c r="AA405" s="198"/>
    </row>
    <row r="406" ht="69.0" customHeight="1">
      <c r="A406" s="285"/>
      <c r="B406" s="299"/>
      <c r="C406" s="285"/>
      <c r="D406" s="367"/>
      <c r="E406" s="287"/>
      <c r="F406" s="285"/>
      <c r="G406" s="288"/>
      <c r="H406" s="367"/>
      <c r="I406" s="301"/>
      <c r="J406" s="377"/>
      <c r="K406" s="294"/>
      <c r="L406" s="294"/>
      <c r="M406" s="290"/>
      <c r="N406" s="285"/>
      <c r="O406" s="299"/>
      <c r="P406" s="300"/>
      <c r="Q406" s="198"/>
      <c r="R406" s="198"/>
      <c r="S406" s="198"/>
      <c r="T406" s="198"/>
      <c r="U406" s="198"/>
      <c r="V406" s="198"/>
      <c r="W406" s="198"/>
      <c r="X406" s="198"/>
      <c r="Y406" s="198"/>
      <c r="Z406" s="198"/>
      <c r="AA406" s="198"/>
    </row>
    <row r="407" ht="71.25" customHeight="1">
      <c r="A407" s="285"/>
      <c r="B407" s="299"/>
      <c r="C407" s="285"/>
      <c r="D407" s="367"/>
      <c r="E407" s="287"/>
      <c r="F407" s="285"/>
      <c r="G407" s="288"/>
      <c r="H407" s="367"/>
      <c r="I407" s="301"/>
      <c r="J407" s="377"/>
      <c r="K407" s="294"/>
      <c r="L407" s="294"/>
      <c r="M407" s="290"/>
      <c r="N407" s="285"/>
      <c r="O407" s="299"/>
      <c r="P407" s="300"/>
      <c r="Q407" s="198"/>
      <c r="R407" s="198"/>
      <c r="S407" s="198"/>
      <c r="T407" s="198"/>
      <c r="U407" s="198"/>
      <c r="V407" s="198"/>
      <c r="W407" s="198"/>
      <c r="X407" s="198"/>
      <c r="Y407" s="198"/>
      <c r="Z407" s="198"/>
      <c r="AA407" s="198"/>
    </row>
    <row r="408" ht="66.75" customHeight="1">
      <c r="A408" s="299"/>
      <c r="B408" s="285"/>
      <c r="C408" s="285"/>
      <c r="D408" s="285"/>
      <c r="E408" s="287"/>
      <c r="F408" s="285"/>
      <c r="G408" s="288"/>
      <c r="H408" s="301"/>
      <c r="I408" s="301"/>
      <c r="J408" s="377"/>
      <c r="K408" s="294"/>
      <c r="L408" s="294"/>
      <c r="M408" s="290"/>
      <c r="N408" s="285"/>
      <c r="O408" s="299"/>
      <c r="P408" s="300"/>
      <c r="Q408" s="198"/>
      <c r="R408" s="198"/>
      <c r="S408" s="198"/>
      <c r="T408" s="198"/>
      <c r="U408" s="198"/>
      <c r="V408" s="198"/>
      <c r="W408" s="198"/>
      <c r="X408" s="198"/>
      <c r="Y408" s="198"/>
      <c r="Z408" s="198"/>
      <c r="AA408" s="198"/>
    </row>
    <row r="409" ht="65.25" customHeight="1">
      <c r="A409" s="285"/>
      <c r="B409" s="299"/>
      <c r="C409" s="285"/>
      <c r="D409" s="367"/>
      <c r="E409" s="287"/>
      <c r="F409" s="285"/>
      <c r="G409" s="288"/>
      <c r="H409" s="367"/>
      <c r="I409" s="301"/>
      <c r="J409" s="377"/>
      <c r="K409" s="294"/>
      <c r="L409" s="294"/>
      <c r="M409" s="290"/>
      <c r="N409" s="285"/>
      <c r="O409" s="299"/>
      <c r="P409" s="300"/>
      <c r="Q409" s="198"/>
      <c r="R409" s="198"/>
      <c r="S409" s="198"/>
      <c r="T409" s="198"/>
      <c r="U409" s="198"/>
      <c r="V409" s="198"/>
      <c r="W409" s="198"/>
      <c r="X409" s="198"/>
      <c r="Y409" s="198"/>
      <c r="Z409" s="198"/>
      <c r="AA409" s="198"/>
    </row>
    <row r="410" ht="69.75" customHeight="1">
      <c r="A410" s="285"/>
      <c r="B410" s="299"/>
      <c r="C410" s="285"/>
      <c r="D410" s="367"/>
      <c r="E410" s="287"/>
      <c r="F410" s="285"/>
      <c r="G410" s="288"/>
      <c r="H410" s="367"/>
      <c r="I410" s="301"/>
      <c r="J410" s="377"/>
      <c r="K410" s="294"/>
      <c r="L410" s="294"/>
      <c r="M410" s="290"/>
      <c r="N410" s="285"/>
      <c r="O410" s="299"/>
      <c r="P410" s="300"/>
      <c r="Q410" s="198"/>
      <c r="R410" s="198"/>
      <c r="S410" s="198"/>
      <c r="T410" s="198"/>
      <c r="U410" s="198"/>
      <c r="V410" s="198"/>
      <c r="W410" s="198"/>
      <c r="X410" s="198"/>
      <c r="Y410" s="198"/>
      <c r="Z410" s="198"/>
      <c r="AA410" s="198"/>
    </row>
    <row r="411" ht="70.5" customHeight="1">
      <c r="A411" s="299"/>
      <c r="B411" s="285"/>
      <c r="C411" s="285"/>
      <c r="D411" s="285"/>
      <c r="E411" s="287"/>
      <c r="F411" s="285"/>
      <c r="G411" s="288"/>
      <c r="H411" s="301"/>
      <c r="I411" s="301"/>
      <c r="J411" s="377"/>
      <c r="K411" s="294"/>
      <c r="L411" s="294"/>
      <c r="M411" s="290"/>
      <c r="N411" s="285"/>
      <c r="O411" s="299"/>
      <c r="P411" s="300"/>
      <c r="Q411" s="198"/>
      <c r="R411" s="198"/>
      <c r="S411" s="198"/>
      <c r="T411" s="198"/>
      <c r="U411" s="198"/>
      <c r="V411" s="198"/>
      <c r="W411" s="198"/>
      <c r="X411" s="198"/>
      <c r="Y411" s="198"/>
      <c r="Z411" s="198"/>
      <c r="AA411" s="198"/>
    </row>
    <row r="412" ht="69.75" customHeight="1">
      <c r="A412" s="285"/>
      <c r="B412" s="299"/>
      <c r="C412" s="285"/>
      <c r="D412" s="367"/>
      <c r="E412" s="287"/>
      <c r="F412" s="285"/>
      <c r="G412" s="288"/>
      <c r="H412" s="367"/>
      <c r="I412" s="301"/>
      <c r="J412" s="377"/>
      <c r="K412" s="294"/>
      <c r="L412" s="294"/>
      <c r="M412" s="290"/>
      <c r="N412" s="285"/>
      <c r="O412" s="299"/>
      <c r="P412" s="300"/>
      <c r="Q412" s="198"/>
      <c r="R412" s="198"/>
      <c r="S412" s="198"/>
      <c r="T412" s="198"/>
      <c r="U412" s="198"/>
      <c r="V412" s="198"/>
      <c r="W412" s="198"/>
      <c r="X412" s="198"/>
      <c r="Y412" s="198"/>
      <c r="Z412" s="198"/>
      <c r="AA412" s="198"/>
    </row>
    <row r="413" ht="68.25" customHeight="1">
      <c r="A413" s="285"/>
      <c r="B413" s="299"/>
      <c r="C413" s="285"/>
      <c r="D413" s="367"/>
      <c r="E413" s="287"/>
      <c r="F413" s="285"/>
      <c r="G413" s="288"/>
      <c r="H413" s="367"/>
      <c r="I413" s="301"/>
      <c r="J413" s="377"/>
      <c r="K413" s="294"/>
      <c r="L413" s="294"/>
      <c r="M413" s="290"/>
      <c r="N413" s="285"/>
      <c r="O413" s="299"/>
      <c r="P413" s="300"/>
      <c r="Q413" s="198"/>
      <c r="R413" s="198"/>
      <c r="S413" s="198"/>
      <c r="T413" s="198"/>
      <c r="U413" s="198"/>
      <c r="V413" s="198"/>
      <c r="W413" s="198"/>
      <c r="X413" s="198"/>
      <c r="Y413" s="198"/>
      <c r="Z413" s="198"/>
      <c r="AA413" s="198"/>
    </row>
    <row r="414" ht="57.75" customHeight="1">
      <c r="A414" s="299"/>
      <c r="B414" s="285"/>
      <c r="C414" s="285"/>
      <c r="D414" s="285"/>
      <c r="E414" s="287"/>
      <c r="F414" s="285"/>
      <c r="G414" s="288"/>
      <c r="H414" s="301"/>
      <c r="I414" s="301"/>
      <c r="J414" s="377"/>
      <c r="K414" s="294"/>
      <c r="L414" s="294"/>
      <c r="M414" s="290"/>
      <c r="N414" s="285"/>
      <c r="O414" s="299"/>
      <c r="P414" s="300"/>
      <c r="Q414" s="198"/>
      <c r="R414" s="198"/>
      <c r="S414" s="198"/>
      <c r="T414" s="198"/>
      <c r="U414" s="198"/>
      <c r="V414" s="198"/>
      <c r="W414" s="198"/>
      <c r="X414" s="198"/>
      <c r="Y414" s="198"/>
      <c r="Z414" s="198"/>
      <c r="AA414" s="198"/>
    </row>
    <row r="415" ht="67.5" customHeight="1">
      <c r="A415" s="285"/>
      <c r="B415" s="299"/>
      <c r="C415" s="285"/>
      <c r="D415" s="367"/>
      <c r="E415" s="287"/>
      <c r="F415" s="285"/>
      <c r="G415" s="288"/>
      <c r="H415" s="367"/>
      <c r="I415" s="301"/>
      <c r="J415" s="377"/>
      <c r="K415" s="294"/>
      <c r="L415" s="294"/>
      <c r="M415" s="290"/>
      <c r="N415" s="285"/>
      <c r="O415" s="299"/>
      <c r="P415" s="300"/>
      <c r="Q415" s="198"/>
      <c r="R415" s="198"/>
      <c r="S415" s="198"/>
      <c r="T415" s="198"/>
      <c r="U415" s="198"/>
      <c r="V415" s="198"/>
      <c r="W415" s="198"/>
      <c r="X415" s="198"/>
      <c r="Y415" s="198"/>
      <c r="Z415" s="198"/>
      <c r="AA415" s="198"/>
    </row>
    <row r="416" ht="68.25" customHeight="1">
      <c r="A416" s="285"/>
      <c r="B416" s="299"/>
      <c r="C416" s="285"/>
      <c r="D416" s="367"/>
      <c r="E416" s="287"/>
      <c r="F416" s="285"/>
      <c r="G416" s="288"/>
      <c r="H416" s="367"/>
      <c r="I416" s="301"/>
      <c r="J416" s="377"/>
      <c r="K416" s="294"/>
      <c r="L416" s="294"/>
      <c r="M416" s="290"/>
      <c r="N416" s="285"/>
      <c r="O416" s="299"/>
      <c r="P416" s="300"/>
      <c r="Q416" s="198"/>
      <c r="R416" s="198"/>
      <c r="S416" s="198"/>
      <c r="T416" s="198"/>
      <c r="U416" s="198"/>
      <c r="V416" s="198"/>
      <c r="W416" s="198"/>
      <c r="X416" s="198"/>
      <c r="Y416" s="198"/>
      <c r="Z416" s="198"/>
      <c r="AA416" s="198"/>
    </row>
    <row r="417" ht="72.0" customHeight="1">
      <c r="A417" s="299"/>
      <c r="B417" s="285"/>
      <c r="C417" s="285"/>
      <c r="D417" s="285"/>
      <c r="E417" s="287"/>
      <c r="F417" s="285"/>
      <c r="G417" s="288"/>
      <c r="H417" s="301"/>
      <c r="I417" s="301"/>
      <c r="J417" s="377"/>
      <c r="K417" s="294"/>
      <c r="L417" s="294"/>
      <c r="M417" s="290"/>
      <c r="N417" s="285"/>
      <c r="O417" s="299"/>
      <c r="P417" s="300"/>
      <c r="Q417" s="198"/>
      <c r="R417" s="198"/>
      <c r="S417" s="198"/>
      <c r="T417" s="198"/>
      <c r="U417" s="198"/>
      <c r="V417" s="198"/>
      <c r="W417" s="198"/>
      <c r="X417" s="198"/>
      <c r="Y417" s="198"/>
      <c r="Z417" s="198"/>
      <c r="AA417" s="198"/>
    </row>
    <row r="418" ht="63.75" customHeight="1">
      <c r="A418" s="285"/>
      <c r="B418" s="299"/>
      <c r="C418" s="285"/>
      <c r="D418" s="367"/>
      <c r="E418" s="287"/>
      <c r="F418" s="285"/>
      <c r="G418" s="288"/>
      <c r="H418" s="367"/>
      <c r="I418" s="301"/>
      <c r="J418" s="377"/>
      <c r="K418" s="294"/>
      <c r="L418" s="294"/>
      <c r="M418" s="290"/>
      <c r="N418" s="285"/>
      <c r="O418" s="299"/>
      <c r="P418" s="300"/>
      <c r="Q418" s="198"/>
      <c r="R418" s="198"/>
      <c r="S418" s="198"/>
      <c r="T418" s="198"/>
      <c r="U418" s="198"/>
      <c r="V418" s="198"/>
      <c r="W418" s="198"/>
      <c r="X418" s="198"/>
      <c r="Y418" s="198"/>
      <c r="Z418" s="198"/>
      <c r="AA418" s="198"/>
    </row>
    <row r="419" ht="63.75" customHeight="1">
      <c r="A419" s="285"/>
      <c r="B419" s="299"/>
      <c r="C419" s="285"/>
      <c r="D419" s="367"/>
      <c r="E419" s="287"/>
      <c r="F419" s="285"/>
      <c r="G419" s="288"/>
      <c r="H419" s="367"/>
      <c r="I419" s="301"/>
      <c r="J419" s="377"/>
      <c r="K419" s="294"/>
      <c r="L419" s="294"/>
      <c r="M419" s="290"/>
      <c r="N419" s="285"/>
      <c r="O419" s="299"/>
      <c r="P419" s="300"/>
      <c r="Q419" s="198"/>
      <c r="R419" s="198"/>
      <c r="S419" s="198"/>
      <c r="T419" s="198"/>
      <c r="U419" s="198"/>
      <c r="V419" s="198"/>
      <c r="W419" s="198"/>
      <c r="X419" s="198"/>
      <c r="Y419" s="198"/>
      <c r="Z419" s="198"/>
      <c r="AA419" s="198"/>
    </row>
    <row r="420" ht="63.75" customHeight="1">
      <c r="A420" s="299"/>
      <c r="B420" s="285"/>
      <c r="C420" s="285"/>
      <c r="D420" s="285"/>
      <c r="E420" s="287"/>
      <c r="F420" s="285"/>
      <c r="G420" s="288"/>
      <c r="H420" s="301"/>
      <c r="I420" s="301"/>
      <c r="J420" s="377"/>
      <c r="K420" s="294"/>
      <c r="L420" s="294"/>
      <c r="M420" s="290"/>
      <c r="N420" s="285"/>
      <c r="O420" s="299"/>
      <c r="P420" s="300"/>
      <c r="Q420" s="198"/>
      <c r="R420" s="198"/>
      <c r="S420" s="198"/>
      <c r="T420" s="198"/>
      <c r="U420" s="198"/>
      <c r="V420" s="198"/>
      <c r="W420" s="198"/>
      <c r="X420" s="198"/>
      <c r="Y420" s="198"/>
      <c r="Z420" s="198"/>
      <c r="AA420" s="198"/>
    </row>
    <row r="421" ht="63.75" customHeight="1">
      <c r="A421" s="285"/>
      <c r="B421" s="299"/>
      <c r="C421" s="285"/>
      <c r="D421" s="367"/>
      <c r="E421" s="287"/>
      <c r="F421" s="285"/>
      <c r="G421" s="288"/>
      <c r="H421" s="367"/>
      <c r="I421" s="301"/>
      <c r="J421" s="377"/>
      <c r="K421" s="294"/>
      <c r="L421" s="294"/>
      <c r="M421" s="290"/>
      <c r="N421" s="285"/>
      <c r="O421" s="299"/>
      <c r="P421" s="300"/>
      <c r="Q421" s="198"/>
      <c r="R421" s="198"/>
      <c r="S421" s="198"/>
      <c r="T421" s="198"/>
      <c r="U421" s="198"/>
      <c r="V421" s="198"/>
      <c r="W421" s="198"/>
      <c r="X421" s="198"/>
      <c r="Y421" s="198"/>
      <c r="Z421" s="198"/>
      <c r="AA421" s="198"/>
    </row>
    <row r="422" ht="63.75" customHeight="1">
      <c r="A422" s="285"/>
      <c r="B422" s="299"/>
      <c r="C422" s="285"/>
      <c r="D422" s="367"/>
      <c r="E422" s="287"/>
      <c r="F422" s="285"/>
      <c r="G422" s="288"/>
      <c r="H422" s="367"/>
      <c r="I422" s="301"/>
      <c r="J422" s="377"/>
      <c r="K422" s="294"/>
      <c r="L422" s="294"/>
      <c r="M422" s="290"/>
      <c r="N422" s="285"/>
      <c r="O422" s="299"/>
      <c r="P422" s="300"/>
      <c r="Q422" s="198"/>
      <c r="R422" s="198"/>
      <c r="S422" s="198"/>
      <c r="T422" s="198"/>
      <c r="U422" s="198"/>
      <c r="V422" s="198"/>
      <c r="W422" s="198"/>
      <c r="X422" s="198"/>
      <c r="Y422" s="198"/>
      <c r="Z422" s="198"/>
      <c r="AA422" s="198"/>
    </row>
    <row r="423" ht="69.75" customHeight="1">
      <c r="A423" s="299"/>
      <c r="B423" s="285"/>
      <c r="C423" s="285"/>
      <c r="D423" s="285"/>
      <c r="E423" s="287"/>
      <c r="F423" s="285"/>
      <c r="G423" s="288"/>
      <c r="H423" s="301"/>
      <c r="I423" s="301"/>
      <c r="J423" s="377"/>
      <c r="K423" s="294"/>
      <c r="L423" s="294"/>
      <c r="M423" s="290"/>
      <c r="N423" s="285"/>
      <c r="O423" s="299"/>
      <c r="P423" s="300"/>
      <c r="Q423" s="198"/>
      <c r="R423" s="198"/>
      <c r="S423" s="198"/>
      <c r="T423" s="198"/>
      <c r="U423" s="198"/>
      <c r="V423" s="198"/>
      <c r="W423" s="198"/>
      <c r="X423" s="198"/>
      <c r="Y423" s="198"/>
      <c r="Z423" s="198"/>
      <c r="AA423" s="198"/>
    </row>
    <row r="424" ht="72.0" customHeight="1">
      <c r="A424" s="285"/>
      <c r="B424" s="299"/>
      <c r="C424" s="285"/>
      <c r="D424" s="367"/>
      <c r="E424" s="287"/>
      <c r="F424" s="285"/>
      <c r="G424" s="288"/>
      <c r="H424" s="367"/>
      <c r="I424" s="301"/>
      <c r="J424" s="377"/>
      <c r="K424" s="294"/>
      <c r="L424" s="294"/>
      <c r="M424" s="290"/>
      <c r="N424" s="285"/>
      <c r="O424" s="299"/>
      <c r="P424" s="300"/>
      <c r="Q424" s="198"/>
      <c r="R424" s="198"/>
      <c r="S424" s="198"/>
      <c r="T424" s="198"/>
      <c r="U424" s="198"/>
      <c r="V424" s="198"/>
      <c r="W424" s="198"/>
      <c r="X424" s="198"/>
      <c r="Y424" s="198"/>
      <c r="Z424" s="198"/>
      <c r="AA424" s="198"/>
    </row>
    <row r="425" ht="76.5" customHeight="1">
      <c r="A425" s="285"/>
      <c r="B425" s="299"/>
      <c r="C425" s="285"/>
      <c r="D425" s="367"/>
      <c r="E425" s="287"/>
      <c r="F425" s="285"/>
      <c r="G425" s="288"/>
      <c r="H425" s="367"/>
      <c r="I425" s="301"/>
      <c r="J425" s="377"/>
      <c r="K425" s="294"/>
      <c r="L425" s="294"/>
      <c r="M425" s="290"/>
      <c r="N425" s="285"/>
      <c r="O425" s="299"/>
      <c r="P425" s="300"/>
      <c r="Q425" s="198"/>
      <c r="R425" s="198"/>
      <c r="S425" s="198"/>
      <c r="T425" s="198"/>
      <c r="U425" s="198"/>
      <c r="V425" s="198"/>
      <c r="W425" s="198"/>
      <c r="X425" s="198"/>
      <c r="Y425" s="198"/>
      <c r="Z425" s="198"/>
      <c r="AA425" s="198"/>
    </row>
    <row r="426" ht="72.75" customHeight="1">
      <c r="A426" s="299"/>
      <c r="B426" s="285"/>
      <c r="C426" s="285"/>
      <c r="D426" s="285"/>
      <c r="E426" s="287"/>
      <c r="F426" s="285"/>
      <c r="G426" s="288"/>
      <c r="H426" s="301"/>
      <c r="I426" s="301"/>
      <c r="J426" s="377"/>
      <c r="K426" s="294"/>
      <c r="L426" s="294"/>
      <c r="M426" s="290"/>
      <c r="N426" s="285"/>
      <c r="O426" s="299"/>
      <c r="P426" s="300"/>
      <c r="Q426" s="198"/>
      <c r="R426" s="198"/>
      <c r="S426" s="198"/>
      <c r="T426" s="198"/>
      <c r="U426" s="198"/>
      <c r="V426" s="198"/>
      <c r="W426" s="198"/>
      <c r="X426" s="198"/>
      <c r="Y426" s="198"/>
      <c r="Z426" s="198"/>
      <c r="AA426" s="198"/>
    </row>
    <row r="427" ht="71.25" customHeight="1">
      <c r="A427" s="285"/>
      <c r="B427" s="299"/>
      <c r="C427" s="285"/>
      <c r="D427" s="367"/>
      <c r="E427" s="287"/>
      <c r="F427" s="285"/>
      <c r="G427" s="288"/>
      <c r="H427" s="367"/>
      <c r="I427" s="301"/>
      <c r="J427" s="377"/>
      <c r="K427" s="294"/>
      <c r="L427" s="294"/>
      <c r="M427" s="290"/>
      <c r="N427" s="285"/>
      <c r="O427" s="299"/>
      <c r="P427" s="300"/>
      <c r="Q427" s="198"/>
      <c r="R427" s="198"/>
      <c r="S427" s="198"/>
      <c r="T427" s="198"/>
      <c r="U427" s="198"/>
      <c r="V427" s="198"/>
      <c r="W427" s="198"/>
      <c r="X427" s="198"/>
      <c r="Y427" s="198"/>
      <c r="Z427" s="198"/>
      <c r="AA427" s="198"/>
    </row>
    <row r="428" ht="76.5" customHeight="1">
      <c r="A428" s="285"/>
      <c r="B428" s="299"/>
      <c r="C428" s="285"/>
      <c r="D428" s="367"/>
      <c r="E428" s="287"/>
      <c r="F428" s="285"/>
      <c r="G428" s="288"/>
      <c r="H428" s="367"/>
      <c r="I428" s="301"/>
      <c r="J428" s="377"/>
      <c r="K428" s="294"/>
      <c r="L428" s="294"/>
      <c r="M428" s="290"/>
      <c r="N428" s="285"/>
      <c r="O428" s="299"/>
      <c r="P428" s="300"/>
      <c r="Q428" s="198"/>
      <c r="R428" s="198"/>
      <c r="S428" s="198"/>
      <c r="T428" s="198"/>
      <c r="U428" s="198"/>
      <c r="V428" s="198"/>
      <c r="W428" s="198"/>
      <c r="X428" s="198"/>
      <c r="Y428" s="198"/>
      <c r="Z428" s="198"/>
      <c r="AA428" s="198"/>
    </row>
    <row r="429" ht="72.75" customHeight="1">
      <c r="A429" s="299"/>
      <c r="B429" s="285"/>
      <c r="C429" s="285"/>
      <c r="D429" s="285"/>
      <c r="E429" s="287"/>
      <c r="F429" s="285"/>
      <c r="G429" s="288"/>
      <c r="H429" s="301"/>
      <c r="I429" s="301"/>
      <c r="J429" s="377"/>
      <c r="K429" s="294"/>
      <c r="L429" s="294"/>
      <c r="M429" s="290"/>
      <c r="N429" s="285"/>
      <c r="O429" s="299"/>
      <c r="P429" s="300"/>
      <c r="Q429" s="198"/>
      <c r="R429" s="198"/>
      <c r="S429" s="198"/>
      <c r="T429" s="198"/>
      <c r="U429" s="198"/>
      <c r="V429" s="198"/>
      <c r="W429" s="198"/>
      <c r="X429" s="198"/>
      <c r="Y429" s="198"/>
      <c r="Z429" s="198"/>
      <c r="AA429" s="198"/>
    </row>
    <row r="430" ht="66.0" customHeight="1">
      <c r="A430" s="285"/>
      <c r="B430" s="299"/>
      <c r="C430" s="285"/>
      <c r="D430" s="367"/>
      <c r="E430" s="287"/>
      <c r="F430" s="285"/>
      <c r="G430" s="288"/>
      <c r="H430" s="367"/>
      <c r="I430" s="301"/>
      <c r="J430" s="377"/>
      <c r="K430" s="294"/>
      <c r="L430" s="294"/>
      <c r="M430" s="290"/>
      <c r="N430" s="285"/>
      <c r="O430" s="299"/>
      <c r="P430" s="300"/>
      <c r="Q430" s="198"/>
      <c r="R430" s="198"/>
      <c r="S430" s="198"/>
      <c r="T430" s="198"/>
      <c r="U430" s="198"/>
      <c r="V430" s="198"/>
      <c r="W430" s="198"/>
      <c r="X430" s="198"/>
      <c r="Y430" s="198"/>
      <c r="Z430" s="198"/>
      <c r="AA430" s="198"/>
    </row>
    <row r="431" ht="70.5" customHeight="1">
      <c r="A431" s="285"/>
      <c r="B431" s="299"/>
      <c r="C431" s="285"/>
      <c r="D431" s="367"/>
      <c r="E431" s="287"/>
      <c r="F431" s="285"/>
      <c r="G431" s="288"/>
      <c r="H431" s="367"/>
      <c r="I431" s="301"/>
      <c r="J431" s="377"/>
      <c r="K431" s="294"/>
      <c r="L431" s="294"/>
      <c r="M431" s="290"/>
      <c r="N431" s="285"/>
      <c r="O431" s="299"/>
      <c r="P431" s="300"/>
      <c r="Q431" s="198"/>
      <c r="R431" s="198"/>
      <c r="S431" s="198"/>
      <c r="T431" s="198"/>
      <c r="U431" s="198"/>
      <c r="V431" s="198"/>
      <c r="W431" s="198"/>
      <c r="X431" s="198"/>
      <c r="Y431" s="198"/>
      <c r="Z431" s="198"/>
      <c r="AA431" s="198"/>
    </row>
    <row r="432" ht="70.5" customHeight="1">
      <c r="A432" s="299"/>
      <c r="B432" s="285"/>
      <c r="C432" s="285"/>
      <c r="D432" s="285"/>
      <c r="E432" s="287"/>
      <c r="F432" s="285"/>
      <c r="G432" s="288"/>
      <c r="H432" s="301"/>
      <c r="I432" s="301"/>
      <c r="J432" s="377"/>
      <c r="K432" s="294"/>
      <c r="L432" s="294"/>
      <c r="M432" s="290"/>
      <c r="N432" s="285"/>
      <c r="O432" s="299"/>
      <c r="P432" s="300"/>
      <c r="Q432" s="198"/>
      <c r="R432" s="198"/>
      <c r="S432" s="198"/>
      <c r="T432" s="198"/>
      <c r="U432" s="198"/>
      <c r="V432" s="198"/>
      <c r="W432" s="198"/>
      <c r="X432" s="198"/>
      <c r="Y432" s="198"/>
      <c r="Z432" s="198"/>
      <c r="AA432" s="198"/>
    </row>
    <row r="433" ht="72.75" customHeight="1">
      <c r="A433" s="285"/>
      <c r="B433" s="299"/>
      <c r="C433" s="285"/>
      <c r="D433" s="367"/>
      <c r="E433" s="287"/>
      <c r="F433" s="285"/>
      <c r="G433" s="288"/>
      <c r="H433" s="367"/>
      <c r="I433" s="301"/>
      <c r="J433" s="377"/>
      <c r="K433" s="294"/>
      <c r="L433" s="294"/>
      <c r="M433" s="290"/>
      <c r="N433" s="285"/>
      <c r="O433" s="299"/>
      <c r="P433" s="300"/>
      <c r="Q433" s="198"/>
      <c r="R433" s="198"/>
      <c r="S433" s="198"/>
      <c r="T433" s="198"/>
      <c r="U433" s="198"/>
      <c r="V433" s="198"/>
      <c r="W433" s="198"/>
      <c r="X433" s="198"/>
      <c r="Y433" s="198"/>
      <c r="Z433" s="198"/>
      <c r="AA433" s="198"/>
    </row>
    <row r="434" ht="69.75" customHeight="1">
      <c r="A434" s="285"/>
      <c r="B434" s="299"/>
      <c r="C434" s="285"/>
      <c r="D434" s="367"/>
      <c r="E434" s="287"/>
      <c r="F434" s="285"/>
      <c r="G434" s="288"/>
      <c r="H434" s="367"/>
      <c r="I434" s="301"/>
      <c r="J434" s="377"/>
      <c r="K434" s="294"/>
      <c r="L434" s="294"/>
      <c r="M434" s="290"/>
      <c r="N434" s="285"/>
      <c r="O434" s="299"/>
      <c r="P434" s="300"/>
      <c r="Q434" s="198"/>
      <c r="R434" s="198"/>
      <c r="S434" s="198"/>
      <c r="T434" s="198"/>
      <c r="U434" s="198"/>
      <c r="V434" s="198"/>
      <c r="W434" s="198"/>
      <c r="X434" s="198"/>
      <c r="Y434" s="198"/>
      <c r="Z434" s="198"/>
      <c r="AA434" s="198"/>
    </row>
    <row r="435" ht="63.75" customHeight="1">
      <c r="A435" s="299"/>
      <c r="B435" s="285"/>
      <c r="C435" s="285"/>
      <c r="D435" s="285"/>
      <c r="E435" s="287"/>
      <c r="F435" s="285"/>
      <c r="G435" s="288"/>
      <c r="H435" s="301"/>
      <c r="I435" s="301"/>
      <c r="J435" s="377"/>
      <c r="K435" s="294"/>
      <c r="L435" s="294"/>
      <c r="M435" s="290"/>
      <c r="N435" s="285"/>
      <c r="O435" s="299"/>
      <c r="P435" s="300"/>
      <c r="Q435" s="198"/>
      <c r="R435" s="198"/>
      <c r="S435" s="198"/>
      <c r="T435" s="198"/>
      <c r="U435" s="198"/>
      <c r="V435" s="198"/>
      <c r="W435" s="198"/>
      <c r="X435" s="198"/>
      <c r="Y435" s="198"/>
      <c r="Z435" s="198"/>
      <c r="AA435" s="198"/>
    </row>
    <row r="436" ht="63.75" customHeight="1">
      <c r="A436" s="285"/>
      <c r="B436" s="299"/>
      <c r="C436" s="285"/>
      <c r="D436" s="367"/>
      <c r="E436" s="287"/>
      <c r="F436" s="285"/>
      <c r="G436" s="288"/>
      <c r="H436" s="367"/>
      <c r="I436" s="301"/>
      <c r="J436" s="377"/>
      <c r="K436" s="294"/>
      <c r="L436" s="294"/>
      <c r="M436" s="290"/>
      <c r="N436" s="285"/>
      <c r="O436" s="299"/>
      <c r="P436" s="300"/>
      <c r="Q436" s="198"/>
      <c r="R436" s="198"/>
      <c r="S436" s="198"/>
      <c r="T436" s="198"/>
      <c r="U436" s="198"/>
      <c r="V436" s="198"/>
      <c r="W436" s="198"/>
      <c r="X436" s="198"/>
      <c r="Y436" s="198"/>
      <c r="Z436" s="198"/>
      <c r="AA436" s="198"/>
    </row>
    <row r="437" ht="69.75" customHeight="1">
      <c r="A437" s="285"/>
      <c r="B437" s="299"/>
      <c r="C437" s="285"/>
      <c r="D437" s="367"/>
      <c r="E437" s="287"/>
      <c r="F437" s="285"/>
      <c r="G437" s="288"/>
      <c r="H437" s="367"/>
      <c r="I437" s="301"/>
      <c r="J437" s="377"/>
      <c r="K437" s="294"/>
      <c r="L437" s="294"/>
      <c r="M437" s="290"/>
      <c r="N437" s="285"/>
      <c r="O437" s="299"/>
      <c r="P437" s="300"/>
      <c r="Q437" s="198"/>
      <c r="R437" s="198"/>
      <c r="S437" s="198"/>
      <c r="T437" s="198"/>
      <c r="U437" s="198"/>
      <c r="V437" s="198"/>
      <c r="W437" s="198"/>
      <c r="X437" s="198"/>
      <c r="Y437" s="198"/>
      <c r="Z437" s="198"/>
      <c r="AA437" s="198"/>
    </row>
    <row r="438" ht="66.75" customHeight="1">
      <c r="A438" s="299"/>
      <c r="B438" s="285"/>
      <c r="C438" s="285"/>
      <c r="D438" s="285"/>
      <c r="E438" s="287"/>
      <c r="F438" s="285"/>
      <c r="G438" s="288"/>
      <c r="H438" s="301"/>
      <c r="I438" s="301"/>
      <c r="J438" s="377"/>
      <c r="K438" s="294"/>
      <c r="L438" s="294"/>
      <c r="M438" s="290"/>
      <c r="N438" s="285"/>
      <c r="O438" s="299"/>
      <c r="P438" s="300"/>
      <c r="Q438" s="198"/>
      <c r="R438" s="198"/>
      <c r="S438" s="198"/>
      <c r="T438" s="198"/>
      <c r="U438" s="198"/>
      <c r="V438" s="198"/>
      <c r="W438" s="198"/>
      <c r="X438" s="198"/>
      <c r="Y438" s="198"/>
      <c r="Z438" s="198"/>
      <c r="AA438" s="198"/>
    </row>
    <row r="439" ht="68.25" customHeight="1">
      <c r="A439" s="285"/>
      <c r="B439" s="299"/>
      <c r="C439" s="285"/>
      <c r="D439" s="367"/>
      <c r="E439" s="287"/>
      <c r="F439" s="285"/>
      <c r="G439" s="288"/>
      <c r="H439" s="367"/>
      <c r="I439" s="301"/>
      <c r="J439" s="377"/>
      <c r="K439" s="294"/>
      <c r="L439" s="294"/>
      <c r="M439" s="290"/>
      <c r="N439" s="285"/>
      <c r="O439" s="299"/>
      <c r="P439" s="300"/>
      <c r="Q439" s="198"/>
      <c r="R439" s="198"/>
      <c r="S439" s="198"/>
      <c r="T439" s="198"/>
      <c r="U439" s="198"/>
      <c r="V439" s="198"/>
      <c r="W439" s="198"/>
      <c r="X439" s="198"/>
      <c r="Y439" s="198"/>
      <c r="Z439" s="198"/>
      <c r="AA439" s="198"/>
    </row>
    <row r="440" ht="62.25" customHeight="1">
      <c r="A440" s="285"/>
      <c r="B440" s="299"/>
      <c r="C440" s="285"/>
      <c r="D440" s="367"/>
      <c r="E440" s="287"/>
      <c r="F440" s="285"/>
      <c r="G440" s="288"/>
      <c r="H440" s="367"/>
      <c r="I440" s="301"/>
      <c r="J440" s="377"/>
      <c r="K440" s="294"/>
      <c r="L440" s="294"/>
      <c r="M440" s="290"/>
      <c r="N440" s="285"/>
      <c r="O440" s="299"/>
      <c r="P440" s="300"/>
      <c r="Q440" s="198"/>
      <c r="R440" s="198"/>
      <c r="S440" s="198"/>
      <c r="T440" s="198"/>
      <c r="U440" s="198"/>
      <c r="V440" s="198"/>
      <c r="W440" s="198"/>
      <c r="X440" s="198"/>
      <c r="Y440" s="198"/>
      <c r="Z440" s="198"/>
      <c r="AA440" s="198"/>
    </row>
    <row r="441" ht="77.25" customHeight="1">
      <c r="A441" s="299"/>
      <c r="B441" s="285"/>
      <c r="C441" s="285"/>
      <c r="D441" s="285"/>
      <c r="E441" s="287"/>
      <c r="F441" s="285"/>
      <c r="G441" s="288"/>
      <c r="H441" s="301"/>
      <c r="I441" s="301"/>
      <c r="J441" s="377"/>
      <c r="K441" s="294"/>
      <c r="L441" s="294"/>
      <c r="M441" s="290"/>
      <c r="N441" s="285"/>
      <c r="O441" s="299"/>
      <c r="P441" s="300"/>
      <c r="Q441" s="198"/>
      <c r="R441" s="198"/>
      <c r="S441" s="198"/>
      <c r="T441" s="198"/>
      <c r="U441" s="198"/>
      <c r="V441" s="198"/>
      <c r="W441" s="198"/>
      <c r="X441" s="198"/>
      <c r="Y441" s="198"/>
      <c r="Z441" s="198"/>
      <c r="AA441" s="198"/>
    </row>
    <row r="442" ht="67.5" customHeight="1">
      <c r="A442" s="285"/>
      <c r="B442" s="299"/>
      <c r="C442" s="285"/>
      <c r="D442" s="367"/>
      <c r="E442" s="287"/>
      <c r="F442" s="285"/>
      <c r="G442" s="288"/>
      <c r="H442" s="367"/>
      <c r="I442" s="301"/>
      <c r="J442" s="377"/>
      <c r="K442" s="294"/>
      <c r="L442" s="294"/>
      <c r="M442" s="290"/>
      <c r="N442" s="285"/>
      <c r="O442" s="299"/>
      <c r="P442" s="300"/>
      <c r="Q442" s="198"/>
      <c r="R442" s="198"/>
      <c r="S442" s="198"/>
      <c r="T442" s="198"/>
      <c r="U442" s="198"/>
      <c r="V442" s="198"/>
      <c r="W442" s="198"/>
      <c r="X442" s="198"/>
      <c r="Y442" s="198"/>
      <c r="Z442" s="198"/>
      <c r="AA442" s="198"/>
    </row>
    <row r="443" ht="65.25" customHeight="1">
      <c r="A443" s="285"/>
      <c r="B443" s="299"/>
      <c r="C443" s="285"/>
      <c r="D443" s="367"/>
      <c r="E443" s="287"/>
      <c r="F443" s="285"/>
      <c r="G443" s="288"/>
      <c r="H443" s="367"/>
      <c r="I443" s="301"/>
      <c r="J443" s="377"/>
      <c r="K443" s="294"/>
      <c r="L443" s="294"/>
      <c r="M443" s="290"/>
      <c r="N443" s="285"/>
      <c r="O443" s="299"/>
      <c r="P443" s="300"/>
      <c r="Q443" s="198"/>
      <c r="R443" s="198"/>
      <c r="S443" s="198"/>
      <c r="T443" s="198"/>
      <c r="U443" s="198"/>
      <c r="V443" s="198"/>
      <c r="W443" s="198"/>
      <c r="X443" s="198"/>
      <c r="Y443" s="198"/>
      <c r="Z443" s="198"/>
      <c r="AA443" s="198"/>
    </row>
    <row r="444" ht="68.25" customHeight="1">
      <c r="A444" s="299"/>
      <c r="B444" s="285"/>
      <c r="C444" s="285"/>
      <c r="D444" s="285"/>
      <c r="E444" s="287"/>
      <c r="F444" s="285"/>
      <c r="G444" s="288"/>
      <c r="H444" s="301"/>
      <c r="I444" s="301"/>
      <c r="J444" s="377"/>
      <c r="K444" s="294"/>
      <c r="L444" s="294"/>
      <c r="M444" s="290"/>
      <c r="N444" s="285"/>
      <c r="O444" s="299"/>
      <c r="P444" s="300"/>
      <c r="Q444" s="198"/>
      <c r="R444" s="198"/>
      <c r="S444" s="198"/>
      <c r="T444" s="198"/>
      <c r="U444" s="198"/>
      <c r="V444" s="198"/>
      <c r="W444" s="198"/>
      <c r="X444" s="198"/>
      <c r="Y444" s="198"/>
      <c r="Z444" s="198"/>
      <c r="AA444" s="198"/>
    </row>
    <row r="445" ht="74.25" customHeight="1">
      <c r="A445" s="285"/>
      <c r="B445" s="299"/>
      <c r="C445" s="285"/>
      <c r="D445" s="367"/>
      <c r="E445" s="287"/>
      <c r="F445" s="285"/>
      <c r="G445" s="288"/>
      <c r="H445" s="367"/>
      <c r="I445" s="301"/>
      <c r="J445" s="377"/>
      <c r="K445" s="294"/>
      <c r="L445" s="294"/>
      <c r="M445" s="290"/>
      <c r="N445" s="285"/>
      <c r="O445" s="299"/>
      <c r="P445" s="300"/>
      <c r="Q445" s="198"/>
      <c r="R445" s="198"/>
      <c r="S445" s="198"/>
      <c r="T445" s="198"/>
      <c r="U445" s="198"/>
      <c r="V445" s="198"/>
      <c r="W445" s="198"/>
      <c r="X445" s="198"/>
      <c r="Y445" s="198"/>
      <c r="Z445" s="198"/>
      <c r="AA445" s="198"/>
    </row>
    <row r="446" ht="75.75" customHeight="1">
      <c r="A446" s="285"/>
      <c r="B446" s="299"/>
      <c r="C446" s="285"/>
      <c r="D446" s="367"/>
      <c r="E446" s="287"/>
      <c r="F446" s="285"/>
      <c r="G446" s="288"/>
      <c r="H446" s="367"/>
      <c r="I446" s="301"/>
      <c r="J446" s="377"/>
      <c r="K446" s="294"/>
      <c r="L446" s="294"/>
      <c r="M446" s="290"/>
      <c r="N446" s="285"/>
      <c r="O446" s="299"/>
      <c r="P446" s="300"/>
      <c r="Q446" s="198"/>
      <c r="R446" s="198"/>
      <c r="S446" s="198"/>
      <c r="T446" s="198"/>
      <c r="U446" s="198"/>
      <c r="V446" s="198"/>
      <c r="W446" s="198"/>
      <c r="X446" s="198"/>
      <c r="Y446" s="198"/>
      <c r="Z446" s="198"/>
      <c r="AA446" s="198"/>
    </row>
    <row r="447" ht="72.0" customHeight="1">
      <c r="A447" s="299"/>
      <c r="B447" s="285"/>
      <c r="C447" s="285"/>
      <c r="D447" s="285"/>
      <c r="E447" s="287"/>
      <c r="F447" s="285"/>
      <c r="G447" s="288"/>
      <c r="H447" s="301"/>
      <c r="I447" s="301"/>
      <c r="J447" s="377"/>
      <c r="K447" s="294"/>
      <c r="L447" s="294"/>
      <c r="M447" s="290"/>
      <c r="N447" s="285"/>
      <c r="O447" s="299"/>
      <c r="P447" s="300"/>
      <c r="Q447" s="198"/>
      <c r="R447" s="198"/>
      <c r="S447" s="198"/>
      <c r="T447" s="198"/>
      <c r="U447" s="198"/>
      <c r="V447" s="198"/>
      <c r="W447" s="198"/>
      <c r="X447" s="198"/>
      <c r="Y447" s="198"/>
      <c r="Z447" s="198"/>
      <c r="AA447" s="198"/>
    </row>
    <row r="448" ht="65.25" customHeight="1">
      <c r="A448" s="285"/>
      <c r="B448" s="299"/>
      <c r="C448" s="285"/>
      <c r="D448" s="367"/>
      <c r="E448" s="287"/>
      <c r="F448" s="285"/>
      <c r="G448" s="288"/>
      <c r="H448" s="367"/>
      <c r="I448" s="301"/>
      <c r="J448" s="377"/>
      <c r="K448" s="294"/>
      <c r="L448" s="294"/>
      <c r="M448" s="290"/>
      <c r="N448" s="285"/>
      <c r="O448" s="299"/>
      <c r="P448" s="300"/>
      <c r="Q448" s="198"/>
      <c r="R448" s="198"/>
      <c r="S448" s="198"/>
      <c r="T448" s="198"/>
      <c r="U448" s="198"/>
      <c r="V448" s="198"/>
      <c r="W448" s="198"/>
      <c r="X448" s="198"/>
      <c r="Y448" s="198"/>
      <c r="Z448" s="198"/>
      <c r="AA448" s="198"/>
    </row>
    <row r="449" ht="61.5" customHeight="1">
      <c r="A449" s="285"/>
      <c r="B449" s="299"/>
      <c r="C449" s="285"/>
      <c r="D449" s="367"/>
      <c r="E449" s="287"/>
      <c r="F449" s="285"/>
      <c r="G449" s="288"/>
      <c r="H449" s="367"/>
      <c r="I449" s="301"/>
      <c r="J449" s="377"/>
      <c r="K449" s="294"/>
      <c r="L449" s="294"/>
      <c r="M449" s="290"/>
      <c r="N449" s="285"/>
      <c r="O449" s="299"/>
      <c r="P449" s="300"/>
      <c r="Q449" s="198"/>
      <c r="R449" s="198"/>
      <c r="S449" s="198"/>
      <c r="T449" s="198"/>
      <c r="U449" s="198"/>
      <c r="V449" s="198"/>
      <c r="W449" s="198"/>
      <c r="X449" s="198"/>
      <c r="Y449" s="198"/>
      <c r="Z449" s="198"/>
      <c r="AA449" s="198"/>
    </row>
    <row r="450" ht="65.25" customHeight="1">
      <c r="A450" s="299"/>
      <c r="B450" s="285"/>
      <c r="C450" s="285"/>
      <c r="D450" s="285"/>
      <c r="E450" s="287"/>
      <c r="F450" s="285"/>
      <c r="G450" s="288"/>
      <c r="H450" s="301"/>
      <c r="I450" s="301"/>
      <c r="J450" s="377"/>
      <c r="K450" s="294"/>
      <c r="L450" s="294"/>
      <c r="M450" s="290"/>
      <c r="N450" s="285"/>
      <c r="O450" s="299"/>
      <c r="P450" s="300"/>
      <c r="Q450" s="198"/>
      <c r="R450" s="198"/>
      <c r="S450" s="198"/>
      <c r="T450" s="198"/>
      <c r="U450" s="198"/>
      <c r="V450" s="198"/>
      <c r="W450" s="198"/>
      <c r="X450" s="198"/>
      <c r="Y450" s="198"/>
      <c r="Z450" s="198"/>
      <c r="AA450" s="198"/>
    </row>
    <row r="451" ht="71.25" customHeight="1">
      <c r="A451" s="285"/>
      <c r="B451" s="299"/>
      <c r="C451" s="285"/>
      <c r="D451" s="367"/>
      <c r="E451" s="287"/>
      <c r="F451" s="285"/>
      <c r="G451" s="288"/>
      <c r="H451" s="367"/>
      <c r="I451" s="301"/>
      <c r="J451" s="377"/>
      <c r="K451" s="294"/>
      <c r="L451" s="294"/>
      <c r="M451" s="290"/>
      <c r="N451" s="285"/>
      <c r="O451" s="299"/>
      <c r="P451" s="300"/>
      <c r="Q451" s="198"/>
      <c r="R451" s="198"/>
      <c r="S451" s="198"/>
      <c r="T451" s="198"/>
      <c r="U451" s="198"/>
      <c r="V451" s="198"/>
      <c r="W451" s="198"/>
      <c r="X451" s="198"/>
      <c r="Y451" s="198"/>
      <c r="Z451" s="198"/>
      <c r="AA451" s="198"/>
    </row>
    <row r="452" ht="68.25" customHeight="1">
      <c r="A452" s="285"/>
      <c r="B452" s="299"/>
      <c r="C452" s="285"/>
      <c r="D452" s="367"/>
      <c r="E452" s="287"/>
      <c r="F452" s="285"/>
      <c r="G452" s="288"/>
      <c r="H452" s="367"/>
      <c r="I452" s="301"/>
      <c r="J452" s="377"/>
      <c r="K452" s="294"/>
      <c r="L452" s="294"/>
      <c r="M452" s="290"/>
      <c r="N452" s="285"/>
      <c r="O452" s="299"/>
      <c r="P452" s="300"/>
      <c r="Q452" s="198"/>
      <c r="R452" s="198"/>
      <c r="S452" s="198"/>
      <c r="T452" s="198"/>
      <c r="U452" s="198"/>
      <c r="V452" s="198"/>
      <c r="W452" s="198"/>
      <c r="X452" s="198"/>
      <c r="Y452" s="198"/>
      <c r="Z452" s="198"/>
      <c r="AA452" s="198"/>
    </row>
    <row r="453" ht="75.75" customHeight="1">
      <c r="A453" s="299"/>
      <c r="B453" s="285"/>
      <c r="C453" s="285"/>
      <c r="D453" s="285"/>
      <c r="E453" s="287"/>
      <c r="F453" s="285"/>
      <c r="G453" s="288"/>
      <c r="H453" s="301"/>
      <c r="I453" s="301"/>
      <c r="J453" s="377"/>
      <c r="K453" s="294"/>
      <c r="L453" s="294"/>
      <c r="M453" s="290"/>
      <c r="N453" s="285"/>
      <c r="O453" s="299"/>
      <c r="P453" s="300"/>
      <c r="Q453" s="198"/>
      <c r="R453" s="198"/>
      <c r="S453" s="198"/>
      <c r="T453" s="198"/>
      <c r="U453" s="198"/>
      <c r="V453" s="198"/>
      <c r="W453" s="198"/>
      <c r="X453" s="198"/>
      <c r="Y453" s="198"/>
      <c r="Z453" s="198"/>
      <c r="AA453" s="198"/>
    </row>
    <row r="454" ht="71.25" customHeight="1">
      <c r="A454" s="285"/>
      <c r="B454" s="299"/>
      <c r="C454" s="285"/>
      <c r="D454" s="367"/>
      <c r="E454" s="287"/>
      <c r="F454" s="285"/>
      <c r="G454" s="288"/>
      <c r="H454" s="367"/>
      <c r="I454" s="301"/>
      <c r="J454" s="377"/>
      <c r="K454" s="294"/>
      <c r="L454" s="294"/>
      <c r="M454" s="290"/>
      <c r="N454" s="285"/>
      <c r="O454" s="299"/>
      <c r="P454" s="300"/>
      <c r="Q454" s="198"/>
      <c r="R454" s="198"/>
      <c r="S454" s="198"/>
      <c r="T454" s="198"/>
      <c r="U454" s="198"/>
      <c r="V454" s="198"/>
      <c r="W454" s="198"/>
      <c r="X454" s="198"/>
      <c r="Y454" s="198"/>
      <c r="Z454" s="198"/>
      <c r="AA454" s="198"/>
    </row>
    <row r="455" ht="72.75" customHeight="1">
      <c r="A455" s="285"/>
      <c r="B455" s="299"/>
      <c r="C455" s="285"/>
      <c r="D455" s="367"/>
      <c r="E455" s="287"/>
      <c r="F455" s="285"/>
      <c r="G455" s="288"/>
      <c r="H455" s="367"/>
      <c r="I455" s="301"/>
      <c r="J455" s="377"/>
      <c r="K455" s="294"/>
      <c r="L455" s="294"/>
      <c r="M455" s="290"/>
      <c r="N455" s="285"/>
      <c r="O455" s="299"/>
      <c r="P455" s="300"/>
      <c r="Q455" s="198"/>
      <c r="R455" s="198"/>
      <c r="S455" s="198"/>
      <c r="T455" s="198"/>
      <c r="U455" s="198"/>
      <c r="V455" s="198"/>
      <c r="W455" s="198"/>
      <c r="X455" s="198"/>
      <c r="Y455" s="198"/>
      <c r="Z455" s="198"/>
      <c r="AA455" s="198"/>
    </row>
    <row r="456" ht="74.25" customHeight="1">
      <c r="A456" s="299"/>
      <c r="B456" s="285"/>
      <c r="C456" s="285"/>
      <c r="D456" s="285"/>
      <c r="E456" s="287"/>
      <c r="F456" s="285"/>
      <c r="G456" s="288"/>
      <c r="H456" s="301"/>
      <c r="I456" s="301"/>
      <c r="J456" s="377"/>
      <c r="K456" s="294"/>
      <c r="L456" s="294"/>
      <c r="M456" s="290"/>
      <c r="N456" s="285"/>
      <c r="O456" s="299"/>
      <c r="P456" s="300"/>
      <c r="Q456" s="198"/>
      <c r="R456" s="198"/>
      <c r="S456" s="198"/>
      <c r="T456" s="198"/>
      <c r="U456" s="198"/>
      <c r="V456" s="198"/>
      <c r="W456" s="198"/>
      <c r="X456" s="198"/>
      <c r="Y456" s="198"/>
      <c r="Z456" s="198"/>
      <c r="AA456" s="198"/>
    </row>
    <row r="457" ht="78.0" customHeight="1">
      <c r="A457" s="285"/>
      <c r="B457" s="299"/>
      <c r="C457" s="285"/>
      <c r="D457" s="367"/>
      <c r="E457" s="287"/>
      <c r="F457" s="285"/>
      <c r="G457" s="288"/>
      <c r="H457" s="367"/>
      <c r="I457" s="301"/>
      <c r="J457" s="377"/>
      <c r="K457" s="294"/>
      <c r="L457" s="294"/>
      <c r="M457" s="290"/>
      <c r="N457" s="285"/>
      <c r="O457" s="299"/>
      <c r="P457" s="300"/>
      <c r="Q457" s="198"/>
      <c r="R457" s="198"/>
      <c r="S457" s="198"/>
      <c r="T457" s="198"/>
      <c r="U457" s="198"/>
      <c r="V457" s="198"/>
      <c r="W457" s="198"/>
      <c r="X457" s="198"/>
      <c r="Y457" s="198"/>
      <c r="Z457" s="198"/>
      <c r="AA457" s="198"/>
    </row>
    <row r="458" ht="66.75" customHeight="1">
      <c r="A458" s="285"/>
      <c r="B458" s="299"/>
      <c r="C458" s="285"/>
      <c r="D458" s="367"/>
      <c r="E458" s="287"/>
      <c r="F458" s="285"/>
      <c r="G458" s="288"/>
      <c r="H458" s="367"/>
      <c r="I458" s="301"/>
      <c r="J458" s="377"/>
      <c r="K458" s="294"/>
      <c r="L458" s="294"/>
      <c r="M458" s="290"/>
      <c r="N458" s="285"/>
      <c r="O458" s="299"/>
      <c r="P458" s="300"/>
      <c r="Q458" s="198"/>
      <c r="R458" s="198"/>
      <c r="S458" s="198"/>
      <c r="T458" s="198"/>
      <c r="U458" s="198"/>
      <c r="V458" s="198"/>
      <c r="W458" s="198"/>
      <c r="X458" s="198"/>
      <c r="Y458" s="198"/>
      <c r="Z458" s="198"/>
      <c r="AA458" s="198"/>
    </row>
    <row r="459" ht="65.25" customHeight="1">
      <c r="A459" s="299"/>
      <c r="B459" s="285"/>
      <c r="C459" s="285"/>
      <c r="D459" s="285"/>
      <c r="E459" s="287"/>
      <c r="F459" s="285"/>
      <c r="G459" s="288"/>
      <c r="H459" s="301"/>
      <c r="I459" s="301"/>
      <c r="J459" s="377"/>
      <c r="K459" s="294"/>
      <c r="L459" s="294"/>
      <c r="M459" s="290"/>
      <c r="N459" s="285"/>
      <c r="O459" s="299"/>
      <c r="P459" s="300"/>
      <c r="Q459" s="198"/>
      <c r="R459" s="198"/>
      <c r="S459" s="198"/>
      <c r="T459" s="198"/>
      <c r="U459" s="198"/>
      <c r="V459" s="198"/>
      <c r="W459" s="198"/>
      <c r="X459" s="198"/>
      <c r="Y459" s="198"/>
      <c r="Z459" s="198"/>
      <c r="AA459" s="198"/>
    </row>
    <row r="460" ht="73.5" customHeight="1">
      <c r="A460" s="285"/>
      <c r="B460" s="299"/>
      <c r="C460" s="285"/>
      <c r="D460" s="367"/>
      <c r="E460" s="287"/>
      <c r="F460" s="285"/>
      <c r="G460" s="288"/>
      <c r="H460" s="367"/>
      <c r="I460" s="301"/>
      <c r="J460" s="377"/>
      <c r="K460" s="294"/>
      <c r="L460" s="294"/>
      <c r="M460" s="290"/>
      <c r="N460" s="285"/>
      <c r="O460" s="299"/>
      <c r="P460" s="300"/>
      <c r="Q460" s="198"/>
      <c r="R460" s="198"/>
      <c r="S460" s="198"/>
      <c r="T460" s="198"/>
      <c r="U460" s="198"/>
      <c r="V460" s="198"/>
      <c r="W460" s="198"/>
      <c r="X460" s="198"/>
      <c r="Y460" s="198"/>
      <c r="Z460" s="198"/>
      <c r="AA460" s="198"/>
    </row>
    <row r="461" ht="77.25" customHeight="1">
      <c r="A461" s="285"/>
      <c r="B461" s="299"/>
      <c r="C461" s="285"/>
      <c r="D461" s="367"/>
      <c r="E461" s="287"/>
      <c r="F461" s="285"/>
      <c r="G461" s="288"/>
      <c r="H461" s="367"/>
      <c r="I461" s="301"/>
      <c r="J461" s="377"/>
      <c r="K461" s="294"/>
      <c r="L461" s="294"/>
      <c r="M461" s="290"/>
      <c r="N461" s="285"/>
      <c r="O461" s="299"/>
      <c r="P461" s="300"/>
      <c r="Q461" s="198"/>
      <c r="R461" s="198"/>
      <c r="S461" s="198"/>
      <c r="T461" s="198"/>
      <c r="U461" s="198"/>
      <c r="V461" s="198"/>
      <c r="W461" s="198"/>
      <c r="X461" s="198"/>
      <c r="Y461" s="198"/>
      <c r="Z461" s="198"/>
      <c r="AA461" s="198"/>
    </row>
    <row r="462" ht="71.25" customHeight="1">
      <c r="A462" s="299"/>
      <c r="B462" s="285"/>
      <c r="C462" s="285"/>
      <c r="D462" s="285"/>
      <c r="E462" s="287"/>
      <c r="F462" s="285"/>
      <c r="G462" s="288"/>
      <c r="H462" s="301"/>
      <c r="I462" s="301"/>
      <c r="J462" s="377"/>
      <c r="K462" s="294"/>
      <c r="L462" s="294"/>
      <c r="M462" s="290"/>
      <c r="N462" s="285"/>
      <c r="O462" s="299"/>
      <c r="P462" s="300"/>
      <c r="Q462" s="198"/>
      <c r="R462" s="198"/>
      <c r="S462" s="198"/>
      <c r="T462" s="198"/>
      <c r="U462" s="198"/>
      <c r="V462" s="198"/>
      <c r="W462" s="198"/>
      <c r="X462" s="198"/>
      <c r="Y462" s="198"/>
      <c r="Z462" s="198"/>
      <c r="AA462" s="198"/>
    </row>
    <row r="463" ht="74.25" customHeight="1">
      <c r="A463" s="285"/>
      <c r="B463" s="299"/>
      <c r="C463" s="285"/>
      <c r="D463" s="367"/>
      <c r="E463" s="287"/>
      <c r="F463" s="285"/>
      <c r="G463" s="288"/>
      <c r="H463" s="367"/>
      <c r="I463" s="301"/>
      <c r="J463" s="377"/>
      <c r="K463" s="294"/>
      <c r="L463" s="294"/>
      <c r="M463" s="290"/>
      <c r="N463" s="285"/>
      <c r="O463" s="299"/>
      <c r="P463" s="300"/>
      <c r="Q463" s="198"/>
      <c r="R463" s="198"/>
      <c r="S463" s="198"/>
      <c r="T463" s="198"/>
      <c r="U463" s="198"/>
      <c r="V463" s="198"/>
      <c r="W463" s="198"/>
      <c r="X463" s="198"/>
      <c r="Y463" s="198"/>
      <c r="Z463" s="198"/>
      <c r="AA463" s="198"/>
    </row>
    <row r="464" ht="72.0" customHeight="1">
      <c r="A464" s="285"/>
      <c r="B464" s="299"/>
      <c r="C464" s="285"/>
      <c r="D464" s="367"/>
      <c r="E464" s="287"/>
      <c r="F464" s="285"/>
      <c r="G464" s="288"/>
      <c r="H464" s="367"/>
      <c r="I464" s="301"/>
      <c r="J464" s="377"/>
      <c r="K464" s="294"/>
      <c r="L464" s="294"/>
      <c r="M464" s="290"/>
      <c r="N464" s="285"/>
      <c r="O464" s="299"/>
      <c r="P464" s="300"/>
      <c r="Q464" s="198"/>
      <c r="R464" s="198"/>
      <c r="S464" s="198"/>
      <c r="T464" s="198"/>
      <c r="U464" s="198"/>
      <c r="V464" s="198"/>
      <c r="W464" s="198"/>
      <c r="X464" s="198"/>
      <c r="Y464" s="198"/>
      <c r="Z464" s="198"/>
      <c r="AA464" s="198"/>
    </row>
    <row r="465" ht="66.0" customHeight="1">
      <c r="A465" s="299"/>
      <c r="B465" s="285"/>
      <c r="C465" s="285"/>
      <c r="D465" s="285"/>
      <c r="E465" s="287"/>
      <c r="F465" s="285"/>
      <c r="G465" s="288"/>
      <c r="H465" s="301"/>
      <c r="I465" s="301"/>
      <c r="J465" s="377"/>
      <c r="K465" s="294"/>
      <c r="L465" s="294"/>
      <c r="M465" s="290"/>
      <c r="N465" s="285"/>
      <c r="O465" s="299"/>
      <c r="P465" s="300"/>
      <c r="Q465" s="198"/>
      <c r="R465" s="198"/>
      <c r="S465" s="198"/>
      <c r="T465" s="198"/>
      <c r="U465" s="198"/>
      <c r="V465" s="198"/>
      <c r="W465" s="198"/>
      <c r="X465" s="198"/>
      <c r="Y465" s="198"/>
      <c r="Z465" s="198"/>
      <c r="AA465" s="198"/>
    </row>
    <row r="466" ht="60.75" customHeight="1">
      <c r="A466" s="285"/>
      <c r="B466" s="299"/>
      <c r="C466" s="285"/>
      <c r="D466" s="367"/>
      <c r="E466" s="287"/>
      <c r="F466" s="285"/>
      <c r="G466" s="288"/>
      <c r="H466" s="367"/>
      <c r="I466" s="301"/>
      <c r="J466" s="377"/>
      <c r="K466" s="294"/>
      <c r="L466" s="294"/>
      <c r="M466" s="290"/>
      <c r="N466" s="285"/>
      <c r="O466" s="299"/>
      <c r="P466" s="300"/>
      <c r="Q466" s="198"/>
      <c r="R466" s="198"/>
      <c r="S466" s="198"/>
      <c r="T466" s="198"/>
      <c r="U466" s="198"/>
      <c r="V466" s="198"/>
      <c r="W466" s="198"/>
      <c r="X466" s="198"/>
      <c r="Y466" s="198"/>
      <c r="Z466" s="198"/>
      <c r="AA466" s="198"/>
    </row>
    <row r="467" ht="64.5" customHeight="1">
      <c r="A467" s="285"/>
      <c r="B467" s="299"/>
      <c r="C467" s="285"/>
      <c r="D467" s="367"/>
      <c r="E467" s="287"/>
      <c r="F467" s="285"/>
      <c r="G467" s="288"/>
      <c r="H467" s="367"/>
      <c r="I467" s="301"/>
      <c r="J467" s="377"/>
      <c r="K467" s="294"/>
      <c r="L467" s="294"/>
      <c r="M467" s="290"/>
      <c r="N467" s="285"/>
      <c r="O467" s="299"/>
      <c r="P467" s="300"/>
      <c r="Q467" s="198"/>
      <c r="R467" s="198"/>
      <c r="S467" s="198"/>
      <c r="T467" s="198"/>
      <c r="U467" s="198"/>
      <c r="V467" s="198"/>
      <c r="W467" s="198"/>
      <c r="X467" s="198"/>
      <c r="Y467" s="198"/>
      <c r="Z467" s="198"/>
      <c r="AA467" s="198"/>
    </row>
    <row r="468" ht="72.75" customHeight="1">
      <c r="A468" s="299"/>
      <c r="B468" s="285"/>
      <c r="C468" s="285"/>
      <c r="D468" s="285"/>
      <c r="E468" s="287"/>
      <c r="F468" s="285"/>
      <c r="G468" s="288"/>
      <c r="H468" s="301"/>
      <c r="I468" s="301"/>
      <c r="J468" s="377"/>
      <c r="K468" s="294"/>
      <c r="L468" s="294"/>
      <c r="M468" s="290"/>
      <c r="N468" s="285"/>
      <c r="O468" s="299"/>
      <c r="P468" s="300"/>
      <c r="Q468" s="198"/>
      <c r="R468" s="198"/>
      <c r="S468" s="198"/>
      <c r="T468" s="198"/>
      <c r="U468" s="198"/>
      <c r="V468" s="198"/>
      <c r="W468" s="198"/>
      <c r="X468" s="198"/>
      <c r="Y468" s="198"/>
      <c r="Z468" s="198"/>
      <c r="AA468" s="198"/>
    </row>
    <row r="469" ht="67.5" customHeight="1">
      <c r="A469" s="285"/>
      <c r="B469" s="299"/>
      <c r="C469" s="285"/>
      <c r="D469" s="367"/>
      <c r="E469" s="287"/>
      <c r="F469" s="285"/>
      <c r="G469" s="288"/>
      <c r="H469" s="367"/>
      <c r="I469" s="301"/>
      <c r="J469" s="377"/>
      <c r="K469" s="294"/>
      <c r="L469" s="294"/>
      <c r="M469" s="290"/>
      <c r="N469" s="285"/>
      <c r="O469" s="299"/>
      <c r="P469" s="300"/>
      <c r="Q469" s="198"/>
      <c r="R469" s="198"/>
      <c r="S469" s="198"/>
      <c r="T469" s="198"/>
      <c r="U469" s="198"/>
      <c r="V469" s="198"/>
      <c r="W469" s="198"/>
      <c r="X469" s="198"/>
      <c r="Y469" s="198"/>
      <c r="Z469" s="198"/>
      <c r="AA469" s="198"/>
    </row>
    <row r="470" ht="64.5" customHeight="1">
      <c r="A470" s="285"/>
      <c r="B470" s="299"/>
      <c r="C470" s="285"/>
      <c r="D470" s="367"/>
      <c r="E470" s="287"/>
      <c r="F470" s="285"/>
      <c r="G470" s="288"/>
      <c r="H470" s="367"/>
      <c r="I470" s="301"/>
      <c r="J470" s="377"/>
      <c r="K470" s="294"/>
      <c r="L470" s="294"/>
      <c r="M470" s="290"/>
      <c r="N470" s="285"/>
      <c r="O470" s="299"/>
      <c r="P470" s="300"/>
      <c r="Q470" s="198"/>
      <c r="R470" s="198"/>
      <c r="S470" s="198"/>
      <c r="T470" s="198"/>
      <c r="U470" s="198"/>
      <c r="V470" s="198"/>
      <c r="W470" s="198"/>
      <c r="X470" s="198"/>
      <c r="Y470" s="198"/>
      <c r="Z470" s="198"/>
      <c r="AA470" s="198"/>
    </row>
    <row r="471" ht="72.75" customHeight="1">
      <c r="A471" s="299"/>
      <c r="B471" s="285"/>
      <c r="C471" s="285"/>
      <c r="D471" s="285"/>
      <c r="E471" s="287"/>
      <c r="F471" s="285"/>
      <c r="G471" s="288"/>
      <c r="H471" s="301"/>
      <c r="I471" s="301"/>
      <c r="J471" s="377"/>
      <c r="K471" s="294"/>
      <c r="L471" s="294"/>
      <c r="M471" s="290"/>
      <c r="N471" s="285"/>
      <c r="O471" s="299"/>
      <c r="P471" s="300"/>
      <c r="Q471" s="198"/>
      <c r="R471" s="198"/>
      <c r="S471" s="198"/>
      <c r="T471" s="198"/>
      <c r="U471" s="198"/>
      <c r="V471" s="198"/>
      <c r="W471" s="198"/>
      <c r="X471" s="198"/>
      <c r="Y471" s="198"/>
      <c r="Z471" s="198"/>
      <c r="AA471" s="198"/>
    </row>
    <row r="472" ht="69.0" customHeight="1">
      <c r="A472" s="285"/>
      <c r="B472" s="299"/>
      <c r="C472" s="285"/>
      <c r="D472" s="367"/>
      <c r="E472" s="287"/>
      <c r="F472" s="285"/>
      <c r="G472" s="288"/>
      <c r="H472" s="367"/>
      <c r="I472" s="301"/>
      <c r="J472" s="377"/>
      <c r="K472" s="294"/>
      <c r="L472" s="294"/>
      <c r="M472" s="290"/>
      <c r="N472" s="285"/>
      <c r="O472" s="299"/>
      <c r="P472" s="300"/>
      <c r="Q472" s="198"/>
      <c r="R472" s="198"/>
      <c r="S472" s="198"/>
      <c r="T472" s="198"/>
      <c r="U472" s="198"/>
      <c r="V472" s="198"/>
      <c r="W472" s="198"/>
      <c r="X472" s="198"/>
      <c r="Y472" s="198"/>
      <c r="Z472" s="198"/>
      <c r="AA472" s="198"/>
    </row>
    <row r="473" ht="66.75" customHeight="1">
      <c r="A473" s="285"/>
      <c r="B473" s="299"/>
      <c r="C473" s="285"/>
      <c r="D473" s="367"/>
      <c r="E473" s="287"/>
      <c r="F473" s="285"/>
      <c r="G473" s="288"/>
      <c r="H473" s="367"/>
      <c r="I473" s="301"/>
      <c r="J473" s="377"/>
      <c r="K473" s="294"/>
      <c r="L473" s="294"/>
      <c r="M473" s="290"/>
      <c r="N473" s="285"/>
      <c r="O473" s="299"/>
      <c r="P473" s="300"/>
      <c r="Q473" s="198"/>
      <c r="R473" s="198"/>
      <c r="S473" s="198"/>
      <c r="T473" s="198"/>
      <c r="U473" s="198"/>
      <c r="V473" s="198"/>
      <c r="W473" s="198"/>
      <c r="X473" s="198"/>
      <c r="Y473" s="198"/>
      <c r="Z473" s="198"/>
      <c r="AA473" s="198"/>
    </row>
    <row r="474" ht="63.0" customHeight="1">
      <c r="A474" s="299"/>
      <c r="B474" s="285"/>
      <c r="C474" s="285"/>
      <c r="D474" s="285"/>
      <c r="E474" s="287"/>
      <c r="F474" s="285"/>
      <c r="G474" s="288"/>
      <c r="H474" s="301"/>
      <c r="I474" s="301"/>
      <c r="J474" s="377"/>
      <c r="K474" s="294"/>
      <c r="L474" s="294"/>
      <c r="M474" s="290"/>
      <c r="N474" s="285"/>
      <c r="O474" s="299"/>
      <c r="P474" s="300"/>
      <c r="Q474" s="198"/>
      <c r="R474" s="198"/>
      <c r="S474" s="198"/>
      <c r="T474" s="198"/>
      <c r="U474" s="198"/>
      <c r="V474" s="198"/>
      <c r="W474" s="198"/>
      <c r="X474" s="198"/>
      <c r="Y474" s="198"/>
      <c r="Z474" s="198"/>
      <c r="AA474" s="198"/>
    </row>
    <row r="475" ht="64.5" customHeight="1">
      <c r="A475" s="285"/>
      <c r="B475" s="299"/>
      <c r="C475" s="285"/>
      <c r="D475" s="367"/>
      <c r="E475" s="287"/>
      <c r="F475" s="285"/>
      <c r="G475" s="288"/>
      <c r="H475" s="367"/>
      <c r="I475" s="301"/>
      <c r="J475" s="377"/>
      <c r="K475" s="294"/>
      <c r="L475" s="294"/>
      <c r="M475" s="290"/>
      <c r="N475" s="285"/>
      <c r="O475" s="299"/>
      <c r="P475" s="300"/>
      <c r="Q475" s="198"/>
      <c r="R475" s="198"/>
      <c r="S475" s="198"/>
      <c r="T475" s="198"/>
      <c r="U475" s="198"/>
      <c r="V475" s="198"/>
      <c r="W475" s="198"/>
      <c r="X475" s="198"/>
      <c r="Y475" s="198"/>
      <c r="Z475" s="198"/>
      <c r="AA475" s="198"/>
    </row>
    <row r="476" ht="67.5" customHeight="1">
      <c r="A476" s="285"/>
      <c r="B476" s="299"/>
      <c r="C476" s="285"/>
      <c r="D476" s="367"/>
      <c r="E476" s="287"/>
      <c r="F476" s="285"/>
      <c r="G476" s="288"/>
      <c r="H476" s="367"/>
      <c r="I476" s="301"/>
      <c r="J476" s="377"/>
      <c r="K476" s="294"/>
      <c r="L476" s="294"/>
      <c r="M476" s="290"/>
      <c r="N476" s="285"/>
      <c r="O476" s="299"/>
      <c r="P476" s="300"/>
      <c r="Q476" s="198"/>
      <c r="R476" s="198"/>
      <c r="S476" s="198"/>
      <c r="T476" s="198"/>
      <c r="U476" s="198"/>
      <c r="V476" s="198"/>
      <c r="W476" s="198"/>
      <c r="X476" s="198"/>
      <c r="Y476" s="198"/>
      <c r="Z476" s="198"/>
      <c r="AA476" s="198"/>
    </row>
    <row r="477" ht="66.0" customHeight="1">
      <c r="A477" s="299"/>
      <c r="B477" s="285"/>
      <c r="C477" s="285"/>
      <c r="D477" s="285"/>
      <c r="E477" s="287"/>
      <c r="F477" s="285"/>
      <c r="G477" s="288"/>
      <c r="H477" s="301"/>
      <c r="I477" s="301"/>
      <c r="J477" s="377"/>
      <c r="K477" s="294"/>
      <c r="L477" s="294"/>
      <c r="M477" s="290"/>
      <c r="N477" s="285"/>
      <c r="O477" s="299"/>
      <c r="P477" s="300"/>
      <c r="Q477" s="198"/>
      <c r="R477" s="198"/>
      <c r="S477" s="198"/>
      <c r="T477" s="198"/>
      <c r="U477" s="198"/>
      <c r="V477" s="198"/>
      <c r="W477" s="198"/>
      <c r="X477" s="198"/>
      <c r="Y477" s="198"/>
      <c r="Z477" s="198"/>
      <c r="AA477" s="198"/>
    </row>
    <row r="478" ht="63.0" customHeight="1">
      <c r="A478" s="285"/>
      <c r="B478" s="299"/>
      <c r="C478" s="285"/>
      <c r="D478" s="367"/>
      <c r="E478" s="287"/>
      <c r="F478" s="285"/>
      <c r="G478" s="288"/>
      <c r="H478" s="367"/>
      <c r="I478" s="301"/>
      <c r="J478" s="377"/>
      <c r="K478" s="294"/>
      <c r="L478" s="294"/>
      <c r="M478" s="290"/>
      <c r="N478" s="285"/>
      <c r="O478" s="299"/>
      <c r="P478" s="300"/>
      <c r="Q478" s="198"/>
      <c r="R478" s="198"/>
      <c r="S478" s="198"/>
      <c r="T478" s="198"/>
      <c r="U478" s="198"/>
      <c r="V478" s="198"/>
      <c r="W478" s="198"/>
      <c r="X478" s="198"/>
      <c r="Y478" s="198"/>
      <c r="Z478" s="198"/>
      <c r="AA478" s="198"/>
    </row>
    <row r="479" ht="57.75" customHeight="1">
      <c r="A479" s="285"/>
      <c r="B479" s="299"/>
      <c r="C479" s="285"/>
      <c r="D479" s="367"/>
      <c r="E479" s="287"/>
      <c r="F479" s="285"/>
      <c r="G479" s="288"/>
      <c r="H479" s="367"/>
      <c r="I479" s="301"/>
      <c r="J479" s="377"/>
      <c r="K479" s="294"/>
      <c r="L479" s="294"/>
      <c r="M479" s="290"/>
      <c r="N479" s="285"/>
      <c r="O479" s="299"/>
      <c r="P479" s="300"/>
      <c r="Q479" s="198"/>
      <c r="R479" s="198"/>
      <c r="S479" s="198"/>
      <c r="T479" s="198"/>
      <c r="U479" s="198"/>
      <c r="V479" s="198"/>
      <c r="W479" s="198"/>
      <c r="X479" s="198"/>
      <c r="Y479" s="198"/>
      <c r="Z479" s="198"/>
      <c r="AA479" s="198"/>
    </row>
    <row r="480" ht="61.5" customHeight="1">
      <c r="A480" s="299"/>
      <c r="B480" s="285"/>
      <c r="C480" s="285"/>
      <c r="D480" s="285"/>
      <c r="E480" s="287"/>
      <c r="F480" s="285"/>
      <c r="G480" s="288"/>
      <c r="H480" s="301"/>
      <c r="I480" s="301"/>
      <c r="J480" s="377"/>
      <c r="K480" s="294"/>
      <c r="L480" s="294"/>
      <c r="M480" s="290"/>
      <c r="N480" s="285"/>
      <c r="O480" s="299"/>
      <c r="P480" s="300"/>
      <c r="Q480" s="198"/>
      <c r="R480" s="198"/>
      <c r="S480" s="198"/>
      <c r="T480" s="198"/>
      <c r="U480" s="198"/>
      <c r="V480" s="198"/>
      <c r="W480" s="198"/>
      <c r="X480" s="198"/>
      <c r="Y480" s="198"/>
      <c r="Z480" s="198"/>
      <c r="AA480" s="198"/>
    </row>
    <row r="481" ht="63.0" customHeight="1">
      <c r="A481" s="285"/>
      <c r="B481" s="299"/>
      <c r="C481" s="285"/>
      <c r="D481" s="367"/>
      <c r="E481" s="287"/>
      <c r="F481" s="285"/>
      <c r="G481" s="288"/>
      <c r="H481" s="367"/>
      <c r="I481" s="301"/>
      <c r="J481" s="377"/>
      <c r="K481" s="294"/>
      <c r="L481" s="294"/>
      <c r="M481" s="290"/>
      <c r="N481" s="285"/>
      <c r="O481" s="299"/>
      <c r="P481" s="300"/>
      <c r="Q481" s="198"/>
      <c r="R481" s="198"/>
      <c r="S481" s="198"/>
      <c r="T481" s="198"/>
      <c r="U481" s="198"/>
      <c r="V481" s="198"/>
      <c r="W481" s="198"/>
      <c r="X481" s="198"/>
      <c r="Y481" s="198"/>
      <c r="Z481" s="198"/>
      <c r="AA481" s="198"/>
    </row>
    <row r="482" ht="63.0" customHeight="1">
      <c r="A482" s="285"/>
      <c r="B482" s="299"/>
      <c r="C482" s="285"/>
      <c r="D482" s="367"/>
      <c r="E482" s="287"/>
      <c r="F482" s="285"/>
      <c r="G482" s="288"/>
      <c r="H482" s="367"/>
      <c r="I482" s="301"/>
      <c r="J482" s="377"/>
      <c r="K482" s="294"/>
      <c r="L482" s="294"/>
      <c r="M482" s="290"/>
      <c r="N482" s="285"/>
      <c r="O482" s="299"/>
      <c r="P482" s="300"/>
      <c r="Q482" s="198"/>
      <c r="R482" s="198"/>
      <c r="S482" s="198"/>
      <c r="T482" s="198"/>
      <c r="U482" s="198"/>
      <c r="V482" s="198"/>
      <c r="W482" s="198"/>
      <c r="X482" s="198"/>
      <c r="Y482" s="198"/>
      <c r="Z482" s="198"/>
      <c r="AA482" s="198"/>
    </row>
    <row r="483" ht="66.0" customHeight="1">
      <c r="A483" s="299"/>
      <c r="B483" s="285"/>
      <c r="C483" s="285"/>
      <c r="D483" s="285"/>
      <c r="E483" s="287"/>
      <c r="F483" s="285"/>
      <c r="G483" s="288"/>
      <c r="H483" s="301"/>
      <c r="I483" s="301"/>
      <c r="J483" s="377"/>
      <c r="K483" s="294"/>
      <c r="L483" s="294"/>
      <c r="M483" s="290"/>
      <c r="N483" s="285"/>
      <c r="O483" s="299"/>
      <c r="P483" s="300"/>
      <c r="Q483" s="198"/>
      <c r="R483" s="198"/>
      <c r="S483" s="198"/>
      <c r="T483" s="198"/>
      <c r="U483" s="198"/>
      <c r="V483" s="198"/>
      <c r="W483" s="198"/>
      <c r="X483" s="198"/>
      <c r="Y483" s="198"/>
      <c r="Z483" s="198"/>
      <c r="AA483" s="198"/>
    </row>
    <row r="484" ht="70.5" customHeight="1">
      <c r="A484" s="285"/>
      <c r="B484" s="299"/>
      <c r="C484" s="285"/>
      <c r="D484" s="367"/>
      <c r="E484" s="287"/>
      <c r="F484" s="285"/>
      <c r="G484" s="288"/>
      <c r="H484" s="367"/>
      <c r="I484" s="301"/>
      <c r="J484" s="377"/>
      <c r="K484" s="294"/>
      <c r="L484" s="294"/>
      <c r="M484" s="290"/>
      <c r="N484" s="285"/>
      <c r="O484" s="299"/>
      <c r="P484" s="300"/>
      <c r="Q484" s="198"/>
      <c r="R484" s="198"/>
      <c r="S484" s="198"/>
      <c r="T484" s="198"/>
      <c r="U484" s="198"/>
      <c r="V484" s="198"/>
      <c r="W484" s="198"/>
      <c r="X484" s="198"/>
      <c r="Y484" s="198"/>
      <c r="Z484" s="198"/>
      <c r="AA484" s="198"/>
    </row>
    <row r="485" ht="71.25" customHeight="1">
      <c r="A485" s="285"/>
      <c r="B485" s="299"/>
      <c r="C485" s="285"/>
      <c r="D485" s="367"/>
      <c r="E485" s="287"/>
      <c r="F485" s="285"/>
      <c r="G485" s="288"/>
      <c r="H485" s="367"/>
      <c r="I485" s="301"/>
      <c r="J485" s="377"/>
      <c r="K485" s="294"/>
      <c r="L485" s="294"/>
      <c r="M485" s="290"/>
      <c r="N485" s="285"/>
      <c r="O485" s="299"/>
      <c r="P485" s="300"/>
      <c r="Q485" s="198"/>
      <c r="R485" s="198"/>
      <c r="S485" s="198"/>
      <c r="T485" s="198"/>
      <c r="U485" s="198"/>
      <c r="V485" s="198"/>
      <c r="W485" s="198"/>
      <c r="X485" s="198"/>
      <c r="Y485" s="198"/>
      <c r="Z485" s="198"/>
      <c r="AA485" s="198"/>
    </row>
    <row r="486" ht="68.25" customHeight="1">
      <c r="A486" s="299"/>
      <c r="B486" s="285"/>
      <c r="C486" s="285"/>
      <c r="D486" s="285"/>
      <c r="E486" s="287"/>
      <c r="F486" s="285"/>
      <c r="G486" s="288"/>
      <c r="H486" s="301"/>
      <c r="I486" s="301"/>
      <c r="J486" s="377"/>
      <c r="K486" s="294"/>
      <c r="L486" s="294"/>
      <c r="M486" s="290"/>
      <c r="N486" s="285"/>
      <c r="O486" s="299"/>
      <c r="P486" s="300"/>
      <c r="Q486" s="198"/>
      <c r="R486" s="198"/>
      <c r="S486" s="198"/>
      <c r="T486" s="198"/>
      <c r="U486" s="198"/>
      <c r="V486" s="198"/>
      <c r="W486" s="198"/>
      <c r="X486" s="198"/>
      <c r="Y486" s="198"/>
      <c r="Z486" s="198"/>
      <c r="AA486" s="198"/>
    </row>
    <row r="487" ht="64.5" customHeight="1">
      <c r="A487" s="285"/>
      <c r="B487" s="299"/>
      <c r="C487" s="285"/>
      <c r="D487" s="367"/>
      <c r="E487" s="287"/>
      <c r="F487" s="285"/>
      <c r="G487" s="288"/>
      <c r="H487" s="367"/>
      <c r="I487" s="301"/>
      <c r="J487" s="377"/>
      <c r="K487" s="294"/>
      <c r="L487" s="294"/>
      <c r="M487" s="290"/>
      <c r="N487" s="285"/>
      <c r="O487" s="299"/>
      <c r="P487" s="300"/>
      <c r="Q487" s="198"/>
      <c r="R487" s="198"/>
      <c r="S487" s="198"/>
      <c r="T487" s="198"/>
      <c r="U487" s="198"/>
      <c r="V487" s="198"/>
      <c r="W487" s="198"/>
      <c r="X487" s="198"/>
      <c r="Y487" s="198"/>
      <c r="Z487" s="198"/>
      <c r="AA487" s="198"/>
    </row>
    <row r="488" ht="69.0" customHeight="1">
      <c r="A488" s="285"/>
      <c r="B488" s="299"/>
      <c r="C488" s="285"/>
      <c r="D488" s="367"/>
      <c r="E488" s="287"/>
      <c r="F488" s="285"/>
      <c r="G488" s="288"/>
      <c r="H488" s="367"/>
      <c r="I488" s="301"/>
      <c r="J488" s="377"/>
      <c r="K488" s="294"/>
      <c r="L488" s="294"/>
      <c r="M488" s="290"/>
      <c r="N488" s="285"/>
      <c r="O488" s="299"/>
      <c r="P488" s="300"/>
      <c r="Q488" s="198"/>
      <c r="R488" s="198"/>
      <c r="S488" s="198"/>
      <c r="T488" s="198"/>
      <c r="U488" s="198"/>
      <c r="V488" s="198"/>
      <c r="W488" s="198"/>
      <c r="X488" s="198"/>
      <c r="Y488" s="198"/>
      <c r="Z488" s="198"/>
      <c r="AA488" s="198"/>
    </row>
    <row r="489" ht="64.5" customHeight="1">
      <c r="A489" s="299"/>
      <c r="B489" s="285"/>
      <c r="C489" s="285"/>
      <c r="D489" s="285"/>
      <c r="E489" s="287"/>
      <c r="F489" s="285"/>
      <c r="G489" s="288"/>
      <c r="H489" s="301"/>
      <c r="I489" s="301"/>
      <c r="J489" s="377"/>
      <c r="K489" s="294"/>
      <c r="L489" s="294"/>
      <c r="M489" s="290"/>
      <c r="N489" s="285"/>
      <c r="O489" s="299"/>
      <c r="P489" s="300"/>
      <c r="Q489" s="198"/>
      <c r="R489" s="198"/>
      <c r="S489" s="198"/>
      <c r="T489" s="198"/>
      <c r="U489" s="198"/>
      <c r="V489" s="198"/>
      <c r="W489" s="198"/>
      <c r="X489" s="198"/>
      <c r="Y489" s="198"/>
      <c r="Z489" s="198"/>
      <c r="AA489" s="198"/>
    </row>
    <row r="490" ht="64.5" customHeight="1">
      <c r="A490" s="285"/>
      <c r="B490" s="299"/>
      <c r="C490" s="285"/>
      <c r="D490" s="367"/>
      <c r="E490" s="287"/>
      <c r="F490" s="285"/>
      <c r="G490" s="288"/>
      <c r="H490" s="367"/>
      <c r="I490" s="301"/>
      <c r="J490" s="377"/>
      <c r="K490" s="294"/>
      <c r="L490" s="294"/>
      <c r="M490" s="290"/>
      <c r="N490" s="285"/>
      <c r="O490" s="299"/>
      <c r="P490" s="300"/>
      <c r="Q490" s="198"/>
      <c r="R490" s="198"/>
      <c r="S490" s="198"/>
      <c r="T490" s="198"/>
      <c r="U490" s="198"/>
      <c r="V490" s="198"/>
      <c r="W490" s="198"/>
      <c r="X490" s="198"/>
      <c r="Y490" s="198"/>
      <c r="Z490" s="198"/>
      <c r="AA490" s="198"/>
    </row>
    <row r="491" ht="60.75" customHeight="1">
      <c r="A491" s="285"/>
      <c r="B491" s="299"/>
      <c r="C491" s="285"/>
      <c r="D491" s="367"/>
      <c r="E491" s="287"/>
      <c r="F491" s="285"/>
      <c r="G491" s="288"/>
      <c r="H491" s="367"/>
      <c r="I491" s="301"/>
      <c r="J491" s="377"/>
      <c r="K491" s="294"/>
      <c r="L491" s="294"/>
      <c r="M491" s="290"/>
      <c r="N491" s="285"/>
      <c r="O491" s="299"/>
      <c r="P491" s="300"/>
      <c r="Q491" s="198"/>
      <c r="R491" s="198"/>
      <c r="S491" s="198"/>
      <c r="T491" s="198"/>
      <c r="U491" s="198"/>
      <c r="V491" s="198"/>
      <c r="W491" s="198"/>
      <c r="X491" s="198"/>
      <c r="Y491" s="198"/>
      <c r="Z491" s="198"/>
      <c r="AA491" s="198"/>
    </row>
    <row r="492" ht="62.25" customHeight="1">
      <c r="A492" s="299"/>
      <c r="B492" s="285"/>
      <c r="C492" s="285"/>
      <c r="D492" s="285"/>
      <c r="E492" s="287"/>
      <c r="F492" s="285"/>
      <c r="G492" s="288"/>
      <c r="H492" s="301"/>
      <c r="I492" s="301"/>
      <c r="J492" s="377"/>
      <c r="K492" s="294"/>
      <c r="L492" s="294"/>
      <c r="M492" s="290"/>
      <c r="N492" s="285"/>
      <c r="O492" s="299"/>
      <c r="P492" s="300"/>
      <c r="Q492" s="198"/>
      <c r="R492" s="198"/>
      <c r="S492" s="198"/>
      <c r="T492" s="198"/>
      <c r="U492" s="198"/>
      <c r="V492" s="198"/>
      <c r="W492" s="198"/>
      <c r="X492" s="198"/>
      <c r="Y492" s="198"/>
      <c r="Z492" s="198"/>
      <c r="AA492" s="198"/>
    </row>
    <row r="493" ht="57.75" customHeight="1">
      <c r="A493" s="285"/>
      <c r="B493" s="299"/>
      <c r="C493" s="285"/>
      <c r="D493" s="367"/>
      <c r="E493" s="287"/>
      <c r="F493" s="285"/>
      <c r="G493" s="288"/>
      <c r="H493" s="367"/>
      <c r="I493" s="301"/>
      <c r="J493" s="377"/>
      <c r="K493" s="294"/>
      <c r="L493" s="294"/>
      <c r="M493" s="290"/>
      <c r="N493" s="285"/>
      <c r="O493" s="299"/>
      <c r="P493" s="300"/>
      <c r="Q493" s="198"/>
      <c r="R493" s="198"/>
      <c r="S493" s="198"/>
      <c r="T493" s="198"/>
      <c r="U493" s="198"/>
      <c r="V493" s="198"/>
      <c r="W493" s="198"/>
      <c r="X493" s="198"/>
      <c r="Y493" s="198"/>
      <c r="Z493" s="198"/>
      <c r="AA493" s="198"/>
    </row>
    <row r="494" ht="57.75" customHeight="1">
      <c r="A494" s="285"/>
      <c r="B494" s="299"/>
      <c r="C494" s="285"/>
      <c r="D494" s="367"/>
      <c r="E494" s="287"/>
      <c r="F494" s="285"/>
      <c r="G494" s="288"/>
      <c r="H494" s="367"/>
      <c r="I494" s="301"/>
      <c r="J494" s="377"/>
      <c r="K494" s="294"/>
      <c r="L494" s="294"/>
      <c r="M494" s="290"/>
      <c r="N494" s="285"/>
      <c r="O494" s="299"/>
      <c r="P494" s="300"/>
      <c r="Q494" s="198"/>
      <c r="R494" s="198"/>
      <c r="S494" s="198"/>
      <c r="T494" s="198"/>
      <c r="U494" s="198"/>
      <c r="V494" s="198"/>
      <c r="W494" s="198"/>
      <c r="X494" s="198"/>
      <c r="Y494" s="198"/>
      <c r="Z494" s="198"/>
      <c r="AA494" s="198"/>
    </row>
    <row r="495" ht="57.75" customHeight="1">
      <c r="A495" s="299"/>
      <c r="B495" s="285"/>
      <c r="C495" s="285"/>
      <c r="D495" s="285"/>
      <c r="E495" s="287"/>
      <c r="F495" s="285"/>
      <c r="G495" s="288"/>
      <c r="H495" s="301"/>
      <c r="I495" s="301"/>
      <c r="J495" s="377"/>
      <c r="K495" s="294"/>
      <c r="L495" s="294"/>
      <c r="M495" s="290"/>
      <c r="N495" s="285"/>
      <c r="O495" s="299"/>
      <c r="P495" s="300"/>
      <c r="Q495" s="198"/>
      <c r="R495" s="198"/>
      <c r="S495" s="198"/>
      <c r="T495" s="198"/>
      <c r="U495" s="198"/>
      <c r="V495" s="198"/>
      <c r="W495" s="198"/>
      <c r="X495" s="198"/>
      <c r="Y495" s="198"/>
      <c r="Z495" s="198"/>
      <c r="AA495" s="198"/>
    </row>
    <row r="496" ht="57.75" customHeight="1">
      <c r="A496" s="285"/>
      <c r="B496" s="299"/>
      <c r="C496" s="285"/>
      <c r="D496" s="367"/>
      <c r="E496" s="287"/>
      <c r="F496" s="285"/>
      <c r="G496" s="288"/>
      <c r="H496" s="367"/>
      <c r="I496" s="301"/>
      <c r="J496" s="377"/>
      <c r="K496" s="294"/>
      <c r="L496" s="294"/>
      <c r="M496" s="290"/>
      <c r="N496" s="285"/>
      <c r="O496" s="299"/>
      <c r="P496" s="300"/>
      <c r="Q496" s="198"/>
      <c r="R496" s="198"/>
      <c r="S496" s="198"/>
      <c r="T496" s="198"/>
      <c r="U496" s="198"/>
      <c r="V496" s="198"/>
      <c r="W496" s="198"/>
      <c r="X496" s="198"/>
      <c r="Y496" s="198"/>
      <c r="Z496" s="198"/>
      <c r="AA496" s="198"/>
    </row>
    <row r="497" ht="57.75" customHeight="1">
      <c r="A497" s="285"/>
      <c r="B497" s="299"/>
      <c r="C497" s="285"/>
      <c r="D497" s="367"/>
      <c r="E497" s="287"/>
      <c r="F497" s="285"/>
      <c r="G497" s="288"/>
      <c r="H497" s="367"/>
      <c r="I497" s="301"/>
      <c r="J497" s="377"/>
      <c r="K497" s="294"/>
      <c r="L497" s="294"/>
      <c r="M497" s="290"/>
      <c r="N497" s="285"/>
      <c r="O497" s="299"/>
      <c r="P497" s="300"/>
      <c r="Q497" s="198"/>
      <c r="R497" s="198"/>
      <c r="S497" s="198"/>
      <c r="T497" s="198"/>
      <c r="U497" s="198"/>
      <c r="V497" s="198"/>
      <c r="W497" s="198"/>
      <c r="X497" s="198"/>
      <c r="Y497" s="198"/>
      <c r="Z497" s="198"/>
      <c r="AA497" s="198"/>
    </row>
    <row r="498" ht="57.75" customHeight="1">
      <c r="A498" s="285"/>
      <c r="B498" s="299"/>
      <c r="C498" s="285"/>
      <c r="D498" s="367"/>
      <c r="E498" s="287"/>
      <c r="F498" s="285"/>
      <c r="G498" s="288"/>
      <c r="H498" s="367"/>
      <c r="I498" s="301"/>
      <c r="J498" s="377"/>
      <c r="K498" s="294"/>
      <c r="L498" s="294"/>
      <c r="M498" s="290"/>
      <c r="N498" s="285"/>
      <c r="O498" s="299"/>
      <c r="P498" s="300"/>
      <c r="Q498" s="198"/>
      <c r="R498" s="198"/>
      <c r="S498" s="198"/>
      <c r="T498" s="198"/>
      <c r="U498" s="198"/>
      <c r="V498" s="198"/>
      <c r="W498" s="198"/>
      <c r="X498" s="198"/>
      <c r="Y498" s="198"/>
      <c r="Z498" s="198"/>
      <c r="AA498" s="198"/>
    </row>
    <row r="499" ht="57.75" customHeight="1">
      <c r="A499" s="299"/>
      <c r="B499" s="285"/>
      <c r="C499" s="285"/>
      <c r="D499" s="285"/>
      <c r="E499" s="287"/>
      <c r="F499" s="285"/>
      <c r="G499" s="288"/>
      <c r="H499" s="301"/>
      <c r="I499" s="301"/>
      <c r="J499" s="377"/>
      <c r="K499" s="294"/>
      <c r="L499" s="294"/>
      <c r="M499" s="290"/>
      <c r="N499" s="285"/>
      <c r="O499" s="299"/>
      <c r="P499" s="300"/>
      <c r="Q499" s="198"/>
      <c r="R499" s="198"/>
      <c r="S499" s="198"/>
      <c r="T499" s="198"/>
      <c r="U499" s="198"/>
      <c r="V499" s="198"/>
      <c r="W499" s="198"/>
      <c r="X499" s="198"/>
      <c r="Y499" s="198"/>
      <c r="Z499" s="198"/>
      <c r="AA499" s="198"/>
    </row>
    <row r="500" ht="57.75" customHeight="1">
      <c r="A500" s="285"/>
      <c r="B500" s="299"/>
      <c r="C500" s="285"/>
      <c r="D500" s="367"/>
      <c r="E500" s="287"/>
      <c r="F500" s="285"/>
      <c r="G500" s="288"/>
      <c r="H500" s="367"/>
      <c r="I500" s="301"/>
      <c r="J500" s="377"/>
      <c r="K500" s="294"/>
      <c r="L500" s="294"/>
      <c r="M500" s="290"/>
      <c r="N500" s="285"/>
      <c r="O500" s="299"/>
      <c r="P500" s="300"/>
      <c r="Q500" s="198"/>
      <c r="R500" s="198"/>
      <c r="S500" s="198"/>
      <c r="T500" s="198"/>
      <c r="U500" s="198"/>
      <c r="V500" s="198"/>
      <c r="W500" s="198"/>
      <c r="X500" s="198"/>
      <c r="Y500" s="198"/>
      <c r="Z500" s="198"/>
      <c r="AA500" s="198"/>
    </row>
    <row r="501" ht="57.75" customHeight="1">
      <c r="A501" s="285"/>
      <c r="B501" s="299"/>
      <c r="C501" s="285"/>
      <c r="D501" s="367"/>
      <c r="E501" s="287"/>
      <c r="F501" s="285"/>
      <c r="G501" s="288"/>
      <c r="H501" s="367"/>
      <c r="I501" s="301"/>
      <c r="J501" s="377"/>
      <c r="K501" s="294"/>
      <c r="L501" s="294"/>
      <c r="M501" s="290"/>
      <c r="N501" s="285"/>
      <c r="O501" s="299"/>
      <c r="P501" s="300"/>
      <c r="Q501" s="198"/>
      <c r="R501" s="198"/>
      <c r="S501" s="198"/>
      <c r="T501" s="198"/>
      <c r="U501" s="198"/>
      <c r="V501" s="198"/>
      <c r="W501" s="198"/>
      <c r="X501" s="198"/>
      <c r="Y501" s="198"/>
      <c r="Z501" s="198"/>
      <c r="AA501" s="198"/>
    </row>
    <row r="502" ht="57.75" customHeight="1">
      <c r="A502" s="299"/>
      <c r="B502" s="285"/>
      <c r="C502" s="285"/>
      <c r="D502" s="285"/>
      <c r="E502" s="287"/>
      <c r="F502" s="285"/>
      <c r="G502" s="288"/>
      <c r="H502" s="301"/>
      <c r="I502" s="301"/>
      <c r="J502" s="377"/>
      <c r="K502" s="294"/>
      <c r="L502" s="294"/>
      <c r="M502" s="290"/>
      <c r="N502" s="285"/>
      <c r="O502" s="299"/>
      <c r="P502" s="300"/>
      <c r="Q502" s="198"/>
      <c r="R502" s="198"/>
      <c r="S502" s="198"/>
      <c r="T502" s="198"/>
      <c r="U502" s="198"/>
      <c r="V502" s="198"/>
      <c r="W502" s="198"/>
      <c r="X502" s="198"/>
      <c r="Y502" s="198"/>
      <c r="Z502" s="198"/>
      <c r="AA502" s="198"/>
    </row>
    <row r="503" ht="57.75" customHeight="1">
      <c r="A503" s="285"/>
      <c r="B503" s="299"/>
      <c r="C503" s="285"/>
      <c r="D503" s="367"/>
      <c r="E503" s="287"/>
      <c r="F503" s="285"/>
      <c r="G503" s="288"/>
      <c r="H503" s="367"/>
      <c r="I503" s="301"/>
      <c r="J503" s="377"/>
      <c r="K503" s="294"/>
      <c r="L503" s="294"/>
      <c r="M503" s="290"/>
      <c r="N503" s="285"/>
      <c r="O503" s="299"/>
      <c r="P503" s="300"/>
      <c r="Q503" s="198"/>
      <c r="R503" s="198"/>
      <c r="S503" s="198"/>
      <c r="T503" s="198"/>
      <c r="U503" s="198"/>
      <c r="V503" s="198"/>
      <c r="W503" s="198"/>
      <c r="X503" s="198"/>
      <c r="Y503" s="198"/>
      <c r="Z503" s="198"/>
      <c r="AA503" s="198"/>
    </row>
    <row r="504" ht="57.75" customHeight="1">
      <c r="A504" s="285"/>
      <c r="B504" s="299"/>
      <c r="C504" s="285"/>
      <c r="D504" s="367"/>
      <c r="E504" s="287"/>
      <c r="F504" s="285"/>
      <c r="G504" s="288"/>
      <c r="H504" s="367"/>
      <c r="I504" s="301"/>
      <c r="J504" s="377"/>
      <c r="K504" s="294"/>
      <c r="L504" s="294"/>
      <c r="M504" s="290"/>
      <c r="N504" s="285"/>
      <c r="O504" s="299"/>
      <c r="P504" s="300"/>
      <c r="Q504" s="198"/>
      <c r="R504" s="198"/>
      <c r="S504" s="198"/>
      <c r="T504" s="198"/>
      <c r="U504" s="198"/>
      <c r="V504" s="198"/>
      <c r="W504" s="198"/>
      <c r="X504" s="198"/>
      <c r="Y504" s="198"/>
      <c r="Z504" s="198"/>
      <c r="AA504" s="198"/>
    </row>
    <row r="505" ht="57.75" customHeight="1">
      <c r="A505" s="299"/>
      <c r="B505" s="285"/>
      <c r="C505" s="285"/>
      <c r="D505" s="285"/>
      <c r="E505" s="287"/>
      <c r="F505" s="285"/>
      <c r="G505" s="288"/>
      <c r="H505" s="301"/>
      <c r="I505" s="301"/>
      <c r="J505" s="377"/>
      <c r="K505" s="294"/>
      <c r="L505" s="294"/>
      <c r="M505" s="290"/>
      <c r="N505" s="285"/>
      <c r="O505" s="299"/>
      <c r="P505" s="300"/>
      <c r="Q505" s="198"/>
      <c r="R505" s="198"/>
      <c r="S505" s="198"/>
      <c r="T505" s="198"/>
      <c r="U505" s="198"/>
      <c r="V505" s="198"/>
      <c r="W505" s="198"/>
      <c r="X505" s="198"/>
      <c r="Y505" s="198"/>
      <c r="Z505" s="198"/>
      <c r="AA505" s="198"/>
    </row>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A$305">
    <sortState ref="A2:AA305">
      <sortCondition descending="1" ref="H2:H305"/>
      <sortCondition descending="1" ref="F2:F305"/>
      <sortCondition descending="1" ref="G2:G305"/>
    </sortState>
  </autoFilter>
  <customSheetViews>
    <customSheetView guid="{D323515A-3346-4B3A-AC6E-D498D2CE12A3}" filter="1" showAutoFilter="1">
      <autoFilter ref="$A$2:$AA$505">
        <sortState ref="A2:AA505">
          <sortCondition descending="1" ref="G2:G505"/>
        </sortState>
      </autoFilter>
      <extLst>
        <ext uri="GoogleSheetsCustomDataVersion1">
          <go:sheetsCustomData xmlns:go="http://customooxmlschemas.google.com/" filterViewId="1109515612"/>
        </ext>
      </extLst>
    </customSheetView>
    <customSheetView guid="{A68C8BD8-0AC8-4474-A1AC-D148C94E75F1}" filter="1" showAutoFilter="1">
      <autoFilter ref="$A$2:$AA$505">
        <sortState ref="A2:AA505">
          <sortCondition descending="1" ref="G2:G505"/>
        </sortState>
      </autoFilter>
      <extLst>
        <ext uri="GoogleSheetsCustomDataVersion1">
          <go:sheetsCustomData xmlns:go="http://customooxmlschemas.google.com/" filterViewId="1248003220"/>
        </ext>
      </extLst>
    </customSheetView>
    <customSheetView guid="{20EEC496-0D08-4E73-A8E0-60C165BF345B}" filter="1" showAutoFilter="1">
      <autoFilter ref="$A$2:$AA$505"/>
      <extLst>
        <ext uri="GoogleSheetsCustomDataVersion1">
          <go:sheetsCustomData xmlns:go="http://customooxmlschemas.google.com/" filterViewId="1309833209"/>
        </ext>
      </extLst>
    </customSheetView>
    <customSheetView guid="{95BBA70E-041C-4252-8140-8C60EDD1FE61}" filter="1" showAutoFilter="1">
      <autoFilter ref="$A$2:$AA$505">
        <sortState ref="A2:AA505">
          <sortCondition descending="1" ref="G2:G505"/>
        </sortState>
      </autoFilter>
      <extLst>
        <ext uri="GoogleSheetsCustomDataVersion1">
          <go:sheetsCustomData xmlns:go="http://customooxmlschemas.google.com/" filterViewId="1616012564"/>
        </ext>
      </extLst>
    </customSheetView>
    <customSheetView guid="{00B2829D-B7E0-4616-9A59-3B9A6276FFD8}" filter="1" showAutoFilter="1">
      <autoFilter ref="$A$2:$AA$505">
        <sortState ref="A2:AA505">
          <sortCondition descending="1" ref="G2:G505"/>
        </sortState>
      </autoFilter>
      <extLst>
        <ext uri="GoogleSheetsCustomDataVersion1">
          <go:sheetsCustomData xmlns:go="http://customooxmlschemas.google.com/" filterViewId="331050946"/>
        </ext>
      </extLst>
    </customSheetView>
    <customSheetView guid="{7D5F711D-5A8F-448B-80F8-7ED115B7D700}" filter="1" showAutoFilter="1">
      <autoFilter ref="$A$2:$AA$505">
        <sortState ref="A2:AA505">
          <sortCondition descending="1" ref="G2:G505"/>
        </sortState>
      </autoFilter>
      <extLst>
        <ext uri="GoogleSheetsCustomDataVersion1">
          <go:sheetsCustomData xmlns:go="http://customooxmlschemas.google.com/" filterViewId="736297259"/>
        </ext>
      </extLst>
    </customSheetView>
  </customSheetViews>
  <conditionalFormatting sqref="A2:AA2">
    <cfRule type="notContainsBlanks" dxfId="0" priority="1">
      <formula>LEN(TRIM(A2))&gt;0</formula>
    </cfRule>
  </conditionalFormatting>
  <hyperlinks>
    <hyperlink r:id="rId1" ref="A5"/>
    <hyperlink r:id="rId2" ref="A6"/>
    <hyperlink r:id="rId3" ref="A7"/>
    <hyperlink r:id="rId4" ref="A8"/>
    <hyperlink r:id="rId5" ref="A9"/>
    <hyperlink r:id="rId6" ref="A10"/>
    <hyperlink r:id="rId7" ref="A11"/>
    <hyperlink r:id="rId8" ref="A12"/>
    <hyperlink r:id="rId9" ref="A13"/>
    <hyperlink r:id="rId10" ref="A14"/>
    <hyperlink r:id="rId11" ref="A15"/>
    <hyperlink r:id="rId12" ref="A16"/>
    <hyperlink r:id="rId13" ref="A17"/>
    <hyperlink r:id="rId14" ref="A18"/>
    <hyperlink r:id="rId15" ref="A19"/>
    <hyperlink r:id="rId16" ref="A20"/>
    <hyperlink r:id="rId17" ref="A21"/>
    <hyperlink r:id="rId18" ref="A22"/>
    <hyperlink r:id="rId19" ref="A23"/>
    <hyperlink r:id="rId20" ref="A24"/>
    <hyperlink r:id="rId21" ref="A25"/>
    <hyperlink r:id="rId22" ref="A26"/>
    <hyperlink r:id="rId23" ref="A27"/>
    <hyperlink r:id="rId24" ref="A28"/>
    <hyperlink r:id="rId25" ref="A29"/>
    <hyperlink r:id="rId26" ref="A30"/>
    <hyperlink r:id="rId27" ref="A31"/>
    <hyperlink r:id="rId28" ref="A32"/>
    <hyperlink r:id="rId29" ref="A33"/>
    <hyperlink r:id="rId30" ref="A34"/>
    <hyperlink r:id="rId31" ref="A35"/>
    <hyperlink r:id="rId32" ref="A36"/>
    <hyperlink r:id="rId33" ref="A37"/>
    <hyperlink r:id="rId34" ref="A38"/>
    <hyperlink r:id="rId35" ref="A39"/>
    <hyperlink r:id="rId36" ref="A40"/>
    <hyperlink r:id="rId37" ref="A41"/>
    <hyperlink r:id="rId38" ref="A42"/>
    <hyperlink r:id="rId39" ref="A43"/>
    <hyperlink r:id="rId40" ref="A44"/>
    <hyperlink r:id="rId41" ref="A45"/>
    <hyperlink r:id="rId42" ref="A46"/>
    <hyperlink r:id="rId43" ref="A47"/>
    <hyperlink r:id="rId44" ref="A48"/>
    <hyperlink r:id="rId45" ref="A49"/>
    <hyperlink r:id="rId46" ref="A50"/>
    <hyperlink r:id="rId47" ref="A51"/>
    <hyperlink r:id="rId48" ref="A52"/>
    <hyperlink r:id="rId49" ref="A53"/>
    <hyperlink r:id="rId50" ref="A54"/>
    <hyperlink r:id="rId51" ref="A55"/>
    <hyperlink r:id="rId52" ref="A56"/>
    <hyperlink r:id="rId53" ref="A57"/>
    <hyperlink r:id="rId54" ref="A58"/>
    <hyperlink r:id="rId55" ref="A59"/>
    <hyperlink r:id="rId56" ref="A60"/>
    <hyperlink r:id="rId57" ref="A61"/>
    <hyperlink r:id="rId58" ref="A62"/>
    <hyperlink r:id="rId59" ref="A63"/>
    <hyperlink r:id="rId60" ref="A64"/>
    <hyperlink r:id="rId61" ref="A65"/>
    <hyperlink r:id="rId62" ref="A66"/>
    <hyperlink r:id="rId63" ref="A67"/>
    <hyperlink r:id="rId64" ref="A68"/>
    <hyperlink r:id="rId65" ref="A69"/>
    <hyperlink r:id="rId66" ref="A70"/>
    <hyperlink r:id="rId67" ref="A71"/>
    <hyperlink r:id="rId68" ref="A72"/>
    <hyperlink r:id="rId69" ref="A73"/>
    <hyperlink r:id="rId70" ref="A74"/>
    <hyperlink r:id="rId71" ref="A75"/>
    <hyperlink r:id="rId72" ref="A76"/>
    <hyperlink r:id="rId73" ref="A77"/>
    <hyperlink r:id="rId74" ref="A78"/>
    <hyperlink r:id="rId75" ref="A79"/>
    <hyperlink r:id="rId76" ref="A80"/>
    <hyperlink r:id="rId77" ref="A81"/>
    <hyperlink r:id="rId78" ref="A82"/>
    <hyperlink r:id="rId79" ref="A83"/>
    <hyperlink r:id="rId80" ref="A84"/>
    <hyperlink r:id="rId81" ref="A85"/>
    <hyperlink r:id="rId82" ref="A86"/>
    <hyperlink r:id="rId83" ref="A87"/>
    <hyperlink r:id="rId84" ref="A88"/>
    <hyperlink r:id="rId85" ref="A89"/>
    <hyperlink r:id="rId86" ref="A90"/>
    <hyperlink r:id="rId87" ref="A91"/>
    <hyperlink r:id="rId88" ref="A92"/>
    <hyperlink r:id="rId89" ref="A93"/>
    <hyperlink r:id="rId90" ref="A94"/>
    <hyperlink r:id="rId91" ref="A95"/>
    <hyperlink r:id="rId92" ref="A96"/>
    <hyperlink r:id="rId93" ref="A97"/>
    <hyperlink r:id="rId94" ref="A98"/>
    <hyperlink r:id="rId95" ref="A99"/>
    <hyperlink r:id="rId96" ref="A100"/>
    <hyperlink r:id="rId97" ref="A101"/>
    <hyperlink r:id="rId98" ref="A102"/>
    <hyperlink r:id="rId99" ref="A103"/>
    <hyperlink r:id="rId100" ref="A104"/>
    <hyperlink r:id="rId101" ref="A105"/>
    <hyperlink r:id="rId102" ref="A106"/>
    <hyperlink r:id="rId103" ref="A107"/>
    <hyperlink r:id="rId104" ref="A108"/>
    <hyperlink r:id="rId105" ref="A109"/>
    <hyperlink r:id="rId106" ref="A110"/>
    <hyperlink r:id="rId107" ref="A111"/>
    <hyperlink r:id="rId108" ref="A112"/>
    <hyperlink r:id="rId109" ref="A113"/>
    <hyperlink r:id="rId110" ref="A114"/>
    <hyperlink r:id="rId111" ref="A115"/>
    <hyperlink r:id="rId112" ref="A116"/>
    <hyperlink r:id="rId113" ref="A117"/>
    <hyperlink r:id="rId114" ref="A118"/>
    <hyperlink r:id="rId115" ref="A119"/>
    <hyperlink r:id="rId116" ref="A120"/>
    <hyperlink r:id="rId117" ref="A121"/>
    <hyperlink r:id="rId118" ref="A122"/>
    <hyperlink r:id="rId119" ref="A123"/>
    <hyperlink r:id="rId120" ref="A124"/>
    <hyperlink r:id="rId121" ref="A125"/>
    <hyperlink r:id="rId122" ref="A126"/>
    <hyperlink r:id="rId123" ref="A127"/>
    <hyperlink r:id="rId124" ref="A128"/>
    <hyperlink r:id="rId125" ref="A129"/>
    <hyperlink r:id="rId126" ref="A130"/>
    <hyperlink r:id="rId127" ref="A131"/>
    <hyperlink r:id="rId128" ref="A132"/>
    <hyperlink r:id="rId129" ref="A133"/>
    <hyperlink r:id="rId130" ref="A134"/>
    <hyperlink r:id="rId131" ref="A135"/>
    <hyperlink r:id="rId132" ref="A136"/>
    <hyperlink r:id="rId133" ref="A137"/>
    <hyperlink r:id="rId134" ref="A138"/>
    <hyperlink r:id="rId135" ref="A139"/>
    <hyperlink r:id="rId136" ref="A140"/>
    <hyperlink r:id="rId137" ref="A141"/>
    <hyperlink r:id="rId138" ref="A142"/>
    <hyperlink r:id="rId139" ref="A143"/>
    <hyperlink r:id="rId140" ref="A144"/>
    <hyperlink r:id="rId141" ref="A145"/>
    <hyperlink r:id="rId142" ref="A146"/>
    <hyperlink r:id="rId143" ref="A147"/>
    <hyperlink r:id="rId144" ref="A148"/>
    <hyperlink r:id="rId145" ref="A149"/>
    <hyperlink r:id="rId146" ref="A150"/>
    <hyperlink r:id="rId147" ref="A151"/>
    <hyperlink r:id="rId148" ref="A152"/>
    <hyperlink r:id="rId149" ref="A153"/>
    <hyperlink r:id="rId150" ref="A154"/>
    <hyperlink r:id="rId151" ref="A155"/>
    <hyperlink r:id="rId152" ref="A156"/>
    <hyperlink r:id="rId153" ref="A157"/>
    <hyperlink r:id="rId154" ref="A158"/>
    <hyperlink r:id="rId155" ref="A159"/>
    <hyperlink r:id="rId156" ref="A160"/>
    <hyperlink r:id="rId157" ref="A161"/>
    <hyperlink r:id="rId158" ref="A162"/>
    <hyperlink r:id="rId159" ref="A163"/>
    <hyperlink r:id="rId160" ref="A164"/>
    <hyperlink r:id="rId161" ref="A165"/>
    <hyperlink r:id="rId162" ref="A166"/>
    <hyperlink r:id="rId163" ref="A167"/>
    <hyperlink r:id="rId164" ref="A168"/>
    <hyperlink r:id="rId165" ref="A169"/>
    <hyperlink r:id="rId166" ref="A170"/>
    <hyperlink r:id="rId167" ref="A171"/>
    <hyperlink r:id="rId168" ref="A172"/>
    <hyperlink r:id="rId169" ref="A173"/>
    <hyperlink r:id="rId170" ref="A174"/>
    <hyperlink r:id="rId171" ref="A175"/>
    <hyperlink r:id="rId172" ref="A176"/>
    <hyperlink r:id="rId173" ref="A177"/>
    <hyperlink r:id="rId174" ref="A178"/>
    <hyperlink r:id="rId175" ref="A179"/>
    <hyperlink r:id="rId176" ref="A180"/>
    <hyperlink r:id="rId177" ref="A181"/>
    <hyperlink r:id="rId178" ref="A182"/>
    <hyperlink r:id="rId179" ref="A183"/>
    <hyperlink r:id="rId180" ref="A184"/>
    <hyperlink r:id="rId181" ref="A185"/>
    <hyperlink r:id="rId182" ref="A186"/>
    <hyperlink r:id="rId183" ref="A187"/>
    <hyperlink r:id="rId184" ref="A188"/>
    <hyperlink r:id="rId185" ref="A189"/>
    <hyperlink r:id="rId186" ref="A190"/>
    <hyperlink r:id="rId187" ref="A191"/>
    <hyperlink r:id="rId188" ref="A192"/>
    <hyperlink r:id="rId189" ref="A193"/>
    <hyperlink r:id="rId190" ref="A194"/>
    <hyperlink r:id="rId191" ref="A195"/>
    <hyperlink r:id="rId192" ref="A196"/>
    <hyperlink r:id="rId193" ref="A197"/>
    <hyperlink r:id="rId194" ref="A198"/>
    <hyperlink r:id="rId195" ref="A199"/>
    <hyperlink r:id="rId196" ref="A200"/>
    <hyperlink r:id="rId197" ref="A201"/>
    <hyperlink r:id="rId198" ref="A202"/>
    <hyperlink r:id="rId199" ref="A203"/>
    <hyperlink r:id="rId200" ref="A204"/>
    <hyperlink r:id="rId201" ref="A205"/>
    <hyperlink r:id="rId202" ref="A206"/>
    <hyperlink r:id="rId203" ref="A207"/>
    <hyperlink r:id="rId204" ref="A208"/>
    <hyperlink r:id="rId205" ref="A209"/>
    <hyperlink r:id="rId206" ref="A210"/>
    <hyperlink r:id="rId207" ref="A211"/>
    <hyperlink r:id="rId208" ref="A212"/>
    <hyperlink r:id="rId209" ref="A213"/>
    <hyperlink r:id="rId210" ref="A214"/>
    <hyperlink r:id="rId211" ref="A215"/>
    <hyperlink r:id="rId212" ref="A216"/>
    <hyperlink r:id="rId213" ref="A217"/>
    <hyperlink r:id="rId214" ref="A218"/>
    <hyperlink r:id="rId215" ref="A219"/>
    <hyperlink r:id="rId216" ref="A220"/>
    <hyperlink r:id="rId217" ref="A221"/>
    <hyperlink r:id="rId218" ref="A222"/>
    <hyperlink r:id="rId219" ref="A223"/>
    <hyperlink r:id="rId220" ref="A224"/>
    <hyperlink r:id="rId221" ref="A225"/>
    <hyperlink r:id="rId222" ref="A226"/>
    <hyperlink r:id="rId223" ref="A227"/>
    <hyperlink r:id="rId224" ref="A228"/>
    <hyperlink r:id="rId225" ref="A229"/>
    <hyperlink r:id="rId226" ref="A230"/>
    <hyperlink r:id="rId227" ref="A231"/>
    <hyperlink r:id="rId228" ref="A232"/>
    <hyperlink r:id="rId229" ref="A233"/>
    <hyperlink r:id="rId230" ref="A234"/>
    <hyperlink r:id="rId231" ref="A235"/>
    <hyperlink r:id="rId232" ref="A236"/>
    <hyperlink r:id="rId233" ref="A237"/>
    <hyperlink r:id="rId234" ref="A238"/>
    <hyperlink r:id="rId235" ref="A239"/>
    <hyperlink r:id="rId236" ref="A240"/>
    <hyperlink r:id="rId237" ref="A241"/>
    <hyperlink r:id="rId238" ref="A242"/>
    <hyperlink r:id="rId239" ref="A243"/>
    <hyperlink r:id="rId240" ref="A244"/>
    <hyperlink r:id="rId241" ref="A245"/>
    <hyperlink r:id="rId242" ref="A246"/>
    <hyperlink r:id="rId243" ref="A247"/>
    <hyperlink r:id="rId244" ref="A248"/>
    <hyperlink r:id="rId245" ref="A249"/>
    <hyperlink r:id="rId246" ref="A250"/>
    <hyperlink r:id="rId247" ref="A251"/>
    <hyperlink r:id="rId248" ref="A252"/>
    <hyperlink r:id="rId249" ref="A253"/>
    <hyperlink r:id="rId250" ref="A254"/>
    <hyperlink r:id="rId251" ref="A255"/>
    <hyperlink r:id="rId252" ref="A256"/>
    <hyperlink r:id="rId253" ref="A257"/>
    <hyperlink r:id="rId254" ref="A258"/>
    <hyperlink r:id="rId255" ref="A259"/>
    <hyperlink r:id="rId256" ref="A260"/>
    <hyperlink r:id="rId257" ref="A261"/>
    <hyperlink r:id="rId258" ref="A262"/>
    <hyperlink r:id="rId259" ref="A263"/>
    <hyperlink r:id="rId260" ref="A264"/>
    <hyperlink r:id="rId261" ref="A265"/>
    <hyperlink r:id="rId262" ref="A266"/>
    <hyperlink r:id="rId263" ref="A267"/>
    <hyperlink r:id="rId264" ref="A268"/>
    <hyperlink r:id="rId265" ref="A269"/>
    <hyperlink r:id="rId266" ref="A270"/>
    <hyperlink r:id="rId267" ref="A271"/>
    <hyperlink r:id="rId268" ref="A272"/>
    <hyperlink r:id="rId269" ref="A273"/>
    <hyperlink r:id="rId270" ref="A274"/>
    <hyperlink r:id="rId271" ref="A275"/>
    <hyperlink r:id="rId272" ref="A276"/>
    <hyperlink r:id="rId273" ref="A277"/>
    <hyperlink r:id="rId274" ref="A278"/>
    <hyperlink r:id="rId275" ref="A279"/>
    <hyperlink r:id="rId276" ref="A280"/>
    <hyperlink r:id="rId277" ref="A281"/>
    <hyperlink r:id="rId278" ref="A282"/>
    <hyperlink r:id="rId279" ref="A283"/>
    <hyperlink r:id="rId280" ref="A284"/>
    <hyperlink r:id="rId281" ref="A285"/>
    <hyperlink r:id="rId282" ref="A286"/>
    <hyperlink r:id="rId283" ref="A287"/>
    <hyperlink r:id="rId284" ref="A288"/>
    <hyperlink r:id="rId285" ref="A289"/>
    <hyperlink r:id="rId286" ref="A290"/>
    <hyperlink r:id="rId287" ref="A291"/>
    <hyperlink r:id="rId288" ref="A292"/>
    <hyperlink r:id="rId289" ref="A293"/>
    <hyperlink r:id="rId290" ref="A294"/>
    <hyperlink r:id="rId291" ref="A295"/>
    <hyperlink r:id="rId292" ref="A296"/>
    <hyperlink r:id="rId293" ref="A297"/>
    <hyperlink r:id="rId294" ref="A298"/>
    <hyperlink r:id="rId295" ref="A299"/>
    <hyperlink r:id="rId296" ref="A300"/>
    <hyperlink r:id="rId297" ref="A301"/>
    <hyperlink r:id="rId298" ref="A302"/>
    <hyperlink r:id="rId299" ref="A303"/>
    <hyperlink r:id="rId300" ref="A304"/>
    <hyperlink r:id="rId301" ref="A305"/>
  </hyperlinks>
  <printOptions gridLines="1" horizontalCentered="1"/>
  <pageMargins bottom="0.75" footer="0.0" header="0.0" left="0.7" right="0.7" top="0.75"/>
  <pageSetup fitToHeight="0" cellComments="atEnd" orientation="landscape" pageOrder="overThenDown"/>
  <drawing r:id="rId30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86"/>
    <col customWidth="1" min="2" max="2" width="14.14"/>
    <col customWidth="1" min="3" max="3" width="12.43"/>
    <col customWidth="1" min="4" max="4" width="18.43"/>
    <col customWidth="1" min="5" max="5" width="38.71"/>
    <col customWidth="1" min="6" max="6" width="11.86"/>
    <col customWidth="1" min="7" max="7" width="13.29"/>
    <col customWidth="1" min="8" max="8" width="13.86"/>
    <col customWidth="1" min="9" max="9" width="54.57"/>
    <col customWidth="1" min="10" max="11" width="13.14"/>
    <col customWidth="1" min="12" max="12" width="40.29"/>
    <col customWidth="1" min="14" max="14" width="21.86"/>
  </cols>
  <sheetData>
    <row r="1" ht="33.75" customHeight="1">
      <c r="A1" s="218" t="s">
        <v>1023</v>
      </c>
      <c r="B1" s="389" t="s">
        <v>5513</v>
      </c>
      <c r="C1" s="180"/>
      <c r="D1" s="390" t="s">
        <v>5514</v>
      </c>
      <c r="E1" s="182" t="s">
        <v>1674</v>
      </c>
      <c r="F1" s="182" t="s">
        <v>5914</v>
      </c>
      <c r="G1" s="182" t="s">
        <v>5915</v>
      </c>
      <c r="H1" s="184" t="s">
        <v>2106</v>
      </c>
      <c r="I1" s="184" t="s">
        <v>2107</v>
      </c>
      <c r="J1" s="164"/>
      <c r="K1" s="164"/>
      <c r="L1" s="182"/>
      <c r="M1" s="189"/>
      <c r="N1" s="189"/>
      <c r="O1" s="189"/>
      <c r="P1" s="189"/>
      <c r="Q1" s="189"/>
      <c r="R1" s="189"/>
      <c r="S1" s="189"/>
      <c r="T1" s="189"/>
      <c r="U1" s="189"/>
      <c r="V1" s="189"/>
      <c r="W1" s="189"/>
      <c r="X1" s="189"/>
      <c r="Y1" s="189"/>
    </row>
    <row r="2" ht="12.75" customHeight="1">
      <c r="A2" s="185" t="s">
        <v>2108</v>
      </c>
      <c r="B2" s="413" t="s">
        <v>5515</v>
      </c>
      <c r="C2" s="185" t="s">
        <v>2110</v>
      </c>
      <c r="D2" s="226" t="s">
        <v>10</v>
      </c>
      <c r="E2" s="185" t="s">
        <v>11</v>
      </c>
      <c r="F2" s="185" t="s">
        <v>5916</v>
      </c>
      <c r="G2" s="187" t="s">
        <v>12</v>
      </c>
      <c r="H2" s="187" t="s">
        <v>12</v>
      </c>
      <c r="I2" s="185" t="s">
        <v>8180</v>
      </c>
      <c r="J2" s="185" t="s">
        <v>2111</v>
      </c>
      <c r="K2" s="185" t="s">
        <v>2112</v>
      </c>
      <c r="L2" s="185" t="s">
        <v>2113</v>
      </c>
      <c r="M2" s="189"/>
      <c r="N2" s="189"/>
      <c r="O2" s="189"/>
      <c r="P2" s="189"/>
      <c r="Q2" s="189"/>
      <c r="R2" s="189"/>
      <c r="S2" s="189"/>
      <c r="T2" s="189"/>
      <c r="U2" s="189"/>
      <c r="V2" s="189"/>
      <c r="W2" s="189"/>
      <c r="X2" s="189"/>
      <c r="Y2" s="189"/>
    </row>
    <row r="3" ht="76.5" customHeight="1">
      <c r="A3" s="243">
        <v>8.500000214E9</v>
      </c>
      <c r="B3" s="191" t="s">
        <v>25</v>
      </c>
      <c r="C3" s="215" t="s">
        <v>8181</v>
      </c>
      <c r="D3" s="393" t="s">
        <v>8182</v>
      </c>
      <c r="E3" s="207" t="s">
        <v>8183</v>
      </c>
      <c r="F3" s="215" t="s">
        <v>5919</v>
      </c>
      <c r="G3" s="405">
        <v>45282.0</v>
      </c>
      <c r="H3" s="405">
        <v>45278.0</v>
      </c>
      <c r="I3" s="405" t="s">
        <v>8184</v>
      </c>
      <c r="J3" s="220"/>
      <c r="K3" s="220"/>
      <c r="L3" s="207" t="s">
        <v>8185</v>
      </c>
      <c r="M3" s="157"/>
      <c r="N3" s="157"/>
      <c r="O3" s="157"/>
      <c r="P3" s="157"/>
      <c r="Q3" s="157"/>
      <c r="R3" s="157"/>
      <c r="S3" s="157"/>
      <c r="T3" s="157"/>
      <c r="U3" s="157"/>
      <c r="V3" s="157"/>
      <c r="W3" s="157"/>
      <c r="X3" s="157"/>
      <c r="Y3" s="157"/>
    </row>
    <row r="4" ht="65.25" customHeight="1">
      <c r="A4" s="243">
        <v>8.500000209E9</v>
      </c>
      <c r="B4" s="191" t="s">
        <v>14</v>
      </c>
      <c r="C4" s="215" t="s">
        <v>8186</v>
      </c>
      <c r="D4" s="215" t="s">
        <v>8187</v>
      </c>
      <c r="E4" s="207" t="s">
        <v>8183</v>
      </c>
      <c r="F4" s="215" t="s">
        <v>5919</v>
      </c>
      <c r="G4" s="405">
        <v>45281.0</v>
      </c>
      <c r="H4" s="405">
        <v>45278.0</v>
      </c>
      <c r="I4" s="405">
        <v>45287.0</v>
      </c>
      <c r="J4" s="220"/>
      <c r="K4" s="220"/>
      <c r="L4" s="207" t="s">
        <v>8188</v>
      </c>
      <c r="M4" s="157"/>
      <c r="N4" s="157"/>
      <c r="O4" s="157"/>
      <c r="P4" s="157"/>
      <c r="Q4" s="157"/>
      <c r="R4" s="157"/>
      <c r="S4" s="157"/>
      <c r="T4" s="157"/>
      <c r="U4" s="157"/>
      <c r="V4" s="157"/>
      <c r="W4" s="157"/>
      <c r="X4" s="157"/>
      <c r="Y4" s="157"/>
    </row>
    <row r="5" ht="65.25" customHeight="1">
      <c r="A5" s="243">
        <v>8.600002588E9</v>
      </c>
      <c r="B5" s="191" t="s">
        <v>21</v>
      </c>
      <c r="C5" s="215" t="s">
        <v>3436</v>
      </c>
      <c r="D5" s="215" t="s">
        <v>8189</v>
      </c>
      <c r="E5" s="207" t="s">
        <v>8190</v>
      </c>
      <c r="F5" s="215" t="s">
        <v>5919</v>
      </c>
      <c r="G5" s="405">
        <v>45279.0</v>
      </c>
      <c r="H5" s="405">
        <v>45272.0</v>
      </c>
      <c r="I5" s="405">
        <v>45286.0</v>
      </c>
      <c r="J5" s="220"/>
      <c r="K5" s="220"/>
      <c r="L5" s="207" t="s">
        <v>8191</v>
      </c>
      <c r="M5" s="157"/>
      <c r="N5" s="157"/>
      <c r="O5" s="157"/>
      <c r="P5" s="157"/>
      <c r="Q5" s="157"/>
      <c r="R5" s="157"/>
      <c r="S5" s="157"/>
      <c r="T5" s="157"/>
      <c r="U5" s="157"/>
      <c r="V5" s="157"/>
      <c r="W5" s="157"/>
      <c r="X5" s="157"/>
      <c r="Y5" s="157"/>
    </row>
    <row r="6" ht="69.75" customHeight="1">
      <c r="A6" s="243">
        <v>8.600002597E9</v>
      </c>
      <c r="B6" s="191" t="s">
        <v>25</v>
      </c>
      <c r="C6" s="215" t="s">
        <v>5826</v>
      </c>
      <c r="D6" s="215" t="s">
        <v>8192</v>
      </c>
      <c r="E6" s="207" t="s">
        <v>8190</v>
      </c>
      <c r="F6" s="215" t="s">
        <v>5919</v>
      </c>
      <c r="G6" s="405">
        <v>45279.0</v>
      </c>
      <c r="H6" s="405">
        <v>45274.0</v>
      </c>
      <c r="I6" s="405">
        <v>45282.0</v>
      </c>
      <c r="J6" s="220"/>
      <c r="K6" s="220"/>
      <c r="L6" s="207" t="s">
        <v>8193</v>
      </c>
      <c r="M6" s="157"/>
      <c r="N6" s="157"/>
      <c r="O6" s="157"/>
      <c r="P6" s="157"/>
      <c r="Q6" s="157"/>
      <c r="R6" s="157"/>
      <c r="S6" s="157"/>
      <c r="T6" s="157"/>
      <c r="U6" s="157"/>
      <c r="V6" s="157"/>
      <c r="W6" s="157"/>
      <c r="X6" s="157"/>
      <c r="Y6" s="157"/>
    </row>
    <row r="7" ht="70.5" customHeight="1">
      <c r="A7" s="243">
        <v>8.500000208E9</v>
      </c>
      <c r="B7" s="191" t="s">
        <v>14</v>
      </c>
      <c r="C7" s="215" t="s">
        <v>6186</v>
      </c>
      <c r="D7" s="215" t="s">
        <v>8194</v>
      </c>
      <c r="E7" s="207" t="s">
        <v>8183</v>
      </c>
      <c r="F7" s="215" t="s">
        <v>5919</v>
      </c>
      <c r="G7" s="405">
        <v>45274.0</v>
      </c>
      <c r="H7" s="405">
        <v>45272.0</v>
      </c>
      <c r="I7" s="405">
        <v>45280.0</v>
      </c>
      <c r="J7" s="220"/>
      <c r="K7" s="220"/>
      <c r="L7" s="207" t="s">
        <v>8195</v>
      </c>
      <c r="M7" s="157"/>
      <c r="N7" s="157"/>
      <c r="O7" s="157"/>
      <c r="P7" s="157"/>
      <c r="Q7" s="157"/>
      <c r="R7" s="157"/>
      <c r="S7" s="157"/>
      <c r="T7" s="157"/>
      <c r="U7" s="157"/>
      <c r="V7" s="157"/>
      <c r="W7" s="157"/>
      <c r="X7" s="157"/>
      <c r="Y7" s="157"/>
    </row>
    <row r="8" ht="81.0" customHeight="1">
      <c r="A8" s="243">
        <v>8.600002563E9</v>
      </c>
      <c r="B8" s="191" t="s">
        <v>14</v>
      </c>
      <c r="C8" s="215" t="s">
        <v>6095</v>
      </c>
      <c r="D8" s="215" t="s">
        <v>8196</v>
      </c>
      <c r="E8" s="207" t="s">
        <v>5926</v>
      </c>
      <c r="F8" s="215" t="s">
        <v>5919</v>
      </c>
      <c r="G8" s="405">
        <v>45274.0</v>
      </c>
      <c r="H8" s="405">
        <v>45272.0</v>
      </c>
      <c r="I8" s="215" t="s">
        <v>8197</v>
      </c>
      <c r="J8" s="220"/>
      <c r="K8" s="220"/>
      <c r="L8" s="207" t="s">
        <v>8198</v>
      </c>
      <c r="M8" s="157"/>
      <c r="N8" s="157"/>
      <c r="O8" s="157"/>
      <c r="P8" s="157"/>
      <c r="Q8" s="157"/>
      <c r="R8" s="157"/>
      <c r="S8" s="157"/>
      <c r="T8" s="157"/>
      <c r="U8" s="157"/>
      <c r="V8" s="157"/>
      <c r="W8" s="157"/>
      <c r="X8" s="157"/>
      <c r="Y8" s="157"/>
    </row>
    <row r="9" ht="65.25" customHeight="1">
      <c r="A9" s="243">
        <v>8.500000207E9</v>
      </c>
      <c r="B9" s="191" t="s">
        <v>14</v>
      </c>
      <c r="C9" s="215" t="s">
        <v>6186</v>
      </c>
      <c r="D9" s="215" t="s">
        <v>8199</v>
      </c>
      <c r="E9" s="207" t="s">
        <v>8183</v>
      </c>
      <c r="F9" s="215" t="s">
        <v>5919</v>
      </c>
      <c r="G9" s="405">
        <v>45267.0</v>
      </c>
      <c r="H9" s="405">
        <v>45264.0</v>
      </c>
      <c r="I9" s="405">
        <v>45273.0</v>
      </c>
      <c r="J9" s="220"/>
      <c r="K9" s="220"/>
      <c r="L9" s="207" t="s">
        <v>8200</v>
      </c>
      <c r="M9" s="157"/>
      <c r="N9" s="157"/>
      <c r="O9" s="157"/>
      <c r="P9" s="157"/>
      <c r="Q9" s="157"/>
      <c r="R9" s="157"/>
      <c r="S9" s="157"/>
      <c r="T9" s="157"/>
      <c r="U9" s="157"/>
      <c r="V9" s="157"/>
      <c r="W9" s="157"/>
      <c r="X9" s="157"/>
      <c r="Y9" s="157"/>
    </row>
    <row r="10" ht="65.25" customHeight="1">
      <c r="A10" s="243">
        <v>8.500000206E9</v>
      </c>
      <c r="B10" s="191" t="s">
        <v>14</v>
      </c>
      <c r="C10" s="215" t="s">
        <v>5539</v>
      </c>
      <c r="D10" s="215" t="s">
        <v>8201</v>
      </c>
      <c r="E10" s="207" t="s">
        <v>2116</v>
      </c>
      <c r="F10" s="215" t="s">
        <v>5919</v>
      </c>
      <c r="G10" s="405">
        <v>45267.0</v>
      </c>
      <c r="H10" s="405">
        <v>45264.0</v>
      </c>
      <c r="I10" s="405">
        <v>45273.0</v>
      </c>
      <c r="J10" s="220"/>
      <c r="K10" s="220"/>
      <c r="L10" s="207" t="s">
        <v>8202</v>
      </c>
      <c r="M10" s="157"/>
      <c r="N10" s="157"/>
      <c r="O10" s="157"/>
      <c r="P10" s="157"/>
      <c r="Q10" s="157"/>
      <c r="R10" s="157"/>
      <c r="S10" s="157"/>
      <c r="T10" s="157"/>
      <c r="U10" s="157"/>
      <c r="V10" s="157"/>
      <c r="W10" s="157"/>
      <c r="X10" s="157"/>
      <c r="Y10" s="157"/>
    </row>
    <row r="11" ht="65.25" customHeight="1">
      <c r="A11" s="243">
        <v>8.500000205E9</v>
      </c>
      <c r="B11" s="191" t="s">
        <v>14</v>
      </c>
      <c r="C11" s="215" t="s">
        <v>5634</v>
      </c>
      <c r="D11" s="215" t="s">
        <v>8203</v>
      </c>
      <c r="E11" s="207" t="s">
        <v>8183</v>
      </c>
      <c r="F11" s="215" t="s">
        <v>5919</v>
      </c>
      <c r="G11" s="405">
        <v>45260.0</v>
      </c>
      <c r="H11" s="405">
        <v>45260.0</v>
      </c>
      <c r="I11" s="215" t="s">
        <v>8204</v>
      </c>
      <c r="J11" s="220"/>
      <c r="K11" s="220"/>
      <c r="L11" s="207" t="s">
        <v>8205</v>
      </c>
      <c r="M11" s="157"/>
      <c r="N11" s="157"/>
      <c r="O11" s="157"/>
      <c r="P11" s="157"/>
      <c r="Q11" s="157"/>
      <c r="R11" s="157"/>
      <c r="S11" s="157"/>
      <c r="T11" s="157"/>
      <c r="U11" s="157"/>
      <c r="V11" s="157"/>
      <c r="W11" s="157"/>
      <c r="X11" s="157"/>
      <c r="Y11" s="157"/>
    </row>
    <row r="12" ht="65.25" customHeight="1">
      <c r="A12" s="243">
        <v>8.600002557E9</v>
      </c>
      <c r="B12" s="191" t="s">
        <v>21</v>
      </c>
      <c r="C12" s="215" t="s">
        <v>3386</v>
      </c>
      <c r="D12" s="215" t="s">
        <v>8206</v>
      </c>
      <c r="E12" s="207" t="s">
        <v>8190</v>
      </c>
      <c r="F12" s="215" t="s">
        <v>5919</v>
      </c>
      <c r="G12" s="405">
        <v>45253.0</v>
      </c>
      <c r="H12" s="405">
        <v>45250.0</v>
      </c>
      <c r="I12" s="405">
        <v>45260.0</v>
      </c>
      <c r="J12" s="220"/>
      <c r="K12" s="220"/>
      <c r="L12" s="207" t="s">
        <v>8207</v>
      </c>
      <c r="M12" s="157"/>
      <c r="N12" s="157"/>
      <c r="O12" s="157"/>
      <c r="P12" s="157"/>
      <c r="Q12" s="157"/>
      <c r="R12" s="157"/>
      <c r="S12" s="157"/>
      <c r="T12" s="157"/>
      <c r="U12" s="157"/>
      <c r="V12" s="157"/>
      <c r="W12" s="157"/>
      <c r="X12" s="157"/>
      <c r="Y12" s="157"/>
    </row>
    <row r="13" ht="65.25" customHeight="1">
      <c r="A13" s="243">
        <v>8.60000255E9</v>
      </c>
      <c r="B13" s="191" t="s">
        <v>25</v>
      </c>
      <c r="C13" s="215" t="s">
        <v>3467</v>
      </c>
      <c r="D13" s="215" t="s">
        <v>8208</v>
      </c>
      <c r="E13" s="207" t="s">
        <v>6182</v>
      </c>
      <c r="F13" s="215" t="s">
        <v>5919</v>
      </c>
      <c r="G13" s="405">
        <v>45252.0</v>
      </c>
      <c r="H13" s="405">
        <v>45250.0</v>
      </c>
      <c r="I13" s="405">
        <v>45259.0</v>
      </c>
      <c r="J13" s="220"/>
      <c r="K13" s="220"/>
      <c r="L13" s="207" t="s">
        <v>8209</v>
      </c>
      <c r="M13" s="157"/>
      <c r="N13" s="157"/>
      <c r="O13" s="157"/>
      <c r="P13" s="157"/>
      <c r="Q13" s="157"/>
      <c r="R13" s="157"/>
      <c r="S13" s="157"/>
      <c r="T13" s="157"/>
      <c r="U13" s="157"/>
      <c r="V13" s="157"/>
      <c r="W13" s="157"/>
      <c r="X13" s="157"/>
      <c r="Y13" s="157"/>
    </row>
    <row r="14" ht="65.25" customHeight="1">
      <c r="A14" s="243">
        <v>8.600002542E9</v>
      </c>
      <c r="B14" s="191" t="s">
        <v>14</v>
      </c>
      <c r="C14" s="215" t="s">
        <v>3386</v>
      </c>
      <c r="D14" s="215" t="s">
        <v>8210</v>
      </c>
      <c r="E14" s="207" t="s">
        <v>5962</v>
      </c>
      <c r="F14" s="215" t="s">
        <v>5919</v>
      </c>
      <c r="G14" s="405">
        <v>45251.0</v>
      </c>
      <c r="H14" s="405">
        <v>45245.0</v>
      </c>
      <c r="I14" s="405">
        <v>45258.0</v>
      </c>
      <c r="J14" s="220"/>
      <c r="K14" s="220"/>
      <c r="L14" s="207" t="s">
        <v>8211</v>
      </c>
      <c r="M14" s="157"/>
      <c r="N14" s="157"/>
      <c r="O14" s="157"/>
      <c r="P14" s="157"/>
      <c r="Q14" s="157"/>
      <c r="R14" s="157"/>
      <c r="S14" s="157"/>
      <c r="T14" s="157"/>
      <c r="U14" s="157"/>
      <c r="V14" s="157"/>
      <c r="W14" s="157"/>
      <c r="X14" s="157"/>
      <c r="Y14" s="157"/>
    </row>
    <row r="15" ht="74.25" customHeight="1">
      <c r="A15" s="243">
        <v>8.60000253E9</v>
      </c>
      <c r="B15" s="191" t="s">
        <v>14</v>
      </c>
      <c r="C15" s="215" t="s">
        <v>5934</v>
      </c>
      <c r="D15" s="215" t="s">
        <v>8212</v>
      </c>
      <c r="E15" s="207" t="s">
        <v>6011</v>
      </c>
      <c r="F15" s="215" t="s">
        <v>5919</v>
      </c>
      <c r="G15" s="405">
        <v>45248.0</v>
      </c>
      <c r="H15" s="405">
        <v>45244.0</v>
      </c>
      <c r="I15" s="215" t="s">
        <v>8213</v>
      </c>
      <c r="J15" s="220"/>
      <c r="K15" s="220"/>
      <c r="L15" s="207" t="s">
        <v>8214</v>
      </c>
      <c r="M15" s="157"/>
      <c r="N15" s="157"/>
      <c r="O15" s="157"/>
      <c r="P15" s="157"/>
      <c r="Q15" s="157"/>
      <c r="R15" s="157"/>
      <c r="S15" s="157"/>
      <c r="T15" s="157"/>
      <c r="U15" s="157"/>
      <c r="V15" s="157"/>
      <c r="W15" s="157"/>
      <c r="X15" s="157"/>
      <c r="Y15" s="157"/>
    </row>
    <row r="16" ht="65.25" customHeight="1">
      <c r="A16" s="243">
        <v>8.500000203E9</v>
      </c>
      <c r="B16" s="191" t="s">
        <v>14</v>
      </c>
      <c r="C16" s="215" t="s">
        <v>3420</v>
      </c>
      <c r="D16" s="215" t="s">
        <v>8215</v>
      </c>
      <c r="E16" s="207" t="s">
        <v>2116</v>
      </c>
      <c r="F16" s="215" t="s">
        <v>5919</v>
      </c>
      <c r="G16" s="405">
        <v>45246.0</v>
      </c>
      <c r="H16" s="405">
        <v>45244.0</v>
      </c>
      <c r="I16" s="405">
        <v>45250.0</v>
      </c>
      <c r="J16" s="220"/>
      <c r="K16" s="220"/>
      <c r="L16" s="207" t="s">
        <v>8216</v>
      </c>
      <c r="M16" s="157"/>
      <c r="N16" s="157"/>
      <c r="O16" s="157"/>
      <c r="P16" s="157"/>
      <c r="Q16" s="157"/>
      <c r="R16" s="157"/>
      <c r="S16" s="157"/>
      <c r="T16" s="157"/>
      <c r="U16" s="157"/>
      <c r="V16" s="157"/>
      <c r="W16" s="157"/>
      <c r="X16" s="157"/>
      <c r="Y16" s="157"/>
    </row>
    <row r="17" ht="65.25" customHeight="1">
      <c r="A17" s="243">
        <v>8.500000202E9</v>
      </c>
      <c r="B17" s="191" t="s">
        <v>14</v>
      </c>
      <c r="C17" s="215" t="s">
        <v>5626</v>
      </c>
      <c r="D17" s="215" t="s">
        <v>8217</v>
      </c>
      <c r="E17" s="207" t="s">
        <v>8183</v>
      </c>
      <c r="F17" s="215" t="s">
        <v>5919</v>
      </c>
      <c r="G17" s="405">
        <v>45246.0</v>
      </c>
      <c r="H17" s="405">
        <v>45244.0</v>
      </c>
      <c r="I17" s="215" t="s">
        <v>8218</v>
      </c>
      <c r="J17" s="220"/>
      <c r="K17" s="220"/>
      <c r="L17" s="207" t="s">
        <v>8219</v>
      </c>
      <c r="M17" s="157"/>
      <c r="N17" s="157"/>
      <c r="O17" s="157"/>
      <c r="P17" s="157"/>
      <c r="Q17" s="157"/>
      <c r="R17" s="157"/>
      <c r="S17" s="157"/>
      <c r="T17" s="157"/>
      <c r="U17" s="157"/>
      <c r="V17" s="157"/>
      <c r="W17" s="157"/>
      <c r="X17" s="157"/>
      <c r="Y17" s="157"/>
    </row>
    <row r="18" ht="65.25" customHeight="1">
      <c r="A18" s="243">
        <v>8.600002501E9</v>
      </c>
      <c r="B18" s="191" t="s">
        <v>14</v>
      </c>
      <c r="C18" s="215" t="s">
        <v>8220</v>
      </c>
      <c r="D18" s="215" t="s">
        <v>8221</v>
      </c>
      <c r="E18" s="207" t="s">
        <v>6027</v>
      </c>
      <c r="F18" s="215" t="s">
        <v>5919</v>
      </c>
      <c r="G18" s="405">
        <v>45229.0</v>
      </c>
      <c r="H18" s="405">
        <v>45223.0</v>
      </c>
      <c r="I18" s="215" t="s">
        <v>8222</v>
      </c>
      <c r="J18" s="220"/>
      <c r="K18" s="220"/>
      <c r="L18" s="207" t="s">
        <v>8223</v>
      </c>
      <c r="M18" s="157"/>
      <c r="N18" s="157"/>
      <c r="O18" s="157"/>
      <c r="P18" s="157"/>
      <c r="Q18" s="157"/>
      <c r="R18" s="157"/>
      <c r="S18" s="157"/>
      <c r="T18" s="157"/>
      <c r="U18" s="157"/>
      <c r="V18" s="157"/>
      <c r="W18" s="157"/>
      <c r="X18" s="157"/>
      <c r="Y18" s="157"/>
    </row>
    <row r="19" ht="73.5" customHeight="1">
      <c r="A19" s="243">
        <v>8.600002492E9</v>
      </c>
      <c r="B19" s="191" t="s">
        <v>14</v>
      </c>
      <c r="C19" s="215" t="s">
        <v>5877</v>
      </c>
      <c r="D19" s="215" t="s">
        <v>8224</v>
      </c>
      <c r="E19" s="207" t="s">
        <v>8190</v>
      </c>
      <c r="F19" s="215" t="s">
        <v>5919</v>
      </c>
      <c r="G19" s="405">
        <v>45225.0</v>
      </c>
      <c r="H19" s="405">
        <v>45219.0</v>
      </c>
      <c r="I19" s="215" t="s">
        <v>8225</v>
      </c>
      <c r="J19" s="220"/>
      <c r="K19" s="220"/>
      <c r="L19" s="207" t="s">
        <v>8226</v>
      </c>
      <c r="M19" s="157"/>
      <c r="N19" s="157"/>
      <c r="O19" s="157"/>
      <c r="P19" s="157"/>
      <c r="Q19" s="157"/>
      <c r="R19" s="157"/>
      <c r="S19" s="157"/>
      <c r="T19" s="157"/>
      <c r="U19" s="157"/>
      <c r="V19" s="157"/>
      <c r="W19" s="157"/>
      <c r="X19" s="157"/>
      <c r="Y19" s="157"/>
    </row>
    <row r="20" ht="65.25" customHeight="1">
      <c r="A20" s="243">
        <v>8.500000199E9</v>
      </c>
      <c r="B20" s="191" t="s">
        <v>14</v>
      </c>
      <c r="C20" s="215" t="s">
        <v>3420</v>
      </c>
      <c r="D20" s="215" t="s">
        <v>8227</v>
      </c>
      <c r="E20" s="207" t="s">
        <v>2116</v>
      </c>
      <c r="F20" s="215" t="s">
        <v>5919</v>
      </c>
      <c r="G20" s="405">
        <v>45224.0</v>
      </c>
      <c r="H20" s="405">
        <v>45223.0</v>
      </c>
      <c r="I20" s="405">
        <v>45229.0</v>
      </c>
      <c r="J20" s="220"/>
      <c r="K20" s="220"/>
      <c r="L20" s="207" t="s">
        <v>8228</v>
      </c>
      <c r="M20" s="157"/>
      <c r="N20" s="157"/>
      <c r="O20" s="157"/>
      <c r="P20" s="157"/>
      <c r="Q20" s="157"/>
      <c r="R20" s="157"/>
      <c r="S20" s="157"/>
      <c r="T20" s="157"/>
      <c r="U20" s="157"/>
      <c r="V20" s="157"/>
      <c r="W20" s="157"/>
      <c r="X20" s="157"/>
      <c r="Y20" s="157"/>
    </row>
    <row r="21" ht="82.5" customHeight="1">
      <c r="A21" s="243">
        <v>8.5000002E9</v>
      </c>
      <c r="B21" s="191" t="s">
        <v>21</v>
      </c>
      <c r="C21" s="215" t="s">
        <v>5634</v>
      </c>
      <c r="D21" s="215" t="s">
        <v>8229</v>
      </c>
      <c r="E21" s="207" t="s">
        <v>8183</v>
      </c>
      <c r="F21" s="215" t="s">
        <v>5919</v>
      </c>
      <c r="G21" s="405">
        <v>45221.0</v>
      </c>
      <c r="H21" s="405">
        <v>45216.0</v>
      </c>
      <c r="I21" s="215" t="s">
        <v>8230</v>
      </c>
      <c r="J21" s="220"/>
      <c r="K21" s="220"/>
      <c r="L21" s="207" t="s">
        <v>8231</v>
      </c>
      <c r="M21" s="157"/>
      <c r="N21" s="157"/>
      <c r="O21" s="157"/>
      <c r="P21" s="157"/>
      <c r="Q21" s="157"/>
      <c r="R21" s="157"/>
      <c r="S21" s="157"/>
      <c r="T21" s="157"/>
      <c r="U21" s="157"/>
      <c r="V21" s="157"/>
      <c r="W21" s="157"/>
      <c r="X21" s="157"/>
      <c r="Y21" s="157"/>
    </row>
    <row r="22" ht="74.25" customHeight="1">
      <c r="A22" s="243">
        <v>8.600002501E9</v>
      </c>
      <c r="B22" s="191" t="s">
        <v>25</v>
      </c>
      <c r="C22" s="215" t="s">
        <v>6186</v>
      </c>
      <c r="D22" s="215" t="s">
        <v>8232</v>
      </c>
      <c r="E22" s="207" t="s">
        <v>8233</v>
      </c>
      <c r="F22" s="215" t="s">
        <v>5919</v>
      </c>
      <c r="G22" s="405">
        <v>45216.0</v>
      </c>
      <c r="H22" s="405">
        <v>45211.0</v>
      </c>
      <c r="I22" s="215" t="s">
        <v>8234</v>
      </c>
      <c r="J22" s="220"/>
      <c r="K22" s="220"/>
      <c r="L22" s="207" t="s">
        <v>8235</v>
      </c>
      <c r="M22" s="157"/>
      <c r="N22" s="157"/>
      <c r="O22" s="157"/>
      <c r="P22" s="157"/>
      <c r="Q22" s="157"/>
      <c r="R22" s="157"/>
      <c r="S22" s="157"/>
      <c r="T22" s="157"/>
      <c r="U22" s="157"/>
      <c r="V22" s="157"/>
      <c r="W22" s="157"/>
      <c r="X22" s="157"/>
      <c r="Y22" s="157"/>
    </row>
    <row r="23" ht="65.25" customHeight="1">
      <c r="A23" s="243">
        <v>8.600002515E9</v>
      </c>
      <c r="B23" s="191" t="s">
        <v>21</v>
      </c>
      <c r="C23" s="215" t="s">
        <v>3372</v>
      </c>
      <c r="D23" s="215" t="s">
        <v>8236</v>
      </c>
      <c r="E23" s="207" t="s">
        <v>8190</v>
      </c>
      <c r="F23" s="215" t="s">
        <v>5919</v>
      </c>
      <c r="G23" s="405">
        <v>45213.0</v>
      </c>
      <c r="H23" s="405">
        <v>45209.0</v>
      </c>
      <c r="I23" s="405">
        <v>45218.0</v>
      </c>
      <c r="J23" s="220"/>
      <c r="K23" s="220"/>
      <c r="L23" s="207" t="s">
        <v>8237</v>
      </c>
      <c r="M23" s="157"/>
      <c r="N23" s="157"/>
      <c r="O23" s="157"/>
      <c r="P23" s="157"/>
      <c r="Q23" s="157"/>
      <c r="R23" s="157"/>
      <c r="S23" s="157"/>
      <c r="T23" s="157"/>
      <c r="U23" s="157"/>
      <c r="V23" s="157"/>
      <c r="W23" s="157"/>
      <c r="X23" s="157"/>
      <c r="Y23" s="157"/>
    </row>
    <row r="24" ht="65.25" customHeight="1">
      <c r="A24" s="243">
        <v>8.500000196E9</v>
      </c>
      <c r="B24" s="191" t="s">
        <v>14</v>
      </c>
      <c r="C24" s="215" t="s">
        <v>3420</v>
      </c>
      <c r="D24" s="215" t="s">
        <v>8238</v>
      </c>
      <c r="E24" s="207" t="s">
        <v>2116</v>
      </c>
      <c r="F24" s="215" t="s">
        <v>5919</v>
      </c>
      <c r="G24" s="405">
        <v>45213.0</v>
      </c>
      <c r="H24" s="405">
        <v>45202.0</v>
      </c>
      <c r="I24" s="405">
        <v>45217.0</v>
      </c>
      <c r="J24" s="220"/>
      <c r="K24" s="220"/>
      <c r="L24" s="207" t="s">
        <v>8239</v>
      </c>
      <c r="M24" s="157"/>
      <c r="N24" s="157"/>
      <c r="O24" s="157"/>
      <c r="P24" s="157"/>
      <c r="Q24" s="157"/>
      <c r="R24" s="157"/>
      <c r="S24" s="157"/>
      <c r="T24" s="157"/>
      <c r="U24" s="157"/>
      <c r="V24" s="157"/>
      <c r="W24" s="157"/>
      <c r="X24" s="157"/>
      <c r="Y24" s="157"/>
    </row>
    <row r="25" ht="65.25" customHeight="1">
      <c r="A25" s="243">
        <v>8.600002489E9</v>
      </c>
      <c r="B25" s="191" t="s">
        <v>21</v>
      </c>
      <c r="C25" s="215" t="s">
        <v>2311</v>
      </c>
      <c r="D25" s="215" t="s">
        <v>8240</v>
      </c>
      <c r="E25" s="207" t="s">
        <v>5962</v>
      </c>
      <c r="F25" s="215" t="s">
        <v>5919</v>
      </c>
      <c r="G25" s="405">
        <v>45209.0</v>
      </c>
      <c r="H25" s="405">
        <v>45201.0</v>
      </c>
      <c r="I25" s="405">
        <v>45216.0</v>
      </c>
      <c r="J25" s="220"/>
      <c r="K25" s="220"/>
      <c r="L25" s="207" t="s">
        <v>8241</v>
      </c>
      <c r="M25" s="157"/>
      <c r="N25" s="157"/>
      <c r="O25" s="157"/>
      <c r="P25" s="157"/>
      <c r="Q25" s="157"/>
      <c r="R25" s="157"/>
      <c r="S25" s="157"/>
      <c r="T25" s="157"/>
      <c r="U25" s="157"/>
      <c r="V25" s="157"/>
      <c r="W25" s="157"/>
      <c r="X25" s="157"/>
      <c r="Y25" s="157"/>
    </row>
    <row r="26" ht="65.25" customHeight="1">
      <c r="A26" s="243">
        <v>8.600002488E9</v>
      </c>
      <c r="B26" s="191" t="s">
        <v>14</v>
      </c>
      <c r="C26" s="215" t="s">
        <v>3386</v>
      </c>
      <c r="D26" s="215" t="s">
        <v>8242</v>
      </c>
      <c r="E26" s="207" t="s">
        <v>5962</v>
      </c>
      <c r="F26" s="215" t="s">
        <v>5919</v>
      </c>
      <c r="G26" s="405">
        <v>45208.0</v>
      </c>
      <c r="H26" s="405">
        <v>45202.0</v>
      </c>
      <c r="I26" s="405">
        <v>45212.0</v>
      </c>
      <c r="J26" s="220"/>
      <c r="K26" s="220"/>
      <c r="L26" s="207" t="s">
        <v>8243</v>
      </c>
      <c r="M26" s="157"/>
      <c r="N26" s="157"/>
      <c r="O26" s="157"/>
      <c r="P26" s="157"/>
      <c r="Q26" s="157"/>
      <c r="R26" s="157"/>
      <c r="S26" s="157"/>
      <c r="T26" s="157"/>
      <c r="U26" s="157"/>
      <c r="V26" s="157"/>
      <c r="W26" s="157"/>
      <c r="X26" s="157"/>
      <c r="Y26" s="157"/>
    </row>
    <row r="27" ht="65.25" customHeight="1">
      <c r="A27" s="243">
        <v>8.500000198E9</v>
      </c>
      <c r="B27" s="191" t="s">
        <v>21</v>
      </c>
      <c r="C27" s="215" t="s">
        <v>5626</v>
      </c>
      <c r="D27" s="215" t="s">
        <v>8244</v>
      </c>
      <c r="E27" s="207" t="s">
        <v>8183</v>
      </c>
      <c r="F27" s="215" t="s">
        <v>5919</v>
      </c>
      <c r="G27" s="405">
        <v>45207.0</v>
      </c>
      <c r="H27" s="405">
        <v>45202.0</v>
      </c>
      <c r="I27" s="215" t="s">
        <v>8245</v>
      </c>
      <c r="J27" s="220"/>
      <c r="K27" s="220"/>
      <c r="L27" s="207" t="s">
        <v>8246</v>
      </c>
      <c r="M27" s="157"/>
      <c r="N27" s="157"/>
      <c r="O27" s="157"/>
      <c r="P27" s="157"/>
      <c r="Q27" s="157"/>
      <c r="R27" s="157"/>
      <c r="S27" s="157"/>
      <c r="T27" s="157"/>
      <c r="U27" s="157"/>
      <c r="V27" s="157"/>
      <c r="W27" s="157"/>
      <c r="X27" s="157"/>
      <c r="Y27" s="157"/>
    </row>
    <row r="28" ht="72.0" customHeight="1">
      <c r="A28" s="243">
        <v>8.500000197E9</v>
      </c>
      <c r="B28" s="191" t="s">
        <v>21</v>
      </c>
      <c r="C28" s="215" t="s">
        <v>5530</v>
      </c>
      <c r="D28" s="215" t="s">
        <v>8247</v>
      </c>
      <c r="E28" s="207" t="s">
        <v>8183</v>
      </c>
      <c r="F28" s="215" t="s">
        <v>5919</v>
      </c>
      <c r="G28" s="405">
        <v>45203.0</v>
      </c>
      <c r="H28" s="405">
        <v>45198.0</v>
      </c>
      <c r="I28" s="215" t="s">
        <v>8248</v>
      </c>
      <c r="J28" s="220"/>
      <c r="K28" s="220"/>
      <c r="L28" s="207" t="s">
        <v>8249</v>
      </c>
      <c r="M28" s="157"/>
      <c r="N28" s="157"/>
      <c r="O28" s="157"/>
      <c r="P28" s="157"/>
      <c r="Q28" s="157"/>
      <c r="R28" s="157"/>
      <c r="S28" s="157"/>
      <c r="T28" s="157"/>
      <c r="U28" s="157"/>
      <c r="V28" s="157"/>
      <c r="W28" s="157"/>
      <c r="X28" s="157"/>
      <c r="Y28" s="157"/>
    </row>
    <row r="29" ht="72.0" customHeight="1">
      <c r="A29" s="243">
        <v>8.600002476E9</v>
      </c>
      <c r="B29" s="191" t="s">
        <v>14</v>
      </c>
      <c r="C29" s="215" t="s">
        <v>5735</v>
      </c>
      <c r="D29" s="215" t="s">
        <v>8250</v>
      </c>
      <c r="E29" s="207" t="s">
        <v>8251</v>
      </c>
      <c r="F29" s="215" t="s">
        <v>5919</v>
      </c>
      <c r="G29" s="405">
        <v>45191.0</v>
      </c>
      <c r="H29" s="405">
        <v>45188.0</v>
      </c>
      <c r="I29" s="215" t="s">
        <v>8252</v>
      </c>
      <c r="J29" s="220"/>
      <c r="K29" s="220"/>
      <c r="L29" s="207" t="s">
        <v>8253</v>
      </c>
      <c r="M29" s="157"/>
      <c r="N29" s="157"/>
      <c r="O29" s="157"/>
      <c r="P29" s="157"/>
      <c r="Q29" s="157"/>
      <c r="R29" s="157"/>
      <c r="S29" s="157"/>
      <c r="T29" s="157"/>
      <c r="U29" s="157"/>
      <c r="V29" s="157"/>
      <c r="W29" s="157"/>
      <c r="X29" s="157"/>
      <c r="Y29" s="157"/>
    </row>
    <row r="30" ht="60.0" customHeight="1">
      <c r="A30" s="243">
        <v>8.500000194E9</v>
      </c>
      <c r="B30" s="191" t="s">
        <v>21</v>
      </c>
      <c r="C30" s="215" t="s">
        <v>6186</v>
      </c>
      <c r="D30" s="215" t="s">
        <v>8254</v>
      </c>
      <c r="E30" s="207" t="s">
        <v>8183</v>
      </c>
      <c r="F30" s="215" t="s">
        <v>5919</v>
      </c>
      <c r="G30" s="405">
        <v>45189.0</v>
      </c>
      <c r="H30" s="405">
        <v>45183.0</v>
      </c>
      <c r="I30" s="405">
        <v>45197.0</v>
      </c>
      <c r="J30" s="220"/>
      <c r="K30" s="220"/>
      <c r="L30" s="207" t="s">
        <v>8255</v>
      </c>
      <c r="M30" s="157"/>
      <c r="N30" s="157"/>
      <c r="O30" s="157"/>
      <c r="P30" s="157"/>
      <c r="Q30" s="157"/>
      <c r="R30" s="157"/>
      <c r="S30" s="157"/>
      <c r="T30" s="157"/>
      <c r="U30" s="157"/>
      <c r="V30" s="157"/>
      <c r="W30" s="157"/>
      <c r="X30" s="157"/>
      <c r="Y30" s="157"/>
    </row>
    <row r="31" ht="66.75" customHeight="1">
      <c r="A31" s="243">
        <v>8.600002484E9</v>
      </c>
      <c r="B31" s="191" t="s">
        <v>21</v>
      </c>
      <c r="C31" s="215" t="s">
        <v>5792</v>
      </c>
      <c r="D31" s="215" t="s">
        <v>8256</v>
      </c>
      <c r="E31" s="207" t="s">
        <v>8190</v>
      </c>
      <c r="F31" s="215" t="s">
        <v>5919</v>
      </c>
      <c r="G31" s="405">
        <v>45189.0</v>
      </c>
      <c r="H31" s="405">
        <v>45183.0</v>
      </c>
      <c r="I31" s="215" t="s">
        <v>8257</v>
      </c>
      <c r="J31" s="220"/>
      <c r="K31" s="220"/>
      <c r="L31" s="207" t="s">
        <v>8258</v>
      </c>
      <c r="M31" s="157"/>
      <c r="N31" s="157"/>
      <c r="O31" s="157"/>
      <c r="P31" s="157"/>
      <c r="Q31" s="157"/>
      <c r="R31" s="157"/>
      <c r="S31" s="157"/>
      <c r="T31" s="157"/>
      <c r="U31" s="157"/>
      <c r="V31" s="157"/>
      <c r="W31" s="157"/>
      <c r="X31" s="157"/>
      <c r="Y31" s="157"/>
    </row>
    <row r="32" ht="65.25" customHeight="1">
      <c r="A32" s="243">
        <v>8.600002457E9</v>
      </c>
      <c r="B32" s="191" t="s">
        <v>14</v>
      </c>
      <c r="C32" s="215" t="s">
        <v>6191</v>
      </c>
      <c r="D32" s="215" t="s">
        <v>8259</v>
      </c>
      <c r="E32" s="207" t="s">
        <v>8233</v>
      </c>
      <c r="F32" s="215" t="s">
        <v>5919</v>
      </c>
      <c r="G32" s="405">
        <v>45188.0</v>
      </c>
      <c r="H32" s="405">
        <v>45183.0</v>
      </c>
      <c r="I32" s="215" t="s">
        <v>8260</v>
      </c>
      <c r="J32" s="220"/>
      <c r="K32" s="220"/>
      <c r="L32" s="207" t="s">
        <v>8261</v>
      </c>
      <c r="M32" s="157"/>
      <c r="N32" s="157"/>
      <c r="O32" s="157"/>
      <c r="P32" s="157"/>
      <c r="Q32" s="157"/>
      <c r="R32" s="157"/>
      <c r="S32" s="157"/>
      <c r="T32" s="157"/>
      <c r="U32" s="157"/>
      <c r="V32" s="157"/>
      <c r="W32" s="157"/>
      <c r="X32" s="157"/>
      <c r="Y32" s="157"/>
    </row>
    <row r="33" ht="65.25" customHeight="1">
      <c r="A33" s="243">
        <v>8.500000193E9</v>
      </c>
      <c r="B33" s="191" t="s">
        <v>14</v>
      </c>
      <c r="C33" s="215" t="s">
        <v>5792</v>
      </c>
      <c r="D33" s="215" t="s">
        <v>8262</v>
      </c>
      <c r="E33" s="207" t="s">
        <v>8183</v>
      </c>
      <c r="F33" s="215" t="s">
        <v>5919</v>
      </c>
      <c r="G33" s="405">
        <v>45186.0</v>
      </c>
      <c r="H33" s="405">
        <v>45181.0</v>
      </c>
      <c r="I33" s="405">
        <v>45190.0</v>
      </c>
      <c r="J33" s="220"/>
      <c r="K33" s="220"/>
      <c r="L33" s="207" t="s">
        <v>8263</v>
      </c>
      <c r="M33" s="157"/>
      <c r="N33" s="157"/>
      <c r="O33" s="157"/>
      <c r="P33" s="157"/>
      <c r="Q33" s="157"/>
      <c r="R33" s="157"/>
      <c r="S33" s="157"/>
      <c r="T33" s="157"/>
      <c r="U33" s="157"/>
      <c r="V33" s="157"/>
      <c r="W33" s="157"/>
      <c r="X33" s="157"/>
      <c r="Y33" s="157"/>
    </row>
    <row r="34" ht="65.25" customHeight="1">
      <c r="A34" s="243">
        <v>8.600002486E9</v>
      </c>
      <c r="B34" s="191" t="s">
        <v>25</v>
      </c>
      <c r="C34" s="215" t="s">
        <v>5928</v>
      </c>
      <c r="D34" s="215" t="s">
        <v>8264</v>
      </c>
      <c r="E34" s="207" t="s">
        <v>8265</v>
      </c>
      <c r="F34" s="215" t="s">
        <v>5919</v>
      </c>
      <c r="G34" s="405">
        <v>45181.0</v>
      </c>
      <c r="H34" s="405">
        <v>45176.0</v>
      </c>
      <c r="I34" s="405">
        <v>45191.0</v>
      </c>
      <c r="J34" s="220"/>
      <c r="K34" s="220"/>
      <c r="L34" s="207" t="s">
        <v>8266</v>
      </c>
      <c r="M34" s="157"/>
      <c r="N34" s="157"/>
      <c r="O34" s="157"/>
      <c r="P34" s="157"/>
      <c r="Q34" s="157"/>
      <c r="R34" s="157"/>
      <c r="S34" s="157"/>
      <c r="T34" s="157"/>
      <c r="U34" s="157"/>
      <c r="V34" s="157"/>
      <c r="W34" s="157"/>
      <c r="X34" s="157"/>
      <c r="Y34" s="157"/>
    </row>
    <row r="35" ht="72.0" customHeight="1">
      <c r="A35" s="243">
        <v>8.500000188E9</v>
      </c>
      <c r="B35" s="191" t="s">
        <v>14</v>
      </c>
      <c r="C35" s="215" t="s">
        <v>5858</v>
      </c>
      <c r="D35" s="215" t="s">
        <v>8267</v>
      </c>
      <c r="E35" s="207" t="s">
        <v>8183</v>
      </c>
      <c r="F35" s="215" t="s">
        <v>5919</v>
      </c>
      <c r="G35" s="405">
        <v>45178.0</v>
      </c>
      <c r="H35" s="405">
        <v>45175.0</v>
      </c>
      <c r="I35" s="405" t="s">
        <v>8268</v>
      </c>
      <c r="J35" s="220"/>
      <c r="K35" s="220"/>
      <c r="L35" s="207" t="s">
        <v>8269</v>
      </c>
      <c r="M35" s="157"/>
      <c r="N35" s="157"/>
      <c r="O35" s="157"/>
      <c r="P35" s="157"/>
      <c r="Q35" s="157"/>
      <c r="R35" s="157"/>
      <c r="S35" s="157"/>
      <c r="T35" s="157"/>
      <c r="U35" s="157"/>
      <c r="V35" s="157"/>
      <c r="W35" s="157"/>
      <c r="X35" s="157"/>
      <c r="Y35" s="157"/>
    </row>
    <row r="36" ht="65.25" customHeight="1">
      <c r="A36" s="243">
        <v>8.50000019E9</v>
      </c>
      <c r="B36" s="191" t="s">
        <v>21</v>
      </c>
      <c r="C36" s="215" t="s">
        <v>5726</v>
      </c>
      <c r="D36" s="215" t="s">
        <v>8270</v>
      </c>
      <c r="E36" s="207" t="s">
        <v>8271</v>
      </c>
      <c r="F36" s="215" t="s">
        <v>5919</v>
      </c>
      <c r="G36" s="405">
        <v>45172.0</v>
      </c>
      <c r="H36" s="405">
        <v>45166.0</v>
      </c>
      <c r="I36" s="405">
        <v>45182.0</v>
      </c>
      <c r="J36" s="220"/>
      <c r="K36" s="220"/>
      <c r="L36" s="207" t="s">
        <v>8272</v>
      </c>
      <c r="M36" s="157"/>
      <c r="N36" s="157"/>
      <c r="O36" s="157"/>
      <c r="P36" s="157"/>
      <c r="Q36" s="157"/>
      <c r="R36" s="157"/>
      <c r="S36" s="157"/>
      <c r="T36" s="157"/>
      <c r="U36" s="157"/>
      <c r="V36" s="157"/>
      <c r="W36" s="157"/>
      <c r="X36" s="157"/>
      <c r="Y36" s="157"/>
    </row>
    <row r="37" ht="65.25" customHeight="1">
      <c r="A37" s="243">
        <v>8.500000192E9</v>
      </c>
      <c r="B37" s="191" t="s">
        <v>21</v>
      </c>
      <c r="C37" s="215" t="s">
        <v>5858</v>
      </c>
      <c r="D37" s="215" t="s">
        <v>8273</v>
      </c>
      <c r="E37" s="207" t="s">
        <v>8183</v>
      </c>
      <c r="F37" s="215" t="s">
        <v>5919</v>
      </c>
      <c r="G37" s="405">
        <v>45169.0</v>
      </c>
      <c r="H37" s="405">
        <v>45166.0</v>
      </c>
      <c r="I37" s="405" t="s">
        <v>8274</v>
      </c>
      <c r="J37" s="220"/>
      <c r="K37" s="220"/>
      <c r="L37" s="207" t="s">
        <v>8275</v>
      </c>
      <c r="M37" s="157"/>
      <c r="N37" s="157"/>
      <c r="O37" s="157"/>
      <c r="P37" s="157"/>
      <c r="Q37" s="157"/>
      <c r="R37" s="157"/>
      <c r="S37" s="157"/>
      <c r="T37" s="157"/>
      <c r="U37" s="157"/>
      <c r="V37" s="157"/>
      <c r="W37" s="157"/>
      <c r="X37" s="157"/>
      <c r="Y37" s="157"/>
    </row>
    <row r="38" ht="65.25" customHeight="1">
      <c r="A38" s="243">
        <v>8.500000185E9</v>
      </c>
      <c r="B38" s="191" t="s">
        <v>14</v>
      </c>
      <c r="C38" s="215" t="s">
        <v>5775</v>
      </c>
      <c r="D38" s="215" t="s">
        <v>8276</v>
      </c>
      <c r="E38" s="207" t="s">
        <v>8183</v>
      </c>
      <c r="F38" s="215" t="s">
        <v>5919</v>
      </c>
      <c r="G38" s="405">
        <v>45168.0</v>
      </c>
      <c r="H38" s="405">
        <v>45153.0</v>
      </c>
      <c r="I38" s="215" t="s">
        <v>8277</v>
      </c>
      <c r="J38" s="220"/>
      <c r="K38" s="220"/>
      <c r="L38" s="207" t="s">
        <v>8278</v>
      </c>
      <c r="M38" s="157"/>
      <c r="N38" s="157"/>
      <c r="O38" s="157"/>
      <c r="P38" s="157"/>
      <c r="Q38" s="157"/>
      <c r="R38" s="157"/>
      <c r="S38" s="157"/>
      <c r="T38" s="157"/>
      <c r="U38" s="157"/>
      <c r="V38" s="157"/>
      <c r="W38" s="157"/>
      <c r="X38" s="157"/>
      <c r="Y38" s="157"/>
    </row>
    <row r="39" ht="68.25" customHeight="1">
      <c r="A39" s="243">
        <v>8.600002453E9</v>
      </c>
      <c r="B39" s="191" t="s">
        <v>21</v>
      </c>
      <c r="C39" s="215" t="s">
        <v>6211</v>
      </c>
      <c r="D39" s="215" t="s">
        <v>8279</v>
      </c>
      <c r="E39" s="207" t="s">
        <v>8280</v>
      </c>
      <c r="F39" s="215" t="s">
        <v>5919</v>
      </c>
      <c r="G39" s="405">
        <v>45165.0</v>
      </c>
      <c r="H39" s="405">
        <v>45159.0</v>
      </c>
      <c r="I39" s="215" t="s">
        <v>8281</v>
      </c>
      <c r="J39" s="220"/>
      <c r="K39" s="220"/>
      <c r="L39" s="207" t="s">
        <v>8282</v>
      </c>
      <c r="M39" s="157"/>
      <c r="N39" s="157"/>
      <c r="O39" s="157"/>
      <c r="P39" s="157"/>
      <c r="Q39" s="157"/>
      <c r="R39" s="157"/>
      <c r="S39" s="157"/>
      <c r="T39" s="157"/>
      <c r="U39" s="157"/>
      <c r="V39" s="157"/>
      <c r="W39" s="157"/>
      <c r="X39" s="157"/>
      <c r="Y39" s="157"/>
    </row>
    <row r="40" ht="65.25" customHeight="1">
      <c r="A40" s="243">
        <v>8.600002439E9</v>
      </c>
      <c r="B40" s="191" t="s">
        <v>25</v>
      </c>
      <c r="C40" s="215" t="s">
        <v>3367</v>
      </c>
      <c r="D40" s="215" t="s">
        <v>8283</v>
      </c>
      <c r="E40" s="207" t="s">
        <v>5612</v>
      </c>
      <c r="F40" s="215" t="s">
        <v>5919</v>
      </c>
      <c r="G40" s="405">
        <v>45157.0</v>
      </c>
      <c r="H40" s="405">
        <v>45152.0</v>
      </c>
      <c r="I40" s="405">
        <v>45163.0</v>
      </c>
      <c r="J40" s="220"/>
      <c r="K40" s="220"/>
      <c r="L40" s="207" t="s">
        <v>8284</v>
      </c>
      <c r="M40" s="157"/>
      <c r="N40" s="157"/>
      <c r="O40" s="157"/>
      <c r="P40" s="157"/>
      <c r="Q40" s="157"/>
      <c r="R40" s="157"/>
      <c r="S40" s="157"/>
      <c r="T40" s="157"/>
      <c r="U40" s="157"/>
      <c r="V40" s="157"/>
      <c r="W40" s="157"/>
      <c r="X40" s="157"/>
      <c r="Y40" s="157"/>
    </row>
    <row r="41" ht="65.25" customHeight="1">
      <c r="A41" s="243">
        <v>8.500000186E9</v>
      </c>
      <c r="B41" s="191" t="s">
        <v>21</v>
      </c>
      <c r="C41" s="215" t="s">
        <v>5928</v>
      </c>
      <c r="D41" s="215" t="s">
        <v>8285</v>
      </c>
      <c r="E41" s="207" t="s">
        <v>8271</v>
      </c>
      <c r="F41" s="215" t="s">
        <v>5919</v>
      </c>
      <c r="G41" s="405">
        <v>45155.0</v>
      </c>
      <c r="H41" s="405">
        <v>45152.0</v>
      </c>
      <c r="I41" s="405">
        <v>45160.0</v>
      </c>
      <c r="J41" s="220"/>
      <c r="K41" s="220"/>
      <c r="L41" s="207" t="s">
        <v>8286</v>
      </c>
      <c r="M41" s="157"/>
      <c r="N41" s="157"/>
      <c r="O41" s="157"/>
      <c r="P41" s="157"/>
      <c r="Q41" s="157"/>
      <c r="R41" s="157"/>
      <c r="S41" s="157"/>
      <c r="T41" s="157"/>
      <c r="U41" s="157"/>
      <c r="V41" s="157"/>
      <c r="W41" s="157"/>
      <c r="X41" s="157"/>
      <c r="Y41" s="157"/>
    </row>
    <row r="42" ht="65.25" customHeight="1">
      <c r="A42" s="243">
        <v>8.500000182E9</v>
      </c>
      <c r="B42" s="191" t="s">
        <v>14</v>
      </c>
      <c r="C42" s="215" t="s">
        <v>6014</v>
      </c>
      <c r="D42" s="215" t="s">
        <v>8287</v>
      </c>
      <c r="E42" s="207" t="s">
        <v>8183</v>
      </c>
      <c r="F42" s="215" t="s">
        <v>5919</v>
      </c>
      <c r="G42" s="405">
        <v>45151.0</v>
      </c>
      <c r="H42" s="405">
        <v>45145.0</v>
      </c>
      <c r="I42" s="215" t="s">
        <v>8288</v>
      </c>
      <c r="J42" s="220"/>
      <c r="K42" s="220"/>
      <c r="L42" s="207" t="s">
        <v>8289</v>
      </c>
      <c r="M42" s="157"/>
      <c r="N42" s="157"/>
      <c r="O42" s="157"/>
      <c r="P42" s="157"/>
      <c r="Q42" s="157"/>
      <c r="R42" s="157"/>
      <c r="S42" s="157"/>
      <c r="T42" s="157"/>
      <c r="U42" s="157"/>
      <c r="V42" s="157"/>
      <c r="W42" s="157"/>
      <c r="X42" s="157"/>
      <c r="Y42" s="157"/>
    </row>
    <row r="43" ht="81.0" customHeight="1">
      <c r="A43" s="243">
        <v>8.600002406E9</v>
      </c>
      <c r="B43" s="191" t="s">
        <v>14</v>
      </c>
      <c r="C43" s="215" t="s">
        <v>8290</v>
      </c>
      <c r="D43" s="215" t="s">
        <v>8291</v>
      </c>
      <c r="E43" s="207" t="s">
        <v>8292</v>
      </c>
      <c r="F43" s="215" t="s">
        <v>5919</v>
      </c>
      <c r="G43" s="405">
        <v>45147.0</v>
      </c>
      <c r="H43" s="405">
        <v>45142.0</v>
      </c>
      <c r="I43" s="215" t="s">
        <v>8293</v>
      </c>
      <c r="J43" s="220"/>
      <c r="K43" s="220"/>
      <c r="L43" s="207" t="s">
        <v>8294</v>
      </c>
      <c r="M43" s="157"/>
      <c r="N43" s="157"/>
      <c r="O43" s="157"/>
      <c r="P43" s="157"/>
      <c r="Q43" s="157"/>
      <c r="R43" s="157"/>
      <c r="S43" s="157"/>
      <c r="T43" s="157"/>
      <c r="U43" s="157"/>
      <c r="V43" s="157"/>
      <c r="W43" s="157"/>
      <c r="X43" s="157"/>
      <c r="Y43" s="157"/>
    </row>
    <row r="44" ht="65.25" customHeight="1">
      <c r="A44" s="243">
        <v>8.500000191E9</v>
      </c>
      <c r="B44" s="191" t="s">
        <v>4960</v>
      </c>
      <c r="C44" s="215" t="s">
        <v>8295</v>
      </c>
      <c r="D44" s="215" t="s">
        <v>4925</v>
      </c>
      <c r="E44" s="207" t="s">
        <v>8271</v>
      </c>
      <c r="F44" s="215" t="s">
        <v>5919</v>
      </c>
      <c r="G44" s="405">
        <v>45140.0</v>
      </c>
      <c r="H44" s="405">
        <v>45140.0</v>
      </c>
      <c r="I44" s="405">
        <v>45141.0</v>
      </c>
      <c r="J44" s="220"/>
      <c r="K44" s="220"/>
      <c r="L44" s="207" t="s">
        <v>8296</v>
      </c>
      <c r="M44" s="157"/>
      <c r="N44" s="157"/>
      <c r="O44" s="157"/>
      <c r="P44" s="157"/>
      <c r="Q44" s="157"/>
      <c r="R44" s="157"/>
      <c r="S44" s="157"/>
      <c r="T44" s="157"/>
      <c r="U44" s="157"/>
      <c r="V44" s="157"/>
      <c r="W44" s="157"/>
      <c r="X44" s="157"/>
      <c r="Y44" s="157"/>
    </row>
    <row r="45" ht="65.25" customHeight="1">
      <c r="A45" s="243">
        <v>8.500000183E9</v>
      </c>
      <c r="B45" s="191" t="s">
        <v>21</v>
      </c>
      <c r="C45" s="215" t="s">
        <v>3420</v>
      </c>
      <c r="D45" s="215" t="s">
        <v>8297</v>
      </c>
      <c r="E45" s="207" t="s">
        <v>2116</v>
      </c>
      <c r="F45" s="215" t="s">
        <v>5919</v>
      </c>
      <c r="G45" s="405">
        <v>45140.0</v>
      </c>
      <c r="H45" s="405">
        <v>45138.0</v>
      </c>
      <c r="I45" s="405">
        <v>45147.0</v>
      </c>
      <c r="J45" s="191"/>
      <c r="K45" s="220"/>
      <c r="L45" s="207" t="s">
        <v>8298</v>
      </c>
      <c r="M45" s="157"/>
      <c r="N45" s="157"/>
      <c r="O45" s="157"/>
      <c r="P45" s="157"/>
      <c r="Q45" s="157"/>
      <c r="R45" s="157"/>
      <c r="S45" s="157"/>
      <c r="T45" s="157"/>
      <c r="U45" s="157"/>
      <c r="V45" s="157"/>
      <c r="W45" s="157"/>
      <c r="X45" s="157"/>
      <c r="Y45" s="157"/>
    </row>
    <row r="46" ht="65.25" customHeight="1">
      <c r="A46" s="243">
        <v>8.500000179E9</v>
      </c>
      <c r="B46" s="191" t="s">
        <v>14</v>
      </c>
      <c r="C46" s="215" t="s">
        <v>5775</v>
      </c>
      <c r="D46" s="215" t="s">
        <v>8299</v>
      </c>
      <c r="E46" s="207" t="s">
        <v>8183</v>
      </c>
      <c r="F46" s="215" t="s">
        <v>5919</v>
      </c>
      <c r="G46" s="405">
        <v>45137.0</v>
      </c>
      <c r="H46" s="405">
        <v>45134.0</v>
      </c>
      <c r="I46" s="400" t="s">
        <v>8300</v>
      </c>
      <c r="J46" s="220"/>
      <c r="K46" s="220"/>
      <c r="L46" s="207" t="s">
        <v>8301</v>
      </c>
      <c r="M46" s="157"/>
      <c r="N46" s="157"/>
      <c r="O46" s="157"/>
      <c r="P46" s="157"/>
      <c r="Q46" s="157"/>
      <c r="R46" s="157"/>
      <c r="S46" s="157"/>
      <c r="T46" s="157"/>
      <c r="U46" s="157"/>
      <c r="V46" s="157"/>
      <c r="W46" s="157"/>
      <c r="X46" s="157"/>
      <c r="Y46" s="157"/>
    </row>
    <row r="47" ht="64.5" customHeight="1">
      <c r="A47" s="243">
        <v>8.500000178E9</v>
      </c>
      <c r="B47" s="191" t="s">
        <v>14</v>
      </c>
      <c r="C47" s="215" t="s">
        <v>6014</v>
      </c>
      <c r="D47" s="215" t="s">
        <v>8302</v>
      </c>
      <c r="E47" s="207" t="s">
        <v>8183</v>
      </c>
      <c r="F47" s="215" t="s">
        <v>5919</v>
      </c>
      <c r="G47" s="405">
        <v>45133.0</v>
      </c>
      <c r="H47" s="405">
        <v>45131.0</v>
      </c>
      <c r="I47" s="400" t="s">
        <v>8303</v>
      </c>
      <c r="J47" s="220"/>
      <c r="K47" s="220"/>
      <c r="L47" s="207" t="s">
        <v>8304</v>
      </c>
      <c r="M47" s="157"/>
      <c r="N47" s="157"/>
      <c r="O47" s="157"/>
      <c r="P47" s="157"/>
      <c r="Q47" s="157"/>
      <c r="R47" s="157"/>
      <c r="S47" s="157"/>
      <c r="T47" s="157"/>
      <c r="U47" s="157"/>
      <c r="V47" s="157"/>
      <c r="W47" s="157"/>
      <c r="X47" s="157"/>
      <c r="Y47" s="157"/>
    </row>
    <row r="48" ht="64.5" customHeight="1">
      <c r="A48" s="243">
        <v>8.500000177E9</v>
      </c>
      <c r="B48" s="191" t="s">
        <v>14</v>
      </c>
      <c r="C48" s="215" t="s">
        <v>3376</v>
      </c>
      <c r="D48" s="215" t="s">
        <v>8305</v>
      </c>
      <c r="E48" s="207" t="s">
        <v>8306</v>
      </c>
      <c r="F48" s="215" t="s">
        <v>5919</v>
      </c>
      <c r="G48" s="405">
        <v>45123.0</v>
      </c>
      <c r="H48" s="405">
        <v>45123.0</v>
      </c>
      <c r="I48" s="405">
        <v>45128.0</v>
      </c>
      <c r="J48" s="220"/>
      <c r="K48" s="220"/>
      <c r="L48" s="207" t="s">
        <v>8307</v>
      </c>
      <c r="M48" s="157"/>
      <c r="N48" s="157"/>
      <c r="O48" s="157"/>
      <c r="P48" s="157"/>
      <c r="Q48" s="157"/>
      <c r="R48" s="157"/>
      <c r="S48" s="157"/>
      <c r="T48" s="157"/>
      <c r="U48" s="157"/>
      <c r="V48" s="157"/>
      <c r="W48" s="157"/>
      <c r="X48" s="157"/>
      <c r="Y48" s="157"/>
    </row>
    <row r="49" ht="64.5" customHeight="1">
      <c r="A49" s="243">
        <v>8.600002397E9</v>
      </c>
      <c r="B49" s="191" t="s">
        <v>21</v>
      </c>
      <c r="C49" s="215" t="s">
        <v>5726</v>
      </c>
      <c r="D49" s="215" t="s">
        <v>8308</v>
      </c>
      <c r="E49" s="207" t="s">
        <v>8309</v>
      </c>
      <c r="F49" s="215" t="s">
        <v>5919</v>
      </c>
      <c r="G49" s="405">
        <v>45121.0</v>
      </c>
      <c r="H49" s="405">
        <v>45118.0</v>
      </c>
      <c r="I49" s="405" t="s">
        <v>8310</v>
      </c>
      <c r="J49" s="191"/>
      <c r="K49" s="220"/>
      <c r="L49" s="207" t="s">
        <v>8311</v>
      </c>
      <c r="M49" s="157"/>
      <c r="N49" s="157"/>
      <c r="O49" s="157"/>
      <c r="P49" s="157"/>
      <c r="Q49" s="157"/>
      <c r="R49" s="157"/>
      <c r="S49" s="157"/>
      <c r="T49" s="157"/>
      <c r="U49" s="157"/>
      <c r="V49" s="157"/>
      <c r="W49" s="157"/>
      <c r="X49" s="157"/>
      <c r="Y49" s="157"/>
    </row>
    <row r="50" ht="64.5" customHeight="1">
      <c r="A50" s="243">
        <v>8.600002362E9</v>
      </c>
      <c r="B50" s="191" t="s">
        <v>14</v>
      </c>
      <c r="C50" s="215" t="s">
        <v>5530</v>
      </c>
      <c r="D50" s="215" t="s">
        <v>8312</v>
      </c>
      <c r="E50" s="207" t="s">
        <v>8313</v>
      </c>
      <c r="F50" s="215" t="s">
        <v>5919</v>
      </c>
      <c r="G50" s="405">
        <v>45115.0</v>
      </c>
      <c r="H50" s="405">
        <v>45103.0</v>
      </c>
      <c r="I50" s="215" t="s">
        <v>8314</v>
      </c>
      <c r="J50" s="220"/>
      <c r="K50" s="220"/>
      <c r="L50" s="207" t="s">
        <v>8315</v>
      </c>
      <c r="M50" s="157"/>
      <c r="N50" s="157"/>
      <c r="O50" s="157"/>
      <c r="P50" s="157"/>
      <c r="Q50" s="157"/>
      <c r="R50" s="157"/>
      <c r="S50" s="157"/>
      <c r="T50" s="157"/>
      <c r="U50" s="157"/>
      <c r="V50" s="157"/>
      <c r="W50" s="157"/>
      <c r="X50" s="157"/>
      <c r="Y50" s="157"/>
    </row>
    <row r="51" ht="64.5" customHeight="1">
      <c r="A51" s="243">
        <v>8.600002398E9</v>
      </c>
      <c r="B51" s="191" t="s">
        <v>25</v>
      </c>
      <c r="C51" s="215" t="s">
        <v>3390</v>
      </c>
      <c r="D51" s="215" t="s">
        <v>8316</v>
      </c>
      <c r="E51" s="207" t="s">
        <v>8317</v>
      </c>
      <c r="F51" s="215" t="s">
        <v>5919</v>
      </c>
      <c r="G51" s="405">
        <v>45113.0</v>
      </c>
      <c r="H51" s="405">
        <v>45110.0</v>
      </c>
      <c r="I51" s="405">
        <v>45118.0</v>
      </c>
      <c r="J51" s="220"/>
      <c r="K51" s="220"/>
      <c r="L51" s="207" t="s">
        <v>8318</v>
      </c>
      <c r="M51" s="157"/>
      <c r="N51" s="157"/>
      <c r="O51" s="157"/>
      <c r="P51" s="157"/>
      <c r="Q51" s="157"/>
      <c r="R51" s="157"/>
      <c r="S51" s="157"/>
      <c r="T51" s="157"/>
      <c r="U51" s="157"/>
      <c r="V51" s="157"/>
      <c r="W51" s="157"/>
      <c r="X51" s="157"/>
      <c r="Y51" s="157"/>
    </row>
    <row r="52" ht="64.5" customHeight="1">
      <c r="A52" s="243">
        <v>8.500000173E9</v>
      </c>
      <c r="B52" s="191" t="s">
        <v>14</v>
      </c>
      <c r="C52" s="215" t="s">
        <v>3646</v>
      </c>
      <c r="D52" s="215" t="s">
        <v>8319</v>
      </c>
      <c r="E52" s="207" t="s">
        <v>2116</v>
      </c>
      <c r="F52" s="215" t="s">
        <v>5919</v>
      </c>
      <c r="G52" s="405">
        <v>45108.0</v>
      </c>
      <c r="H52" s="405">
        <v>45103.0</v>
      </c>
      <c r="I52" s="405">
        <v>45113.0</v>
      </c>
      <c r="J52" s="220"/>
      <c r="K52" s="220"/>
      <c r="L52" s="207" t="s">
        <v>8320</v>
      </c>
      <c r="M52" s="157"/>
      <c r="N52" s="157"/>
      <c r="O52" s="157"/>
      <c r="P52" s="157"/>
      <c r="Q52" s="157"/>
      <c r="R52" s="157"/>
      <c r="S52" s="157"/>
      <c r="T52" s="157"/>
      <c r="U52" s="157"/>
      <c r="V52" s="157"/>
      <c r="W52" s="157"/>
      <c r="X52" s="157"/>
      <c r="Y52" s="157"/>
    </row>
    <row r="53" ht="71.25" customHeight="1">
      <c r="A53" s="243">
        <v>8.500000176E9</v>
      </c>
      <c r="B53" s="191" t="s">
        <v>25</v>
      </c>
      <c r="C53" s="215" t="s">
        <v>6014</v>
      </c>
      <c r="D53" s="215" t="s">
        <v>8321</v>
      </c>
      <c r="E53" s="207" t="s">
        <v>8183</v>
      </c>
      <c r="F53" s="215" t="s">
        <v>5919</v>
      </c>
      <c r="G53" s="405">
        <v>45093.0</v>
      </c>
      <c r="H53" s="405">
        <v>45092.0</v>
      </c>
      <c r="I53" s="215" t="s">
        <v>8322</v>
      </c>
      <c r="J53" s="220"/>
      <c r="K53" s="220"/>
      <c r="L53" s="207" t="s">
        <v>8323</v>
      </c>
      <c r="M53" s="157"/>
      <c r="N53" s="157"/>
      <c r="O53" s="157"/>
      <c r="P53" s="157"/>
      <c r="Q53" s="157"/>
      <c r="R53" s="157"/>
      <c r="S53" s="157"/>
      <c r="T53" s="157"/>
      <c r="U53" s="157"/>
      <c r="V53" s="157"/>
      <c r="W53" s="157"/>
      <c r="X53" s="157"/>
      <c r="Y53" s="157"/>
    </row>
    <row r="54" ht="69.0" customHeight="1">
      <c r="A54" s="243">
        <v>8.500000174E9</v>
      </c>
      <c r="B54" s="191" t="s">
        <v>25</v>
      </c>
      <c r="C54" s="215" t="s">
        <v>3646</v>
      </c>
      <c r="D54" s="215" t="s">
        <v>8324</v>
      </c>
      <c r="E54" s="207" t="s">
        <v>8183</v>
      </c>
      <c r="F54" s="215" t="s">
        <v>5919</v>
      </c>
      <c r="G54" s="405">
        <v>45086.0</v>
      </c>
      <c r="H54" s="405">
        <v>45083.0</v>
      </c>
      <c r="I54" s="405">
        <v>45093.0</v>
      </c>
      <c r="J54" s="220"/>
      <c r="K54" s="220"/>
      <c r="L54" s="207" t="s">
        <v>8325</v>
      </c>
      <c r="M54" s="157"/>
      <c r="N54" s="157"/>
      <c r="O54" s="157"/>
      <c r="P54" s="157"/>
      <c r="Q54" s="157"/>
      <c r="R54" s="157"/>
      <c r="S54" s="157"/>
      <c r="T54" s="157"/>
      <c r="U54" s="157"/>
      <c r="V54" s="157"/>
      <c r="W54" s="157"/>
      <c r="X54" s="157"/>
      <c r="Y54" s="157"/>
    </row>
    <row r="55" ht="79.5" customHeight="1">
      <c r="A55" s="243">
        <v>8.600002345E9</v>
      </c>
      <c r="B55" s="215" t="s">
        <v>25</v>
      </c>
      <c r="C55" s="215" t="s">
        <v>5577</v>
      </c>
      <c r="D55" s="215" t="s">
        <v>8326</v>
      </c>
      <c r="E55" s="207" t="s">
        <v>5962</v>
      </c>
      <c r="F55" s="215" t="s">
        <v>5919</v>
      </c>
      <c r="G55" s="405">
        <v>45083.0</v>
      </c>
      <c r="H55" s="405">
        <v>45097.0</v>
      </c>
      <c r="I55" s="215" t="s">
        <v>8327</v>
      </c>
      <c r="J55" s="452"/>
      <c r="K55" s="220"/>
      <c r="L55" s="453" t="s">
        <v>8328</v>
      </c>
      <c r="M55" s="157"/>
      <c r="N55" s="157"/>
      <c r="O55" s="157"/>
      <c r="P55" s="157"/>
      <c r="Q55" s="157"/>
      <c r="R55" s="157"/>
      <c r="S55" s="157"/>
      <c r="T55" s="157"/>
      <c r="U55" s="157"/>
      <c r="V55" s="157"/>
      <c r="W55" s="157"/>
      <c r="X55" s="157"/>
      <c r="Y55" s="157"/>
    </row>
    <row r="56" ht="79.5" customHeight="1">
      <c r="A56" s="243">
        <v>8.600002352E9</v>
      </c>
      <c r="B56" s="191" t="s">
        <v>21</v>
      </c>
      <c r="C56" s="215" t="s">
        <v>5604</v>
      </c>
      <c r="D56" s="215" t="s">
        <v>8329</v>
      </c>
      <c r="E56" s="207" t="s">
        <v>8190</v>
      </c>
      <c r="F56" s="215" t="s">
        <v>5919</v>
      </c>
      <c r="G56" s="405">
        <v>45076.0</v>
      </c>
      <c r="H56" s="405">
        <v>45071.0</v>
      </c>
      <c r="I56" s="405">
        <v>45086.0</v>
      </c>
      <c r="J56" s="220"/>
      <c r="K56" s="220"/>
      <c r="L56" s="207" t="s">
        <v>8330</v>
      </c>
      <c r="M56" s="157"/>
      <c r="N56" s="157"/>
      <c r="O56" s="157"/>
      <c r="P56" s="157"/>
      <c r="Q56" s="157"/>
      <c r="R56" s="157"/>
      <c r="S56" s="157"/>
      <c r="T56" s="157"/>
      <c r="U56" s="157"/>
      <c r="V56" s="157"/>
      <c r="W56" s="157"/>
      <c r="X56" s="157"/>
      <c r="Y56" s="157"/>
    </row>
    <row r="57" ht="71.25" customHeight="1">
      <c r="A57" s="243">
        <v>8.600002353E9</v>
      </c>
      <c r="B57" s="191" t="s">
        <v>25</v>
      </c>
      <c r="C57" s="215" t="s">
        <v>2322</v>
      </c>
      <c r="D57" s="215" t="s">
        <v>8331</v>
      </c>
      <c r="E57" s="207" t="s">
        <v>8332</v>
      </c>
      <c r="F57" s="215" t="s">
        <v>5919</v>
      </c>
      <c r="G57" s="405">
        <v>45069.0</v>
      </c>
      <c r="H57" s="405">
        <v>45065.0</v>
      </c>
      <c r="I57" s="405">
        <v>45082.0</v>
      </c>
      <c r="J57" s="220"/>
      <c r="K57" s="220"/>
      <c r="L57" s="207" t="s">
        <v>8333</v>
      </c>
      <c r="M57" s="157"/>
      <c r="N57" s="157"/>
      <c r="O57" s="157"/>
      <c r="P57" s="157"/>
      <c r="Q57" s="157"/>
      <c r="R57" s="157"/>
      <c r="S57" s="157"/>
      <c r="T57" s="157"/>
      <c r="U57" s="157"/>
      <c r="V57" s="157"/>
      <c r="W57" s="157"/>
      <c r="X57" s="157"/>
      <c r="Y57" s="157"/>
    </row>
    <row r="58" ht="68.25" customHeight="1">
      <c r="A58" s="243">
        <v>8.500000171E9</v>
      </c>
      <c r="B58" s="191" t="s">
        <v>21</v>
      </c>
      <c r="C58" s="215" t="s">
        <v>3420</v>
      </c>
      <c r="D58" s="215" t="s">
        <v>8334</v>
      </c>
      <c r="E58" s="207" t="s">
        <v>2116</v>
      </c>
      <c r="F58" s="215" t="s">
        <v>5919</v>
      </c>
      <c r="G58" s="405">
        <v>45069.0</v>
      </c>
      <c r="H58" s="405">
        <v>45068.0</v>
      </c>
      <c r="I58" s="405">
        <v>45076.0</v>
      </c>
      <c r="J58" s="220"/>
      <c r="K58" s="220"/>
      <c r="L58" s="207" t="s">
        <v>8335</v>
      </c>
      <c r="M58" s="157"/>
      <c r="N58" s="157"/>
      <c r="O58" s="157"/>
      <c r="P58" s="157"/>
      <c r="Q58" s="157"/>
      <c r="R58" s="157"/>
      <c r="S58" s="157"/>
      <c r="T58" s="157"/>
      <c r="U58" s="157"/>
      <c r="V58" s="157"/>
      <c r="W58" s="157"/>
      <c r="X58" s="157"/>
      <c r="Y58" s="157"/>
    </row>
    <row r="59" ht="63.0" customHeight="1">
      <c r="A59" s="243">
        <v>8.500000168E9</v>
      </c>
      <c r="B59" s="191" t="s">
        <v>14</v>
      </c>
      <c r="C59" s="215" t="s">
        <v>3420</v>
      </c>
      <c r="D59" s="215" t="s">
        <v>8336</v>
      </c>
      <c r="E59" s="207" t="s">
        <v>2116</v>
      </c>
      <c r="F59" s="215" t="s">
        <v>5919</v>
      </c>
      <c r="G59" s="405">
        <v>45050.0</v>
      </c>
      <c r="H59" s="405">
        <v>45048.0</v>
      </c>
      <c r="I59" s="405">
        <v>45056.0</v>
      </c>
      <c r="J59" s="220"/>
      <c r="K59" s="220"/>
      <c r="L59" s="207" t="s">
        <v>8337</v>
      </c>
      <c r="M59" s="157"/>
      <c r="N59" s="157"/>
      <c r="O59" s="157"/>
      <c r="P59" s="157"/>
      <c r="Q59" s="157"/>
      <c r="R59" s="157"/>
      <c r="S59" s="157"/>
      <c r="T59" s="157"/>
      <c r="U59" s="157"/>
      <c r="V59" s="157"/>
      <c r="W59" s="157"/>
      <c r="X59" s="157"/>
      <c r="Y59" s="157"/>
    </row>
    <row r="60" ht="69.75" customHeight="1">
      <c r="A60" s="243">
        <v>8.600002298E9</v>
      </c>
      <c r="B60" s="191" t="s">
        <v>14</v>
      </c>
      <c r="C60" s="215" t="s">
        <v>6014</v>
      </c>
      <c r="D60" s="215" t="s">
        <v>8338</v>
      </c>
      <c r="E60" s="207" t="s">
        <v>8339</v>
      </c>
      <c r="F60" s="215" t="s">
        <v>5919</v>
      </c>
      <c r="G60" s="405">
        <v>45044.0</v>
      </c>
      <c r="H60" s="405">
        <v>45040.0</v>
      </c>
      <c r="I60" s="215" t="s">
        <v>8340</v>
      </c>
      <c r="J60" s="220"/>
      <c r="K60" s="220"/>
      <c r="L60" s="207" t="s">
        <v>8341</v>
      </c>
      <c r="M60" s="157"/>
      <c r="N60" s="157"/>
      <c r="O60" s="157"/>
      <c r="P60" s="157"/>
      <c r="Q60" s="157"/>
      <c r="R60" s="157"/>
      <c r="S60" s="157"/>
      <c r="T60" s="157"/>
      <c r="U60" s="157"/>
      <c r="V60" s="157"/>
      <c r="W60" s="157"/>
      <c r="X60" s="157"/>
      <c r="Y60" s="157"/>
    </row>
    <row r="61" ht="62.25" customHeight="1">
      <c r="A61" s="243" t="s">
        <v>8342</v>
      </c>
      <c r="B61" s="191" t="s">
        <v>14</v>
      </c>
      <c r="C61" s="215" t="s">
        <v>3646</v>
      </c>
      <c r="D61" s="215" t="s">
        <v>8343</v>
      </c>
      <c r="E61" s="207" t="s">
        <v>8344</v>
      </c>
      <c r="F61" s="215" t="s">
        <v>5919</v>
      </c>
      <c r="G61" s="405">
        <v>45042.0</v>
      </c>
      <c r="H61" s="405">
        <v>45040.0</v>
      </c>
      <c r="I61" s="405">
        <v>45044.0</v>
      </c>
      <c r="J61" s="220"/>
      <c r="K61" s="220"/>
      <c r="L61" s="207" t="s">
        <v>8345</v>
      </c>
      <c r="M61" s="157"/>
      <c r="N61" s="157"/>
      <c r="O61" s="157"/>
      <c r="P61" s="157"/>
      <c r="Q61" s="157"/>
      <c r="R61" s="157"/>
      <c r="S61" s="157"/>
      <c r="T61" s="157"/>
      <c r="U61" s="157"/>
      <c r="V61" s="157"/>
      <c r="W61" s="157"/>
      <c r="X61" s="157"/>
      <c r="Y61" s="157"/>
    </row>
    <row r="62" ht="68.25" customHeight="1">
      <c r="A62" s="243">
        <v>8.500000167E9</v>
      </c>
      <c r="B62" s="191" t="s">
        <v>14</v>
      </c>
      <c r="C62" s="215" t="s">
        <v>3620</v>
      </c>
      <c r="D62" s="215" t="s">
        <v>8346</v>
      </c>
      <c r="E62" s="207" t="s">
        <v>5528</v>
      </c>
      <c r="F62" s="215" t="s">
        <v>5919</v>
      </c>
      <c r="G62" s="405">
        <v>45041.0</v>
      </c>
      <c r="H62" s="405">
        <v>45035.0</v>
      </c>
      <c r="I62" s="405">
        <v>45043.0</v>
      </c>
      <c r="J62" s="220"/>
      <c r="K62" s="220"/>
      <c r="L62" s="207" t="s">
        <v>8347</v>
      </c>
      <c r="M62" s="157"/>
      <c r="N62" s="157"/>
      <c r="O62" s="157"/>
      <c r="P62" s="157"/>
      <c r="Q62" s="157"/>
      <c r="R62" s="157"/>
      <c r="S62" s="157"/>
      <c r="T62" s="157"/>
      <c r="U62" s="157"/>
      <c r="V62" s="157"/>
      <c r="W62" s="157"/>
      <c r="X62" s="157"/>
      <c r="Y62" s="157"/>
    </row>
    <row r="63" ht="68.25" customHeight="1">
      <c r="A63" s="243">
        <v>8.600002303E9</v>
      </c>
      <c r="B63" s="191" t="s">
        <v>25</v>
      </c>
      <c r="C63" s="215" t="s">
        <v>5649</v>
      </c>
      <c r="D63" s="215" t="s">
        <v>8348</v>
      </c>
      <c r="E63" s="207" t="s">
        <v>5936</v>
      </c>
      <c r="F63" s="215" t="s">
        <v>5919</v>
      </c>
      <c r="G63" s="405">
        <v>45039.0</v>
      </c>
      <c r="H63" s="405">
        <v>45033.0</v>
      </c>
      <c r="I63" s="215" t="s">
        <v>8349</v>
      </c>
      <c r="J63" s="220"/>
      <c r="K63" s="220"/>
      <c r="L63" s="207" t="s">
        <v>8350</v>
      </c>
      <c r="M63" s="157"/>
      <c r="N63" s="157"/>
      <c r="O63" s="157"/>
      <c r="P63" s="157"/>
      <c r="Q63" s="157"/>
      <c r="R63" s="157"/>
      <c r="S63" s="157"/>
      <c r="T63" s="157"/>
      <c r="U63" s="157"/>
      <c r="V63" s="157"/>
      <c r="W63" s="157"/>
      <c r="X63" s="157"/>
      <c r="Y63" s="157"/>
    </row>
    <row r="64" ht="68.25" customHeight="1">
      <c r="A64" s="243">
        <v>8.600002265E9</v>
      </c>
      <c r="B64" s="191" t="s">
        <v>14</v>
      </c>
      <c r="C64" s="215" t="s">
        <v>5561</v>
      </c>
      <c r="D64" s="215" t="s">
        <v>8351</v>
      </c>
      <c r="E64" s="207" t="s">
        <v>8352</v>
      </c>
      <c r="F64" s="215" t="s">
        <v>5919</v>
      </c>
      <c r="G64" s="405">
        <v>45029.0</v>
      </c>
      <c r="H64" s="405">
        <v>45026.0</v>
      </c>
      <c r="I64" s="215" t="s">
        <v>8353</v>
      </c>
      <c r="J64" s="220"/>
      <c r="K64" s="220"/>
      <c r="L64" s="207" t="s">
        <v>8354</v>
      </c>
      <c r="M64" s="157"/>
      <c r="N64" s="157"/>
      <c r="O64" s="157"/>
      <c r="P64" s="157"/>
      <c r="Q64" s="157"/>
      <c r="R64" s="157"/>
      <c r="S64" s="157"/>
      <c r="T64" s="157"/>
      <c r="U64" s="157"/>
      <c r="V64" s="157"/>
      <c r="W64" s="157"/>
      <c r="X64" s="157"/>
      <c r="Y64" s="157"/>
    </row>
    <row r="65" ht="62.25" customHeight="1">
      <c r="A65" s="243">
        <v>8.600002288E9</v>
      </c>
      <c r="B65" s="191" t="s">
        <v>21</v>
      </c>
      <c r="C65" s="215" t="s">
        <v>3436</v>
      </c>
      <c r="D65" s="215" t="s">
        <v>8355</v>
      </c>
      <c r="E65" s="207" t="s">
        <v>8190</v>
      </c>
      <c r="F65" s="215" t="s">
        <v>5919</v>
      </c>
      <c r="G65" s="405">
        <v>45029.0</v>
      </c>
      <c r="H65" s="405">
        <v>45026.0</v>
      </c>
      <c r="I65" s="405">
        <v>45035.0</v>
      </c>
      <c r="J65" s="220"/>
      <c r="K65" s="220"/>
      <c r="L65" s="207" t="s">
        <v>8356</v>
      </c>
      <c r="M65" s="157"/>
      <c r="N65" s="157"/>
      <c r="O65" s="157"/>
      <c r="P65" s="157"/>
      <c r="Q65" s="157"/>
      <c r="R65" s="157"/>
      <c r="S65" s="157"/>
      <c r="T65" s="157"/>
      <c r="U65" s="157"/>
      <c r="V65" s="157"/>
      <c r="W65" s="157"/>
      <c r="X65" s="157"/>
      <c r="Y65" s="157"/>
    </row>
    <row r="66" ht="62.25" customHeight="1">
      <c r="A66" s="243" t="s">
        <v>8357</v>
      </c>
      <c r="B66" s="191" t="s">
        <v>14</v>
      </c>
      <c r="C66" s="215" t="s">
        <v>3420</v>
      </c>
      <c r="D66" s="215" t="s">
        <v>8358</v>
      </c>
      <c r="E66" s="207" t="s">
        <v>8344</v>
      </c>
      <c r="F66" s="215" t="s">
        <v>5919</v>
      </c>
      <c r="G66" s="405">
        <v>45020.0</v>
      </c>
      <c r="H66" s="405">
        <v>45016.0</v>
      </c>
      <c r="I66" s="405">
        <v>45026.0</v>
      </c>
      <c r="J66" s="220"/>
      <c r="K66" s="220"/>
      <c r="L66" s="207" t="s">
        <v>8359</v>
      </c>
      <c r="M66" s="157"/>
      <c r="N66" s="157"/>
      <c r="O66" s="157"/>
      <c r="P66" s="157"/>
      <c r="Q66" s="157"/>
      <c r="R66" s="157"/>
      <c r="S66" s="157"/>
      <c r="T66" s="157"/>
      <c r="U66" s="157"/>
      <c r="V66" s="157"/>
      <c r="W66" s="157"/>
      <c r="X66" s="157"/>
      <c r="Y66" s="157"/>
    </row>
    <row r="67" ht="59.25" customHeight="1">
      <c r="A67" s="243">
        <v>8.500000165E9</v>
      </c>
      <c r="B67" s="191" t="s">
        <v>14</v>
      </c>
      <c r="C67" s="215" t="s">
        <v>3420</v>
      </c>
      <c r="D67" s="215" t="s">
        <v>8360</v>
      </c>
      <c r="E67" s="207" t="s">
        <v>5680</v>
      </c>
      <c r="F67" s="215" t="s">
        <v>5919</v>
      </c>
      <c r="G67" s="405">
        <v>45020.0</v>
      </c>
      <c r="H67" s="405">
        <v>45015.0</v>
      </c>
      <c r="I67" s="405">
        <v>45022.0</v>
      </c>
      <c r="J67" s="220"/>
      <c r="K67" s="220"/>
      <c r="L67" s="207" t="s">
        <v>8361</v>
      </c>
      <c r="M67" s="157"/>
      <c r="N67" s="157"/>
      <c r="O67" s="157"/>
      <c r="P67" s="157"/>
      <c r="Q67" s="157"/>
      <c r="R67" s="157"/>
      <c r="S67" s="157"/>
      <c r="T67" s="157"/>
      <c r="U67" s="157"/>
      <c r="V67" s="157"/>
      <c r="W67" s="157"/>
      <c r="X67" s="157"/>
      <c r="Y67" s="157"/>
    </row>
    <row r="68" ht="58.5" customHeight="1">
      <c r="A68" s="243">
        <v>8.600002262E9</v>
      </c>
      <c r="B68" s="191" t="s">
        <v>21</v>
      </c>
      <c r="C68" s="215" t="s">
        <v>3646</v>
      </c>
      <c r="D68" s="215" t="s">
        <v>8362</v>
      </c>
      <c r="E68" s="207" t="s">
        <v>8363</v>
      </c>
      <c r="F68" s="215" t="s">
        <v>5919</v>
      </c>
      <c r="G68" s="405">
        <v>45016.0</v>
      </c>
      <c r="H68" s="405">
        <v>45012.0</v>
      </c>
      <c r="I68" s="405">
        <v>45022.0</v>
      </c>
      <c r="J68" s="220"/>
      <c r="K68" s="220"/>
      <c r="L68" s="207" t="s">
        <v>8364</v>
      </c>
      <c r="M68" s="157"/>
      <c r="N68" s="157"/>
      <c r="O68" s="157"/>
      <c r="P68" s="157"/>
      <c r="Q68" s="157"/>
      <c r="R68" s="157"/>
      <c r="S68" s="157"/>
      <c r="T68" s="157"/>
      <c r="U68" s="157"/>
      <c r="V68" s="157"/>
      <c r="W68" s="157"/>
      <c r="X68" s="157"/>
      <c r="Y68" s="157"/>
    </row>
    <row r="69" ht="63.75" customHeight="1">
      <c r="A69" s="243">
        <v>8.600002263E9</v>
      </c>
      <c r="B69" s="191" t="s">
        <v>25</v>
      </c>
      <c r="C69" s="215" t="s">
        <v>3430</v>
      </c>
      <c r="D69" s="215" t="s">
        <v>8365</v>
      </c>
      <c r="E69" s="207" t="s">
        <v>8366</v>
      </c>
      <c r="F69" s="215" t="s">
        <v>5919</v>
      </c>
      <c r="G69" s="405">
        <v>45013.0</v>
      </c>
      <c r="H69" s="405">
        <v>45011.0</v>
      </c>
      <c r="I69" s="405">
        <v>45027.0</v>
      </c>
      <c r="J69" s="220"/>
      <c r="K69" s="220"/>
      <c r="L69" s="207" t="s">
        <v>8367</v>
      </c>
      <c r="M69" s="157"/>
      <c r="N69" s="157"/>
      <c r="O69" s="157"/>
      <c r="P69" s="157"/>
      <c r="Q69" s="157"/>
      <c r="R69" s="157"/>
      <c r="S69" s="157"/>
      <c r="T69" s="157"/>
      <c r="U69" s="157"/>
      <c r="V69" s="157"/>
      <c r="W69" s="157"/>
      <c r="X69" s="157"/>
      <c r="Y69" s="157"/>
    </row>
    <row r="70" ht="71.25" customHeight="1">
      <c r="A70" s="243">
        <v>8.600002256E9</v>
      </c>
      <c r="B70" s="191" t="s">
        <v>25</v>
      </c>
      <c r="C70" s="215" t="s">
        <v>8186</v>
      </c>
      <c r="D70" s="215" t="s">
        <v>8368</v>
      </c>
      <c r="E70" s="207" t="s">
        <v>8369</v>
      </c>
      <c r="F70" s="215" t="s">
        <v>5919</v>
      </c>
      <c r="G70" s="405">
        <v>45002.0</v>
      </c>
      <c r="H70" s="405">
        <v>45000.0</v>
      </c>
      <c r="I70" s="215" t="s">
        <v>8370</v>
      </c>
      <c r="J70" s="220"/>
      <c r="K70" s="220"/>
      <c r="L70" s="207" t="s">
        <v>8371</v>
      </c>
      <c r="M70" s="157"/>
      <c r="N70" s="157"/>
      <c r="O70" s="157"/>
      <c r="P70" s="157"/>
      <c r="Q70" s="157"/>
      <c r="R70" s="157"/>
      <c r="S70" s="157"/>
      <c r="T70" s="157"/>
      <c r="U70" s="157"/>
      <c r="V70" s="157"/>
      <c r="W70" s="157"/>
      <c r="X70" s="157"/>
      <c r="Y70" s="157"/>
    </row>
    <row r="71" ht="81.75" customHeight="1">
      <c r="A71" s="243">
        <v>8.600002209E9</v>
      </c>
      <c r="B71" s="191" t="s">
        <v>25</v>
      </c>
      <c r="C71" s="215" t="s">
        <v>3404</v>
      </c>
      <c r="D71" s="215" t="s">
        <v>8372</v>
      </c>
      <c r="E71" s="207" t="s">
        <v>5922</v>
      </c>
      <c r="F71" s="215" t="s">
        <v>5919</v>
      </c>
      <c r="G71" s="405">
        <v>44996.0</v>
      </c>
      <c r="H71" s="215" t="s">
        <v>8373</v>
      </c>
      <c r="I71" s="405">
        <v>45000.0</v>
      </c>
      <c r="J71" s="220"/>
      <c r="K71" s="220"/>
      <c r="L71" s="207" t="s">
        <v>8374</v>
      </c>
      <c r="M71" s="157"/>
      <c r="N71" s="157"/>
      <c r="O71" s="157"/>
      <c r="P71" s="157"/>
      <c r="Q71" s="157"/>
      <c r="R71" s="157"/>
      <c r="S71" s="157"/>
      <c r="T71" s="157"/>
      <c r="U71" s="157"/>
      <c r="V71" s="157"/>
      <c r="W71" s="157"/>
      <c r="X71" s="157"/>
      <c r="Y71" s="157"/>
    </row>
    <row r="72" ht="57.0" customHeight="1">
      <c r="A72" s="243">
        <v>8.600002212E9</v>
      </c>
      <c r="B72" s="191" t="s">
        <v>25</v>
      </c>
      <c r="C72" s="215" t="s">
        <v>8220</v>
      </c>
      <c r="D72" s="215" t="s">
        <v>8375</v>
      </c>
      <c r="E72" s="207" t="s">
        <v>8376</v>
      </c>
      <c r="F72" s="215" t="s">
        <v>5919</v>
      </c>
      <c r="G72" s="405">
        <v>44985.0</v>
      </c>
      <c r="H72" s="405">
        <v>44981.0</v>
      </c>
      <c r="I72" s="405">
        <v>44992.0</v>
      </c>
      <c r="J72" s="220"/>
      <c r="K72" s="220"/>
      <c r="L72" s="207" t="s">
        <v>8377</v>
      </c>
      <c r="M72" s="157"/>
      <c r="N72" s="157"/>
      <c r="O72" s="157"/>
      <c r="P72" s="157"/>
      <c r="Q72" s="157"/>
      <c r="R72" s="157"/>
      <c r="S72" s="157"/>
      <c r="T72" s="157"/>
      <c r="U72" s="157"/>
      <c r="V72" s="157"/>
      <c r="W72" s="157"/>
      <c r="X72" s="157"/>
      <c r="Y72" s="157"/>
    </row>
    <row r="73" ht="66.0" customHeight="1">
      <c r="A73" s="243">
        <v>8.600002207E9</v>
      </c>
      <c r="B73" s="215" t="s">
        <v>14</v>
      </c>
      <c r="C73" s="215" t="s">
        <v>3386</v>
      </c>
      <c r="D73" s="215" t="s">
        <v>8378</v>
      </c>
      <c r="E73" s="207" t="s">
        <v>5559</v>
      </c>
      <c r="F73" s="215" t="s">
        <v>5919</v>
      </c>
      <c r="G73" s="405">
        <v>44985.0</v>
      </c>
      <c r="H73" s="405">
        <v>44980.0</v>
      </c>
      <c r="I73" s="405">
        <v>44991.0</v>
      </c>
      <c r="J73" s="220"/>
      <c r="K73" s="220"/>
      <c r="L73" s="207" t="s">
        <v>8379</v>
      </c>
      <c r="M73" s="157"/>
      <c r="N73" s="157"/>
      <c r="O73" s="157"/>
      <c r="P73" s="157"/>
      <c r="Q73" s="157"/>
      <c r="R73" s="157"/>
      <c r="S73" s="157"/>
      <c r="T73" s="157"/>
      <c r="U73" s="157"/>
      <c r="V73" s="157"/>
      <c r="W73" s="157"/>
      <c r="X73" s="157"/>
      <c r="Y73" s="157"/>
    </row>
    <row r="74" ht="56.25" customHeight="1">
      <c r="A74" s="243">
        <v>8.600002211E9</v>
      </c>
      <c r="B74" s="215" t="s">
        <v>14</v>
      </c>
      <c r="C74" s="215" t="s">
        <v>5678</v>
      </c>
      <c r="D74" s="215" t="s">
        <v>8380</v>
      </c>
      <c r="E74" s="207" t="s">
        <v>6080</v>
      </c>
      <c r="F74" s="215" t="s">
        <v>5919</v>
      </c>
      <c r="G74" s="405">
        <v>44979.0</v>
      </c>
      <c r="H74" s="405">
        <v>44979.0</v>
      </c>
      <c r="I74" s="215" t="s">
        <v>8381</v>
      </c>
      <c r="J74" s="220"/>
      <c r="K74" s="220"/>
      <c r="L74" s="207" t="s">
        <v>8382</v>
      </c>
      <c r="M74" s="157"/>
      <c r="N74" s="157"/>
      <c r="O74" s="157"/>
      <c r="P74" s="157"/>
      <c r="Q74" s="157"/>
      <c r="R74" s="157"/>
      <c r="S74" s="157"/>
      <c r="T74" s="157"/>
      <c r="U74" s="157"/>
      <c r="V74" s="157"/>
      <c r="W74" s="157"/>
      <c r="X74" s="157"/>
      <c r="Y74" s="157"/>
    </row>
    <row r="75" ht="61.5" customHeight="1">
      <c r="A75" s="243">
        <v>8.500000162E9</v>
      </c>
      <c r="B75" s="215" t="s">
        <v>14</v>
      </c>
      <c r="C75" s="215" t="s">
        <v>3646</v>
      </c>
      <c r="D75" s="215" t="s">
        <v>8383</v>
      </c>
      <c r="E75" s="207" t="s">
        <v>5680</v>
      </c>
      <c r="F75" s="215" t="s">
        <v>5919</v>
      </c>
      <c r="G75" s="405">
        <v>44978.0</v>
      </c>
      <c r="H75" s="405">
        <v>44967.0</v>
      </c>
      <c r="I75" s="215" t="s">
        <v>8384</v>
      </c>
      <c r="J75" s="220"/>
      <c r="K75" s="220"/>
      <c r="L75" s="207" t="s">
        <v>8385</v>
      </c>
      <c r="M75" s="157"/>
      <c r="N75" s="157"/>
      <c r="O75" s="157"/>
      <c r="P75" s="157"/>
      <c r="Q75" s="157"/>
      <c r="R75" s="157"/>
      <c r="S75" s="157"/>
      <c r="T75" s="157"/>
      <c r="U75" s="157"/>
      <c r="V75" s="157"/>
      <c r="W75" s="157"/>
      <c r="X75" s="157"/>
      <c r="Y75" s="157"/>
    </row>
    <row r="76" ht="73.5" customHeight="1">
      <c r="A76" s="243">
        <v>8.500000161E9</v>
      </c>
      <c r="B76" s="215" t="s">
        <v>14</v>
      </c>
      <c r="C76" s="215" t="s">
        <v>3471</v>
      </c>
      <c r="D76" s="215" t="s">
        <v>8386</v>
      </c>
      <c r="E76" s="207" t="s">
        <v>5680</v>
      </c>
      <c r="F76" s="215" t="s">
        <v>5919</v>
      </c>
      <c r="G76" s="405">
        <v>44977.0</v>
      </c>
      <c r="H76" s="405">
        <v>44965.0</v>
      </c>
      <c r="I76" s="215" t="s">
        <v>8387</v>
      </c>
      <c r="J76" s="220"/>
      <c r="K76" s="220"/>
      <c r="L76" s="207" t="s">
        <v>8388</v>
      </c>
      <c r="M76" s="157"/>
      <c r="N76" s="157"/>
      <c r="O76" s="157"/>
      <c r="P76" s="157"/>
      <c r="Q76" s="157"/>
      <c r="R76" s="157"/>
      <c r="S76" s="157"/>
      <c r="T76" s="157"/>
      <c r="U76" s="157"/>
      <c r="V76" s="157"/>
      <c r="W76" s="157"/>
      <c r="X76" s="157"/>
      <c r="Y76" s="157"/>
    </row>
    <row r="77" ht="63.75" customHeight="1">
      <c r="A77" s="243">
        <v>8.600002213E9</v>
      </c>
      <c r="B77" s="191" t="s">
        <v>21</v>
      </c>
      <c r="C77" s="215" t="s">
        <v>5535</v>
      </c>
      <c r="D77" s="215" t="s">
        <v>8389</v>
      </c>
      <c r="E77" s="207" t="s">
        <v>8390</v>
      </c>
      <c r="F77" s="215" t="s">
        <v>5919</v>
      </c>
      <c r="G77" s="405">
        <v>44976.0</v>
      </c>
      <c r="H77" s="405">
        <v>44970.0</v>
      </c>
      <c r="I77" s="405">
        <v>44986.0</v>
      </c>
      <c r="J77" s="220"/>
      <c r="K77" s="220"/>
      <c r="L77" s="207" t="s">
        <v>8391</v>
      </c>
      <c r="M77" s="157"/>
      <c r="N77" s="157"/>
      <c r="O77" s="157"/>
      <c r="P77" s="157"/>
      <c r="Q77" s="157"/>
      <c r="R77" s="157"/>
      <c r="S77" s="157"/>
      <c r="T77" s="157"/>
      <c r="U77" s="157"/>
      <c r="V77" s="157"/>
      <c r="W77" s="157"/>
      <c r="X77" s="157"/>
      <c r="Y77" s="157"/>
    </row>
    <row r="78" ht="63.75" customHeight="1">
      <c r="A78" s="243">
        <v>8.600002208E9</v>
      </c>
      <c r="B78" s="215" t="s">
        <v>14</v>
      </c>
      <c r="C78" s="215" t="s">
        <v>8392</v>
      </c>
      <c r="D78" s="215" t="s">
        <v>8393</v>
      </c>
      <c r="E78" s="207" t="s">
        <v>5922</v>
      </c>
      <c r="F78" s="215" t="s">
        <v>5919</v>
      </c>
      <c r="G78" s="405">
        <v>44974.0</v>
      </c>
      <c r="H78" s="405">
        <v>44971.0</v>
      </c>
      <c r="I78" s="215" t="s">
        <v>8394</v>
      </c>
      <c r="J78" s="220"/>
      <c r="K78" s="220"/>
      <c r="L78" s="207" t="s">
        <v>8395</v>
      </c>
      <c r="M78" s="157"/>
      <c r="N78" s="157"/>
      <c r="O78" s="157"/>
      <c r="P78" s="157"/>
      <c r="Q78" s="157"/>
      <c r="R78" s="157"/>
      <c r="S78" s="157"/>
      <c r="T78" s="157"/>
      <c r="U78" s="157"/>
      <c r="V78" s="157"/>
      <c r="W78" s="157"/>
      <c r="X78" s="157"/>
      <c r="Y78" s="157"/>
    </row>
    <row r="79" ht="76.5" customHeight="1">
      <c r="A79" s="243">
        <v>8.600002177E9</v>
      </c>
      <c r="B79" s="215" t="s">
        <v>14</v>
      </c>
      <c r="C79" s="215" t="s">
        <v>5665</v>
      </c>
      <c r="D79" s="215" t="s">
        <v>8396</v>
      </c>
      <c r="E79" s="207" t="s">
        <v>5667</v>
      </c>
      <c r="F79" s="215" t="s">
        <v>5919</v>
      </c>
      <c r="G79" s="405">
        <v>44969.0</v>
      </c>
      <c r="H79" s="405">
        <v>44965.0</v>
      </c>
      <c r="I79" s="405">
        <v>44974.0</v>
      </c>
      <c r="J79" s="220"/>
      <c r="K79" s="220"/>
      <c r="L79" s="207" t="s">
        <v>8397</v>
      </c>
      <c r="M79" s="157"/>
      <c r="N79" s="157"/>
      <c r="O79" s="157"/>
      <c r="P79" s="157"/>
      <c r="Q79" s="157"/>
      <c r="R79" s="157"/>
      <c r="S79" s="157"/>
      <c r="T79" s="157"/>
      <c r="U79" s="157"/>
      <c r="V79" s="157"/>
      <c r="W79" s="157"/>
      <c r="X79" s="157"/>
      <c r="Y79" s="157"/>
    </row>
    <row r="80" ht="60.0" customHeight="1">
      <c r="A80" s="243">
        <v>8.600002166E9</v>
      </c>
      <c r="B80" s="191" t="s">
        <v>25</v>
      </c>
      <c r="C80" s="215" t="s">
        <v>5749</v>
      </c>
      <c r="D80" s="215" t="s">
        <v>8398</v>
      </c>
      <c r="E80" s="207" t="s">
        <v>8399</v>
      </c>
      <c r="F80" s="215" t="s">
        <v>5919</v>
      </c>
      <c r="G80" s="405">
        <v>44950.0</v>
      </c>
      <c r="H80" s="405">
        <v>44945.0</v>
      </c>
      <c r="I80" s="405">
        <v>44953.0</v>
      </c>
      <c r="J80" s="220"/>
      <c r="K80" s="220"/>
      <c r="L80" s="207" t="s">
        <v>8400</v>
      </c>
      <c r="M80" s="157"/>
      <c r="N80" s="157"/>
      <c r="O80" s="157"/>
      <c r="P80" s="157"/>
      <c r="Q80" s="157"/>
      <c r="R80" s="157"/>
      <c r="S80" s="157"/>
      <c r="T80" s="157"/>
      <c r="U80" s="157"/>
      <c r="V80" s="157"/>
      <c r="W80" s="157"/>
      <c r="X80" s="157"/>
      <c r="Y80" s="157"/>
    </row>
    <row r="81" ht="60.0" customHeight="1">
      <c r="A81" s="243">
        <v>8.600002162E9</v>
      </c>
      <c r="B81" s="215" t="s">
        <v>14</v>
      </c>
      <c r="C81" s="215" t="s">
        <v>8401</v>
      </c>
      <c r="D81" s="215" t="s">
        <v>8402</v>
      </c>
      <c r="E81" s="207" t="s">
        <v>8403</v>
      </c>
      <c r="F81" s="215" t="s">
        <v>5919</v>
      </c>
      <c r="G81" s="405">
        <v>44940.0</v>
      </c>
      <c r="H81" s="405">
        <v>44935.0</v>
      </c>
      <c r="I81" s="215" t="s">
        <v>8404</v>
      </c>
      <c r="J81" s="220"/>
      <c r="K81" s="220"/>
      <c r="L81" s="207" t="s">
        <v>8405</v>
      </c>
      <c r="M81" s="157"/>
      <c r="N81" s="157"/>
      <c r="O81" s="157"/>
      <c r="P81" s="157"/>
      <c r="Q81" s="157"/>
      <c r="R81" s="157"/>
      <c r="S81" s="157"/>
      <c r="T81" s="157"/>
      <c r="U81" s="157"/>
      <c r="V81" s="157"/>
      <c r="W81" s="157"/>
      <c r="X81" s="157"/>
      <c r="Y81" s="157"/>
    </row>
    <row r="82" ht="75.75" customHeight="1">
      <c r="A82" s="243">
        <v>8.600002164E9</v>
      </c>
      <c r="B82" s="215" t="s">
        <v>14</v>
      </c>
      <c r="C82" s="215" t="s">
        <v>8406</v>
      </c>
      <c r="D82" s="215" t="s">
        <v>8407</v>
      </c>
      <c r="E82" s="207" t="s">
        <v>8408</v>
      </c>
      <c r="F82" s="215" t="s">
        <v>5919</v>
      </c>
      <c r="G82" s="405">
        <v>44940.0</v>
      </c>
      <c r="H82" s="405">
        <v>44935.0</v>
      </c>
      <c r="I82" s="215" t="s">
        <v>8409</v>
      </c>
      <c r="J82" s="220"/>
      <c r="K82" s="220"/>
      <c r="L82" s="207" t="s">
        <v>8410</v>
      </c>
      <c r="M82" s="157"/>
      <c r="N82" s="157"/>
      <c r="O82" s="157"/>
      <c r="P82" s="157"/>
      <c r="Q82" s="157"/>
      <c r="R82" s="157"/>
      <c r="S82" s="157"/>
      <c r="T82" s="157"/>
      <c r="U82" s="157"/>
      <c r="V82" s="157"/>
      <c r="W82" s="157"/>
      <c r="X82" s="157"/>
      <c r="Y82" s="157"/>
    </row>
    <row r="83" ht="54.0" customHeight="1">
      <c r="A83" s="243">
        <v>8.500000158E9</v>
      </c>
      <c r="B83" s="215" t="s">
        <v>14</v>
      </c>
      <c r="C83" s="215" t="s">
        <v>3420</v>
      </c>
      <c r="D83" s="215" t="s">
        <v>8411</v>
      </c>
      <c r="E83" s="207" t="s">
        <v>5680</v>
      </c>
      <c r="F83" s="215" t="s">
        <v>5919</v>
      </c>
      <c r="G83" s="405">
        <v>44933.0</v>
      </c>
      <c r="H83" s="405">
        <v>44929.0</v>
      </c>
      <c r="I83" s="405">
        <v>44939.0</v>
      </c>
      <c r="J83" s="220"/>
      <c r="K83" s="220"/>
      <c r="L83" s="207" t="s">
        <v>8412</v>
      </c>
      <c r="M83" s="157"/>
      <c r="N83" s="157"/>
      <c r="O83" s="157"/>
      <c r="P83" s="157"/>
      <c r="Q83" s="157"/>
      <c r="R83" s="157"/>
      <c r="S83" s="157"/>
      <c r="T83" s="157"/>
      <c r="U83" s="157"/>
      <c r="V83" s="157"/>
      <c r="W83" s="157"/>
      <c r="X83" s="157"/>
      <c r="Y83" s="157"/>
    </row>
    <row r="84" ht="60.0" customHeight="1">
      <c r="A84" s="243">
        <v>8.600002163E9</v>
      </c>
      <c r="B84" s="191" t="s">
        <v>21</v>
      </c>
      <c r="C84" s="215" t="s">
        <v>3436</v>
      </c>
      <c r="D84" s="215" t="s">
        <v>8413</v>
      </c>
      <c r="E84" s="207" t="s">
        <v>6011</v>
      </c>
      <c r="F84" s="215" t="s">
        <v>5919</v>
      </c>
      <c r="G84" s="405">
        <v>44933.0</v>
      </c>
      <c r="H84" s="405">
        <v>44930.0</v>
      </c>
      <c r="I84" s="405">
        <v>44939.0</v>
      </c>
      <c r="J84" s="220"/>
      <c r="K84" s="220"/>
      <c r="L84" s="207" t="s">
        <v>8414</v>
      </c>
      <c r="M84" s="157"/>
      <c r="N84" s="157"/>
      <c r="O84" s="157"/>
      <c r="P84" s="157"/>
      <c r="Q84" s="157"/>
      <c r="R84" s="157"/>
      <c r="S84" s="157"/>
      <c r="T84" s="157"/>
      <c r="U84" s="157"/>
      <c r="V84" s="157"/>
      <c r="W84" s="157"/>
      <c r="X84" s="157"/>
      <c r="Y84" s="157"/>
    </row>
    <row r="85" ht="60.0" customHeight="1">
      <c r="A85" s="215"/>
      <c r="B85" s="191"/>
      <c r="C85" s="215"/>
      <c r="D85" s="215"/>
      <c r="E85" s="207"/>
      <c r="F85" s="404"/>
      <c r="G85" s="233"/>
      <c r="H85" s="404"/>
      <c r="I85" s="404"/>
      <c r="J85" s="220"/>
      <c r="K85" s="220"/>
      <c r="L85" s="207"/>
      <c r="M85" s="157"/>
      <c r="N85" s="157"/>
      <c r="O85" s="157"/>
      <c r="P85" s="157"/>
      <c r="Q85" s="157"/>
      <c r="R85" s="157"/>
      <c r="S85" s="157"/>
      <c r="T85" s="157"/>
      <c r="U85" s="157"/>
      <c r="V85" s="157"/>
      <c r="W85" s="157"/>
      <c r="X85" s="157"/>
      <c r="Y85" s="157"/>
    </row>
    <row r="86" ht="60.0" customHeight="1">
      <c r="A86" s="191"/>
      <c r="B86" s="191"/>
      <c r="C86" s="215"/>
      <c r="D86" s="215"/>
      <c r="E86" s="207"/>
      <c r="F86" s="404"/>
      <c r="G86" s="233"/>
      <c r="H86" s="220"/>
      <c r="I86" s="404"/>
      <c r="J86" s="220"/>
      <c r="K86" s="220"/>
      <c r="L86" s="207"/>
      <c r="M86" s="157"/>
      <c r="N86" s="157"/>
      <c r="O86" s="157"/>
      <c r="P86" s="157"/>
      <c r="Q86" s="157"/>
      <c r="R86" s="157"/>
      <c r="S86" s="157"/>
      <c r="T86" s="157"/>
      <c r="U86" s="157"/>
      <c r="V86" s="157"/>
      <c r="W86" s="157"/>
      <c r="X86" s="157"/>
      <c r="Y86" s="157"/>
    </row>
    <row r="87" ht="60.0" customHeight="1">
      <c r="A87" s="215"/>
      <c r="B87" s="215"/>
      <c r="C87" s="215"/>
      <c r="D87" s="215"/>
      <c r="E87" s="207"/>
      <c r="F87" s="404"/>
      <c r="G87" s="233"/>
      <c r="H87" s="220"/>
      <c r="I87" s="393"/>
      <c r="J87" s="220"/>
      <c r="K87" s="220"/>
      <c r="L87" s="207"/>
      <c r="M87" s="157"/>
      <c r="N87" s="157"/>
      <c r="O87" s="157"/>
      <c r="P87" s="157"/>
      <c r="Q87" s="157"/>
      <c r="R87" s="157"/>
      <c r="S87" s="157"/>
      <c r="T87" s="157"/>
      <c r="U87" s="157"/>
      <c r="V87" s="157"/>
      <c r="W87" s="157"/>
      <c r="X87" s="157"/>
      <c r="Y87" s="157"/>
    </row>
    <row r="88" ht="60.0" customHeight="1">
      <c r="A88" s="191"/>
      <c r="B88" s="215"/>
      <c r="C88" s="215"/>
      <c r="D88" s="393"/>
      <c r="E88" s="207"/>
      <c r="F88" s="215"/>
      <c r="G88" s="233"/>
      <c r="H88" s="220"/>
      <c r="I88" s="215"/>
      <c r="J88" s="220"/>
      <c r="K88" s="220"/>
      <c r="L88" s="207"/>
      <c r="M88" s="157"/>
      <c r="N88" s="157"/>
      <c r="O88" s="157"/>
      <c r="P88" s="157"/>
      <c r="Q88" s="157"/>
      <c r="R88" s="157"/>
      <c r="S88" s="157"/>
      <c r="T88" s="157"/>
      <c r="U88" s="157"/>
      <c r="V88" s="157"/>
      <c r="W88" s="157"/>
      <c r="X88" s="157"/>
      <c r="Y88" s="157"/>
    </row>
    <row r="89" ht="80.25" customHeight="1">
      <c r="A89" s="191"/>
      <c r="B89" s="215"/>
      <c r="C89" s="215"/>
      <c r="D89" s="215"/>
      <c r="E89" s="207"/>
      <c r="F89" s="215"/>
      <c r="G89" s="233"/>
      <c r="H89" s="220"/>
      <c r="I89" s="215"/>
      <c r="J89" s="220"/>
      <c r="K89" s="220"/>
      <c r="L89" s="207"/>
      <c r="M89" s="157"/>
      <c r="N89" s="157"/>
      <c r="O89" s="157"/>
      <c r="P89" s="157"/>
      <c r="Q89" s="157"/>
      <c r="R89" s="157"/>
      <c r="S89" s="157"/>
      <c r="T89" s="157"/>
      <c r="U89" s="157"/>
      <c r="V89" s="157"/>
      <c r="W89" s="157"/>
      <c r="X89" s="157"/>
      <c r="Y89" s="157"/>
    </row>
    <row r="90" ht="60.75" customHeight="1">
      <c r="A90" s="191"/>
      <c r="B90" s="191"/>
      <c r="C90" s="215"/>
      <c r="D90" s="215"/>
      <c r="E90" s="207"/>
      <c r="F90" s="215"/>
      <c r="G90" s="233"/>
      <c r="H90" s="233"/>
      <c r="I90" s="405"/>
      <c r="J90" s="414"/>
      <c r="K90" s="414"/>
      <c r="L90" s="207"/>
      <c r="M90" s="157"/>
      <c r="N90" s="157"/>
      <c r="O90" s="157"/>
      <c r="P90" s="157"/>
      <c r="Q90" s="157"/>
      <c r="R90" s="157"/>
      <c r="S90" s="157"/>
      <c r="T90" s="157"/>
      <c r="U90" s="157"/>
      <c r="V90" s="157"/>
      <c r="W90" s="157"/>
      <c r="X90" s="157"/>
      <c r="Y90" s="157"/>
    </row>
    <row r="91" ht="60.0" customHeight="1">
      <c r="A91" s="191"/>
      <c r="B91" s="191"/>
      <c r="C91" s="215"/>
      <c r="D91" s="215"/>
      <c r="E91" s="207"/>
      <c r="F91" s="215"/>
      <c r="G91" s="233"/>
      <c r="H91" s="220"/>
      <c r="I91" s="405"/>
      <c r="J91" s="220"/>
      <c r="K91" s="220"/>
      <c r="L91" s="207"/>
      <c r="M91" s="157"/>
      <c r="N91" s="157"/>
      <c r="O91" s="157"/>
      <c r="P91" s="157"/>
      <c r="Q91" s="157"/>
      <c r="R91" s="157"/>
      <c r="S91" s="157"/>
      <c r="T91" s="157"/>
      <c r="U91" s="157"/>
      <c r="V91" s="157"/>
      <c r="W91" s="157"/>
      <c r="X91" s="157"/>
      <c r="Y91" s="157"/>
    </row>
    <row r="92" ht="60.0" customHeight="1">
      <c r="A92" s="191"/>
      <c r="B92" s="191"/>
      <c r="C92" s="215"/>
      <c r="D92" s="215"/>
      <c r="E92" s="207"/>
      <c r="F92" s="404"/>
      <c r="G92" s="233"/>
      <c r="H92" s="220"/>
      <c r="I92" s="393"/>
      <c r="J92" s="220"/>
      <c r="K92" s="220"/>
      <c r="L92" s="207"/>
      <c r="M92" s="157"/>
      <c r="N92" s="157"/>
      <c r="O92" s="157"/>
      <c r="P92" s="157"/>
      <c r="Q92" s="157"/>
      <c r="R92" s="157"/>
      <c r="S92" s="157"/>
      <c r="T92" s="157"/>
      <c r="U92" s="157"/>
      <c r="V92" s="157"/>
      <c r="W92" s="157"/>
      <c r="X92" s="157"/>
      <c r="Y92" s="157"/>
    </row>
    <row r="93" ht="60.0" customHeight="1">
      <c r="A93" s="191"/>
      <c r="B93" s="191"/>
      <c r="C93" s="215"/>
      <c r="D93" s="215"/>
      <c r="E93" s="207"/>
      <c r="F93" s="215"/>
      <c r="G93" s="233"/>
      <c r="H93" s="220"/>
      <c r="I93" s="405"/>
      <c r="J93" s="220"/>
      <c r="K93" s="220"/>
      <c r="L93" s="207"/>
      <c r="M93" s="157"/>
      <c r="N93" s="157"/>
      <c r="O93" s="157"/>
      <c r="P93" s="157"/>
      <c r="Q93" s="157"/>
      <c r="R93" s="157"/>
      <c r="S93" s="157"/>
      <c r="T93" s="157"/>
      <c r="U93" s="157"/>
      <c r="V93" s="157"/>
      <c r="W93" s="157"/>
      <c r="X93" s="157"/>
      <c r="Y93" s="157"/>
    </row>
    <row r="94" ht="60.0" customHeight="1">
      <c r="A94" s="191"/>
      <c r="B94" s="215"/>
      <c r="C94" s="215"/>
      <c r="D94" s="215"/>
      <c r="E94" s="207"/>
      <c r="F94" s="215"/>
      <c r="G94" s="233"/>
      <c r="H94" s="220"/>
      <c r="I94" s="405"/>
      <c r="J94" s="220"/>
      <c r="K94" s="220"/>
      <c r="L94" s="207"/>
      <c r="M94" s="157"/>
      <c r="N94" s="157"/>
      <c r="O94" s="157"/>
      <c r="P94" s="157"/>
      <c r="Q94" s="157"/>
      <c r="R94" s="157"/>
      <c r="S94" s="157"/>
      <c r="T94" s="157"/>
      <c r="U94" s="157"/>
      <c r="V94" s="157"/>
      <c r="W94" s="157"/>
      <c r="X94" s="157"/>
      <c r="Y94" s="157"/>
    </row>
    <row r="95" ht="64.5" customHeight="1">
      <c r="A95" s="191"/>
      <c r="B95" s="215"/>
      <c r="C95" s="215"/>
      <c r="D95" s="215"/>
      <c r="E95" s="207"/>
      <c r="F95" s="215"/>
      <c r="G95" s="233"/>
      <c r="H95" s="220"/>
      <c r="I95" s="405"/>
      <c r="J95" s="220"/>
      <c r="K95" s="220"/>
      <c r="L95" s="207"/>
      <c r="M95" s="157"/>
      <c r="N95" s="157"/>
      <c r="O95" s="157"/>
      <c r="P95" s="157"/>
      <c r="Q95" s="157"/>
      <c r="R95" s="157"/>
      <c r="S95" s="157"/>
      <c r="T95" s="157"/>
      <c r="U95" s="157"/>
      <c r="V95" s="157"/>
      <c r="W95" s="157"/>
      <c r="X95" s="157"/>
      <c r="Y95" s="157"/>
    </row>
    <row r="96" ht="73.5" customHeight="1">
      <c r="A96" s="191"/>
      <c r="B96" s="191"/>
      <c r="C96" s="215"/>
      <c r="D96" s="215"/>
      <c r="E96" s="207"/>
      <c r="F96" s="215"/>
      <c r="G96" s="233"/>
      <c r="H96" s="220"/>
      <c r="I96" s="405"/>
      <c r="J96" s="220"/>
      <c r="K96" s="220"/>
      <c r="L96" s="207"/>
      <c r="M96" s="157"/>
      <c r="N96" s="157"/>
      <c r="O96" s="157"/>
      <c r="P96" s="157"/>
      <c r="Q96" s="157"/>
      <c r="R96" s="157"/>
      <c r="S96" s="157"/>
      <c r="T96" s="157"/>
      <c r="U96" s="157"/>
      <c r="V96" s="157"/>
      <c r="W96" s="157"/>
      <c r="X96" s="157"/>
      <c r="Y96" s="157"/>
    </row>
    <row r="97" ht="91.5" customHeight="1">
      <c r="A97" s="191"/>
      <c r="B97" s="191"/>
      <c r="C97" s="215"/>
      <c r="D97" s="215"/>
      <c r="E97" s="207"/>
      <c r="F97" s="215"/>
      <c r="G97" s="233"/>
      <c r="H97" s="220"/>
      <c r="I97" s="215"/>
      <c r="J97" s="414"/>
      <c r="K97" s="414"/>
      <c r="L97" s="207"/>
      <c r="M97" s="157"/>
      <c r="N97" s="157"/>
      <c r="O97" s="157"/>
      <c r="P97" s="157"/>
      <c r="Q97" s="157"/>
      <c r="R97" s="157"/>
      <c r="S97" s="157"/>
      <c r="T97" s="157"/>
      <c r="U97" s="157"/>
      <c r="V97" s="157"/>
      <c r="W97" s="157"/>
      <c r="X97" s="157"/>
      <c r="Y97" s="157"/>
    </row>
    <row r="98" ht="62.25" customHeight="1">
      <c r="A98" s="191"/>
      <c r="B98" s="191"/>
      <c r="C98" s="215"/>
      <c r="D98" s="215"/>
      <c r="E98" s="207"/>
      <c r="F98" s="215"/>
      <c r="G98" s="233"/>
      <c r="H98" s="220"/>
      <c r="I98" s="405"/>
      <c r="J98" s="414"/>
      <c r="K98" s="414"/>
      <c r="L98" s="207"/>
      <c r="M98" s="157"/>
      <c r="N98" s="157"/>
      <c r="O98" s="157"/>
      <c r="P98" s="157"/>
      <c r="Q98" s="157"/>
      <c r="R98" s="157"/>
      <c r="S98" s="157"/>
      <c r="T98" s="157"/>
      <c r="U98" s="157"/>
      <c r="V98" s="157"/>
      <c r="W98" s="157"/>
      <c r="X98" s="157"/>
      <c r="Y98" s="157"/>
    </row>
    <row r="99" ht="68.25" customHeight="1">
      <c r="A99" s="191"/>
      <c r="B99" s="215"/>
      <c r="C99" s="215"/>
      <c r="D99" s="215"/>
      <c r="E99" s="207"/>
      <c r="F99" s="215"/>
      <c r="G99" s="233"/>
      <c r="H99" s="220"/>
      <c r="I99" s="405"/>
      <c r="J99" s="220"/>
      <c r="K99" s="220"/>
      <c r="L99" s="207"/>
      <c r="M99" s="157"/>
      <c r="N99" s="157"/>
      <c r="O99" s="157"/>
      <c r="P99" s="157"/>
      <c r="Q99" s="157"/>
      <c r="R99" s="157"/>
      <c r="S99" s="157"/>
      <c r="T99" s="157"/>
      <c r="U99" s="157"/>
      <c r="V99" s="157"/>
      <c r="W99" s="157"/>
      <c r="X99" s="157"/>
      <c r="Y99" s="157"/>
    </row>
    <row r="100" ht="62.25" customHeight="1">
      <c r="A100" s="191"/>
      <c r="B100" s="191"/>
      <c r="C100" s="215"/>
      <c r="D100" s="215"/>
      <c r="E100" s="207"/>
      <c r="F100" s="215"/>
      <c r="G100" s="233"/>
      <c r="H100" s="220"/>
      <c r="I100" s="405"/>
      <c r="J100" s="414"/>
      <c r="K100" s="414"/>
      <c r="L100" s="207"/>
      <c r="M100" s="157"/>
      <c r="N100" s="157"/>
      <c r="O100" s="157"/>
      <c r="P100" s="157"/>
      <c r="Q100" s="157"/>
      <c r="R100" s="157"/>
      <c r="S100" s="157"/>
      <c r="T100" s="157"/>
      <c r="U100" s="157"/>
      <c r="V100" s="157"/>
      <c r="W100" s="157"/>
      <c r="X100" s="157"/>
      <c r="Y100" s="157"/>
    </row>
    <row r="101" ht="66.75" customHeight="1">
      <c r="A101" s="191"/>
      <c r="B101" s="215"/>
      <c r="C101" s="215"/>
      <c r="D101" s="215"/>
      <c r="E101" s="207"/>
      <c r="F101" s="215"/>
      <c r="G101" s="233"/>
      <c r="H101" s="220"/>
      <c r="I101" s="405"/>
      <c r="J101" s="220"/>
      <c r="K101" s="220"/>
      <c r="L101" s="207"/>
      <c r="M101" s="157"/>
      <c r="N101" s="157"/>
      <c r="O101" s="157"/>
      <c r="P101" s="157"/>
      <c r="Q101" s="157"/>
      <c r="R101" s="157"/>
      <c r="S101" s="157"/>
      <c r="T101" s="157"/>
      <c r="U101" s="157"/>
      <c r="V101" s="157"/>
      <c r="W101" s="157"/>
      <c r="X101" s="157"/>
      <c r="Y101" s="157"/>
    </row>
    <row r="102" ht="84.75" customHeight="1">
      <c r="A102" s="191"/>
      <c r="B102" s="215"/>
      <c r="C102" s="215"/>
      <c r="D102" s="215"/>
      <c r="E102" s="207"/>
      <c r="F102" s="215"/>
      <c r="G102" s="233"/>
      <c r="H102" s="220"/>
      <c r="I102" s="215"/>
      <c r="J102" s="220"/>
      <c r="K102" s="220"/>
      <c r="L102" s="207"/>
      <c r="M102" s="157"/>
      <c r="N102" s="157"/>
      <c r="O102" s="157"/>
      <c r="P102" s="157"/>
      <c r="Q102" s="157"/>
      <c r="R102" s="157"/>
      <c r="S102" s="157"/>
      <c r="T102" s="157"/>
      <c r="U102" s="157"/>
      <c r="V102" s="157"/>
      <c r="W102" s="157"/>
      <c r="X102" s="157"/>
      <c r="Y102" s="157"/>
    </row>
    <row r="103" ht="59.25" customHeight="1">
      <c r="A103" s="191"/>
      <c r="B103" s="191"/>
      <c r="C103" s="215"/>
      <c r="D103" s="215"/>
      <c r="E103" s="207"/>
      <c r="F103" s="215"/>
      <c r="G103" s="233"/>
      <c r="H103" s="220"/>
      <c r="I103" s="405"/>
      <c r="J103" s="220"/>
      <c r="K103" s="220"/>
      <c r="L103" s="207"/>
      <c r="M103" s="157"/>
      <c r="N103" s="157"/>
      <c r="O103" s="157"/>
      <c r="P103" s="157"/>
      <c r="Q103" s="157"/>
      <c r="R103" s="157"/>
      <c r="S103" s="157"/>
      <c r="T103" s="157"/>
      <c r="U103" s="157"/>
      <c r="V103" s="157"/>
      <c r="W103" s="157"/>
      <c r="X103" s="157"/>
      <c r="Y103" s="157"/>
    </row>
    <row r="104" ht="83.25" customHeight="1">
      <c r="A104" s="191"/>
      <c r="B104" s="215"/>
      <c r="C104" s="215"/>
      <c r="D104" s="215"/>
      <c r="E104" s="207"/>
      <c r="F104" s="215"/>
      <c r="G104" s="233"/>
      <c r="H104" s="220"/>
      <c r="I104" s="215"/>
      <c r="J104" s="220"/>
      <c r="K104" s="220"/>
      <c r="L104" s="213"/>
      <c r="M104" s="157"/>
      <c r="N104" s="157"/>
      <c r="O104" s="157"/>
      <c r="P104" s="157"/>
      <c r="Q104" s="157"/>
      <c r="R104" s="157"/>
      <c r="S104" s="157"/>
      <c r="T104" s="157"/>
      <c r="U104" s="157"/>
      <c r="V104" s="157"/>
      <c r="W104" s="157"/>
      <c r="X104" s="157"/>
      <c r="Y104" s="157"/>
    </row>
    <row r="105" ht="76.5" customHeight="1">
      <c r="A105" s="191"/>
      <c r="B105" s="191"/>
      <c r="C105" s="215"/>
      <c r="D105" s="215"/>
      <c r="E105" s="207"/>
      <c r="F105" s="215"/>
      <c r="G105" s="233"/>
      <c r="H105" s="220"/>
      <c r="I105" s="215"/>
      <c r="J105" s="414"/>
      <c r="K105" s="414"/>
      <c r="L105" s="207"/>
      <c r="M105" s="157"/>
      <c r="N105" s="157"/>
      <c r="O105" s="157"/>
      <c r="P105" s="157"/>
      <c r="Q105" s="157"/>
      <c r="R105" s="157"/>
      <c r="S105" s="157"/>
      <c r="T105" s="157"/>
      <c r="U105" s="157"/>
      <c r="V105" s="157"/>
      <c r="W105" s="157"/>
      <c r="X105" s="157"/>
      <c r="Y105" s="157"/>
    </row>
    <row r="106" ht="64.5" customHeight="1">
      <c r="A106" s="243"/>
      <c r="B106" s="191"/>
      <c r="C106" s="215"/>
      <c r="D106" s="215"/>
      <c r="E106" s="207"/>
      <c r="F106" s="215"/>
      <c r="G106" s="220"/>
      <c r="H106" s="220"/>
      <c r="I106" s="215"/>
      <c r="J106" s="220"/>
      <c r="K106" s="220"/>
      <c r="L106" s="207"/>
      <c r="M106" s="157"/>
      <c r="N106" s="157"/>
      <c r="O106" s="157"/>
      <c r="P106" s="157"/>
      <c r="Q106" s="157"/>
      <c r="R106" s="157"/>
      <c r="S106" s="157"/>
      <c r="T106" s="157"/>
      <c r="U106" s="157"/>
      <c r="V106" s="157"/>
      <c r="W106" s="157"/>
      <c r="X106" s="157"/>
      <c r="Y106" s="157"/>
    </row>
    <row r="107" ht="63.0" customHeight="1">
      <c r="A107" s="191"/>
      <c r="B107" s="215"/>
      <c r="C107" s="215"/>
      <c r="D107" s="215"/>
      <c r="E107" s="207"/>
      <c r="F107" s="215"/>
      <c r="G107" s="233"/>
      <c r="H107" s="220"/>
      <c r="I107" s="405"/>
      <c r="J107" s="220"/>
      <c r="K107" s="220"/>
      <c r="L107" s="207"/>
      <c r="M107" s="157"/>
      <c r="N107" s="157"/>
      <c r="O107" s="157"/>
      <c r="P107" s="157"/>
      <c r="Q107" s="157"/>
      <c r="R107" s="157"/>
      <c r="S107" s="157"/>
      <c r="T107" s="157"/>
      <c r="U107" s="157"/>
      <c r="V107" s="157"/>
      <c r="W107" s="157"/>
      <c r="X107" s="157"/>
      <c r="Y107" s="157"/>
    </row>
    <row r="108" ht="75.0" customHeight="1">
      <c r="A108" s="243"/>
      <c r="B108" s="215"/>
      <c r="C108" s="215"/>
      <c r="D108" s="215"/>
      <c r="E108" s="207"/>
      <c r="F108" s="215"/>
      <c r="G108" s="233"/>
      <c r="H108" s="220"/>
      <c r="I108" s="215"/>
      <c r="J108" s="220"/>
      <c r="K108" s="220"/>
      <c r="L108" s="207"/>
      <c r="M108" s="157"/>
      <c r="N108" s="157"/>
      <c r="O108" s="157"/>
      <c r="P108" s="157"/>
      <c r="Q108" s="157"/>
      <c r="R108" s="157"/>
      <c r="S108" s="157"/>
      <c r="T108" s="157"/>
      <c r="U108" s="157"/>
      <c r="V108" s="157"/>
      <c r="W108" s="157"/>
      <c r="X108" s="157"/>
      <c r="Y108" s="157"/>
    </row>
    <row r="109" ht="78.0" customHeight="1">
      <c r="A109" s="191"/>
      <c r="B109" s="215"/>
      <c r="C109" s="215"/>
      <c r="D109" s="215"/>
      <c r="E109" s="207"/>
      <c r="F109" s="215"/>
      <c r="G109" s="233"/>
      <c r="H109" s="220"/>
      <c r="I109" s="191"/>
      <c r="J109" s="220"/>
      <c r="K109" s="220"/>
      <c r="L109" s="207"/>
      <c r="M109" s="157"/>
      <c r="N109" s="157"/>
      <c r="O109" s="157"/>
      <c r="P109" s="157"/>
      <c r="Q109" s="157"/>
      <c r="R109" s="157"/>
      <c r="S109" s="157"/>
      <c r="T109" s="157"/>
      <c r="U109" s="157"/>
      <c r="V109" s="157"/>
      <c r="W109" s="157"/>
      <c r="X109" s="157"/>
      <c r="Y109" s="157"/>
    </row>
    <row r="110" ht="58.5" customHeight="1">
      <c r="A110" s="191"/>
      <c r="B110" s="215"/>
      <c r="C110" s="215"/>
      <c r="D110" s="215"/>
      <c r="E110" s="207"/>
      <c r="F110" s="215"/>
      <c r="G110" s="233"/>
      <c r="H110" s="220"/>
      <c r="I110" s="259"/>
      <c r="J110" s="220"/>
      <c r="K110" s="220"/>
      <c r="L110" s="207"/>
      <c r="M110" s="157"/>
      <c r="N110" s="157"/>
      <c r="O110" s="157"/>
      <c r="P110" s="157"/>
      <c r="Q110" s="157"/>
      <c r="R110" s="157"/>
      <c r="S110" s="157"/>
      <c r="T110" s="157"/>
      <c r="U110" s="157"/>
      <c r="V110" s="157"/>
      <c r="W110" s="157"/>
      <c r="X110" s="157"/>
      <c r="Y110" s="157"/>
    </row>
    <row r="111" ht="57.0" customHeight="1">
      <c r="A111" s="191"/>
      <c r="B111" s="215"/>
      <c r="C111" s="215"/>
      <c r="D111" s="215"/>
      <c r="E111" s="207"/>
      <c r="F111" s="215"/>
      <c r="G111" s="233"/>
      <c r="H111" s="220"/>
      <c r="I111" s="405"/>
      <c r="J111" s="220"/>
      <c r="K111" s="220"/>
      <c r="L111" s="207"/>
      <c r="M111" s="157"/>
      <c r="N111" s="157"/>
      <c r="O111" s="157"/>
      <c r="P111" s="157"/>
      <c r="Q111" s="157"/>
      <c r="R111" s="157"/>
      <c r="S111" s="157"/>
      <c r="T111" s="157"/>
      <c r="U111" s="157"/>
      <c r="V111" s="157"/>
      <c r="W111" s="157"/>
      <c r="X111" s="157"/>
      <c r="Y111" s="157"/>
    </row>
    <row r="112" ht="65.25" customHeight="1">
      <c r="A112" s="191"/>
      <c r="B112" s="215"/>
      <c r="C112" s="215"/>
      <c r="D112" s="215"/>
      <c r="E112" s="207"/>
      <c r="F112" s="215"/>
      <c r="G112" s="233"/>
      <c r="H112" s="220"/>
      <c r="I112" s="215"/>
      <c r="J112" s="220"/>
      <c r="K112" s="220"/>
      <c r="L112" s="207"/>
      <c r="M112" s="157"/>
      <c r="N112" s="157"/>
      <c r="O112" s="157"/>
      <c r="P112" s="157"/>
      <c r="Q112" s="157"/>
      <c r="R112" s="157"/>
      <c r="S112" s="157"/>
      <c r="T112" s="157"/>
      <c r="U112" s="157"/>
      <c r="V112" s="157"/>
      <c r="W112" s="157"/>
      <c r="X112" s="157"/>
      <c r="Y112" s="157"/>
    </row>
    <row r="113" ht="61.5" customHeight="1">
      <c r="A113" s="191"/>
      <c r="B113" s="191"/>
      <c r="C113" s="215"/>
      <c r="D113" s="215"/>
      <c r="E113" s="207"/>
      <c r="F113" s="215"/>
      <c r="G113" s="233"/>
      <c r="H113" s="220"/>
      <c r="I113" s="405"/>
      <c r="J113" s="414"/>
      <c r="K113" s="417"/>
      <c r="L113" s="207"/>
      <c r="M113" s="157"/>
      <c r="N113" s="157"/>
      <c r="O113" s="157"/>
      <c r="P113" s="157"/>
      <c r="Q113" s="157"/>
      <c r="R113" s="157"/>
      <c r="S113" s="157"/>
      <c r="T113" s="157"/>
      <c r="U113" s="157"/>
      <c r="V113" s="157"/>
      <c r="W113" s="157"/>
      <c r="X113" s="157"/>
      <c r="Y113" s="157"/>
    </row>
    <row r="114" ht="69.0" customHeight="1">
      <c r="A114" s="191"/>
      <c r="B114" s="191"/>
      <c r="C114" s="215"/>
      <c r="D114" s="215"/>
      <c r="E114" s="207"/>
      <c r="F114" s="215"/>
      <c r="G114" s="233"/>
      <c r="H114" s="220"/>
      <c r="I114" s="215"/>
      <c r="J114" s="414"/>
      <c r="K114" s="417"/>
      <c r="L114" s="207"/>
      <c r="M114" s="157"/>
      <c r="N114" s="157"/>
      <c r="O114" s="157"/>
      <c r="P114" s="157"/>
      <c r="Q114" s="157"/>
      <c r="R114" s="157"/>
      <c r="S114" s="157"/>
      <c r="T114" s="157"/>
      <c r="U114" s="157"/>
      <c r="V114" s="157"/>
      <c r="W114" s="157"/>
      <c r="X114" s="157"/>
      <c r="Y114" s="157"/>
    </row>
    <row r="115" ht="86.25" customHeight="1">
      <c r="A115" s="191"/>
      <c r="B115" s="191"/>
      <c r="C115" s="215"/>
      <c r="D115" s="215"/>
      <c r="E115" s="207"/>
      <c r="F115" s="215"/>
      <c r="G115" s="233"/>
      <c r="H115" s="220"/>
      <c r="I115" s="215"/>
      <c r="J115" s="220"/>
      <c r="K115" s="260"/>
      <c r="L115" s="207"/>
      <c r="M115" s="157"/>
      <c r="N115" s="157"/>
      <c r="O115" s="157"/>
      <c r="P115" s="157"/>
      <c r="Q115" s="157"/>
      <c r="R115" s="157"/>
      <c r="S115" s="157"/>
      <c r="T115" s="157"/>
      <c r="U115" s="157"/>
      <c r="V115" s="157"/>
      <c r="W115" s="157"/>
      <c r="X115" s="157"/>
      <c r="Y115" s="157"/>
    </row>
    <row r="116" ht="56.25" customHeight="1">
      <c r="A116" s="191"/>
      <c r="B116" s="215"/>
      <c r="C116" s="215"/>
      <c r="D116" s="215"/>
      <c r="E116" s="207"/>
      <c r="F116" s="215"/>
      <c r="G116" s="233"/>
      <c r="H116" s="233"/>
      <c r="I116" s="215"/>
      <c r="J116" s="220"/>
      <c r="K116" s="260"/>
      <c r="L116" s="207"/>
      <c r="M116" s="157"/>
      <c r="N116" s="157"/>
      <c r="O116" s="157"/>
      <c r="P116" s="157"/>
      <c r="Q116" s="157"/>
      <c r="R116" s="157"/>
      <c r="S116" s="157"/>
      <c r="T116" s="157"/>
      <c r="U116" s="157"/>
      <c r="V116" s="157"/>
      <c r="W116" s="157"/>
      <c r="X116" s="157"/>
      <c r="Y116" s="157"/>
    </row>
    <row r="117" ht="56.25" customHeight="1">
      <c r="A117" s="191"/>
      <c r="B117" s="215"/>
      <c r="C117" s="215"/>
      <c r="D117" s="215"/>
      <c r="E117" s="207"/>
      <c r="F117" s="215"/>
      <c r="G117" s="233"/>
      <c r="H117" s="220"/>
      <c r="I117" s="215"/>
      <c r="J117" s="220"/>
      <c r="K117" s="260"/>
      <c r="L117" s="207"/>
      <c r="M117" s="157"/>
      <c r="N117" s="157"/>
      <c r="O117" s="157"/>
      <c r="P117" s="157"/>
      <c r="Q117" s="157"/>
      <c r="R117" s="157"/>
      <c r="S117" s="157"/>
      <c r="T117" s="157"/>
      <c r="U117" s="157"/>
      <c r="V117" s="157"/>
      <c r="W117" s="157"/>
      <c r="X117" s="157"/>
      <c r="Y117" s="157"/>
    </row>
    <row r="118" ht="56.25" customHeight="1">
      <c r="A118" s="191"/>
      <c r="B118" s="191"/>
      <c r="C118" s="215"/>
      <c r="D118" s="215"/>
      <c r="E118" s="207"/>
      <c r="F118" s="215"/>
      <c r="G118" s="233"/>
      <c r="H118" s="220"/>
      <c r="I118" s="215"/>
      <c r="J118" s="220"/>
      <c r="K118" s="260"/>
      <c r="L118" s="213"/>
      <c r="M118" s="157"/>
      <c r="N118" s="157"/>
      <c r="O118" s="157"/>
      <c r="P118" s="157"/>
      <c r="Q118" s="157"/>
      <c r="R118" s="157"/>
      <c r="S118" s="157"/>
      <c r="T118" s="157"/>
      <c r="U118" s="157"/>
      <c r="V118" s="157"/>
      <c r="W118" s="157"/>
      <c r="X118" s="157"/>
      <c r="Y118" s="157"/>
    </row>
    <row r="119" ht="56.25" customHeight="1">
      <c r="A119" s="191"/>
      <c r="B119" s="191"/>
      <c r="C119" s="215"/>
      <c r="D119" s="215"/>
      <c r="E119" s="207"/>
      <c r="F119" s="215"/>
      <c r="G119" s="233"/>
      <c r="H119" s="220"/>
      <c r="I119" s="405"/>
      <c r="J119" s="220"/>
      <c r="K119" s="260"/>
      <c r="L119" s="213"/>
      <c r="M119" s="157"/>
      <c r="N119" s="157"/>
      <c r="O119" s="157"/>
      <c r="P119" s="157"/>
      <c r="Q119" s="157"/>
      <c r="R119" s="157"/>
      <c r="S119" s="157"/>
      <c r="T119" s="157"/>
      <c r="U119" s="157"/>
      <c r="V119" s="157"/>
      <c r="W119" s="157"/>
      <c r="X119" s="157"/>
      <c r="Y119" s="157"/>
    </row>
    <row r="120" ht="62.25" customHeight="1">
      <c r="A120" s="258"/>
      <c r="B120" s="215"/>
      <c r="C120" s="215"/>
      <c r="D120" s="215"/>
      <c r="E120" s="207"/>
      <c r="F120" s="215"/>
      <c r="G120" s="233"/>
      <c r="H120" s="233"/>
      <c r="I120" s="215"/>
      <c r="J120" s="220"/>
      <c r="K120" s="260"/>
      <c r="L120" s="207"/>
      <c r="M120" s="157"/>
      <c r="N120" s="157"/>
      <c r="O120" s="157"/>
      <c r="P120" s="157"/>
      <c r="Q120" s="157"/>
      <c r="R120" s="157"/>
      <c r="S120" s="157"/>
      <c r="T120" s="157"/>
      <c r="U120" s="157"/>
      <c r="V120" s="157"/>
      <c r="W120" s="157"/>
      <c r="X120" s="157"/>
      <c r="Y120" s="157"/>
    </row>
    <row r="121" ht="60.0" customHeight="1">
      <c r="A121" s="258"/>
      <c r="B121" s="215"/>
      <c r="C121" s="215"/>
      <c r="D121" s="215"/>
      <c r="E121" s="207"/>
      <c r="F121" s="215"/>
      <c r="G121" s="233"/>
      <c r="H121" s="220"/>
      <c r="I121" s="215"/>
      <c r="J121" s="220"/>
      <c r="K121" s="260"/>
      <c r="L121" s="207"/>
      <c r="M121" s="157"/>
      <c r="N121" s="157"/>
      <c r="O121" s="157"/>
      <c r="P121" s="157"/>
      <c r="Q121" s="157"/>
      <c r="R121" s="157"/>
      <c r="S121" s="157"/>
      <c r="T121" s="157"/>
      <c r="U121" s="157"/>
      <c r="V121" s="157"/>
      <c r="W121" s="157"/>
      <c r="X121" s="157"/>
      <c r="Y121" s="157"/>
    </row>
    <row r="122" ht="60.0" customHeight="1">
      <c r="A122" s="258"/>
      <c r="B122" s="191"/>
      <c r="C122" s="215"/>
      <c r="D122" s="215"/>
      <c r="E122" s="207"/>
      <c r="F122" s="215"/>
      <c r="G122" s="233"/>
      <c r="H122" s="220"/>
      <c r="I122" s="405"/>
      <c r="J122" s="215"/>
      <c r="K122" s="417"/>
      <c r="L122" s="207"/>
      <c r="M122" s="157"/>
      <c r="N122" s="157"/>
      <c r="O122" s="157"/>
      <c r="P122" s="157"/>
      <c r="Q122" s="157"/>
      <c r="R122" s="157"/>
      <c r="S122" s="157"/>
      <c r="T122" s="157"/>
      <c r="U122" s="157"/>
      <c r="V122" s="157"/>
      <c r="W122" s="157"/>
      <c r="X122" s="157"/>
      <c r="Y122" s="157"/>
    </row>
    <row r="123" ht="66.75" customHeight="1">
      <c r="A123" s="258"/>
      <c r="B123" s="191"/>
      <c r="C123" s="215"/>
      <c r="D123" s="215"/>
      <c r="E123" s="207"/>
      <c r="F123" s="215"/>
      <c r="G123" s="233"/>
      <c r="H123" s="220"/>
      <c r="I123" s="405"/>
      <c r="J123" s="215"/>
      <c r="K123" s="418"/>
      <c r="L123" s="207"/>
      <c r="M123" s="157"/>
      <c r="N123" s="157"/>
      <c r="O123" s="157"/>
      <c r="P123" s="157"/>
      <c r="Q123" s="157"/>
      <c r="R123" s="157"/>
      <c r="S123" s="157"/>
      <c r="T123" s="157"/>
      <c r="U123" s="157"/>
      <c r="V123" s="157"/>
      <c r="W123" s="157"/>
      <c r="X123" s="157"/>
      <c r="Y123" s="157"/>
    </row>
    <row r="124" ht="60.75" customHeight="1">
      <c r="A124" s="258"/>
      <c r="B124" s="215"/>
      <c r="C124" s="215"/>
      <c r="D124" s="215"/>
      <c r="E124" s="207"/>
      <c r="F124" s="215"/>
      <c r="G124" s="233"/>
      <c r="H124" s="220"/>
      <c r="I124" s="405"/>
      <c r="J124" s="215"/>
      <c r="K124" s="236"/>
      <c r="L124" s="207"/>
      <c r="M124" s="157"/>
      <c r="N124" s="157"/>
      <c r="O124" s="157"/>
      <c r="P124" s="157"/>
      <c r="Q124" s="157"/>
      <c r="R124" s="157"/>
      <c r="S124" s="157"/>
      <c r="T124" s="157"/>
      <c r="U124" s="157"/>
      <c r="V124" s="157"/>
      <c r="W124" s="157"/>
      <c r="X124" s="157"/>
      <c r="Y124" s="157"/>
    </row>
    <row r="125" ht="72.75" customHeight="1">
      <c r="A125" s="258"/>
      <c r="B125" s="191"/>
      <c r="C125" s="215"/>
      <c r="D125" s="264"/>
      <c r="E125" s="207"/>
      <c r="F125" s="215"/>
      <c r="G125" s="233"/>
      <c r="H125" s="220"/>
      <c r="I125" s="405"/>
      <c r="J125" s="220"/>
      <c r="K125" s="260"/>
      <c r="L125" s="207"/>
      <c r="M125" s="157"/>
      <c r="N125" s="157"/>
      <c r="O125" s="157"/>
      <c r="P125" s="157"/>
      <c r="Q125" s="157"/>
      <c r="R125" s="157"/>
      <c r="S125" s="157"/>
      <c r="T125" s="157"/>
      <c r="U125" s="157"/>
      <c r="V125" s="157"/>
      <c r="W125" s="157"/>
      <c r="X125" s="157"/>
      <c r="Y125" s="157"/>
    </row>
    <row r="126" ht="75.0" customHeight="1">
      <c r="A126" s="258"/>
      <c r="B126" s="191"/>
      <c r="C126" s="215"/>
      <c r="D126" s="264"/>
      <c r="E126" s="207"/>
      <c r="F126" s="215"/>
      <c r="G126" s="233"/>
      <c r="H126" s="220"/>
      <c r="I126" s="405"/>
      <c r="J126" s="220"/>
      <c r="K126" s="260"/>
      <c r="L126" s="207"/>
      <c r="M126" s="157"/>
      <c r="N126" s="157"/>
      <c r="O126" s="157"/>
      <c r="P126" s="157"/>
      <c r="Q126" s="157"/>
      <c r="R126" s="157"/>
      <c r="S126" s="157"/>
      <c r="T126" s="157"/>
      <c r="U126" s="157"/>
      <c r="V126" s="157"/>
      <c r="W126" s="157"/>
      <c r="X126" s="157"/>
      <c r="Y126" s="157"/>
    </row>
    <row r="127" ht="66.75" customHeight="1">
      <c r="A127" s="258"/>
      <c r="B127" s="215"/>
      <c r="C127" s="215"/>
      <c r="D127" s="215"/>
      <c r="E127" s="207"/>
      <c r="F127" s="215"/>
      <c r="G127" s="233"/>
      <c r="H127" s="220"/>
      <c r="I127" s="405"/>
      <c r="J127" s="220"/>
      <c r="K127" s="260"/>
      <c r="L127" s="207"/>
      <c r="M127" s="157"/>
      <c r="N127" s="157"/>
      <c r="O127" s="157"/>
      <c r="P127" s="157"/>
      <c r="Q127" s="157"/>
      <c r="R127" s="157"/>
      <c r="S127" s="157"/>
      <c r="T127" s="157"/>
      <c r="U127" s="157"/>
      <c r="V127" s="157"/>
      <c r="W127" s="157"/>
      <c r="X127" s="157"/>
      <c r="Y127" s="157"/>
    </row>
    <row r="128" ht="105.0" customHeight="1">
      <c r="A128" s="258"/>
      <c r="B128" s="215"/>
      <c r="C128" s="215"/>
      <c r="D128" s="215"/>
      <c r="E128" s="207"/>
      <c r="F128" s="215"/>
      <c r="G128" s="233"/>
      <c r="H128" s="233"/>
      <c r="I128" s="215"/>
      <c r="J128" s="220"/>
      <c r="K128" s="260"/>
      <c r="L128" s="207"/>
      <c r="M128" s="157"/>
      <c r="N128" s="157"/>
      <c r="O128" s="157"/>
      <c r="P128" s="157"/>
      <c r="Q128" s="157"/>
      <c r="R128" s="157"/>
      <c r="S128" s="157"/>
      <c r="T128" s="157"/>
      <c r="U128" s="157"/>
      <c r="V128" s="157"/>
      <c r="W128" s="157"/>
      <c r="X128" s="157"/>
      <c r="Y128" s="157"/>
    </row>
    <row r="129" ht="66.75" customHeight="1">
      <c r="A129" s="191"/>
      <c r="B129" s="191"/>
      <c r="C129" s="215"/>
      <c r="D129" s="264"/>
      <c r="E129" s="207"/>
      <c r="F129" s="215"/>
      <c r="G129" s="233"/>
      <c r="H129" s="220"/>
      <c r="I129" s="405"/>
      <c r="J129" s="220"/>
      <c r="K129" s="260"/>
      <c r="L129" s="207"/>
      <c r="M129" s="157"/>
      <c r="N129" s="157"/>
      <c r="O129" s="157"/>
      <c r="P129" s="157"/>
      <c r="Q129" s="157"/>
      <c r="R129" s="157"/>
      <c r="S129" s="157"/>
      <c r="T129" s="157"/>
      <c r="U129" s="157"/>
      <c r="V129" s="157"/>
      <c r="W129" s="157"/>
      <c r="X129" s="157"/>
      <c r="Y129" s="157"/>
    </row>
    <row r="130" ht="57.0" customHeight="1">
      <c r="A130" s="258"/>
      <c r="B130" s="215"/>
      <c r="C130" s="215"/>
      <c r="D130" s="215"/>
      <c r="E130" s="207"/>
      <c r="F130" s="215"/>
      <c r="G130" s="233"/>
      <c r="H130" s="220"/>
      <c r="I130" s="215"/>
      <c r="J130" s="220"/>
      <c r="K130" s="260"/>
      <c r="L130" s="207"/>
      <c r="M130" s="157"/>
      <c r="N130" s="157"/>
      <c r="O130" s="157"/>
      <c r="P130" s="157"/>
      <c r="Q130" s="157"/>
      <c r="R130" s="157"/>
      <c r="S130" s="157"/>
      <c r="T130" s="157"/>
      <c r="U130" s="157"/>
      <c r="V130" s="157"/>
      <c r="W130" s="157"/>
      <c r="X130" s="157"/>
      <c r="Y130" s="157"/>
    </row>
    <row r="131" ht="57.0" customHeight="1">
      <c r="A131" s="258"/>
      <c r="B131" s="191"/>
      <c r="C131" s="215"/>
      <c r="D131" s="215"/>
      <c r="E131" s="207"/>
      <c r="F131" s="215"/>
      <c r="G131" s="233"/>
      <c r="H131" s="220"/>
      <c r="I131" s="215"/>
      <c r="J131" s="220"/>
      <c r="K131" s="260"/>
      <c r="L131" s="207"/>
      <c r="M131" s="157"/>
      <c r="N131" s="157"/>
      <c r="O131" s="157"/>
      <c r="P131" s="157"/>
      <c r="Q131" s="157"/>
      <c r="R131" s="157"/>
      <c r="S131" s="157"/>
      <c r="T131" s="157"/>
      <c r="U131" s="157"/>
      <c r="V131" s="157"/>
      <c r="W131" s="157"/>
      <c r="X131" s="157"/>
      <c r="Y131" s="157"/>
    </row>
    <row r="132" ht="57.0" customHeight="1">
      <c r="A132" s="258"/>
      <c r="B132" s="191"/>
      <c r="C132" s="215"/>
      <c r="D132" s="215"/>
      <c r="E132" s="207"/>
      <c r="F132" s="215"/>
      <c r="G132" s="233"/>
      <c r="H132" s="220"/>
      <c r="I132" s="405"/>
      <c r="J132" s="191"/>
      <c r="K132" s="260"/>
      <c r="L132" s="207"/>
      <c r="M132" s="157"/>
      <c r="N132" s="157"/>
      <c r="O132" s="157"/>
      <c r="P132" s="157"/>
      <c r="Q132" s="157"/>
      <c r="R132" s="157"/>
      <c r="S132" s="157"/>
      <c r="T132" s="157"/>
      <c r="U132" s="157"/>
      <c r="V132" s="157"/>
      <c r="W132" s="157"/>
      <c r="X132" s="157"/>
      <c r="Y132" s="157"/>
    </row>
    <row r="133" ht="59.25" customHeight="1">
      <c r="A133" s="258"/>
      <c r="B133" s="191"/>
      <c r="C133" s="215"/>
      <c r="D133" s="264"/>
      <c r="E133" s="207"/>
      <c r="F133" s="215"/>
      <c r="G133" s="233"/>
      <c r="H133" s="220"/>
      <c r="I133" s="405"/>
      <c r="J133" s="220"/>
      <c r="K133" s="260"/>
      <c r="L133" s="207"/>
      <c r="M133" s="157"/>
      <c r="N133" s="157"/>
      <c r="O133" s="157"/>
      <c r="P133" s="157"/>
      <c r="Q133" s="157"/>
      <c r="R133" s="157"/>
      <c r="S133" s="157"/>
      <c r="T133" s="157"/>
      <c r="U133" s="157"/>
      <c r="V133" s="157"/>
      <c r="W133" s="157"/>
      <c r="X133" s="157"/>
      <c r="Y133" s="157"/>
    </row>
    <row r="134" ht="63.0" customHeight="1">
      <c r="A134" s="258"/>
      <c r="B134" s="191"/>
      <c r="C134" s="215"/>
      <c r="D134" s="264"/>
      <c r="E134" s="207"/>
      <c r="F134" s="215"/>
      <c r="G134" s="233"/>
      <c r="H134" s="220"/>
      <c r="I134" s="405"/>
      <c r="J134" s="220"/>
      <c r="K134" s="260"/>
      <c r="L134" s="207"/>
      <c r="M134" s="157"/>
      <c r="N134" s="157"/>
      <c r="O134" s="157"/>
      <c r="P134" s="157"/>
      <c r="Q134" s="157"/>
      <c r="R134" s="157"/>
      <c r="S134" s="157"/>
      <c r="T134" s="157"/>
      <c r="U134" s="157"/>
      <c r="V134" s="157"/>
      <c r="W134" s="157"/>
      <c r="X134" s="157"/>
      <c r="Y134" s="157"/>
    </row>
    <row r="135" ht="84.75" customHeight="1">
      <c r="A135" s="258"/>
      <c r="B135" s="191"/>
      <c r="C135" s="215"/>
      <c r="D135" s="215"/>
      <c r="E135" s="207"/>
      <c r="F135" s="215"/>
      <c r="G135" s="233"/>
      <c r="H135" s="220"/>
      <c r="I135" s="215"/>
      <c r="J135" s="191"/>
      <c r="K135" s="260"/>
      <c r="L135" s="207"/>
      <c r="M135" s="157"/>
      <c r="N135" s="157"/>
      <c r="O135" s="157"/>
      <c r="P135" s="157"/>
      <c r="Q135" s="157"/>
      <c r="R135" s="157"/>
      <c r="S135" s="157"/>
      <c r="T135" s="157"/>
      <c r="U135" s="157"/>
      <c r="V135" s="157"/>
      <c r="W135" s="157"/>
      <c r="X135" s="157"/>
      <c r="Y135" s="157"/>
    </row>
    <row r="136" ht="59.25" customHeight="1">
      <c r="A136" s="258"/>
      <c r="B136" s="215"/>
      <c r="C136" s="215"/>
      <c r="D136" s="215"/>
      <c r="E136" s="207"/>
      <c r="F136" s="215"/>
      <c r="G136" s="233"/>
      <c r="H136" s="220"/>
      <c r="I136" s="215"/>
      <c r="J136" s="220"/>
      <c r="K136" s="260"/>
      <c r="L136" s="213"/>
      <c r="M136" s="157"/>
      <c r="N136" s="157"/>
      <c r="O136" s="157"/>
      <c r="P136" s="157"/>
      <c r="Q136" s="157"/>
      <c r="R136" s="157"/>
      <c r="S136" s="157"/>
      <c r="T136" s="157"/>
      <c r="U136" s="157"/>
      <c r="V136" s="157"/>
      <c r="W136" s="157"/>
      <c r="X136" s="157"/>
      <c r="Y136" s="157"/>
    </row>
    <row r="137" ht="57.0" customHeight="1">
      <c r="A137" s="258"/>
      <c r="B137" s="191"/>
      <c r="C137" s="215"/>
      <c r="D137" s="215"/>
      <c r="E137" s="207"/>
      <c r="F137" s="215"/>
      <c r="G137" s="233"/>
      <c r="H137" s="220"/>
      <c r="I137" s="215"/>
      <c r="J137" s="220"/>
      <c r="K137" s="260"/>
      <c r="L137" s="207"/>
      <c r="M137" s="157"/>
      <c r="N137" s="157"/>
      <c r="O137" s="157"/>
      <c r="P137" s="157"/>
      <c r="Q137" s="157"/>
      <c r="R137" s="157"/>
      <c r="S137" s="157"/>
      <c r="T137" s="157"/>
      <c r="U137" s="157"/>
      <c r="V137" s="157"/>
      <c r="W137" s="157"/>
      <c r="X137" s="157"/>
      <c r="Y137" s="157"/>
    </row>
    <row r="138" ht="57.0" customHeight="1">
      <c r="A138" s="258"/>
      <c r="B138" s="191"/>
      <c r="C138" s="215"/>
      <c r="D138" s="215"/>
      <c r="E138" s="395"/>
      <c r="F138" s="215"/>
      <c r="G138" s="233"/>
      <c r="H138" s="220"/>
      <c r="I138" s="215"/>
      <c r="J138" s="220"/>
      <c r="K138" s="260"/>
      <c r="L138" s="207"/>
      <c r="M138" s="157"/>
      <c r="N138" s="157"/>
      <c r="O138" s="157"/>
      <c r="P138" s="157"/>
      <c r="Q138" s="157"/>
      <c r="R138" s="157"/>
      <c r="S138" s="157"/>
      <c r="T138" s="157"/>
      <c r="U138" s="157"/>
      <c r="V138" s="157"/>
      <c r="W138" s="157"/>
      <c r="X138" s="157"/>
      <c r="Y138" s="157"/>
    </row>
    <row r="139" ht="57.0" customHeight="1">
      <c r="A139" s="258"/>
      <c r="B139" s="191"/>
      <c r="C139" s="215"/>
      <c r="D139" s="264"/>
      <c r="E139" s="207"/>
      <c r="F139" s="215"/>
      <c r="G139" s="233"/>
      <c r="H139" s="220"/>
      <c r="I139" s="405"/>
      <c r="J139" s="220"/>
      <c r="K139" s="260"/>
      <c r="L139" s="213"/>
      <c r="M139" s="157"/>
      <c r="N139" s="157"/>
      <c r="O139" s="157"/>
      <c r="P139" s="157"/>
      <c r="Q139" s="157"/>
      <c r="R139" s="157"/>
      <c r="S139" s="157"/>
      <c r="T139" s="157"/>
      <c r="U139" s="157"/>
      <c r="V139" s="157"/>
      <c r="W139" s="157"/>
      <c r="X139" s="157"/>
      <c r="Y139" s="157"/>
    </row>
    <row r="140" ht="70.5" customHeight="1">
      <c r="A140" s="258"/>
      <c r="B140" s="191"/>
      <c r="C140" s="215"/>
      <c r="D140" s="215"/>
      <c r="E140" s="207"/>
      <c r="F140" s="215"/>
      <c r="G140" s="233"/>
      <c r="H140" s="220"/>
      <c r="I140" s="215"/>
      <c r="J140" s="191"/>
      <c r="K140" s="260"/>
      <c r="L140" s="207"/>
      <c r="M140" s="157"/>
      <c r="N140" s="157"/>
      <c r="O140" s="157"/>
      <c r="P140" s="157"/>
      <c r="Q140" s="157"/>
      <c r="R140" s="157"/>
      <c r="S140" s="157"/>
      <c r="T140" s="157"/>
      <c r="U140" s="157"/>
      <c r="V140" s="157"/>
      <c r="W140" s="157"/>
      <c r="X140" s="157"/>
      <c r="Y140" s="157"/>
    </row>
    <row r="141" ht="76.5" customHeight="1">
      <c r="A141" s="258"/>
      <c r="B141" s="191"/>
      <c r="C141" s="215"/>
      <c r="D141" s="215"/>
      <c r="E141" s="207"/>
      <c r="F141" s="215"/>
      <c r="G141" s="233"/>
      <c r="H141" s="220"/>
      <c r="I141" s="215"/>
      <c r="J141" s="191"/>
      <c r="K141" s="260"/>
      <c r="L141" s="207"/>
      <c r="M141" s="157"/>
      <c r="N141" s="157"/>
      <c r="O141" s="157"/>
      <c r="P141" s="157"/>
      <c r="Q141" s="157"/>
      <c r="R141" s="157"/>
      <c r="S141" s="157"/>
      <c r="T141" s="157"/>
      <c r="U141" s="157"/>
      <c r="V141" s="157"/>
      <c r="W141" s="157"/>
      <c r="X141" s="157"/>
      <c r="Y141" s="157"/>
    </row>
    <row r="142" ht="66.0" customHeight="1">
      <c r="A142" s="258"/>
      <c r="B142" s="191"/>
      <c r="C142" s="215"/>
      <c r="D142" s="264"/>
      <c r="E142" s="207"/>
      <c r="F142" s="215"/>
      <c r="G142" s="233"/>
      <c r="H142" s="220"/>
      <c r="I142" s="215"/>
      <c r="J142" s="220"/>
      <c r="K142" s="260"/>
      <c r="L142" s="207"/>
      <c r="M142" s="157"/>
      <c r="N142" s="157"/>
      <c r="O142" s="157"/>
      <c r="P142" s="157"/>
      <c r="Q142" s="157"/>
      <c r="R142" s="157"/>
      <c r="S142" s="157"/>
      <c r="T142" s="157"/>
      <c r="U142" s="157"/>
      <c r="V142" s="157"/>
      <c r="W142" s="157"/>
      <c r="X142" s="157"/>
      <c r="Y142" s="157"/>
    </row>
    <row r="143" ht="100.5" customHeight="1">
      <c r="A143" s="258"/>
      <c r="B143" s="215"/>
      <c r="C143" s="215"/>
      <c r="D143" s="215"/>
      <c r="E143" s="207"/>
      <c r="F143" s="215"/>
      <c r="G143" s="233"/>
      <c r="H143" s="194"/>
      <c r="I143" s="215"/>
      <c r="J143" s="220"/>
      <c r="K143" s="260"/>
      <c r="L143" s="207"/>
      <c r="M143" s="157"/>
      <c r="N143" s="157"/>
      <c r="O143" s="157"/>
      <c r="P143" s="157"/>
      <c r="Q143" s="157"/>
      <c r="R143" s="157"/>
      <c r="S143" s="157"/>
      <c r="T143" s="157"/>
      <c r="U143" s="157"/>
      <c r="V143" s="157"/>
      <c r="W143" s="157"/>
      <c r="X143" s="157"/>
      <c r="Y143" s="157"/>
    </row>
    <row r="144" ht="59.25" customHeight="1">
      <c r="A144" s="258"/>
      <c r="B144" s="191"/>
      <c r="C144" s="215"/>
      <c r="D144" s="215"/>
      <c r="E144" s="207"/>
      <c r="F144" s="215"/>
      <c r="G144" s="233"/>
      <c r="H144" s="220"/>
      <c r="I144" s="405"/>
      <c r="J144" s="191"/>
      <c r="K144" s="260"/>
      <c r="L144" s="207"/>
      <c r="M144" s="157"/>
      <c r="N144" s="157"/>
      <c r="O144" s="157"/>
      <c r="P144" s="157"/>
      <c r="Q144" s="157"/>
      <c r="R144" s="157"/>
      <c r="S144" s="157"/>
      <c r="T144" s="157"/>
      <c r="U144" s="157"/>
      <c r="V144" s="157"/>
      <c r="W144" s="157"/>
      <c r="X144" s="157"/>
      <c r="Y144" s="157"/>
    </row>
    <row r="145" ht="57.0" customHeight="1">
      <c r="A145" s="258"/>
      <c r="B145" s="191"/>
      <c r="C145" s="215"/>
      <c r="D145" s="264"/>
      <c r="E145" s="419"/>
      <c r="F145" s="215"/>
      <c r="G145" s="233"/>
      <c r="H145" s="220"/>
      <c r="I145" s="405"/>
      <c r="J145" s="220"/>
      <c r="K145" s="260"/>
      <c r="L145" s="207"/>
      <c r="M145" s="157"/>
      <c r="N145" s="157"/>
      <c r="O145" s="157"/>
      <c r="P145" s="157"/>
      <c r="Q145" s="157"/>
      <c r="R145" s="157"/>
      <c r="S145" s="157"/>
      <c r="T145" s="157"/>
      <c r="U145" s="157"/>
      <c r="V145" s="157"/>
      <c r="W145" s="157"/>
      <c r="X145" s="157"/>
      <c r="Y145" s="157"/>
    </row>
    <row r="146" ht="84.75" customHeight="1">
      <c r="A146" s="258"/>
      <c r="B146" s="191"/>
      <c r="C146" s="215"/>
      <c r="D146" s="215"/>
      <c r="E146" s="207"/>
      <c r="F146" s="215"/>
      <c r="G146" s="233"/>
      <c r="H146" s="233"/>
      <c r="I146" s="215"/>
      <c r="J146" s="220"/>
      <c r="K146" s="260"/>
      <c r="L146" s="207"/>
      <c r="M146" s="157"/>
      <c r="N146" s="157"/>
      <c r="O146" s="157"/>
      <c r="P146" s="157"/>
      <c r="Q146" s="157"/>
      <c r="R146" s="157"/>
      <c r="S146" s="157"/>
      <c r="T146" s="157"/>
      <c r="U146" s="157"/>
      <c r="V146" s="157"/>
      <c r="W146" s="157"/>
      <c r="X146" s="157"/>
      <c r="Y146" s="157"/>
    </row>
    <row r="147" ht="57.0" customHeight="1">
      <c r="A147" s="258"/>
      <c r="B147" s="191"/>
      <c r="C147" s="215"/>
      <c r="D147" s="215"/>
      <c r="E147" s="207"/>
      <c r="F147" s="215"/>
      <c r="G147" s="233"/>
      <c r="H147" s="233"/>
      <c r="I147" s="405"/>
      <c r="J147" s="191"/>
      <c r="K147" s="260"/>
      <c r="L147" s="207"/>
      <c r="M147" s="157"/>
      <c r="N147" s="157"/>
      <c r="O147" s="157"/>
      <c r="P147" s="157"/>
      <c r="Q147" s="157"/>
      <c r="R147" s="157"/>
      <c r="S147" s="157"/>
      <c r="T147" s="157"/>
      <c r="U147" s="157"/>
      <c r="V147" s="157"/>
      <c r="W147" s="157"/>
      <c r="X147" s="157"/>
      <c r="Y147" s="157"/>
    </row>
    <row r="148" ht="61.5" customHeight="1">
      <c r="A148" s="258"/>
      <c r="B148" s="191"/>
      <c r="C148" s="215"/>
      <c r="D148" s="264"/>
      <c r="E148" s="207"/>
      <c r="F148" s="215"/>
      <c r="G148" s="233"/>
      <c r="H148" s="220"/>
      <c r="I148" s="405"/>
      <c r="J148" s="220"/>
      <c r="K148" s="260"/>
      <c r="L148" s="207"/>
      <c r="M148" s="157"/>
      <c r="N148" s="157"/>
      <c r="O148" s="157"/>
      <c r="P148" s="157"/>
      <c r="Q148" s="157"/>
      <c r="R148" s="157"/>
      <c r="S148" s="157"/>
      <c r="T148" s="157"/>
      <c r="U148" s="157"/>
      <c r="V148" s="157"/>
      <c r="W148" s="157"/>
      <c r="X148" s="157"/>
      <c r="Y148" s="157"/>
    </row>
    <row r="149" ht="57.75" customHeight="1">
      <c r="A149" s="258"/>
      <c r="B149" s="191"/>
      <c r="C149" s="215"/>
      <c r="D149" s="264"/>
      <c r="E149" s="207"/>
      <c r="F149" s="215"/>
      <c r="G149" s="233"/>
      <c r="H149" s="233"/>
      <c r="I149" s="405"/>
      <c r="J149" s="220"/>
      <c r="K149" s="260"/>
      <c r="L149" s="207"/>
      <c r="M149" s="157"/>
      <c r="N149" s="157"/>
      <c r="O149" s="157"/>
      <c r="P149" s="157"/>
      <c r="Q149" s="157"/>
      <c r="R149" s="157"/>
      <c r="S149" s="157"/>
      <c r="T149" s="157"/>
      <c r="U149" s="157"/>
      <c r="V149" s="157"/>
      <c r="W149" s="157"/>
      <c r="X149" s="157"/>
      <c r="Y149" s="157"/>
    </row>
    <row r="150" ht="57.0" customHeight="1">
      <c r="A150" s="258"/>
      <c r="B150" s="215"/>
      <c r="C150" s="215"/>
      <c r="D150" s="215"/>
      <c r="E150" s="207"/>
      <c r="F150" s="215"/>
      <c r="G150" s="233"/>
      <c r="H150" s="220"/>
      <c r="I150" s="405"/>
      <c r="J150" s="220"/>
      <c r="K150" s="260"/>
      <c r="L150" s="207"/>
      <c r="M150" s="157"/>
      <c r="N150" s="157"/>
      <c r="O150" s="157"/>
      <c r="P150" s="157"/>
      <c r="Q150" s="157"/>
      <c r="R150" s="157"/>
      <c r="S150" s="157"/>
      <c r="T150" s="157"/>
      <c r="U150" s="157"/>
      <c r="V150" s="157"/>
      <c r="W150" s="157"/>
      <c r="X150" s="157"/>
      <c r="Y150" s="157"/>
    </row>
    <row r="151" ht="81.0" customHeight="1">
      <c r="A151" s="258"/>
      <c r="B151" s="191"/>
      <c r="C151" s="215"/>
      <c r="D151" s="215"/>
      <c r="E151" s="207"/>
      <c r="F151" s="215"/>
      <c r="G151" s="233"/>
      <c r="H151" s="220"/>
      <c r="I151" s="215"/>
      <c r="J151" s="220"/>
      <c r="K151" s="260"/>
      <c r="L151" s="207"/>
      <c r="M151" s="157"/>
      <c r="N151" s="157"/>
      <c r="O151" s="157"/>
      <c r="P151" s="157"/>
      <c r="Q151" s="157"/>
      <c r="R151" s="157"/>
      <c r="S151" s="157"/>
      <c r="T151" s="157"/>
      <c r="U151" s="157"/>
      <c r="V151" s="157"/>
      <c r="W151" s="157"/>
      <c r="X151" s="157"/>
      <c r="Y151" s="157"/>
    </row>
    <row r="152" ht="57.75" customHeight="1">
      <c r="A152" s="258"/>
      <c r="B152" s="191"/>
      <c r="C152" s="215"/>
      <c r="D152" s="215"/>
      <c r="E152" s="207"/>
      <c r="F152" s="215"/>
      <c r="G152" s="233"/>
      <c r="H152" s="220"/>
      <c r="I152" s="405"/>
      <c r="J152" s="191"/>
      <c r="K152" s="260"/>
      <c r="L152" s="207"/>
      <c r="M152" s="157"/>
      <c r="N152" s="157"/>
      <c r="O152" s="157"/>
      <c r="P152" s="157"/>
      <c r="Q152" s="157"/>
      <c r="R152" s="157"/>
      <c r="S152" s="157"/>
      <c r="T152" s="157"/>
      <c r="U152" s="157"/>
      <c r="V152" s="157"/>
      <c r="W152" s="157"/>
      <c r="X152" s="157"/>
      <c r="Y152" s="157"/>
    </row>
    <row r="153" ht="57.0" customHeight="1">
      <c r="A153" s="258"/>
      <c r="B153" s="191"/>
      <c r="C153" s="215"/>
      <c r="D153" s="215"/>
      <c r="E153" s="207"/>
      <c r="F153" s="215"/>
      <c r="G153" s="233"/>
      <c r="H153" s="220"/>
      <c r="I153" s="405"/>
      <c r="J153" s="191"/>
      <c r="K153" s="260"/>
      <c r="L153" s="207"/>
      <c r="M153" s="157"/>
      <c r="N153" s="157"/>
      <c r="O153" s="157"/>
      <c r="P153" s="157"/>
      <c r="Q153" s="157"/>
      <c r="R153" s="157"/>
      <c r="S153" s="157"/>
      <c r="T153" s="157"/>
      <c r="U153" s="157"/>
      <c r="V153" s="157"/>
      <c r="W153" s="157"/>
      <c r="X153" s="157"/>
      <c r="Y153" s="157"/>
    </row>
    <row r="154" ht="57.0" customHeight="1">
      <c r="A154" s="258"/>
      <c r="B154" s="191"/>
      <c r="C154" s="215"/>
      <c r="D154" s="215"/>
      <c r="E154" s="207"/>
      <c r="F154" s="215"/>
      <c r="G154" s="233"/>
      <c r="H154" s="220"/>
      <c r="I154" s="405"/>
      <c r="J154" s="191"/>
      <c r="K154" s="260"/>
      <c r="L154" s="207"/>
      <c r="M154" s="157"/>
      <c r="N154" s="157"/>
      <c r="O154" s="157"/>
      <c r="P154" s="157"/>
      <c r="Q154" s="157"/>
      <c r="R154" s="157"/>
      <c r="S154" s="157"/>
      <c r="T154" s="157"/>
      <c r="U154" s="157"/>
      <c r="V154" s="157"/>
      <c r="W154" s="157"/>
      <c r="X154" s="157"/>
      <c r="Y154" s="157"/>
    </row>
    <row r="155" ht="57.0" customHeight="1">
      <c r="A155" s="258"/>
      <c r="B155" s="191"/>
      <c r="C155" s="215"/>
      <c r="D155" s="215"/>
      <c r="E155" s="207"/>
      <c r="F155" s="215"/>
      <c r="G155" s="233"/>
      <c r="H155" s="220"/>
      <c r="I155" s="405"/>
      <c r="J155" s="220"/>
      <c r="K155" s="260"/>
      <c r="L155" s="207"/>
      <c r="M155" s="157"/>
      <c r="N155" s="157"/>
      <c r="O155" s="157"/>
      <c r="P155" s="157"/>
      <c r="Q155" s="157"/>
      <c r="R155" s="157"/>
      <c r="S155" s="157"/>
      <c r="T155" s="157"/>
      <c r="U155" s="157"/>
      <c r="V155" s="157"/>
      <c r="W155" s="157"/>
      <c r="X155" s="157"/>
      <c r="Y155" s="157"/>
    </row>
    <row r="156" ht="57.0" customHeight="1">
      <c r="A156" s="258"/>
      <c r="B156" s="191"/>
      <c r="C156" s="215"/>
      <c r="D156" s="264"/>
      <c r="E156" s="207"/>
      <c r="F156" s="215"/>
      <c r="G156" s="233"/>
      <c r="H156" s="220"/>
      <c r="I156" s="405"/>
      <c r="J156" s="220"/>
      <c r="K156" s="260"/>
      <c r="L156" s="207"/>
      <c r="M156" s="157"/>
      <c r="N156" s="157"/>
      <c r="O156" s="157"/>
      <c r="P156" s="157"/>
      <c r="Q156" s="157"/>
      <c r="R156" s="157"/>
      <c r="S156" s="157"/>
      <c r="T156" s="157"/>
      <c r="U156" s="157"/>
      <c r="V156" s="157"/>
      <c r="W156" s="157"/>
      <c r="X156" s="157"/>
      <c r="Y156" s="157"/>
    </row>
    <row r="157" ht="57.0" customHeight="1">
      <c r="A157" s="258"/>
      <c r="B157" s="191"/>
      <c r="C157" s="215"/>
      <c r="D157" s="215"/>
      <c r="E157" s="207"/>
      <c r="F157" s="215"/>
      <c r="G157" s="233"/>
      <c r="H157" s="220"/>
      <c r="I157" s="215"/>
      <c r="J157" s="220"/>
      <c r="K157" s="260"/>
      <c r="L157" s="207"/>
      <c r="M157" s="157"/>
      <c r="N157" s="157"/>
      <c r="O157" s="157"/>
      <c r="P157" s="157"/>
      <c r="Q157" s="157"/>
      <c r="R157" s="157"/>
      <c r="S157" s="157"/>
      <c r="T157" s="157"/>
      <c r="U157" s="157"/>
      <c r="V157" s="157"/>
      <c r="W157" s="157"/>
      <c r="X157" s="157"/>
      <c r="Y157" s="157"/>
    </row>
    <row r="158" ht="57.0" customHeight="1">
      <c r="A158" s="258"/>
      <c r="B158" s="191"/>
      <c r="C158" s="215"/>
      <c r="D158" s="215"/>
      <c r="E158" s="207"/>
      <c r="F158" s="215"/>
      <c r="G158" s="233"/>
      <c r="H158" s="220"/>
      <c r="I158" s="405"/>
      <c r="J158" s="220"/>
      <c r="K158" s="260"/>
      <c r="L158" s="207"/>
      <c r="M158" s="157"/>
      <c r="N158" s="157"/>
      <c r="O158" s="157"/>
      <c r="P158" s="157"/>
      <c r="Q158" s="157"/>
      <c r="R158" s="157"/>
      <c r="S158" s="157"/>
      <c r="T158" s="157"/>
      <c r="U158" s="157"/>
      <c r="V158" s="157"/>
      <c r="W158" s="157"/>
      <c r="X158" s="157"/>
      <c r="Y158" s="157"/>
    </row>
    <row r="159" ht="62.25" customHeight="1">
      <c r="A159" s="258"/>
      <c r="B159" s="191"/>
      <c r="C159" s="215"/>
      <c r="D159" s="215"/>
      <c r="E159" s="207"/>
      <c r="F159" s="215"/>
      <c r="G159" s="233"/>
      <c r="H159" s="233"/>
      <c r="I159" s="405"/>
      <c r="J159" s="191"/>
      <c r="K159" s="260"/>
      <c r="L159" s="207"/>
      <c r="M159" s="157"/>
      <c r="N159" s="157"/>
      <c r="O159" s="157"/>
      <c r="P159" s="157"/>
      <c r="Q159" s="157"/>
      <c r="R159" s="157"/>
      <c r="S159" s="157"/>
      <c r="T159" s="157"/>
      <c r="U159" s="157"/>
      <c r="V159" s="157"/>
      <c r="W159" s="157"/>
      <c r="X159" s="157"/>
      <c r="Y159" s="157"/>
    </row>
    <row r="160" ht="57.0" customHeight="1">
      <c r="A160" s="258"/>
      <c r="B160" s="191"/>
      <c r="C160" s="215"/>
      <c r="D160" s="215"/>
      <c r="E160" s="207"/>
      <c r="F160" s="215"/>
      <c r="G160" s="233"/>
      <c r="H160" s="220"/>
      <c r="I160" s="215"/>
      <c r="J160" s="220"/>
      <c r="K160" s="260"/>
      <c r="L160" s="207"/>
      <c r="M160" s="157"/>
      <c r="N160" s="157"/>
      <c r="O160" s="157"/>
      <c r="P160" s="157"/>
      <c r="Q160" s="157"/>
      <c r="R160" s="157"/>
      <c r="S160" s="157"/>
      <c r="T160" s="157"/>
      <c r="U160" s="157"/>
      <c r="V160" s="157"/>
      <c r="W160" s="157"/>
      <c r="X160" s="157"/>
      <c r="Y160" s="157"/>
    </row>
    <row r="161" ht="58.5" customHeight="1">
      <c r="A161" s="258"/>
      <c r="B161" s="191"/>
      <c r="C161" s="215"/>
      <c r="D161" s="215"/>
      <c r="E161" s="207"/>
      <c r="F161" s="215"/>
      <c r="G161" s="233"/>
      <c r="H161" s="220"/>
      <c r="I161" s="405"/>
      <c r="J161" s="220"/>
      <c r="K161" s="260"/>
      <c r="L161" s="207"/>
      <c r="M161" s="157"/>
      <c r="N161" s="157"/>
      <c r="O161" s="157"/>
      <c r="P161" s="157"/>
      <c r="Q161" s="157"/>
      <c r="R161" s="157"/>
      <c r="S161" s="157"/>
      <c r="T161" s="157"/>
      <c r="U161" s="157"/>
      <c r="V161" s="157"/>
      <c r="W161" s="157"/>
      <c r="X161" s="157"/>
      <c r="Y161" s="157"/>
    </row>
    <row r="162" ht="57.0" customHeight="1">
      <c r="A162" s="258"/>
      <c r="B162" s="191"/>
      <c r="C162" s="215"/>
      <c r="D162" s="215"/>
      <c r="E162" s="207"/>
      <c r="F162" s="215"/>
      <c r="G162" s="233"/>
      <c r="H162" s="220"/>
      <c r="I162" s="405"/>
      <c r="J162" s="220"/>
      <c r="K162" s="260"/>
      <c r="L162" s="207"/>
      <c r="M162" s="157"/>
      <c r="N162" s="157"/>
      <c r="O162" s="157"/>
      <c r="P162" s="157"/>
      <c r="Q162" s="157"/>
      <c r="R162" s="157"/>
      <c r="S162" s="157"/>
      <c r="T162" s="157"/>
      <c r="U162" s="157"/>
      <c r="V162" s="157"/>
      <c r="W162" s="157"/>
      <c r="X162" s="157"/>
      <c r="Y162" s="157"/>
    </row>
    <row r="163" ht="57.0" customHeight="1">
      <c r="A163" s="258"/>
      <c r="B163" s="191"/>
      <c r="C163" s="215"/>
      <c r="D163" s="215"/>
      <c r="E163" s="207"/>
      <c r="F163" s="215"/>
      <c r="G163" s="233"/>
      <c r="H163" s="220"/>
      <c r="I163" s="405"/>
      <c r="J163" s="220"/>
      <c r="K163" s="260"/>
      <c r="L163" s="207"/>
      <c r="M163" s="157"/>
      <c r="N163" s="157"/>
      <c r="O163" s="157"/>
      <c r="P163" s="157"/>
      <c r="Q163" s="157"/>
      <c r="R163" s="157"/>
      <c r="S163" s="157"/>
      <c r="T163" s="157"/>
      <c r="U163" s="157"/>
      <c r="V163" s="157"/>
      <c r="W163" s="157"/>
      <c r="X163" s="157"/>
      <c r="Y163" s="157"/>
    </row>
    <row r="164" ht="57.75" customHeight="1">
      <c r="A164" s="258"/>
      <c r="B164" s="191"/>
      <c r="C164" s="215"/>
      <c r="D164" s="215"/>
      <c r="E164" s="207"/>
      <c r="F164" s="215"/>
      <c r="G164" s="233"/>
      <c r="H164" s="220"/>
      <c r="I164" s="215"/>
      <c r="J164" s="220"/>
      <c r="K164" s="260"/>
      <c r="L164" s="207"/>
      <c r="M164" s="157"/>
      <c r="N164" s="157"/>
      <c r="O164" s="157"/>
      <c r="P164" s="157"/>
      <c r="Q164" s="157"/>
      <c r="R164" s="157"/>
      <c r="S164" s="157"/>
      <c r="T164" s="157"/>
      <c r="U164" s="157"/>
      <c r="V164" s="157"/>
      <c r="W164" s="157"/>
      <c r="X164" s="157"/>
      <c r="Y164" s="157"/>
    </row>
    <row r="165" ht="58.5" customHeight="1">
      <c r="A165" s="258"/>
      <c r="B165" s="191"/>
      <c r="C165" s="215"/>
      <c r="D165" s="215"/>
      <c r="E165" s="207"/>
      <c r="F165" s="215"/>
      <c r="G165" s="233"/>
      <c r="H165" s="233"/>
      <c r="I165" s="405"/>
      <c r="J165" s="220"/>
      <c r="K165" s="260"/>
      <c r="L165" s="207"/>
      <c r="M165" s="157"/>
      <c r="N165" s="157"/>
      <c r="O165" s="157"/>
      <c r="P165" s="157"/>
      <c r="Q165" s="157"/>
      <c r="R165" s="157"/>
      <c r="S165" s="157"/>
      <c r="T165" s="157"/>
      <c r="U165" s="157"/>
      <c r="V165" s="157"/>
      <c r="W165" s="157"/>
      <c r="X165" s="157"/>
      <c r="Y165" s="157"/>
    </row>
    <row r="166" ht="58.5" customHeight="1">
      <c r="A166" s="258"/>
      <c r="B166" s="191"/>
      <c r="C166" s="215"/>
      <c r="D166" s="215"/>
      <c r="E166" s="207"/>
      <c r="F166" s="191"/>
      <c r="G166" s="194"/>
      <c r="H166" s="220"/>
      <c r="I166" s="191"/>
      <c r="J166" s="220"/>
      <c r="K166" s="260"/>
      <c r="L166" s="207"/>
      <c r="M166" s="157"/>
      <c r="N166" s="157"/>
      <c r="O166" s="157"/>
      <c r="P166" s="157"/>
      <c r="Q166" s="157"/>
      <c r="R166" s="157"/>
      <c r="S166" s="157"/>
      <c r="T166" s="157"/>
      <c r="U166" s="157"/>
      <c r="V166" s="157"/>
      <c r="W166" s="157"/>
      <c r="X166" s="157"/>
      <c r="Y166" s="157"/>
    </row>
    <row r="167" ht="58.5" customHeight="1">
      <c r="A167" s="258"/>
      <c r="B167" s="191"/>
      <c r="C167" s="215"/>
      <c r="D167" s="215"/>
      <c r="E167" s="207"/>
      <c r="F167" s="215"/>
      <c r="G167" s="233"/>
      <c r="H167" s="233"/>
      <c r="I167" s="191"/>
      <c r="J167" s="220"/>
      <c r="K167" s="260"/>
      <c r="L167" s="207"/>
      <c r="M167" s="157"/>
      <c r="N167" s="157"/>
      <c r="O167" s="157"/>
      <c r="P167" s="157"/>
      <c r="Q167" s="157"/>
      <c r="R167" s="157"/>
      <c r="S167" s="157"/>
      <c r="T167" s="157"/>
      <c r="U167" s="157"/>
      <c r="V167" s="157"/>
      <c r="W167" s="157"/>
      <c r="X167" s="157"/>
      <c r="Y167" s="157"/>
    </row>
    <row r="168" ht="57.0" customHeight="1">
      <c r="A168" s="258"/>
      <c r="B168" s="191"/>
      <c r="C168" s="215"/>
      <c r="D168" s="215"/>
      <c r="E168" s="207"/>
      <c r="F168" s="215"/>
      <c r="G168" s="233"/>
      <c r="H168" s="233"/>
      <c r="I168" s="215"/>
      <c r="J168" s="220"/>
      <c r="K168" s="260"/>
      <c r="L168" s="207"/>
      <c r="M168" s="157"/>
      <c r="N168" s="157"/>
      <c r="O168" s="157"/>
      <c r="P168" s="157"/>
      <c r="Q168" s="157"/>
      <c r="R168" s="157"/>
      <c r="S168" s="157"/>
      <c r="T168" s="157"/>
      <c r="U168" s="157"/>
      <c r="V168" s="157"/>
      <c r="W168" s="157"/>
      <c r="X168" s="157"/>
      <c r="Y168" s="157"/>
    </row>
    <row r="169" ht="66.75" customHeight="1">
      <c r="A169" s="258"/>
      <c r="B169" s="191"/>
      <c r="C169" s="215"/>
      <c r="D169" s="215"/>
      <c r="E169" s="207"/>
      <c r="F169" s="215"/>
      <c r="G169" s="233"/>
      <c r="H169" s="220"/>
      <c r="I169" s="405"/>
      <c r="J169" s="220"/>
      <c r="K169" s="260"/>
      <c r="L169" s="207"/>
      <c r="M169" s="157"/>
      <c r="N169" s="157"/>
      <c r="O169" s="157"/>
      <c r="P169" s="157"/>
      <c r="Q169" s="157"/>
      <c r="R169" s="157"/>
      <c r="S169" s="157"/>
      <c r="T169" s="157"/>
      <c r="U169" s="157"/>
      <c r="V169" s="157"/>
      <c r="W169" s="157"/>
      <c r="X169" s="157"/>
      <c r="Y169" s="157"/>
    </row>
    <row r="170" ht="59.25" customHeight="1">
      <c r="A170" s="258"/>
      <c r="B170" s="191"/>
      <c r="C170" s="215"/>
      <c r="D170" s="215"/>
      <c r="E170" s="207"/>
      <c r="F170" s="215"/>
      <c r="G170" s="233"/>
      <c r="H170" s="233"/>
      <c r="I170" s="259"/>
      <c r="J170" s="220"/>
      <c r="K170" s="260"/>
      <c r="L170" s="207"/>
      <c r="M170" s="157"/>
      <c r="N170" s="157"/>
      <c r="O170" s="157"/>
      <c r="P170" s="157"/>
      <c r="Q170" s="157"/>
      <c r="R170" s="157"/>
      <c r="S170" s="157"/>
      <c r="T170" s="157"/>
      <c r="U170" s="157"/>
      <c r="V170" s="157"/>
      <c r="W170" s="157"/>
      <c r="X170" s="157"/>
      <c r="Y170" s="157"/>
    </row>
    <row r="171" ht="54.0" customHeight="1">
      <c r="A171" s="258"/>
      <c r="B171" s="191"/>
      <c r="C171" s="215"/>
      <c r="D171" s="215"/>
      <c r="E171" s="207"/>
      <c r="F171" s="215"/>
      <c r="G171" s="233"/>
      <c r="H171" s="233"/>
      <c r="I171" s="259"/>
      <c r="J171" s="220"/>
      <c r="K171" s="260"/>
      <c r="L171" s="207"/>
      <c r="M171" s="157"/>
      <c r="N171" s="157"/>
      <c r="O171" s="157"/>
      <c r="P171" s="157"/>
      <c r="Q171" s="157"/>
      <c r="R171" s="157"/>
      <c r="S171" s="157"/>
      <c r="T171" s="157"/>
      <c r="U171" s="157"/>
      <c r="V171" s="157"/>
      <c r="W171" s="157"/>
      <c r="X171" s="157"/>
      <c r="Y171" s="157"/>
    </row>
    <row r="172" ht="64.5" customHeight="1">
      <c r="A172" s="258"/>
      <c r="B172" s="191"/>
      <c r="C172" s="215"/>
      <c r="D172" s="215"/>
      <c r="E172" s="207"/>
      <c r="F172" s="215"/>
      <c r="G172" s="233"/>
      <c r="H172" s="191"/>
      <c r="I172" s="405"/>
      <c r="J172" s="220"/>
      <c r="K172" s="260"/>
      <c r="L172" s="207"/>
      <c r="M172" s="157"/>
      <c r="N172" s="157"/>
      <c r="O172" s="157"/>
      <c r="P172" s="157"/>
      <c r="Q172" s="157"/>
      <c r="R172" s="157"/>
      <c r="S172" s="157"/>
      <c r="T172" s="157"/>
      <c r="U172" s="157"/>
      <c r="V172" s="157"/>
      <c r="W172" s="157"/>
      <c r="X172" s="157"/>
      <c r="Y172" s="157"/>
    </row>
    <row r="173" ht="60.75" customHeight="1">
      <c r="A173" s="258"/>
      <c r="B173" s="191"/>
      <c r="C173" s="215"/>
      <c r="D173" s="215"/>
      <c r="E173" s="207"/>
      <c r="F173" s="215"/>
      <c r="G173" s="233"/>
      <c r="H173" s="233"/>
      <c r="I173" s="191"/>
      <c r="J173" s="220"/>
      <c r="K173" s="260"/>
      <c r="L173" s="207"/>
      <c r="M173" s="157"/>
      <c r="N173" s="157"/>
      <c r="O173" s="157"/>
      <c r="P173" s="157"/>
      <c r="Q173" s="157"/>
      <c r="R173" s="157"/>
      <c r="S173" s="157"/>
      <c r="T173" s="157"/>
      <c r="U173" s="157"/>
      <c r="V173" s="157"/>
      <c r="W173" s="157"/>
      <c r="X173" s="157"/>
      <c r="Y173" s="157"/>
    </row>
    <row r="174" ht="56.25" customHeight="1">
      <c r="A174" s="258"/>
      <c r="B174" s="191"/>
      <c r="C174" s="215"/>
      <c r="D174" s="215"/>
      <c r="E174" s="207"/>
      <c r="F174" s="215"/>
      <c r="G174" s="233"/>
      <c r="H174" s="233"/>
      <c r="I174" s="405"/>
      <c r="J174" s="220"/>
      <c r="K174" s="260"/>
      <c r="L174" s="207"/>
      <c r="M174" s="157"/>
      <c r="N174" s="157"/>
      <c r="O174" s="157"/>
      <c r="P174" s="157"/>
      <c r="Q174" s="157"/>
      <c r="R174" s="157"/>
      <c r="S174" s="157"/>
      <c r="T174" s="157"/>
      <c r="U174" s="157"/>
      <c r="V174" s="157"/>
      <c r="W174" s="157"/>
      <c r="X174" s="157"/>
      <c r="Y174" s="157"/>
    </row>
    <row r="175" ht="54.0" customHeight="1">
      <c r="A175" s="258"/>
      <c r="B175" s="191"/>
      <c r="C175" s="215"/>
      <c r="D175" s="215"/>
      <c r="E175" s="207"/>
      <c r="F175" s="215"/>
      <c r="G175" s="233"/>
      <c r="H175" s="220"/>
      <c r="I175" s="215"/>
      <c r="J175" s="220"/>
      <c r="K175" s="260"/>
      <c r="L175" s="207"/>
      <c r="M175" s="157"/>
      <c r="N175" s="157"/>
      <c r="O175" s="157"/>
      <c r="P175" s="157"/>
      <c r="Q175" s="157"/>
      <c r="R175" s="157"/>
      <c r="S175" s="157"/>
      <c r="T175" s="157"/>
      <c r="U175" s="157"/>
      <c r="V175" s="157"/>
      <c r="W175" s="157"/>
      <c r="X175" s="157"/>
      <c r="Y175" s="157"/>
    </row>
    <row r="176" ht="54.0" customHeight="1">
      <c r="A176" s="258"/>
      <c r="B176" s="191"/>
      <c r="C176" s="215"/>
      <c r="D176" s="215"/>
      <c r="E176" s="395"/>
      <c r="F176" s="215"/>
      <c r="G176" s="233"/>
      <c r="H176" s="233"/>
      <c r="I176" s="259"/>
      <c r="J176" s="220"/>
      <c r="K176" s="260"/>
      <c r="L176" s="207"/>
      <c r="M176" s="157"/>
      <c r="N176" s="157"/>
      <c r="O176" s="157"/>
      <c r="P176" s="157"/>
      <c r="Q176" s="157"/>
      <c r="R176" s="157"/>
      <c r="S176" s="157"/>
      <c r="T176" s="157"/>
      <c r="U176" s="157"/>
      <c r="V176" s="157"/>
      <c r="W176" s="157"/>
      <c r="X176" s="157"/>
      <c r="Y176" s="157"/>
    </row>
    <row r="177" ht="54.0" customHeight="1">
      <c r="A177" s="258"/>
      <c r="B177" s="191"/>
      <c r="C177" s="215"/>
      <c r="D177" s="215"/>
      <c r="E177" s="207"/>
      <c r="F177" s="215"/>
      <c r="G177" s="233"/>
      <c r="H177" s="233"/>
      <c r="I177" s="259"/>
      <c r="J177" s="220"/>
      <c r="K177" s="260"/>
      <c r="L177" s="207"/>
      <c r="M177" s="157"/>
      <c r="N177" s="157"/>
      <c r="O177" s="157"/>
      <c r="P177" s="157"/>
      <c r="Q177" s="157"/>
      <c r="R177" s="157"/>
      <c r="S177" s="157"/>
      <c r="T177" s="157"/>
      <c r="U177" s="157"/>
      <c r="V177" s="157"/>
      <c r="W177" s="157"/>
      <c r="X177" s="157"/>
      <c r="Y177" s="157"/>
    </row>
    <row r="178" ht="57.0" customHeight="1">
      <c r="A178" s="258"/>
      <c r="B178" s="191"/>
      <c r="C178" s="215"/>
      <c r="D178" s="215"/>
      <c r="E178" s="207"/>
      <c r="F178" s="215"/>
      <c r="G178" s="233"/>
      <c r="H178" s="233"/>
      <c r="I178" s="405"/>
      <c r="J178" s="220"/>
      <c r="K178" s="260"/>
      <c r="L178" s="207"/>
      <c r="M178" s="157"/>
      <c r="N178" s="157"/>
      <c r="O178" s="157"/>
      <c r="P178" s="157"/>
      <c r="Q178" s="157"/>
      <c r="R178" s="157"/>
      <c r="S178" s="157"/>
      <c r="T178" s="157"/>
      <c r="U178" s="157"/>
      <c r="V178" s="157"/>
      <c r="W178" s="157"/>
      <c r="X178" s="157"/>
      <c r="Y178" s="157"/>
    </row>
    <row r="179" ht="56.25" customHeight="1">
      <c r="A179" s="258"/>
      <c r="B179" s="191"/>
      <c r="C179" s="215"/>
      <c r="D179" s="215"/>
      <c r="E179" s="207"/>
      <c r="F179" s="215"/>
      <c r="G179" s="233"/>
      <c r="H179" s="233"/>
      <c r="I179" s="405"/>
      <c r="J179" s="220"/>
      <c r="K179" s="260"/>
      <c r="L179" s="207"/>
      <c r="M179" s="157"/>
      <c r="N179" s="157"/>
      <c r="O179" s="157"/>
      <c r="P179" s="157"/>
      <c r="Q179" s="157"/>
      <c r="R179" s="157"/>
      <c r="S179" s="157"/>
      <c r="T179" s="157"/>
      <c r="U179" s="157"/>
      <c r="V179" s="157"/>
      <c r="W179" s="157"/>
      <c r="X179" s="157"/>
      <c r="Y179" s="157"/>
    </row>
    <row r="180" ht="56.25" customHeight="1">
      <c r="A180" s="258"/>
      <c r="B180" s="191"/>
      <c r="C180" s="215"/>
      <c r="D180" s="215"/>
      <c r="E180" s="207"/>
      <c r="F180" s="215"/>
      <c r="G180" s="233"/>
      <c r="H180" s="233"/>
      <c r="I180" s="405"/>
      <c r="J180" s="220"/>
      <c r="K180" s="260"/>
      <c r="L180" s="207"/>
      <c r="M180" s="157"/>
      <c r="N180" s="157"/>
      <c r="O180" s="157"/>
      <c r="P180" s="157"/>
      <c r="Q180" s="157"/>
      <c r="R180" s="157"/>
      <c r="S180" s="157"/>
      <c r="T180" s="157"/>
      <c r="U180" s="157"/>
      <c r="V180" s="157"/>
      <c r="W180" s="157"/>
      <c r="X180" s="157"/>
      <c r="Y180" s="157"/>
    </row>
    <row r="181" ht="53.25" customHeight="1">
      <c r="A181" s="258"/>
      <c r="B181" s="191"/>
      <c r="C181" s="215"/>
      <c r="D181" s="215"/>
      <c r="E181" s="207"/>
      <c r="F181" s="215"/>
      <c r="G181" s="233"/>
      <c r="H181" s="233"/>
      <c r="I181" s="405"/>
      <c r="J181" s="220"/>
      <c r="K181" s="260"/>
      <c r="L181" s="207"/>
      <c r="M181" s="157"/>
      <c r="N181" s="157"/>
      <c r="O181" s="157"/>
      <c r="P181" s="157"/>
      <c r="Q181" s="157"/>
      <c r="R181" s="157"/>
      <c r="S181" s="157"/>
      <c r="T181" s="157"/>
      <c r="U181" s="157"/>
      <c r="V181" s="157"/>
      <c r="W181" s="157"/>
      <c r="X181" s="157"/>
      <c r="Y181" s="157"/>
    </row>
    <row r="182" ht="56.25" customHeight="1">
      <c r="A182" s="258"/>
      <c r="B182" s="191"/>
      <c r="C182" s="215"/>
      <c r="D182" s="396"/>
      <c r="E182" s="207"/>
      <c r="F182" s="215"/>
      <c r="G182" s="233"/>
      <c r="H182" s="220"/>
      <c r="I182" s="405"/>
      <c r="J182" s="220"/>
      <c r="K182" s="260"/>
      <c r="L182" s="207"/>
      <c r="M182" s="157"/>
      <c r="N182" s="157"/>
      <c r="O182" s="157"/>
      <c r="P182" s="157"/>
      <c r="Q182" s="157"/>
      <c r="R182" s="157"/>
      <c r="S182" s="157"/>
      <c r="T182" s="157"/>
      <c r="U182" s="157"/>
      <c r="V182" s="157"/>
      <c r="W182" s="157"/>
      <c r="X182" s="157"/>
      <c r="Y182" s="157"/>
    </row>
    <row r="183" ht="57.0" customHeight="1">
      <c r="A183" s="258"/>
      <c r="B183" s="191"/>
      <c r="C183" s="215"/>
      <c r="D183" s="215"/>
      <c r="E183" s="207"/>
      <c r="F183" s="215"/>
      <c r="G183" s="233"/>
      <c r="H183" s="220"/>
      <c r="I183" s="215"/>
      <c r="J183" s="220"/>
      <c r="K183" s="260"/>
      <c r="L183" s="207"/>
      <c r="M183" s="157"/>
      <c r="N183" s="157"/>
      <c r="O183" s="157"/>
      <c r="P183" s="157"/>
      <c r="Q183" s="157"/>
      <c r="R183" s="157"/>
      <c r="S183" s="157"/>
      <c r="T183" s="157"/>
      <c r="U183" s="157"/>
      <c r="V183" s="157"/>
      <c r="W183" s="157"/>
      <c r="X183" s="157"/>
      <c r="Y183" s="157"/>
    </row>
    <row r="184" ht="52.5" customHeight="1">
      <c r="A184" s="258"/>
      <c r="B184" s="191"/>
      <c r="C184" s="215"/>
      <c r="D184" s="215"/>
      <c r="E184" s="207"/>
      <c r="F184" s="215"/>
      <c r="G184" s="233"/>
      <c r="H184" s="233"/>
      <c r="I184" s="259"/>
      <c r="J184" s="220"/>
      <c r="K184" s="260"/>
      <c r="L184" s="207"/>
      <c r="M184" s="157"/>
      <c r="N184" s="157"/>
      <c r="O184" s="157"/>
      <c r="P184" s="157"/>
      <c r="Q184" s="157"/>
      <c r="R184" s="157"/>
      <c r="S184" s="157"/>
      <c r="T184" s="157"/>
      <c r="U184" s="157"/>
      <c r="V184" s="157"/>
      <c r="W184" s="157"/>
      <c r="X184" s="157"/>
      <c r="Y184" s="157"/>
    </row>
    <row r="185" ht="53.25" customHeight="1">
      <c r="A185" s="258"/>
      <c r="B185" s="191"/>
      <c r="C185" s="215"/>
      <c r="D185" s="393"/>
      <c r="E185" s="207"/>
      <c r="F185" s="215"/>
      <c r="G185" s="233"/>
      <c r="H185" s="220"/>
      <c r="I185" s="405"/>
      <c r="J185" s="220"/>
      <c r="K185" s="260"/>
      <c r="L185" s="207"/>
      <c r="M185" s="157"/>
      <c r="N185" s="157"/>
      <c r="O185" s="157"/>
      <c r="P185" s="157"/>
      <c r="Q185" s="157"/>
      <c r="R185" s="157"/>
      <c r="S185" s="157"/>
      <c r="T185" s="157"/>
      <c r="U185" s="157"/>
      <c r="V185" s="157"/>
      <c r="W185" s="157"/>
      <c r="X185" s="157"/>
      <c r="Y185" s="157"/>
    </row>
    <row r="186" ht="53.25" customHeight="1">
      <c r="A186" s="258"/>
      <c r="B186" s="191"/>
      <c r="C186" s="215"/>
      <c r="D186" s="215"/>
      <c r="E186" s="207"/>
      <c r="F186" s="215"/>
      <c r="G186" s="233"/>
      <c r="H186" s="233"/>
      <c r="I186" s="215"/>
      <c r="J186" s="220"/>
      <c r="K186" s="260"/>
      <c r="L186" s="207"/>
      <c r="M186" s="157"/>
      <c r="N186" s="157"/>
      <c r="O186" s="157"/>
      <c r="P186" s="157"/>
      <c r="Q186" s="157"/>
      <c r="R186" s="157"/>
      <c r="S186" s="157"/>
      <c r="T186" s="157"/>
      <c r="U186" s="157"/>
      <c r="V186" s="157"/>
      <c r="W186" s="157"/>
      <c r="X186" s="157"/>
      <c r="Y186" s="157"/>
    </row>
    <row r="187" ht="56.25" customHeight="1">
      <c r="A187" s="258"/>
      <c r="B187" s="191"/>
      <c r="C187" s="215"/>
      <c r="D187" s="215"/>
      <c r="E187" s="207"/>
      <c r="F187" s="215"/>
      <c r="G187" s="233"/>
      <c r="H187" s="233"/>
      <c r="I187" s="405"/>
      <c r="J187" s="220"/>
      <c r="K187" s="260"/>
      <c r="L187" s="207"/>
      <c r="M187" s="157"/>
      <c r="N187" s="157"/>
      <c r="O187" s="157"/>
      <c r="P187" s="157"/>
      <c r="Q187" s="157"/>
      <c r="R187" s="157"/>
      <c r="S187" s="157"/>
      <c r="T187" s="157"/>
      <c r="U187" s="157"/>
      <c r="V187" s="157"/>
      <c r="W187" s="157"/>
      <c r="X187" s="157"/>
      <c r="Y187" s="157"/>
    </row>
    <row r="188" ht="52.5" customHeight="1">
      <c r="A188" s="258"/>
      <c r="B188" s="191"/>
      <c r="C188" s="215"/>
      <c r="D188" s="393"/>
      <c r="E188" s="207"/>
      <c r="F188" s="215"/>
      <c r="G188" s="233"/>
      <c r="H188" s="233"/>
      <c r="I188" s="405"/>
      <c r="J188" s="220"/>
      <c r="K188" s="260"/>
      <c r="L188" s="207"/>
      <c r="M188" s="157"/>
      <c r="N188" s="157"/>
      <c r="O188" s="157"/>
      <c r="P188" s="157"/>
      <c r="Q188" s="157"/>
      <c r="R188" s="157"/>
      <c r="S188" s="157"/>
      <c r="T188" s="157"/>
      <c r="U188" s="157"/>
      <c r="V188" s="157"/>
      <c r="W188" s="157"/>
      <c r="X188" s="157"/>
      <c r="Y188" s="157"/>
    </row>
    <row r="189" ht="54.0" customHeight="1">
      <c r="A189" s="258"/>
      <c r="B189" s="191"/>
      <c r="C189" s="215"/>
      <c r="D189" s="215"/>
      <c r="E189" s="207"/>
      <c r="F189" s="215"/>
      <c r="G189" s="233"/>
      <c r="H189" s="233"/>
      <c r="I189" s="259"/>
      <c r="J189" s="220"/>
      <c r="K189" s="260"/>
      <c r="L189" s="207"/>
      <c r="M189" s="157"/>
      <c r="N189" s="157"/>
      <c r="O189" s="157"/>
      <c r="P189" s="157"/>
      <c r="Q189" s="157"/>
      <c r="R189" s="157"/>
      <c r="S189" s="157"/>
      <c r="T189" s="157"/>
      <c r="U189" s="157"/>
      <c r="V189" s="157"/>
      <c r="W189" s="157"/>
      <c r="X189" s="157"/>
      <c r="Y189" s="157"/>
    </row>
    <row r="190" ht="53.25" customHeight="1">
      <c r="A190" s="258"/>
      <c r="B190" s="191"/>
      <c r="C190" s="215"/>
      <c r="D190" s="393"/>
      <c r="E190" s="207"/>
      <c r="F190" s="215"/>
      <c r="G190" s="233"/>
      <c r="H190" s="233"/>
      <c r="I190" s="405"/>
      <c r="J190" s="220"/>
      <c r="K190" s="260"/>
      <c r="L190" s="207"/>
      <c r="M190" s="198"/>
      <c r="N190" s="198"/>
      <c r="O190" s="198"/>
      <c r="P190" s="198"/>
      <c r="Q190" s="198"/>
      <c r="R190" s="198"/>
      <c r="S190" s="198"/>
      <c r="T190" s="198"/>
      <c r="U190" s="198"/>
      <c r="V190" s="198"/>
      <c r="W190" s="198"/>
      <c r="X190" s="198"/>
      <c r="Y190" s="198"/>
    </row>
    <row r="191" ht="63.75" customHeight="1">
      <c r="A191" s="258"/>
      <c r="B191" s="191"/>
      <c r="C191" s="215"/>
      <c r="D191" s="393"/>
      <c r="E191" s="207"/>
      <c r="F191" s="215"/>
      <c r="G191" s="233"/>
      <c r="H191" s="233"/>
      <c r="I191" s="405"/>
      <c r="J191" s="220"/>
      <c r="K191" s="260"/>
      <c r="L191" s="207"/>
      <c r="M191" s="198"/>
      <c r="N191" s="198"/>
      <c r="O191" s="198"/>
      <c r="P191" s="198"/>
      <c r="Q191" s="198"/>
      <c r="R191" s="198"/>
      <c r="S191" s="198"/>
      <c r="T191" s="198"/>
      <c r="U191" s="198"/>
      <c r="V191" s="198"/>
      <c r="W191" s="198"/>
      <c r="X191" s="198"/>
      <c r="Y191" s="198"/>
    </row>
    <row r="192" ht="55.5" customHeight="1">
      <c r="A192" s="258"/>
      <c r="B192" s="191"/>
      <c r="C192" s="215"/>
      <c r="D192" s="396"/>
      <c r="E192" s="207"/>
      <c r="F192" s="215"/>
      <c r="G192" s="233"/>
      <c r="H192" s="233"/>
      <c r="I192" s="215"/>
      <c r="J192" s="220"/>
      <c r="K192" s="260"/>
      <c r="L192" s="207"/>
      <c r="M192" s="157"/>
      <c r="N192" s="157"/>
      <c r="O192" s="157"/>
      <c r="P192" s="157"/>
      <c r="Q192" s="157"/>
      <c r="R192" s="157"/>
      <c r="S192" s="157"/>
      <c r="T192" s="157"/>
      <c r="U192" s="157"/>
      <c r="V192" s="157"/>
      <c r="W192" s="157"/>
      <c r="X192" s="157"/>
      <c r="Y192" s="157"/>
    </row>
    <row r="193" ht="59.25" customHeight="1">
      <c r="A193" s="258"/>
      <c r="B193" s="191"/>
      <c r="C193" s="215"/>
      <c r="D193" s="396"/>
      <c r="E193" s="207"/>
      <c r="F193" s="215"/>
      <c r="G193" s="233"/>
      <c r="H193" s="233"/>
      <c r="I193" s="215"/>
      <c r="J193" s="220"/>
      <c r="K193" s="260"/>
      <c r="L193" s="207"/>
      <c r="M193" s="157"/>
      <c r="N193" s="157"/>
      <c r="O193" s="157"/>
      <c r="P193" s="157"/>
      <c r="Q193" s="157"/>
      <c r="R193" s="157"/>
      <c r="S193" s="157"/>
      <c r="T193" s="157"/>
      <c r="U193" s="157"/>
      <c r="V193" s="157"/>
      <c r="W193" s="157"/>
      <c r="X193" s="157"/>
      <c r="Y193" s="157"/>
    </row>
    <row r="194" ht="55.5" customHeight="1">
      <c r="A194" s="258"/>
      <c r="B194" s="191"/>
      <c r="C194" s="215"/>
      <c r="D194" s="215"/>
      <c r="E194" s="207"/>
      <c r="F194" s="215"/>
      <c r="G194" s="233"/>
      <c r="H194" s="233"/>
      <c r="I194" s="405"/>
      <c r="J194" s="220"/>
      <c r="K194" s="260"/>
      <c r="L194" s="207"/>
      <c r="M194" s="157"/>
      <c r="N194" s="157"/>
      <c r="O194" s="157"/>
      <c r="P194" s="157"/>
      <c r="Q194" s="157"/>
      <c r="R194" s="157"/>
      <c r="S194" s="157"/>
      <c r="T194" s="157"/>
      <c r="U194" s="157"/>
      <c r="V194" s="157"/>
      <c r="W194" s="157"/>
      <c r="X194" s="157"/>
      <c r="Y194" s="157"/>
    </row>
    <row r="195" ht="52.5" customHeight="1">
      <c r="A195" s="258"/>
      <c r="B195" s="191"/>
      <c r="C195" s="215"/>
      <c r="D195" s="396"/>
      <c r="E195" s="213"/>
      <c r="F195" s="215"/>
      <c r="G195" s="233"/>
      <c r="H195" s="233"/>
      <c r="I195" s="259"/>
      <c r="J195" s="220"/>
      <c r="K195" s="260"/>
      <c r="L195" s="207"/>
      <c r="M195" s="157"/>
      <c r="N195" s="157"/>
      <c r="O195" s="157"/>
      <c r="P195" s="157"/>
      <c r="Q195" s="157"/>
      <c r="R195" s="157"/>
      <c r="S195" s="157"/>
      <c r="T195" s="157"/>
      <c r="U195" s="157"/>
      <c r="V195" s="157"/>
      <c r="W195" s="157"/>
      <c r="X195" s="157"/>
      <c r="Y195" s="157"/>
    </row>
    <row r="196" ht="54.75" customHeight="1">
      <c r="A196" s="258"/>
      <c r="B196" s="191"/>
      <c r="C196" s="215"/>
      <c r="D196" s="215"/>
      <c r="E196" s="213"/>
      <c r="F196" s="215"/>
      <c r="G196" s="233"/>
      <c r="H196" s="233"/>
      <c r="I196" s="405"/>
      <c r="J196" s="220"/>
      <c r="K196" s="260"/>
      <c r="L196" s="207"/>
      <c r="M196" s="157"/>
      <c r="N196" s="157"/>
      <c r="O196" s="157"/>
      <c r="P196" s="157"/>
      <c r="Q196" s="157"/>
      <c r="R196" s="157"/>
      <c r="S196" s="157"/>
      <c r="T196" s="157"/>
      <c r="U196" s="157"/>
      <c r="V196" s="157"/>
      <c r="W196" s="157"/>
      <c r="X196" s="157"/>
      <c r="Y196" s="157"/>
    </row>
    <row r="197" ht="56.25" customHeight="1">
      <c r="A197" s="258"/>
      <c r="B197" s="191"/>
      <c r="C197" s="215"/>
      <c r="D197" s="396"/>
      <c r="E197" s="218"/>
      <c r="F197" s="215"/>
      <c r="G197" s="233"/>
      <c r="H197" s="233"/>
      <c r="I197" s="405"/>
      <c r="J197" s="220"/>
      <c r="K197" s="260"/>
      <c r="L197" s="207"/>
      <c r="M197" s="157"/>
      <c r="N197" s="157"/>
      <c r="O197" s="157"/>
      <c r="P197" s="157"/>
      <c r="Q197" s="157"/>
      <c r="R197" s="157"/>
      <c r="S197" s="157"/>
      <c r="T197" s="157"/>
      <c r="U197" s="157"/>
      <c r="V197" s="157"/>
      <c r="W197" s="157"/>
      <c r="X197" s="157"/>
      <c r="Y197" s="157"/>
    </row>
    <row r="198" ht="53.25" customHeight="1">
      <c r="A198" s="258"/>
      <c r="B198" s="191"/>
      <c r="C198" s="215"/>
      <c r="D198" s="215"/>
      <c r="E198" s="213"/>
      <c r="F198" s="215"/>
      <c r="G198" s="233"/>
      <c r="H198" s="233"/>
      <c r="I198" s="405"/>
      <c r="J198" s="220"/>
      <c r="K198" s="260"/>
      <c r="L198" s="207"/>
      <c r="M198" s="157"/>
      <c r="N198" s="157"/>
      <c r="O198" s="157"/>
      <c r="P198" s="157"/>
      <c r="Q198" s="157"/>
      <c r="R198" s="157"/>
      <c r="S198" s="157"/>
      <c r="T198" s="157"/>
      <c r="U198" s="157"/>
      <c r="V198" s="157"/>
      <c r="W198" s="157"/>
      <c r="X198" s="157"/>
      <c r="Y198" s="157"/>
    </row>
    <row r="199" ht="48.0" customHeight="1">
      <c r="A199" s="258"/>
      <c r="B199" s="191"/>
      <c r="C199" s="215"/>
      <c r="D199" s="396"/>
      <c r="E199" s="213"/>
      <c r="F199" s="215"/>
      <c r="G199" s="233"/>
      <c r="H199" s="233"/>
      <c r="I199" s="259"/>
      <c r="J199" s="220"/>
      <c r="K199" s="260"/>
      <c r="L199" s="207"/>
      <c r="M199" s="157"/>
      <c r="N199" s="157"/>
      <c r="O199" s="157"/>
      <c r="P199" s="157"/>
      <c r="Q199" s="157"/>
      <c r="R199" s="157"/>
      <c r="S199" s="157"/>
      <c r="T199" s="157"/>
      <c r="U199" s="157"/>
      <c r="V199" s="157"/>
      <c r="W199" s="157"/>
      <c r="X199" s="157"/>
      <c r="Y199" s="157"/>
    </row>
    <row r="200" ht="52.5" customHeight="1">
      <c r="A200" s="258"/>
      <c r="B200" s="191"/>
      <c r="C200" s="215"/>
      <c r="D200" s="396"/>
      <c r="E200" s="207"/>
      <c r="F200" s="215"/>
      <c r="G200" s="233"/>
      <c r="H200" s="220"/>
      <c r="I200" s="215"/>
      <c r="J200" s="220"/>
      <c r="K200" s="260"/>
      <c r="L200" s="207"/>
      <c r="M200" s="157"/>
      <c r="N200" s="157"/>
      <c r="O200" s="157"/>
      <c r="P200" s="157"/>
      <c r="Q200" s="157"/>
      <c r="R200" s="157"/>
      <c r="S200" s="157"/>
      <c r="T200" s="157"/>
      <c r="U200" s="157"/>
      <c r="V200" s="157"/>
      <c r="W200" s="157"/>
      <c r="X200" s="157"/>
      <c r="Y200" s="157"/>
    </row>
    <row r="201" ht="50.25" customHeight="1">
      <c r="A201" s="258"/>
      <c r="B201" s="191"/>
      <c r="C201" s="215"/>
      <c r="D201" s="215"/>
      <c r="E201" s="218"/>
      <c r="F201" s="215"/>
      <c r="G201" s="233"/>
      <c r="H201" s="233"/>
      <c r="I201" s="405"/>
      <c r="J201" s="220"/>
      <c r="K201" s="260"/>
      <c r="L201" s="207"/>
      <c r="M201" s="157"/>
      <c r="N201" s="157"/>
      <c r="O201" s="157"/>
      <c r="P201" s="157"/>
      <c r="Q201" s="157"/>
      <c r="R201" s="157"/>
      <c r="S201" s="157"/>
      <c r="T201" s="157"/>
      <c r="U201" s="157"/>
      <c r="V201" s="157"/>
      <c r="W201" s="157"/>
      <c r="X201" s="157"/>
      <c r="Y201" s="157"/>
    </row>
    <row r="202" ht="57.0" customHeight="1">
      <c r="A202" s="258"/>
      <c r="B202" s="191"/>
      <c r="C202" s="215"/>
      <c r="D202" s="215"/>
      <c r="E202" s="207"/>
      <c r="F202" s="215"/>
      <c r="G202" s="233"/>
      <c r="H202" s="220"/>
      <c r="I202" s="215"/>
      <c r="J202" s="220"/>
      <c r="K202" s="260"/>
      <c r="L202" s="207"/>
      <c r="M202" s="157"/>
      <c r="N202" s="157"/>
      <c r="O202" s="157"/>
      <c r="P202" s="157"/>
      <c r="Q202" s="157"/>
      <c r="R202" s="157"/>
      <c r="S202" s="157"/>
      <c r="T202" s="157"/>
      <c r="U202" s="157"/>
      <c r="V202" s="157"/>
      <c r="W202" s="157"/>
      <c r="X202" s="157"/>
      <c r="Y202" s="157"/>
    </row>
    <row r="203" ht="52.5" customHeight="1">
      <c r="A203" s="258"/>
      <c r="B203" s="191"/>
      <c r="C203" s="215"/>
      <c r="D203" s="215"/>
      <c r="E203" s="207"/>
      <c r="F203" s="215"/>
      <c r="G203" s="233"/>
      <c r="H203" s="220"/>
      <c r="I203" s="405"/>
      <c r="J203" s="220"/>
      <c r="K203" s="260"/>
      <c r="L203" s="207"/>
      <c r="M203" s="157"/>
      <c r="N203" s="157"/>
      <c r="O203" s="157"/>
      <c r="P203" s="157"/>
      <c r="Q203" s="157"/>
      <c r="R203" s="157"/>
      <c r="S203" s="157"/>
      <c r="T203" s="157"/>
      <c r="U203" s="157"/>
      <c r="V203" s="157"/>
      <c r="W203" s="157"/>
      <c r="X203" s="157"/>
      <c r="Y203" s="157"/>
    </row>
    <row r="204" ht="53.25" customHeight="1">
      <c r="A204" s="258"/>
      <c r="B204" s="191"/>
      <c r="C204" s="215"/>
      <c r="D204" s="396"/>
      <c r="E204" s="207"/>
      <c r="F204" s="215"/>
      <c r="G204" s="233"/>
      <c r="H204" s="220"/>
      <c r="I204" s="405"/>
      <c r="J204" s="220"/>
      <c r="K204" s="260"/>
      <c r="L204" s="207"/>
      <c r="M204" s="157"/>
      <c r="N204" s="157"/>
      <c r="O204" s="157"/>
      <c r="P204" s="157"/>
      <c r="Q204" s="157"/>
      <c r="R204" s="157"/>
      <c r="S204" s="157"/>
      <c r="T204" s="157"/>
      <c r="U204" s="157"/>
      <c r="V204" s="157"/>
      <c r="W204" s="157"/>
      <c r="X204" s="157"/>
      <c r="Y204" s="157"/>
    </row>
    <row r="205" ht="55.5" customHeight="1">
      <c r="A205" s="258"/>
      <c r="B205" s="191"/>
      <c r="C205" s="215"/>
      <c r="D205" s="215"/>
      <c r="E205" s="218"/>
      <c r="F205" s="215"/>
      <c r="G205" s="233"/>
      <c r="H205" s="194"/>
      <c r="I205" s="405"/>
      <c r="J205" s="220"/>
      <c r="K205" s="260"/>
      <c r="L205" s="207"/>
      <c r="M205" s="157"/>
      <c r="N205" s="157"/>
      <c r="O205" s="157"/>
      <c r="P205" s="157"/>
      <c r="Q205" s="157"/>
      <c r="R205" s="157"/>
      <c r="S205" s="157"/>
      <c r="T205" s="157"/>
      <c r="U205" s="157"/>
      <c r="V205" s="157"/>
      <c r="W205" s="157"/>
      <c r="X205" s="157"/>
      <c r="Y205" s="157"/>
    </row>
    <row r="206" ht="59.25" customHeight="1">
      <c r="A206" s="258"/>
      <c r="B206" s="191"/>
      <c r="C206" s="215"/>
      <c r="D206" s="215"/>
      <c r="E206" s="213"/>
      <c r="F206" s="215"/>
      <c r="G206" s="233"/>
      <c r="H206" s="220"/>
      <c r="I206" s="193"/>
      <c r="J206" s="220"/>
      <c r="K206" s="260"/>
      <c r="L206" s="207"/>
      <c r="M206" s="157"/>
      <c r="N206" s="157"/>
      <c r="O206" s="157"/>
      <c r="P206" s="157"/>
      <c r="Q206" s="157"/>
      <c r="R206" s="157"/>
      <c r="S206" s="157"/>
      <c r="T206" s="157"/>
      <c r="U206" s="157"/>
      <c r="V206" s="157"/>
      <c r="W206" s="157"/>
      <c r="X206" s="157"/>
      <c r="Y206" s="157"/>
    </row>
    <row r="207" ht="45.0" customHeight="1">
      <c r="A207" s="258"/>
      <c r="B207" s="191"/>
      <c r="C207" s="215"/>
      <c r="D207" s="215"/>
      <c r="E207" s="213"/>
      <c r="F207" s="215"/>
      <c r="G207" s="233"/>
      <c r="H207" s="194"/>
      <c r="I207" s="194"/>
      <c r="J207" s="220"/>
      <c r="K207" s="260"/>
      <c r="L207" s="207"/>
    </row>
    <row r="208" ht="56.25" customHeight="1">
      <c r="A208" s="258"/>
      <c r="B208" s="191"/>
      <c r="C208" s="215"/>
      <c r="D208" s="396"/>
      <c r="E208" s="213"/>
      <c r="F208" s="215"/>
      <c r="G208" s="233"/>
      <c r="H208" s="220"/>
      <c r="I208" s="215"/>
      <c r="J208" s="220"/>
      <c r="K208" s="260"/>
      <c r="L208" s="207"/>
      <c r="N208" s="420"/>
    </row>
    <row r="209" ht="12.75" customHeight="1">
      <c r="A209" s="385"/>
      <c r="B209" s="385"/>
      <c r="C209" s="385"/>
      <c r="D209" s="385"/>
      <c r="E209" s="385"/>
      <c r="F209" s="385"/>
      <c r="G209" s="385"/>
      <c r="H209" s="385"/>
      <c r="I209" s="385"/>
      <c r="J209" s="385"/>
      <c r="K209" s="385"/>
      <c r="L209" s="385"/>
    </row>
    <row r="210" ht="12.75" customHeight="1">
      <c r="A210" s="385"/>
      <c r="B210" s="385"/>
      <c r="C210" s="385"/>
      <c r="D210" s="385"/>
      <c r="E210" s="385"/>
      <c r="F210" s="385"/>
      <c r="G210" s="385"/>
      <c r="H210" s="385"/>
      <c r="I210" s="385"/>
      <c r="J210" s="385"/>
      <c r="K210" s="385"/>
      <c r="L210" s="385"/>
    </row>
    <row r="211" ht="12.75" customHeight="1">
      <c r="A211" s="385"/>
      <c r="B211" s="385"/>
      <c r="C211" s="385"/>
      <c r="D211" s="385"/>
      <c r="E211" s="385"/>
      <c r="F211" s="385"/>
      <c r="G211" s="385"/>
      <c r="H211" s="385"/>
      <c r="I211" s="385"/>
      <c r="J211" s="385"/>
      <c r="K211" s="385"/>
      <c r="L211" s="385"/>
    </row>
    <row r="212" ht="12.75" customHeight="1">
      <c r="A212" s="385"/>
      <c r="B212" s="385"/>
      <c r="C212" s="385"/>
      <c r="D212" s="385"/>
      <c r="E212" s="385"/>
      <c r="F212" s="385"/>
      <c r="G212" s="385"/>
      <c r="H212" s="385"/>
      <c r="I212" s="385"/>
      <c r="J212" s="385"/>
      <c r="K212" s="385"/>
      <c r="L212" s="385"/>
    </row>
    <row r="213" ht="12.75" customHeight="1">
      <c r="A213" s="385"/>
      <c r="B213" s="385"/>
      <c r="C213" s="385"/>
      <c r="D213" s="385"/>
      <c r="E213" s="385"/>
      <c r="F213" s="385"/>
      <c r="G213" s="385"/>
      <c r="H213" s="385"/>
      <c r="I213" s="385"/>
      <c r="J213" s="385"/>
      <c r="K213" s="385"/>
      <c r="L213" s="385"/>
    </row>
    <row r="214" ht="12.75" customHeight="1">
      <c r="A214" s="385"/>
      <c r="B214" s="385"/>
      <c r="C214" s="385"/>
      <c r="D214" s="385"/>
      <c r="E214" s="385"/>
      <c r="F214" s="385"/>
      <c r="G214" s="385"/>
      <c r="H214" s="385"/>
      <c r="I214" s="385"/>
      <c r="J214" s="385"/>
      <c r="K214" s="385"/>
      <c r="L214" s="385"/>
    </row>
    <row r="215" ht="12.75" customHeight="1">
      <c r="A215" s="385"/>
      <c r="B215" s="385"/>
      <c r="C215" s="385"/>
      <c r="D215" s="385"/>
      <c r="E215" s="385"/>
      <c r="F215" s="385"/>
      <c r="G215" s="385"/>
      <c r="H215" s="385"/>
      <c r="I215" s="385"/>
      <c r="J215" s="385"/>
      <c r="K215" s="385"/>
      <c r="L215" s="385"/>
    </row>
    <row r="216" ht="12.75" customHeight="1">
      <c r="A216" s="385"/>
      <c r="B216" s="385"/>
      <c r="C216" s="385"/>
      <c r="D216" s="385"/>
      <c r="E216" s="385"/>
      <c r="F216" s="385"/>
      <c r="G216" s="385"/>
      <c r="H216" s="385"/>
      <c r="I216" s="385"/>
      <c r="J216" s="385"/>
      <c r="K216" s="385"/>
      <c r="L216" s="385"/>
    </row>
    <row r="217" ht="12.75" customHeight="1">
      <c r="A217" s="385"/>
      <c r="B217" s="385"/>
      <c r="C217" s="385"/>
      <c r="D217" s="385"/>
      <c r="E217" s="385"/>
      <c r="F217" s="385"/>
      <c r="G217" s="385"/>
      <c r="H217" s="385"/>
      <c r="I217" s="385"/>
      <c r="J217" s="385"/>
      <c r="K217" s="385"/>
      <c r="L217" s="385"/>
    </row>
    <row r="218" ht="12.75" customHeight="1">
      <c r="I218" s="411"/>
    </row>
    <row r="219" ht="12.75" customHeight="1">
      <c r="I219" s="411"/>
    </row>
    <row r="220" ht="12.75" customHeight="1">
      <c r="I220" s="411"/>
    </row>
    <row r="221" ht="12.75" customHeight="1">
      <c r="I221" s="411"/>
    </row>
    <row r="222" ht="12.75" customHeight="1">
      <c r="I222" s="411"/>
    </row>
    <row r="223" ht="12.75" customHeight="1">
      <c r="I223" s="411"/>
    </row>
    <row r="224" ht="12.75" customHeight="1">
      <c r="I224" s="411"/>
    </row>
    <row r="225" ht="12.75" customHeight="1">
      <c r="I225" s="411"/>
    </row>
    <row r="226" ht="12.75" customHeight="1">
      <c r="I226" s="411"/>
    </row>
    <row r="227" ht="12.75" customHeight="1">
      <c r="I227" s="411"/>
    </row>
    <row r="228" ht="12.75" customHeight="1">
      <c r="I228" s="411"/>
    </row>
    <row r="229" ht="12.75" customHeight="1">
      <c r="I229" s="411"/>
    </row>
    <row r="230" ht="12.75" customHeight="1">
      <c r="I230" s="411"/>
    </row>
    <row r="231" ht="12.75" customHeight="1">
      <c r="I231" s="411"/>
    </row>
    <row r="232" ht="12.75" customHeight="1">
      <c r="I232" s="411"/>
    </row>
    <row r="233" ht="12.75" customHeight="1">
      <c r="I233" s="411"/>
    </row>
    <row r="234" ht="12.75" customHeight="1">
      <c r="I234" s="411"/>
    </row>
    <row r="235" ht="12.75" customHeight="1">
      <c r="I235" s="411"/>
    </row>
    <row r="236" ht="12.75" customHeight="1">
      <c r="I236" s="411"/>
    </row>
    <row r="237" ht="12.75" customHeight="1">
      <c r="I237" s="411"/>
    </row>
    <row r="238" ht="12.75" customHeight="1">
      <c r="I238" s="411"/>
    </row>
    <row r="239" ht="12.75" customHeight="1">
      <c r="I239" s="411"/>
    </row>
    <row r="240" ht="12.75" customHeight="1">
      <c r="I240" s="411"/>
    </row>
    <row r="241" ht="12.75" customHeight="1">
      <c r="I241" s="411"/>
    </row>
    <row r="242" ht="12.75" customHeight="1">
      <c r="I242" s="411"/>
    </row>
    <row r="243" ht="12.75" customHeight="1">
      <c r="I243" s="411"/>
    </row>
    <row r="244" ht="12.75" customHeight="1">
      <c r="I244" s="411"/>
    </row>
    <row r="245" ht="12.75" customHeight="1">
      <c r="I245" s="411"/>
    </row>
    <row r="246" ht="12.75" customHeight="1">
      <c r="I246" s="411"/>
    </row>
    <row r="247" ht="12.75" customHeight="1">
      <c r="I247" s="411"/>
    </row>
    <row r="248" ht="12.75" customHeight="1">
      <c r="I248" s="411"/>
    </row>
    <row r="249" ht="12.75" customHeight="1">
      <c r="I249" s="411"/>
    </row>
    <row r="250" ht="12.75" customHeight="1">
      <c r="I250" s="411"/>
    </row>
    <row r="251" ht="12.75" customHeight="1">
      <c r="I251" s="411"/>
    </row>
    <row r="252" ht="12.75" customHeight="1">
      <c r="I252" s="411"/>
    </row>
    <row r="253" ht="12.75" customHeight="1">
      <c r="I253" s="411"/>
    </row>
    <row r="254" ht="12.75" customHeight="1">
      <c r="I254" s="411"/>
    </row>
    <row r="255" ht="12.75" customHeight="1">
      <c r="I255" s="411"/>
    </row>
    <row r="256" ht="12.75" customHeight="1">
      <c r="I256" s="411"/>
    </row>
    <row r="257" ht="12.75" customHeight="1">
      <c r="I257" s="411"/>
    </row>
    <row r="258" ht="12.75" customHeight="1">
      <c r="I258" s="411"/>
    </row>
    <row r="259" ht="12.75" customHeight="1">
      <c r="I259" s="411"/>
    </row>
    <row r="260" ht="12.75" customHeight="1">
      <c r="I260" s="411"/>
    </row>
    <row r="261" ht="12.75" customHeight="1">
      <c r="I261" s="411"/>
    </row>
    <row r="262" ht="12.75" customHeight="1">
      <c r="I262" s="411"/>
    </row>
    <row r="263" ht="12.75" customHeight="1">
      <c r="I263" s="411"/>
    </row>
    <row r="264" ht="12.75" customHeight="1">
      <c r="I264" s="411"/>
    </row>
    <row r="265" ht="12.75" customHeight="1">
      <c r="I265" s="411"/>
    </row>
    <row r="266" ht="12.75" customHeight="1">
      <c r="I266" s="411"/>
    </row>
    <row r="267" ht="12.75" customHeight="1">
      <c r="I267" s="411"/>
    </row>
    <row r="268" ht="12.75" customHeight="1">
      <c r="I268" s="411"/>
    </row>
    <row r="269" ht="12.75" customHeight="1">
      <c r="I269" s="411"/>
    </row>
    <row r="270" ht="12.75" customHeight="1">
      <c r="I270" s="411"/>
    </row>
    <row r="271" ht="12.75" customHeight="1">
      <c r="I271" s="411"/>
    </row>
    <row r="272" ht="12.75" customHeight="1">
      <c r="I272" s="411"/>
    </row>
    <row r="273" ht="12.75" customHeight="1">
      <c r="I273" s="411"/>
    </row>
    <row r="274" ht="12.75" customHeight="1">
      <c r="I274" s="411"/>
    </row>
    <row r="275" ht="12.75" customHeight="1">
      <c r="I275" s="411"/>
    </row>
    <row r="276" ht="12.75" customHeight="1">
      <c r="I276" s="411"/>
    </row>
    <row r="277" ht="12.75" customHeight="1">
      <c r="I277" s="411"/>
    </row>
    <row r="278" ht="12.75" customHeight="1">
      <c r="I278" s="411"/>
    </row>
    <row r="279" ht="12.75" customHeight="1">
      <c r="I279" s="411"/>
    </row>
    <row r="280" ht="12.75" customHeight="1">
      <c r="I280" s="411"/>
    </row>
    <row r="281" ht="12.75" customHeight="1">
      <c r="I281" s="411"/>
    </row>
    <row r="282" ht="12.75" customHeight="1">
      <c r="I282" s="411"/>
    </row>
    <row r="283" ht="12.75" customHeight="1">
      <c r="I283" s="411"/>
    </row>
    <row r="284" ht="12.75" customHeight="1">
      <c r="I284" s="411"/>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L$208">
    <sortState ref="A2:L208">
      <sortCondition descending="1" ref="F2:F208"/>
      <sortCondition descending="1" ref="G2:G208"/>
    </sortState>
  </autoFilter>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L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s>
  <printOptions/>
  <pageMargins bottom="0.75" footer="0.0" header="0.0" left="0.7" right="0.7" top="0.75"/>
  <pageSetup orientation="landscape"/>
  <drawing r:id="rId8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2.86"/>
    <col customWidth="1" min="2" max="2" width="10.14"/>
    <col customWidth="1" min="3" max="3" width="10.86"/>
    <col customWidth="1" min="4" max="4" width="15.0"/>
    <col customWidth="1" min="5" max="5" width="45.0"/>
    <col customWidth="1" min="6" max="6" width="9.57"/>
    <col customWidth="1" min="7" max="7" width="13.43"/>
    <col customWidth="1" min="8" max="8" width="13.71"/>
    <col customWidth="1" min="9" max="9" width="11.29"/>
    <col customWidth="1" min="10" max="10" width="11.14"/>
    <col customWidth="1" min="11" max="11" width="34.86"/>
    <col customWidth="1" min="14" max="14" width="17.43"/>
    <col customWidth="1" min="16" max="16" width="31.14"/>
  </cols>
  <sheetData>
    <row r="1" ht="12.75" customHeight="1">
      <c r="A1" s="154" t="s">
        <v>1023</v>
      </c>
      <c r="B1" s="1"/>
      <c r="C1" s="2"/>
      <c r="D1" s="2"/>
      <c r="E1" s="3" t="s">
        <v>8415</v>
      </c>
      <c r="F1" s="4" t="s">
        <v>492</v>
      </c>
      <c r="G1" s="4"/>
      <c r="H1" s="4"/>
      <c r="I1" s="4"/>
      <c r="J1" s="454"/>
      <c r="K1" s="53"/>
      <c r="L1" s="54"/>
      <c r="M1" s="54"/>
      <c r="N1" s="55"/>
    </row>
    <row r="2" ht="12.75" customHeight="1">
      <c r="A2" s="1"/>
      <c r="B2" s="6" t="s">
        <v>2</v>
      </c>
      <c r="C2" s="1"/>
      <c r="D2" s="455" t="s">
        <v>1023</v>
      </c>
      <c r="E2" s="7" t="s">
        <v>3</v>
      </c>
      <c r="F2" s="8" t="s">
        <v>4</v>
      </c>
      <c r="G2" s="118" t="s">
        <v>5</v>
      </c>
      <c r="H2" s="118" t="s">
        <v>8416</v>
      </c>
      <c r="I2" s="8" t="s">
        <v>6</v>
      </c>
      <c r="J2" s="456" t="s">
        <v>1672</v>
      </c>
      <c r="K2" s="57"/>
      <c r="L2" s="54"/>
      <c r="M2" s="54"/>
      <c r="N2" s="55"/>
    </row>
    <row r="3" ht="12.75" customHeight="1">
      <c r="A3" s="10" t="s">
        <v>7</v>
      </c>
      <c r="B3" s="10" t="s">
        <v>8</v>
      </c>
      <c r="C3" s="10" t="s">
        <v>9</v>
      </c>
      <c r="D3" s="10" t="s">
        <v>10</v>
      </c>
      <c r="E3" s="10" t="s">
        <v>11</v>
      </c>
      <c r="F3" s="11" t="s">
        <v>12</v>
      </c>
      <c r="G3" s="11" t="s">
        <v>12</v>
      </c>
      <c r="H3" s="10" t="s">
        <v>12</v>
      </c>
      <c r="I3" s="11" t="s">
        <v>12</v>
      </c>
      <c r="J3" s="457"/>
      <c r="K3" s="10" t="s">
        <v>13</v>
      </c>
      <c r="L3" s="10" t="s">
        <v>493</v>
      </c>
      <c r="M3" s="58" t="s">
        <v>1025</v>
      </c>
      <c r="N3" s="59" t="s">
        <v>1026</v>
      </c>
    </row>
    <row r="4" ht="29.25" customHeight="1">
      <c r="A4" s="45">
        <v>30907.0</v>
      </c>
      <c r="B4" s="45" t="s">
        <v>715</v>
      </c>
      <c r="C4" s="42">
        <v>567.0</v>
      </c>
      <c r="D4" s="123" t="s">
        <v>8417</v>
      </c>
      <c r="E4" s="458" t="s">
        <v>8418</v>
      </c>
      <c r="F4" s="459">
        <v>42739.0</v>
      </c>
      <c r="G4" s="14">
        <v>42740.0</v>
      </c>
      <c r="H4" s="16">
        <v>42745.0</v>
      </c>
      <c r="I4" s="460" t="s">
        <v>8419</v>
      </c>
      <c r="J4" s="27"/>
      <c r="K4" s="461" t="s">
        <v>8420</v>
      </c>
      <c r="L4" s="123"/>
      <c r="M4" s="42"/>
      <c r="N4" s="462"/>
      <c r="O4" s="463"/>
    </row>
    <row r="5" ht="29.25" customHeight="1">
      <c r="A5" s="45" t="s">
        <v>8421</v>
      </c>
      <c r="B5" s="45" t="s">
        <v>21</v>
      </c>
      <c r="C5" s="42">
        <v>479.0</v>
      </c>
      <c r="D5" s="123" t="s">
        <v>8422</v>
      </c>
      <c r="E5" s="464" t="s">
        <v>8423</v>
      </c>
      <c r="F5" s="459">
        <v>42729.0</v>
      </c>
      <c r="G5" s="14">
        <v>42726.0</v>
      </c>
      <c r="H5" s="6" t="s">
        <v>1747</v>
      </c>
      <c r="I5" s="465">
        <v>42734.0</v>
      </c>
      <c r="J5" s="466" t="s">
        <v>8424</v>
      </c>
      <c r="K5" s="461" t="s">
        <v>8425</v>
      </c>
      <c r="L5" s="123" t="s">
        <v>497</v>
      </c>
      <c r="M5" s="42" t="s">
        <v>1048</v>
      </c>
      <c r="N5" s="462">
        <v>118811.17</v>
      </c>
      <c r="O5" s="463"/>
    </row>
    <row r="6" ht="29.25" customHeight="1">
      <c r="A6" s="45">
        <v>30881.0</v>
      </c>
      <c r="B6" s="45" t="s">
        <v>25</v>
      </c>
      <c r="C6" s="42">
        <v>944.0</v>
      </c>
      <c r="D6" s="137" t="s">
        <v>8426</v>
      </c>
      <c r="E6" s="467" t="s">
        <v>8427</v>
      </c>
      <c r="F6" s="459">
        <v>42726.0</v>
      </c>
      <c r="G6" s="14">
        <v>42723.0</v>
      </c>
      <c r="H6" s="6" t="s">
        <v>1747</v>
      </c>
      <c r="I6" s="465">
        <v>42732.0</v>
      </c>
      <c r="J6" s="468" t="s">
        <v>2535</v>
      </c>
      <c r="K6" s="461" t="s">
        <v>8428</v>
      </c>
      <c r="L6" s="126"/>
      <c r="M6" s="42"/>
      <c r="N6" s="462"/>
      <c r="O6" s="463"/>
    </row>
    <row r="7" ht="29.25" customHeight="1">
      <c r="A7" s="45">
        <v>30874.0</v>
      </c>
      <c r="B7" s="45" t="s">
        <v>25</v>
      </c>
      <c r="C7" s="42">
        <v>1182.0</v>
      </c>
      <c r="D7" s="123" t="s">
        <v>8429</v>
      </c>
      <c r="E7" s="464" t="s">
        <v>8430</v>
      </c>
      <c r="F7" s="459">
        <v>42725.0</v>
      </c>
      <c r="G7" s="14">
        <v>42723.0</v>
      </c>
      <c r="H7" s="6" t="s">
        <v>1747</v>
      </c>
      <c r="I7" s="469">
        <v>42734.0</v>
      </c>
      <c r="J7" s="468" t="s">
        <v>2535</v>
      </c>
      <c r="K7" s="461" t="s">
        <v>8431</v>
      </c>
      <c r="L7" s="123"/>
      <c r="M7" s="42"/>
      <c r="N7" s="462"/>
      <c r="O7" s="463"/>
    </row>
    <row r="8" ht="29.25" customHeight="1">
      <c r="A8" s="45">
        <v>30847.0</v>
      </c>
      <c r="B8" s="45" t="s">
        <v>14</v>
      </c>
      <c r="C8" s="42">
        <v>944.0</v>
      </c>
      <c r="D8" s="123" t="s">
        <v>8432</v>
      </c>
      <c r="E8" s="464" t="s">
        <v>8427</v>
      </c>
      <c r="F8" s="459">
        <v>42725.0</v>
      </c>
      <c r="G8" s="14">
        <v>42732.0</v>
      </c>
      <c r="H8" s="6" t="s">
        <v>1747</v>
      </c>
      <c r="I8" s="470">
        <v>42372.0</v>
      </c>
      <c r="J8" s="468" t="s">
        <v>2535</v>
      </c>
      <c r="K8" s="461" t="s">
        <v>8433</v>
      </c>
      <c r="L8" s="126"/>
      <c r="M8" s="42"/>
      <c r="N8" s="462"/>
      <c r="O8" s="463"/>
    </row>
    <row r="9" ht="29.25" customHeight="1">
      <c r="A9" s="45">
        <v>30646.0</v>
      </c>
      <c r="B9" s="45" t="s">
        <v>14</v>
      </c>
      <c r="C9" s="42">
        <v>900.0</v>
      </c>
      <c r="D9" s="123" t="s">
        <v>8434</v>
      </c>
      <c r="E9" s="464" t="s">
        <v>8435</v>
      </c>
      <c r="F9" s="459">
        <v>42724.0</v>
      </c>
      <c r="G9" s="14">
        <v>42717.0</v>
      </c>
      <c r="H9" s="6" t="s">
        <v>1747</v>
      </c>
      <c r="I9" s="465">
        <v>42720.0</v>
      </c>
      <c r="J9" s="468" t="s">
        <v>2535</v>
      </c>
      <c r="K9" s="461" t="s">
        <v>8436</v>
      </c>
      <c r="L9" s="123"/>
      <c r="M9" s="42"/>
      <c r="N9" s="462"/>
      <c r="O9" s="463"/>
    </row>
    <row r="10" ht="29.25" customHeight="1">
      <c r="A10" s="45">
        <v>30880.0</v>
      </c>
      <c r="B10" s="45" t="s">
        <v>14</v>
      </c>
      <c r="C10" s="42">
        <v>1300.0</v>
      </c>
      <c r="D10" s="137" t="s">
        <v>8437</v>
      </c>
      <c r="E10" s="464" t="s">
        <v>8430</v>
      </c>
      <c r="F10" s="459">
        <v>42724.0</v>
      </c>
      <c r="G10" s="14">
        <v>42726.0</v>
      </c>
      <c r="H10" s="6" t="s">
        <v>1747</v>
      </c>
      <c r="I10" s="465">
        <v>42731.0</v>
      </c>
      <c r="J10" s="468" t="s">
        <v>2535</v>
      </c>
      <c r="K10" s="461" t="s">
        <v>8438</v>
      </c>
      <c r="L10" s="126"/>
      <c r="M10" s="42"/>
      <c r="N10" s="462"/>
      <c r="O10" s="463"/>
    </row>
    <row r="11" ht="29.25" customHeight="1">
      <c r="A11" s="45">
        <v>30782.0</v>
      </c>
      <c r="B11" s="45" t="s">
        <v>14</v>
      </c>
      <c r="C11" s="42">
        <v>1130.0</v>
      </c>
      <c r="D11" s="471" t="s">
        <v>8439</v>
      </c>
      <c r="E11" s="472" t="s">
        <v>8440</v>
      </c>
      <c r="F11" s="459">
        <v>42723.0</v>
      </c>
      <c r="G11" s="14">
        <v>42719.0</v>
      </c>
      <c r="H11" s="6" t="s">
        <v>1747</v>
      </c>
      <c r="I11" s="465">
        <v>42727.0</v>
      </c>
      <c r="J11" s="468" t="s">
        <v>2535</v>
      </c>
      <c r="K11" s="461" t="s">
        <v>8441</v>
      </c>
      <c r="L11" s="42" t="s">
        <v>497</v>
      </c>
      <c r="M11" s="42" t="s">
        <v>3868</v>
      </c>
      <c r="N11" s="61">
        <v>19976.4</v>
      </c>
      <c r="O11" s="463"/>
    </row>
    <row r="12" ht="29.25" customHeight="1">
      <c r="A12" s="45">
        <v>30836.0</v>
      </c>
      <c r="B12" s="45" t="s">
        <v>14</v>
      </c>
      <c r="C12" s="42">
        <v>930.0</v>
      </c>
      <c r="D12" s="471" t="s">
        <v>8442</v>
      </c>
      <c r="E12" s="473" t="s">
        <v>8443</v>
      </c>
      <c r="F12" s="459">
        <v>42717.0</v>
      </c>
      <c r="G12" s="14">
        <v>42717.0</v>
      </c>
      <c r="H12" s="6" t="s">
        <v>1747</v>
      </c>
      <c r="I12" s="465">
        <v>42723.0</v>
      </c>
      <c r="J12" s="468" t="s">
        <v>2535</v>
      </c>
      <c r="K12" s="461" t="s">
        <v>8444</v>
      </c>
      <c r="L12" s="126"/>
      <c r="M12" s="42"/>
      <c r="N12" s="462"/>
      <c r="O12" s="463"/>
    </row>
    <row r="13" ht="29.25" customHeight="1">
      <c r="A13" s="45">
        <v>30832.0</v>
      </c>
      <c r="B13" s="45" t="s">
        <v>1676</v>
      </c>
      <c r="C13" s="42">
        <v>1172.0</v>
      </c>
      <c r="D13" s="471" t="s">
        <v>8445</v>
      </c>
      <c r="E13" s="473" t="s">
        <v>8446</v>
      </c>
      <c r="F13" s="459">
        <v>42713.0</v>
      </c>
      <c r="G13" s="14">
        <v>42706.0</v>
      </c>
      <c r="H13" s="6" t="s">
        <v>1747</v>
      </c>
      <c r="I13" s="474">
        <v>42716.0</v>
      </c>
      <c r="J13" s="466" t="s">
        <v>8424</v>
      </c>
      <c r="K13" s="461" t="s">
        <v>8447</v>
      </c>
      <c r="L13" s="123"/>
      <c r="M13" s="42"/>
      <c r="N13" s="462"/>
      <c r="O13" s="463"/>
    </row>
    <row r="14" ht="29.25" customHeight="1">
      <c r="A14" s="45">
        <v>30823.0</v>
      </c>
      <c r="B14" s="45" t="s">
        <v>1676</v>
      </c>
      <c r="C14" s="42">
        <v>425.0</v>
      </c>
      <c r="D14" s="471" t="s">
        <v>8448</v>
      </c>
      <c r="E14" s="473" t="s">
        <v>8449</v>
      </c>
      <c r="F14" s="459">
        <v>42707.0</v>
      </c>
      <c r="G14" s="14">
        <v>42703.0</v>
      </c>
      <c r="H14" s="6" t="s">
        <v>1747</v>
      </c>
      <c r="I14" s="475">
        <v>42712.0</v>
      </c>
      <c r="J14" s="468" t="s">
        <v>8450</v>
      </c>
      <c r="K14" s="461" t="s">
        <v>8451</v>
      </c>
      <c r="L14" s="123"/>
      <c r="M14" s="42"/>
      <c r="N14" s="462"/>
      <c r="O14" s="463"/>
    </row>
    <row r="15" ht="29.25" customHeight="1">
      <c r="A15" s="45">
        <v>30824.0</v>
      </c>
      <c r="B15" s="45" t="s">
        <v>14</v>
      </c>
      <c r="C15" s="42">
        <v>1182.0</v>
      </c>
      <c r="D15" s="471" t="s">
        <v>8452</v>
      </c>
      <c r="E15" s="473" t="s">
        <v>8430</v>
      </c>
      <c r="F15" s="459">
        <v>42703.0</v>
      </c>
      <c r="G15" s="14">
        <v>42702.0</v>
      </c>
      <c r="H15" s="6" t="s">
        <v>1747</v>
      </c>
      <c r="I15" s="465">
        <v>42709.0</v>
      </c>
      <c r="J15" s="468" t="s">
        <v>2535</v>
      </c>
      <c r="K15" s="461" t="s">
        <v>8453</v>
      </c>
      <c r="L15" s="123"/>
      <c r="M15" s="42"/>
      <c r="N15" s="462"/>
      <c r="O15" s="463"/>
    </row>
    <row r="16" ht="29.25" customHeight="1">
      <c r="A16" s="45">
        <v>30639.0</v>
      </c>
      <c r="B16" s="42" t="s">
        <v>21</v>
      </c>
      <c r="C16" s="12">
        <v>1130.0</v>
      </c>
      <c r="D16" s="471" t="s">
        <v>8454</v>
      </c>
      <c r="E16" s="476" t="s">
        <v>8455</v>
      </c>
      <c r="F16" s="477">
        <v>42703.0</v>
      </c>
      <c r="G16" s="16">
        <v>42692.0</v>
      </c>
      <c r="H16" s="123" t="s">
        <v>1747</v>
      </c>
      <c r="I16" s="478">
        <v>42710.0</v>
      </c>
      <c r="J16" s="468" t="s">
        <v>8450</v>
      </c>
      <c r="K16" s="126" t="s">
        <v>8456</v>
      </c>
      <c r="L16" s="42" t="s">
        <v>497</v>
      </c>
      <c r="M16" s="42" t="s">
        <v>3868</v>
      </c>
      <c r="N16" s="61">
        <v>19976.4</v>
      </c>
      <c r="O16" s="463"/>
    </row>
    <row r="17" ht="29.25" customHeight="1">
      <c r="A17" s="45">
        <v>30822.0</v>
      </c>
      <c r="B17" s="45" t="s">
        <v>14</v>
      </c>
      <c r="C17" s="42">
        <v>1029.0</v>
      </c>
      <c r="D17" s="137" t="s">
        <v>8457</v>
      </c>
      <c r="E17" s="464" t="s">
        <v>8427</v>
      </c>
      <c r="F17" s="459">
        <v>42698.0</v>
      </c>
      <c r="G17" s="14">
        <v>42695.0</v>
      </c>
      <c r="H17" s="6" t="s">
        <v>1747</v>
      </c>
      <c r="I17" s="469">
        <v>42703.0</v>
      </c>
      <c r="J17" s="468" t="s">
        <v>2535</v>
      </c>
      <c r="K17" s="461" t="s">
        <v>8458</v>
      </c>
      <c r="L17" s="123"/>
      <c r="M17" s="42"/>
      <c r="N17" s="462"/>
      <c r="O17" s="463"/>
    </row>
    <row r="18" ht="29.25" customHeight="1">
      <c r="A18" s="45">
        <v>30825.0</v>
      </c>
      <c r="B18" s="45" t="s">
        <v>21</v>
      </c>
      <c r="C18" s="42">
        <v>930.0</v>
      </c>
      <c r="D18" s="138" t="s">
        <v>8459</v>
      </c>
      <c r="E18" s="479" t="s">
        <v>8460</v>
      </c>
      <c r="F18" s="459">
        <v>42696.0</v>
      </c>
      <c r="G18" s="14">
        <v>42692.0</v>
      </c>
      <c r="H18" s="6" t="s">
        <v>1747</v>
      </c>
      <c r="I18" s="480">
        <v>42706.0</v>
      </c>
      <c r="J18" s="468" t="s">
        <v>8450</v>
      </c>
      <c r="K18" s="461" t="s">
        <v>8461</v>
      </c>
      <c r="L18" s="123"/>
      <c r="M18" s="42"/>
      <c r="N18" s="462"/>
      <c r="O18" s="463"/>
    </row>
    <row r="19" ht="29.25" customHeight="1">
      <c r="A19" s="45">
        <v>30583.0</v>
      </c>
      <c r="B19" s="45" t="s">
        <v>21</v>
      </c>
      <c r="C19" s="42">
        <v>508.0</v>
      </c>
      <c r="D19" s="123" t="s">
        <v>8462</v>
      </c>
      <c r="E19" s="479" t="s">
        <v>8463</v>
      </c>
      <c r="F19" s="459">
        <v>42696.0</v>
      </c>
      <c r="G19" s="14">
        <v>42692.0</v>
      </c>
      <c r="H19" s="6" t="s">
        <v>1747</v>
      </c>
      <c r="I19" s="480">
        <v>42704.0</v>
      </c>
      <c r="J19" s="468" t="s">
        <v>8464</v>
      </c>
      <c r="K19" s="461" t="s">
        <v>8465</v>
      </c>
      <c r="L19" s="123" t="s">
        <v>497</v>
      </c>
      <c r="M19" s="42" t="s">
        <v>3868</v>
      </c>
      <c r="N19" s="462">
        <v>31310.0</v>
      </c>
      <c r="O19" s="463"/>
    </row>
    <row r="20" ht="29.25" customHeight="1">
      <c r="A20" s="45">
        <v>30826.0</v>
      </c>
      <c r="B20" s="45" t="s">
        <v>14</v>
      </c>
      <c r="C20" s="42">
        <v>1300.0</v>
      </c>
      <c r="D20" s="12" t="s">
        <v>8466</v>
      </c>
      <c r="E20" s="467" t="s">
        <v>8430</v>
      </c>
      <c r="F20" s="459">
        <v>42696.0</v>
      </c>
      <c r="G20" s="14">
        <v>42695.0</v>
      </c>
      <c r="H20" s="6" t="s">
        <v>1747</v>
      </c>
      <c r="I20" s="469">
        <v>42705.0</v>
      </c>
      <c r="J20" s="468" t="s">
        <v>2535</v>
      </c>
      <c r="K20" s="461" t="s">
        <v>8467</v>
      </c>
      <c r="L20" s="123"/>
      <c r="M20" s="42"/>
      <c r="N20" s="462"/>
      <c r="O20" s="463"/>
    </row>
    <row r="21" ht="29.25" customHeight="1">
      <c r="A21" s="45">
        <v>30487.0</v>
      </c>
      <c r="B21" s="45" t="s">
        <v>21</v>
      </c>
      <c r="C21" s="42">
        <v>991.0</v>
      </c>
      <c r="D21" s="481" t="str">
        <f>HYPERLINK("https://calendar.google.com/calendar/event?action=TEMPLATE&amp;tmeid=cDczamY2dmo3NWVwbTVrb3EzMGRycjRwNGMgdG9tbXlzdWVucG9wQG0&amp;tmsrc=tommysuenpop%40gmail.com","APZU3098796")</f>
        <v>APZU3098796</v>
      </c>
      <c r="E21" s="482" t="s">
        <v>8468</v>
      </c>
      <c r="F21" s="483">
        <v>42693.0</v>
      </c>
      <c r="G21" s="14">
        <v>42689.0</v>
      </c>
      <c r="H21" s="6" t="s">
        <v>1747</v>
      </c>
      <c r="I21" s="469">
        <v>42699.0</v>
      </c>
      <c r="J21" s="468" t="s">
        <v>8469</v>
      </c>
      <c r="K21" s="461" t="s">
        <v>8470</v>
      </c>
      <c r="L21" s="123"/>
      <c r="M21" s="42"/>
      <c r="N21" s="462"/>
      <c r="O21" s="463"/>
    </row>
    <row r="22" ht="29.25" customHeight="1">
      <c r="A22" s="45">
        <v>30749.0</v>
      </c>
      <c r="B22" s="42" t="s">
        <v>14</v>
      </c>
      <c r="C22" s="12">
        <v>1074.0</v>
      </c>
      <c r="D22" s="471" t="s">
        <v>8471</v>
      </c>
      <c r="E22" s="19" t="s">
        <v>8472</v>
      </c>
      <c r="F22" s="14">
        <v>42690.0</v>
      </c>
      <c r="G22" s="16">
        <v>42689.0</v>
      </c>
      <c r="H22" s="123" t="s">
        <v>1747</v>
      </c>
      <c r="I22" s="478">
        <v>42695.0</v>
      </c>
      <c r="J22" s="468" t="s">
        <v>2535</v>
      </c>
      <c r="K22" s="126" t="s">
        <v>8473</v>
      </c>
      <c r="L22" s="42"/>
      <c r="M22" s="42"/>
      <c r="N22" s="61"/>
    </row>
    <row r="23" ht="29.25" customHeight="1">
      <c r="A23" s="45">
        <v>30831.0</v>
      </c>
      <c r="B23" s="42" t="s">
        <v>21</v>
      </c>
      <c r="C23" s="12">
        <v>1230.0</v>
      </c>
      <c r="D23" s="128" t="s">
        <v>8474</v>
      </c>
      <c r="E23" s="19" t="s">
        <v>8475</v>
      </c>
      <c r="F23" s="14">
        <v>42688.0</v>
      </c>
      <c r="G23" s="16">
        <v>42685.0</v>
      </c>
      <c r="H23" s="123" t="s">
        <v>1747</v>
      </c>
      <c r="I23" s="478">
        <v>42696.0</v>
      </c>
      <c r="J23" s="468" t="s">
        <v>2535</v>
      </c>
      <c r="K23" s="126" t="s">
        <v>8476</v>
      </c>
      <c r="L23" s="42"/>
      <c r="M23" s="42"/>
      <c r="N23" s="61"/>
    </row>
    <row r="24" ht="29.25" customHeight="1">
      <c r="A24" s="45">
        <v>30428.0</v>
      </c>
      <c r="B24" s="42" t="s">
        <v>21</v>
      </c>
      <c r="C24" s="12">
        <v>976.0</v>
      </c>
      <c r="D24" s="123" t="s">
        <v>8477</v>
      </c>
      <c r="E24" s="19" t="s">
        <v>8478</v>
      </c>
      <c r="F24" s="14">
        <v>42686.0</v>
      </c>
      <c r="G24" s="16">
        <v>42682.0</v>
      </c>
      <c r="H24" s="123" t="s">
        <v>1747</v>
      </c>
      <c r="I24" s="478">
        <v>42692.0</v>
      </c>
      <c r="J24" s="468" t="s">
        <v>8469</v>
      </c>
      <c r="K24" s="126" t="s">
        <v>8479</v>
      </c>
      <c r="L24" s="42" t="s">
        <v>497</v>
      </c>
      <c r="M24" s="42" t="s">
        <v>1077</v>
      </c>
      <c r="N24" s="61">
        <v>42242.92</v>
      </c>
    </row>
    <row r="25" ht="29.25" customHeight="1">
      <c r="A25" s="45">
        <v>30748.0</v>
      </c>
      <c r="B25" s="42" t="s">
        <v>21</v>
      </c>
      <c r="C25" s="12">
        <v>1464.0</v>
      </c>
      <c r="D25" s="128" t="s">
        <v>8480</v>
      </c>
      <c r="E25" s="19" t="s">
        <v>8481</v>
      </c>
      <c r="F25" s="14">
        <v>42686.0</v>
      </c>
      <c r="G25" s="16">
        <v>42689.0</v>
      </c>
      <c r="H25" s="123" t="s">
        <v>1747</v>
      </c>
      <c r="I25" s="478">
        <v>42695.0</v>
      </c>
      <c r="J25" s="468" t="s">
        <v>8469</v>
      </c>
      <c r="K25" s="126" t="s">
        <v>8482</v>
      </c>
      <c r="L25" s="42" t="s">
        <v>497</v>
      </c>
      <c r="M25" s="42" t="s">
        <v>1048</v>
      </c>
      <c r="N25" s="61">
        <v>45906.56</v>
      </c>
    </row>
    <row r="26" ht="29.25" customHeight="1">
      <c r="A26" s="45">
        <v>30815.0</v>
      </c>
      <c r="B26" s="45" t="s">
        <v>21</v>
      </c>
      <c r="C26" s="42">
        <v>779.0</v>
      </c>
      <c r="D26" s="12" t="s">
        <v>8483</v>
      </c>
      <c r="E26" s="126" t="s">
        <v>8484</v>
      </c>
      <c r="F26" s="465">
        <v>42685.0</v>
      </c>
      <c r="G26" s="14">
        <v>42684.0</v>
      </c>
      <c r="H26" s="6" t="s">
        <v>1747</v>
      </c>
      <c r="I26" s="469">
        <v>42697.0</v>
      </c>
      <c r="J26" s="468" t="s">
        <v>8485</v>
      </c>
      <c r="K26" s="461" t="s">
        <v>8486</v>
      </c>
      <c r="L26" s="123"/>
      <c r="M26" s="42"/>
      <c r="N26" s="462"/>
    </row>
    <row r="27" ht="29.25" customHeight="1">
      <c r="A27" s="45">
        <v>30212.0</v>
      </c>
      <c r="B27" s="42" t="s">
        <v>25</v>
      </c>
      <c r="C27" s="12">
        <v>1999.0</v>
      </c>
      <c r="D27" s="123" t="s">
        <v>8487</v>
      </c>
      <c r="E27" s="19" t="s">
        <v>8488</v>
      </c>
      <c r="F27" s="14">
        <v>42683.0</v>
      </c>
      <c r="G27" s="16">
        <v>42681.0</v>
      </c>
      <c r="H27" s="123" t="s">
        <v>1747</v>
      </c>
      <c r="I27" s="478">
        <v>42688.0</v>
      </c>
      <c r="J27" s="468" t="s">
        <v>2535</v>
      </c>
      <c r="K27" s="126" t="s">
        <v>8489</v>
      </c>
      <c r="L27" s="42" t="s">
        <v>497</v>
      </c>
      <c r="M27" s="42" t="s">
        <v>2546</v>
      </c>
      <c r="N27" s="61">
        <v>81591.56</v>
      </c>
    </row>
    <row r="28" ht="29.25" customHeight="1">
      <c r="A28" s="45">
        <v>30208.0</v>
      </c>
      <c r="B28" s="42" t="s">
        <v>21</v>
      </c>
      <c r="C28" s="12">
        <v>1930.0</v>
      </c>
      <c r="D28" s="123" t="s">
        <v>8490</v>
      </c>
      <c r="E28" s="19" t="s">
        <v>8491</v>
      </c>
      <c r="F28" s="14">
        <v>42678.0</v>
      </c>
      <c r="G28" s="16">
        <v>42674.0</v>
      </c>
      <c r="H28" s="123" t="s">
        <v>1747</v>
      </c>
      <c r="I28" s="478">
        <v>42684.0</v>
      </c>
      <c r="J28" s="468" t="s">
        <v>8469</v>
      </c>
      <c r="K28" s="126" t="s">
        <v>8492</v>
      </c>
      <c r="L28" s="42" t="s">
        <v>497</v>
      </c>
      <c r="M28" s="42" t="s">
        <v>2546</v>
      </c>
      <c r="N28" s="61">
        <v>79790.32</v>
      </c>
    </row>
    <row r="29" ht="29.25" customHeight="1">
      <c r="A29" s="45">
        <v>30402.0</v>
      </c>
      <c r="B29" s="42" t="s">
        <v>14</v>
      </c>
      <c r="C29" s="12">
        <v>310.0</v>
      </c>
      <c r="D29" s="123" t="s">
        <v>8493</v>
      </c>
      <c r="E29" s="19" t="s">
        <v>8494</v>
      </c>
      <c r="F29" s="14">
        <v>42677.0</v>
      </c>
      <c r="G29" s="16">
        <v>42675.0</v>
      </c>
      <c r="H29" s="123" t="s">
        <v>1747</v>
      </c>
      <c r="I29" s="478">
        <v>42683.0</v>
      </c>
      <c r="J29" s="468" t="s">
        <v>2535</v>
      </c>
      <c r="K29" s="126" t="s">
        <v>8495</v>
      </c>
      <c r="L29" s="42"/>
      <c r="M29" s="42"/>
      <c r="N29" s="61"/>
    </row>
    <row r="30" ht="29.25" customHeight="1">
      <c r="A30" s="45">
        <v>30476.0</v>
      </c>
      <c r="B30" s="42" t="s">
        <v>25</v>
      </c>
      <c r="C30" s="12">
        <v>2227.0</v>
      </c>
      <c r="D30" s="123" t="s">
        <v>8496</v>
      </c>
      <c r="E30" s="19" t="s">
        <v>8497</v>
      </c>
      <c r="F30" s="14">
        <v>42677.0</v>
      </c>
      <c r="G30" s="16">
        <v>42675.0</v>
      </c>
      <c r="H30" s="123" t="s">
        <v>1747</v>
      </c>
      <c r="I30" s="478">
        <v>42682.0</v>
      </c>
      <c r="J30" s="468" t="s">
        <v>2535</v>
      </c>
      <c r="K30" s="126" t="s">
        <v>8498</v>
      </c>
      <c r="L30" s="42" t="s">
        <v>497</v>
      </c>
      <c r="M30" s="42" t="s">
        <v>1052</v>
      </c>
      <c r="N30" s="61">
        <v>29262.78</v>
      </c>
    </row>
    <row r="31" ht="29.25" customHeight="1">
      <c r="A31" s="45">
        <v>30686.0</v>
      </c>
      <c r="B31" s="42" t="s">
        <v>14</v>
      </c>
      <c r="C31" s="12">
        <v>537.0</v>
      </c>
      <c r="D31" s="128" t="s">
        <v>8499</v>
      </c>
      <c r="E31" s="19" t="s">
        <v>8500</v>
      </c>
      <c r="F31" s="14">
        <v>42676.0</v>
      </c>
      <c r="G31" s="16">
        <v>42675.0</v>
      </c>
      <c r="H31" s="123" t="s">
        <v>1747</v>
      </c>
      <c r="I31" s="478">
        <v>42681.0</v>
      </c>
      <c r="J31" s="468" t="s">
        <v>2535</v>
      </c>
      <c r="K31" s="126" t="s">
        <v>8501</v>
      </c>
      <c r="L31" s="42"/>
      <c r="M31" s="42"/>
      <c r="N31" s="61"/>
    </row>
    <row r="32" ht="29.25" customHeight="1">
      <c r="A32" s="69">
        <v>30184.0</v>
      </c>
      <c r="B32" s="42" t="s">
        <v>21</v>
      </c>
      <c r="C32" s="12">
        <v>1616.0</v>
      </c>
      <c r="D32" s="42" t="s">
        <v>8502</v>
      </c>
      <c r="E32" s="19" t="s">
        <v>8503</v>
      </c>
      <c r="F32" s="14">
        <v>42676.0</v>
      </c>
      <c r="G32" s="16">
        <v>42669.0</v>
      </c>
      <c r="H32" s="123" t="s">
        <v>1747</v>
      </c>
      <c r="I32" s="478">
        <v>42678.0</v>
      </c>
      <c r="J32" s="468" t="s">
        <v>8504</v>
      </c>
      <c r="K32" s="17" t="s">
        <v>8505</v>
      </c>
      <c r="L32" s="42"/>
      <c r="M32" s="42"/>
      <c r="N32" s="61"/>
    </row>
    <row r="33" ht="29.25" customHeight="1">
      <c r="A33" s="45">
        <v>30704.0</v>
      </c>
      <c r="B33" s="42" t="s">
        <v>21</v>
      </c>
      <c r="C33" s="12">
        <v>944.0</v>
      </c>
      <c r="D33" s="128" t="s">
        <v>8506</v>
      </c>
      <c r="E33" s="19" t="s">
        <v>8507</v>
      </c>
      <c r="F33" s="14">
        <v>42675.0</v>
      </c>
      <c r="G33" s="16">
        <v>42671.0</v>
      </c>
      <c r="H33" s="123" t="s">
        <v>1747</v>
      </c>
      <c r="I33" s="478">
        <v>42682.0</v>
      </c>
      <c r="J33" s="468" t="s">
        <v>8469</v>
      </c>
      <c r="K33" s="126" t="s">
        <v>8508</v>
      </c>
      <c r="L33" s="42"/>
      <c r="M33" s="42"/>
      <c r="N33" s="61"/>
    </row>
    <row r="34" ht="29.25" customHeight="1">
      <c r="A34" s="45">
        <v>30519.0</v>
      </c>
      <c r="B34" s="42" t="s">
        <v>21</v>
      </c>
      <c r="C34" s="12">
        <v>1130.0</v>
      </c>
      <c r="D34" s="42" t="s">
        <v>8509</v>
      </c>
      <c r="E34" s="19" t="s">
        <v>8455</v>
      </c>
      <c r="F34" s="14">
        <v>42674.0</v>
      </c>
      <c r="G34" s="16">
        <v>42671.0</v>
      </c>
      <c r="H34" s="123" t="s">
        <v>1747</v>
      </c>
      <c r="I34" s="478">
        <v>42678.0</v>
      </c>
      <c r="J34" s="468" t="s">
        <v>8504</v>
      </c>
      <c r="K34" s="17" t="s">
        <v>8510</v>
      </c>
      <c r="L34" s="42" t="s">
        <v>497</v>
      </c>
      <c r="M34" s="42" t="s">
        <v>3868</v>
      </c>
      <c r="N34" s="61">
        <v>17924.4</v>
      </c>
    </row>
    <row r="35" ht="29.25" customHeight="1">
      <c r="A35" s="45">
        <v>30478.0</v>
      </c>
      <c r="B35" s="42" t="s">
        <v>21</v>
      </c>
      <c r="C35" s="12">
        <v>2227.0</v>
      </c>
      <c r="D35" s="484" t="s">
        <v>8511</v>
      </c>
      <c r="E35" s="19" t="s">
        <v>1617</v>
      </c>
      <c r="F35" s="14">
        <v>42673.0</v>
      </c>
      <c r="G35" s="16">
        <v>42662.0</v>
      </c>
      <c r="H35" s="123" t="s">
        <v>1747</v>
      </c>
      <c r="I35" s="478">
        <v>42678.0</v>
      </c>
      <c r="J35" s="468" t="s">
        <v>8469</v>
      </c>
      <c r="K35" s="126" t="s">
        <v>8512</v>
      </c>
      <c r="L35" s="42" t="s">
        <v>497</v>
      </c>
      <c r="M35" s="42" t="s">
        <v>1052</v>
      </c>
      <c r="N35" s="61">
        <v>29262.78</v>
      </c>
    </row>
    <row r="36" ht="29.25" customHeight="1">
      <c r="A36" s="45">
        <v>30676.0</v>
      </c>
      <c r="B36" s="42" t="s">
        <v>14</v>
      </c>
      <c r="C36" s="12">
        <v>1250.0</v>
      </c>
      <c r="D36" s="123" t="s">
        <v>8513</v>
      </c>
      <c r="E36" s="485" t="s">
        <v>8514</v>
      </c>
      <c r="F36" s="14">
        <v>42670.0</v>
      </c>
      <c r="G36" s="16">
        <v>42667.0</v>
      </c>
      <c r="H36" s="123" t="s">
        <v>1747</v>
      </c>
      <c r="I36" s="478">
        <v>42676.0</v>
      </c>
      <c r="J36" s="468" t="s">
        <v>2535</v>
      </c>
      <c r="K36" s="126" t="s">
        <v>8515</v>
      </c>
      <c r="L36" s="42"/>
      <c r="M36" s="42"/>
      <c r="N36" s="61"/>
    </row>
    <row r="37" ht="29.25" customHeight="1">
      <c r="A37" s="69">
        <v>30677.0</v>
      </c>
      <c r="B37" s="42" t="s">
        <v>14</v>
      </c>
      <c r="C37" s="12">
        <v>950.0</v>
      </c>
      <c r="D37" s="123" t="s">
        <v>8516</v>
      </c>
      <c r="E37" s="19" t="s">
        <v>8517</v>
      </c>
      <c r="F37" s="14">
        <v>42669.0</v>
      </c>
      <c r="G37" s="16">
        <v>42667.0</v>
      </c>
      <c r="H37" s="123" t="s">
        <v>1747</v>
      </c>
      <c r="I37" s="478">
        <v>42675.0</v>
      </c>
      <c r="J37" s="468" t="s">
        <v>2535</v>
      </c>
      <c r="K37" s="17" t="s">
        <v>8518</v>
      </c>
      <c r="L37" s="42"/>
      <c r="M37" s="42"/>
      <c r="N37" s="61"/>
    </row>
    <row r="38" ht="29.25" customHeight="1">
      <c r="A38" s="45">
        <v>30215.0</v>
      </c>
      <c r="B38" s="42" t="s">
        <v>14</v>
      </c>
      <c r="C38" s="12">
        <v>970.0</v>
      </c>
      <c r="D38" s="123" t="s">
        <v>8519</v>
      </c>
      <c r="E38" s="19" t="s">
        <v>8520</v>
      </c>
      <c r="F38" s="14">
        <v>42668.0</v>
      </c>
      <c r="G38" s="16">
        <v>42664.0</v>
      </c>
      <c r="H38" s="128" t="s">
        <v>1747</v>
      </c>
      <c r="I38" s="478">
        <v>42674.0</v>
      </c>
      <c r="J38" s="468" t="s">
        <v>2535</v>
      </c>
      <c r="K38" s="126" t="s">
        <v>8521</v>
      </c>
      <c r="L38" s="42" t="s">
        <v>497</v>
      </c>
      <c r="M38" s="42" t="s">
        <v>2546</v>
      </c>
      <c r="N38" s="61">
        <v>39678.64</v>
      </c>
    </row>
    <row r="39" ht="29.25" customHeight="1">
      <c r="A39" s="45">
        <v>30678.0</v>
      </c>
      <c r="B39" s="42" t="s">
        <v>14</v>
      </c>
      <c r="C39" s="12">
        <v>1300.0</v>
      </c>
      <c r="D39" s="128" t="s">
        <v>8522</v>
      </c>
      <c r="E39" s="19" t="s">
        <v>8523</v>
      </c>
      <c r="F39" s="14">
        <v>42668.0</v>
      </c>
      <c r="G39" s="16">
        <v>42667.0</v>
      </c>
      <c r="H39" s="123" t="s">
        <v>1747</v>
      </c>
      <c r="I39" s="478">
        <v>42674.0</v>
      </c>
      <c r="J39" s="468" t="s">
        <v>2535</v>
      </c>
      <c r="K39" s="126" t="s">
        <v>8524</v>
      </c>
      <c r="L39" s="42"/>
      <c r="M39" s="42"/>
      <c r="N39" s="61"/>
    </row>
    <row r="40" ht="29.25" customHeight="1">
      <c r="A40" s="45">
        <v>30722.0</v>
      </c>
      <c r="B40" s="45" t="s">
        <v>21</v>
      </c>
      <c r="C40" s="12">
        <v>1257.0</v>
      </c>
      <c r="D40" s="123" t="s">
        <v>8525</v>
      </c>
      <c r="E40" s="485" t="s">
        <v>8526</v>
      </c>
      <c r="F40" s="14">
        <v>42668.0</v>
      </c>
      <c r="G40" s="16">
        <v>42664.0</v>
      </c>
      <c r="H40" s="486" t="s">
        <v>1747</v>
      </c>
      <c r="I40" s="478">
        <v>42677.0</v>
      </c>
      <c r="J40" s="468" t="s">
        <v>8504</v>
      </c>
      <c r="K40" s="126" t="s">
        <v>8527</v>
      </c>
      <c r="L40" s="42"/>
      <c r="M40" s="42"/>
      <c r="N40" s="61"/>
    </row>
    <row r="41" ht="29.25" customHeight="1">
      <c r="A41" s="45">
        <v>30462.0</v>
      </c>
      <c r="B41" s="42" t="s">
        <v>14</v>
      </c>
      <c r="C41" s="12">
        <v>2450.0</v>
      </c>
      <c r="D41" s="42" t="s">
        <v>8528</v>
      </c>
      <c r="E41" s="19" t="s">
        <v>8529</v>
      </c>
      <c r="F41" s="14">
        <v>42667.0</v>
      </c>
      <c r="G41" s="16">
        <v>42664.0</v>
      </c>
      <c r="H41" s="123" t="s">
        <v>1747</v>
      </c>
      <c r="I41" s="478">
        <v>42670.0</v>
      </c>
      <c r="J41" s="468" t="s">
        <v>2535</v>
      </c>
      <c r="K41" s="17" t="s">
        <v>8530</v>
      </c>
      <c r="L41" s="42" t="s">
        <v>497</v>
      </c>
      <c r="M41" s="42" t="s">
        <v>1052</v>
      </c>
      <c r="N41" s="61">
        <v>28914.0</v>
      </c>
    </row>
    <row r="42" ht="29.25" customHeight="1">
      <c r="A42" s="45">
        <v>30687.0</v>
      </c>
      <c r="B42" s="42" t="s">
        <v>21</v>
      </c>
      <c r="C42" s="12">
        <v>1182.0</v>
      </c>
      <c r="D42" s="128" t="s">
        <v>8531</v>
      </c>
      <c r="E42" s="19" t="s">
        <v>8532</v>
      </c>
      <c r="F42" s="14">
        <v>42665.0</v>
      </c>
      <c r="G42" s="16">
        <v>42662.0</v>
      </c>
      <c r="H42" s="123" t="s">
        <v>1747</v>
      </c>
      <c r="I42" s="478">
        <v>42670.0</v>
      </c>
      <c r="J42" s="468" t="s">
        <v>8533</v>
      </c>
      <c r="K42" s="126" t="s">
        <v>8534</v>
      </c>
      <c r="L42" s="42"/>
      <c r="M42" s="42"/>
      <c r="N42" s="61"/>
    </row>
    <row r="43" ht="29.25" customHeight="1">
      <c r="A43" s="42">
        <v>30306.0</v>
      </c>
      <c r="B43" s="42" t="s">
        <v>14</v>
      </c>
      <c r="C43" s="12">
        <v>2440.0</v>
      </c>
      <c r="D43" s="123" t="s">
        <v>8535</v>
      </c>
      <c r="E43" s="19" t="s">
        <v>8536</v>
      </c>
      <c r="F43" s="14">
        <v>42663.0</v>
      </c>
      <c r="G43" s="14">
        <v>42660.0</v>
      </c>
      <c r="H43" s="6" t="s">
        <v>1747</v>
      </c>
      <c r="I43" s="478">
        <v>42668.0</v>
      </c>
      <c r="J43" s="468" t="s">
        <v>2535</v>
      </c>
      <c r="K43" s="126" t="s">
        <v>8537</v>
      </c>
      <c r="L43" s="42" t="s">
        <v>497</v>
      </c>
      <c r="M43" s="42" t="s">
        <v>1052</v>
      </c>
      <c r="N43" s="61">
        <v>28826.6</v>
      </c>
    </row>
    <row r="44" ht="29.25" customHeight="1">
      <c r="A44" s="42">
        <v>30635.0</v>
      </c>
      <c r="B44" s="42" t="s">
        <v>14</v>
      </c>
      <c r="C44" s="12">
        <v>750.0</v>
      </c>
      <c r="D44" s="42" t="s">
        <v>8538</v>
      </c>
      <c r="E44" s="19" t="s">
        <v>8539</v>
      </c>
      <c r="F44" s="14">
        <v>42663.0</v>
      </c>
      <c r="G44" s="14">
        <v>42668.0</v>
      </c>
      <c r="H44" s="6" t="s">
        <v>1747</v>
      </c>
      <c r="I44" s="478">
        <v>42674.0</v>
      </c>
      <c r="J44" s="468" t="s">
        <v>2535</v>
      </c>
      <c r="K44" s="17" t="s">
        <v>8540</v>
      </c>
      <c r="L44" s="42"/>
      <c r="M44" s="42"/>
      <c r="N44" s="61"/>
    </row>
    <row r="45" ht="29.25" customHeight="1">
      <c r="A45" s="42">
        <v>30463.0</v>
      </c>
      <c r="B45" s="42" t="s">
        <v>21</v>
      </c>
      <c r="C45" s="12">
        <v>2227.0</v>
      </c>
      <c r="D45" s="42" t="s">
        <v>8541</v>
      </c>
      <c r="E45" s="19" t="s">
        <v>1617</v>
      </c>
      <c r="F45" s="14">
        <v>42658.0</v>
      </c>
      <c r="G45" s="14">
        <v>42655.0</v>
      </c>
      <c r="H45" s="6" t="s">
        <v>1747</v>
      </c>
      <c r="I45" s="478">
        <v>42663.0</v>
      </c>
      <c r="J45" s="468" t="s">
        <v>8542</v>
      </c>
      <c r="K45" s="487" t="s">
        <v>8543</v>
      </c>
      <c r="L45" s="42" t="s">
        <v>497</v>
      </c>
      <c r="M45" s="42" t="s">
        <v>1052</v>
      </c>
      <c r="N45" s="61">
        <v>29262.78</v>
      </c>
    </row>
    <row r="46" ht="29.25" customHeight="1">
      <c r="A46" s="45" t="s">
        <v>8544</v>
      </c>
      <c r="B46" s="42" t="s">
        <v>21</v>
      </c>
      <c r="C46" s="12">
        <v>300.0</v>
      </c>
      <c r="D46" s="128" t="s">
        <v>8545</v>
      </c>
      <c r="E46" s="485" t="s">
        <v>8546</v>
      </c>
      <c r="F46" s="14">
        <v>42656.0</v>
      </c>
      <c r="G46" s="16">
        <v>42668.0</v>
      </c>
      <c r="H46" s="123" t="s">
        <v>1747</v>
      </c>
      <c r="I46" s="478">
        <v>42668.0</v>
      </c>
      <c r="J46" s="468" t="s">
        <v>8542</v>
      </c>
      <c r="K46" s="126" t="s">
        <v>8547</v>
      </c>
      <c r="L46" s="42"/>
      <c r="M46" s="42"/>
      <c r="N46" s="61"/>
    </row>
    <row r="47" ht="29.25" customHeight="1">
      <c r="A47" s="42">
        <v>30634.0</v>
      </c>
      <c r="B47" s="42" t="s">
        <v>14</v>
      </c>
      <c r="C47" s="12">
        <v>1182.0</v>
      </c>
      <c r="D47" s="42" t="s">
        <v>8548</v>
      </c>
      <c r="E47" s="19" t="s">
        <v>8430</v>
      </c>
      <c r="F47" s="14">
        <v>42656.0</v>
      </c>
      <c r="G47" s="14">
        <v>42654.0</v>
      </c>
      <c r="H47" s="12" t="s">
        <v>1747</v>
      </c>
      <c r="I47" s="478">
        <v>42663.0</v>
      </c>
      <c r="J47" s="468" t="s">
        <v>2535</v>
      </c>
      <c r="K47" s="17" t="s">
        <v>8549</v>
      </c>
      <c r="L47" s="42"/>
      <c r="M47" s="42"/>
      <c r="N47" s="61"/>
    </row>
    <row r="48" ht="29.25" customHeight="1">
      <c r="A48" s="42">
        <v>30633.0</v>
      </c>
      <c r="B48" s="42" t="s">
        <v>14</v>
      </c>
      <c r="C48" s="12">
        <v>1300.0</v>
      </c>
      <c r="D48" s="42" t="s">
        <v>8550</v>
      </c>
      <c r="E48" s="19" t="s">
        <v>8430</v>
      </c>
      <c r="F48" s="14">
        <v>42656.0</v>
      </c>
      <c r="G48" s="14">
        <v>42656.0</v>
      </c>
      <c r="H48" s="6" t="s">
        <v>1747</v>
      </c>
      <c r="I48" s="478">
        <v>42662.0</v>
      </c>
      <c r="J48" s="468" t="s">
        <v>2535</v>
      </c>
      <c r="K48" s="17" t="s">
        <v>8551</v>
      </c>
      <c r="L48" s="42"/>
      <c r="M48" s="42"/>
      <c r="N48" s="61"/>
    </row>
    <row r="49" ht="29.25" customHeight="1">
      <c r="A49" s="42">
        <v>30379.0</v>
      </c>
      <c r="B49" s="42" t="s">
        <v>21</v>
      </c>
      <c r="C49" s="12">
        <v>1980.0</v>
      </c>
      <c r="D49" s="123" t="s">
        <v>8552</v>
      </c>
      <c r="E49" s="19" t="s">
        <v>8435</v>
      </c>
      <c r="F49" s="14">
        <v>42656.0</v>
      </c>
      <c r="G49" s="14">
        <v>42655.0</v>
      </c>
      <c r="H49" s="123" t="s">
        <v>1747</v>
      </c>
      <c r="I49" s="478">
        <v>42664.0</v>
      </c>
      <c r="J49" s="468" t="s">
        <v>8542</v>
      </c>
      <c r="K49" s="17" t="s">
        <v>8553</v>
      </c>
      <c r="L49" s="42"/>
      <c r="M49" s="42"/>
      <c r="N49" s="61"/>
    </row>
    <row r="50" ht="29.25" customHeight="1">
      <c r="A50" s="42">
        <v>30637.0</v>
      </c>
      <c r="B50" s="42" t="s">
        <v>21</v>
      </c>
      <c r="C50" s="12">
        <v>944.0</v>
      </c>
      <c r="D50" s="123" t="s">
        <v>8554</v>
      </c>
      <c r="E50" s="19" t="s">
        <v>8555</v>
      </c>
      <c r="F50" s="14">
        <v>42654.0</v>
      </c>
      <c r="G50" s="125">
        <v>42650.0</v>
      </c>
      <c r="H50" s="6" t="s">
        <v>1747</v>
      </c>
      <c r="I50" s="478">
        <v>42663.0</v>
      </c>
      <c r="J50" s="468" t="s">
        <v>8556</v>
      </c>
      <c r="K50" s="17" t="s">
        <v>8557</v>
      </c>
      <c r="L50" s="42"/>
      <c r="M50" s="42"/>
      <c r="N50" s="61"/>
    </row>
    <row r="51" ht="29.25" customHeight="1">
      <c r="A51" s="69">
        <v>30188.0</v>
      </c>
      <c r="B51" s="42" t="s">
        <v>14</v>
      </c>
      <c r="C51" s="12">
        <v>653.0</v>
      </c>
      <c r="D51" s="484" t="s">
        <v>8558</v>
      </c>
      <c r="E51" s="19" t="s">
        <v>8503</v>
      </c>
      <c r="F51" s="14">
        <v>42653.0</v>
      </c>
      <c r="G51" s="16">
        <v>42653.0</v>
      </c>
      <c r="H51" s="123" t="s">
        <v>1747</v>
      </c>
      <c r="I51" s="478">
        <v>42655.0</v>
      </c>
      <c r="J51" s="468" t="s">
        <v>2535</v>
      </c>
      <c r="K51" s="17" t="s">
        <v>8559</v>
      </c>
      <c r="L51" s="42"/>
      <c r="M51" s="42"/>
      <c r="N51" s="61"/>
    </row>
    <row r="52" ht="29.25" customHeight="1">
      <c r="A52" s="42">
        <v>30475.0</v>
      </c>
      <c r="B52" s="42" t="s">
        <v>14</v>
      </c>
      <c r="C52" s="12">
        <v>2227.0</v>
      </c>
      <c r="D52" s="42" t="s">
        <v>8560</v>
      </c>
      <c r="E52" s="19" t="s">
        <v>1617</v>
      </c>
      <c r="F52" s="14">
        <v>42653.0</v>
      </c>
      <c r="G52" s="14">
        <v>42649.0</v>
      </c>
      <c r="H52" s="6" t="s">
        <v>1747</v>
      </c>
      <c r="I52" s="478">
        <v>42661.0</v>
      </c>
      <c r="J52" s="468" t="s">
        <v>2535</v>
      </c>
      <c r="K52" s="17" t="s">
        <v>8561</v>
      </c>
      <c r="L52" s="42" t="s">
        <v>497</v>
      </c>
      <c r="M52" s="42" t="s">
        <v>1052</v>
      </c>
      <c r="N52" s="61">
        <v>29262.78</v>
      </c>
    </row>
    <row r="53" ht="29.25" customHeight="1">
      <c r="A53" s="42">
        <v>30172.0</v>
      </c>
      <c r="B53" s="42" t="s">
        <v>14</v>
      </c>
      <c r="C53" s="12">
        <v>2440.0</v>
      </c>
      <c r="D53" s="42" t="s">
        <v>8562</v>
      </c>
      <c r="E53" s="19" t="s">
        <v>8563</v>
      </c>
      <c r="F53" s="14">
        <v>42653.0</v>
      </c>
      <c r="G53" s="14">
        <v>42649.0</v>
      </c>
      <c r="H53" s="6" t="s">
        <v>1747</v>
      </c>
      <c r="I53" s="478">
        <v>42660.0</v>
      </c>
      <c r="J53" s="468" t="s">
        <v>2535</v>
      </c>
      <c r="K53" s="17" t="s">
        <v>8564</v>
      </c>
      <c r="L53" s="42" t="s">
        <v>497</v>
      </c>
      <c r="M53" s="42" t="s">
        <v>1052</v>
      </c>
      <c r="N53" s="61">
        <v>28826.6</v>
      </c>
    </row>
    <row r="54" ht="29.25" customHeight="1">
      <c r="A54" s="42" t="s">
        <v>8565</v>
      </c>
      <c r="B54" s="42" t="s">
        <v>21</v>
      </c>
      <c r="C54" s="12">
        <v>158.0</v>
      </c>
      <c r="D54" s="123" t="s">
        <v>8566</v>
      </c>
      <c r="E54" s="19" t="s">
        <v>8567</v>
      </c>
      <c r="F54" s="14">
        <v>42652.0</v>
      </c>
      <c r="G54" s="1" t="s">
        <v>210</v>
      </c>
      <c r="H54" s="123" t="s">
        <v>1747</v>
      </c>
      <c r="I54" s="478">
        <v>42662.0</v>
      </c>
      <c r="J54" s="468" t="s">
        <v>2535</v>
      </c>
      <c r="K54" s="17" t="s">
        <v>8568</v>
      </c>
      <c r="L54" s="42"/>
      <c r="M54" s="42"/>
      <c r="N54" s="61"/>
    </row>
    <row r="55" ht="29.25" customHeight="1">
      <c r="A55" s="488">
        <v>30461.0</v>
      </c>
      <c r="B55" s="42" t="s">
        <v>25</v>
      </c>
      <c r="C55" s="12">
        <v>2227.0</v>
      </c>
      <c r="D55" s="42" t="s">
        <v>8569</v>
      </c>
      <c r="E55" s="19" t="s">
        <v>1617</v>
      </c>
      <c r="F55" s="14">
        <v>42649.0</v>
      </c>
      <c r="G55" s="489">
        <v>42647.0</v>
      </c>
      <c r="H55" s="6" t="s">
        <v>1747</v>
      </c>
      <c r="I55" s="478">
        <v>42656.0</v>
      </c>
      <c r="J55" s="468" t="s">
        <v>2535</v>
      </c>
      <c r="K55" s="17" t="s">
        <v>8570</v>
      </c>
      <c r="L55" s="42" t="s">
        <v>497</v>
      </c>
      <c r="M55" s="42" t="s">
        <v>1052</v>
      </c>
      <c r="N55" s="61">
        <v>29262.78</v>
      </c>
    </row>
    <row r="56" ht="29.25" customHeight="1">
      <c r="A56" s="42">
        <v>30555.0</v>
      </c>
      <c r="B56" s="42" t="s">
        <v>14</v>
      </c>
      <c r="C56" s="12">
        <v>5834.0</v>
      </c>
      <c r="D56" s="42" t="s">
        <v>8571</v>
      </c>
      <c r="E56" s="19" t="s">
        <v>8572</v>
      </c>
      <c r="F56" s="14">
        <v>42647.0</v>
      </c>
      <c r="G56" s="14">
        <v>42650.0</v>
      </c>
      <c r="H56" s="6" t="s">
        <v>1747</v>
      </c>
      <c r="I56" s="478">
        <v>42653.0</v>
      </c>
      <c r="J56" s="468" t="s">
        <v>2535</v>
      </c>
      <c r="K56" s="17" t="s">
        <v>8573</v>
      </c>
      <c r="L56" s="42"/>
      <c r="M56" s="42"/>
      <c r="N56" s="61"/>
    </row>
    <row r="57" ht="29.25" customHeight="1">
      <c r="A57" s="42">
        <v>30334.0</v>
      </c>
      <c r="B57" s="42" t="s">
        <v>14</v>
      </c>
      <c r="C57" s="12">
        <v>1121.0</v>
      </c>
      <c r="D57" s="123" t="s">
        <v>8574</v>
      </c>
      <c r="E57" s="19" t="s">
        <v>8575</v>
      </c>
      <c r="F57" s="14">
        <v>42646.0</v>
      </c>
      <c r="G57" s="483">
        <v>42660.0</v>
      </c>
      <c r="H57" s="6" t="s">
        <v>1747</v>
      </c>
      <c r="I57" s="478">
        <v>42649.0</v>
      </c>
      <c r="J57" s="468" t="s">
        <v>2535</v>
      </c>
      <c r="K57" s="17" t="s">
        <v>8576</v>
      </c>
      <c r="L57" s="42" t="s">
        <v>497</v>
      </c>
      <c r="M57" s="42" t="s">
        <v>3868</v>
      </c>
      <c r="N57" s="61">
        <v>18786.3</v>
      </c>
    </row>
    <row r="58" ht="29.25" customHeight="1">
      <c r="A58" s="42">
        <v>30211.0</v>
      </c>
      <c r="B58" s="42" t="s">
        <v>25</v>
      </c>
      <c r="C58" s="12">
        <v>1924.0</v>
      </c>
      <c r="D58" s="123" t="s">
        <v>8577</v>
      </c>
      <c r="E58" s="19" t="s">
        <v>8578</v>
      </c>
      <c r="F58" s="14">
        <v>42641.0</v>
      </c>
      <c r="G58" s="14">
        <v>42640.0</v>
      </c>
      <c r="H58" s="6" t="s">
        <v>1747</v>
      </c>
      <c r="I58" s="478">
        <v>42647.0</v>
      </c>
      <c r="J58" s="468" t="s">
        <v>2535</v>
      </c>
      <c r="K58" s="17" t="s">
        <v>8579</v>
      </c>
      <c r="L58" s="42"/>
      <c r="M58" s="42"/>
      <c r="N58" s="61"/>
    </row>
    <row r="59" ht="29.25" customHeight="1">
      <c r="A59" s="42">
        <v>30490.0</v>
      </c>
      <c r="B59" s="42" t="s">
        <v>14</v>
      </c>
      <c r="C59" s="12">
        <v>125.0</v>
      </c>
      <c r="D59" s="123" t="s">
        <v>8580</v>
      </c>
      <c r="E59" s="19" t="s">
        <v>8581</v>
      </c>
      <c r="F59" s="14">
        <v>42641.0</v>
      </c>
      <c r="G59" s="14">
        <v>42640.0</v>
      </c>
      <c r="H59" s="6" t="s">
        <v>1747</v>
      </c>
      <c r="I59" s="490">
        <v>42653.0</v>
      </c>
      <c r="J59" s="468" t="s">
        <v>2535</v>
      </c>
      <c r="K59" s="17" t="s">
        <v>8582</v>
      </c>
      <c r="L59" s="42"/>
      <c r="M59" s="42"/>
      <c r="N59" s="61"/>
    </row>
    <row r="60" ht="29.25" customHeight="1">
      <c r="A60" s="42" t="s">
        <v>8583</v>
      </c>
      <c r="B60" s="42" t="s">
        <v>21</v>
      </c>
      <c r="C60" s="12">
        <v>320.0</v>
      </c>
      <c r="D60" s="123" t="s">
        <v>8584</v>
      </c>
      <c r="E60" s="19" t="s">
        <v>8585</v>
      </c>
      <c r="F60" s="14">
        <v>42639.0</v>
      </c>
      <c r="G60" s="14">
        <v>42639.0</v>
      </c>
      <c r="H60" s="6" t="s">
        <v>1747</v>
      </c>
      <c r="I60" s="478">
        <v>42646.0</v>
      </c>
      <c r="J60" s="468" t="s">
        <v>8504</v>
      </c>
      <c r="K60" s="17" t="s">
        <v>8586</v>
      </c>
      <c r="L60" s="42"/>
      <c r="M60" s="42"/>
      <c r="N60" s="61"/>
    </row>
    <row r="61" ht="29.25" customHeight="1">
      <c r="A61" s="42">
        <v>30619.0</v>
      </c>
      <c r="B61" s="42" t="s">
        <v>21</v>
      </c>
      <c r="C61" s="12">
        <v>548.0</v>
      </c>
      <c r="D61" s="215" t="s">
        <v>8587</v>
      </c>
      <c r="E61" s="19" t="s">
        <v>8588</v>
      </c>
      <c r="F61" s="14">
        <v>42639.0</v>
      </c>
      <c r="G61" s="14">
        <v>42639.0</v>
      </c>
      <c r="H61" s="6" t="s">
        <v>1747</v>
      </c>
      <c r="I61" s="478">
        <v>42648.0</v>
      </c>
      <c r="J61" s="466" t="s">
        <v>8589</v>
      </c>
      <c r="K61" s="17" t="s">
        <v>8590</v>
      </c>
      <c r="L61" s="42"/>
      <c r="M61" s="42"/>
      <c r="N61" s="61"/>
    </row>
    <row r="62" ht="29.25" customHeight="1">
      <c r="A62" s="42">
        <v>30552.0</v>
      </c>
      <c r="B62" s="42" t="s">
        <v>14</v>
      </c>
      <c r="C62" s="12">
        <v>944.0</v>
      </c>
      <c r="D62" s="42" t="s">
        <v>8591</v>
      </c>
      <c r="E62" s="19" t="s">
        <v>8592</v>
      </c>
      <c r="F62" s="14">
        <v>42639.0</v>
      </c>
      <c r="G62" s="14">
        <v>42642.0</v>
      </c>
      <c r="H62" s="6" t="s">
        <v>1747</v>
      </c>
      <c r="I62" s="478">
        <v>42648.0</v>
      </c>
      <c r="J62" s="468" t="s">
        <v>2535</v>
      </c>
      <c r="K62" s="487" t="s">
        <v>8593</v>
      </c>
      <c r="L62" s="42"/>
      <c r="M62" s="42"/>
      <c r="N62" s="61"/>
    </row>
    <row r="63" ht="29.25" customHeight="1">
      <c r="A63" s="42">
        <v>30286.0</v>
      </c>
      <c r="B63" s="42" t="s">
        <v>21</v>
      </c>
      <c r="C63" s="12">
        <v>191.0</v>
      </c>
      <c r="D63" s="123" t="s">
        <v>8594</v>
      </c>
      <c r="E63" s="19" t="s">
        <v>8595</v>
      </c>
      <c r="F63" s="14">
        <v>42635.0</v>
      </c>
      <c r="G63" s="14">
        <v>42653.0</v>
      </c>
      <c r="H63" s="6" t="s">
        <v>1747</v>
      </c>
      <c r="I63" s="478">
        <v>42649.0</v>
      </c>
      <c r="J63" s="468" t="s">
        <v>8542</v>
      </c>
      <c r="K63" s="126" t="s">
        <v>8596</v>
      </c>
      <c r="L63" s="42"/>
      <c r="M63" s="42"/>
      <c r="N63" s="61"/>
    </row>
    <row r="64" ht="29.25" customHeight="1">
      <c r="A64" s="42">
        <v>30560.0</v>
      </c>
      <c r="B64" s="42" t="s">
        <v>14</v>
      </c>
      <c r="C64" s="12">
        <v>1300.0</v>
      </c>
      <c r="D64" s="123" t="s">
        <v>8597</v>
      </c>
      <c r="E64" s="19" t="s">
        <v>344</v>
      </c>
      <c r="F64" s="14">
        <v>42635.0</v>
      </c>
      <c r="G64" s="491">
        <v>42628.0</v>
      </c>
      <c r="H64" s="6" t="s">
        <v>1747</v>
      </c>
      <c r="I64" s="478">
        <v>42641.0</v>
      </c>
      <c r="J64" s="466"/>
      <c r="K64" s="17" t="s">
        <v>8598</v>
      </c>
      <c r="L64" s="42"/>
      <c r="M64" s="42"/>
      <c r="N64" s="61"/>
    </row>
    <row r="65" ht="29.25" customHeight="1">
      <c r="A65" s="42">
        <v>30502.0</v>
      </c>
      <c r="B65" s="42" t="s">
        <v>14</v>
      </c>
      <c r="C65" s="12">
        <v>600.0</v>
      </c>
      <c r="D65" s="123" t="s">
        <v>8599</v>
      </c>
      <c r="E65" s="19" t="s">
        <v>8600</v>
      </c>
      <c r="F65" s="14">
        <v>42635.0</v>
      </c>
      <c r="G65" s="14">
        <v>42635.0</v>
      </c>
      <c r="H65" s="6" t="s">
        <v>1747</v>
      </c>
      <c r="I65" s="478">
        <v>42641.0</v>
      </c>
      <c r="J65" s="466"/>
      <c r="K65" s="17" t="s">
        <v>8601</v>
      </c>
      <c r="L65" s="42"/>
      <c r="M65" s="42"/>
      <c r="N65" s="61"/>
    </row>
    <row r="66" ht="29.25" customHeight="1">
      <c r="A66" s="42">
        <v>30333.0</v>
      </c>
      <c r="B66" s="42" t="s">
        <v>25</v>
      </c>
      <c r="C66" s="12">
        <v>1122.0</v>
      </c>
      <c r="D66" s="123" t="s">
        <v>8602</v>
      </c>
      <c r="E66" s="19" t="s">
        <v>8603</v>
      </c>
      <c r="F66" s="14">
        <v>42635.0</v>
      </c>
      <c r="G66" s="492">
        <v>42640.0</v>
      </c>
      <c r="H66" s="6" t="s">
        <v>1747</v>
      </c>
      <c r="I66" s="478">
        <v>42641.0</v>
      </c>
      <c r="J66" s="466"/>
      <c r="K66" s="17" t="s">
        <v>8604</v>
      </c>
      <c r="L66" s="42" t="s">
        <v>497</v>
      </c>
      <c r="M66" s="42" t="s">
        <v>3868</v>
      </c>
      <c r="N66" s="61">
        <v>19085.6</v>
      </c>
    </row>
    <row r="67" ht="29.25" customHeight="1">
      <c r="A67" s="42" t="s">
        <v>8605</v>
      </c>
      <c r="B67" s="42" t="s">
        <v>25</v>
      </c>
      <c r="C67" s="12">
        <v>138.0</v>
      </c>
      <c r="D67" s="123" t="s">
        <v>8606</v>
      </c>
      <c r="E67" s="19" t="s">
        <v>8607</v>
      </c>
      <c r="F67" s="14">
        <v>42634.0</v>
      </c>
      <c r="G67" s="1" t="s">
        <v>28</v>
      </c>
      <c r="H67" s="6" t="s">
        <v>1747</v>
      </c>
      <c r="I67" s="478">
        <v>42643.0</v>
      </c>
      <c r="J67" s="466"/>
      <c r="K67" s="17" t="s">
        <v>8608</v>
      </c>
      <c r="L67" s="42"/>
      <c r="M67" s="42"/>
      <c r="N67" s="61"/>
    </row>
    <row r="68" ht="29.25" customHeight="1">
      <c r="A68" s="42">
        <v>30378.0</v>
      </c>
      <c r="B68" s="42" t="s">
        <v>21</v>
      </c>
      <c r="C68" s="12">
        <v>900.0</v>
      </c>
      <c r="D68" s="123" t="s">
        <v>8609</v>
      </c>
      <c r="E68" s="19" t="s">
        <v>8435</v>
      </c>
      <c r="F68" s="14">
        <v>42633.0</v>
      </c>
      <c r="G68" s="14">
        <v>42632.0</v>
      </c>
      <c r="H68" s="6" t="s">
        <v>1747</v>
      </c>
      <c r="I68" s="478">
        <v>42639.0</v>
      </c>
      <c r="J68" s="468"/>
      <c r="K68" s="126" t="s">
        <v>8610</v>
      </c>
      <c r="L68" s="42"/>
      <c r="M68" s="42"/>
      <c r="N68" s="61"/>
    </row>
    <row r="69" ht="29.25" customHeight="1">
      <c r="A69" s="42">
        <v>30337.0</v>
      </c>
      <c r="B69" s="42" t="s">
        <v>21</v>
      </c>
      <c r="C69" s="12">
        <v>441.0</v>
      </c>
      <c r="D69" s="128" t="s">
        <v>8611</v>
      </c>
      <c r="E69" s="19" t="s">
        <v>8612</v>
      </c>
      <c r="F69" s="14">
        <v>42632.0</v>
      </c>
      <c r="G69" s="14">
        <v>42633.0</v>
      </c>
      <c r="H69" s="6" t="s">
        <v>1747</v>
      </c>
      <c r="I69" s="478">
        <v>42633.0</v>
      </c>
      <c r="J69" s="466"/>
      <c r="K69" s="17" t="s">
        <v>8613</v>
      </c>
      <c r="L69" s="42"/>
      <c r="M69" s="42"/>
      <c r="N69" s="61"/>
    </row>
    <row r="70" ht="29.25" customHeight="1">
      <c r="A70" s="42">
        <v>30214.0</v>
      </c>
      <c r="B70" s="42" t="s">
        <v>14</v>
      </c>
      <c r="C70" s="12">
        <v>858.0</v>
      </c>
      <c r="D70" s="123" t="s">
        <v>8614</v>
      </c>
      <c r="E70" s="19" t="s">
        <v>8615</v>
      </c>
      <c r="F70" s="14">
        <v>42632.0</v>
      </c>
      <c r="G70" s="14">
        <v>42628.0</v>
      </c>
      <c r="H70" s="6" t="s">
        <v>1747</v>
      </c>
      <c r="I70" s="478">
        <v>42634.0</v>
      </c>
      <c r="J70" s="466"/>
      <c r="K70" s="17" t="s">
        <v>8616</v>
      </c>
      <c r="L70" s="42"/>
      <c r="M70" s="42"/>
      <c r="N70" s="61"/>
    </row>
    <row r="71" ht="29.25" customHeight="1">
      <c r="A71" s="42">
        <v>29924.0</v>
      </c>
      <c r="B71" s="42" t="s">
        <v>14</v>
      </c>
      <c r="C71" s="12">
        <v>860.0</v>
      </c>
      <c r="D71" s="123" t="s">
        <v>8617</v>
      </c>
      <c r="E71" s="19" t="s">
        <v>8618</v>
      </c>
      <c r="F71" s="14">
        <v>42632.0</v>
      </c>
      <c r="G71" s="14">
        <v>42628.0</v>
      </c>
      <c r="H71" s="6" t="s">
        <v>1747</v>
      </c>
      <c r="I71" s="478">
        <v>42636.0</v>
      </c>
      <c r="J71" s="466"/>
      <c r="K71" s="17" t="s">
        <v>8619</v>
      </c>
      <c r="L71" s="42" t="s">
        <v>497</v>
      </c>
      <c r="M71" s="42" t="s">
        <v>1077</v>
      </c>
      <c r="N71" s="61">
        <v>39807.4</v>
      </c>
    </row>
    <row r="72" ht="29.25" customHeight="1">
      <c r="A72" s="42">
        <v>30210.0</v>
      </c>
      <c r="B72" s="42" t="s">
        <v>25</v>
      </c>
      <c r="C72" s="12">
        <v>2125.0</v>
      </c>
      <c r="D72" s="123" t="s">
        <v>8620</v>
      </c>
      <c r="E72" s="19" t="s">
        <v>8621</v>
      </c>
      <c r="F72" s="14">
        <v>42630.0</v>
      </c>
      <c r="G72" s="14">
        <v>42628.0</v>
      </c>
      <c r="H72" s="6" t="s">
        <v>1747</v>
      </c>
      <c r="I72" s="493">
        <v>42633.0</v>
      </c>
      <c r="J72" s="466"/>
      <c r="K72" s="17" t="s">
        <v>8622</v>
      </c>
      <c r="L72" s="42"/>
      <c r="M72" s="42"/>
      <c r="N72" s="61"/>
    </row>
    <row r="73" ht="29.25" customHeight="1">
      <c r="A73" s="488">
        <v>30460.0</v>
      </c>
      <c r="B73" s="42" t="s">
        <v>14</v>
      </c>
      <c r="C73" s="12">
        <v>2450.0</v>
      </c>
      <c r="D73" s="42" t="s">
        <v>8623</v>
      </c>
      <c r="E73" s="19" t="s">
        <v>8563</v>
      </c>
      <c r="F73" s="14">
        <v>42629.0</v>
      </c>
      <c r="G73" s="14">
        <v>42632.0</v>
      </c>
      <c r="H73" s="6" t="s">
        <v>1747</v>
      </c>
      <c r="I73" s="478">
        <v>42640.0</v>
      </c>
      <c r="J73" s="466"/>
      <c r="K73" s="17" t="s">
        <v>8624</v>
      </c>
      <c r="L73" s="42" t="s">
        <v>497</v>
      </c>
      <c r="M73" s="42" t="s">
        <v>1052</v>
      </c>
      <c r="N73" s="61">
        <v>28914.0</v>
      </c>
    </row>
    <row r="74" ht="29.25" customHeight="1">
      <c r="A74" s="42">
        <v>30501.0</v>
      </c>
      <c r="B74" s="42" t="s">
        <v>14</v>
      </c>
      <c r="C74" s="12">
        <v>545.0</v>
      </c>
      <c r="D74" s="484" t="s">
        <v>8625</v>
      </c>
      <c r="E74" s="19" t="s">
        <v>8626</v>
      </c>
      <c r="F74" s="14">
        <v>42628.0</v>
      </c>
      <c r="G74" s="14">
        <v>42627.0</v>
      </c>
      <c r="H74" s="6" t="s">
        <v>1747</v>
      </c>
      <c r="I74" s="478">
        <v>42634.0</v>
      </c>
      <c r="J74" s="466"/>
      <c r="K74" s="17" t="s">
        <v>8627</v>
      </c>
      <c r="L74" s="42"/>
      <c r="M74" s="42"/>
      <c r="N74" s="61"/>
    </row>
    <row r="75" ht="29.25" customHeight="1">
      <c r="A75" s="42">
        <v>30545.0</v>
      </c>
      <c r="B75" s="42" t="s">
        <v>21</v>
      </c>
      <c r="C75" s="12">
        <v>1256.0</v>
      </c>
      <c r="D75" s="123" t="s">
        <v>8628</v>
      </c>
      <c r="E75" s="19" t="s">
        <v>8629</v>
      </c>
      <c r="F75" s="14">
        <v>42625.0</v>
      </c>
      <c r="G75" s="478">
        <v>42646.0</v>
      </c>
      <c r="H75" s="123" t="s">
        <v>1747</v>
      </c>
      <c r="I75" s="478">
        <v>42633.0</v>
      </c>
      <c r="J75" s="466"/>
      <c r="K75" s="17" t="s">
        <v>8630</v>
      </c>
      <c r="L75" s="42"/>
      <c r="M75" s="42"/>
      <c r="N75" s="61"/>
    </row>
    <row r="76" ht="29.25" customHeight="1">
      <c r="A76" s="42">
        <v>30367.0</v>
      </c>
      <c r="B76" s="42" t="s">
        <v>21</v>
      </c>
      <c r="C76" s="12">
        <v>480.0</v>
      </c>
      <c r="D76" s="123" t="s">
        <v>8631</v>
      </c>
      <c r="E76" s="19" t="s">
        <v>8632</v>
      </c>
      <c r="F76" s="14">
        <v>42625.0</v>
      </c>
      <c r="G76" s="14">
        <v>42626.0</v>
      </c>
      <c r="H76" s="123" t="s">
        <v>1747</v>
      </c>
      <c r="I76" s="478">
        <v>42632.0</v>
      </c>
      <c r="J76" s="466"/>
      <c r="K76" s="17" t="s">
        <v>8633</v>
      </c>
      <c r="L76" s="42"/>
      <c r="M76" s="42"/>
      <c r="N76" s="61"/>
    </row>
    <row r="77" ht="29.25" customHeight="1">
      <c r="A77" s="42">
        <v>30186.0</v>
      </c>
      <c r="B77" s="42" t="s">
        <v>25</v>
      </c>
      <c r="C77" s="12">
        <v>1548.0</v>
      </c>
      <c r="D77" s="123" t="s">
        <v>8634</v>
      </c>
      <c r="E77" s="19" t="s">
        <v>8503</v>
      </c>
      <c r="F77" s="14">
        <v>42624.0</v>
      </c>
      <c r="G77" s="14">
        <v>42620.0</v>
      </c>
      <c r="H77" s="123" t="s">
        <v>1747</v>
      </c>
      <c r="I77" s="478">
        <v>42627.0</v>
      </c>
      <c r="J77" s="466"/>
      <c r="K77" s="17" t="s">
        <v>8635</v>
      </c>
      <c r="L77" s="42"/>
      <c r="M77" s="42"/>
      <c r="N77" s="61"/>
    </row>
    <row r="78" ht="29.25" customHeight="1">
      <c r="A78" s="42">
        <v>30307.0</v>
      </c>
      <c r="B78" s="42" t="s">
        <v>21</v>
      </c>
      <c r="C78" s="12">
        <v>2227.0</v>
      </c>
      <c r="D78" s="42" t="s">
        <v>8636</v>
      </c>
      <c r="E78" s="19" t="s">
        <v>1617</v>
      </c>
      <c r="F78" s="14">
        <v>42623.0</v>
      </c>
      <c r="G78" s="14">
        <v>42619.0</v>
      </c>
      <c r="H78" s="123" t="s">
        <v>1747</v>
      </c>
      <c r="I78" s="478">
        <v>42628.0</v>
      </c>
      <c r="J78" s="466"/>
      <c r="K78" s="17" t="s">
        <v>8637</v>
      </c>
      <c r="L78" s="42" t="s">
        <v>497</v>
      </c>
      <c r="M78" s="42" t="s">
        <v>1052</v>
      </c>
      <c r="N78" s="61">
        <v>29262.78</v>
      </c>
    </row>
    <row r="79" ht="29.25" customHeight="1">
      <c r="A79" s="42">
        <v>30561.0</v>
      </c>
      <c r="B79" s="42" t="s">
        <v>21</v>
      </c>
      <c r="C79" s="12">
        <v>1150.0</v>
      </c>
      <c r="D79" s="123" t="s">
        <v>8638</v>
      </c>
      <c r="E79" s="19" t="s">
        <v>8475</v>
      </c>
      <c r="F79" s="14">
        <v>42621.0</v>
      </c>
      <c r="G79" s="14">
        <v>42625.0</v>
      </c>
      <c r="H79" s="123" t="s">
        <v>1747</v>
      </c>
      <c r="I79" s="478">
        <v>42629.0</v>
      </c>
      <c r="J79" s="466"/>
      <c r="K79" s="17" t="s">
        <v>8639</v>
      </c>
      <c r="L79" s="42"/>
      <c r="M79" s="42"/>
      <c r="N79" s="61"/>
    </row>
    <row r="80" ht="29.25" customHeight="1">
      <c r="A80" s="42">
        <v>30405.0</v>
      </c>
      <c r="B80" s="42" t="s">
        <v>14</v>
      </c>
      <c r="C80" s="12">
        <v>1684.0</v>
      </c>
      <c r="D80" s="123" t="s">
        <v>8640</v>
      </c>
      <c r="E80" s="19" t="s">
        <v>675</v>
      </c>
      <c r="F80" s="14">
        <v>42621.0</v>
      </c>
      <c r="G80" s="125">
        <v>42622.0</v>
      </c>
      <c r="H80" s="6" t="s">
        <v>1747</v>
      </c>
      <c r="I80" s="478">
        <v>42626.0</v>
      </c>
      <c r="J80" s="466"/>
      <c r="K80" s="17" t="s">
        <v>8641</v>
      </c>
      <c r="L80" s="42"/>
      <c r="M80" s="42"/>
      <c r="N80" s="61"/>
    </row>
    <row r="81" ht="29.25" customHeight="1">
      <c r="A81" s="42">
        <v>30500.0</v>
      </c>
      <c r="B81" s="42" t="s">
        <v>14</v>
      </c>
      <c r="C81" s="12">
        <v>1182.0</v>
      </c>
      <c r="D81" s="42" t="s">
        <v>8642</v>
      </c>
      <c r="E81" s="19" t="s">
        <v>344</v>
      </c>
      <c r="F81" s="14">
        <v>42621.0</v>
      </c>
      <c r="G81" s="14">
        <v>42620.0</v>
      </c>
      <c r="H81" s="123" t="s">
        <v>1747</v>
      </c>
      <c r="I81" s="478">
        <v>42628.0</v>
      </c>
      <c r="J81" s="466"/>
      <c r="K81" s="17" t="s">
        <v>8643</v>
      </c>
      <c r="L81" s="42"/>
      <c r="M81" s="42"/>
      <c r="N81" s="61"/>
      <c r="P81" s="212"/>
    </row>
    <row r="82" ht="29.25" customHeight="1">
      <c r="A82" s="42">
        <v>30498.0</v>
      </c>
      <c r="B82" s="42" t="s">
        <v>21</v>
      </c>
      <c r="C82" s="12">
        <v>1029.0</v>
      </c>
      <c r="D82" s="42" t="s">
        <v>8644</v>
      </c>
      <c r="E82" s="19" t="s">
        <v>8645</v>
      </c>
      <c r="F82" s="14">
        <v>42619.0</v>
      </c>
      <c r="G82" s="14">
        <v>42615.0</v>
      </c>
      <c r="H82" s="123" t="s">
        <v>1747</v>
      </c>
      <c r="I82" s="478">
        <v>42626.0</v>
      </c>
      <c r="J82" s="466"/>
      <c r="K82" s="17" t="s">
        <v>8646</v>
      </c>
      <c r="L82" s="42"/>
      <c r="M82" s="42"/>
      <c r="N82" s="61"/>
    </row>
    <row r="83" ht="29.25" customHeight="1">
      <c r="A83" s="42">
        <v>30207.0</v>
      </c>
      <c r="B83" s="42" t="s">
        <v>21</v>
      </c>
      <c r="C83" s="12">
        <v>1638.0</v>
      </c>
      <c r="D83" s="123" t="s">
        <v>8647</v>
      </c>
      <c r="E83" s="19" t="s">
        <v>8648</v>
      </c>
      <c r="F83" s="14">
        <v>42618.0</v>
      </c>
      <c r="G83" s="14">
        <v>42620.0</v>
      </c>
      <c r="H83" s="123" t="s">
        <v>1747</v>
      </c>
      <c r="I83" s="68">
        <v>42621.0</v>
      </c>
      <c r="J83" s="466"/>
      <c r="K83" s="17" t="s">
        <v>8649</v>
      </c>
      <c r="L83" s="42"/>
      <c r="M83" s="42"/>
      <c r="N83" s="61"/>
      <c r="P83" s="154"/>
    </row>
    <row r="84" ht="29.25" customHeight="1">
      <c r="A84" s="42">
        <v>30305.0</v>
      </c>
      <c r="B84" s="42" t="s">
        <v>14</v>
      </c>
      <c r="C84" s="12">
        <v>2450.0</v>
      </c>
      <c r="D84" s="42" t="s">
        <v>8650</v>
      </c>
      <c r="E84" s="19" t="s">
        <v>8651</v>
      </c>
      <c r="F84" s="14">
        <v>42618.0</v>
      </c>
      <c r="G84" s="14">
        <v>42620.0</v>
      </c>
      <c r="H84" s="123" t="s">
        <v>1747</v>
      </c>
      <c r="I84" s="478">
        <v>42627.0</v>
      </c>
      <c r="J84" s="466"/>
      <c r="K84" s="17" t="s">
        <v>8652</v>
      </c>
      <c r="L84" s="42"/>
      <c r="M84" s="42"/>
      <c r="N84" s="61"/>
    </row>
    <row r="85" ht="29.25" customHeight="1">
      <c r="A85" s="42">
        <v>30454.0</v>
      </c>
      <c r="B85" s="42" t="s">
        <v>14</v>
      </c>
      <c r="C85" s="12">
        <v>1025.0</v>
      </c>
      <c r="D85" s="42" t="s">
        <v>8653</v>
      </c>
      <c r="E85" s="19" t="s">
        <v>8654</v>
      </c>
      <c r="F85" s="14">
        <v>42618.0</v>
      </c>
      <c r="G85" s="14">
        <v>42615.0</v>
      </c>
      <c r="H85" s="123" t="s">
        <v>1747</v>
      </c>
      <c r="I85" s="478">
        <v>42626.0</v>
      </c>
      <c r="J85" s="466"/>
      <c r="K85" s="17" t="s">
        <v>8655</v>
      </c>
      <c r="L85" s="42"/>
      <c r="M85" s="42"/>
      <c r="N85" s="61"/>
    </row>
    <row r="86" ht="29.25" customHeight="1">
      <c r="A86" s="488" t="s">
        <v>8656</v>
      </c>
      <c r="B86" s="42" t="s">
        <v>21</v>
      </c>
      <c r="C86" s="12">
        <v>179.0</v>
      </c>
      <c r="D86" s="123" t="s">
        <v>8657</v>
      </c>
      <c r="E86" s="19" t="s">
        <v>8658</v>
      </c>
      <c r="F86" s="14">
        <v>42617.0</v>
      </c>
      <c r="G86" s="1" t="s">
        <v>28</v>
      </c>
      <c r="H86" s="123" t="s">
        <v>1747</v>
      </c>
      <c r="I86" s="478">
        <v>42628.0</v>
      </c>
      <c r="J86" s="466"/>
      <c r="K86" s="17" t="s">
        <v>8659</v>
      </c>
      <c r="L86" s="42" t="s">
        <v>497</v>
      </c>
      <c r="M86" s="42" t="s">
        <v>1048</v>
      </c>
      <c r="N86" s="61">
        <v>19032.95</v>
      </c>
    </row>
    <row r="87" ht="29.25" customHeight="1">
      <c r="A87" s="42">
        <v>30499.0</v>
      </c>
      <c r="B87" s="42" t="s">
        <v>21</v>
      </c>
      <c r="C87" s="12">
        <v>1266.0</v>
      </c>
      <c r="D87" s="42" t="s">
        <v>8660</v>
      </c>
      <c r="E87" s="19" t="s">
        <v>8661</v>
      </c>
      <c r="F87" s="14">
        <v>42617.0</v>
      </c>
      <c r="G87" s="478">
        <v>42633.0</v>
      </c>
      <c r="H87" s="123" t="s">
        <v>1747</v>
      </c>
      <c r="I87" s="478">
        <v>42622.0</v>
      </c>
      <c r="J87" s="466"/>
      <c r="K87" s="17" t="s">
        <v>8662</v>
      </c>
      <c r="L87" s="42"/>
      <c r="M87" s="42"/>
      <c r="N87" s="61"/>
    </row>
    <row r="88" ht="29.25" customHeight="1">
      <c r="A88" s="42">
        <v>30550.0</v>
      </c>
      <c r="B88" s="42" t="s">
        <v>25</v>
      </c>
      <c r="C88" s="12">
        <v>1182.0</v>
      </c>
      <c r="D88" s="123" t="s">
        <v>8663</v>
      </c>
      <c r="E88" s="19" t="s">
        <v>8664</v>
      </c>
      <c r="F88" s="14">
        <v>42617.0</v>
      </c>
      <c r="G88" s="14">
        <v>42615.0</v>
      </c>
      <c r="H88" s="123" t="s">
        <v>1747</v>
      </c>
      <c r="I88" s="478">
        <v>42622.0</v>
      </c>
      <c r="J88" s="466"/>
      <c r="K88" s="17" t="s">
        <v>8665</v>
      </c>
      <c r="L88" s="42"/>
      <c r="M88" s="42"/>
      <c r="N88" s="61"/>
    </row>
    <row r="89" ht="29.25" customHeight="1">
      <c r="A89" s="488">
        <v>30518.0</v>
      </c>
      <c r="B89" s="42" t="s">
        <v>21</v>
      </c>
      <c r="C89" s="12">
        <v>1182.0</v>
      </c>
      <c r="D89" s="123" t="s">
        <v>8666</v>
      </c>
      <c r="E89" s="19" t="s">
        <v>8667</v>
      </c>
      <c r="F89" s="14">
        <v>42616.0</v>
      </c>
      <c r="G89" s="14">
        <v>42621.0</v>
      </c>
      <c r="H89" s="123" t="s">
        <v>1747</v>
      </c>
      <c r="I89" s="478">
        <v>42625.0</v>
      </c>
      <c r="J89" s="466"/>
      <c r="K89" s="17" t="s">
        <v>8668</v>
      </c>
      <c r="L89" s="42"/>
      <c r="M89" s="42"/>
      <c r="N89" s="61"/>
    </row>
    <row r="90" ht="29.25" customHeight="1">
      <c r="A90" s="42">
        <v>30508.0</v>
      </c>
      <c r="B90" s="42" t="s">
        <v>14</v>
      </c>
      <c r="C90" s="12">
        <v>1240.0</v>
      </c>
      <c r="D90" s="123" t="s">
        <v>8669</v>
      </c>
      <c r="E90" s="19" t="s">
        <v>8475</v>
      </c>
      <c r="F90" s="14">
        <v>42614.0</v>
      </c>
      <c r="G90" s="14">
        <v>42621.0</v>
      </c>
      <c r="H90" s="123" t="s">
        <v>1747</v>
      </c>
      <c r="I90" s="478">
        <v>42621.0</v>
      </c>
      <c r="J90" s="466"/>
      <c r="K90" s="17" t="s">
        <v>8670</v>
      </c>
      <c r="L90" s="42"/>
      <c r="M90" s="42"/>
      <c r="N90" s="61"/>
    </row>
    <row r="91" ht="29.25" customHeight="1">
      <c r="A91" s="45">
        <v>30166.0</v>
      </c>
      <c r="B91" s="42" t="s">
        <v>21</v>
      </c>
      <c r="C91" s="12">
        <v>500.0</v>
      </c>
      <c r="D91" s="42" t="s">
        <v>8671</v>
      </c>
      <c r="E91" s="19" t="s">
        <v>8672</v>
      </c>
      <c r="F91" s="14">
        <v>42612.0</v>
      </c>
      <c r="G91" s="14">
        <v>42611.0</v>
      </c>
      <c r="H91" s="123" t="s">
        <v>1747</v>
      </c>
      <c r="I91" s="478">
        <v>42621.0</v>
      </c>
      <c r="J91" s="466"/>
      <c r="K91" s="17" t="s">
        <v>8673</v>
      </c>
      <c r="L91" s="42"/>
      <c r="M91" s="42"/>
      <c r="N91" s="61"/>
    </row>
    <row r="92" ht="29.25" customHeight="1">
      <c r="A92" s="42">
        <v>30089.0</v>
      </c>
      <c r="B92" s="42" t="s">
        <v>14</v>
      </c>
      <c r="C92" s="12">
        <v>2000.0</v>
      </c>
      <c r="D92" s="42" t="s">
        <v>8674</v>
      </c>
      <c r="E92" s="19" t="s">
        <v>8675</v>
      </c>
      <c r="F92" s="14">
        <v>42612.0</v>
      </c>
      <c r="G92" s="14">
        <v>42615.0</v>
      </c>
      <c r="H92" s="123" t="s">
        <v>1747</v>
      </c>
      <c r="I92" s="478">
        <v>42615.0</v>
      </c>
      <c r="J92" s="466"/>
      <c r="K92" s="17" t="s">
        <v>8676</v>
      </c>
      <c r="L92" s="42" t="s">
        <v>497</v>
      </c>
      <c r="M92" s="42" t="s">
        <v>1052</v>
      </c>
      <c r="N92" s="61">
        <v>29000.0</v>
      </c>
    </row>
    <row r="93" ht="29.25" customHeight="1">
      <c r="A93" s="42">
        <v>30509.0</v>
      </c>
      <c r="B93" s="42" t="s">
        <v>21</v>
      </c>
      <c r="C93" s="12">
        <v>488.0</v>
      </c>
      <c r="D93" s="42" t="s">
        <v>8677</v>
      </c>
      <c r="E93" s="19" t="s">
        <v>8678</v>
      </c>
      <c r="F93" s="14">
        <v>42611.0</v>
      </c>
      <c r="G93" s="14">
        <v>42607.0</v>
      </c>
      <c r="H93" s="123" t="s">
        <v>1747</v>
      </c>
      <c r="I93" s="478">
        <v>42615.0</v>
      </c>
      <c r="J93" s="466"/>
      <c r="K93" s="17" t="s">
        <v>8679</v>
      </c>
      <c r="L93" s="42"/>
      <c r="M93" s="42"/>
      <c r="N93" s="61"/>
    </row>
    <row r="94" ht="29.25" customHeight="1">
      <c r="A94" s="45">
        <v>30468.0</v>
      </c>
      <c r="B94" s="42" t="s">
        <v>14</v>
      </c>
      <c r="C94" s="12">
        <v>1182.0</v>
      </c>
      <c r="D94" s="42" t="s">
        <v>8680</v>
      </c>
      <c r="E94" s="19" t="s">
        <v>8664</v>
      </c>
      <c r="F94" s="14">
        <v>42607.0</v>
      </c>
      <c r="G94" s="14">
        <v>42605.0</v>
      </c>
      <c r="H94" s="123" t="s">
        <v>1747</v>
      </c>
      <c r="I94" s="478">
        <v>42625.0</v>
      </c>
      <c r="J94" s="466"/>
      <c r="K94" s="17" t="s">
        <v>8681</v>
      </c>
      <c r="L94" s="42"/>
      <c r="M94" s="42"/>
      <c r="N94" s="61"/>
    </row>
    <row r="95" ht="29.25" customHeight="1">
      <c r="A95" s="45">
        <v>30469.0</v>
      </c>
      <c r="B95" s="42" t="s">
        <v>14</v>
      </c>
      <c r="C95" s="12">
        <v>1300.0</v>
      </c>
      <c r="D95" s="42" t="s">
        <v>8682</v>
      </c>
      <c r="E95" s="19" t="s">
        <v>8664</v>
      </c>
      <c r="F95" s="14">
        <v>42607.0</v>
      </c>
      <c r="G95" s="14">
        <v>42605.0</v>
      </c>
      <c r="H95" s="123" t="s">
        <v>1747</v>
      </c>
      <c r="I95" s="478">
        <v>42621.0</v>
      </c>
      <c r="J95" s="466"/>
      <c r="K95" s="17" t="s">
        <v>8683</v>
      </c>
      <c r="L95" s="42" t="s">
        <v>1023</v>
      </c>
      <c r="M95" s="42"/>
      <c r="N95" s="61"/>
    </row>
    <row r="96" ht="29.25" customHeight="1">
      <c r="A96" s="42">
        <v>30213.0</v>
      </c>
      <c r="B96" s="42" t="s">
        <v>14</v>
      </c>
      <c r="C96" s="12">
        <v>940.0</v>
      </c>
      <c r="D96" s="123" t="s">
        <v>8684</v>
      </c>
      <c r="E96" s="19" t="s">
        <v>8685</v>
      </c>
      <c r="F96" s="14">
        <v>42604.0</v>
      </c>
      <c r="G96" s="14">
        <v>42605.0</v>
      </c>
      <c r="H96" s="123" t="s">
        <v>1747</v>
      </c>
      <c r="I96" s="478">
        <v>42608.0</v>
      </c>
      <c r="J96" s="466"/>
      <c r="K96" s="17" t="s">
        <v>8686</v>
      </c>
      <c r="L96" s="42"/>
      <c r="M96" s="42"/>
      <c r="N96" s="61"/>
    </row>
    <row r="97" ht="29.25" customHeight="1">
      <c r="A97" s="45">
        <v>30083.0</v>
      </c>
      <c r="B97" s="42" t="s">
        <v>14</v>
      </c>
      <c r="C97" s="12">
        <v>2000.0</v>
      </c>
      <c r="D97" s="42" t="s">
        <v>8687</v>
      </c>
      <c r="E97" s="19" t="s">
        <v>8688</v>
      </c>
      <c r="F97" s="14">
        <v>42604.0</v>
      </c>
      <c r="G97" s="14">
        <v>42604.0</v>
      </c>
      <c r="H97" s="123" t="s">
        <v>1747</v>
      </c>
      <c r="I97" s="478">
        <v>42611.0</v>
      </c>
      <c r="J97" s="466"/>
      <c r="K97" s="17" t="s">
        <v>8689</v>
      </c>
      <c r="L97" s="42" t="s">
        <v>497</v>
      </c>
      <c r="M97" s="42" t="s">
        <v>1052</v>
      </c>
      <c r="N97" s="61">
        <v>27985.0</v>
      </c>
    </row>
    <row r="98" ht="29.25" customHeight="1">
      <c r="A98" s="45">
        <v>30080.0</v>
      </c>
      <c r="B98" s="42" t="s">
        <v>25</v>
      </c>
      <c r="C98" s="12">
        <v>2000.0</v>
      </c>
      <c r="D98" s="42" t="s">
        <v>8690</v>
      </c>
      <c r="E98" s="19" t="s">
        <v>8691</v>
      </c>
      <c r="F98" s="14">
        <v>42604.0</v>
      </c>
      <c r="G98" s="14">
        <v>42600.0</v>
      </c>
      <c r="H98" s="123" t="s">
        <v>1747</v>
      </c>
      <c r="I98" s="478">
        <v>42607.0</v>
      </c>
      <c r="J98" s="466"/>
      <c r="K98" s="17" t="s">
        <v>8692</v>
      </c>
      <c r="L98" s="42" t="s">
        <v>497</v>
      </c>
      <c r="M98" s="42" t="s">
        <v>1052</v>
      </c>
      <c r="N98" s="82">
        <v>29262.78</v>
      </c>
    </row>
    <row r="99" ht="29.25" customHeight="1">
      <c r="A99" s="45">
        <v>29860.0</v>
      </c>
      <c r="B99" s="42" t="s">
        <v>25</v>
      </c>
      <c r="C99" s="12">
        <v>2227.0</v>
      </c>
      <c r="D99" s="42" t="s">
        <v>8693</v>
      </c>
      <c r="E99" s="19" t="s">
        <v>1344</v>
      </c>
      <c r="F99" s="16">
        <v>42604.0</v>
      </c>
      <c r="G99" s="14">
        <v>42600.0</v>
      </c>
      <c r="H99" s="123" t="s">
        <v>1747</v>
      </c>
      <c r="I99" s="478">
        <v>42611.0</v>
      </c>
      <c r="J99" s="466"/>
      <c r="K99" s="17" t="s">
        <v>8694</v>
      </c>
      <c r="L99" s="42" t="s">
        <v>497</v>
      </c>
      <c r="M99" s="42" t="s">
        <v>1052</v>
      </c>
      <c r="N99" s="82">
        <v>29000.0</v>
      </c>
    </row>
    <row r="100" ht="29.25" customHeight="1">
      <c r="A100" s="42">
        <v>30294.0</v>
      </c>
      <c r="B100" s="42" t="s">
        <v>25</v>
      </c>
      <c r="C100" s="12">
        <v>1800.0</v>
      </c>
      <c r="D100" s="42" t="s">
        <v>8695</v>
      </c>
      <c r="E100" s="19" t="s">
        <v>8696</v>
      </c>
      <c r="F100" s="14">
        <v>42604.0</v>
      </c>
      <c r="G100" s="14">
        <v>42600.0</v>
      </c>
      <c r="H100" s="123" t="s">
        <v>1747</v>
      </c>
      <c r="I100" s="478">
        <v>42608.0</v>
      </c>
      <c r="J100" s="466"/>
      <c r="K100" s="17" t="s">
        <v>8697</v>
      </c>
      <c r="L100" s="42"/>
      <c r="M100" s="42"/>
      <c r="N100" s="82"/>
    </row>
    <row r="101" ht="29.25" customHeight="1">
      <c r="A101" s="42">
        <v>30341.0</v>
      </c>
      <c r="B101" s="42" t="s">
        <v>21</v>
      </c>
      <c r="C101" s="12">
        <v>101.0</v>
      </c>
      <c r="D101" s="128" t="s">
        <v>8698</v>
      </c>
      <c r="E101" s="19" t="s">
        <v>8699</v>
      </c>
      <c r="F101" s="14">
        <v>42603.0</v>
      </c>
      <c r="G101" s="14">
        <v>42599.0</v>
      </c>
      <c r="H101" s="123" t="s">
        <v>1747</v>
      </c>
      <c r="I101" s="478">
        <v>42607.0</v>
      </c>
      <c r="J101" s="466"/>
      <c r="K101" s="17" t="s">
        <v>8700</v>
      </c>
      <c r="L101" s="42"/>
      <c r="M101" s="42"/>
      <c r="N101" s="82"/>
    </row>
    <row r="102" ht="29.25" customHeight="1">
      <c r="A102" s="42" t="s">
        <v>8701</v>
      </c>
      <c r="B102" s="42" t="s">
        <v>21</v>
      </c>
      <c r="C102" s="12">
        <v>202.0</v>
      </c>
      <c r="D102" s="123" t="s">
        <v>8702</v>
      </c>
      <c r="E102" s="19" t="s">
        <v>8703</v>
      </c>
      <c r="F102" s="14">
        <v>42602.0</v>
      </c>
      <c r="G102" s="14">
        <v>42598.0</v>
      </c>
      <c r="H102" s="123" t="s">
        <v>1747</v>
      </c>
      <c r="I102" s="478">
        <v>42608.0</v>
      </c>
      <c r="J102" s="466"/>
      <c r="K102" s="17" t="s">
        <v>8704</v>
      </c>
      <c r="L102" s="42"/>
      <c r="M102" s="42"/>
      <c r="N102" s="82"/>
    </row>
    <row r="103" ht="29.25" customHeight="1">
      <c r="A103" s="45">
        <v>30433.0</v>
      </c>
      <c r="B103" s="42" t="s">
        <v>14</v>
      </c>
      <c r="C103" s="12">
        <v>930.0</v>
      </c>
      <c r="D103" s="42" t="s">
        <v>8705</v>
      </c>
      <c r="E103" s="19" t="s">
        <v>4295</v>
      </c>
      <c r="F103" s="14">
        <v>42599.0</v>
      </c>
      <c r="G103" s="478">
        <v>42604.0</v>
      </c>
      <c r="H103" s="123" t="s">
        <v>1747</v>
      </c>
      <c r="I103" s="478">
        <v>42604.0</v>
      </c>
      <c r="J103" s="466"/>
      <c r="K103" s="17" t="s">
        <v>8706</v>
      </c>
      <c r="L103" s="42"/>
      <c r="M103" s="42"/>
      <c r="N103" s="82"/>
    </row>
    <row r="104" ht="29.25" customHeight="1">
      <c r="A104" s="42">
        <v>30198.0</v>
      </c>
      <c r="B104" s="42" t="s">
        <v>25</v>
      </c>
      <c r="C104" s="12">
        <v>115.0</v>
      </c>
      <c r="D104" s="123" t="s">
        <v>8707</v>
      </c>
      <c r="E104" s="19" t="s">
        <v>8708</v>
      </c>
      <c r="F104" s="14">
        <v>42599.0</v>
      </c>
      <c r="G104" s="84" t="s">
        <v>8709</v>
      </c>
      <c r="H104" s="123" t="s">
        <v>1747</v>
      </c>
      <c r="I104" s="478">
        <v>42607.0</v>
      </c>
      <c r="J104" s="466"/>
      <c r="K104" s="17" t="s">
        <v>8710</v>
      </c>
      <c r="L104" s="42"/>
      <c r="M104" s="42"/>
      <c r="N104" s="82"/>
      <c r="O104" s="494"/>
    </row>
    <row r="105" ht="29.25" customHeight="1">
      <c r="A105" s="45">
        <v>29923.0</v>
      </c>
      <c r="B105" s="42" t="s">
        <v>21</v>
      </c>
      <c r="C105" s="12">
        <v>675.0</v>
      </c>
      <c r="D105" s="42" t="s">
        <v>8711</v>
      </c>
      <c r="E105" s="19" t="s">
        <v>8712</v>
      </c>
      <c r="F105" s="14">
        <v>42597.0</v>
      </c>
      <c r="G105" s="14">
        <v>42598.0</v>
      </c>
      <c r="H105" s="123" t="s">
        <v>1747</v>
      </c>
      <c r="I105" s="478">
        <v>42601.0</v>
      </c>
      <c r="J105" s="466"/>
      <c r="K105" s="17" t="s">
        <v>8713</v>
      </c>
      <c r="L105" s="42" t="s">
        <v>497</v>
      </c>
      <c r="M105" s="42" t="s">
        <v>1077</v>
      </c>
      <c r="N105" s="61">
        <v>38393.8</v>
      </c>
    </row>
    <row r="106" ht="29.25" customHeight="1">
      <c r="A106" s="42">
        <v>29773.0</v>
      </c>
      <c r="B106" s="42" t="s">
        <v>21</v>
      </c>
      <c r="C106" s="12">
        <v>767.0</v>
      </c>
      <c r="D106" s="123" t="s">
        <v>8714</v>
      </c>
      <c r="E106" s="19" t="s">
        <v>376</v>
      </c>
      <c r="F106" s="14">
        <v>42597.0</v>
      </c>
      <c r="G106" s="14">
        <v>42592.0</v>
      </c>
      <c r="H106" s="123" t="s">
        <v>1747</v>
      </c>
      <c r="I106" s="478">
        <v>42599.0</v>
      </c>
      <c r="J106" s="466"/>
      <c r="K106" s="17" t="s">
        <v>8715</v>
      </c>
      <c r="L106" s="42"/>
      <c r="M106" s="42"/>
      <c r="N106" s="61"/>
    </row>
    <row r="107" ht="29.25" customHeight="1">
      <c r="A107" s="45">
        <v>30309.0</v>
      </c>
      <c r="B107" s="42" t="s">
        <v>21</v>
      </c>
      <c r="C107" s="12">
        <v>910.0</v>
      </c>
      <c r="D107" s="42" t="s">
        <v>8716</v>
      </c>
      <c r="E107" s="19" t="s">
        <v>8717</v>
      </c>
      <c r="F107" s="14">
        <v>42596.0</v>
      </c>
      <c r="G107" s="495">
        <v>42606.0</v>
      </c>
      <c r="H107" s="123" t="s">
        <v>1747</v>
      </c>
      <c r="I107" s="478">
        <v>42600.0</v>
      </c>
      <c r="J107" s="466"/>
      <c r="K107" s="17" t="s">
        <v>8718</v>
      </c>
      <c r="L107" s="42" t="s">
        <v>497</v>
      </c>
      <c r="M107" s="42" t="s">
        <v>1048</v>
      </c>
      <c r="N107" s="61">
        <v>71756.31</v>
      </c>
    </row>
    <row r="108" ht="29.25" customHeight="1">
      <c r="A108" s="45">
        <v>30149.0</v>
      </c>
      <c r="B108" s="42" t="s">
        <v>25</v>
      </c>
      <c r="C108" s="12">
        <v>900.0</v>
      </c>
      <c r="D108" s="42" t="s">
        <v>8719</v>
      </c>
      <c r="E108" s="19" t="s">
        <v>8720</v>
      </c>
      <c r="F108" s="14">
        <v>42596.0</v>
      </c>
      <c r="G108" s="14">
        <v>42594.0</v>
      </c>
      <c r="H108" s="123" t="s">
        <v>1747</v>
      </c>
      <c r="I108" s="478">
        <v>42600.0</v>
      </c>
      <c r="J108" s="466"/>
      <c r="K108" s="17" t="s">
        <v>8721</v>
      </c>
      <c r="L108" s="42"/>
      <c r="M108" s="42"/>
      <c r="N108" s="61"/>
    </row>
    <row r="109" ht="29.25" customHeight="1">
      <c r="A109" s="45">
        <v>30442.0</v>
      </c>
      <c r="B109" s="42" t="s">
        <v>21</v>
      </c>
      <c r="C109" s="12">
        <v>1499.0</v>
      </c>
      <c r="D109" s="42" t="s">
        <v>8722</v>
      </c>
      <c r="E109" s="19" t="s">
        <v>8723</v>
      </c>
      <c r="F109" s="14">
        <v>42595.0</v>
      </c>
      <c r="G109" s="496">
        <v>42634.0</v>
      </c>
      <c r="H109" s="123" t="s">
        <v>1747</v>
      </c>
      <c r="I109" s="478">
        <v>42600.0</v>
      </c>
      <c r="J109" s="466"/>
      <c r="K109" s="17" t="s">
        <v>8724</v>
      </c>
      <c r="L109" s="42"/>
      <c r="M109" s="42"/>
      <c r="N109" s="61"/>
    </row>
    <row r="110" ht="29.25" customHeight="1">
      <c r="A110" s="45">
        <v>30261.0</v>
      </c>
      <c r="B110" s="42" t="s">
        <v>21</v>
      </c>
      <c r="C110" s="12">
        <v>1038.0</v>
      </c>
      <c r="D110" s="42" t="s">
        <v>8725</v>
      </c>
      <c r="E110" s="19" t="s">
        <v>8726</v>
      </c>
      <c r="F110" s="14">
        <v>42595.0</v>
      </c>
      <c r="G110" s="491">
        <v>42598.0</v>
      </c>
      <c r="H110" s="6" t="s">
        <v>28</v>
      </c>
      <c r="I110" s="478">
        <v>42601.0</v>
      </c>
      <c r="J110" s="466"/>
      <c r="K110" s="17" t="s">
        <v>8727</v>
      </c>
      <c r="L110" s="42" t="s">
        <v>497</v>
      </c>
      <c r="M110" s="42" t="s">
        <v>1442</v>
      </c>
      <c r="N110" s="61">
        <v>42600.0</v>
      </c>
    </row>
    <row r="111" ht="29.25" customHeight="1">
      <c r="A111" s="45">
        <v>30183.0</v>
      </c>
      <c r="B111" s="42" t="s">
        <v>21</v>
      </c>
      <c r="C111" s="12">
        <v>1798.0</v>
      </c>
      <c r="D111" s="484" t="s">
        <v>8728</v>
      </c>
      <c r="E111" s="19" t="s">
        <v>8503</v>
      </c>
      <c r="F111" s="14">
        <v>42593.0</v>
      </c>
      <c r="G111" s="16">
        <v>42599.0</v>
      </c>
      <c r="H111" s="123" t="s">
        <v>1747</v>
      </c>
      <c r="I111" s="478">
        <v>42597.0</v>
      </c>
      <c r="J111" s="466"/>
      <c r="K111" s="17" t="s">
        <v>8729</v>
      </c>
      <c r="L111" s="42"/>
      <c r="M111" s="42"/>
      <c r="N111" s="61"/>
    </row>
    <row r="112" ht="29.25" customHeight="1">
      <c r="A112" s="45">
        <v>30187.0</v>
      </c>
      <c r="B112" s="42" t="s">
        <v>14</v>
      </c>
      <c r="C112" s="12">
        <v>1698.0</v>
      </c>
      <c r="D112" s="42" t="s">
        <v>8730</v>
      </c>
      <c r="E112" s="19" t="s">
        <v>8503</v>
      </c>
      <c r="F112" s="14">
        <v>42590.0</v>
      </c>
      <c r="G112" s="14">
        <v>42586.0</v>
      </c>
      <c r="H112" s="123" t="s">
        <v>1747</v>
      </c>
      <c r="I112" s="478">
        <v>42593.0</v>
      </c>
      <c r="J112" s="466"/>
      <c r="K112" s="17" t="s">
        <v>8731</v>
      </c>
      <c r="L112" s="42"/>
      <c r="M112" s="42"/>
      <c r="N112" s="61"/>
    </row>
    <row r="113" ht="29.25" customHeight="1">
      <c r="A113" s="45">
        <v>30432.0</v>
      </c>
      <c r="B113" s="42" t="s">
        <v>14</v>
      </c>
      <c r="C113" s="12">
        <v>1184.0</v>
      </c>
      <c r="D113" s="42" t="s">
        <v>8732</v>
      </c>
      <c r="E113" s="66" t="s">
        <v>8733</v>
      </c>
      <c r="F113" s="14">
        <v>42590.0</v>
      </c>
      <c r="G113" s="14">
        <v>42586.0</v>
      </c>
      <c r="H113" s="123" t="s">
        <v>1747</v>
      </c>
      <c r="I113" s="478">
        <v>42594.0</v>
      </c>
      <c r="J113" s="466"/>
      <c r="K113" s="17" t="s">
        <v>8734</v>
      </c>
      <c r="L113" s="42"/>
      <c r="M113" s="42"/>
      <c r="N113" s="61"/>
    </row>
    <row r="114" ht="29.25" customHeight="1">
      <c r="A114" s="45">
        <v>30430.0</v>
      </c>
      <c r="B114" s="42" t="s">
        <v>14</v>
      </c>
      <c r="C114" s="12">
        <v>1250.0</v>
      </c>
      <c r="D114" s="42" t="s">
        <v>8735</v>
      </c>
      <c r="E114" s="19" t="s">
        <v>8736</v>
      </c>
      <c r="F114" s="14">
        <v>42586.0</v>
      </c>
      <c r="G114" s="14">
        <v>42591.0</v>
      </c>
      <c r="H114" s="123" t="s">
        <v>1747</v>
      </c>
      <c r="I114" s="478">
        <v>42591.0</v>
      </c>
      <c r="J114" s="466"/>
      <c r="K114" s="17" t="s">
        <v>8737</v>
      </c>
      <c r="L114" s="42"/>
      <c r="M114" s="42"/>
      <c r="N114" s="61"/>
    </row>
    <row r="115" ht="29.25" customHeight="1">
      <c r="A115" s="45">
        <v>30087.0</v>
      </c>
      <c r="B115" s="42" t="s">
        <v>14</v>
      </c>
      <c r="C115" s="12">
        <v>2500.0</v>
      </c>
      <c r="D115" s="42" t="s">
        <v>8738</v>
      </c>
      <c r="E115" s="19" t="s">
        <v>8739</v>
      </c>
      <c r="F115" s="14">
        <v>42586.0</v>
      </c>
      <c r="G115" s="14">
        <v>42584.0</v>
      </c>
      <c r="H115" s="123" t="s">
        <v>1747</v>
      </c>
      <c r="I115" s="478">
        <v>42593.0</v>
      </c>
      <c r="J115" s="466"/>
      <c r="K115" s="17" t="s">
        <v>8740</v>
      </c>
      <c r="L115" s="42" t="s">
        <v>497</v>
      </c>
      <c r="M115" s="42" t="s">
        <v>1052</v>
      </c>
      <c r="N115" s="61">
        <v>29296.5</v>
      </c>
    </row>
    <row r="116" ht="29.25" customHeight="1">
      <c r="A116" s="45">
        <v>30079.0</v>
      </c>
      <c r="B116" s="42" t="s">
        <v>14</v>
      </c>
      <c r="C116" s="12">
        <v>2000.0</v>
      </c>
      <c r="D116" s="42" t="s">
        <v>8741</v>
      </c>
      <c r="E116" s="19" t="s">
        <v>8742</v>
      </c>
      <c r="F116" s="14">
        <v>42586.0</v>
      </c>
      <c r="G116" s="14">
        <v>42584.0</v>
      </c>
      <c r="H116" s="123" t="s">
        <v>1747</v>
      </c>
      <c r="I116" s="478">
        <v>42592.0</v>
      </c>
      <c r="J116" s="466"/>
      <c r="K116" s="17" t="s">
        <v>8743</v>
      </c>
      <c r="L116" s="42" t="s">
        <v>497</v>
      </c>
      <c r="M116" s="42" t="s">
        <v>1052</v>
      </c>
      <c r="N116" s="61">
        <v>27985.0</v>
      </c>
    </row>
    <row r="117" ht="29.25" customHeight="1">
      <c r="A117" s="45">
        <v>30431.0</v>
      </c>
      <c r="B117" s="42" t="s">
        <v>25</v>
      </c>
      <c r="C117" s="12">
        <v>1029.0</v>
      </c>
      <c r="D117" s="42" t="s">
        <v>8744</v>
      </c>
      <c r="E117" s="19" t="s">
        <v>8745</v>
      </c>
      <c r="F117" s="14">
        <v>42586.0</v>
      </c>
      <c r="G117" s="14">
        <v>42583.0</v>
      </c>
      <c r="H117" s="123" t="s">
        <v>1747</v>
      </c>
      <c r="I117" s="478">
        <v>42593.0</v>
      </c>
      <c r="J117" s="466"/>
      <c r="K117" s="17" t="s">
        <v>8746</v>
      </c>
      <c r="L117" s="42"/>
      <c r="M117" s="42"/>
      <c r="N117" s="61"/>
    </row>
    <row r="118" ht="29.25" customHeight="1">
      <c r="A118" s="45" t="s">
        <v>8747</v>
      </c>
      <c r="B118" s="42" t="s">
        <v>21</v>
      </c>
      <c r="C118" s="12">
        <v>129.0</v>
      </c>
      <c r="D118" s="42" t="s">
        <v>8748</v>
      </c>
      <c r="E118" s="19" t="s">
        <v>8749</v>
      </c>
      <c r="F118" s="14">
        <v>42582.0</v>
      </c>
      <c r="G118" s="14">
        <v>42585.0</v>
      </c>
      <c r="H118" s="123" t="s">
        <v>1747</v>
      </c>
      <c r="I118" s="478">
        <v>42587.0</v>
      </c>
      <c r="J118" s="466"/>
      <c r="K118" s="17" t="s">
        <v>8750</v>
      </c>
      <c r="L118" s="42" t="s">
        <v>497</v>
      </c>
      <c r="M118" s="42" t="s">
        <v>8751</v>
      </c>
      <c r="N118" s="61">
        <v>51036.0</v>
      </c>
    </row>
    <row r="119" ht="29.25" customHeight="1">
      <c r="A119" s="45">
        <v>30185.0</v>
      </c>
      <c r="B119" s="42" t="s">
        <v>25</v>
      </c>
      <c r="C119" s="12">
        <v>1706.0</v>
      </c>
      <c r="D119" s="12" t="s">
        <v>8752</v>
      </c>
      <c r="E119" s="19" t="s">
        <v>8753</v>
      </c>
      <c r="F119" s="14">
        <v>42582.0</v>
      </c>
      <c r="G119" s="14">
        <v>42579.0</v>
      </c>
      <c r="H119" s="123" t="s">
        <v>1747</v>
      </c>
      <c r="I119" s="478">
        <v>42585.0</v>
      </c>
      <c r="J119" s="466"/>
      <c r="K119" s="17" t="s">
        <v>8754</v>
      </c>
      <c r="L119" s="42"/>
      <c r="M119" s="42"/>
      <c r="N119" s="61"/>
    </row>
    <row r="120" ht="29.25" customHeight="1">
      <c r="A120" s="45" t="s">
        <v>8755</v>
      </c>
      <c r="B120" s="42" t="s">
        <v>21</v>
      </c>
      <c r="C120" s="12">
        <v>279.0</v>
      </c>
      <c r="D120" s="42" t="s">
        <v>8756</v>
      </c>
      <c r="E120" s="19" t="s">
        <v>8757</v>
      </c>
      <c r="F120" s="14">
        <v>42581.0</v>
      </c>
      <c r="G120" s="14">
        <v>42577.0</v>
      </c>
      <c r="H120" s="123" t="s">
        <v>1747</v>
      </c>
      <c r="I120" s="478">
        <v>42587.0</v>
      </c>
      <c r="J120" s="466"/>
      <c r="K120" s="17" t="s">
        <v>8758</v>
      </c>
      <c r="L120" s="42" t="s">
        <v>497</v>
      </c>
      <c r="M120" s="42"/>
      <c r="N120" s="61"/>
    </row>
    <row r="121" ht="29.25" customHeight="1">
      <c r="A121" s="45">
        <v>29854.0</v>
      </c>
      <c r="B121" s="42" t="s">
        <v>14</v>
      </c>
      <c r="C121" s="12">
        <v>1800.0</v>
      </c>
      <c r="D121" s="12" t="s">
        <v>8759</v>
      </c>
      <c r="E121" s="19" t="s">
        <v>8742</v>
      </c>
      <c r="F121" s="14">
        <v>42580.0</v>
      </c>
      <c r="G121" s="14">
        <v>42584.0</v>
      </c>
      <c r="H121" s="123" t="s">
        <v>1747</v>
      </c>
      <c r="I121" s="478">
        <v>42584.0</v>
      </c>
      <c r="J121" s="497"/>
      <c r="K121" s="77" t="s">
        <v>8760</v>
      </c>
      <c r="L121" s="42"/>
      <c r="M121" s="42"/>
      <c r="N121" s="61"/>
    </row>
    <row r="122" ht="29.25" customHeight="1">
      <c r="A122" s="45">
        <v>30209.0</v>
      </c>
      <c r="B122" s="42" t="s">
        <v>25</v>
      </c>
      <c r="C122" s="12">
        <v>2120.0</v>
      </c>
      <c r="D122" s="78" t="s">
        <v>8761</v>
      </c>
      <c r="E122" s="19" t="s">
        <v>8762</v>
      </c>
      <c r="F122" s="14">
        <v>42580.0</v>
      </c>
      <c r="G122" s="14">
        <v>42576.0</v>
      </c>
      <c r="H122" s="123" t="s">
        <v>1747</v>
      </c>
      <c r="I122" s="478">
        <v>42585.0</v>
      </c>
      <c r="J122" s="466"/>
      <c r="K122" s="17" t="s">
        <v>8763</v>
      </c>
      <c r="L122" s="42"/>
      <c r="M122" s="42"/>
      <c r="N122" s="61"/>
    </row>
    <row r="123" ht="29.25" customHeight="1">
      <c r="A123" s="45">
        <v>29922.0</v>
      </c>
      <c r="B123" s="42" t="s">
        <v>14</v>
      </c>
      <c r="C123" s="12">
        <v>805.0</v>
      </c>
      <c r="D123" s="42" t="s">
        <v>8764</v>
      </c>
      <c r="E123" s="19" t="s">
        <v>8618</v>
      </c>
      <c r="F123" s="62">
        <v>42576.0</v>
      </c>
      <c r="G123" s="65">
        <v>42576.0</v>
      </c>
      <c r="H123" s="123" t="s">
        <v>1747</v>
      </c>
      <c r="I123" s="6">
        <v>727.0</v>
      </c>
      <c r="J123" s="497"/>
      <c r="K123" s="77" t="s">
        <v>8765</v>
      </c>
      <c r="L123" s="42"/>
      <c r="M123" s="42"/>
      <c r="N123" s="61"/>
    </row>
    <row r="124" ht="29.25" customHeight="1">
      <c r="A124" s="45">
        <v>29922.0</v>
      </c>
      <c r="B124" s="42" t="s">
        <v>14</v>
      </c>
      <c r="C124" s="12">
        <v>805.0</v>
      </c>
      <c r="D124" s="12" t="s">
        <v>8764</v>
      </c>
      <c r="E124" s="19" t="s">
        <v>8766</v>
      </c>
      <c r="F124" s="14">
        <v>42576.0</v>
      </c>
      <c r="G124" s="14">
        <v>42572.0</v>
      </c>
      <c r="H124" s="123" t="s">
        <v>1747</v>
      </c>
      <c r="I124" s="478">
        <v>42578.0</v>
      </c>
      <c r="J124" s="466"/>
      <c r="K124" s="17" t="s">
        <v>8767</v>
      </c>
      <c r="L124" s="42" t="s">
        <v>497</v>
      </c>
      <c r="M124" s="42" t="s">
        <v>1077</v>
      </c>
      <c r="N124" s="61">
        <v>40476.02</v>
      </c>
    </row>
    <row r="125" ht="29.25" customHeight="1">
      <c r="A125" s="45">
        <v>30148.0</v>
      </c>
      <c r="B125" s="42" t="s">
        <v>21</v>
      </c>
      <c r="C125" s="12">
        <v>900.0</v>
      </c>
      <c r="D125" s="42" t="s">
        <v>8768</v>
      </c>
      <c r="E125" s="19" t="s">
        <v>8769</v>
      </c>
      <c r="F125" s="14">
        <v>42574.0</v>
      </c>
      <c r="G125" s="14">
        <v>43662.0</v>
      </c>
      <c r="H125" s="123" t="s">
        <v>1747</v>
      </c>
      <c r="I125" s="478">
        <v>42579.0</v>
      </c>
      <c r="J125" s="466"/>
      <c r="K125" s="17" t="s">
        <v>8770</v>
      </c>
      <c r="L125" s="42"/>
      <c r="M125" s="42"/>
      <c r="N125" s="61"/>
    </row>
    <row r="126" ht="29.25" customHeight="1">
      <c r="A126" s="45">
        <v>30363.0</v>
      </c>
      <c r="B126" s="42" t="s">
        <v>715</v>
      </c>
      <c r="C126" s="12">
        <v>1182.0</v>
      </c>
      <c r="D126" s="12" t="s">
        <v>8771</v>
      </c>
      <c r="E126" s="19" t="s">
        <v>8772</v>
      </c>
      <c r="F126" s="14">
        <v>42571.0</v>
      </c>
      <c r="G126" s="14">
        <v>42569.0</v>
      </c>
      <c r="H126" s="123" t="s">
        <v>1747</v>
      </c>
      <c r="I126" s="478">
        <v>42577.0</v>
      </c>
      <c r="J126" s="497"/>
      <c r="K126" s="77" t="s">
        <v>8773</v>
      </c>
      <c r="L126" s="42"/>
      <c r="M126" s="42"/>
      <c r="N126" s="61"/>
    </row>
    <row r="127" ht="29.25" customHeight="1">
      <c r="A127" s="45">
        <v>30362.0</v>
      </c>
      <c r="B127" s="42" t="s">
        <v>715</v>
      </c>
      <c r="C127" s="12">
        <v>1182.0</v>
      </c>
      <c r="D127" s="12" t="s">
        <v>8774</v>
      </c>
      <c r="E127" s="19" t="s">
        <v>8772</v>
      </c>
      <c r="F127" s="14">
        <v>42571.0</v>
      </c>
      <c r="G127" s="14">
        <v>42569.0</v>
      </c>
      <c r="H127" s="123" t="s">
        <v>1747</v>
      </c>
      <c r="I127" s="478">
        <v>42576.0</v>
      </c>
      <c r="J127" s="497"/>
      <c r="K127" s="77" t="s">
        <v>8775</v>
      </c>
      <c r="L127" s="42"/>
      <c r="M127" s="42"/>
      <c r="N127" s="61"/>
    </row>
    <row r="128" ht="29.25" customHeight="1">
      <c r="A128" s="45">
        <v>30361.0</v>
      </c>
      <c r="B128" s="42" t="s">
        <v>715</v>
      </c>
      <c r="C128" s="12">
        <v>1300.0</v>
      </c>
      <c r="D128" s="12" t="s">
        <v>8776</v>
      </c>
      <c r="E128" s="19" t="s">
        <v>8772</v>
      </c>
      <c r="F128" s="14">
        <v>42571.0</v>
      </c>
      <c r="G128" s="14">
        <v>42569.0</v>
      </c>
      <c r="H128" s="123" t="s">
        <v>1747</v>
      </c>
      <c r="I128" s="478">
        <v>42576.0</v>
      </c>
      <c r="J128" s="497"/>
      <c r="K128" s="77" t="s">
        <v>8777</v>
      </c>
      <c r="L128" s="42"/>
      <c r="M128" s="42"/>
      <c r="N128" s="61"/>
    </row>
    <row r="129" ht="29.25" customHeight="1">
      <c r="A129" s="45">
        <v>30086.0</v>
      </c>
      <c r="B129" s="42" t="s">
        <v>715</v>
      </c>
      <c r="C129" s="12">
        <v>2227.0</v>
      </c>
      <c r="D129" s="12" t="s">
        <v>8778</v>
      </c>
      <c r="E129" s="19" t="s">
        <v>8779</v>
      </c>
      <c r="F129" s="62">
        <v>42570.0</v>
      </c>
      <c r="G129" s="16">
        <v>42569.0</v>
      </c>
      <c r="H129" s="123" t="s">
        <v>1747</v>
      </c>
      <c r="I129" s="16">
        <v>42572.0</v>
      </c>
      <c r="J129" s="466"/>
      <c r="K129" s="17" t="s">
        <v>8780</v>
      </c>
      <c r="L129" s="42" t="s">
        <v>497</v>
      </c>
      <c r="M129" s="42" t="s">
        <v>1052</v>
      </c>
      <c r="N129" s="61">
        <v>29262.78</v>
      </c>
    </row>
    <row r="130" ht="29.25" customHeight="1">
      <c r="A130" s="45">
        <v>30360.0</v>
      </c>
      <c r="B130" s="42" t="s">
        <v>25</v>
      </c>
      <c r="C130" s="12">
        <v>1182.0</v>
      </c>
      <c r="D130" s="12" t="s">
        <v>8781</v>
      </c>
      <c r="E130" s="19" t="s">
        <v>8772</v>
      </c>
      <c r="F130" s="62">
        <v>42569.0</v>
      </c>
      <c r="G130" s="16">
        <v>42569.0</v>
      </c>
      <c r="H130" s="123" t="s">
        <v>1747</v>
      </c>
      <c r="I130" s="16">
        <v>42577.0</v>
      </c>
      <c r="J130" s="466"/>
      <c r="K130" s="17" t="s">
        <v>8782</v>
      </c>
      <c r="L130" s="42"/>
      <c r="M130" s="42"/>
      <c r="N130" s="61"/>
    </row>
    <row r="131" ht="29.25" customHeight="1">
      <c r="A131" s="45">
        <v>30234.0</v>
      </c>
      <c r="B131" s="42" t="s">
        <v>21</v>
      </c>
      <c r="C131" s="12">
        <v>224.0</v>
      </c>
      <c r="D131" s="12" t="s">
        <v>8783</v>
      </c>
      <c r="E131" s="498" t="s">
        <v>8784</v>
      </c>
      <c r="F131" s="14">
        <v>42568.0</v>
      </c>
      <c r="G131" s="14">
        <v>42565.0</v>
      </c>
      <c r="H131" s="123" t="s">
        <v>1747</v>
      </c>
      <c r="I131" s="16">
        <v>42571.0</v>
      </c>
      <c r="J131" s="499"/>
      <c r="K131" s="64" t="s">
        <v>8785</v>
      </c>
      <c r="L131" s="42"/>
      <c r="M131" s="42"/>
      <c r="N131" s="61"/>
    </row>
    <row r="132" ht="29.25" customHeight="1">
      <c r="A132" s="45">
        <v>30170.0</v>
      </c>
      <c r="B132" s="42" t="s">
        <v>21</v>
      </c>
      <c r="C132" s="12">
        <v>1790.0</v>
      </c>
      <c r="D132" s="12" t="s">
        <v>8786</v>
      </c>
      <c r="E132" s="19" t="s">
        <v>8762</v>
      </c>
      <c r="F132" s="62">
        <v>42568.0</v>
      </c>
      <c r="G132" s="14">
        <v>42564.0</v>
      </c>
      <c r="H132" s="123" t="s">
        <v>1747</v>
      </c>
      <c r="I132" s="16">
        <v>42572.0</v>
      </c>
      <c r="J132" s="466"/>
      <c r="K132" s="17" t="s">
        <v>8787</v>
      </c>
      <c r="L132" s="42"/>
      <c r="M132" s="42"/>
      <c r="N132" s="61"/>
    </row>
    <row r="133" ht="29.25" customHeight="1">
      <c r="A133" s="45">
        <v>30389.0</v>
      </c>
      <c r="B133" s="42" t="s">
        <v>14</v>
      </c>
      <c r="C133" s="12">
        <v>1280.0</v>
      </c>
      <c r="D133" s="12" t="s">
        <v>8788</v>
      </c>
      <c r="E133" s="19" t="s">
        <v>8475</v>
      </c>
      <c r="F133" s="62">
        <v>42565.0</v>
      </c>
      <c r="G133" s="14">
        <v>42564.0</v>
      </c>
      <c r="H133" s="123" t="s">
        <v>1747</v>
      </c>
      <c r="I133" s="16">
        <v>42569.0</v>
      </c>
      <c r="J133" s="497"/>
      <c r="K133" s="77" t="s">
        <v>8789</v>
      </c>
      <c r="L133" s="42"/>
      <c r="M133" s="42"/>
      <c r="N133" s="61"/>
    </row>
    <row r="134" ht="29.25" customHeight="1">
      <c r="A134" s="45">
        <v>30302.0</v>
      </c>
      <c r="B134" s="42" t="s">
        <v>21</v>
      </c>
      <c r="C134" s="12">
        <v>1250.0</v>
      </c>
      <c r="D134" s="12" t="s">
        <v>8790</v>
      </c>
      <c r="E134" s="19" t="s">
        <v>8791</v>
      </c>
      <c r="F134" s="62">
        <v>42563.0</v>
      </c>
      <c r="G134" s="14">
        <v>42562.0</v>
      </c>
      <c r="H134" s="123" t="s">
        <v>1747</v>
      </c>
      <c r="I134" s="16">
        <v>42571.0</v>
      </c>
      <c r="J134" s="497"/>
      <c r="K134" s="77" t="s">
        <v>8792</v>
      </c>
      <c r="L134" s="42"/>
      <c r="M134" s="42"/>
      <c r="N134" s="61"/>
    </row>
    <row r="135" ht="29.25" customHeight="1">
      <c r="A135" s="45">
        <v>30359.0</v>
      </c>
      <c r="B135" s="42" t="s">
        <v>21</v>
      </c>
      <c r="C135" s="12">
        <v>1029.0</v>
      </c>
      <c r="D135" s="12" t="s">
        <v>8793</v>
      </c>
      <c r="E135" s="66" t="s">
        <v>8794</v>
      </c>
      <c r="F135" s="62">
        <v>42563.0</v>
      </c>
      <c r="G135" s="14">
        <v>42559.0</v>
      </c>
      <c r="H135" s="123" t="s">
        <v>1747</v>
      </c>
      <c r="I135" s="16">
        <v>42569.0</v>
      </c>
      <c r="J135" s="497"/>
      <c r="K135" s="77" t="s">
        <v>8795</v>
      </c>
      <c r="L135" s="42"/>
      <c r="M135" s="42"/>
      <c r="N135" s="61"/>
    </row>
    <row r="136" ht="29.25" customHeight="1">
      <c r="A136" s="45">
        <v>30129.0</v>
      </c>
      <c r="B136" s="42" t="s">
        <v>14</v>
      </c>
      <c r="C136" s="12">
        <v>486.0</v>
      </c>
      <c r="D136" s="12" t="s">
        <v>8796</v>
      </c>
      <c r="E136" s="498" t="s">
        <v>8797</v>
      </c>
      <c r="F136" s="62">
        <v>42562.0</v>
      </c>
      <c r="G136" s="14">
        <v>42563.0</v>
      </c>
      <c r="H136" s="123" t="s">
        <v>1747</v>
      </c>
      <c r="I136" s="16">
        <v>42566.0</v>
      </c>
      <c r="J136" s="466"/>
      <c r="K136" s="17" t="s">
        <v>8798</v>
      </c>
      <c r="L136" s="42"/>
      <c r="M136" s="42"/>
      <c r="N136" s="61"/>
    </row>
    <row r="137" ht="29.25" customHeight="1">
      <c r="A137" s="45" t="s">
        <v>8799</v>
      </c>
      <c r="B137" s="42" t="s">
        <v>21</v>
      </c>
      <c r="C137" s="12">
        <v>16.0</v>
      </c>
      <c r="D137" s="12" t="s">
        <v>8800</v>
      </c>
      <c r="E137" s="19" t="s">
        <v>8801</v>
      </c>
      <c r="F137" s="62">
        <v>42561.0</v>
      </c>
      <c r="G137" s="1" t="s">
        <v>1175</v>
      </c>
      <c r="H137" s="123" t="s">
        <v>1747</v>
      </c>
      <c r="I137" s="16">
        <v>42555.0</v>
      </c>
      <c r="J137" s="466"/>
      <c r="K137" s="17" t="s">
        <v>8802</v>
      </c>
      <c r="L137" s="42" t="s">
        <v>497</v>
      </c>
      <c r="M137" s="42" t="s">
        <v>1048</v>
      </c>
      <c r="N137" s="61">
        <v>1214.17</v>
      </c>
    </row>
    <row r="138" ht="29.25" customHeight="1">
      <c r="A138" s="45">
        <v>30127.0</v>
      </c>
      <c r="B138" s="42" t="s">
        <v>21</v>
      </c>
      <c r="C138" s="12">
        <v>590.0</v>
      </c>
      <c r="D138" s="12" t="s">
        <v>8803</v>
      </c>
      <c r="E138" s="498" t="s">
        <v>8797</v>
      </c>
      <c r="F138" s="62">
        <v>42561.0</v>
      </c>
      <c r="G138" s="14">
        <v>42557.0</v>
      </c>
      <c r="H138" s="123" t="s">
        <v>1747</v>
      </c>
      <c r="I138" s="16">
        <v>42564.0</v>
      </c>
      <c r="J138" s="497"/>
      <c r="K138" s="77" t="s">
        <v>8804</v>
      </c>
      <c r="L138" s="42"/>
      <c r="M138" s="42"/>
      <c r="N138" s="61"/>
    </row>
    <row r="139" ht="29.25" customHeight="1">
      <c r="A139" s="45">
        <v>30085.0</v>
      </c>
      <c r="B139" s="42" t="s">
        <v>21</v>
      </c>
      <c r="C139" s="12">
        <v>2227.0</v>
      </c>
      <c r="D139" s="12" t="s">
        <v>8805</v>
      </c>
      <c r="E139" s="19" t="s">
        <v>1217</v>
      </c>
      <c r="F139" s="62">
        <v>42560.0</v>
      </c>
      <c r="G139" s="14">
        <v>42558.0</v>
      </c>
      <c r="H139" s="123" t="s">
        <v>1747</v>
      </c>
      <c r="I139" s="16">
        <v>42565.0</v>
      </c>
      <c r="J139" s="497"/>
      <c r="K139" s="77" t="s">
        <v>8806</v>
      </c>
      <c r="L139" s="42" t="s">
        <v>497</v>
      </c>
      <c r="M139" s="42" t="s">
        <v>1052</v>
      </c>
      <c r="N139" s="61">
        <v>29262.78</v>
      </c>
    </row>
    <row r="140" ht="29.25" customHeight="1">
      <c r="A140" s="45">
        <v>30146.0</v>
      </c>
      <c r="B140" s="42" t="s">
        <v>21</v>
      </c>
      <c r="C140" s="12">
        <v>508.0</v>
      </c>
      <c r="D140" s="12" t="s">
        <v>8807</v>
      </c>
      <c r="E140" s="19" t="s">
        <v>8463</v>
      </c>
      <c r="F140" s="62">
        <v>42560.0</v>
      </c>
      <c r="G140" s="14">
        <v>42558.0</v>
      </c>
      <c r="H140" s="123" t="s">
        <v>1747</v>
      </c>
      <c r="I140" s="16">
        <v>42565.0</v>
      </c>
      <c r="J140" s="499"/>
      <c r="K140" s="64" t="s">
        <v>8808</v>
      </c>
      <c r="L140" s="42"/>
      <c r="M140" s="42"/>
      <c r="N140" s="61"/>
    </row>
    <row r="141" ht="29.25" customHeight="1">
      <c r="A141" s="45">
        <v>29845.0</v>
      </c>
      <c r="B141" s="42" t="s">
        <v>21</v>
      </c>
      <c r="C141" s="12">
        <v>900.0</v>
      </c>
      <c r="D141" s="78" t="s">
        <v>8809</v>
      </c>
      <c r="E141" s="19" t="s">
        <v>8810</v>
      </c>
      <c r="F141" s="62">
        <v>42556.0</v>
      </c>
      <c r="G141" s="65">
        <v>42522.0</v>
      </c>
      <c r="H141" s="6" t="s">
        <v>1032</v>
      </c>
      <c r="I141" s="16">
        <v>42558.0</v>
      </c>
      <c r="J141" s="497"/>
      <c r="K141" s="77" t="s">
        <v>8811</v>
      </c>
      <c r="L141" s="42"/>
      <c r="M141" s="42"/>
      <c r="N141" s="61"/>
    </row>
    <row r="142" ht="29.25" customHeight="1">
      <c r="A142" s="45">
        <v>30078.0</v>
      </c>
      <c r="B142" s="42" t="s">
        <v>715</v>
      </c>
      <c r="C142" s="12">
        <v>2227.0</v>
      </c>
      <c r="D142" s="12" t="s">
        <v>8812</v>
      </c>
      <c r="E142" s="19" t="s">
        <v>1217</v>
      </c>
      <c r="F142" s="62">
        <v>42555.0</v>
      </c>
      <c r="G142" s="14">
        <v>42552.0</v>
      </c>
      <c r="H142" s="6" t="s">
        <v>1032</v>
      </c>
      <c r="I142" s="16">
        <v>42558.0</v>
      </c>
      <c r="J142" s="497"/>
      <c r="K142" s="77" t="s">
        <v>8813</v>
      </c>
      <c r="L142" s="42" t="s">
        <v>497</v>
      </c>
      <c r="M142" s="42" t="s">
        <v>1052</v>
      </c>
      <c r="N142" s="61">
        <v>29262.78</v>
      </c>
    </row>
    <row r="143" ht="29.25" customHeight="1">
      <c r="A143" s="45">
        <v>30303.0</v>
      </c>
      <c r="B143" s="42" t="s">
        <v>14</v>
      </c>
      <c r="C143" s="12">
        <v>1464.0</v>
      </c>
      <c r="D143" s="12" t="s">
        <v>8814</v>
      </c>
      <c r="E143" s="19" t="s">
        <v>8815</v>
      </c>
      <c r="F143" s="62">
        <v>42555.0</v>
      </c>
      <c r="G143" s="14">
        <v>42552.0</v>
      </c>
      <c r="H143" s="6" t="s">
        <v>1032</v>
      </c>
      <c r="I143" s="16">
        <v>42559.0</v>
      </c>
      <c r="J143" s="466"/>
      <c r="K143" s="17" t="s">
        <v>8816</v>
      </c>
      <c r="L143" s="42"/>
      <c r="M143" s="42"/>
      <c r="N143" s="61"/>
    </row>
    <row r="144" ht="29.25" customHeight="1">
      <c r="A144" s="45">
        <v>30008.0</v>
      </c>
      <c r="B144" s="42" t="s">
        <v>25</v>
      </c>
      <c r="C144" s="12">
        <v>2132.0</v>
      </c>
      <c r="D144" s="12" t="s">
        <v>8817</v>
      </c>
      <c r="E144" s="19" t="s">
        <v>8818</v>
      </c>
      <c r="F144" s="62">
        <v>42553.0</v>
      </c>
      <c r="G144" s="14">
        <v>42550.0</v>
      </c>
      <c r="H144" s="6" t="s">
        <v>1032</v>
      </c>
      <c r="I144" s="16">
        <v>42558.0</v>
      </c>
      <c r="J144" s="466"/>
      <c r="K144" s="17" t="s">
        <v>8819</v>
      </c>
      <c r="L144" s="42"/>
      <c r="M144" s="42"/>
      <c r="N144" s="61"/>
    </row>
    <row r="145" ht="29.25" customHeight="1">
      <c r="A145" s="45">
        <v>30301.0</v>
      </c>
      <c r="B145" s="42" t="s">
        <v>14</v>
      </c>
      <c r="C145" s="12">
        <v>482.0</v>
      </c>
      <c r="D145" s="12" t="s">
        <v>8820</v>
      </c>
      <c r="E145" s="19" t="s">
        <v>8821</v>
      </c>
      <c r="F145" s="62">
        <v>42551.0</v>
      </c>
      <c r="G145" s="16">
        <v>42549.0</v>
      </c>
      <c r="H145" s="6" t="s">
        <v>1110</v>
      </c>
      <c r="I145" s="16">
        <v>42556.0</v>
      </c>
      <c r="J145" s="466"/>
      <c r="K145" s="17" t="s">
        <v>8822</v>
      </c>
      <c r="L145" s="42"/>
      <c r="M145" s="42"/>
      <c r="N145" s="61"/>
    </row>
    <row r="146" ht="29.25" customHeight="1">
      <c r="A146" s="45">
        <v>30115.0</v>
      </c>
      <c r="B146" s="42" t="s">
        <v>21</v>
      </c>
      <c r="C146" s="12">
        <v>320.0</v>
      </c>
      <c r="D146" s="12" t="s">
        <v>8823</v>
      </c>
      <c r="E146" s="19" t="s">
        <v>8824</v>
      </c>
      <c r="F146" s="62">
        <v>42549.0</v>
      </c>
      <c r="G146" s="14">
        <v>42545.0</v>
      </c>
      <c r="H146" s="6" t="s">
        <v>1110</v>
      </c>
      <c r="I146" s="16">
        <v>42558.0</v>
      </c>
      <c r="J146" s="497"/>
      <c r="K146" s="77" t="s">
        <v>8825</v>
      </c>
      <c r="L146" s="42"/>
      <c r="M146" s="42"/>
      <c r="N146" s="61"/>
    </row>
    <row r="147" ht="29.25" customHeight="1">
      <c r="A147" s="45">
        <v>30128.0</v>
      </c>
      <c r="B147" s="42" t="s">
        <v>25</v>
      </c>
      <c r="C147" s="12">
        <v>451.0</v>
      </c>
      <c r="D147" s="12" t="s">
        <v>8826</v>
      </c>
      <c r="E147" s="498" t="s">
        <v>8797</v>
      </c>
      <c r="F147" s="62">
        <v>42549.0</v>
      </c>
      <c r="G147" s="67">
        <v>42552.0</v>
      </c>
      <c r="H147" s="6" t="s">
        <v>1110</v>
      </c>
      <c r="I147" s="16">
        <v>42557.0</v>
      </c>
      <c r="J147" s="497"/>
      <c r="K147" s="77" t="s">
        <v>8827</v>
      </c>
      <c r="L147" s="42"/>
      <c r="M147" s="42"/>
      <c r="N147" s="61"/>
    </row>
    <row r="148" ht="29.25" customHeight="1">
      <c r="A148" s="45">
        <v>30282.0</v>
      </c>
      <c r="B148" s="42" t="s">
        <v>14</v>
      </c>
      <c r="C148" s="12">
        <v>1025.0</v>
      </c>
      <c r="D148" s="12" t="s">
        <v>8828</v>
      </c>
      <c r="E148" s="66" t="s">
        <v>8829</v>
      </c>
      <c r="F148" s="62">
        <v>42548.0</v>
      </c>
      <c r="G148" s="14">
        <v>42545.0</v>
      </c>
      <c r="H148" s="6" t="s">
        <v>1110</v>
      </c>
      <c r="I148" s="478">
        <v>42550.0</v>
      </c>
      <c r="J148" s="499"/>
      <c r="K148" s="64" t="s">
        <v>8830</v>
      </c>
      <c r="L148" s="42"/>
      <c r="M148" s="42"/>
      <c r="N148" s="61"/>
    </row>
    <row r="149" ht="29.25" customHeight="1">
      <c r="A149" s="45">
        <v>30283.0</v>
      </c>
      <c r="B149" s="42" t="s">
        <v>14</v>
      </c>
      <c r="C149" s="12">
        <v>900.0</v>
      </c>
      <c r="D149" s="12" t="s">
        <v>8831</v>
      </c>
      <c r="E149" s="500" t="s">
        <v>8832</v>
      </c>
      <c r="F149" s="62">
        <v>42548.0</v>
      </c>
      <c r="G149" s="14">
        <v>42545.0</v>
      </c>
      <c r="H149" s="6" t="s">
        <v>1110</v>
      </c>
      <c r="I149" s="16">
        <v>42551.0</v>
      </c>
      <c r="J149" s="466"/>
      <c r="K149" s="17" t="s">
        <v>8833</v>
      </c>
      <c r="L149" s="42"/>
      <c r="M149" s="42"/>
      <c r="N149" s="61"/>
    </row>
    <row r="150" ht="29.25" customHeight="1">
      <c r="A150" s="45">
        <v>30226.0</v>
      </c>
      <c r="B150" s="42" t="s">
        <v>21</v>
      </c>
      <c r="C150" s="12">
        <v>130.0</v>
      </c>
      <c r="D150" s="12" t="s">
        <v>8834</v>
      </c>
      <c r="E150" s="19" t="s">
        <v>8835</v>
      </c>
      <c r="F150" s="62">
        <v>42547.0</v>
      </c>
      <c r="G150" s="1" t="s">
        <v>1175</v>
      </c>
      <c r="H150" s="6" t="s">
        <v>1175</v>
      </c>
      <c r="I150" s="16">
        <v>42556.0</v>
      </c>
      <c r="J150" s="466"/>
      <c r="K150" s="17" t="s">
        <v>8836</v>
      </c>
      <c r="L150" s="42" t="s">
        <v>497</v>
      </c>
      <c r="M150" s="42" t="s">
        <v>1048</v>
      </c>
      <c r="N150" s="61">
        <v>1050.0</v>
      </c>
    </row>
    <row r="151" ht="29.25" customHeight="1">
      <c r="A151" s="45" t="s">
        <v>8837</v>
      </c>
      <c r="B151" s="42" t="s">
        <v>21</v>
      </c>
      <c r="C151" s="12">
        <v>1678.0</v>
      </c>
      <c r="D151" s="12" t="s">
        <v>8838</v>
      </c>
      <c r="E151" s="498" t="s">
        <v>8839</v>
      </c>
      <c r="F151" s="62">
        <v>42547.0</v>
      </c>
      <c r="G151" s="14">
        <v>42543.0</v>
      </c>
      <c r="H151" s="16">
        <v>42545.0</v>
      </c>
      <c r="I151" s="16">
        <v>42549.0</v>
      </c>
      <c r="J151" s="499"/>
      <c r="K151" s="64" t="s">
        <v>8840</v>
      </c>
      <c r="L151" s="42" t="s">
        <v>497</v>
      </c>
      <c r="M151" s="42" t="s">
        <v>1048</v>
      </c>
      <c r="N151" s="61">
        <v>550631.3</v>
      </c>
    </row>
    <row r="152" ht="29.25" customHeight="1">
      <c r="A152" s="45">
        <v>30007.0</v>
      </c>
      <c r="B152" s="42" t="s">
        <v>21</v>
      </c>
      <c r="C152" s="12">
        <v>870.0</v>
      </c>
      <c r="D152" s="12" t="s">
        <v>8841</v>
      </c>
      <c r="E152" s="19" t="s">
        <v>8842</v>
      </c>
      <c r="F152" s="62">
        <v>42547.0</v>
      </c>
      <c r="G152" s="14">
        <v>42543.0</v>
      </c>
      <c r="H152" s="16">
        <v>42543.0</v>
      </c>
      <c r="I152" s="16">
        <v>42552.0</v>
      </c>
      <c r="J152" s="497"/>
      <c r="K152" s="77" t="s">
        <v>8843</v>
      </c>
      <c r="L152" s="42"/>
      <c r="M152" s="42"/>
      <c r="N152" s="61"/>
    </row>
    <row r="153" ht="29.25" customHeight="1">
      <c r="A153" s="501">
        <v>29859.0</v>
      </c>
      <c r="B153" s="42" t="s">
        <v>21</v>
      </c>
      <c r="C153" s="12">
        <v>2227.0</v>
      </c>
      <c r="D153" s="12" t="s">
        <v>8844</v>
      </c>
      <c r="E153" s="19" t="s">
        <v>8845</v>
      </c>
      <c r="F153" s="62">
        <v>42546.0</v>
      </c>
      <c r="G153" s="14">
        <v>42542.0</v>
      </c>
      <c r="H153" s="16">
        <v>42542.0</v>
      </c>
      <c r="I153" s="16">
        <v>42552.0</v>
      </c>
      <c r="J153" s="499"/>
      <c r="K153" s="64" t="s">
        <v>8846</v>
      </c>
      <c r="L153" s="42" t="s">
        <v>497</v>
      </c>
      <c r="M153" s="42" t="s">
        <v>1052</v>
      </c>
      <c r="N153" s="61">
        <v>29702.78</v>
      </c>
    </row>
    <row r="154" ht="29.25" customHeight="1">
      <c r="A154" s="45" t="s">
        <v>8847</v>
      </c>
      <c r="B154" s="42" t="s">
        <v>25</v>
      </c>
      <c r="C154" s="12">
        <v>944.0</v>
      </c>
      <c r="D154" s="12" t="s">
        <v>8848</v>
      </c>
      <c r="E154" s="66" t="s">
        <v>8849</v>
      </c>
      <c r="F154" s="62">
        <v>42546.0</v>
      </c>
      <c r="G154" s="16">
        <v>42543.0</v>
      </c>
      <c r="H154" s="6" t="s">
        <v>1032</v>
      </c>
      <c r="I154" s="16">
        <v>42551.0</v>
      </c>
      <c r="J154" s="466"/>
      <c r="K154" s="17" t="s">
        <v>8850</v>
      </c>
      <c r="L154" s="42"/>
      <c r="M154" s="42"/>
      <c r="N154" s="61"/>
    </row>
    <row r="155" ht="29.25" customHeight="1">
      <c r="A155" s="45">
        <v>30278.0</v>
      </c>
      <c r="B155" s="42" t="s">
        <v>25</v>
      </c>
      <c r="C155" s="12">
        <v>1182.0</v>
      </c>
      <c r="D155" s="12" t="s">
        <v>8851</v>
      </c>
      <c r="E155" s="19" t="s">
        <v>8852</v>
      </c>
      <c r="F155" s="62">
        <v>42543.0</v>
      </c>
      <c r="G155" s="14">
        <v>42542.0</v>
      </c>
      <c r="H155" s="6" t="s">
        <v>1032</v>
      </c>
      <c r="I155" s="478">
        <v>42550.0</v>
      </c>
      <c r="J155" s="499"/>
      <c r="K155" s="64" t="s">
        <v>8853</v>
      </c>
      <c r="L155" s="42"/>
      <c r="M155" s="42"/>
      <c r="N155" s="61"/>
    </row>
    <row r="156" ht="29.25" customHeight="1">
      <c r="A156" s="45">
        <v>30275.0</v>
      </c>
      <c r="B156" s="42" t="s">
        <v>21</v>
      </c>
      <c r="C156" s="12">
        <v>1130.0</v>
      </c>
      <c r="D156" s="12" t="s">
        <v>8854</v>
      </c>
      <c r="E156" s="19" t="s">
        <v>8855</v>
      </c>
      <c r="F156" s="62">
        <v>42542.0</v>
      </c>
      <c r="G156" s="14">
        <v>42538.0</v>
      </c>
      <c r="H156" s="6" t="s">
        <v>1032</v>
      </c>
      <c r="I156" s="16">
        <v>42548.0</v>
      </c>
      <c r="J156" s="499"/>
      <c r="K156" s="64" t="s">
        <v>8856</v>
      </c>
      <c r="L156" s="42"/>
      <c r="M156" s="42"/>
      <c r="N156" s="61"/>
    </row>
    <row r="157" ht="29.25" customHeight="1">
      <c r="A157" s="45">
        <v>30003.0</v>
      </c>
      <c r="B157" s="42" t="s">
        <v>21</v>
      </c>
      <c r="C157" s="12">
        <v>294.0</v>
      </c>
      <c r="D157" s="12" t="s">
        <v>8857</v>
      </c>
      <c r="E157" s="19" t="s">
        <v>8858</v>
      </c>
      <c r="F157" s="62">
        <v>42541.0</v>
      </c>
      <c r="G157" s="14">
        <v>42541.0</v>
      </c>
      <c r="H157" s="6" t="s">
        <v>1032</v>
      </c>
      <c r="I157" s="16">
        <v>42542.0</v>
      </c>
      <c r="J157" s="466"/>
      <c r="K157" s="17" t="s">
        <v>8859</v>
      </c>
      <c r="L157" s="42"/>
      <c r="M157" s="42"/>
      <c r="N157" s="61"/>
    </row>
    <row r="158" ht="29.25" customHeight="1">
      <c r="A158" s="45">
        <v>29844.0</v>
      </c>
      <c r="B158" s="42" t="s">
        <v>14</v>
      </c>
      <c r="C158" s="12">
        <v>855.0</v>
      </c>
      <c r="D158" s="12" t="s">
        <v>8860</v>
      </c>
      <c r="E158" s="19" t="s">
        <v>8861</v>
      </c>
      <c r="F158" s="62">
        <v>42539.0</v>
      </c>
      <c r="G158" s="14">
        <v>42535.0</v>
      </c>
      <c r="H158" s="16">
        <v>42535.0</v>
      </c>
      <c r="I158" s="16">
        <v>42542.0</v>
      </c>
      <c r="J158" s="466"/>
      <c r="K158" s="17" t="s">
        <v>8862</v>
      </c>
      <c r="L158" s="42"/>
      <c r="M158" s="42"/>
      <c r="N158" s="61"/>
    </row>
    <row r="159" ht="29.25" customHeight="1">
      <c r="A159" s="45">
        <v>30094.0</v>
      </c>
      <c r="B159" s="42" t="s">
        <v>715</v>
      </c>
      <c r="C159" s="12">
        <v>1806.0</v>
      </c>
      <c r="D159" s="12" t="s">
        <v>8863</v>
      </c>
      <c r="E159" s="19" t="s">
        <v>8864</v>
      </c>
      <c r="F159" s="62">
        <v>42538.0</v>
      </c>
      <c r="G159" s="16">
        <v>42535.0</v>
      </c>
      <c r="H159" s="6" t="s">
        <v>1032</v>
      </c>
      <c r="I159" s="16">
        <v>42543.0</v>
      </c>
      <c r="J159" s="466"/>
      <c r="K159" s="17" t="s">
        <v>8865</v>
      </c>
      <c r="L159" s="42"/>
      <c r="M159" s="42"/>
      <c r="N159" s="61"/>
    </row>
    <row r="160" ht="29.25" customHeight="1">
      <c r="A160" s="45">
        <v>29804.0</v>
      </c>
      <c r="B160" s="42" t="s">
        <v>21</v>
      </c>
      <c r="C160" s="12">
        <v>60.0</v>
      </c>
      <c r="D160" s="12" t="s">
        <v>8866</v>
      </c>
      <c r="E160" s="19" t="s">
        <v>8867</v>
      </c>
      <c r="F160" s="62">
        <v>42536.0</v>
      </c>
      <c r="G160" s="14">
        <v>42536.0</v>
      </c>
      <c r="H160" s="16">
        <v>42536.0</v>
      </c>
      <c r="I160" s="16">
        <v>42543.0</v>
      </c>
      <c r="J160" s="466"/>
      <c r="K160" s="17" t="s">
        <v>8868</v>
      </c>
      <c r="L160" s="42"/>
      <c r="M160" s="42"/>
      <c r="N160" s="61"/>
    </row>
    <row r="161" ht="29.25" customHeight="1">
      <c r="A161" s="45">
        <v>30201.0</v>
      </c>
      <c r="B161" s="42" t="s">
        <v>14</v>
      </c>
      <c r="C161" s="12">
        <v>930.0</v>
      </c>
      <c r="D161" s="12" t="s">
        <v>8869</v>
      </c>
      <c r="E161" s="19" t="s">
        <v>8870</v>
      </c>
      <c r="F161" s="62">
        <v>42536.0</v>
      </c>
      <c r="G161" s="14">
        <v>42534.0</v>
      </c>
      <c r="H161" s="16">
        <v>42557.0</v>
      </c>
      <c r="I161" s="16">
        <v>42558.0</v>
      </c>
      <c r="J161" s="499"/>
      <c r="K161" s="64" t="s">
        <v>8871</v>
      </c>
      <c r="L161" s="42"/>
      <c r="M161" s="42"/>
      <c r="N161" s="61"/>
    </row>
    <row r="162" ht="29.25" customHeight="1">
      <c r="A162" s="45">
        <v>30200.0</v>
      </c>
      <c r="B162" s="42" t="s">
        <v>14</v>
      </c>
      <c r="C162" s="12">
        <v>1240.0</v>
      </c>
      <c r="D162" s="12" t="s">
        <v>8872</v>
      </c>
      <c r="E162" s="19" t="s">
        <v>8873</v>
      </c>
      <c r="F162" s="62">
        <v>42535.0</v>
      </c>
      <c r="G162" s="14">
        <v>42531.0</v>
      </c>
      <c r="H162" s="16">
        <v>42537.0</v>
      </c>
      <c r="I162" s="16">
        <v>42538.0</v>
      </c>
      <c r="J162" s="499"/>
      <c r="K162" s="64" t="s">
        <v>8874</v>
      </c>
      <c r="L162" s="42"/>
      <c r="M162" s="42"/>
      <c r="N162" s="61"/>
    </row>
    <row r="163" ht="29.25" customHeight="1">
      <c r="A163" s="45">
        <v>30104.0</v>
      </c>
      <c r="B163" s="42" t="s">
        <v>21</v>
      </c>
      <c r="C163" s="12">
        <v>470.0</v>
      </c>
      <c r="D163" s="12" t="s">
        <v>8875</v>
      </c>
      <c r="E163" s="19" t="s">
        <v>8876</v>
      </c>
      <c r="F163" s="62">
        <v>42534.0</v>
      </c>
      <c r="G163" s="14">
        <v>42530.0</v>
      </c>
      <c r="H163" s="16">
        <v>42530.0</v>
      </c>
      <c r="I163" s="16">
        <v>42541.0</v>
      </c>
      <c r="J163" s="499"/>
      <c r="K163" s="64" t="s">
        <v>8877</v>
      </c>
      <c r="L163" s="42" t="s">
        <v>497</v>
      </c>
      <c r="M163" s="42" t="s">
        <v>1077</v>
      </c>
      <c r="N163" s="61">
        <v>26945.0</v>
      </c>
    </row>
    <row r="164" ht="29.25" customHeight="1">
      <c r="A164" s="45">
        <v>29861.0</v>
      </c>
      <c r="B164" s="42" t="s">
        <v>14</v>
      </c>
      <c r="C164" s="12">
        <v>2471.0</v>
      </c>
      <c r="D164" s="12" t="s">
        <v>8878</v>
      </c>
      <c r="E164" s="19" t="s">
        <v>8739</v>
      </c>
      <c r="F164" s="62">
        <v>42534.0</v>
      </c>
      <c r="G164" s="16">
        <v>42531.0</v>
      </c>
      <c r="H164" s="16">
        <v>42530.0</v>
      </c>
      <c r="I164" s="16">
        <v>42537.0</v>
      </c>
      <c r="J164" s="499"/>
      <c r="K164" s="64" t="s">
        <v>8879</v>
      </c>
      <c r="L164" s="42" t="s">
        <v>497</v>
      </c>
      <c r="M164" s="42" t="s">
        <v>1052</v>
      </c>
      <c r="N164" s="61">
        <v>26993.5</v>
      </c>
    </row>
    <row r="165" ht="29.25" customHeight="1">
      <c r="A165" s="45" t="s">
        <v>8880</v>
      </c>
      <c r="B165" s="42" t="s">
        <v>21</v>
      </c>
      <c r="C165" s="12">
        <v>128.0</v>
      </c>
      <c r="D165" s="12" t="s">
        <v>8881</v>
      </c>
      <c r="E165" s="19" t="s">
        <v>8882</v>
      </c>
      <c r="F165" s="62">
        <v>42533.0</v>
      </c>
      <c r="G165" s="1" t="s">
        <v>28</v>
      </c>
      <c r="H165" s="6" t="s">
        <v>28</v>
      </c>
      <c r="I165" s="16">
        <v>42536.0</v>
      </c>
      <c r="J165" s="502"/>
      <c r="K165" s="73" t="s">
        <v>8883</v>
      </c>
      <c r="L165" s="42" t="s">
        <v>497</v>
      </c>
      <c r="M165" s="42" t="s">
        <v>1048</v>
      </c>
      <c r="N165" s="61">
        <v>13261.22</v>
      </c>
    </row>
    <row r="166" ht="29.25" customHeight="1">
      <c r="A166" s="45">
        <v>30202.0</v>
      </c>
      <c r="B166" s="42" t="s">
        <v>14</v>
      </c>
      <c r="C166" s="12">
        <v>896.0</v>
      </c>
      <c r="D166" s="12" t="s">
        <v>8884</v>
      </c>
      <c r="E166" s="19" t="s">
        <v>8885</v>
      </c>
      <c r="F166" s="62">
        <v>42529.0</v>
      </c>
      <c r="G166" s="14">
        <v>42530.0</v>
      </c>
      <c r="H166" s="16">
        <v>42531.0</v>
      </c>
      <c r="I166" s="16">
        <v>42535.0</v>
      </c>
      <c r="J166" s="499"/>
      <c r="K166" s="64" t="s">
        <v>8886</v>
      </c>
      <c r="L166" s="42"/>
      <c r="M166" s="42"/>
      <c r="N166" s="61"/>
    </row>
    <row r="167" ht="29.25" customHeight="1">
      <c r="A167" s="45">
        <v>30034.0</v>
      </c>
      <c r="B167" s="42" t="s">
        <v>21</v>
      </c>
      <c r="C167" s="12">
        <v>812.0</v>
      </c>
      <c r="D167" s="12" t="s">
        <v>8887</v>
      </c>
      <c r="E167" s="19" t="s">
        <v>8888</v>
      </c>
      <c r="F167" s="62">
        <v>42522.0</v>
      </c>
      <c r="G167" s="14">
        <v>42521.0</v>
      </c>
      <c r="H167" s="6" t="s">
        <v>1032</v>
      </c>
      <c r="I167" s="16">
        <v>42527.0</v>
      </c>
      <c r="J167" s="499"/>
      <c r="K167" s="64" t="s">
        <v>8889</v>
      </c>
      <c r="L167" s="83"/>
      <c r="M167" s="42"/>
      <c r="N167" s="61"/>
    </row>
    <row r="168" ht="29.25" customHeight="1">
      <c r="A168" s="45">
        <v>30199.0</v>
      </c>
      <c r="B168" s="42" t="s">
        <v>21</v>
      </c>
      <c r="C168" s="12">
        <v>1182.0</v>
      </c>
      <c r="D168" s="12" t="s">
        <v>8890</v>
      </c>
      <c r="E168" s="19" t="s">
        <v>8891</v>
      </c>
      <c r="F168" s="62">
        <v>42521.0</v>
      </c>
      <c r="G168" s="14">
        <v>42517.0</v>
      </c>
      <c r="H168" s="6" t="s">
        <v>1032</v>
      </c>
      <c r="I168" s="478">
        <v>42534.0</v>
      </c>
      <c r="J168" s="499"/>
      <c r="K168" s="64" t="s">
        <v>8892</v>
      </c>
      <c r="L168" s="42"/>
      <c r="M168" s="42"/>
      <c r="N168" s="61"/>
    </row>
    <row r="169" ht="29.25" customHeight="1">
      <c r="A169" s="45">
        <v>30105.0</v>
      </c>
      <c r="B169" s="42" t="s">
        <v>25</v>
      </c>
      <c r="C169" s="12">
        <v>147.0</v>
      </c>
      <c r="D169" s="12" t="s">
        <v>8893</v>
      </c>
      <c r="E169" s="19" t="s">
        <v>8607</v>
      </c>
      <c r="F169" s="62">
        <v>42521.0</v>
      </c>
      <c r="G169" s="1" t="s">
        <v>1175</v>
      </c>
      <c r="H169" s="6" t="s">
        <v>1175</v>
      </c>
      <c r="I169" s="16">
        <v>42530.0</v>
      </c>
      <c r="J169" s="466"/>
      <c r="K169" s="17" t="s">
        <v>8894</v>
      </c>
      <c r="L169" s="42"/>
      <c r="M169" s="42"/>
      <c r="N169" s="61"/>
    </row>
    <row r="170" ht="29.25" customHeight="1">
      <c r="A170" s="45">
        <v>29919.0</v>
      </c>
      <c r="B170" s="42" t="s">
        <v>21</v>
      </c>
      <c r="C170" s="12">
        <v>1100.0</v>
      </c>
      <c r="D170" s="12" t="s">
        <v>8895</v>
      </c>
      <c r="E170" s="19" t="s">
        <v>8896</v>
      </c>
      <c r="F170" s="62">
        <v>42520.0</v>
      </c>
      <c r="G170" s="14">
        <v>42516.0</v>
      </c>
      <c r="H170" s="6" t="s">
        <v>1032</v>
      </c>
      <c r="I170" s="16">
        <v>42524.0</v>
      </c>
      <c r="J170" s="499"/>
      <c r="K170" s="63" t="s">
        <v>8897</v>
      </c>
      <c r="L170" s="42"/>
      <c r="M170" s="42"/>
      <c r="N170" s="61"/>
    </row>
    <row r="171" ht="29.25" customHeight="1">
      <c r="A171" s="45">
        <v>30121.0</v>
      </c>
      <c r="B171" s="42" t="s">
        <v>14</v>
      </c>
      <c r="C171" s="12">
        <v>1250.0</v>
      </c>
      <c r="D171" s="12" t="s">
        <v>8898</v>
      </c>
      <c r="E171" s="19" t="s">
        <v>8899</v>
      </c>
      <c r="F171" s="62">
        <v>42520.0</v>
      </c>
      <c r="G171" s="14">
        <v>42516.0</v>
      </c>
      <c r="H171" s="6" t="s">
        <v>1032</v>
      </c>
      <c r="I171" s="16">
        <v>42522.0</v>
      </c>
      <c r="J171" s="499"/>
      <c r="K171" s="64" t="s">
        <v>8900</v>
      </c>
      <c r="L171" s="42"/>
      <c r="M171" s="42"/>
      <c r="N171" s="61"/>
    </row>
    <row r="172" ht="29.25" customHeight="1">
      <c r="A172" s="45">
        <v>30124.0</v>
      </c>
      <c r="B172" s="42" t="s">
        <v>14</v>
      </c>
      <c r="C172" s="12">
        <v>1182.0</v>
      </c>
      <c r="D172" s="12" t="s">
        <v>8901</v>
      </c>
      <c r="E172" s="19" t="s">
        <v>8902</v>
      </c>
      <c r="F172" s="62">
        <v>42518.0</v>
      </c>
      <c r="G172" s="14">
        <v>42514.0</v>
      </c>
      <c r="H172" s="6" t="s">
        <v>1032</v>
      </c>
      <c r="I172" s="67">
        <v>42524.0</v>
      </c>
      <c r="J172" s="499"/>
      <c r="K172" s="63" t="s">
        <v>8903</v>
      </c>
      <c r="L172" s="42"/>
      <c r="M172" s="42"/>
      <c r="N172" s="61"/>
    </row>
    <row r="173" ht="29.25" customHeight="1">
      <c r="A173" s="45">
        <v>30126.0</v>
      </c>
      <c r="B173" s="42" t="s">
        <v>14</v>
      </c>
      <c r="C173" s="12">
        <v>1029.0</v>
      </c>
      <c r="D173" s="12" t="s">
        <v>8904</v>
      </c>
      <c r="E173" s="66" t="s">
        <v>8905</v>
      </c>
      <c r="F173" s="62">
        <v>42515.0</v>
      </c>
      <c r="G173" s="14">
        <v>42527.0</v>
      </c>
      <c r="H173" s="6" t="s">
        <v>1032</v>
      </c>
      <c r="I173" s="16">
        <v>42521.0</v>
      </c>
      <c r="J173" s="499"/>
      <c r="K173" s="64" t="s">
        <v>8906</v>
      </c>
      <c r="L173" s="42"/>
      <c r="M173" s="42"/>
      <c r="N173" s="61"/>
    </row>
    <row r="174" ht="29.25" customHeight="1">
      <c r="A174" s="45">
        <v>30231.0</v>
      </c>
      <c r="B174" s="42" t="s">
        <v>21</v>
      </c>
      <c r="C174" s="12">
        <v>868.0</v>
      </c>
      <c r="D174" s="12" t="s">
        <v>8907</v>
      </c>
      <c r="E174" s="72" t="s">
        <v>8908</v>
      </c>
      <c r="F174" s="62">
        <v>42514.0</v>
      </c>
      <c r="G174" s="14">
        <v>42510.0</v>
      </c>
      <c r="H174" s="6" t="s">
        <v>1032</v>
      </c>
      <c r="I174" s="67">
        <v>42523.0</v>
      </c>
      <c r="J174" s="499"/>
      <c r="K174" s="64" t="s">
        <v>8909</v>
      </c>
      <c r="L174" s="83"/>
      <c r="M174" s="42"/>
      <c r="N174" s="61"/>
    </row>
    <row r="175" ht="29.25" customHeight="1">
      <c r="A175" s="45">
        <v>29921.0</v>
      </c>
      <c r="B175" s="42" t="s">
        <v>21</v>
      </c>
      <c r="C175" s="12">
        <v>885.0</v>
      </c>
      <c r="D175" s="12" t="s">
        <v>8910</v>
      </c>
      <c r="E175" s="19" t="s">
        <v>8911</v>
      </c>
      <c r="F175" s="62">
        <v>42513.0</v>
      </c>
      <c r="G175" s="14">
        <v>42508.0</v>
      </c>
      <c r="H175" s="6" t="s">
        <v>1032</v>
      </c>
      <c r="I175" s="67">
        <v>42521.0</v>
      </c>
      <c r="J175" s="499"/>
      <c r="K175" s="64" t="s">
        <v>8912</v>
      </c>
      <c r="L175" s="42" t="s">
        <v>2537</v>
      </c>
      <c r="M175" s="42" t="s">
        <v>1077</v>
      </c>
      <c r="N175" s="61">
        <v>39724.1</v>
      </c>
    </row>
    <row r="176" ht="29.25" customHeight="1">
      <c r="A176" s="45">
        <v>30125.0</v>
      </c>
      <c r="B176" s="42" t="s">
        <v>21</v>
      </c>
      <c r="C176" s="12">
        <v>478.0</v>
      </c>
      <c r="D176" s="12" t="s">
        <v>8913</v>
      </c>
      <c r="E176" s="19" t="s">
        <v>8914</v>
      </c>
      <c r="F176" s="62">
        <v>42512.0</v>
      </c>
      <c r="G176" s="14">
        <v>42509.0</v>
      </c>
      <c r="H176" s="6" t="s">
        <v>1032</v>
      </c>
      <c r="I176" s="67">
        <v>42522.0</v>
      </c>
      <c r="J176" s="499"/>
      <c r="K176" s="64" t="s">
        <v>8915</v>
      </c>
      <c r="L176" s="83"/>
      <c r="M176" s="42"/>
      <c r="N176" s="61"/>
    </row>
    <row r="177" ht="29.25" customHeight="1">
      <c r="A177" s="45">
        <v>30118.0</v>
      </c>
      <c r="B177" s="42" t="s">
        <v>14</v>
      </c>
      <c r="C177" s="12">
        <v>1182.0</v>
      </c>
      <c r="D177" s="12" t="s">
        <v>8916</v>
      </c>
      <c r="E177" s="19" t="s">
        <v>8852</v>
      </c>
      <c r="F177" s="62">
        <v>42508.0</v>
      </c>
      <c r="G177" s="65">
        <v>42507.0</v>
      </c>
      <c r="H177" s="6" t="s">
        <v>1032</v>
      </c>
      <c r="I177" s="67">
        <v>42513.0</v>
      </c>
      <c r="J177" s="499"/>
      <c r="K177" s="64" t="s">
        <v>8917</v>
      </c>
      <c r="L177" s="42"/>
      <c r="M177" s="42"/>
      <c r="N177" s="61"/>
    </row>
    <row r="178" ht="29.25" customHeight="1">
      <c r="A178" s="45">
        <v>30120.0</v>
      </c>
      <c r="B178" s="42" t="s">
        <v>21</v>
      </c>
      <c r="C178" s="12">
        <v>1249.0</v>
      </c>
      <c r="D178" s="12" t="s">
        <v>8918</v>
      </c>
      <c r="E178" s="66" t="s">
        <v>8919</v>
      </c>
      <c r="F178" s="62">
        <v>42507.0</v>
      </c>
      <c r="G178" s="14">
        <v>42503.0</v>
      </c>
      <c r="H178" s="6" t="s">
        <v>1032</v>
      </c>
      <c r="I178" s="67">
        <v>42517.0</v>
      </c>
      <c r="J178" s="499"/>
      <c r="K178" s="64" t="s">
        <v>8920</v>
      </c>
      <c r="L178" s="83"/>
      <c r="M178" s="42"/>
      <c r="N178" s="61"/>
    </row>
    <row r="179" ht="29.25" customHeight="1">
      <c r="A179" s="45" t="s">
        <v>8921</v>
      </c>
      <c r="B179" s="42" t="s">
        <v>21</v>
      </c>
      <c r="C179" s="12">
        <v>236.0</v>
      </c>
      <c r="D179" s="12" t="s">
        <v>8922</v>
      </c>
      <c r="E179" s="19" t="s">
        <v>8923</v>
      </c>
      <c r="F179" s="62">
        <v>42505.0</v>
      </c>
      <c r="G179" s="1" t="s">
        <v>1175</v>
      </c>
      <c r="H179" s="6" t="s">
        <v>1175</v>
      </c>
      <c r="I179" s="16">
        <v>42508.0</v>
      </c>
      <c r="J179" s="466"/>
      <c r="K179" s="17" t="s">
        <v>8924</v>
      </c>
      <c r="L179" s="42"/>
      <c r="M179" s="42"/>
      <c r="N179" s="61"/>
    </row>
    <row r="180" ht="29.25" customHeight="1">
      <c r="A180" s="45">
        <v>30123.0</v>
      </c>
      <c r="B180" s="42" t="s">
        <v>21</v>
      </c>
      <c r="C180" s="12">
        <v>930.0</v>
      </c>
      <c r="D180" s="12" t="s">
        <v>8925</v>
      </c>
      <c r="E180" s="19" t="s">
        <v>8926</v>
      </c>
      <c r="F180" s="62">
        <v>42505.0</v>
      </c>
      <c r="G180" s="16">
        <v>42535.0</v>
      </c>
      <c r="H180" s="6" t="s">
        <v>1032</v>
      </c>
      <c r="I180" s="67">
        <v>42510.0</v>
      </c>
      <c r="J180" s="499"/>
      <c r="K180" s="64" t="s">
        <v>8927</v>
      </c>
      <c r="L180" s="83"/>
      <c r="M180" s="42"/>
      <c r="N180" s="61"/>
    </row>
    <row r="181" ht="29.25" customHeight="1">
      <c r="A181" s="45">
        <v>30119.0</v>
      </c>
      <c r="B181" s="42" t="s">
        <v>21</v>
      </c>
      <c r="C181" s="12">
        <v>930.0</v>
      </c>
      <c r="D181" s="12" t="s">
        <v>8928</v>
      </c>
      <c r="E181" s="19" t="s">
        <v>8929</v>
      </c>
      <c r="F181" s="62">
        <v>42504.0</v>
      </c>
      <c r="G181" s="14">
        <v>42500.0</v>
      </c>
      <c r="H181" s="6" t="s">
        <v>1032</v>
      </c>
      <c r="I181" s="16">
        <v>42510.0</v>
      </c>
      <c r="J181" s="499"/>
      <c r="K181" s="64" t="s">
        <v>8930</v>
      </c>
      <c r="L181" s="83"/>
      <c r="M181" s="42"/>
      <c r="N181" s="61"/>
    </row>
    <row r="182" ht="29.25" customHeight="1">
      <c r="A182" s="45">
        <v>30103.0</v>
      </c>
      <c r="B182" s="42" t="s">
        <v>21</v>
      </c>
      <c r="C182" s="12">
        <v>308.0</v>
      </c>
      <c r="D182" s="12" t="s">
        <v>8931</v>
      </c>
      <c r="E182" s="19" t="s">
        <v>8932</v>
      </c>
      <c r="F182" s="62">
        <v>42501.0</v>
      </c>
      <c r="G182" s="67">
        <v>42509.0</v>
      </c>
      <c r="H182" s="6" t="s">
        <v>1032</v>
      </c>
      <c r="I182" s="16">
        <v>42509.0</v>
      </c>
      <c r="J182" s="466"/>
      <c r="K182" s="17" t="s">
        <v>8933</v>
      </c>
      <c r="L182" s="42"/>
      <c r="M182" s="42"/>
      <c r="N182" s="61"/>
    </row>
    <row r="183" ht="29.25" customHeight="1">
      <c r="A183" s="45">
        <v>30117.0</v>
      </c>
      <c r="B183" s="42" t="s">
        <v>21</v>
      </c>
      <c r="C183" s="12">
        <v>1230.0</v>
      </c>
      <c r="D183" s="12" t="s">
        <v>8934</v>
      </c>
      <c r="E183" s="19" t="s">
        <v>8935</v>
      </c>
      <c r="F183" s="62">
        <v>42499.0</v>
      </c>
      <c r="G183" s="14">
        <v>42495.0</v>
      </c>
      <c r="H183" s="6" t="s">
        <v>1032</v>
      </c>
      <c r="I183" s="16">
        <v>42506.0</v>
      </c>
      <c r="J183" s="499"/>
      <c r="K183" s="64" t="s">
        <v>8936</v>
      </c>
      <c r="L183" s="42"/>
      <c r="M183" s="42"/>
      <c r="N183" s="61"/>
      <c r="P183" s="503"/>
    </row>
    <row r="184" ht="29.25" customHeight="1">
      <c r="A184" s="45">
        <v>29941.0</v>
      </c>
      <c r="B184" s="42" t="s">
        <v>21</v>
      </c>
      <c r="C184" s="12">
        <v>501.0</v>
      </c>
      <c r="D184" s="12" t="s">
        <v>8937</v>
      </c>
      <c r="E184" s="19" t="s">
        <v>8938</v>
      </c>
      <c r="F184" s="62">
        <v>42499.0</v>
      </c>
      <c r="G184" s="14">
        <v>42495.0</v>
      </c>
      <c r="H184" s="6" t="s">
        <v>1032</v>
      </c>
      <c r="I184" s="16">
        <v>42502.0</v>
      </c>
      <c r="J184" s="502"/>
      <c r="K184" s="73" t="s">
        <v>8939</v>
      </c>
      <c r="L184" s="42" t="s">
        <v>497</v>
      </c>
      <c r="M184" s="42" t="s">
        <v>1043</v>
      </c>
      <c r="N184" s="61">
        <v>30026.69</v>
      </c>
    </row>
    <row r="185" ht="29.25" customHeight="1">
      <c r="A185" s="45" t="s">
        <v>8940</v>
      </c>
      <c r="B185" s="42" t="s">
        <v>21</v>
      </c>
      <c r="C185" s="12">
        <v>237.0</v>
      </c>
      <c r="D185" s="12" t="s">
        <v>8941</v>
      </c>
      <c r="E185" s="19" t="s">
        <v>8942</v>
      </c>
      <c r="F185" s="62">
        <v>42497.0</v>
      </c>
      <c r="G185" s="65">
        <v>42514.0</v>
      </c>
      <c r="H185" s="6" t="s">
        <v>1032</v>
      </c>
      <c r="I185" s="16">
        <v>42503.0</v>
      </c>
      <c r="J185" s="499"/>
      <c r="K185" s="64" t="s">
        <v>8943</v>
      </c>
      <c r="L185" s="42"/>
      <c r="M185" s="42"/>
      <c r="N185" s="61"/>
    </row>
    <row r="186" ht="29.25" customHeight="1">
      <c r="A186" s="45">
        <v>29855.0</v>
      </c>
      <c r="B186" s="42" t="s">
        <v>21</v>
      </c>
      <c r="C186" s="12">
        <v>2227.0</v>
      </c>
      <c r="D186" s="12" t="s">
        <v>8944</v>
      </c>
      <c r="E186" s="19" t="s">
        <v>1217</v>
      </c>
      <c r="F186" s="62">
        <v>42497.0</v>
      </c>
      <c r="G186" s="14">
        <v>42493.0</v>
      </c>
      <c r="H186" s="16">
        <v>42494.0</v>
      </c>
      <c r="I186" s="67">
        <v>42502.0</v>
      </c>
      <c r="J186" s="499"/>
      <c r="K186" s="64" t="s">
        <v>8945</v>
      </c>
      <c r="L186" s="42" t="s">
        <v>497</v>
      </c>
      <c r="M186" s="42" t="s">
        <v>1052</v>
      </c>
      <c r="N186" s="61">
        <v>29262.78</v>
      </c>
    </row>
    <row r="187" ht="29.25" customHeight="1">
      <c r="A187" s="45">
        <v>29917.0</v>
      </c>
      <c r="B187" s="42" t="s">
        <v>14</v>
      </c>
      <c r="C187" s="12">
        <v>988.0</v>
      </c>
      <c r="D187" s="12" t="s">
        <v>8946</v>
      </c>
      <c r="E187" s="19" t="s">
        <v>8947</v>
      </c>
      <c r="F187" s="62">
        <v>42494.0</v>
      </c>
      <c r="G187" s="14">
        <v>42492.0</v>
      </c>
      <c r="H187" s="6" t="s">
        <v>1032</v>
      </c>
      <c r="I187" s="16">
        <v>42499.0</v>
      </c>
      <c r="J187" s="466"/>
      <c r="K187" s="17" t="s">
        <v>8948</v>
      </c>
      <c r="L187" s="42" t="s">
        <v>497</v>
      </c>
      <c r="M187" s="42" t="s">
        <v>1043</v>
      </c>
      <c r="N187" s="61">
        <v>42896.56</v>
      </c>
    </row>
    <row r="188" ht="29.25" customHeight="1">
      <c r="A188" s="45">
        <v>30097.0</v>
      </c>
      <c r="B188" s="42" t="s">
        <v>14</v>
      </c>
      <c r="C188" s="12">
        <v>1182.0</v>
      </c>
      <c r="D188" s="12" t="s">
        <v>8949</v>
      </c>
      <c r="E188" s="19" t="s">
        <v>8852</v>
      </c>
      <c r="F188" s="62">
        <v>42492.0</v>
      </c>
      <c r="G188" s="14">
        <v>42492.0</v>
      </c>
      <c r="H188" s="6" t="s">
        <v>1032</v>
      </c>
      <c r="I188" s="67">
        <v>42493.0</v>
      </c>
      <c r="J188" s="502"/>
      <c r="K188" s="504" t="s">
        <v>8950</v>
      </c>
      <c r="L188" s="42"/>
      <c r="M188" s="42"/>
      <c r="N188" s="61"/>
    </row>
    <row r="189" ht="29.25" customHeight="1">
      <c r="A189" s="45">
        <v>29843.0</v>
      </c>
      <c r="B189" s="42" t="s">
        <v>8951</v>
      </c>
      <c r="C189" s="12">
        <v>900.0</v>
      </c>
      <c r="D189" s="12" t="s">
        <v>8952</v>
      </c>
      <c r="E189" s="19" t="s">
        <v>8953</v>
      </c>
      <c r="F189" s="62">
        <v>42491.0</v>
      </c>
      <c r="G189" s="14">
        <v>42489.0</v>
      </c>
      <c r="H189" s="6" t="s">
        <v>1032</v>
      </c>
      <c r="I189" s="67">
        <v>42506.0</v>
      </c>
      <c r="J189" s="505"/>
      <c r="K189" s="506" t="s">
        <v>8954</v>
      </c>
      <c r="L189" s="42"/>
      <c r="M189" s="42"/>
      <c r="N189" s="61"/>
    </row>
    <row r="190" ht="29.25" customHeight="1">
      <c r="A190" s="45">
        <v>30096.0</v>
      </c>
      <c r="B190" s="42" t="s">
        <v>14</v>
      </c>
      <c r="C190" s="12">
        <v>930.0</v>
      </c>
      <c r="D190" s="12" t="s">
        <v>8955</v>
      </c>
      <c r="E190" s="19" t="s">
        <v>8956</v>
      </c>
      <c r="F190" s="62">
        <v>42490.0</v>
      </c>
      <c r="G190" s="14">
        <v>42492.0</v>
      </c>
      <c r="H190" s="6" t="s">
        <v>1032</v>
      </c>
      <c r="I190" s="67">
        <v>42496.0</v>
      </c>
      <c r="J190" s="499"/>
      <c r="K190" s="64" t="s">
        <v>8957</v>
      </c>
      <c r="L190" s="42"/>
      <c r="M190" s="42"/>
      <c r="N190" s="61"/>
    </row>
    <row r="191" ht="29.25" customHeight="1">
      <c r="A191" s="45">
        <v>29937.0</v>
      </c>
      <c r="B191" s="42" t="s">
        <v>21</v>
      </c>
      <c r="C191" s="12">
        <v>822.0</v>
      </c>
      <c r="D191" s="12" t="s">
        <v>8958</v>
      </c>
      <c r="E191" s="19" t="s">
        <v>8959</v>
      </c>
      <c r="F191" s="62">
        <v>42489.0</v>
      </c>
      <c r="G191" s="14">
        <v>42486.0</v>
      </c>
      <c r="H191" s="6" t="s">
        <v>1032</v>
      </c>
      <c r="I191" s="16">
        <v>42494.0</v>
      </c>
      <c r="J191" s="499"/>
      <c r="K191" s="64" t="s">
        <v>8960</v>
      </c>
      <c r="L191" s="42"/>
      <c r="M191" s="42"/>
      <c r="N191" s="61"/>
    </row>
    <row r="192" ht="29.25" customHeight="1">
      <c r="A192" s="45">
        <v>30093.0</v>
      </c>
      <c r="B192" s="42" t="s">
        <v>21</v>
      </c>
      <c r="C192" s="12">
        <v>944.0</v>
      </c>
      <c r="D192" s="12" t="s">
        <v>8961</v>
      </c>
      <c r="E192" s="66" t="s">
        <v>8962</v>
      </c>
      <c r="F192" s="62">
        <v>42486.0</v>
      </c>
      <c r="G192" s="14">
        <v>42482.0</v>
      </c>
      <c r="H192" s="6" t="s">
        <v>1032</v>
      </c>
      <c r="I192" s="67">
        <v>42488.0</v>
      </c>
      <c r="J192" s="499"/>
      <c r="K192" s="64" t="s">
        <v>8963</v>
      </c>
      <c r="L192" s="42"/>
      <c r="M192" s="42"/>
      <c r="N192" s="61"/>
    </row>
    <row r="193" ht="29.25" customHeight="1">
      <c r="A193" s="45">
        <v>29969.0</v>
      </c>
      <c r="B193" s="42" t="s">
        <v>21</v>
      </c>
      <c r="C193" s="12">
        <v>15.0</v>
      </c>
      <c r="D193" s="12" t="s">
        <v>8964</v>
      </c>
      <c r="E193" s="19" t="s">
        <v>8965</v>
      </c>
      <c r="F193" s="62">
        <v>42486.0</v>
      </c>
      <c r="G193" s="14">
        <v>42482.0</v>
      </c>
      <c r="H193" s="6" t="s">
        <v>1032</v>
      </c>
      <c r="I193" s="16">
        <v>42495.0</v>
      </c>
      <c r="J193" s="499"/>
      <c r="K193" s="64" t="s">
        <v>8966</v>
      </c>
      <c r="L193" s="42"/>
      <c r="M193" s="42"/>
      <c r="N193" s="61"/>
    </row>
    <row r="194" ht="29.25" customHeight="1">
      <c r="A194" s="45">
        <v>29936.0</v>
      </c>
      <c r="B194" s="42" t="s">
        <v>25</v>
      </c>
      <c r="C194" s="12">
        <v>822.0</v>
      </c>
      <c r="D194" s="12" t="s">
        <v>8967</v>
      </c>
      <c r="E194" s="19" t="s">
        <v>8959</v>
      </c>
      <c r="F194" s="62">
        <v>42486.0</v>
      </c>
      <c r="G194" s="14">
        <v>42486.0</v>
      </c>
      <c r="H194" s="6" t="s">
        <v>1032</v>
      </c>
      <c r="I194" s="16">
        <v>42492.0</v>
      </c>
      <c r="J194" s="466"/>
      <c r="K194" s="17" t="s">
        <v>8968</v>
      </c>
      <c r="L194" s="42"/>
      <c r="M194" s="42"/>
      <c r="N194" s="61"/>
    </row>
    <row r="195" ht="29.25" customHeight="1">
      <c r="A195" s="45">
        <v>29984.0</v>
      </c>
      <c r="B195" s="42" t="s">
        <v>14</v>
      </c>
      <c r="C195" s="12">
        <v>790.0</v>
      </c>
      <c r="D195" s="12" t="s">
        <v>8969</v>
      </c>
      <c r="E195" s="19" t="s">
        <v>8959</v>
      </c>
      <c r="F195" s="62">
        <v>42485.0</v>
      </c>
      <c r="G195" s="67">
        <v>42485.0</v>
      </c>
      <c r="H195" s="6" t="s">
        <v>1032</v>
      </c>
      <c r="I195" s="16">
        <v>42488.0</v>
      </c>
      <c r="J195" s="466"/>
      <c r="K195" s="17" t="s">
        <v>8970</v>
      </c>
      <c r="L195" s="42"/>
      <c r="M195" s="42"/>
      <c r="N195" s="61"/>
    </row>
    <row r="196" ht="29.25" customHeight="1">
      <c r="A196" s="45">
        <v>29918.0</v>
      </c>
      <c r="B196" s="42" t="s">
        <v>14</v>
      </c>
      <c r="C196" s="12">
        <v>2200.0</v>
      </c>
      <c r="D196" s="12" t="s">
        <v>8971</v>
      </c>
      <c r="E196" s="19" t="s">
        <v>8972</v>
      </c>
      <c r="F196" s="62">
        <v>42485.0</v>
      </c>
      <c r="G196" s="67">
        <v>42485.0</v>
      </c>
      <c r="H196" s="67">
        <v>42488.0</v>
      </c>
      <c r="I196" s="16">
        <v>42492.0</v>
      </c>
      <c r="J196" s="466"/>
      <c r="K196" s="17" t="s">
        <v>8973</v>
      </c>
      <c r="L196" s="42"/>
      <c r="M196" s="42"/>
      <c r="N196" s="61"/>
    </row>
    <row r="197" ht="29.25" customHeight="1">
      <c r="A197" s="45">
        <v>29749.0</v>
      </c>
      <c r="B197" s="42" t="s">
        <v>14</v>
      </c>
      <c r="C197" s="12">
        <v>194.0</v>
      </c>
      <c r="D197" s="12" t="s">
        <v>8974</v>
      </c>
      <c r="E197" s="19" t="s">
        <v>8975</v>
      </c>
      <c r="F197" s="62">
        <v>42484.0</v>
      </c>
      <c r="G197" s="14">
        <v>42481.0</v>
      </c>
      <c r="H197" s="6" t="s">
        <v>1032</v>
      </c>
      <c r="I197" s="16">
        <v>42486.0</v>
      </c>
      <c r="J197" s="499"/>
      <c r="K197" s="64" t="s">
        <v>8976</v>
      </c>
      <c r="L197" s="42"/>
      <c r="M197" s="42"/>
      <c r="N197" s="61"/>
    </row>
    <row r="198" ht="29.25" customHeight="1">
      <c r="A198" s="45">
        <v>30095.0</v>
      </c>
      <c r="B198" s="42" t="s">
        <v>21</v>
      </c>
      <c r="C198" s="12">
        <v>1464.0</v>
      </c>
      <c r="D198" s="12" t="s">
        <v>8977</v>
      </c>
      <c r="E198" s="19" t="s">
        <v>8815</v>
      </c>
      <c r="F198" s="62">
        <v>42483.0</v>
      </c>
      <c r="G198" s="67">
        <v>42502.0</v>
      </c>
      <c r="H198" s="6" t="s">
        <v>1032</v>
      </c>
      <c r="I198" s="67">
        <v>42492.0</v>
      </c>
      <c r="J198" s="499"/>
      <c r="K198" s="64" t="s">
        <v>8978</v>
      </c>
      <c r="L198" s="42"/>
      <c r="M198" s="42"/>
      <c r="N198" s="61"/>
    </row>
    <row r="199" ht="29.25" customHeight="1">
      <c r="A199" s="45">
        <v>30023.0</v>
      </c>
      <c r="B199" s="42" t="s">
        <v>14</v>
      </c>
      <c r="C199" s="12">
        <v>1029.0</v>
      </c>
      <c r="D199" s="12" t="s">
        <v>8979</v>
      </c>
      <c r="E199" s="66" t="s">
        <v>8980</v>
      </c>
      <c r="F199" s="62">
        <v>42480.0</v>
      </c>
      <c r="G199" s="14">
        <v>42479.0</v>
      </c>
      <c r="H199" s="6" t="s">
        <v>1032</v>
      </c>
      <c r="I199" s="16">
        <v>42482.0</v>
      </c>
      <c r="J199" s="499"/>
      <c r="K199" s="64" t="s">
        <v>8981</v>
      </c>
      <c r="L199" s="42"/>
      <c r="M199" s="42"/>
      <c r="N199" s="61"/>
    </row>
    <row r="200" ht="29.25" customHeight="1">
      <c r="A200" s="45">
        <v>30028.0</v>
      </c>
      <c r="B200" s="42" t="s">
        <v>21</v>
      </c>
      <c r="C200" s="12">
        <v>1250.0</v>
      </c>
      <c r="D200" s="12" t="s">
        <v>8982</v>
      </c>
      <c r="E200" s="19" t="s">
        <v>8983</v>
      </c>
      <c r="F200" s="62">
        <v>42479.0</v>
      </c>
      <c r="G200" s="14">
        <v>42479.0</v>
      </c>
      <c r="H200" s="6" t="s">
        <v>1032</v>
      </c>
      <c r="I200" s="16">
        <v>42489.0</v>
      </c>
      <c r="J200" s="499"/>
      <c r="K200" s="64" t="s">
        <v>8984</v>
      </c>
      <c r="L200" s="42"/>
      <c r="M200" s="42"/>
      <c r="N200" s="61"/>
    </row>
    <row r="201" ht="29.25" customHeight="1">
      <c r="A201" s="45">
        <v>30025.0</v>
      </c>
      <c r="B201" s="42" t="s">
        <v>21</v>
      </c>
      <c r="C201" s="12">
        <v>268.0</v>
      </c>
      <c r="D201" s="12" t="s">
        <v>8985</v>
      </c>
      <c r="E201" s="19" t="s">
        <v>8986</v>
      </c>
      <c r="F201" s="62">
        <v>42479.0</v>
      </c>
      <c r="G201" s="14">
        <v>42475.0</v>
      </c>
      <c r="H201" s="6" t="s">
        <v>1032</v>
      </c>
      <c r="I201" s="67">
        <v>42482.0</v>
      </c>
      <c r="J201" s="499"/>
      <c r="K201" s="64" t="s">
        <v>8987</v>
      </c>
      <c r="L201" s="42"/>
      <c r="M201" s="42"/>
      <c r="N201" s="61"/>
    </row>
    <row r="202" ht="29.25" customHeight="1">
      <c r="A202" s="45">
        <v>30021.0</v>
      </c>
      <c r="B202" s="42" t="s">
        <v>21</v>
      </c>
      <c r="C202" s="12">
        <v>1249.0</v>
      </c>
      <c r="D202" s="12" t="s">
        <v>8988</v>
      </c>
      <c r="E202" s="66" t="s">
        <v>8989</v>
      </c>
      <c r="F202" s="62">
        <v>42479.0</v>
      </c>
      <c r="G202" s="14">
        <v>42475.0</v>
      </c>
      <c r="H202" s="6" t="s">
        <v>1032</v>
      </c>
      <c r="I202" s="67">
        <v>42485.0</v>
      </c>
      <c r="J202" s="502"/>
      <c r="K202" s="73" t="s">
        <v>8990</v>
      </c>
      <c r="L202" s="42"/>
      <c r="M202" s="42"/>
      <c r="N202" s="61"/>
    </row>
    <row r="203" ht="29.25" customHeight="1">
      <c r="A203" s="45">
        <v>29853.0</v>
      </c>
      <c r="B203" s="42" t="s">
        <v>21</v>
      </c>
      <c r="C203" s="12">
        <v>2227.0</v>
      </c>
      <c r="D203" s="12" t="s">
        <v>8991</v>
      </c>
      <c r="E203" s="19" t="s">
        <v>1217</v>
      </c>
      <c r="F203" s="62">
        <v>42477.0</v>
      </c>
      <c r="G203" s="14">
        <v>42473.0</v>
      </c>
      <c r="H203" s="6" t="s">
        <v>1032</v>
      </c>
      <c r="I203" s="16">
        <v>42479.0</v>
      </c>
      <c r="J203" s="499"/>
      <c r="K203" s="64" t="s">
        <v>8992</v>
      </c>
      <c r="L203" s="42" t="s">
        <v>497</v>
      </c>
      <c r="M203" s="42" t="s">
        <v>1052</v>
      </c>
      <c r="N203" s="61">
        <v>29262.78</v>
      </c>
    </row>
    <row r="204" ht="29.25" customHeight="1">
      <c r="A204" s="45">
        <v>30022.0</v>
      </c>
      <c r="B204" s="42" t="s">
        <v>14</v>
      </c>
      <c r="C204" s="12">
        <v>1220.0</v>
      </c>
      <c r="D204" s="12" t="s">
        <v>8993</v>
      </c>
      <c r="E204" s="19" t="s">
        <v>8475</v>
      </c>
      <c r="F204" s="62">
        <v>42473.0</v>
      </c>
      <c r="G204" s="14">
        <v>42472.0</v>
      </c>
      <c r="H204" s="6" t="s">
        <v>1032</v>
      </c>
      <c r="I204" s="16">
        <v>42478.0</v>
      </c>
      <c r="J204" s="499"/>
      <c r="K204" s="64" t="s">
        <v>8994</v>
      </c>
      <c r="L204" s="42"/>
      <c r="M204" s="42"/>
      <c r="N204" s="61"/>
    </row>
    <row r="205" ht="29.25" customHeight="1">
      <c r="A205" s="83">
        <v>29410.0</v>
      </c>
      <c r="B205" s="42" t="s">
        <v>25</v>
      </c>
      <c r="C205" s="12">
        <v>2227.0</v>
      </c>
      <c r="D205" s="12" t="s">
        <v>8995</v>
      </c>
      <c r="E205" s="19" t="s">
        <v>1217</v>
      </c>
      <c r="F205" s="62">
        <v>42471.0</v>
      </c>
      <c r="G205" s="67">
        <v>42479.0</v>
      </c>
      <c r="H205" s="6" t="s">
        <v>1032</v>
      </c>
      <c r="I205" s="16">
        <v>42479.0</v>
      </c>
      <c r="J205" s="499"/>
      <c r="K205" s="64" t="s">
        <v>8996</v>
      </c>
      <c r="L205" s="42" t="s">
        <v>497</v>
      </c>
      <c r="M205" s="42" t="s">
        <v>1052</v>
      </c>
      <c r="N205" s="61">
        <v>29262.78</v>
      </c>
    </row>
    <row r="206" ht="29.25" customHeight="1">
      <c r="A206" s="45">
        <v>29841.0</v>
      </c>
      <c r="B206" s="42" t="s">
        <v>21</v>
      </c>
      <c r="C206" s="12">
        <v>839.0</v>
      </c>
      <c r="D206" s="12" t="s">
        <v>8997</v>
      </c>
      <c r="E206" s="507" t="s">
        <v>8998</v>
      </c>
      <c r="F206" s="62">
        <v>42469.0</v>
      </c>
      <c r="G206" s="1" t="s">
        <v>1175</v>
      </c>
      <c r="H206" s="6" t="s">
        <v>1032</v>
      </c>
      <c r="I206" s="16">
        <v>42479.0</v>
      </c>
      <c r="J206" s="499"/>
      <c r="K206" s="63" t="s">
        <v>8999</v>
      </c>
      <c r="L206" s="42" t="s">
        <v>497</v>
      </c>
      <c r="M206" s="42" t="s">
        <v>1043</v>
      </c>
      <c r="N206" s="61">
        <v>31369.4</v>
      </c>
    </row>
    <row r="207" ht="29.25" customHeight="1">
      <c r="A207" s="45">
        <v>29847.0</v>
      </c>
      <c r="B207" s="42" t="s">
        <v>21</v>
      </c>
      <c r="C207" s="12">
        <v>539.0</v>
      </c>
      <c r="D207" s="12" t="s">
        <v>9000</v>
      </c>
      <c r="E207" s="19" t="s">
        <v>9001</v>
      </c>
      <c r="F207" s="62">
        <v>42469.0</v>
      </c>
      <c r="G207" s="14">
        <v>42471.0</v>
      </c>
      <c r="H207" s="6" t="s">
        <v>1032</v>
      </c>
      <c r="I207" s="16">
        <v>42474.0</v>
      </c>
      <c r="J207" s="499"/>
      <c r="K207" s="64" t="s">
        <v>9002</v>
      </c>
      <c r="L207" s="42"/>
      <c r="M207" s="42"/>
      <c r="N207" s="61"/>
    </row>
    <row r="208" ht="29.25" customHeight="1">
      <c r="A208" s="45">
        <v>29892.0</v>
      </c>
      <c r="B208" s="42" t="s">
        <v>14</v>
      </c>
      <c r="C208" s="12">
        <v>322.0</v>
      </c>
      <c r="D208" s="12" t="s">
        <v>9003</v>
      </c>
      <c r="E208" s="19" t="s">
        <v>9004</v>
      </c>
      <c r="F208" s="62">
        <v>42468.0</v>
      </c>
      <c r="G208" s="14">
        <v>42465.0</v>
      </c>
      <c r="H208" s="6" t="s">
        <v>1032</v>
      </c>
      <c r="I208" s="16">
        <v>42473.0</v>
      </c>
      <c r="J208" s="466"/>
      <c r="K208" s="17" t="s">
        <v>9005</v>
      </c>
      <c r="L208" s="42"/>
      <c r="M208" s="42"/>
      <c r="N208" s="61"/>
    </row>
    <row r="209" ht="29.25" customHeight="1">
      <c r="A209" s="45">
        <v>30020.0</v>
      </c>
      <c r="B209" s="42" t="s">
        <v>21</v>
      </c>
      <c r="C209" s="12">
        <v>944.0</v>
      </c>
      <c r="D209" s="12" t="s">
        <v>9006</v>
      </c>
      <c r="E209" s="66" t="s">
        <v>9007</v>
      </c>
      <c r="F209" s="62">
        <v>42467.0</v>
      </c>
      <c r="G209" s="14">
        <v>42465.0</v>
      </c>
      <c r="H209" s="6" t="s">
        <v>1032</v>
      </c>
      <c r="I209" s="16">
        <v>42472.0</v>
      </c>
      <c r="J209" s="499"/>
      <c r="K209" s="64" t="s">
        <v>9008</v>
      </c>
      <c r="L209" s="42"/>
      <c r="M209" s="42"/>
      <c r="N209" s="61"/>
    </row>
    <row r="210" ht="29.25" customHeight="1">
      <c r="A210" s="45">
        <v>29783.0</v>
      </c>
      <c r="B210" s="42" t="s">
        <v>25</v>
      </c>
      <c r="C210" s="12">
        <v>716.0</v>
      </c>
      <c r="D210" s="12" t="s">
        <v>9009</v>
      </c>
      <c r="E210" s="19" t="s">
        <v>9010</v>
      </c>
      <c r="F210" s="62">
        <v>42466.0</v>
      </c>
      <c r="G210" s="14">
        <v>42464.0</v>
      </c>
      <c r="H210" s="6" t="s">
        <v>1032</v>
      </c>
      <c r="I210" s="16">
        <v>42472.0</v>
      </c>
      <c r="J210" s="466"/>
      <c r="K210" s="17" t="s">
        <v>9011</v>
      </c>
      <c r="L210" s="42" t="s">
        <v>497</v>
      </c>
      <c r="M210" s="42" t="s">
        <v>1077</v>
      </c>
      <c r="N210" s="61">
        <v>45489.6</v>
      </c>
    </row>
    <row r="211" ht="29.25" customHeight="1">
      <c r="A211" s="45">
        <v>30019.0</v>
      </c>
      <c r="B211" s="42" t="s">
        <v>21</v>
      </c>
      <c r="C211" s="12">
        <v>1059.0</v>
      </c>
      <c r="D211" s="12" t="s">
        <v>9012</v>
      </c>
      <c r="E211" s="72" t="s">
        <v>9013</v>
      </c>
      <c r="F211" s="62">
        <v>42464.0</v>
      </c>
      <c r="G211" s="14">
        <v>42459.0</v>
      </c>
      <c r="H211" s="6" t="s">
        <v>1032</v>
      </c>
      <c r="I211" s="16">
        <v>42471.0</v>
      </c>
      <c r="J211" s="499"/>
      <c r="K211" s="64" t="s">
        <v>9014</v>
      </c>
      <c r="L211" s="42"/>
      <c r="M211" s="42"/>
      <c r="N211" s="61"/>
    </row>
    <row r="212" ht="29.25" customHeight="1">
      <c r="A212" s="45">
        <v>29856.0</v>
      </c>
      <c r="B212" s="42" t="s">
        <v>14</v>
      </c>
      <c r="C212" s="12">
        <v>2470.0</v>
      </c>
      <c r="D212" s="12" t="s">
        <v>9015</v>
      </c>
      <c r="E212" s="19" t="s">
        <v>9016</v>
      </c>
      <c r="F212" s="62">
        <v>42464.0</v>
      </c>
      <c r="G212" s="67">
        <v>42461.0</v>
      </c>
      <c r="H212" s="6" t="s">
        <v>1032</v>
      </c>
      <c r="I212" s="16">
        <v>42468.0</v>
      </c>
      <c r="J212" s="499"/>
      <c r="K212" s="64" t="s">
        <v>9017</v>
      </c>
      <c r="L212" s="42" t="s">
        <v>497</v>
      </c>
      <c r="M212" s="42" t="s">
        <v>1052</v>
      </c>
      <c r="N212" s="61">
        <v>26985.8</v>
      </c>
    </row>
    <row r="213" ht="29.25" customHeight="1">
      <c r="A213" s="45" t="s">
        <v>9018</v>
      </c>
      <c r="B213" s="42" t="s">
        <v>21</v>
      </c>
      <c r="C213" s="12">
        <v>129.0</v>
      </c>
      <c r="D213" s="12" t="s">
        <v>9019</v>
      </c>
      <c r="E213" s="19" t="s">
        <v>9020</v>
      </c>
      <c r="F213" s="62">
        <v>42463.0</v>
      </c>
      <c r="G213" s="14">
        <v>42459.0</v>
      </c>
      <c r="H213" s="6" t="s">
        <v>1032</v>
      </c>
      <c r="I213" s="16">
        <v>42466.0</v>
      </c>
      <c r="J213" s="466"/>
      <c r="K213" s="17" t="s">
        <v>9021</v>
      </c>
      <c r="L213" s="42"/>
      <c r="M213" s="42"/>
      <c r="N213" s="61"/>
    </row>
    <row r="214" ht="29.25" customHeight="1">
      <c r="A214" s="45">
        <v>29842.0</v>
      </c>
      <c r="B214" s="42" t="s">
        <v>14</v>
      </c>
      <c r="C214" s="12">
        <v>900.0</v>
      </c>
      <c r="D214" s="12" t="s">
        <v>9022</v>
      </c>
      <c r="E214" s="19" t="s">
        <v>8953</v>
      </c>
      <c r="F214" s="62">
        <v>42462.0</v>
      </c>
      <c r="G214" s="67">
        <v>42461.0</v>
      </c>
      <c r="H214" s="6" t="s">
        <v>1032</v>
      </c>
      <c r="I214" s="16">
        <v>42466.0</v>
      </c>
      <c r="J214" s="466"/>
      <c r="K214" s="17" t="s">
        <v>9023</v>
      </c>
      <c r="L214" s="42"/>
      <c r="M214" s="42"/>
      <c r="N214" s="61"/>
    </row>
    <row r="215" ht="29.25" customHeight="1">
      <c r="A215" s="45">
        <v>29782.0</v>
      </c>
      <c r="B215" s="42" t="s">
        <v>14</v>
      </c>
      <c r="C215" s="12">
        <v>740.0</v>
      </c>
      <c r="D215" s="12" t="s">
        <v>9024</v>
      </c>
      <c r="E215" s="19" t="s">
        <v>9010</v>
      </c>
      <c r="F215" s="62">
        <v>42459.0</v>
      </c>
      <c r="G215" s="14">
        <v>42457.0</v>
      </c>
      <c r="H215" s="6" t="s">
        <v>1032</v>
      </c>
      <c r="I215" s="16">
        <v>42464.0</v>
      </c>
      <c r="J215" s="466"/>
      <c r="K215" s="17" t="s">
        <v>9025</v>
      </c>
      <c r="L215" s="42" t="s">
        <v>497</v>
      </c>
      <c r="M215" s="42" t="s">
        <v>1077</v>
      </c>
      <c r="N215" s="61">
        <v>47326.7</v>
      </c>
    </row>
    <row r="216" ht="29.25" customHeight="1">
      <c r="A216" s="45">
        <v>29948.0</v>
      </c>
      <c r="B216" s="42" t="s">
        <v>21</v>
      </c>
      <c r="C216" s="12">
        <v>340.0</v>
      </c>
      <c r="D216" s="42" t="s">
        <v>9026</v>
      </c>
      <c r="E216" s="19" t="s">
        <v>9027</v>
      </c>
      <c r="F216" s="62">
        <v>42457.0</v>
      </c>
      <c r="G216" s="65">
        <v>43552.0</v>
      </c>
      <c r="H216" s="6" t="s">
        <v>1032</v>
      </c>
      <c r="I216" s="67">
        <v>42459.0</v>
      </c>
      <c r="J216" s="499"/>
      <c r="K216" s="64" t="s">
        <v>9028</v>
      </c>
      <c r="L216" s="42"/>
      <c r="M216" s="42"/>
      <c r="N216" s="61"/>
    </row>
    <row r="217" ht="29.25" customHeight="1">
      <c r="A217" s="45">
        <v>29944.0</v>
      </c>
      <c r="B217" s="42" t="s">
        <v>14</v>
      </c>
      <c r="C217" s="12">
        <v>1029.0</v>
      </c>
      <c r="D217" s="12" t="s">
        <v>9029</v>
      </c>
      <c r="E217" s="66" t="s">
        <v>9030</v>
      </c>
      <c r="F217" s="62">
        <v>42450.0</v>
      </c>
      <c r="G217" s="14">
        <v>42450.0</v>
      </c>
      <c r="H217" s="6" t="s">
        <v>1032</v>
      </c>
      <c r="I217" s="16">
        <v>42452.0</v>
      </c>
      <c r="J217" s="466"/>
      <c r="K217" s="17" t="s">
        <v>9031</v>
      </c>
      <c r="L217" s="42"/>
      <c r="M217" s="42"/>
      <c r="N217" s="61"/>
    </row>
    <row r="218" ht="29.25" customHeight="1">
      <c r="A218" s="45">
        <v>29947.0</v>
      </c>
      <c r="B218" s="42" t="s">
        <v>21</v>
      </c>
      <c r="C218" s="12">
        <v>1300.0</v>
      </c>
      <c r="D218" s="12" t="s">
        <v>9032</v>
      </c>
      <c r="E218" s="19" t="s">
        <v>9033</v>
      </c>
      <c r="F218" s="62">
        <v>42449.0</v>
      </c>
      <c r="G218" s="14">
        <v>42446.0</v>
      </c>
      <c r="H218" s="67">
        <v>42452.0</v>
      </c>
      <c r="I218" s="16">
        <v>42458.0</v>
      </c>
      <c r="J218" s="499"/>
      <c r="K218" s="63" t="s">
        <v>9034</v>
      </c>
      <c r="L218" s="42"/>
      <c r="M218" s="42"/>
      <c r="N218" s="61"/>
    </row>
    <row r="219" ht="29.25" customHeight="1">
      <c r="A219" s="45">
        <v>29943.0</v>
      </c>
      <c r="B219" s="42" t="s">
        <v>14</v>
      </c>
      <c r="C219" s="12">
        <v>1250.0</v>
      </c>
      <c r="D219" s="12" t="s">
        <v>9035</v>
      </c>
      <c r="E219" s="19" t="s">
        <v>9036</v>
      </c>
      <c r="F219" s="62">
        <v>42440.0</v>
      </c>
      <c r="G219" s="14">
        <v>42436.0</v>
      </c>
      <c r="H219" s="16">
        <v>42438.0</v>
      </c>
      <c r="I219" s="16">
        <v>42444.0</v>
      </c>
      <c r="J219" s="499"/>
      <c r="K219" s="64" t="s">
        <v>9037</v>
      </c>
      <c r="L219" s="42"/>
      <c r="M219" s="42"/>
      <c r="N219" s="61"/>
    </row>
    <row r="220" ht="29.25" customHeight="1">
      <c r="A220" s="45">
        <v>29946.0</v>
      </c>
      <c r="B220" s="42" t="s">
        <v>25</v>
      </c>
      <c r="C220" s="12">
        <v>1175.0</v>
      </c>
      <c r="D220" s="12" t="s">
        <v>9038</v>
      </c>
      <c r="E220" s="19" t="s">
        <v>9033</v>
      </c>
      <c r="F220" s="62">
        <v>42438.0</v>
      </c>
      <c r="G220" s="14">
        <v>42439.0</v>
      </c>
      <c r="H220" s="16">
        <v>42446.0</v>
      </c>
      <c r="I220" s="16">
        <v>42447.0</v>
      </c>
      <c r="J220" s="499"/>
      <c r="K220" s="64" t="s">
        <v>9039</v>
      </c>
      <c r="L220" s="42"/>
      <c r="M220" s="42"/>
      <c r="N220" s="61"/>
    </row>
    <row r="221" ht="29.25" customHeight="1">
      <c r="A221" s="45">
        <v>29889.0</v>
      </c>
      <c r="B221" s="42" t="s">
        <v>14</v>
      </c>
      <c r="C221" s="12">
        <v>1619.0</v>
      </c>
      <c r="D221" s="12" t="s">
        <v>9040</v>
      </c>
      <c r="E221" s="19" t="s">
        <v>9041</v>
      </c>
      <c r="F221" s="62">
        <v>42436.0</v>
      </c>
      <c r="G221" s="14">
        <v>42436.0</v>
      </c>
      <c r="H221" s="6" t="s">
        <v>1032</v>
      </c>
      <c r="I221" s="16">
        <v>42440.0</v>
      </c>
      <c r="J221" s="466"/>
      <c r="K221" s="17" t="s">
        <v>9042</v>
      </c>
      <c r="L221" s="42"/>
      <c r="M221" s="42"/>
      <c r="N221" s="61"/>
    </row>
    <row r="222" ht="29.25" customHeight="1">
      <c r="A222" s="45">
        <v>29409.0</v>
      </c>
      <c r="B222" s="42" t="s">
        <v>21</v>
      </c>
      <c r="C222" s="12">
        <v>2227.0</v>
      </c>
      <c r="D222" s="12" t="s">
        <v>9043</v>
      </c>
      <c r="E222" s="19" t="s">
        <v>1217</v>
      </c>
      <c r="F222" s="62">
        <v>42428.0</v>
      </c>
      <c r="G222" s="14">
        <v>42427.0</v>
      </c>
      <c r="H222" s="6" t="s">
        <v>1032</v>
      </c>
      <c r="I222" s="16">
        <v>42433.0</v>
      </c>
      <c r="J222" s="488"/>
      <c r="K222" s="9" t="s">
        <v>9044</v>
      </c>
      <c r="L222" s="42" t="s">
        <v>497</v>
      </c>
      <c r="M222" s="42" t="s">
        <v>1052</v>
      </c>
      <c r="N222" s="61">
        <v>29262.78</v>
      </c>
    </row>
    <row r="223" ht="29.25" customHeight="1">
      <c r="A223" s="45">
        <v>29486.0</v>
      </c>
      <c r="B223" s="42" t="s">
        <v>21</v>
      </c>
      <c r="C223" s="12">
        <v>900.0</v>
      </c>
      <c r="D223" s="12" t="s">
        <v>9045</v>
      </c>
      <c r="E223" s="19" t="s">
        <v>8810</v>
      </c>
      <c r="F223" s="62">
        <v>42427.0</v>
      </c>
      <c r="G223" s="14">
        <v>42430.0</v>
      </c>
      <c r="H223" s="6" t="s">
        <v>1032</v>
      </c>
      <c r="I223" s="67">
        <v>42438.0</v>
      </c>
      <c r="J223" s="499"/>
      <c r="K223" s="64" t="s">
        <v>9046</v>
      </c>
      <c r="L223" s="42"/>
      <c r="M223" s="42"/>
      <c r="N223" s="61"/>
    </row>
    <row r="224" ht="29.25" customHeight="1">
      <c r="A224" s="45">
        <v>29797.0</v>
      </c>
      <c r="B224" s="42" t="s">
        <v>21</v>
      </c>
      <c r="C224" s="12">
        <v>15.0</v>
      </c>
      <c r="D224" s="12" t="s">
        <v>9047</v>
      </c>
      <c r="E224" s="19" t="s">
        <v>9048</v>
      </c>
      <c r="F224" s="62">
        <v>42427.0</v>
      </c>
      <c r="G224" s="14">
        <v>42423.0</v>
      </c>
      <c r="H224" s="6" t="s">
        <v>1032</v>
      </c>
      <c r="I224" s="16">
        <v>42431.0</v>
      </c>
      <c r="J224" s="488"/>
      <c r="K224" s="9" t="s">
        <v>9049</v>
      </c>
      <c r="L224" s="42"/>
      <c r="M224" s="42"/>
      <c r="N224" s="61"/>
    </row>
    <row r="225" ht="29.25" customHeight="1">
      <c r="A225" s="45">
        <v>29408.0</v>
      </c>
      <c r="B225" s="42" t="s">
        <v>14</v>
      </c>
      <c r="C225" s="12">
        <v>2227.0</v>
      </c>
      <c r="D225" s="12" t="s">
        <v>9050</v>
      </c>
      <c r="E225" s="19" t="s">
        <v>1217</v>
      </c>
      <c r="F225" s="62">
        <v>42427.0</v>
      </c>
      <c r="G225" s="14">
        <v>42429.0</v>
      </c>
      <c r="H225" s="6" t="s">
        <v>1032</v>
      </c>
      <c r="I225" s="16">
        <v>42431.0</v>
      </c>
      <c r="J225" s="499"/>
      <c r="K225" s="63" t="s">
        <v>9051</v>
      </c>
      <c r="L225" s="42" t="s">
        <v>497</v>
      </c>
      <c r="M225" s="42" t="s">
        <v>1052</v>
      </c>
      <c r="N225" s="61">
        <v>29262.78</v>
      </c>
    </row>
    <row r="226" ht="29.25" customHeight="1">
      <c r="A226" s="45">
        <v>29533.0</v>
      </c>
      <c r="B226" s="42" t="s">
        <v>25</v>
      </c>
      <c r="C226" s="12">
        <v>540.0</v>
      </c>
      <c r="D226" s="12" t="s">
        <v>9052</v>
      </c>
      <c r="E226" s="508" t="s">
        <v>8998</v>
      </c>
      <c r="F226" s="62">
        <v>42424.0</v>
      </c>
      <c r="G226" s="1" t="s">
        <v>1175</v>
      </c>
      <c r="H226" s="6" t="s">
        <v>1032</v>
      </c>
      <c r="I226" s="16">
        <v>42431.0</v>
      </c>
      <c r="J226" s="488"/>
      <c r="K226" s="9" t="s">
        <v>9053</v>
      </c>
      <c r="L226" s="42" t="s">
        <v>497</v>
      </c>
      <c r="M226" s="42" t="s">
        <v>9054</v>
      </c>
      <c r="N226" s="61">
        <v>25930.6</v>
      </c>
    </row>
    <row r="227" ht="29.25" customHeight="1">
      <c r="A227" s="45">
        <v>29904.0</v>
      </c>
      <c r="B227" s="42" t="s">
        <v>21</v>
      </c>
      <c r="C227" s="12">
        <v>994.0</v>
      </c>
      <c r="D227" s="12" t="s">
        <v>9055</v>
      </c>
      <c r="E227" s="66" t="s">
        <v>9056</v>
      </c>
      <c r="F227" s="62">
        <v>42423.0</v>
      </c>
      <c r="G227" s="14">
        <v>42425.0</v>
      </c>
      <c r="H227" s="6" t="s">
        <v>1032</v>
      </c>
      <c r="I227" s="16">
        <v>42433.0</v>
      </c>
      <c r="J227" s="499"/>
      <c r="K227" s="64" t="s">
        <v>9057</v>
      </c>
      <c r="L227" s="42"/>
      <c r="M227" s="42"/>
      <c r="N227" s="61"/>
    </row>
    <row r="228" ht="29.25" customHeight="1">
      <c r="A228" s="45">
        <v>29776.0</v>
      </c>
      <c r="B228" s="42" t="s">
        <v>21</v>
      </c>
      <c r="C228" s="12">
        <v>400.0</v>
      </c>
      <c r="D228" s="12" t="s">
        <v>9058</v>
      </c>
      <c r="E228" s="19" t="s">
        <v>8876</v>
      </c>
      <c r="F228" s="62">
        <v>42422.0</v>
      </c>
      <c r="G228" s="14">
        <v>42423.0</v>
      </c>
      <c r="H228" s="6" t="s">
        <v>1032</v>
      </c>
      <c r="I228" s="16">
        <v>42424.0</v>
      </c>
      <c r="J228" s="488"/>
      <c r="K228" s="9" t="s">
        <v>9059</v>
      </c>
      <c r="L228" s="42" t="s">
        <v>497</v>
      </c>
      <c r="M228" s="42" t="s">
        <v>1077</v>
      </c>
      <c r="N228" s="61">
        <v>22945.0</v>
      </c>
    </row>
    <row r="229" ht="29.25" customHeight="1">
      <c r="A229" s="45">
        <v>29596.0</v>
      </c>
      <c r="B229" s="42" t="s">
        <v>21</v>
      </c>
      <c r="C229" s="12">
        <v>1512.0</v>
      </c>
      <c r="D229" s="12" t="s">
        <v>9060</v>
      </c>
      <c r="E229" s="19" t="s">
        <v>9061</v>
      </c>
      <c r="F229" s="62">
        <v>42421.0</v>
      </c>
      <c r="G229" s="14">
        <v>42417.0</v>
      </c>
      <c r="H229" s="6" t="s">
        <v>1032</v>
      </c>
      <c r="I229" s="16">
        <v>42060.0</v>
      </c>
      <c r="J229" s="499"/>
      <c r="K229" s="64" t="s">
        <v>9062</v>
      </c>
      <c r="L229" s="42"/>
      <c r="M229" s="42"/>
      <c r="N229" s="61"/>
    </row>
    <row r="230" ht="29.25" customHeight="1">
      <c r="A230" s="45">
        <v>29618.0</v>
      </c>
      <c r="B230" s="42" t="s">
        <v>21</v>
      </c>
      <c r="C230" s="12">
        <v>800.0</v>
      </c>
      <c r="D230" s="12" t="s">
        <v>9063</v>
      </c>
      <c r="E230" s="19" t="s">
        <v>9064</v>
      </c>
      <c r="F230" s="62">
        <v>42420.0</v>
      </c>
      <c r="G230" s="14">
        <v>42418.0</v>
      </c>
      <c r="H230" s="6" t="s">
        <v>1032</v>
      </c>
      <c r="I230" s="16">
        <v>42426.0</v>
      </c>
      <c r="J230" s="499"/>
      <c r="K230" s="64" t="s">
        <v>9065</v>
      </c>
      <c r="L230" s="42"/>
      <c r="M230" s="42"/>
      <c r="N230" s="61"/>
    </row>
    <row r="231" ht="29.25" customHeight="1">
      <c r="A231" s="45">
        <v>29920.0</v>
      </c>
      <c r="B231" s="42" t="s">
        <v>21</v>
      </c>
      <c r="C231" s="12">
        <v>959.0</v>
      </c>
      <c r="D231" s="12" t="s">
        <v>9066</v>
      </c>
      <c r="E231" s="19" t="s">
        <v>9067</v>
      </c>
      <c r="F231" s="62">
        <v>42419.0</v>
      </c>
      <c r="G231" s="14">
        <v>42416.0</v>
      </c>
      <c r="H231" s="6" t="s">
        <v>1032</v>
      </c>
      <c r="I231" s="16">
        <v>42426.0</v>
      </c>
      <c r="J231" s="499"/>
      <c r="K231" s="63" t="s">
        <v>9068</v>
      </c>
      <c r="L231" s="42"/>
      <c r="M231" s="42"/>
      <c r="N231" s="61"/>
    </row>
    <row r="232" ht="29.25" customHeight="1">
      <c r="A232" s="45">
        <v>29901.0</v>
      </c>
      <c r="B232" s="42" t="s">
        <v>21</v>
      </c>
      <c r="C232" s="12">
        <v>796.0</v>
      </c>
      <c r="D232" s="12" t="s">
        <v>9069</v>
      </c>
      <c r="E232" s="500" t="s">
        <v>9070</v>
      </c>
      <c r="F232" s="62">
        <v>42415.0</v>
      </c>
      <c r="G232" s="14">
        <v>42417.0</v>
      </c>
      <c r="H232" s="6" t="s">
        <v>1032</v>
      </c>
      <c r="I232" s="16">
        <v>42423.0</v>
      </c>
      <c r="J232" s="488"/>
      <c r="K232" s="9" t="s">
        <v>9071</v>
      </c>
      <c r="L232" s="42"/>
      <c r="M232" s="42"/>
      <c r="N232" s="61"/>
    </row>
    <row r="233" ht="29.25" customHeight="1">
      <c r="A233" s="45">
        <v>29670.0</v>
      </c>
      <c r="B233" s="42" t="s">
        <v>21</v>
      </c>
      <c r="C233" s="12">
        <v>860.0</v>
      </c>
      <c r="D233" s="12" t="s">
        <v>9072</v>
      </c>
      <c r="E233" s="19" t="s">
        <v>9073</v>
      </c>
      <c r="F233" s="62">
        <v>42415.0</v>
      </c>
      <c r="G233" s="14">
        <v>42417.0</v>
      </c>
      <c r="H233" s="6" t="s">
        <v>1032</v>
      </c>
      <c r="I233" s="16">
        <v>42418.0</v>
      </c>
      <c r="J233" s="499"/>
      <c r="K233" s="64" t="s">
        <v>9074</v>
      </c>
      <c r="L233" s="42" t="s">
        <v>497</v>
      </c>
      <c r="M233" s="42" t="s">
        <v>1077</v>
      </c>
      <c r="N233" s="61">
        <v>47843.2</v>
      </c>
    </row>
    <row r="234" ht="29.25" customHeight="1">
      <c r="A234" s="45">
        <v>29405.0</v>
      </c>
      <c r="B234" s="484" t="s">
        <v>14</v>
      </c>
      <c r="C234" s="12">
        <v>2227.0</v>
      </c>
      <c r="D234" s="12" t="s">
        <v>9075</v>
      </c>
      <c r="E234" s="19" t="s">
        <v>1217</v>
      </c>
      <c r="F234" s="62">
        <v>42415.0</v>
      </c>
      <c r="G234" s="14">
        <v>42417.0</v>
      </c>
      <c r="H234" s="6" t="s">
        <v>1032</v>
      </c>
      <c r="I234" s="16">
        <v>42422.0</v>
      </c>
      <c r="J234" s="499"/>
      <c r="K234" s="64" t="s">
        <v>9076</v>
      </c>
      <c r="L234" s="42" t="s">
        <v>497</v>
      </c>
      <c r="M234" s="42" t="s">
        <v>1052</v>
      </c>
      <c r="N234" s="61">
        <v>29262.78</v>
      </c>
    </row>
    <row r="235" ht="25.5" customHeight="1">
      <c r="A235" s="45">
        <v>29893.0</v>
      </c>
      <c r="B235" s="42" t="s">
        <v>14</v>
      </c>
      <c r="C235" s="12">
        <v>930.0</v>
      </c>
      <c r="D235" s="12" t="s">
        <v>9077</v>
      </c>
      <c r="E235" s="19" t="s">
        <v>9078</v>
      </c>
      <c r="F235" s="62">
        <v>42415.0</v>
      </c>
      <c r="G235" s="14">
        <v>42411.0</v>
      </c>
      <c r="H235" s="6" t="s">
        <v>1032</v>
      </c>
      <c r="I235" s="16">
        <v>42417.0</v>
      </c>
      <c r="J235" s="488"/>
      <c r="K235" s="9" t="s">
        <v>9079</v>
      </c>
      <c r="L235" s="42"/>
      <c r="M235" s="42"/>
      <c r="N235" s="61"/>
    </row>
    <row r="236" ht="25.5" customHeight="1">
      <c r="A236" s="45" t="s">
        <v>9080</v>
      </c>
      <c r="B236" s="42" t="s">
        <v>21</v>
      </c>
      <c r="C236" s="12">
        <v>20.0</v>
      </c>
      <c r="D236" s="12" t="s">
        <v>9081</v>
      </c>
      <c r="E236" s="19" t="s">
        <v>9082</v>
      </c>
      <c r="F236" s="62">
        <v>42414.0</v>
      </c>
      <c r="G236" s="1" t="s">
        <v>1175</v>
      </c>
      <c r="H236" s="6" t="s">
        <v>1032</v>
      </c>
      <c r="I236" s="16">
        <v>42418.0</v>
      </c>
      <c r="J236" s="488"/>
      <c r="K236" s="9" t="s">
        <v>9083</v>
      </c>
      <c r="L236" s="42" t="s">
        <v>497</v>
      </c>
      <c r="M236" s="42" t="s">
        <v>1048</v>
      </c>
      <c r="N236" s="61">
        <v>4355.5</v>
      </c>
    </row>
    <row r="237" ht="25.5" customHeight="1">
      <c r="A237" s="45">
        <v>29895.0</v>
      </c>
      <c r="B237" s="42" t="s">
        <v>21</v>
      </c>
      <c r="C237" s="12">
        <v>1290.0</v>
      </c>
      <c r="D237" s="12" t="s">
        <v>9084</v>
      </c>
      <c r="E237" s="19" t="s">
        <v>8815</v>
      </c>
      <c r="F237" s="62">
        <v>42413.0</v>
      </c>
      <c r="G237" s="14">
        <v>42411.0</v>
      </c>
      <c r="H237" s="6" t="s">
        <v>1032</v>
      </c>
      <c r="I237" s="67">
        <v>42422.0</v>
      </c>
      <c r="J237" s="488"/>
      <c r="K237" s="9" t="s">
        <v>9085</v>
      </c>
      <c r="L237" s="42"/>
      <c r="M237" s="42"/>
      <c r="N237" s="61"/>
    </row>
    <row r="238" ht="25.5" customHeight="1">
      <c r="A238" s="45">
        <v>29894.0</v>
      </c>
      <c r="B238" s="42" t="s">
        <v>21</v>
      </c>
      <c r="C238" s="12">
        <v>1133.0</v>
      </c>
      <c r="D238" s="42" t="s">
        <v>9086</v>
      </c>
      <c r="E238" s="66" t="s">
        <v>9087</v>
      </c>
      <c r="F238" s="62">
        <v>42410.0</v>
      </c>
      <c r="G238" s="14">
        <v>42408.0</v>
      </c>
      <c r="H238" s="6" t="s">
        <v>1032</v>
      </c>
      <c r="I238" s="67">
        <v>42422.0</v>
      </c>
      <c r="J238" s="499"/>
      <c r="K238" s="64" t="s">
        <v>9088</v>
      </c>
      <c r="L238" s="42"/>
      <c r="M238" s="42"/>
      <c r="N238" s="61"/>
    </row>
    <row r="239" ht="25.5" customHeight="1">
      <c r="A239" s="45">
        <v>29814.0</v>
      </c>
      <c r="B239" s="42" t="s">
        <v>25</v>
      </c>
      <c r="C239" s="12">
        <v>145.0</v>
      </c>
      <c r="D239" s="12" t="s">
        <v>9089</v>
      </c>
      <c r="E239" s="19" t="s">
        <v>9090</v>
      </c>
      <c r="F239" s="62">
        <v>42410.0</v>
      </c>
      <c r="G239" s="1" t="s">
        <v>1175</v>
      </c>
      <c r="H239" s="6" t="s">
        <v>1032</v>
      </c>
      <c r="I239" s="16">
        <v>42422.0</v>
      </c>
      <c r="J239" s="488"/>
      <c r="K239" s="9" t="s">
        <v>9091</v>
      </c>
      <c r="L239" s="42"/>
      <c r="M239" s="42"/>
      <c r="N239" s="61"/>
    </row>
    <row r="240" ht="25.5" customHeight="1">
      <c r="A240" s="45">
        <v>29039.0</v>
      </c>
      <c r="B240" s="42" t="s">
        <v>21</v>
      </c>
      <c r="C240" s="12">
        <v>2227.0</v>
      </c>
      <c r="D240" s="12" t="s">
        <v>9092</v>
      </c>
      <c r="E240" s="19" t="s">
        <v>1217</v>
      </c>
      <c r="F240" s="62">
        <v>42407.0</v>
      </c>
      <c r="G240" s="14">
        <v>42404.0</v>
      </c>
      <c r="H240" s="6" t="s">
        <v>1032</v>
      </c>
      <c r="I240" s="16">
        <v>42411.0</v>
      </c>
      <c r="J240" s="499"/>
      <c r="K240" s="64" t="s">
        <v>9093</v>
      </c>
      <c r="L240" s="42" t="s">
        <v>497</v>
      </c>
      <c r="M240" s="42" t="s">
        <v>1052</v>
      </c>
      <c r="N240" s="61">
        <v>11045.92</v>
      </c>
    </row>
    <row r="241" ht="25.5" customHeight="1">
      <c r="A241" s="45">
        <v>29691.0</v>
      </c>
      <c r="B241" s="42" t="s">
        <v>21</v>
      </c>
      <c r="C241" s="12">
        <v>508.0</v>
      </c>
      <c r="D241" s="12" t="s">
        <v>9094</v>
      </c>
      <c r="E241" s="19" t="s">
        <v>8463</v>
      </c>
      <c r="F241" s="62">
        <v>42403.0</v>
      </c>
      <c r="G241" s="14">
        <v>42405.0</v>
      </c>
      <c r="H241" s="6" t="s">
        <v>1032</v>
      </c>
      <c r="I241" s="16">
        <v>42410.0</v>
      </c>
      <c r="J241" s="499"/>
      <c r="K241" s="64" t="s">
        <v>9095</v>
      </c>
      <c r="L241" s="42"/>
      <c r="M241" s="42"/>
      <c r="N241" s="61"/>
    </row>
    <row r="242" ht="25.5" customHeight="1">
      <c r="A242" s="45">
        <v>29849.0</v>
      </c>
      <c r="B242" s="42" t="s">
        <v>14</v>
      </c>
      <c r="C242" s="12">
        <v>470.0</v>
      </c>
      <c r="D242" s="12" t="s">
        <v>9096</v>
      </c>
      <c r="E242" s="19" t="s">
        <v>9097</v>
      </c>
      <c r="F242" s="62">
        <v>42403.0</v>
      </c>
      <c r="G242" s="67">
        <v>42405.0</v>
      </c>
      <c r="H242" s="6" t="s">
        <v>1032</v>
      </c>
      <c r="I242" s="67">
        <v>42409.0</v>
      </c>
      <c r="J242" s="488"/>
      <c r="K242" s="9" t="s">
        <v>9098</v>
      </c>
      <c r="L242" s="42"/>
      <c r="M242" s="42"/>
      <c r="N242" s="61"/>
    </row>
    <row r="243" ht="25.5" customHeight="1">
      <c r="A243" s="45">
        <v>29038.0</v>
      </c>
      <c r="B243" s="42" t="s">
        <v>25</v>
      </c>
      <c r="C243" s="12">
        <v>2227.0</v>
      </c>
      <c r="D243" s="12" t="s">
        <v>9099</v>
      </c>
      <c r="E243" s="19" t="s">
        <v>1217</v>
      </c>
      <c r="F243" s="62">
        <v>42403.0</v>
      </c>
      <c r="G243" s="14">
        <v>42401.0</v>
      </c>
      <c r="H243" s="6" t="s">
        <v>1032</v>
      </c>
      <c r="I243" s="16">
        <v>42408.0</v>
      </c>
      <c r="J243" s="499"/>
      <c r="K243" s="64" t="s">
        <v>9100</v>
      </c>
      <c r="L243" s="42" t="s">
        <v>497</v>
      </c>
      <c r="M243" s="42" t="s">
        <v>1052</v>
      </c>
      <c r="N243" s="61">
        <v>29262.78</v>
      </c>
    </row>
    <row r="244" ht="25.5" customHeight="1">
      <c r="A244" s="45">
        <v>29851.0</v>
      </c>
      <c r="B244" s="42" t="s">
        <v>21</v>
      </c>
      <c r="C244" s="12">
        <v>1100.0</v>
      </c>
      <c r="D244" s="78" t="s">
        <v>9101</v>
      </c>
      <c r="E244" s="72" t="s">
        <v>9102</v>
      </c>
      <c r="F244" s="62">
        <v>42401.0</v>
      </c>
      <c r="G244" s="14">
        <v>42401.0</v>
      </c>
      <c r="H244" s="6" t="s">
        <v>1032</v>
      </c>
      <c r="I244" s="16">
        <v>42408.0</v>
      </c>
      <c r="J244" s="488"/>
      <c r="K244" s="9" t="s">
        <v>9103</v>
      </c>
      <c r="L244" s="42"/>
      <c r="M244" s="42"/>
      <c r="N244" s="61"/>
    </row>
    <row r="245" ht="25.5" customHeight="1">
      <c r="A245" s="45">
        <v>29850.0</v>
      </c>
      <c r="B245" s="42" t="s">
        <v>14</v>
      </c>
      <c r="C245" s="12">
        <v>944.0</v>
      </c>
      <c r="D245" s="12" t="s">
        <v>9104</v>
      </c>
      <c r="E245" s="66" t="s">
        <v>9105</v>
      </c>
      <c r="F245" s="62">
        <v>42401.0</v>
      </c>
      <c r="G245" s="14">
        <v>42398.0</v>
      </c>
      <c r="H245" s="6" t="s">
        <v>1032</v>
      </c>
      <c r="I245" s="16">
        <v>42408.0</v>
      </c>
      <c r="J245" s="488"/>
      <c r="K245" s="9" t="s">
        <v>9106</v>
      </c>
      <c r="L245" s="42"/>
      <c r="M245" s="42"/>
      <c r="N245" s="61"/>
    </row>
    <row r="246" ht="25.5" customHeight="1">
      <c r="A246" s="45">
        <v>29487.0</v>
      </c>
      <c r="B246" s="42" t="s">
        <v>14</v>
      </c>
      <c r="C246" s="12">
        <v>900.0</v>
      </c>
      <c r="D246" s="12" t="s">
        <v>9107</v>
      </c>
      <c r="E246" s="19" t="s">
        <v>8810</v>
      </c>
      <c r="F246" s="62">
        <v>42399.0</v>
      </c>
      <c r="G246" s="14">
        <v>42398.0</v>
      </c>
      <c r="H246" s="6" t="s">
        <v>1032</v>
      </c>
      <c r="I246" s="16">
        <v>42408.0</v>
      </c>
      <c r="J246" s="488"/>
      <c r="K246" s="9" t="s">
        <v>9108</v>
      </c>
      <c r="L246" s="42"/>
      <c r="M246" s="42"/>
      <c r="N246" s="61"/>
    </row>
    <row r="247" ht="25.5" customHeight="1">
      <c r="A247" s="45">
        <v>29827.0</v>
      </c>
      <c r="B247" s="42" t="s">
        <v>14</v>
      </c>
      <c r="C247" s="12">
        <v>1029.0</v>
      </c>
      <c r="D247" s="12" t="s">
        <v>9109</v>
      </c>
      <c r="E247" s="66" t="s">
        <v>9110</v>
      </c>
      <c r="F247" s="62">
        <v>42396.0</v>
      </c>
      <c r="G247" s="14">
        <v>42390.0</v>
      </c>
      <c r="H247" s="6" t="s">
        <v>1032</v>
      </c>
      <c r="I247" s="16">
        <v>42403.0</v>
      </c>
      <c r="J247" s="499"/>
      <c r="K247" s="64" t="s">
        <v>9111</v>
      </c>
      <c r="L247" s="42"/>
      <c r="M247" s="42"/>
      <c r="N247" s="61"/>
    </row>
    <row r="248" ht="25.5" customHeight="1">
      <c r="A248" s="45">
        <v>29848.0</v>
      </c>
      <c r="B248" s="42" t="s">
        <v>21</v>
      </c>
      <c r="C248" s="12">
        <v>600.0</v>
      </c>
      <c r="D248" s="12" t="s">
        <v>9112</v>
      </c>
      <c r="E248" s="19" t="s">
        <v>9113</v>
      </c>
      <c r="F248" s="62">
        <v>42395.0</v>
      </c>
      <c r="G248" s="67">
        <v>42402.0</v>
      </c>
      <c r="H248" s="6" t="s">
        <v>1032</v>
      </c>
      <c r="I248" s="16">
        <v>42401.0</v>
      </c>
      <c r="J248" s="499"/>
      <c r="K248" s="64" t="s">
        <v>9114</v>
      </c>
      <c r="L248" s="42"/>
      <c r="M248" s="42"/>
      <c r="N248" s="61"/>
    </row>
    <row r="249" ht="25.5" customHeight="1">
      <c r="A249" s="45">
        <v>29207.0</v>
      </c>
      <c r="B249" s="42" t="s">
        <v>21</v>
      </c>
      <c r="C249" s="12">
        <v>450.0</v>
      </c>
      <c r="D249" s="12" t="s">
        <v>9115</v>
      </c>
      <c r="E249" s="19" t="s">
        <v>9116</v>
      </c>
      <c r="F249" s="62">
        <v>42395.0</v>
      </c>
      <c r="G249" s="14">
        <v>42391.0</v>
      </c>
      <c r="H249" s="6" t="s">
        <v>1032</v>
      </c>
      <c r="I249" s="16">
        <v>42402.0</v>
      </c>
      <c r="J249" s="499"/>
      <c r="K249" s="64" t="s">
        <v>9117</v>
      </c>
      <c r="L249" s="42"/>
      <c r="M249" s="42"/>
      <c r="N249" s="61"/>
    </row>
    <row r="250" ht="26.25" customHeight="1">
      <c r="A250" s="45">
        <v>29595.0</v>
      </c>
      <c r="B250" s="42" t="s">
        <v>14</v>
      </c>
      <c r="C250" s="12">
        <v>1512.0</v>
      </c>
      <c r="D250" s="12" t="s">
        <v>9118</v>
      </c>
      <c r="E250" s="19" t="s">
        <v>9119</v>
      </c>
      <c r="F250" s="62">
        <v>42395.0</v>
      </c>
      <c r="G250" s="14">
        <v>42395.0</v>
      </c>
      <c r="H250" s="6" t="s">
        <v>1032</v>
      </c>
      <c r="I250" s="16">
        <v>42404.0</v>
      </c>
      <c r="J250" s="488"/>
      <c r="K250" s="9" t="s">
        <v>9120</v>
      </c>
      <c r="L250" s="42"/>
      <c r="M250" s="42"/>
      <c r="N250" s="61"/>
    </row>
    <row r="251" ht="25.5" customHeight="1">
      <c r="A251" s="45">
        <v>29829.0</v>
      </c>
      <c r="B251" s="42" t="s">
        <v>14</v>
      </c>
      <c r="C251" s="12">
        <v>1269.0</v>
      </c>
      <c r="D251" s="12" t="s">
        <v>9121</v>
      </c>
      <c r="E251" s="19" t="s">
        <v>9122</v>
      </c>
      <c r="F251" s="62">
        <v>42394.0</v>
      </c>
      <c r="G251" s="67">
        <v>42409.0</v>
      </c>
      <c r="H251" s="6" t="s">
        <v>1032</v>
      </c>
      <c r="I251" s="16">
        <v>42405.0</v>
      </c>
      <c r="J251" s="499"/>
      <c r="K251" s="64" t="s">
        <v>9123</v>
      </c>
      <c r="L251" s="42"/>
      <c r="M251" s="42"/>
      <c r="N251" s="61"/>
    </row>
    <row r="252" ht="25.5" customHeight="1">
      <c r="A252" s="45">
        <v>29825.0</v>
      </c>
      <c r="B252" s="42" t="s">
        <v>14</v>
      </c>
      <c r="C252" s="12">
        <v>1300.0</v>
      </c>
      <c r="D252" s="12" t="s">
        <v>9124</v>
      </c>
      <c r="E252" s="19" t="s">
        <v>9125</v>
      </c>
      <c r="F252" s="62">
        <v>42394.0</v>
      </c>
      <c r="G252" s="14">
        <v>42390.0</v>
      </c>
      <c r="H252" s="6" t="s">
        <v>1032</v>
      </c>
      <c r="I252" s="67">
        <v>42402.0</v>
      </c>
      <c r="J252" s="502"/>
      <c r="K252" s="73" t="s">
        <v>9126</v>
      </c>
      <c r="L252" s="42"/>
      <c r="M252" s="42"/>
      <c r="N252" s="61"/>
    </row>
    <row r="253" ht="25.5" customHeight="1">
      <c r="A253" s="45">
        <v>29826.0</v>
      </c>
      <c r="B253" s="42" t="s">
        <v>14</v>
      </c>
      <c r="C253" s="12">
        <v>1061.0</v>
      </c>
      <c r="D253" s="12" t="s">
        <v>9127</v>
      </c>
      <c r="E253" s="72" t="s">
        <v>9128</v>
      </c>
      <c r="F253" s="62">
        <v>42391.0</v>
      </c>
      <c r="G253" s="67">
        <v>42390.0</v>
      </c>
      <c r="H253" s="6" t="s">
        <v>1032</v>
      </c>
      <c r="I253" s="67">
        <v>42398.0</v>
      </c>
      <c r="J253" s="488"/>
      <c r="K253" s="9" t="s">
        <v>9129</v>
      </c>
      <c r="L253" s="42"/>
      <c r="M253" s="42"/>
      <c r="N253" s="61"/>
    </row>
    <row r="254" ht="25.5" customHeight="1">
      <c r="A254" s="45">
        <v>29722.0</v>
      </c>
      <c r="B254" s="42" t="s">
        <v>25</v>
      </c>
      <c r="C254" s="12">
        <v>1100.0</v>
      </c>
      <c r="D254" s="12" t="s">
        <v>9130</v>
      </c>
      <c r="E254" s="19" t="s">
        <v>8972</v>
      </c>
      <c r="F254" s="62">
        <v>42389.0</v>
      </c>
      <c r="G254" s="67">
        <v>42389.0</v>
      </c>
      <c r="H254" s="6" t="s">
        <v>1032</v>
      </c>
      <c r="I254" s="16">
        <v>42395.0</v>
      </c>
      <c r="J254" s="488"/>
      <c r="K254" s="9" t="s">
        <v>9131</v>
      </c>
      <c r="L254" s="42"/>
      <c r="M254" s="42"/>
      <c r="N254" s="61"/>
    </row>
    <row r="255" ht="25.5" customHeight="1">
      <c r="A255" s="45">
        <v>29708.0</v>
      </c>
      <c r="B255" s="42" t="s">
        <v>21</v>
      </c>
      <c r="C255" s="12">
        <v>320.0</v>
      </c>
      <c r="D255" s="12" t="s">
        <v>9132</v>
      </c>
      <c r="E255" s="19" t="s">
        <v>9133</v>
      </c>
      <c r="F255" s="62">
        <v>42388.0</v>
      </c>
      <c r="G255" s="67">
        <v>42391.0</v>
      </c>
      <c r="H255" s="6" t="s">
        <v>1032</v>
      </c>
      <c r="I255" s="16">
        <v>42395.0</v>
      </c>
      <c r="J255" s="502"/>
      <c r="K255" s="73" t="s">
        <v>9134</v>
      </c>
      <c r="L255" s="42"/>
      <c r="M255" s="42"/>
      <c r="N255" s="61"/>
    </row>
    <row r="256" ht="25.5" customHeight="1">
      <c r="A256" s="45">
        <v>29669.0</v>
      </c>
      <c r="B256" s="42" t="s">
        <v>25</v>
      </c>
      <c r="C256" s="12">
        <v>835.0</v>
      </c>
      <c r="D256" s="12" t="s">
        <v>9135</v>
      </c>
      <c r="E256" s="19" t="s">
        <v>9136</v>
      </c>
      <c r="F256" s="62">
        <v>42388.0</v>
      </c>
      <c r="G256" s="14">
        <v>42385.0</v>
      </c>
      <c r="H256" s="6" t="s">
        <v>1032</v>
      </c>
      <c r="I256" s="16">
        <v>42396.0</v>
      </c>
      <c r="J256" s="488"/>
      <c r="K256" s="9" t="s">
        <v>9137</v>
      </c>
      <c r="L256" s="42" t="s">
        <v>497</v>
      </c>
      <c r="M256" s="42" t="s">
        <v>1077</v>
      </c>
      <c r="N256" s="61">
        <v>46178.8</v>
      </c>
    </row>
    <row r="257" ht="25.5" customHeight="1">
      <c r="A257" s="45" t="s">
        <v>9138</v>
      </c>
      <c r="B257" s="42" t="s">
        <v>21</v>
      </c>
      <c r="C257" s="12">
        <v>380.0</v>
      </c>
      <c r="D257" s="12" t="s">
        <v>9139</v>
      </c>
      <c r="E257" s="19" t="s">
        <v>9140</v>
      </c>
      <c r="F257" s="62">
        <v>42385.0</v>
      </c>
      <c r="G257" s="67">
        <v>42391.0</v>
      </c>
      <c r="H257" s="6" t="s">
        <v>1032</v>
      </c>
      <c r="I257" s="16">
        <v>42394.0</v>
      </c>
      <c r="J257" s="502"/>
      <c r="K257" s="504" t="s">
        <v>9141</v>
      </c>
      <c r="L257" s="42"/>
      <c r="M257" s="42"/>
      <c r="N257" s="61"/>
    </row>
    <row r="258" ht="29.25" customHeight="1">
      <c r="A258" s="45">
        <v>29355.0</v>
      </c>
      <c r="B258" s="42" t="s">
        <v>21</v>
      </c>
      <c r="C258" s="12">
        <v>100.0</v>
      </c>
      <c r="D258" s="12" t="s">
        <v>9142</v>
      </c>
      <c r="E258" s="19" t="s">
        <v>9143</v>
      </c>
      <c r="F258" s="62">
        <v>42382.0</v>
      </c>
      <c r="G258" s="67">
        <v>42391.0</v>
      </c>
      <c r="H258" s="6" t="s">
        <v>1032</v>
      </c>
      <c r="I258" s="16">
        <v>42389.0</v>
      </c>
      <c r="J258" s="502"/>
      <c r="K258" s="73" t="s">
        <v>9144</v>
      </c>
      <c r="L258" s="42"/>
      <c r="M258" s="42"/>
      <c r="N258" s="61"/>
    </row>
    <row r="259" ht="12.75" customHeight="1">
      <c r="A259" s="45">
        <v>29036.0</v>
      </c>
      <c r="B259" s="42" t="s">
        <v>14</v>
      </c>
      <c r="C259" s="12">
        <v>2470.0</v>
      </c>
      <c r="D259" s="12" t="s">
        <v>9145</v>
      </c>
      <c r="E259" s="19" t="s">
        <v>8739</v>
      </c>
      <c r="F259" s="62">
        <v>42380.0</v>
      </c>
      <c r="G259" s="509">
        <v>42395.0</v>
      </c>
      <c r="H259" s="6" t="s">
        <v>1032</v>
      </c>
      <c r="I259" s="16">
        <v>42387.0</v>
      </c>
      <c r="J259" s="502"/>
      <c r="K259" s="73" t="s">
        <v>9146</v>
      </c>
      <c r="L259" s="42" t="s">
        <v>497</v>
      </c>
      <c r="M259" s="42" t="s">
        <v>1052</v>
      </c>
      <c r="N259" s="61">
        <v>29720.8</v>
      </c>
    </row>
    <row r="260" ht="25.5" customHeight="1">
      <c r="A260" s="45">
        <v>29689.0</v>
      </c>
      <c r="B260" s="42" t="s">
        <v>14</v>
      </c>
      <c r="C260" s="12">
        <v>1100.0</v>
      </c>
      <c r="D260" s="12" t="s">
        <v>9147</v>
      </c>
      <c r="E260" s="19" t="s">
        <v>8972</v>
      </c>
      <c r="F260" s="62">
        <v>42380.0</v>
      </c>
      <c r="G260" s="14">
        <v>42382.0</v>
      </c>
      <c r="H260" s="6" t="s">
        <v>1032</v>
      </c>
      <c r="I260" s="16">
        <v>42388.0</v>
      </c>
      <c r="J260" s="488"/>
      <c r="K260" s="9" t="s">
        <v>9148</v>
      </c>
      <c r="L260" s="42"/>
      <c r="M260" s="42"/>
      <c r="N260" s="61"/>
    </row>
    <row r="261" ht="12.75" customHeight="1">
      <c r="A261" s="45">
        <v>29807.0</v>
      </c>
      <c r="B261" s="42" t="s">
        <v>14</v>
      </c>
      <c r="C261" s="12">
        <v>1300.0</v>
      </c>
      <c r="D261" s="12" t="s">
        <v>9149</v>
      </c>
      <c r="E261" s="19" t="s">
        <v>9150</v>
      </c>
      <c r="F261" s="62">
        <v>42380.0</v>
      </c>
      <c r="G261" s="14">
        <v>42017.0</v>
      </c>
      <c r="H261" s="6" t="s">
        <v>1032</v>
      </c>
      <c r="I261" s="16">
        <v>42384.0</v>
      </c>
      <c r="J261" s="488"/>
      <c r="K261" s="9" t="s">
        <v>9151</v>
      </c>
      <c r="L261" s="42"/>
      <c r="M261" s="42"/>
      <c r="N261" s="61"/>
    </row>
    <row r="262" ht="19.5" customHeight="1">
      <c r="A262" s="45">
        <v>29715.0</v>
      </c>
      <c r="B262" s="42" t="s">
        <v>14</v>
      </c>
      <c r="C262" s="12">
        <v>944.0</v>
      </c>
      <c r="D262" s="12" t="s">
        <v>9152</v>
      </c>
      <c r="E262" s="66" t="s">
        <v>1079</v>
      </c>
      <c r="F262" s="62">
        <v>42373.0</v>
      </c>
      <c r="G262" s="14">
        <v>42374.0</v>
      </c>
      <c r="H262" s="6" t="s">
        <v>1032</v>
      </c>
      <c r="I262" s="16">
        <v>42377.0</v>
      </c>
      <c r="J262" s="488"/>
      <c r="K262" s="9" t="s">
        <v>9153</v>
      </c>
      <c r="L262" s="42"/>
      <c r="M262" s="42"/>
      <c r="N262" s="61"/>
    </row>
    <row r="263" ht="20.25" customHeight="1">
      <c r="A263" s="42"/>
      <c r="B263" s="42"/>
      <c r="C263" s="12"/>
      <c r="D263" s="123"/>
      <c r="E263" s="19"/>
      <c r="F263" s="14"/>
      <c r="G263" s="14"/>
      <c r="H263" s="60"/>
      <c r="I263" s="6"/>
      <c r="J263" s="466"/>
      <c r="K263" s="17"/>
      <c r="L263" s="42"/>
      <c r="M263" s="42"/>
      <c r="N263" s="61"/>
    </row>
    <row r="264" ht="12.75" customHeight="1">
      <c r="D264" s="484"/>
      <c r="I264" s="487"/>
      <c r="J264" s="510"/>
    </row>
    <row r="265" ht="12.75" customHeight="1">
      <c r="D265" s="484"/>
      <c r="I265" s="487"/>
      <c r="J265" s="510"/>
    </row>
    <row r="266" ht="12.75" customHeight="1">
      <c r="D266" s="484"/>
      <c r="I266" s="487"/>
      <c r="J266" s="510"/>
    </row>
    <row r="267" ht="12.75" customHeight="1">
      <c r="D267" s="484"/>
      <c r="I267" s="487"/>
      <c r="J267" s="510"/>
    </row>
    <row r="268" ht="12.75" customHeight="1">
      <c r="D268" s="484"/>
      <c r="I268" s="487"/>
      <c r="J268" s="510"/>
    </row>
    <row r="269" ht="12.75" customHeight="1">
      <c r="D269" s="484"/>
      <c r="I269" s="487"/>
      <c r="J269" s="510"/>
    </row>
    <row r="270" ht="12.75" customHeight="1">
      <c r="D270" s="484"/>
      <c r="I270" s="487"/>
      <c r="J270" s="510"/>
    </row>
    <row r="271" ht="12.75" customHeight="1">
      <c r="D271" s="484"/>
      <c r="I271" s="487"/>
      <c r="J271" s="510"/>
    </row>
    <row r="272" ht="12.75" customHeight="1">
      <c r="D272" s="484"/>
      <c r="I272" s="487"/>
      <c r="J272" s="510"/>
    </row>
    <row r="273" ht="12.75" customHeight="1">
      <c r="D273" s="484"/>
      <c r="I273" s="487"/>
      <c r="J273" s="510"/>
    </row>
    <row r="274" ht="12.75" customHeight="1">
      <c r="D274" s="484"/>
      <c r="I274" s="487"/>
      <c r="J274" s="510"/>
    </row>
    <row r="275" ht="12.75" customHeight="1">
      <c r="D275" s="484"/>
      <c r="I275" s="487"/>
      <c r="J275" s="510"/>
    </row>
    <row r="276" ht="12.75" customHeight="1">
      <c r="D276" s="484"/>
      <c r="I276" s="487"/>
      <c r="J276" s="510"/>
    </row>
    <row r="277" ht="12.75" customHeight="1">
      <c r="D277" s="484"/>
      <c r="I277" s="487"/>
      <c r="J277" s="510"/>
    </row>
    <row r="278" ht="12.75" customHeight="1">
      <c r="D278" s="484"/>
      <c r="I278" s="487"/>
      <c r="J278" s="510"/>
    </row>
    <row r="279" ht="12.75" customHeight="1">
      <c r="D279" s="484"/>
      <c r="I279" s="487"/>
      <c r="J279" s="510"/>
    </row>
    <row r="280" ht="12.75" customHeight="1">
      <c r="D280" s="484"/>
      <c r="I280" s="487"/>
      <c r="J280" s="510"/>
    </row>
    <row r="281" ht="12.75" customHeight="1">
      <c r="D281" s="484"/>
      <c r="I281" s="487"/>
      <c r="J281" s="510"/>
    </row>
    <row r="282" ht="12.75" customHeight="1">
      <c r="D282" s="484"/>
      <c r="I282" s="487"/>
      <c r="J282" s="510"/>
    </row>
    <row r="283" ht="12.75" customHeight="1">
      <c r="D283" s="484"/>
      <c r="I283" s="487"/>
      <c r="J283" s="510"/>
    </row>
    <row r="284" ht="12.75" customHeight="1">
      <c r="D284" s="484"/>
      <c r="I284" s="487"/>
      <c r="J284" s="510"/>
    </row>
    <row r="285" ht="12.75" customHeight="1">
      <c r="D285" s="484"/>
      <c r="I285" s="487"/>
      <c r="J285" s="510"/>
    </row>
    <row r="286" ht="12.75" customHeight="1">
      <c r="D286" s="484"/>
      <c r="I286" s="487"/>
      <c r="J286" s="510"/>
    </row>
    <row r="287" ht="12.75" customHeight="1">
      <c r="D287" s="484"/>
      <c r="I287" s="487"/>
      <c r="J287" s="510"/>
    </row>
    <row r="288" ht="12.75" customHeight="1">
      <c r="D288" s="484"/>
      <c r="I288" s="487"/>
      <c r="J288" s="510"/>
    </row>
    <row r="289" ht="12.75" customHeight="1">
      <c r="D289" s="484"/>
      <c r="I289" s="487"/>
      <c r="J289" s="510"/>
    </row>
    <row r="290" ht="12.75" customHeight="1">
      <c r="D290" s="484"/>
      <c r="I290" s="487"/>
      <c r="J290" s="510"/>
    </row>
    <row r="291" ht="12.75" customHeight="1">
      <c r="D291" s="484"/>
      <c r="I291" s="487"/>
      <c r="J291" s="510"/>
    </row>
    <row r="292" ht="12.75" customHeight="1">
      <c r="D292" s="484"/>
      <c r="I292" s="487"/>
      <c r="J292" s="510"/>
    </row>
    <row r="293" ht="12.75" customHeight="1">
      <c r="D293" s="484"/>
      <c r="I293" s="487"/>
      <c r="J293" s="510"/>
    </row>
    <row r="294" ht="12.75" customHeight="1">
      <c r="D294" s="484"/>
      <c r="I294" s="487"/>
      <c r="J294" s="510"/>
    </row>
    <row r="295" ht="12.75" customHeight="1">
      <c r="D295" s="484"/>
      <c r="I295" s="487"/>
      <c r="J295" s="510"/>
    </row>
    <row r="296" ht="12.75" customHeight="1">
      <c r="D296" s="484"/>
      <c r="I296" s="487"/>
      <c r="J296" s="510"/>
    </row>
    <row r="297" ht="12.75" customHeight="1">
      <c r="D297" s="484"/>
      <c r="I297" s="487"/>
      <c r="J297" s="510"/>
    </row>
    <row r="298" ht="12.75" customHeight="1">
      <c r="D298" s="484"/>
      <c r="I298" s="487"/>
      <c r="J298" s="510"/>
    </row>
    <row r="299" ht="12.75" customHeight="1">
      <c r="D299" s="484"/>
      <c r="I299" s="487"/>
      <c r="J299" s="510"/>
    </row>
    <row r="300" ht="12.75" customHeight="1">
      <c r="D300" s="484"/>
      <c r="I300" s="487"/>
      <c r="J300" s="510"/>
    </row>
    <row r="301" ht="12.75" customHeight="1">
      <c r="D301" s="484"/>
      <c r="I301" s="487"/>
      <c r="J301" s="510"/>
    </row>
    <row r="302" ht="12.75" customHeight="1">
      <c r="D302" s="484"/>
      <c r="I302" s="487"/>
      <c r="J302" s="510"/>
    </row>
    <row r="303" ht="12.75" customHeight="1">
      <c r="D303" s="484"/>
      <c r="I303" s="487"/>
      <c r="J303" s="510"/>
    </row>
    <row r="304" ht="12.75" customHeight="1">
      <c r="D304" s="484"/>
      <c r="I304" s="487"/>
      <c r="J304" s="510"/>
    </row>
    <row r="305" ht="12.75" customHeight="1">
      <c r="D305" s="484"/>
      <c r="I305" s="487"/>
      <c r="J305" s="510"/>
    </row>
    <row r="306" ht="12.75" customHeight="1">
      <c r="D306" s="484"/>
      <c r="I306" s="487"/>
      <c r="J306" s="510"/>
    </row>
    <row r="307" ht="12.75" customHeight="1">
      <c r="D307" s="484"/>
      <c r="I307" s="487"/>
      <c r="J307" s="510"/>
    </row>
    <row r="308" ht="12.75" customHeight="1">
      <c r="D308" s="484"/>
      <c r="I308" s="487"/>
      <c r="J308" s="510"/>
    </row>
    <row r="309" ht="12.75" customHeight="1">
      <c r="D309" s="484"/>
      <c r="I309" s="487"/>
      <c r="J309" s="510"/>
    </row>
    <row r="310" ht="12.75" customHeight="1">
      <c r="D310" s="484"/>
      <c r="I310" s="487"/>
      <c r="J310" s="510"/>
    </row>
    <row r="311" ht="12.75" customHeight="1">
      <c r="D311" s="484"/>
      <c r="I311" s="487"/>
      <c r="J311" s="510"/>
    </row>
    <row r="312" ht="12.75" customHeight="1">
      <c r="D312" s="484"/>
      <c r="I312" s="487"/>
      <c r="J312" s="510"/>
    </row>
    <row r="313" ht="12.75" customHeight="1">
      <c r="D313" s="484"/>
      <c r="I313" s="487"/>
      <c r="J313" s="510"/>
    </row>
    <row r="314" ht="12.75" customHeight="1">
      <c r="D314" s="484"/>
      <c r="I314" s="487"/>
      <c r="J314" s="510"/>
    </row>
    <row r="315" ht="12.75" customHeight="1">
      <c r="D315" s="484"/>
      <c r="I315" s="487"/>
      <c r="J315" s="510"/>
    </row>
    <row r="316" ht="12.75" customHeight="1">
      <c r="D316" s="484"/>
      <c r="I316" s="487"/>
      <c r="J316" s="510"/>
    </row>
    <row r="317" ht="12.75" customHeight="1">
      <c r="D317" s="484"/>
      <c r="I317" s="487"/>
      <c r="J317" s="510"/>
    </row>
    <row r="318" ht="12.75" customHeight="1">
      <c r="D318" s="484"/>
      <c r="I318" s="487"/>
      <c r="J318" s="510"/>
    </row>
    <row r="319" ht="12.75" customHeight="1">
      <c r="D319" s="484"/>
      <c r="I319" s="487"/>
      <c r="J319" s="510"/>
    </row>
    <row r="320" ht="12.75" customHeight="1">
      <c r="D320" s="484"/>
      <c r="I320" s="487"/>
      <c r="J320" s="510"/>
    </row>
    <row r="321" ht="12.75" customHeight="1">
      <c r="D321" s="484"/>
      <c r="I321" s="487"/>
      <c r="J321" s="510"/>
    </row>
    <row r="322" ht="12.75" customHeight="1">
      <c r="D322" s="484"/>
      <c r="I322" s="487"/>
      <c r="J322" s="510"/>
    </row>
    <row r="323" ht="12.75" customHeight="1">
      <c r="D323" s="484"/>
      <c r="I323" s="487"/>
      <c r="J323" s="510"/>
    </row>
    <row r="324" ht="12.75" customHeight="1">
      <c r="D324" s="484"/>
      <c r="I324" s="487"/>
      <c r="J324" s="510"/>
    </row>
    <row r="325" ht="12.75" customHeight="1">
      <c r="D325" s="484"/>
      <c r="I325" s="487"/>
      <c r="J325" s="510"/>
    </row>
    <row r="326" ht="12.75" customHeight="1">
      <c r="D326" s="484"/>
      <c r="I326" s="487"/>
      <c r="J326" s="510"/>
    </row>
    <row r="327" ht="12.75" customHeight="1">
      <c r="D327" s="484"/>
      <c r="I327" s="487"/>
      <c r="J327" s="510"/>
    </row>
    <row r="328" ht="12.75" customHeight="1">
      <c r="D328" s="484"/>
      <c r="I328" s="487"/>
      <c r="J328" s="510"/>
    </row>
    <row r="329" ht="12.75" customHeight="1">
      <c r="D329" s="484"/>
      <c r="I329" s="487"/>
      <c r="J329" s="510"/>
    </row>
    <row r="330" ht="12.75" customHeight="1">
      <c r="D330" s="484"/>
      <c r="I330" s="487"/>
      <c r="J330" s="510"/>
    </row>
    <row r="331" ht="12.75" customHeight="1">
      <c r="D331" s="484"/>
      <c r="I331" s="487"/>
      <c r="J331" s="510"/>
    </row>
    <row r="332" ht="12.75" customHeight="1">
      <c r="D332" s="484"/>
      <c r="I332" s="487"/>
      <c r="J332" s="510"/>
    </row>
    <row r="333" ht="12.75" customHeight="1">
      <c r="D333" s="484"/>
      <c r="I333" s="487"/>
      <c r="J333" s="510"/>
    </row>
    <row r="334" ht="12.75" customHeight="1">
      <c r="D334" s="484"/>
      <c r="I334" s="487"/>
      <c r="J334" s="510"/>
    </row>
    <row r="335" ht="12.75" customHeight="1">
      <c r="D335" s="484"/>
      <c r="I335" s="487"/>
      <c r="J335" s="510"/>
    </row>
    <row r="336" ht="12.75" customHeight="1">
      <c r="D336" s="484"/>
      <c r="I336" s="487"/>
      <c r="J336" s="510"/>
    </row>
    <row r="337" ht="12.75" customHeight="1">
      <c r="D337" s="484"/>
      <c r="I337" s="487"/>
      <c r="J337" s="510"/>
    </row>
    <row r="338" ht="12.75" customHeight="1">
      <c r="D338" s="484"/>
      <c r="I338" s="487"/>
      <c r="J338" s="510"/>
    </row>
    <row r="339" ht="12.75" customHeight="1">
      <c r="D339" s="484"/>
      <c r="I339" s="487"/>
      <c r="J339" s="510"/>
    </row>
    <row r="340" ht="12.75" customHeight="1">
      <c r="D340" s="484"/>
      <c r="I340" s="487"/>
      <c r="J340" s="510"/>
    </row>
    <row r="341" ht="12.75" customHeight="1">
      <c r="D341" s="484"/>
      <c r="I341" s="487"/>
      <c r="J341" s="510"/>
    </row>
    <row r="342" ht="12.75" customHeight="1">
      <c r="D342" s="484"/>
      <c r="I342" s="487"/>
      <c r="J342" s="510"/>
    </row>
    <row r="343" ht="12.75" customHeight="1">
      <c r="D343" s="484"/>
      <c r="I343" s="487"/>
      <c r="J343" s="510"/>
    </row>
    <row r="344" ht="12.75" customHeight="1">
      <c r="D344" s="484"/>
      <c r="I344" s="487"/>
      <c r="J344" s="510"/>
    </row>
    <row r="345" ht="12.75" customHeight="1">
      <c r="D345" s="484"/>
      <c r="I345" s="487"/>
      <c r="J345" s="510"/>
    </row>
    <row r="346" ht="12.75" customHeight="1">
      <c r="D346" s="484"/>
      <c r="I346" s="487"/>
      <c r="J346" s="510"/>
    </row>
    <row r="347" ht="12.75" customHeight="1">
      <c r="D347" s="484"/>
      <c r="I347" s="487"/>
      <c r="J347" s="510"/>
    </row>
    <row r="348" ht="12.75" customHeight="1">
      <c r="D348" s="484"/>
      <c r="I348" s="487"/>
      <c r="J348" s="510"/>
    </row>
    <row r="349" ht="12.75" customHeight="1">
      <c r="D349" s="484"/>
      <c r="I349" s="487"/>
      <c r="J349" s="510"/>
    </row>
    <row r="350" ht="12.75" customHeight="1">
      <c r="D350" s="484"/>
      <c r="I350" s="487"/>
      <c r="J350" s="510"/>
    </row>
    <row r="351" ht="12.75" customHeight="1">
      <c r="D351" s="484"/>
      <c r="I351" s="487"/>
      <c r="J351" s="510"/>
    </row>
    <row r="352" ht="12.75" customHeight="1">
      <c r="D352" s="484"/>
      <c r="I352" s="487"/>
      <c r="J352" s="510"/>
    </row>
    <row r="353" ht="12.75" customHeight="1">
      <c r="D353" s="484"/>
      <c r="I353" s="487"/>
      <c r="J353" s="510"/>
    </row>
    <row r="354" ht="12.75" customHeight="1">
      <c r="D354" s="484"/>
      <c r="I354" s="487"/>
      <c r="J354" s="510"/>
    </row>
    <row r="355" ht="12.75" customHeight="1">
      <c r="D355" s="484"/>
      <c r="I355" s="487"/>
      <c r="J355" s="510"/>
    </row>
    <row r="356" ht="12.75" customHeight="1">
      <c r="D356" s="484"/>
      <c r="I356" s="487"/>
      <c r="J356" s="510"/>
    </row>
    <row r="357" ht="12.75" customHeight="1">
      <c r="D357" s="484"/>
      <c r="I357" s="487"/>
      <c r="J357" s="510"/>
    </row>
    <row r="358" ht="12.75" customHeight="1">
      <c r="D358" s="484"/>
      <c r="I358" s="487"/>
      <c r="J358" s="510"/>
    </row>
    <row r="359" ht="12.75" customHeight="1">
      <c r="D359" s="484"/>
      <c r="I359" s="487"/>
      <c r="J359" s="510"/>
    </row>
    <row r="360" ht="12.75" customHeight="1">
      <c r="D360" s="484"/>
      <c r="I360" s="487"/>
      <c r="J360" s="510"/>
    </row>
    <row r="361" ht="12.75" customHeight="1">
      <c r="D361" s="484"/>
      <c r="I361" s="487"/>
      <c r="J361" s="510"/>
    </row>
    <row r="362" ht="12.75" customHeight="1">
      <c r="D362" s="484"/>
      <c r="I362" s="487"/>
      <c r="J362" s="510"/>
    </row>
    <row r="363" ht="12.75" customHeight="1">
      <c r="D363" s="484"/>
      <c r="I363" s="487"/>
      <c r="J363" s="510"/>
    </row>
    <row r="364" ht="12.75" customHeight="1">
      <c r="D364" s="484"/>
      <c r="I364" s="487"/>
      <c r="J364" s="510"/>
    </row>
    <row r="365" ht="12.75" customHeight="1">
      <c r="D365" s="484"/>
      <c r="I365" s="487"/>
      <c r="J365" s="510"/>
    </row>
    <row r="366" ht="12.75" customHeight="1">
      <c r="D366" s="484"/>
      <c r="I366" s="487"/>
      <c r="J366" s="510"/>
    </row>
    <row r="367" ht="12.75" customHeight="1">
      <c r="D367" s="484"/>
      <c r="I367" s="487"/>
      <c r="J367" s="510"/>
    </row>
    <row r="368" ht="12.75" customHeight="1">
      <c r="D368" s="484"/>
      <c r="I368" s="487"/>
      <c r="J368" s="510"/>
    </row>
    <row r="369" ht="12.75" customHeight="1">
      <c r="D369" s="484"/>
      <c r="I369" s="487"/>
      <c r="J369" s="510"/>
    </row>
    <row r="370" ht="12.75" customHeight="1">
      <c r="D370" s="484"/>
      <c r="I370" s="487"/>
      <c r="J370" s="510"/>
    </row>
    <row r="371" ht="12.75" customHeight="1">
      <c r="D371" s="484"/>
      <c r="I371" s="487"/>
      <c r="J371" s="510"/>
    </row>
    <row r="372" ht="12.75" customHeight="1">
      <c r="D372" s="484"/>
      <c r="I372" s="487"/>
      <c r="J372" s="510"/>
    </row>
    <row r="373" ht="12.75" customHeight="1">
      <c r="D373" s="484"/>
      <c r="I373" s="487"/>
      <c r="J373" s="510"/>
    </row>
    <row r="374" ht="12.75" customHeight="1">
      <c r="D374" s="484"/>
      <c r="I374" s="487"/>
      <c r="J374" s="510"/>
    </row>
    <row r="375" ht="12.75" customHeight="1">
      <c r="D375" s="484"/>
      <c r="I375" s="487"/>
      <c r="J375" s="510"/>
    </row>
    <row r="376" ht="12.75" customHeight="1">
      <c r="D376" s="484"/>
      <c r="I376" s="487"/>
      <c r="J376" s="510"/>
    </row>
    <row r="377" ht="12.75" customHeight="1">
      <c r="D377" s="484"/>
      <c r="I377" s="487"/>
      <c r="J377" s="510"/>
    </row>
    <row r="378" ht="12.75" customHeight="1">
      <c r="D378" s="484"/>
      <c r="I378" s="487"/>
      <c r="J378" s="510"/>
    </row>
    <row r="379" ht="12.75" customHeight="1">
      <c r="D379" s="484"/>
      <c r="I379" s="487"/>
      <c r="J379" s="510"/>
    </row>
    <row r="380" ht="12.75" customHeight="1">
      <c r="D380" s="484"/>
      <c r="I380" s="487"/>
      <c r="J380" s="510"/>
    </row>
    <row r="381" ht="12.75" customHeight="1">
      <c r="D381" s="484"/>
      <c r="I381" s="487"/>
      <c r="J381" s="510"/>
    </row>
    <row r="382" ht="12.75" customHeight="1">
      <c r="D382" s="484"/>
      <c r="I382" s="487"/>
      <c r="J382" s="510"/>
    </row>
    <row r="383" ht="12.75" customHeight="1">
      <c r="D383" s="484"/>
      <c r="I383" s="487"/>
      <c r="J383" s="510"/>
    </row>
    <row r="384" ht="12.75" customHeight="1">
      <c r="D384" s="484"/>
      <c r="I384" s="487"/>
      <c r="J384" s="510"/>
    </row>
    <row r="385" ht="12.75" customHeight="1">
      <c r="D385" s="484"/>
      <c r="I385" s="487"/>
      <c r="J385" s="510"/>
    </row>
    <row r="386" ht="12.75" customHeight="1">
      <c r="D386" s="484"/>
      <c r="I386" s="487"/>
      <c r="J386" s="510"/>
    </row>
    <row r="387" ht="12.75" customHeight="1">
      <c r="D387" s="484"/>
      <c r="I387" s="487"/>
      <c r="J387" s="510"/>
    </row>
    <row r="388" ht="12.75" customHeight="1">
      <c r="D388" s="484"/>
      <c r="I388" s="487"/>
      <c r="J388" s="510"/>
    </row>
    <row r="389" ht="12.75" customHeight="1">
      <c r="D389" s="484"/>
      <c r="I389" s="487"/>
      <c r="J389" s="510"/>
    </row>
    <row r="390" ht="12.75" customHeight="1">
      <c r="D390" s="484"/>
      <c r="I390" s="487"/>
      <c r="J390" s="510"/>
    </row>
    <row r="391" ht="12.75" customHeight="1">
      <c r="D391" s="484"/>
      <c r="I391" s="487"/>
      <c r="J391" s="510"/>
    </row>
    <row r="392" ht="12.75" customHeight="1">
      <c r="D392" s="484"/>
      <c r="I392" s="487"/>
      <c r="J392" s="510"/>
    </row>
    <row r="393" ht="12.75" customHeight="1">
      <c r="D393" s="484"/>
      <c r="I393" s="487"/>
      <c r="J393" s="510"/>
    </row>
    <row r="394" ht="12.75" customHeight="1">
      <c r="D394" s="484"/>
      <c r="I394" s="487"/>
      <c r="J394" s="510"/>
    </row>
    <row r="395" ht="12.75" customHeight="1">
      <c r="D395" s="484"/>
      <c r="I395" s="487"/>
      <c r="J395" s="510"/>
    </row>
    <row r="396" ht="12.75" customHeight="1">
      <c r="D396" s="484"/>
      <c r="I396" s="487"/>
      <c r="J396" s="510"/>
    </row>
    <row r="397" ht="12.75" customHeight="1">
      <c r="D397" s="484"/>
      <c r="I397" s="487"/>
      <c r="J397" s="510"/>
    </row>
    <row r="398" ht="12.75" customHeight="1">
      <c r="D398" s="484"/>
      <c r="I398" s="487"/>
      <c r="J398" s="510"/>
    </row>
    <row r="399" ht="12.75" customHeight="1">
      <c r="D399" s="484"/>
      <c r="I399" s="487"/>
      <c r="J399" s="510"/>
    </row>
    <row r="400" ht="12.75" customHeight="1">
      <c r="D400" s="484"/>
      <c r="I400" s="487"/>
      <c r="J400" s="510"/>
    </row>
    <row r="401" ht="12.75" customHeight="1">
      <c r="D401" s="484"/>
      <c r="I401" s="487"/>
      <c r="J401" s="510"/>
    </row>
    <row r="402" ht="12.75" customHeight="1">
      <c r="D402" s="484"/>
      <c r="I402" s="487"/>
      <c r="J402" s="510"/>
    </row>
    <row r="403" ht="12.75" customHeight="1">
      <c r="D403" s="484"/>
      <c r="I403" s="487"/>
      <c r="J403" s="510"/>
    </row>
    <row r="404" ht="12.75" customHeight="1">
      <c r="D404" s="484"/>
      <c r="I404" s="487"/>
      <c r="J404" s="510"/>
    </row>
    <row r="405" ht="12.75" customHeight="1">
      <c r="D405" s="484"/>
      <c r="I405" s="487"/>
      <c r="J405" s="510"/>
    </row>
    <row r="406" ht="12.75" customHeight="1">
      <c r="D406" s="484"/>
      <c r="I406" s="487"/>
      <c r="J406" s="510"/>
    </row>
    <row r="407" ht="12.75" customHeight="1">
      <c r="D407" s="484"/>
      <c r="I407" s="487"/>
      <c r="J407" s="510"/>
    </row>
    <row r="408" ht="12.75" customHeight="1">
      <c r="D408" s="484"/>
      <c r="I408" s="487"/>
      <c r="J408" s="510"/>
    </row>
    <row r="409" ht="12.75" customHeight="1">
      <c r="D409" s="484"/>
      <c r="I409" s="487"/>
      <c r="J409" s="510"/>
    </row>
    <row r="410" ht="12.75" customHeight="1">
      <c r="D410" s="484"/>
      <c r="I410" s="487"/>
      <c r="J410" s="510"/>
    </row>
    <row r="411" ht="12.75" customHeight="1">
      <c r="D411" s="484"/>
      <c r="I411" s="487"/>
      <c r="J411" s="510"/>
    </row>
    <row r="412" ht="12.75" customHeight="1">
      <c r="D412" s="484"/>
      <c r="I412" s="487"/>
      <c r="J412" s="510"/>
    </row>
    <row r="413" ht="12.75" customHeight="1">
      <c r="D413" s="484"/>
      <c r="I413" s="487"/>
      <c r="J413" s="510"/>
    </row>
    <row r="414" ht="12.75" customHeight="1">
      <c r="D414" s="484"/>
      <c r="I414" s="487"/>
      <c r="J414" s="510"/>
    </row>
    <row r="415" ht="12.75" customHeight="1">
      <c r="D415" s="484"/>
      <c r="I415" s="487"/>
      <c r="J415" s="510"/>
    </row>
    <row r="416" ht="12.75" customHeight="1">
      <c r="D416" s="484"/>
      <c r="I416" s="487"/>
      <c r="J416" s="510"/>
    </row>
    <row r="417" ht="12.75" customHeight="1">
      <c r="D417" s="484"/>
      <c r="I417" s="487"/>
      <c r="J417" s="510"/>
    </row>
    <row r="418" ht="12.75" customHeight="1">
      <c r="D418" s="484"/>
      <c r="I418" s="487"/>
      <c r="J418" s="510"/>
    </row>
    <row r="419" ht="12.75" customHeight="1">
      <c r="D419" s="484"/>
      <c r="I419" s="487"/>
      <c r="J419" s="510"/>
    </row>
    <row r="420" ht="12.75" customHeight="1">
      <c r="D420" s="484"/>
      <c r="I420" s="487"/>
      <c r="J420" s="510"/>
    </row>
    <row r="421" ht="12.75" customHeight="1">
      <c r="D421" s="484"/>
      <c r="I421" s="487"/>
      <c r="J421" s="510"/>
    </row>
    <row r="422" ht="12.75" customHeight="1">
      <c r="D422" s="484"/>
      <c r="I422" s="487"/>
      <c r="J422" s="510"/>
    </row>
    <row r="423" ht="12.75" customHeight="1">
      <c r="D423" s="484"/>
      <c r="I423" s="487"/>
      <c r="J423" s="510"/>
    </row>
    <row r="424" ht="12.75" customHeight="1">
      <c r="D424" s="484"/>
      <c r="I424" s="487"/>
      <c r="J424" s="510"/>
    </row>
    <row r="425" ht="12.75" customHeight="1">
      <c r="D425" s="484"/>
      <c r="I425" s="487"/>
      <c r="J425" s="510"/>
    </row>
    <row r="426" ht="12.75" customHeight="1">
      <c r="D426" s="484"/>
      <c r="I426" s="487"/>
      <c r="J426" s="510"/>
    </row>
    <row r="427" ht="12.75" customHeight="1">
      <c r="D427" s="484"/>
      <c r="I427" s="487"/>
      <c r="J427" s="510"/>
    </row>
    <row r="428" ht="12.75" customHeight="1">
      <c r="D428" s="484"/>
      <c r="I428" s="487"/>
      <c r="J428" s="510"/>
    </row>
    <row r="429" ht="12.75" customHeight="1">
      <c r="D429" s="484"/>
      <c r="I429" s="487"/>
      <c r="J429" s="510"/>
    </row>
    <row r="430" ht="12.75" customHeight="1">
      <c r="D430" s="484"/>
      <c r="I430" s="487"/>
      <c r="J430" s="510"/>
    </row>
    <row r="431" ht="12.75" customHeight="1">
      <c r="D431" s="484"/>
      <c r="I431" s="487"/>
      <c r="J431" s="510"/>
    </row>
    <row r="432" ht="12.75" customHeight="1">
      <c r="D432" s="484"/>
      <c r="I432" s="487"/>
      <c r="J432" s="510"/>
    </row>
    <row r="433" ht="12.75" customHeight="1">
      <c r="D433" s="484"/>
      <c r="I433" s="487"/>
      <c r="J433" s="510"/>
    </row>
    <row r="434" ht="12.75" customHeight="1">
      <c r="D434" s="484"/>
      <c r="I434" s="487"/>
      <c r="J434" s="510"/>
    </row>
    <row r="435" ht="12.75" customHeight="1">
      <c r="D435" s="484"/>
      <c r="I435" s="487"/>
      <c r="J435" s="510"/>
    </row>
    <row r="436" ht="12.75" customHeight="1">
      <c r="D436" s="484"/>
      <c r="I436" s="487"/>
      <c r="J436" s="510"/>
    </row>
    <row r="437" ht="12.75" customHeight="1">
      <c r="D437" s="484"/>
      <c r="I437" s="487"/>
      <c r="J437" s="510"/>
    </row>
    <row r="438" ht="12.75" customHeight="1">
      <c r="D438" s="484"/>
      <c r="I438" s="487"/>
      <c r="J438" s="510"/>
    </row>
    <row r="439" ht="12.75" customHeight="1">
      <c r="D439" s="484"/>
      <c r="I439" s="487"/>
      <c r="J439" s="510"/>
    </row>
    <row r="440" ht="12.75" customHeight="1">
      <c r="D440" s="484"/>
      <c r="I440" s="487"/>
      <c r="J440" s="510"/>
    </row>
    <row r="441" ht="12.75" customHeight="1">
      <c r="D441" s="484"/>
      <c r="I441" s="487"/>
      <c r="J441" s="510"/>
    </row>
    <row r="442" ht="12.75" customHeight="1">
      <c r="D442" s="484"/>
      <c r="I442" s="487"/>
      <c r="J442" s="510"/>
    </row>
    <row r="443" ht="12.75" customHeight="1">
      <c r="D443" s="484"/>
      <c r="I443" s="487"/>
      <c r="J443" s="510"/>
    </row>
    <row r="444" ht="12.75" customHeight="1">
      <c r="D444" s="484"/>
      <c r="I444" s="487"/>
      <c r="J444" s="510"/>
    </row>
    <row r="445" ht="12.75" customHeight="1">
      <c r="D445" s="484"/>
      <c r="I445" s="487"/>
      <c r="J445" s="510"/>
    </row>
    <row r="446" ht="12.75" customHeight="1">
      <c r="D446" s="484"/>
      <c r="I446" s="487"/>
      <c r="J446" s="510"/>
    </row>
    <row r="447" ht="12.75" customHeight="1">
      <c r="D447" s="484"/>
      <c r="I447" s="487"/>
      <c r="J447" s="510"/>
    </row>
    <row r="448" ht="12.75" customHeight="1">
      <c r="D448" s="484"/>
      <c r="I448" s="487"/>
      <c r="J448" s="510"/>
    </row>
    <row r="449" ht="12.75" customHeight="1">
      <c r="D449" s="484"/>
      <c r="I449" s="487"/>
      <c r="J449" s="510"/>
    </row>
    <row r="450" ht="12.75" customHeight="1">
      <c r="D450" s="484"/>
      <c r="I450" s="487"/>
      <c r="J450" s="510"/>
    </row>
    <row r="451" ht="12.75" customHeight="1">
      <c r="D451" s="484"/>
      <c r="I451" s="487"/>
      <c r="J451" s="510"/>
    </row>
    <row r="452" ht="12.75" customHeight="1">
      <c r="D452" s="484"/>
      <c r="I452" s="487"/>
      <c r="J452" s="510"/>
    </row>
    <row r="453" ht="12.75" customHeight="1">
      <c r="D453" s="484"/>
      <c r="I453" s="487"/>
      <c r="J453" s="510"/>
    </row>
    <row r="454" ht="12.75" customHeight="1">
      <c r="D454" s="484"/>
      <c r="I454" s="487"/>
      <c r="J454" s="510"/>
    </row>
    <row r="455" ht="12.75" customHeight="1">
      <c r="D455" s="484"/>
      <c r="I455" s="487"/>
      <c r="J455" s="510"/>
    </row>
    <row r="456" ht="12.75" customHeight="1">
      <c r="D456" s="484"/>
      <c r="I456" s="487"/>
      <c r="J456" s="510"/>
    </row>
    <row r="457" ht="12.75" customHeight="1">
      <c r="D457" s="484"/>
      <c r="I457" s="487"/>
      <c r="J457" s="510"/>
    </row>
    <row r="458" ht="12.75" customHeight="1">
      <c r="D458" s="484"/>
      <c r="I458" s="487"/>
      <c r="J458" s="510"/>
    </row>
    <row r="459" ht="12.75" customHeight="1">
      <c r="D459" s="484"/>
      <c r="I459" s="487"/>
      <c r="J459" s="510"/>
    </row>
    <row r="460" ht="12.75" customHeight="1">
      <c r="D460" s="484"/>
      <c r="I460" s="487"/>
      <c r="J460" s="510"/>
    </row>
    <row r="461" ht="12.75" customHeight="1">
      <c r="D461" s="484"/>
      <c r="I461" s="487"/>
      <c r="J461" s="510"/>
    </row>
    <row r="462" ht="12.75" customHeight="1">
      <c r="D462" s="484"/>
      <c r="I462" s="487"/>
      <c r="J462" s="510"/>
    </row>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N$263">
    <sortState ref="A3:N263">
      <sortCondition descending="1" ref="F3:F263"/>
      <sortCondition descending="1" ref="B3:B263"/>
      <sortCondition descending="1" ref="G3:G263"/>
      <sortCondition descending="1" ref="D3:D263"/>
    </sortState>
  </autoFilter>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6" width="14.43"/>
  </cols>
  <sheetData>
    <row r="1" ht="15.0" customHeight="1">
      <c r="E1" s="484"/>
    </row>
    <row r="2" ht="15.0" customHeight="1">
      <c r="E2" s="484"/>
    </row>
    <row r="3" ht="15.0" customHeight="1">
      <c r="E3" s="484"/>
    </row>
    <row r="4" ht="15.0" customHeight="1">
      <c r="E4" s="484"/>
    </row>
    <row r="5" ht="15.0" customHeight="1">
      <c r="E5" s="484"/>
    </row>
    <row r="6" ht="15.0" customHeight="1">
      <c r="E6" s="484"/>
    </row>
    <row r="7" ht="15.0" customHeight="1">
      <c r="E7" s="484"/>
    </row>
    <row r="8" ht="15.0" customHeight="1">
      <c r="E8" s="484"/>
    </row>
    <row r="9" ht="15.0" customHeight="1">
      <c r="E9" s="484"/>
    </row>
    <row r="10" ht="15.0" customHeight="1">
      <c r="E10" s="484"/>
    </row>
    <row r="11" ht="15.0" customHeight="1">
      <c r="B11" s="484"/>
      <c r="C11" s="484"/>
      <c r="D11" s="484"/>
      <c r="E11" s="484"/>
    </row>
    <row r="12" ht="15.0" customHeight="1">
      <c r="B12" s="484"/>
      <c r="C12" s="484"/>
      <c r="D12" s="484"/>
      <c r="E12" s="484"/>
    </row>
    <row r="13" ht="15.0" customHeight="1">
      <c r="B13" s="484"/>
      <c r="C13" s="484"/>
      <c r="D13" s="484"/>
      <c r="E13" s="484"/>
    </row>
    <row r="14" ht="15.0" customHeight="1">
      <c r="B14" s="484"/>
      <c r="C14" s="484"/>
      <c r="D14" s="484"/>
      <c r="E14" s="484"/>
    </row>
    <row r="15" ht="15.0" customHeight="1">
      <c r="B15" s="484"/>
      <c r="C15" s="484"/>
      <c r="D15" s="484"/>
      <c r="E15" s="484"/>
    </row>
    <row r="16" ht="15.0" customHeight="1">
      <c r="B16" s="484"/>
      <c r="C16" s="484"/>
      <c r="D16" s="484"/>
      <c r="E16" s="484"/>
    </row>
    <row r="17" ht="15.0" customHeight="1">
      <c r="B17" s="484"/>
      <c r="C17" s="484"/>
      <c r="D17" s="484"/>
      <c r="E17" s="484"/>
    </row>
    <row r="18" ht="15.0" customHeight="1">
      <c r="B18" s="484"/>
      <c r="C18" s="484"/>
      <c r="D18" s="484"/>
      <c r="E18" s="484"/>
    </row>
    <row r="19" ht="15.0" customHeight="1">
      <c r="B19" s="484"/>
      <c r="C19" s="484"/>
      <c r="D19" s="484"/>
      <c r="E19" s="484"/>
    </row>
    <row r="20" ht="15.0" customHeight="1">
      <c r="B20" s="484"/>
      <c r="C20" s="484"/>
      <c r="D20" s="484"/>
      <c r="E20" s="484"/>
    </row>
    <row r="21" ht="15.0" customHeight="1">
      <c r="B21" s="484"/>
      <c r="C21" s="484"/>
      <c r="D21" s="484"/>
      <c r="E21" s="484"/>
    </row>
    <row r="22" ht="15.0" customHeight="1">
      <c r="B22" s="484"/>
      <c r="C22" s="484"/>
      <c r="D22" s="484"/>
      <c r="E22" s="484"/>
    </row>
    <row r="23" ht="15.0" customHeight="1">
      <c r="B23" s="484"/>
      <c r="C23" s="484"/>
      <c r="D23" s="484"/>
      <c r="E23" s="484"/>
    </row>
    <row r="24" ht="15.0" customHeight="1">
      <c r="B24" s="484"/>
      <c r="C24" s="484"/>
      <c r="D24" s="484"/>
      <c r="E24" s="484"/>
    </row>
    <row r="25" ht="15.0" customHeight="1">
      <c r="B25" s="484"/>
      <c r="C25" s="484"/>
      <c r="D25" s="484"/>
      <c r="E25" s="484"/>
    </row>
    <row r="26" ht="15.0" customHeight="1">
      <c r="B26" s="484"/>
      <c r="C26" s="484"/>
      <c r="D26" s="484"/>
      <c r="E26" s="484"/>
    </row>
    <row r="27" ht="15.0" customHeight="1">
      <c r="B27" s="484"/>
      <c r="C27" s="484"/>
      <c r="D27" s="484"/>
      <c r="E27" s="484"/>
    </row>
    <row r="28" ht="15.0" customHeight="1">
      <c r="B28" s="484"/>
      <c r="C28" s="484"/>
      <c r="D28" s="484"/>
      <c r="E28" s="484"/>
    </row>
    <row r="29" ht="15.0" customHeight="1">
      <c r="B29" s="484"/>
      <c r="C29" s="484"/>
      <c r="D29" s="484"/>
      <c r="E29" s="484"/>
    </row>
    <row r="30" ht="15.0" customHeight="1">
      <c r="B30" s="484"/>
      <c r="C30" s="484"/>
      <c r="D30" s="484"/>
      <c r="E30" s="484"/>
    </row>
    <row r="31" ht="15.0" customHeight="1">
      <c r="B31" s="484"/>
      <c r="C31" s="484"/>
      <c r="D31" s="484"/>
      <c r="E31" s="484"/>
    </row>
    <row r="32" ht="15.0" customHeight="1">
      <c r="B32" s="484"/>
      <c r="C32" s="484"/>
      <c r="D32" s="484"/>
      <c r="E32" s="484"/>
    </row>
    <row r="33" ht="15.0" customHeight="1">
      <c r="B33" s="484"/>
      <c r="C33" s="484"/>
      <c r="D33" s="484"/>
      <c r="E33" s="484"/>
    </row>
    <row r="34" ht="15.75" customHeight="1">
      <c r="B34" s="484"/>
      <c r="C34" s="484"/>
      <c r="D34" s="484"/>
      <c r="E34" s="484"/>
    </row>
    <row r="35" ht="15.75" customHeight="1">
      <c r="B35" s="484"/>
      <c r="C35" s="484"/>
      <c r="D35" s="484"/>
      <c r="E35" s="484"/>
    </row>
    <row r="36" ht="15.75" customHeight="1">
      <c r="B36" s="484"/>
      <c r="C36" s="484"/>
      <c r="D36" s="484"/>
      <c r="E36" s="484"/>
    </row>
    <row r="37" ht="15.75" customHeight="1">
      <c r="B37" s="484"/>
      <c r="C37" s="484"/>
      <c r="D37" s="484"/>
      <c r="E37" s="484"/>
    </row>
    <row r="38" ht="15.75" customHeight="1">
      <c r="B38" s="484"/>
      <c r="C38" s="484"/>
      <c r="D38" s="484"/>
      <c r="E38" s="484"/>
    </row>
    <row r="39" ht="15.75" customHeight="1">
      <c r="B39" s="484"/>
      <c r="C39" s="484"/>
      <c r="D39" s="484"/>
      <c r="E39" s="484"/>
    </row>
    <row r="40" ht="15.75" customHeight="1">
      <c r="B40" s="484"/>
      <c r="C40" s="484"/>
      <c r="D40" s="484"/>
      <c r="E40" s="484"/>
    </row>
    <row r="41" ht="15.75" customHeight="1">
      <c r="B41" s="484"/>
      <c r="C41" s="484"/>
      <c r="D41" s="484"/>
      <c r="E41" s="484"/>
    </row>
    <row r="42" ht="15.75" customHeight="1">
      <c r="B42" s="484"/>
      <c r="C42" s="484"/>
      <c r="D42" s="484"/>
      <c r="E42" s="484"/>
    </row>
    <row r="43" ht="15.75" customHeight="1">
      <c r="B43" s="484"/>
      <c r="C43" s="484"/>
      <c r="D43" s="484"/>
      <c r="E43" s="484"/>
    </row>
    <row r="44" ht="15.75" customHeight="1">
      <c r="B44" s="484"/>
      <c r="C44" s="484"/>
      <c r="D44" s="484"/>
      <c r="E44" s="484"/>
    </row>
    <row r="45" ht="15.75" customHeight="1">
      <c r="B45" s="484"/>
      <c r="C45" s="484"/>
      <c r="D45" s="484"/>
      <c r="E45" s="484"/>
    </row>
    <row r="46" ht="15.75" customHeight="1">
      <c r="B46" s="484"/>
      <c r="C46" s="484"/>
      <c r="D46" s="484"/>
      <c r="E46" s="484"/>
    </row>
    <row r="47" ht="15.75" customHeight="1">
      <c r="B47" s="484"/>
      <c r="C47" s="484"/>
      <c r="D47" s="484"/>
      <c r="E47" s="484"/>
    </row>
    <row r="48" ht="15.75" customHeight="1">
      <c r="B48" s="484"/>
      <c r="C48" s="484"/>
      <c r="D48" s="484"/>
      <c r="E48" s="484"/>
    </row>
    <row r="49" ht="15.75" customHeight="1">
      <c r="B49" s="484"/>
      <c r="C49" s="484"/>
      <c r="D49" s="484"/>
      <c r="E49" s="484"/>
    </row>
    <row r="50" ht="15.75" customHeight="1">
      <c r="B50" s="484"/>
      <c r="C50" s="484"/>
      <c r="D50" s="484"/>
      <c r="E50" s="484"/>
    </row>
    <row r="51" ht="15.75" customHeight="1">
      <c r="B51" s="484"/>
      <c r="C51" s="484"/>
      <c r="D51" s="484"/>
      <c r="E51" s="484"/>
    </row>
    <row r="52" ht="15.75" customHeight="1">
      <c r="B52" s="484"/>
      <c r="C52" s="484"/>
      <c r="D52" s="484"/>
      <c r="E52" s="484"/>
    </row>
    <row r="53" ht="15.75" customHeight="1">
      <c r="B53" s="484"/>
      <c r="C53" s="484"/>
      <c r="D53" s="484"/>
      <c r="E53" s="484"/>
    </row>
    <row r="54" ht="15.75" customHeight="1">
      <c r="B54" s="484"/>
      <c r="C54" s="484"/>
      <c r="D54" s="484"/>
      <c r="E54" s="484"/>
    </row>
    <row r="55" ht="15.75" customHeight="1">
      <c r="B55" s="484"/>
      <c r="C55" s="484"/>
      <c r="D55" s="484"/>
      <c r="E55" s="484"/>
    </row>
    <row r="56" ht="15.75" customHeight="1">
      <c r="B56" s="484"/>
      <c r="C56" s="484"/>
      <c r="D56" s="484"/>
      <c r="E56" s="484"/>
    </row>
    <row r="57" ht="15.75" customHeight="1">
      <c r="B57" s="484"/>
      <c r="C57" s="484"/>
      <c r="D57" s="484"/>
      <c r="E57" s="484"/>
    </row>
    <row r="58" ht="15.75" customHeight="1">
      <c r="B58" s="484"/>
      <c r="C58" s="484"/>
      <c r="D58" s="484"/>
      <c r="E58" s="484"/>
    </row>
    <row r="59" ht="15.75" customHeight="1">
      <c r="B59" s="484"/>
      <c r="C59" s="484"/>
      <c r="D59" s="484"/>
      <c r="E59" s="484"/>
    </row>
    <row r="60" ht="15.75" customHeight="1">
      <c r="B60" s="484"/>
      <c r="C60" s="484"/>
      <c r="D60" s="484"/>
      <c r="E60" s="484"/>
    </row>
    <row r="61" ht="15.75" customHeight="1">
      <c r="B61" s="484"/>
      <c r="C61" s="484"/>
      <c r="D61" s="484"/>
      <c r="E61" s="484"/>
    </row>
    <row r="62" ht="15.75" customHeight="1">
      <c r="B62" s="484"/>
      <c r="C62" s="484"/>
      <c r="D62" s="484"/>
      <c r="E62" s="484"/>
    </row>
    <row r="63" ht="15.75" customHeight="1">
      <c r="B63" s="484"/>
      <c r="C63" s="484"/>
      <c r="D63" s="484"/>
      <c r="E63" s="484"/>
    </row>
    <row r="64" ht="15.75" customHeight="1">
      <c r="B64" s="484"/>
      <c r="C64" s="484"/>
      <c r="D64" s="484"/>
      <c r="E64" s="484"/>
    </row>
    <row r="65" ht="15.75" customHeight="1">
      <c r="B65" s="484"/>
      <c r="C65" s="484"/>
      <c r="D65" s="484"/>
      <c r="E65" s="484"/>
    </row>
    <row r="66" ht="15.75" customHeight="1">
      <c r="B66" s="484"/>
      <c r="C66" s="484"/>
      <c r="D66" s="484"/>
      <c r="E66" s="484"/>
    </row>
    <row r="67" ht="15.75" customHeight="1">
      <c r="B67" s="484"/>
      <c r="C67" s="484"/>
      <c r="D67" s="484"/>
      <c r="E67" s="484"/>
    </row>
    <row r="68" ht="15.75" customHeight="1">
      <c r="B68" s="484"/>
      <c r="C68" s="484"/>
      <c r="D68" s="484"/>
      <c r="E68" s="484"/>
    </row>
    <row r="69" ht="15.75" customHeight="1">
      <c r="B69" s="484"/>
      <c r="C69" s="484"/>
      <c r="D69" s="484"/>
      <c r="E69" s="484"/>
    </row>
    <row r="70" ht="15.75" customHeight="1">
      <c r="B70" s="484"/>
      <c r="C70" s="484"/>
      <c r="D70" s="484"/>
      <c r="E70" s="484"/>
    </row>
    <row r="71" ht="15.75" customHeight="1">
      <c r="B71" s="484"/>
      <c r="C71" s="484"/>
      <c r="D71" s="484"/>
      <c r="E71" s="484"/>
    </row>
    <row r="72" ht="15.75" customHeight="1">
      <c r="B72" s="484"/>
      <c r="C72" s="484"/>
      <c r="D72" s="484"/>
      <c r="E72" s="484"/>
    </row>
    <row r="73" ht="15.75" customHeight="1">
      <c r="B73" s="484"/>
      <c r="C73" s="484"/>
      <c r="D73" s="484"/>
      <c r="E73" s="484"/>
    </row>
    <row r="74" ht="15.75" customHeight="1">
      <c r="B74" s="484"/>
      <c r="C74" s="484"/>
      <c r="D74" s="484"/>
      <c r="E74" s="484"/>
    </row>
    <row r="75" ht="15.75" customHeight="1">
      <c r="B75" s="484"/>
      <c r="C75" s="484"/>
      <c r="D75" s="484"/>
      <c r="E75" s="484"/>
    </row>
    <row r="76" ht="15.75" customHeight="1">
      <c r="B76" s="484"/>
      <c r="C76" s="484"/>
      <c r="D76" s="484"/>
      <c r="E76" s="484"/>
    </row>
    <row r="77" ht="15.75" customHeight="1">
      <c r="B77" s="484"/>
      <c r="C77" s="484"/>
      <c r="D77" s="484"/>
      <c r="E77" s="484"/>
    </row>
    <row r="78" ht="15.75" customHeight="1">
      <c r="B78" s="484"/>
      <c r="C78" s="484"/>
      <c r="D78" s="484"/>
      <c r="E78" s="484"/>
    </row>
    <row r="79" ht="15.75" customHeight="1">
      <c r="B79" s="484"/>
      <c r="C79" s="484"/>
      <c r="D79" s="484"/>
      <c r="E79" s="484"/>
    </row>
    <row r="80" ht="15.75" customHeight="1">
      <c r="B80" s="484"/>
      <c r="C80" s="484"/>
      <c r="D80" s="484"/>
      <c r="E80" s="484"/>
    </row>
    <row r="81" ht="15.75" customHeight="1">
      <c r="B81" s="484"/>
      <c r="C81" s="484"/>
      <c r="D81" s="484"/>
      <c r="E81" s="484"/>
    </row>
    <row r="82" ht="15.75" customHeight="1">
      <c r="B82" s="484"/>
      <c r="C82" s="484"/>
      <c r="D82" s="484"/>
      <c r="E82" s="484"/>
    </row>
    <row r="83" ht="15.75" customHeight="1">
      <c r="B83" s="484"/>
      <c r="C83" s="484"/>
      <c r="D83" s="484"/>
      <c r="E83" s="484"/>
    </row>
    <row r="84" ht="15.75" customHeight="1">
      <c r="B84" s="484"/>
      <c r="C84" s="484"/>
      <c r="D84" s="484"/>
      <c r="E84" s="484"/>
    </row>
    <row r="85" ht="15.75" customHeight="1">
      <c r="B85" s="484"/>
      <c r="C85" s="484"/>
      <c r="D85" s="484"/>
      <c r="E85" s="484"/>
    </row>
    <row r="86" ht="15.75" customHeight="1">
      <c r="B86" s="484"/>
      <c r="C86" s="484"/>
      <c r="D86" s="484"/>
      <c r="E86" s="484"/>
    </row>
    <row r="87" ht="15.75" customHeight="1">
      <c r="B87" s="484"/>
      <c r="C87" s="484"/>
      <c r="D87" s="484"/>
      <c r="E87" s="484"/>
    </row>
    <row r="88" ht="15.75" customHeight="1">
      <c r="B88" s="484"/>
      <c r="C88" s="484"/>
      <c r="D88" s="484"/>
      <c r="E88" s="484"/>
    </row>
    <row r="89" ht="15.75" customHeight="1">
      <c r="B89" s="484"/>
      <c r="C89" s="484"/>
      <c r="D89" s="484"/>
      <c r="E89" s="484"/>
    </row>
    <row r="90" ht="15.75" customHeight="1">
      <c r="B90" s="484"/>
      <c r="C90" s="484"/>
      <c r="D90" s="484"/>
      <c r="E90" s="484"/>
    </row>
    <row r="91" ht="15.75" customHeight="1">
      <c r="B91" s="484"/>
      <c r="C91" s="484"/>
      <c r="D91" s="484"/>
      <c r="E91" s="484"/>
    </row>
    <row r="92" ht="15.75" customHeight="1">
      <c r="B92" s="484"/>
      <c r="C92" s="484"/>
      <c r="D92" s="484"/>
      <c r="E92" s="484"/>
    </row>
    <row r="93" ht="15.75" customHeight="1">
      <c r="B93" s="484"/>
      <c r="C93" s="484"/>
      <c r="D93" s="484"/>
      <c r="E93" s="484"/>
    </row>
    <row r="94" ht="15.75" customHeight="1">
      <c r="B94" s="484"/>
      <c r="C94" s="484"/>
      <c r="D94" s="484"/>
      <c r="E94" s="484"/>
    </row>
    <row r="95" ht="15.75" customHeight="1">
      <c r="B95" s="484"/>
      <c r="C95" s="484"/>
      <c r="D95" s="484"/>
      <c r="E95" s="484"/>
    </row>
    <row r="96" ht="15.75" customHeight="1">
      <c r="B96" s="484"/>
      <c r="C96" s="484"/>
      <c r="D96" s="484"/>
      <c r="E96" s="484"/>
    </row>
    <row r="97" ht="15.75" customHeight="1">
      <c r="B97" s="484"/>
      <c r="C97" s="484"/>
      <c r="D97" s="484"/>
      <c r="E97" s="484"/>
    </row>
    <row r="98" ht="15.75" customHeight="1">
      <c r="B98" s="484"/>
      <c r="C98" s="484"/>
      <c r="D98" s="484"/>
      <c r="E98" s="484"/>
    </row>
    <row r="99" ht="15.75" customHeight="1">
      <c r="B99" s="484"/>
      <c r="C99" s="484"/>
      <c r="D99" s="484"/>
      <c r="E99" s="484"/>
    </row>
    <row r="100" ht="15.75" customHeight="1">
      <c r="B100" s="484"/>
      <c r="C100" s="484"/>
      <c r="D100" s="484"/>
      <c r="E100" s="484"/>
    </row>
    <row r="101" ht="15.75" customHeight="1">
      <c r="B101" s="484"/>
      <c r="C101" s="484"/>
      <c r="D101" s="484"/>
      <c r="E101" s="484"/>
    </row>
    <row r="102" ht="15.75" customHeight="1">
      <c r="B102" s="484"/>
      <c r="C102" s="484"/>
      <c r="D102" s="484"/>
      <c r="E102" s="484"/>
    </row>
    <row r="103" ht="15.75" customHeight="1">
      <c r="B103" s="484"/>
      <c r="C103" s="484"/>
      <c r="D103" s="484"/>
      <c r="E103" s="484"/>
    </row>
    <row r="104" ht="15.75" customHeight="1">
      <c r="B104" s="484"/>
      <c r="C104" s="484"/>
      <c r="D104" s="484"/>
      <c r="E104" s="484"/>
    </row>
    <row r="105" ht="15.75" customHeight="1">
      <c r="B105" s="484"/>
      <c r="C105" s="484"/>
      <c r="D105" s="484"/>
      <c r="E105" s="484"/>
    </row>
    <row r="106" ht="15.75" customHeight="1">
      <c r="B106" s="484"/>
      <c r="C106" s="484"/>
      <c r="D106" s="484"/>
      <c r="E106" s="484"/>
    </row>
    <row r="107" ht="15.75" customHeight="1">
      <c r="B107" s="484"/>
      <c r="C107" s="484"/>
      <c r="D107" s="484"/>
      <c r="E107" s="484"/>
    </row>
    <row r="108" ht="15.75" customHeight="1">
      <c r="B108" s="484"/>
      <c r="C108" s="484"/>
      <c r="D108" s="484"/>
      <c r="E108" s="484"/>
    </row>
    <row r="109" ht="15.75" customHeight="1">
      <c r="B109" s="484"/>
      <c r="C109" s="484"/>
      <c r="D109" s="484"/>
      <c r="E109" s="484"/>
    </row>
    <row r="110" ht="15.75" customHeight="1">
      <c r="B110" s="484"/>
      <c r="C110" s="484"/>
      <c r="D110" s="484"/>
      <c r="E110" s="484"/>
    </row>
    <row r="111" ht="15.75" customHeight="1">
      <c r="B111" s="484"/>
      <c r="C111" s="484"/>
      <c r="D111" s="484"/>
      <c r="E111" s="484"/>
    </row>
    <row r="112" ht="15.75" customHeight="1">
      <c r="B112" s="484"/>
      <c r="C112" s="484"/>
      <c r="D112" s="484"/>
      <c r="E112" s="484"/>
    </row>
    <row r="113" ht="15.75" customHeight="1">
      <c r="B113" s="484"/>
      <c r="C113" s="484"/>
      <c r="D113" s="484"/>
      <c r="E113" s="484"/>
    </row>
    <row r="114" ht="15.75" customHeight="1">
      <c r="B114" s="484"/>
      <c r="C114" s="484"/>
      <c r="D114" s="484"/>
      <c r="E114" s="484"/>
    </row>
    <row r="115" ht="15.75" customHeight="1">
      <c r="B115" s="484"/>
      <c r="C115" s="484"/>
      <c r="D115" s="484"/>
      <c r="E115" s="484"/>
    </row>
    <row r="116" ht="15.75" customHeight="1">
      <c r="B116" s="484"/>
      <c r="C116" s="484"/>
      <c r="D116" s="484"/>
      <c r="E116" s="484"/>
    </row>
    <row r="117" ht="15.75" customHeight="1">
      <c r="B117" s="484"/>
      <c r="C117" s="484"/>
      <c r="D117" s="484"/>
      <c r="E117" s="484"/>
    </row>
    <row r="118" ht="15.75" customHeight="1">
      <c r="B118" s="484"/>
      <c r="C118" s="484"/>
      <c r="D118" s="484"/>
      <c r="E118" s="484"/>
    </row>
    <row r="119" ht="15.75" customHeight="1">
      <c r="B119" s="484"/>
      <c r="C119" s="484"/>
      <c r="D119" s="484"/>
      <c r="E119" s="484"/>
    </row>
    <row r="120" ht="15.75" customHeight="1">
      <c r="B120" s="484"/>
      <c r="C120" s="484"/>
      <c r="D120" s="484"/>
      <c r="E120" s="484"/>
    </row>
    <row r="121" ht="15.75" customHeight="1">
      <c r="B121" s="484"/>
      <c r="C121" s="484"/>
      <c r="D121" s="484"/>
      <c r="E121" s="484"/>
    </row>
    <row r="122" ht="15.75" customHeight="1">
      <c r="B122" s="484"/>
      <c r="C122" s="484"/>
      <c r="D122" s="484"/>
      <c r="E122" s="484"/>
    </row>
    <row r="123" ht="15.75" customHeight="1">
      <c r="B123" s="484"/>
      <c r="C123" s="484"/>
      <c r="D123" s="484"/>
      <c r="E123" s="484"/>
    </row>
    <row r="124" ht="15.75" customHeight="1">
      <c r="B124" s="484"/>
      <c r="C124" s="484"/>
      <c r="D124" s="484"/>
      <c r="E124" s="484"/>
    </row>
    <row r="125" ht="15.75" customHeight="1">
      <c r="B125" s="484"/>
      <c r="C125" s="484"/>
      <c r="D125" s="484"/>
      <c r="E125" s="484"/>
    </row>
    <row r="126" ht="15.75" customHeight="1">
      <c r="B126" s="484"/>
      <c r="C126" s="484"/>
      <c r="D126" s="484"/>
      <c r="E126" s="484"/>
    </row>
    <row r="127" ht="15.75" customHeight="1">
      <c r="B127" s="484"/>
      <c r="C127" s="484"/>
      <c r="D127" s="484"/>
      <c r="E127" s="484"/>
    </row>
    <row r="128" ht="15.75" customHeight="1">
      <c r="B128" s="484"/>
      <c r="C128" s="484"/>
      <c r="D128" s="484"/>
      <c r="E128" s="484"/>
    </row>
    <row r="129" ht="15.75" customHeight="1">
      <c r="B129" s="484"/>
      <c r="C129" s="484"/>
      <c r="D129" s="484"/>
      <c r="E129" s="484"/>
    </row>
    <row r="130" ht="15.75" customHeight="1">
      <c r="B130" s="484"/>
      <c r="C130" s="484"/>
      <c r="D130" s="484"/>
      <c r="E130" s="484"/>
    </row>
    <row r="131" ht="15.75" customHeight="1">
      <c r="B131" s="484"/>
      <c r="C131" s="484"/>
      <c r="D131" s="484"/>
      <c r="E131" s="484"/>
    </row>
    <row r="132" ht="15.75" customHeight="1">
      <c r="B132" s="484"/>
      <c r="C132" s="484"/>
      <c r="D132" s="484"/>
      <c r="E132" s="484"/>
    </row>
    <row r="133" ht="15.75" customHeight="1">
      <c r="B133" s="484"/>
      <c r="C133" s="484"/>
      <c r="D133" s="484"/>
      <c r="E133" s="484"/>
    </row>
    <row r="134" ht="15.75" customHeight="1">
      <c r="B134" s="484"/>
      <c r="C134" s="484"/>
      <c r="D134" s="484"/>
      <c r="E134" s="484"/>
    </row>
    <row r="135" ht="15.75" customHeight="1">
      <c r="B135" s="484"/>
      <c r="C135" s="484"/>
      <c r="D135" s="484"/>
      <c r="E135" s="484"/>
    </row>
    <row r="136" ht="15.75" customHeight="1">
      <c r="B136" s="484"/>
      <c r="C136" s="484"/>
      <c r="D136" s="484"/>
      <c r="E136" s="484"/>
    </row>
    <row r="137" ht="15.75" customHeight="1">
      <c r="B137" s="484"/>
      <c r="C137" s="484"/>
      <c r="D137" s="484"/>
      <c r="E137" s="484"/>
    </row>
    <row r="138" ht="15.75" customHeight="1">
      <c r="B138" s="484"/>
      <c r="C138" s="484"/>
      <c r="D138" s="484"/>
      <c r="E138" s="484"/>
    </row>
    <row r="139" ht="15.75" customHeight="1">
      <c r="B139" s="484"/>
      <c r="C139" s="484"/>
      <c r="D139" s="484"/>
      <c r="E139" s="484"/>
    </row>
    <row r="140" ht="15.75" customHeight="1">
      <c r="B140" s="484"/>
      <c r="C140" s="484"/>
      <c r="D140" s="484"/>
      <c r="E140" s="484"/>
    </row>
    <row r="141" ht="15.75" customHeight="1">
      <c r="B141" s="484"/>
      <c r="C141" s="484"/>
      <c r="D141" s="484"/>
      <c r="E141" s="484"/>
    </row>
    <row r="142" ht="15.75" customHeight="1">
      <c r="B142" s="484"/>
      <c r="C142" s="484"/>
      <c r="D142" s="484"/>
      <c r="E142" s="484"/>
    </row>
    <row r="143" ht="15.75" customHeight="1">
      <c r="B143" s="484"/>
      <c r="C143" s="484"/>
      <c r="D143" s="484"/>
      <c r="E143" s="484"/>
    </row>
    <row r="144" ht="15.75" customHeight="1">
      <c r="B144" s="484"/>
      <c r="C144" s="484"/>
      <c r="D144" s="484"/>
      <c r="E144" s="484"/>
    </row>
    <row r="145" ht="15.75" customHeight="1">
      <c r="B145" s="484"/>
      <c r="C145" s="484"/>
      <c r="D145" s="484"/>
      <c r="E145" s="484"/>
    </row>
    <row r="146" ht="15.75" customHeight="1">
      <c r="B146" s="484"/>
      <c r="C146" s="484"/>
      <c r="D146" s="484"/>
      <c r="E146" s="484"/>
    </row>
    <row r="147" ht="15.75" customHeight="1">
      <c r="B147" s="484"/>
      <c r="C147" s="484"/>
      <c r="D147" s="484"/>
      <c r="E147" s="484"/>
    </row>
    <row r="148" ht="15.75" customHeight="1">
      <c r="B148" s="484"/>
      <c r="C148" s="484"/>
      <c r="D148" s="484"/>
      <c r="E148" s="484"/>
    </row>
    <row r="149" ht="15.75" customHeight="1">
      <c r="B149" s="484"/>
      <c r="C149" s="484"/>
      <c r="D149" s="484"/>
      <c r="E149" s="484"/>
    </row>
    <row r="150" ht="15.75" customHeight="1">
      <c r="B150" s="484"/>
      <c r="C150" s="484"/>
      <c r="D150" s="484"/>
      <c r="E150" s="484"/>
    </row>
    <row r="151" ht="15.75" customHeight="1">
      <c r="B151" s="484"/>
      <c r="C151" s="484"/>
      <c r="D151" s="484"/>
      <c r="E151" s="484"/>
    </row>
    <row r="152" ht="15.75" customHeight="1">
      <c r="B152" s="484"/>
      <c r="C152" s="484"/>
      <c r="D152" s="484"/>
      <c r="E152" s="484"/>
    </row>
    <row r="153" ht="15.75" customHeight="1">
      <c r="B153" s="484"/>
      <c r="C153" s="484"/>
      <c r="D153" s="484"/>
      <c r="E153" s="484"/>
    </row>
    <row r="154" ht="15.75" customHeight="1">
      <c r="B154" s="484"/>
      <c r="C154" s="484"/>
      <c r="D154" s="484"/>
      <c r="E154" s="484"/>
    </row>
    <row r="155" ht="15.75" customHeight="1">
      <c r="B155" s="484"/>
      <c r="C155" s="484"/>
      <c r="D155" s="484"/>
      <c r="E155" s="484"/>
    </row>
    <row r="156" ht="15.75" customHeight="1">
      <c r="B156" s="484"/>
      <c r="C156" s="484"/>
      <c r="D156" s="484"/>
      <c r="E156" s="484"/>
    </row>
    <row r="157" ht="15.75" customHeight="1">
      <c r="B157" s="484"/>
      <c r="C157" s="484"/>
      <c r="D157" s="484"/>
      <c r="E157" s="484"/>
    </row>
    <row r="158" ht="15.75" customHeight="1">
      <c r="B158" s="484"/>
      <c r="C158" s="484"/>
      <c r="D158" s="484"/>
      <c r="E158" s="484"/>
    </row>
    <row r="159" ht="15.75" customHeight="1">
      <c r="B159" s="484"/>
      <c r="C159" s="484"/>
      <c r="D159" s="484"/>
      <c r="E159" s="484"/>
    </row>
    <row r="160" ht="15.75" customHeight="1">
      <c r="B160" s="484"/>
      <c r="C160" s="484"/>
      <c r="D160" s="484"/>
      <c r="E160" s="484"/>
    </row>
    <row r="161" ht="15.75" customHeight="1">
      <c r="B161" s="484"/>
      <c r="C161" s="484"/>
      <c r="D161" s="484"/>
      <c r="E161" s="484"/>
    </row>
    <row r="162" ht="15.75" customHeight="1">
      <c r="B162" s="484"/>
      <c r="C162" s="484"/>
      <c r="D162" s="484"/>
      <c r="E162" s="484"/>
    </row>
    <row r="163" ht="15.75" customHeight="1">
      <c r="B163" s="484"/>
      <c r="C163" s="484"/>
      <c r="D163" s="484"/>
      <c r="E163" s="484"/>
    </row>
    <row r="164" ht="15.75" customHeight="1">
      <c r="B164" s="484"/>
      <c r="C164" s="484"/>
      <c r="D164" s="484"/>
      <c r="E164" s="484"/>
    </row>
    <row r="165" ht="15.75" customHeight="1">
      <c r="B165" s="484"/>
      <c r="C165" s="484"/>
      <c r="D165" s="484"/>
      <c r="E165" s="484"/>
    </row>
    <row r="166" ht="15.75" customHeight="1">
      <c r="B166" s="484"/>
      <c r="C166" s="484"/>
      <c r="D166" s="484"/>
      <c r="E166" s="484"/>
    </row>
    <row r="167" ht="15.75" customHeight="1">
      <c r="B167" s="484"/>
      <c r="C167" s="484"/>
      <c r="D167" s="484"/>
      <c r="E167" s="484"/>
    </row>
    <row r="168" ht="15.75" customHeight="1">
      <c r="B168" s="484"/>
      <c r="C168" s="484"/>
      <c r="D168" s="484"/>
      <c r="E168" s="484"/>
    </row>
    <row r="169" ht="15.75" customHeight="1">
      <c r="B169" s="484"/>
      <c r="C169" s="484"/>
      <c r="D169" s="484"/>
      <c r="E169" s="484"/>
    </row>
    <row r="170" ht="15.75" customHeight="1">
      <c r="B170" s="484"/>
      <c r="C170" s="484"/>
      <c r="D170" s="484"/>
      <c r="E170" s="484"/>
    </row>
    <row r="171" ht="15.75" customHeight="1">
      <c r="B171" s="484"/>
      <c r="C171" s="484"/>
      <c r="D171" s="484"/>
      <c r="E171" s="484"/>
    </row>
    <row r="172" ht="15.75" customHeight="1">
      <c r="B172" s="484"/>
      <c r="C172" s="484"/>
      <c r="D172" s="484"/>
      <c r="E172" s="484"/>
    </row>
    <row r="173" ht="15.75" customHeight="1">
      <c r="B173" s="484"/>
      <c r="C173" s="484"/>
      <c r="D173" s="484"/>
      <c r="E173" s="484"/>
    </row>
    <row r="174" ht="15.75" customHeight="1">
      <c r="B174" s="484"/>
      <c r="C174" s="484"/>
      <c r="D174" s="484"/>
      <c r="E174" s="484"/>
    </row>
    <row r="175" ht="15.75" customHeight="1">
      <c r="B175" s="484"/>
      <c r="C175" s="484"/>
      <c r="D175" s="484"/>
      <c r="E175" s="484"/>
    </row>
    <row r="176" ht="15.75" customHeight="1">
      <c r="B176" s="484"/>
      <c r="C176" s="484"/>
      <c r="D176" s="484"/>
      <c r="E176" s="484"/>
    </row>
    <row r="177" ht="15.75" customHeight="1">
      <c r="B177" s="484"/>
      <c r="C177" s="484"/>
      <c r="D177" s="484"/>
      <c r="E177" s="484"/>
    </row>
    <row r="178" ht="15.75" customHeight="1">
      <c r="B178" s="484"/>
      <c r="C178" s="484"/>
      <c r="D178" s="484"/>
      <c r="E178" s="484"/>
    </row>
    <row r="179" ht="15.75" customHeight="1">
      <c r="B179" s="484"/>
      <c r="C179" s="484"/>
      <c r="D179" s="484"/>
      <c r="E179" s="484"/>
    </row>
    <row r="180" ht="15.75" customHeight="1">
      <c r="B180" s="484"/>
      <c r="C180" s="484"/>
      <c r="D180" s="484"/>
      <c r="E180" s="484"/>
    </row>
    <row r="181" ht="15.75" customHeight="1">
      <c r="B181" s="484"/>
      <c r="C181" s="484"/>
      <c r="D181" s="484"/>
      <c r="E181" s="484"/>
    </row>
    <row r="182" ht="15.75" customHeight="1">
      <c r="B182" s="484"/>
      <c r="C182" s="484"/>
      <c r="D182" s="484"/>
      <c r="E182" s="484"/>
    </row>
    <row r="183" ht="15.75" customHeight="1">
      <c r="B183" s="484"/>
      <c r="C183" s="484"/>
      <c r="D183" s="484"/>
      <c r="E183" s="484"/>
    </row>
    <row r="184" ht="15.75" customHeight="1">
      <c r="B184" s="484"/>
      <c r="C184" s="484"/>
      <c r="D184" s="484"/>
      <c r="E184" s="484"/>
    </row>
    <row r="185" ht="15.75" customHeight="1">
      <c r="B185" s="484"/>
      <c r="C185" s="484"/>
      <c r="D185" s="484"/>
      <c r="E185" s="484"/>
    </row>
    <row r="186" ht="15.75" customHeight="1">
      <c r="B186" s="484"/>
      <c r="C186" s="484"/>
      <c r="D186" s="484"/>
      <c r="E186" s="484"/>
    </row>
    <row r="187" ht="15.75" customHeight="1">
      <c r="B187" s="484"/>
      <c r="C187" s="484"/>
      <c r="D187" s="484"/>
      <c r="E187" s="484"/>
    </row>
    <row r="188" ht="15.75" customHeight="1">
      <c r="B188" s="484"/>
      <c r="C188" s="484"/>
      <c r="D188" s="484"/>
      <c r="E188" s="484"/>
    </row>
    <row r="189" ht="15.75" customHeight="1">
      <c r="B189" s="484"/>
      <c r="C189" s="484"/>
      <c r="D189" s="484"/>
      <c r="E189" s="484"/>
    </row>
    <row r="190" ht="15.75" customHeight="1">
      <c r="B190" s="484"/>
      <c r="C190" s="484"/>
      <c r="D190" s="484"/>
      <c r="E190" s="484"/>
    </row>
    <row r="191" ht="15.75" customHeight="1">
      <c r="B191" s="484"/>
      <c r="C191" s="484"/>
      <c r="D191" s="484"/>
      <c r="E191" s="484"/>
    </row>
    <row r="192" ht="15.75" customHeight="1">
      <c r="B192" s="484"/>
      <c r="C192" s="484"/>
      <c r="D192" s="484"/>
      <c r="E192" s="484"/>
    </row>
    <row r="193" ht="15.75" customHeight="1">
      <c r="B193" s="484"/>
      <c r="C193" s="484"/>
      <c r="D193" s="484"/>
      <c r="E193" s="484"/>
    </row>
    <row r="194" ht="15.75" customHeight="1">
      <c r="B194" s="484"/>
      <c r="C194" s="484"/>
      <c r="D194" s="484"/>
      <c r="E194" s="484"/>
    </row>
    <row r="195" ht="15.75" customHeight="1">
      <c r="B195" s="484"/>
      <c r="C195" s="484"/>
      <c r="D195" s="484"/>
      <c r="E195" s="484"/>
    </row>
    <row r="196" ht="15.75" customHeight="1">
      <c r="B196" s="484"/>
      <c r="C196" s="484"/>
      <c r="D196" s="484"/>
      <c r="E196" s="484"/>
    </row>
    <row r="197" ht="15.75" customHeight="1">
      <c r="B197" s="484"/>
      <c r="C197" s="484"/>
      <c r="D197" s="484"/>
      <c r="E197" s="484"/>
    </row>
    <row r="198" ht="15.75" customHeight="1">
      <c r="B198" s="484"/>
      <c r="C198" s="484"/>
      <c r="D198" s="484"/>
      <c r="E198" s="484"/>
    </row>
    <row r="199" ht="15.75" customHeight="1">
      <c r="B199" s="484"/>
      <c r="C199" s="484"/>
      <c r="D199" s="484"/>
      <c r="E199" s="484"/>
    </row>
    <row r="200" ht="15.75" customHeight="1">
      <c r="B200" s="484"/>
      <c r="C200" s="484"/>
      <c r="D200" s="484"/>
      <c r="E200" s="484"/>
    </row>
    <row r="201" ht="15.75" customHeight="1">
      <c r="B201" s="484"/>
      <c r="C201" s="484"/>
      <c r="D201" s="484"/>
      <c r="E201" s="484"/>
    </row>
    <row r="202" ht="15.75" customHeight="1">
      <c r="B202" s="484"/>
      <c r="C202" s="484"/>
      <c r="D202" s="484"/>
      <c r="E202" s="484"/>
    </row>
    <row r="203" ht="15.75" customHeight="1">
      <c r="B203" s="484"/>
      <c r="C203" s="484"/>
      <c r="D203" s="484"/>
      <c r="E203" s="484"/>
    </row>
    <row r="204" ht="15.75" customHeight="1">
      <c r="B204" s="484"/>
      <c r="C204" s="484"/>
      <c r="D204" s="484"/>
      <c r="E204" s="484"/>
    </row>
    <row r="205" ht="15.75" customHeight="1">
      <c r="B205" s="484"/>
      <c r="C205" s="484"/>
      <c r="D205" s="484"/>
      <c r="E205" s="484"/>
    </row>
    <row r="206" ht="15.75" customHeight="1">
      <c r="B206" s="484"/>
      <c r="C206" s="484"/>
      <c r="D206" s="484"/>
      <c r="E206" s="484"/>
    </row>
    <row r="207" ht="15.75" customHeight="1">
      <c r="B207" s="484"/>
      <c r="C207" s="484"/>
      <c r="D207" s="484"/>
      <c r="E207" s="484"/>
    </row>
    <row r="208" ht="15.75" customHeight="1">
      <c r="B208" s="484"/>
      <c r="C208" s="484"/>
      <c r="D208" s="484"/>
      <c r="E208" s="484"/>
    </row>
    <row r="209" ht="15.75" customHeight="1">
      <c r="B209" s="484"/>
      <c r="C209" s="484"/>
      <c r="D209" s="484"/>
      <c r="E209" s="484"/>
    </row>
    <row r="210" ht="15.75" customHeight="1">
      <c r="B210" s="484"/>
      <c r="C210" s="484"/>
      <c r="D210" s="484"/>
      <c r="E210" s="484"/>
    </row>
    <row r="211" ht="15.75" customHeight="1">
      <c r="B211" s="484"/>
      <c r="C211" s="484"/>
      <c r="D211" s="484"/>
      <c r="E211" s="484"/>
    </row>
    <row r="212" ht="15.75" customHeight="1">
      <c r="B212" s="484"/>
      <c r="C212" s="484"/>
      <c r="D212" s="484"/>
      <c r="E212" s="484"/>
    </row>
    <row r="213" ht="15.75" customHeight="1">
      <c r="B213" s="484"/>
      <c r="C213" s="484"/>
      <c r="D213" s="484"/>
      <c r="E213" s="484"/>
    </row>
    <row r="214" ht="15.75" customHeight="1">
      <c r="B214" s="484"/>
      <c r="C214" s="484"/>
      <c r="D214" s="484"/>
      <c r="E214" s="484"/>
    </row>
    <row r="215" ht="15.75" customHeight="1">
      <c r="B215" s="484"/>
      <c r="C215" s="484"/>
      <c r="D215" s="484"/>
      <c r="E215" s="484"/>
    </row>
    <row r="216" ht="15.75" customHeight="1">
      <c r="B216" s="484"/>
      <c r="C216" s="484"/>
      <c r="D216" s="484"/>
      <c r="E216" s="484"/>
    </row>
    <row r="217" ht="15.75" customHeight="1">
      <c r="B217" s="484"/>
      <c r="C217" s="484"/>
      <c r="D217" s="484"/>
      <c r="E217" s="484"/>
    </row>
    <row r="218" ht="15.75" customHeight="1">
      <c r="B218" s="484"/>
      <c r="C218" s="484"/>
      <c r="D218" s="484"/>
      <c r="E218" s="484"/>
    </row>
    <row r="219" ht="15.75" customHeight="1">
      <c r="B219" s="484"/>
      <c r="C219" s="484"/>
      <c r="D219" s="484"/>
      <c r="E219" s="484"/>
    </row>
    <row r="220" ht="15.75" customHeight="1">
      <c r="B220" s="484"/>
      <c r="C220" s="484"/>
      <c r="D220" s="484"/>
      <c r="E220" s="48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0.86"/>
    <col customWidth="1" min="2" max="3" width="10.71"/>
    <col customWidth="1" min="4" max="4" width="17.43"/>
    <col customWidth="1" min="5" max="5" width="39.0"/>
    <col customWidth="1" min="6" max="6" width="11.71"/>
    <col customWidth="1" min="7" max="7" width="13.0"/>
    <col customWidth="1" min="8" max="8" width="13.29"/>
    <col customWidth="1" min="9" max="9" width="13.57"/>
    <col customWidth="1" min="10" max="10" width="52.14"/>
    <col customWidth="1" min="11" max="11" width="13.71"/>
    <col customWidth="1" min="12" max="12" width="12.86"/>
    <col customWidth="1" min="13" max="13" width="38.57"/>
    <col customWidth="1" min="17" max="17" width="24.86"/>
  </cols>
  <sheetData>
    <row r="1" ht="51.0" customHeight="1">
      <c r="A1" s="521" t="str">
        <f>IFERROR(__xludf.DUMMYFUNCTION("IMPORTRANGE(""https://docs.google.com/spreadsheets/d/1jTOPt812ifQKYoSPgUekJBefGMer57EbVKiSifItNfk/edit#gid=373201041"",""#Other Products 2024!A1:R"")"),"#REF!")</f>
        <v>#REF!</v>
      </c>
      <c r="B1" s="421"/>
      <c r="C1" s="269"/>
      <c r="D1" s="358"/>
      <c r="E1" s="270"/>
      <c r="F1" s="359"/>
      <c r="G1" s="360"/>
      <c r="H1" s="360"/>
      <c r="I1" s="367"/>
      <c r="J1" s="269"/>
      <c r="K1" s="269"/>
      <c r="L1" s="269"/>
      <c r="M1" s="439"/>
      <c r="N1" s="269"/>
      <c r="O1" s="269"/>
      <c r="P1" s="275"/>
      <c r="Q1" s="363"/>
      <c r="R1" s="364"/>
      <c r="S1" s="364"/>
      <c r="T1" s="364"/>
      <c r="U1" s="364"/>
      <c r="V1" s="364"/>
      <c r="W1" s="364"/>
      <c r="X1" s="364"/>
      <c r="Y1" s="364"/>
      <c r="Z1" s="364"/>
    </row>
    <row r="2" ht="51.0" customHeight="1">
      <c r="A2" s="277"/>
      <c r="B2" s="278"/>
      <c r="C2" s="277"/>
      <c r="D2" s="277"/>
      <c r="E2" s="279"/>
      <c r="F2" s="367"/>
      <c r="G2" s="277"/>
      <c r="H2" s="277"/>
      <c r="I2" s="277"/>
      <c r="J2" s="277"/>
      <c r="K2" s="522"/>
      <c r="L2" s="522"/>
      <c r="M2" s="277"/>
      <c r="N2" s="277"/>
      <c r="O2" s="277"/>
      <c r="P2" s="283"/>
      <c r="Q2" s="436"/>
      <c r="R2" s="366"/>
      <c r="S2" s="366"/>
      <c r="T2" s="366"/>
      <c r="U2" s="366"/>
      <c r="V2" s="366"/>
      <c r="W2" s="366"/>
      <c r="X2" s="366"/>
      <c r="Y2" s="366"/>
      <c r="Z2" s="366"/>
    </row>
    <row r="3" ht="71.25" hidden="1" customHeight="1">
      <c r="A3" s="285"/>
      <c r="B3" s="299"/>
      <c r="C3" s="285"/>
      <c r="D3" s="367"/>
      <c r="E3" s="287"/>
      <c r="F3" s="288"/>
      <c r="G3" s="523"/>
      <c r="H3" s="523"/>
      <c r="I3" s="523"/>
      <c r="J3" s="523"/>
      <c r="K3" s="524"/>
      <c r="L3" s="524"/>
      <c r="M3" s="444"/>
      <c r="N3" s="445"/>
      <c r="O3" s="525"/>
      <c r="P3" s="526"/>
      <c r="Q3" s="219"/>
      <c r="R3" s="198"/>
      <c r="S3" s="198"/>
      <c r="T3" s="198"/>
      <c r="U3" s="198"/>
      <c r="V3" s="198"/>
      <c r="W3" s="198"/>
      <c r="X3" s="198"/>
      <c r="Y3" s="198"/>
      <c r="Z3" s="198"/>
    </row>
    <row r="4" ht="81.75" customHeight="1">
      <c r="A4" s="285"/>
      <c r="B4" s="299"/>
      <c r="C4" s="285"/>
      <c r="D4" s="367"/>
      <c r="E4" s="287"/>
      <c r="F4" s="288"/>
      <c r="G4" s="527"/>
      <c r="H4" s="527"/>
      <c r="I4" s="527"/>
      <c r="J4" s="527"/>
      <c r="K4" s="294"/>
      <c r="L4" s="294"/>
      <c r="M4" s="290"/>
      <c r="N4" s="299"/>
      <c r="O4" s="322"/>
      <c r="P4" s="526"/>
      <c r="Q4" s="219"/>
      <c r="R4" s="198"/>
      <c r="S4" s="198"/>
      <c r="T4" s="198"/>
      <c r="U4" s="198"/>
      <c r="V4" s="198"/>
      <c r="W4" s="198"/>
      <c r="X4" s="198"/>
      <c r="Y4" s="198"/>
      <c r="Z4" s="198"/>
    </row>
    <row r="5" ht="81.75" customHeight="1">
      <c r="A5" s="285"/>
      <c r="B5" s="299"/>
      <c r="C5" s="285"/>
      <c r="D5" s="367"/>
      <c r="E5" s="287"/>
      <c r="F5" s="288"/>
      <c r="G5" s="527"/>
      <c r="H5" s="527"/>
      <c r="I5" s="527"/>
      <c r="J5" s="527"/>
      <c r="K5" s="294"/>
      <c r="L5" s="294"/>
      <c r="M5" s="290"/>
      <c r="N5" s="299"/>
      <c r="O5" s="322"/>
      <c r="P5" s="526"/>
      <c r="Q5" s="219"/>
      <c r="R5" s="198"/>
      <c r="S5" s="198"/>
      <c r="T5" s="198"/>
      <c r="U5" s="198"/>
      <c r="V5" s="198"/>
      <c r="W5" s="198"/>
      <c r="X5" s="198"/>
      <c r="Y5" s="198"/>
      <c r="Z5" s="198"/>
    </row>
    <row r="6" ht="81.75" hidden="1" customHeight="1">
      <c r="A6" s="285"/>
      <c r="B6" s="296"/>
      <c r="C6" s="285"/>
      <c r="D6" s="285"/>
      <c r="E6" s="287"/>
      <c r="F6" s="288"/>
      <c r="G6" s="523"/>
      <c r="H6" s="523"/>
      <c r="I6" s="523"/>
      <c r="J6" s="377"/>
      <c r="K6" s="425"/>
      <c r="L6" s="294"/>
      <c r="M6" s="290"/>
      <c r="N6" s="299"/>
      <c r="O6" s="322"/>
      <c r="P6" s="526"/>
      <c r="Q6" s="219"/>
      <c r="R6" s="198"/>
      <c r="S6" s="198"/>
      <c r="T6" s="198"/>
      <c r="U6" s="198"/>
      <c r="V6" s="198"/>
      <c r="W6" s="198"/>
      <c r="X6" s="198"/>
      <c r="Y6" s="198"/>
      <c r="Z6" s="198"/>
    </row>
    <row r="7" ht="78.0" hidden="1" customHeight="1">
      <c r="A7" s="285"/>
      <c r="B7" s="299"/>
      <c r="C7" s="285"/>
      <c r="D7" s="367"/>
      <c r="E7" s="287"/>
      <c r="F7" s="288"/>
      <c r="G7" s="523"/>
      <c r="H7" s="523"/>
      <c r="I7" s="523"/>
      <c r="J7" s="377"/>
      <c r="K7" s="294"/>
      <c r="L7" s="294"/>
      <c r="M7" s="290"/>
      <c r="N7" s="299"/>
      <c r="O7" s="322"/>
      <c r="P7" s="526"/>
      <c r="Q7" s="219"/>
      <c r="R7" s="198"/>
      <c r="S7" s="198"/>
      <c r="T7" s="198"/>
      <c r="U7" s="198"/>
      <c r="V7" s="198"/>
      <c r="W7" s="198"/>
      <c r="X7" s="198"/>
      <c r="Y7" s="198"/>
      <c r="Z7" s="198"/>
    </row>
    <row r="8" ht="80.25" hidden="1" customHeight="1">
      <c r="A8" s="285"/>
      <c r="B8" s="299"/>
      <c r="C8" s="285"/>
      <c r="D8" s="285"/>
      <c r="E8" s="287"/>
      <c r="F8" s="288"/>
      <c r="G8" s="527"/>
      <c r="H8" s="527"/>
      <c r="I8" s="527"/>
      <c r="J8" s="528"/>
      <c r="K8" s="294"/>
      <c r="L8" s="294"/>
      <c r="M8" s="290"/>
      <c r="N8" s="299"/>
      <c r="O8" s="322"/>
      <c r="P8" s="526"/>
      <c r="Q8" s="219"/>
      <c r="R8" s="198"/>
      <c r="S8" s="198"/>
      <c r="T8" s="198"/>
      <c r="U8" s="198"/>
      <c r="V8" s="198"/>
      <c r="W8" s="198"/>
      <c r="X8" s="198"/>
      <c r="Y8" s="198"/>
      <c r="Z8" s="198"/>
    </row>
    <row r="9" ht="81.75" hidden="1" customHeight="1">
      <c r="A9" s="285"/>
      <c r="B9" s="296"/>
      <c r="C9" s="285"/>
      <c r="D9" s="285"/>
      <c r="E9" s="287"/>
      <c r="F9" s="288"/>
      <c r="G9" s="523"/>
      <c r="H9" s="523"/>
      <c r="I9" s="523"/>
      <c r="J9" s="523"/>
      <c r="K9" s="425"/>
      <c r="L9" s="294"/>
      <c r="M9" s="290"/>
      <c r="N9" s="299"/>
      <c r="O9" s="322"/>
      <c r="P9" s="526"/>
      <c r="Q9" s="219"/>
      <c r="R9" s="198"/>
      <c r="S9" s="198"/>
      <c r="T9" s="198"/>
      <c r="U9" s="198"/>
      <c r="V9" s="198"/>
      <c r="W9" s="198"/>
      <c r="X9" s="198"/>
      <c r="Y9" s="198"/>
      <c r="Z9" s="198"/>
    </row>
    <row r="10" ht="81.75" hidden="1" customHeight="1">
      <c r="A10" s="285"/>
      <c r="B10" s="296"/>
      <c r="C10" s="285"/>
      <c r="D10" s="285"/>
      <c r="E10" s="287"/>
      <c r="F10" s="288"/>
      <c r="G10" s="523"/>
      <c r="H10" s="523"/>
      <c r="I10" s="523"/>
      <c r="J10" s="523"/>
      <c r="K10" s="425"/>
      <c r="L10" s="294"/>
      <c r="M10" s="290"/>
      <c r="N10" s="299"/>
      <c r="O10" s="322"/>
      <c r="P10" s="526"/>
      <c r="Q10" s="219"/>
      <c r="R10" s="198"/>
      <c r="S10" s="198"/>
      <c r="T10" s="198"/>
      <c r="U10" s="198"/>
      <c r="V10" s="198"/>
      <c r="W10" s="198"/>
      <c r="X10" s="198"/>
      <c r="Y10" s="198"/>
      <c r="Z10" s="198"/>
    </row>
    <row r="11" ht="90.75" hidden="1" customHeight="1">
      <c r="A11" s="285"/>
      <c r="B11" s="296"/>
      <c r="C11" s="285"/>
      <c r="D11" s="285"/>
      <c r="E11" s="287"/>
      <c r="F11" s="288"/>
      <c r="G11" s="523"/>
      <c r="H11" s="523"/>
      <c r="I11" s="523"/>
      <c r="J11" s="523"/>
      <c r="K11" s="425"/>
      <c r="L11" s="294"/>
      <c r="M11" s="290"/>
      <c r="N11" s="299"/>
      <c r="O11" s="322"/>
      <c r="P11" s="526"/>
      <c r="Q11" s="219"/>
      <c r="R11" s="198"/>
      <c r="S11" s="198"/>
      <c r="T11" s="198"/>
      <c r="U11" s="198"/>
      <c r="V11" s="198"/>
      <c r="W11" s="198"/>
      <c r="X11" s="198"/>
      <c r="Y11" s="198"/>
      <c r="Z11" s="198"/>
    </row>
    <row r="12" ht="81.75" customHeight="1">
      <c r="A12" s="285"/>
      <c r="B12" s="296"/>
      <c r="C12" s="285"/>
      <c r="D12" s="285"/>
      <c r="E12" s="287"/>
      <c r="F12" s="288"/>
      <c r="G12" s="523"/>
      <c r="H12" s="523"/>
      <c r="I12" s="523"/>
      <c r="J12" s="523"/>
      <c r="K12" s="425"/>
      <c r="L12" s="294"/>
      <c r="M12" s="290"/>
      <c r="N12" s="299"/>
      <c r="O12" s="322"/>
      <c r="P12" s="526"/>
      <c r="Q12" s="219"/>
      <c r="R12" s="198"/>
      <c r="S12" s="198"/>
      <c r="T12" s="198"/>
      <c r="U12" s="198"/>
      <c r="V12" s="198"/>
      <c r="W12" s="198"/>
      <c r="X12" s="198"/>
      <c r="Y12" s="198"/>
      <c r="Z12" s="198"/>
    </row>
    <row r="13" ht="81.75" hidden="1" customHeight="1">
      <c r="A13" s="285"/>
      <c r="B13" s="296"/>
      <c r="C13" s="285"/>
      <c r="D13" s="285"/>
      <c r="E13" s="287"/>
      <c r="F13" s="288"/>
      <c r="G13" s="523"/>
      <c r="H13" s="523"/>
      <c r="I13" s="523"/>
      <c r="J13" s="523"/>
      <c r="K13" s="425"/>
      <c r="L13" s="294"/>
      <c r="M13" s="290"/>
      <c r="N13" s="299"/>
      <c r="O13" s="322"/>
      <c r="P13" s="526"/>
      <c r="Q13" s="219"/>
      <c r="R13" s="198"/>
      <c r="S13" s="198"/>
      <c r="T13" s="198"/>
      <c r="U13" s="198"/>
      <c r="V13" s="198"/>
      <c r="W13" s="198"/>
      <c r="X13" s="198"/>
      <c r="Y13" s="198"/>
      <c r="Z13" s="198"/>
    </row>
    <row r="14" ht="81.75" hidden="1" customHeight="1">
      <c r="A14" s="285"/>
      <c r="B14" s="299"/>
      <c r="C14" s="285"/>
      <c r="D14" s="367"/>
      <c r="E14" s="447"/>
      <c r="F14" s="288"/>
      <c r="G14" s="523"/>
      <c r="H14" s="523"/>
      <c r="I14" s="523"/>
      <c r="J14" s="523"/>
      <c r="K14" s="294"/>
      <c r="L14" s="294"/>
      <c r="M14" s="290"/>
      <c r="N14" s="299"/>
      <c r="O14" s="322"/>
      <c r="P14" s="526"/>
      <c r="Q14" s="219"/>
      <c r="R14" s="198"/>
      <c r="S14" s="198"/>
      <c r="T14" s="198"/>
      <c r="U14" s="198"/>
      <c r="V14" s="198"/>
      <c r="W14" s="198"/>
      <c r="X14" s="198"/>
      <c r="Y14" s="198"/>
      <c r="Z14" s="198"/>
    </row>
    <row r="15" ht="81.75" customHeight="1">
      <c r="A15" s="285"/>
      <c r="B15" s="296"/>
      <c r="C15" s="285"/>
      <c r="D15" s="285"/>
      <c r="E15" s="287"/>
      <c r="F15" s="288"/>
      <c r="G15" s="523"/>
      <c r="H15" s="523"/>
      <c r="I15" s="523"/>
      <c r="J15" s="523"/>
      <c r="K15" s="425"/>
      <c r="L15" s="294"/>
      <c r="M15" s="290"/>
      <c r="N15" s="299"/>
      <c r="O15" s="322"/>
      <c r="P15" s="526"/>
      <c r="Q15" s="219"/>
      <c r="R15" s="198"/>
      <c r="S15" s="198"/>
      <c r="T15" s="198"/>
      <c r="U15" s="198"/>
      <c r="V15" s="198"/>
      <c r="W15" s="198"/>
      <c r="X15" s="198"/>
      <c r="Y15" s="198"/>
      <c r="Z15" s="198"/>
    </row>
    <row r="16" ht="76.5" customHeight="1">
      <c r="A16" s="285"/>
      <c r="B16" s="299"/>
      <c r="C16" s="285"/>
      <c r="D16" s="367"/>
      <c r="E16" s="447"/>
      <c r="F16" s="288"/>
      <c r="G16" s="523"/>
      <c r="H16" s="523"/>
      <c r="I16" s="523"/>
      <c r="J16" s="523"/>
      <c r="K16" s="294"/>
      <c r="L16" s="294"/>
      <c r="M16" s="290"/>
      <c r="N16" s="299"/>
      <c r="O16" s="322"/>
      <c r="P16" s="526"/>
      <c r="Q16" s="219"/>
      <c r="R16" s="198"/>
      <c r="S16" s="198"/>
      <c r="T16" s="198"/>
      <c r="U16" s="198"/>
      <c r="V16" s="198"/>
      <c r="W16" s="198"/>
      <c r="X16" s="198"/>
      <c r="Y16" s="198"/>
      <c r="Z16" s="198"/>
    </row>
    <row r="17" ht="90.0" hidden="1" customHeight="1">
      <c r="A17" s="285"/>
      <c r="B17" s="299"/>
      <c r="C17" s="285"/>
      <c r="D17" s="285"/>
      <c r="E17" s="447"/>
      <c r="F17" s="288"/>
      <c r="G17" s="523"/>
      <c r="H17" s="523"/>
      <c r="I17" s="523"/>
      <c r="J17" s="523"/>
      <c r="K17" s="294"/>
      <c r="L17" s="294"/>
      <c r="M17" s="290"/>
      <c r="N17" s="299"/>
      <c r="O17" s="322"/>
      <c r="P17" s="526"/>
      <c r="Q17" s="219"/>
      <c r="R17" s="198"/>
      <c r="S17" s="198"/>
      <c r="T17" s="198"/>
      <c r="U17" s="198"/>
      <c r="V17" s="198"/>
      <c r="W17" s="198"/>
      <c r="X17" s="198"/>
      <c r="Y17" s="198"/>
      <c r="Z17" s="198"/>
    </row>
    <row r="18" ht="90.0" customHeight="1">
      <c r="A18" s="285"/>
      <c r="B18" s="299"/>
      <c r="C18" s="285"/>
      <c r="D18" s="285"/>
      <c r="E18" s="287"/>
      <c r="F18" s="288"/>
      <c r="G18" s="523"/>
      <c r="H18" s="523"/>
      <c r="I18" s="523"/>
      <c r="J18" s="523"/>
      <c r="K18" s="294"/>
      <c r="L18" s="294"/>
      <c r="M18" s="290"/>
      <c r="N18" s="299"/>
      <c r="O18" s="322"/>
      <c r="P18" s="526"/>
      <c r="Q18" s="219"/>
      <c r="R18" s="198"/>
      <c r="S18" s="198"/>
      <c r="T18" s="198"/>
      <c r="U18" s="198"/>
      <c r="V18" s="198"/>
      <c r="W18" s="198"/>
      <c r="X18" s="198"/>
      <c r="Y18" s="198"/>
      <c r="Z18" s="198"/>
    </row>
    <row r="19" ht="90.0" hidden="1" customHeight="1">
      <c r="A19" s="285"/>
      <c r="B19" s="299"/>
      <c r="C19" s="285"/>
      <c r="D19" s="367"/>
      <c r="E19" s="287"/>
      <c r="F19" s="288"/>
      <c r="G19" s="523"/>
      <c r="H19" s="523"/>
      <c r="I19" s="523"/>
      <c r="J19" s="523"/>
      <c r="K19" s="294"/>
      <c r="L19" s="294"/>
      <c r="M19" s="290"/>
      <c r="N19" s="299"/>
      <c r="O19" s="322"/>
      <c r="P19" s="526"/>
      <c r="Q19" s="219"/>
      <c r="R19" s="198"/>
      <c r="S19" s="198"/>
      <c r="T19" s="198"/>
      <c r="U19" s="198"/>
      <c r="V19" s="198"/>
      <c r="W19" s="198"/>
      <c r="X19" s="198"/>
      <c r="Y19" s="198"/>
      <c r="Z19" s="198"/>
    </row>
    <row r="20" ht="79.5" hidden="1" customHeight="1">
      <c r="A20" s="285"/>
      <c r="B20" s="296"/>
      <c r="C20" s="285"/>
      <c r="D20" s="285"/>
      <c r="E20" s="287"/>
      <c r="F20" s="529"/>
      <c r="G20" s="523"/>
      <c r="H20" s="523"/>
      <c r="I20" s="523"/>
      <c r="J20" s="523"/>
      <c r="K20" s="425"/>
      <c r="L20" s="294"/>
      <c r="M20" s="290"/>
      <c r="N20" s="299"/>
      <c r="O20" s="322"/>
      <c r="P20" s="526"/>
      <c r="Q20" s="219"/>
      <c r="R20" s="198"/>
      <c r="S20" s="198"/>
      <c r="T20" s="198"/>
      <c r="U20" s="198"/>
      <c r="V20" s="198"/>
      <c r="W20" s="198"/>
      <c r="X20" s="198"/>
      <c r="Y20" s="198"/>
      <c r="Z20" s="198"/>
    </row>
    <row r="21" ht="79.5" customHeight="1">
      <c r="A21" s="285"/>
      <c r="B21" s="299"/>
      <c r="C21" s="285"/>
      <c r="D21" s="367"/>
      <c r="E21" s="287"/>
      <c r="F21" s="288"/>
      <c r="G21" s="527"/>
      <c r="H21" s="527"/>
      <c r="I21" s="527"/>
      <c r="J21" s="527"/>
      <c r="K21" s="294"/>
      <c r="L21" s="294"/>
      <c r="M21" s="290"/>
      <c r="N21" s="299"/>
      <c r="O21" s="322"/>
      <c r="P21" s="526"/>
      <c r="Q21" s="219"/>
      <c r="R21" s="198"/>
      <c r="S21" s="198"/>
      <c r="T21" s="198"/>
      <c r="U21" s="198"/>
      <c r="V21" s="198"/>
      <c r="W21" s="198"/>
      <c r="X21" s="198"/>
      <c r="Y21" s="198"/>
      <c r="Z21" s="198"/>
    </row>
    <row r="22" ht="75.75" customHeight="1">
      <c r="A22" s="285"/>
      <c r="B22" s="296"/>
      <c r="C22" s="285"/>
      <c r="D22" s="285"/>
      <c r="E22" s="287"/>
      <c r="F22" s="288"/>
      <c r="G22" s="527"/>
      <c r="H22" s="527"/>
      <c r="I22" s="527"/>
      <c r="J22" s="528"/>
      <c r="K22" s="425"/>
      <c r="L22" s="294"/>
      <c r="M22" s="290"/>
      <c r="N22" s="299"/>
      <c r="O22" s="322"/>
      <c r="P22" s="526"/>
      <c r="Q22" s="219"/>
      <c r="R22" s="198"/>
      <c r="S22" s="198"/>
      <c r="T22" s="198"/>
      <c r="U22" s="198"/>
      <c r="V22" s="198"/>
      <c r="W22" s="198"/>
      <c r="X22" s="198"/>
      <c r="Y22" s="198"/>
      <c r="Z22" s="198"/>
    </row>
    <row r="23" ht="81.75" customHeight="1">
      <c r="A23" s="285"/>
      <c r="B23" s="299"/>
      <c r="C23" s="285"/>
      <c r="D23" s="285"/>
      <c r="E23" s="287"/>
      <c r="F23" s="288"/>
      <c r="G23" s="527"/>
      <c r="H23" s="527"/>
      <c r="I23" s="527"/>
      <c r="J23" s="528"/>
      <c r="K23" s="294"/>
      <c r="L23" s="294"/>
      <c r="M23" s="290"/>
      <c r="N23" s="299"/>
      <c r="O23" s="322"/>
      <c r="P23" s="526"/>
      <c r="Q23" s="219"/>
      <c r="R23" s="198"/>
      <c r="S23" s="198"/>
      <c r="T23" s="198"/>
      <c r="U23" s="198"/>
      <c r="V23" s="198"/>
      <c r="W23" s="198"/>
      <c r="X23" s="198"/>
      <c r="Y23" s="198"/>
      <c r="Z23" s="198"/>
    </row>
    <row r="24" ht="81.75" customHeight="1">
      <c r="A24" s="285"/>
      <c r="B24" s="299"/>
      <c r="C24" s="285"/>
      <c r="D24" s="367"/>
      <c r="E24" s="287"/>
      <c r="F24" s="288"/>
      <c r="G24" s="523"/>
      <c r="H24" s="523"/>
      <c r="I24" s="523"/>
      <c r="J24" s="377"/>
      <c r="K24" s="294"/>
      <c r="L24" s="294"/>
      <c r="M24" s="290"/>
      <c r="N24" s="299"/>
      <c r="O24" s="322"/>
      <c r="P24" s="526"/>
      <c r="Q24" s="219"/>
      <c r="R24" s="198"/>
      <c r="S24" s="198"/>
      <c r="T24" s="198"/>
      <c r="U24" s="198"/>
      <c r="V24" s="198"/>
      <c r="W24" s="198"/>
      <c r="X24" s="198"/>
      <c r="Y24" s="198"/>
      <c r="Z24" s="198"/>
    </row>
    <row r="25" ht="81.75" customHeight="1">
      <c r="A25" s="285"/>
      <c r="B25" s="299"/>
      <c r="C25" s="285"/>
      <c r="D25" s="367"/>
      <c r="E25" s="287"/>
      <c r="F25" s="288"/>
      <c r="G25" s="527"/>
      <c r="H25" s="527"/>
      <c r="I25" s="527"/>
      <c r="J25" s="528"/>
      <c r="K25" s="294"/>
      <c r="L25" s="294"/>
      <c r="M25" s="290"/>
      <c r="N25" s="299"/>
      <c r="O25" s="322"/>
      <c r="P25" s="526"/>
      <c r="Q25" s="219"/>
      <c r="R25" s="198"/>
      <c r="S25" s="198"/>
      <c r="T25" s="198"/>
      <c r="U25" s="198"/>
      <c r="V25" s="198"/>
      <c r="W25" s="198"/>
      <c r="X25" s="198"/>
      <c r="Y25" s="198"/>
      <c r="Z25" s="198"/>
    </row>
    <row r="26" ht="81.75" customHeight="1">
      <c r="A26" s="530"/>
      <c r="B26" s="299"/>
      <c r="C26" s="285"/>
      <c r="D26" s="367"/>
      <c r="E26" s="287"/>
      <c r="F26" s="288"/>
      <c r="G26" s="523"/>
      <c r="H26" s="523"/>
      <c r="I26" s="523"/>
      <c r="J26" s="377"/>
      <c r="K26" s="294"/>
      <c r="L26" s="294"/>
      <c r="M26" s="290"/>
      <c r="N26" s="299"/>
      <c r="O26" s="322"/>
      <c r="P26" s="526"/>
      <c r="Q26" s="219"/>
      <c r="R26" s="198"/>
      <c r="S26" s="198"/>
      <c r="T26" s="198"/>
      <c r="U26" s="198"/>
      <c r="V26" s="198"/>
      <c r="W26" s="198"/>
      <c r="X26" s="198"/>
      <c r="Y26" s="198"/>
      <c r="Z26" s="198"/>
    </row>
    <row r="27" ht="81.75" customHeight="1">
      <c r="A27" s="530"/>
      <c r="B27" s="299"/>
      <c r="C27" s="285"/>
      <c r="D27" s="367"/>
      <c r="E27" s="287"/>
      <c r="F27" s="288"/>
      <c r="G27" s="523"/>
      <c r="H27" s="523"/>
      <c r="I27" s="523"/>
      <c r="J27" s="523"/>
      <c r="K27" s="294"/>
      <c r="L27" s="294"/>
      <c r="M27" s="290"/>
      <c r="N27" s="299"/>
      <c r="O27" s="322"/>
      <c r="P27" s="526"/>
      <c r="Q27" s="219"/>
      <c r="R27" s="198"/>
      <c r="S27" s="198"/>
      <c r="T27" s="198"/>
      <c r="U27" s="198"/>
      <c r="V27" s="198"/>
      <c r="W27" s="198"/>
      <c r="X27" s="198"/>
      <c r="Y27" s="198"/>
      <c r="Z27" s="198"/>
    </row>
    <row r="28" ht="86.25" hidden="1" customHeight="1">
      <c r="A28" s="530"/>
      <c r="B28" s="299"/>
      <c r="C28" s="285"/>
      <c r="D28" s="367"/>
      <c r="E28" s="287"/>
      <c r="F28" s="288"/>
      <c r="G28" s="523"/>
      <c r="H28" s="523"/>
      <c r="I28" s="523"/>
      <c r="J28" s="523"/>
      <c r="K28" s="294"/>
      <c r="L28" s="294"/>
      <c r="M28" s="290"/>
      <c r="N28" s="299"/>
      <c r="O28" s="322"/>
      <c r="P28" s="526"/>
      <c r="Q28" s="219"/>
      <c r="R28" s="198"/>
      <c r="S28" s="198"/>
      <c r="T28" s="198"/>
      <c r="U28" s="198"/>
      <c r="V28" s="198"/>
      <c r="W28" s="198"/>
      <c r="X28" s="198"/>
      <c r="Y28" s="198"/>
      <c r="Z28" s="198"/>
    </row>
    <row r="29" ht="86.25" hidden="1" customHeight="1">
      <c r="A29" s="530"/>
      <c r="B29" s="296"/>
      <c r="C29" s="285"/>
      <c r="D29" s="285"/>
      <c r="E29" s="287"/>
      <c r="F29" s="288"/>
      <c r="G29" s="523"/>
      <c r="H29" s="523"/>
      <c r="I29" s="523"/>
      <c r="J29" s="523"/>
      <c r="K29" s="425"/>
      <c r="L29" s="294"/>
      <c r="M29" s="290"/>
      <c r="N29" s="299"/>
      <c r="O29" s="322"/>
      <c r="P29" s="526"/>
      <c r="Q29" s="219"/>
      <c r="R29" s="198"/>
      <c r="S29" s="198"/>
      <c r="T29" s="198"/>
      <c r="U29" s="198"/>
      <c r="V29" s="198"/>
      <c r="W29" s="198"/>
      <c r="X29" s="198"/>
      <c r="Y29" s="198"/>
      <c r="Z29" s="198"/>
    </row>
    <row r="30" ht="81.75" hidden="1" customHeight="1">
      <c r="A30" s="530"/>
      <c r="B30" s="296"/>
      <c r="C30" s="285"/>
      <c r="D30" s="285"/>
      <c r="E30" s="287"/>
      <c r="F30" s="529"/>
      <c r="G30" s="523"/>
      <c r="H30" s="523"/>
      <c r="I30" s="523"/>
      <c r="J30" s="523"/>
      <c r="K30" s="425"/>
      <c r="L30" s="294"/>
      <c r="M30" s="290"/>
      <c r="N30" s="299"/>
      <c r="O30" s="322"/>
      <c r="P30" s="526"/>
      <c r="Q30" s="219"/>
      <c r="R30" s="198"/>
      <c r="S30" s="198"/>
      <c r="T30" s="198"/>
      <c r="U30" s="198"/>
      <c r="V30" s="198"/>
      <c r="W30" s="198"/>
      <c r="X30" s="198"/>
      <c r="Y30" s="198"/>
      <c r="Z30" s="198"/>
    </row>
    <row r="31" ht="81.75" hidden="1" customHeight="1">
      <c r="A31" s="530"/>
      <c r="B31" s="299"/>
      <c r="C31" s="285"/>
      <c r="D31" s="285"/>
      <c r="E31" s="287"/>
      <c r="F31" s="288"/>
      <c r="G31" s="523"/>
      <c r="H31" s="523"/>
      <c r="I31" s="523"/>
      <c r="J31" s="523"/>
      <c r="K31" s="294"/>
      <c r="L31" s="294"/>
      <c r="M31" s="290"/>
      <c r="N31" s="299"/>
      <c r="O31" s="322"/>
      <c r="P31" s="526"/>
      <c r="Q31" s="219"/>
      <c r="R31" s="198"/>
      <c r="S31" s="198"/>
      <c r="T31" s="198"/>
      <c r="U31" s="198"/>
      <c r="V31" s="198"/>
      <c r="W31" s="198"/>
      <c r="X31" s="198"/>
      <c r="Y31" s="198"/>
      <c r="Z31" s="198"/>
    </row>
    <row r="32" ht="81.75" hidden="1" customHeight="1">
      <c r="A32" s="530"/>
      <c r="B32" s="299"/>
      <c r="C32" s="285"/>
      <c r="D32" s="367"/>
      <c r="E32" s="287"/>
      <c r="F32" s="288"/>
      <c r="G32" s="527"/>
      <c r="H32" s="527"/>
      <c r="I32" s="527"/>
      <c r="J32" s="527"/>
      <c r="K32" s="294"/>
      <c r="L32" s="294"/>
      <c r="M32" s="290"/>
      <c r="N32" s="299"/>
      <c r="O32" s="322"/>
      <c r="P32" s="526"/>
      <c r="Q32" s="219"/>
      <c r="R32" s="198"/>
      <c r="S32" s="198"/>
      <c r="T32" s="198"/>
      <c r="U32" s="198"/>
      <c r="V32" s="198"/>
      <c r="W32" s="198"/>
      <c r="X32" s="198"/>
      <c r="Y32" s="198"/>
      <c r="Z32" s="198"/>
    </row>
    <row r="33" ht="81.75" customHeight="1">
      <c r="A33" s="530"/>
      <c r="B33" s="299"/>
      <c r="C33" s="285"/>
      <c r="D33" s="367"/>
      <c r="E33" s="287"/>
      <c r="F33" s="288"/>
      <c r="G33" s="527"/>
      <c r="H33" s="527"/>
      <c r="I33" s="527"/>
      <c r="J33" s="527"/>
      <c r="K33" s="294"/>
      <c r="L33" s="294"/>
      <c r="M33" s="290"/>
      <c r="N33" s="299"/>
      <c r="O33" s="322"/>
      <c r="P33" s="526"/>
      <c r="Q33" s="219"/>
      <c r="R33" s="198"/>
      <c r="S33" s="198"/>
      <c r="T33" s="198"/>
      <c r="U33" s="198"/>
      <c r="V33" s="198"/>
      <c r="W33" s="198"/>
      <c r="X33" s="198"/>
      <c r="Y33" s="198"/>
      <c r="Z33" s="198"/>
    </row>
    <row r="34" ht="83.25" customHeight="1">
      <c r="A34" s="530"/>
      <c r="B34" s="299"/>
      <c r="C34" s="285"/>
      <c r="D34" s="367"/>
      <c r="E34" s="287"/>
      <c r="F34" s="288"/>
      <c r="G34" s="523"/>
      <c r="H34" s="523"/>
      <c r="I34" s="523"/>
      <c r="J34" s="523"/>
      <c r="K34" s="294"/>
      <c r="L34" s="294"/>
      <c r="M34" s="290"/>
      <c r="N34" s="299"/>
      <c r="O34" s="322"/>
      <c r="P34" s="526"/>
      <c r="Q34" s="219"/>
      <c r="R34" s="198"/>
      <c r="S34" s="198"/>
      <c r="T34" s="198"/>
      <c r="U34" s="198"/>
      <c r="V34" s="198"/>
      <c r="W34" s="198"/>
      <c r="X34" s="198"/>
      <c r="Y34" s="198"/>
      <c r="Z34" s="198"/>
    </row>
    <row r="35" ht="93.0" customHeight="1">
      <c r="A35" s="530"/>
      <c r="B35" s="299"/>
      <c r="C35" s="531"/>
      <c r="D35" s="531"/>
      <c r="E35" s="287"/>
      <c r="F35" s="529"/>
      <c r="G35" s="288"/>
      <c r="H35" s="288"/>
      <c r="I35" s="532"/>
      <c r="J35" s="532"/>
      <c r="K35" s="294"/>
      <c r="L35" s="294"/>
      <c r="M35" s="290"/>
      <c r="N35" s="299"/>
      <c r="O35" s="322"/>
      <c r="P35" s="526"/>
      <c r="Q35" s="219"/>
      <c r="R35" s="198"/>
      <c r="S35" s="198"/>
      <c r="T35" s="198"/>
      <c r="U35" s="198"/>
      <c r="V35" s="198"/>
      <c r="W35" s="198"/>
      <c r="X35" s="198"/>
      <c r="Y35" s="198"/>
      <c r="Z35" s="198"/>
    </row>
    <row r="36" ht="81.75" customHeight="1">
      <c r="A36" s="530"/>
      <c r="B36" s="299"/>
      <c r="C36" s="285"/>
      <c r="D36" s="285"/>
      <c r="E36" s="287"/>
      <c r="F36" s="288"/>
      <c r="G36" s="523"/>
      <c r="H36" s="523"/>
      <c r="I36" s="523"/>
      <c r="J36" s="523"/>
      <c r="K36" s="294"/>
      <c r="L36" s="294"/>
      <c r="M36" s="290"/>
      <c r="N36" s="299"/>
      <c r="O36" s="322"/>
      <c r="P36" s="526"/>
      <c r="Q36" s="219"/>
      <c r="R36" s="198"/>
      <c r="S36" s="198"/>
      <c r="T36" s="198"/>
      <c r="U36" s="198"/>
      <c r="V36" s="198"/>
      <c r="W36" s="198"/>
      <c r="X36" s="198"/>
      <c r="Y36" s="198"/>
      <c r="Z36" s="198"/>
    </row>
    <row r="37" ht="95.25" customHeight="1">
      <c r="A37" s="530"/>
      <c r="B37" s="299"/>
      <c r="C37" s="285"/>
      <c r="D37" s="367"/>
      <c r="E37" s="287"/>
      <c r="F37" s="288"/>
      <c r="G37" s="523"/>
      <c r="H37" s="523"/>
      <c r="I37" s="523"/>
      <c r="J37" s="523"/>
      <c r="K37" s="294"/>
      <c r="L37" s="294"/>
      <c r="M37" s="290"/>
      <c r="N37" s="299"/>
      <c r="O37" s="322"/>
      <c r="P37" s="526"/>
      <c r="Q37" s="219"/>
      <c r="R37" s="198"/>
      <c r="S37" s="198"/>
      <c r="T37" s="198"/>
      <c r="U37" s="198"/>
      <c r="V37" s="198"/>
      <c r="W37" s="198"/>
      <c r="X37" s="198"/>
      <c r="Y37" s="198"/>
      <c r="Z37" s="198"/>
    </row>
    <row r="38" ht="81.75" hidden="1" customHeight="1">
      <c r="A38" s="530"/>
      <c r="B38" s="299"/>
      <c r="C38" s="285"/>
      <c r="D38" s="367"/>
      <c r="E38" s="287"/>
      <c r="F38" s="529"/>
      <c r="G38" s="523"/>
      <c r="H38" s="523"/>
      <c r="I38" s="523"/>
      <c r="J38" s="523"/>
      <c r="K38" s="294"/>
      <c r="L38" s="294"/>
      <c r="M38" s="290"/>
      <c r="N38" s="299"/>
      <c r="O38" s="322"/>
      <c r="P38" s="526"/>
      <c r="Q38" s="219"/>
      <c r="R38" s="198"/>
      <c r="S38" s="198"/>
      <c r="T38" s="198"/>
      <c r="U38" s="198"/>
      <c r="V38" s="198"/>
      <c r="W38" s="198"/>
      <c r="X38" s="198"/>
      <c r="Y38" s="198"/>
      <c r="Z38" s="198"/>
    </row>
    <row r="39" ht="81.75" customHeight="1">
      <c r="A39" s="530"/>
      <c r="B39" s="299"/>
      <c r="C39" s="285"/>
      <c r="D39" s="367"/>
      <c r="E39" s="287"/>
      <c r="F39" s="288"/>
      <c r="G39" s="523"/>
      <c r="H39" s="523"/>
      <c r="I39" s="523"/>
      <c r="J39" s="523"/>
      <c r="K39" s="294"/>
      <c r="L39" s="294"/>
      <c r="M39" s="290"/>
      <c r="N39" s="299"/>
      <c r="O39" s="322"/>
      <c r="P39" s="526"/>
      <c r="Q39" s="219"/>
      <c r="R39" s="198"/>
      <c r="S39" s="198"/>
      <c r="T39" s="198"/>
      <c r="U39" s="198"/>
      <c r="V39" s="198"/>
      <c r="W39" s="198"/>
      <c r="X39" s="198"/>
      <c r="Y39" s="198"/>
      <c r="Z39" s="198"/>
    </row>
    <row r="40" ht="81.75" customHeight="1">
      <c r="A40" s="530"/>
      <c r="B40" s="299"/>
      <c r="C40" s="285"/>
      <c r="D40" s="367"/>
      <c r="E40" s="287"/>
      <c r="F40" s="288"/>
      <c r="G40" s="523"/>
      <c r="H40" s="523"/>
      <c r="I40" s="523"/>
      <c r="J40" s="523"/>
      <c r="K40" s="294"/>
      <c r="L40" s="294"/>
      <c r="M40" s="290"/>
      <c r="N40" s="299"/>
      <c r="O40" s="322"/>
      <c r="P40" s="526"/>
      <c r="Q40" s="219"/>
      <c r="R40" s="198"/>
      <c r="S40" s="198"/>
      <c r="T40" s="198"/>
      <c r="U40" s="198"/>
      <c r="V40" s="198"/>
      <c r="W40" s="198"/>
      <c r="X40" s="198"/>
      <c r="Y40" s="198"/>
      <c r="Z40" s="198"/>
    </row>
    <row r="41" ht="81.75" customHeight="1">
      <c r="A41" s="530"/>
      <c r="B41" s="299"/>
      <c r="C41" s="285"/>
      <c r="D41" s="367"/>
      <c r="E41" s="287"/>
      <c r="F41" s="288"/>
      <c r="G41" s="533"/>
      <c r="H41" s="533"/>
      <c r="I41" s="527"/>
      <c r="J41" s="527"/>
      <c r="K41" s="294"/>
      <c r="L41" s="294"/>
      <c r="M41" s="290"/>
      <c r="N41" s="299"/>
      <c r="O41" s="322"/>
      <c r="P41" s="526"/>
      <c r="Q41" s="219"/>
      <c r="R41" s="198"/>
      <c r="S41" s="198"/>
      <c r="T41" s="198"/>
      <c r="U41" s="198"/>
      <c r="V41" s="198"/>
      <c r="W41" s="198"/>
      <c r="X41" s="198"/>
      <c r="Y41" s="198"/>
      <c r="Z41" s="198"/>
    </row>
    <row r="42" ht="81.75" customHeight="1">
      <c r="A42" s="530"/>
      <c r="B42" s="299"/>
      <c r="C42" s="285"/>
      <c r="D42" s="285"/>
      <c r="E42" s="287"/>
      <c r="F42" s="288"/>
      <c r="G42" s="523"/>
      <c r="H42" s="523"/>
      <c r="I42" s="523"/>
      <c r="J42" s="523"/>
      <c r="K42" s="294"/>
      <c r="L42" s="294"/>
      <c r="M42" s="290"/>
      <c r="N42" s="299"/>
      <c r="O42" s="322"/>
      <c r="P42" s="526"/>
      <c r="Q42" s="219"/>
      <c r="R42" s="198"/>
      <c r="S42" s="198"/>
      <c r="T42" s="198"/>
      <c r="U42" s="198"/>
      <c r="V42" s="198"/>
      <c r="W42" s="198"/>
      <c r="X42" s="198"/>
      <c r="Y42" s="198"/>
      <c r="Z42" s="198"/>
    </row>
    <row r="43" ht="81.75" customHeight="1">
      <c r="A43" s="530"/>
      <c r="B43" s="299"/>
      <c r="C43" s="285"/>
      <c r="D43" s="367"/>
      <c r="E43" s="287"/>
      <c r="F43" s="288"/>
      <c r="G43" s="288"/>
      <c r="H43" s="288"/>
      <c r="I43" s="523"/>
      <c r="J43" s="377"/>
      <c r="K43" s="294"/>
      <c r="L43" s="294"/>
      <c r="M43" s="290"/>
      <c r="N43" s="299"/>
      <c r="O43" s="322"/>
      <c r="P43" s="526"/>
      <c r="Q43" s="219"/>
      <c r="R43" s="198"/>
      <c r="S43" s="198"/>
      <c r="T43" s="198"/>
      <c r="U43" s="198"/>
      <c r="V43" s="198"/>
      <c r="W43" s="198"/>
      <c r="X43" s="198"/>
      <c r="Y43" s="198"/>
      <c r="Z43" s="198"/>
    </row>
    <row r="44" ht="81.75" hidden="1" customHeight="1">
      <c r="A44" s="299"/>
      <c r="B44" s="299"/>
      <c r="C44" s="285"/>
      <c r="D44" s="367"/>
      <c r="E44" s="287"/>
      <c r="F44" s="288"/>
      <c r="G44" s="533"/>
      <c r="H44" s="533"/>
      <c r="I44" s="527"/>
      <c r="J44" s="527"/>
      <c r="K44" s="294"/>
      <c r="L44" s="294"/>
      <c r="M44" s="290"/>
      <c r="N44" s="299"/>
      <c r="O44" s="322"/>
      <c r="P44" s="300"/>
      <c r="Q44" s="219"/>
      <c r="R44" s="198"/>
      <c r="S44" s="198"/>
      <c r="T44" s="198"/>
      <c r="U44" s="198"/>
      <c r="V44" s="198"/>
      <c r="W44" s="198"/>
      <c r="X44" s="198"/>
      <c r="Y44" s="198"/>
      <c r="Z44" s="198"/>
    </row>
    <row r="45" ht="81.75" customHeight="1">
      <c r="A45" s="530"/>
      <c r="B45" s="299"/>
      <c r="C45" s="285"/>
      <c r="D45" s="285"/>
      <c r="E45" s="287"/>
      <c r="F45" s="529"/>
      <c r="G45" s="534"/>
      <c r="H45" s="523"/>
      <c r="I45" s="523"/>
      <c r="J45" s="523"/>
      <c r="K45" s="294"/>
      <c r="L45" s="294"/>
      <c r="M45" s="290"/>
      <c r="N45" s="299"/>
      <c r="O45" s="322"/>
      <c r="P45" s="526"/>
      <c r="Q45" s="219"/>
      <c r="R45" s="198"/>
      <c r="S45" s="198"/>
      <c r="T45" s="198"/>
      <c r="U45" s="198"/>
      <c r="V45" s="198"/>
      <c r="W45" s="198"/>
      <c r="X45" s="198"/>
      <c r="Y45" s="198"/>
      <c r="Z45" s="198"/>
    </row>
    <row r="46" ht="81.75" customHeight="1">
      <c r="A46" s="530"/>
      <c r="B46" s="296"/>
      <c r="C46" s="285"/>
      <c r="D46" s="285"/>
      <c r="E46" s="287"/>
      <c r="F46" s="288"/>
      <c r="G46" s="288"/>
      <c r="H46" s="288"/>
      <c r="I46" s="523"/>
      <c r="J46" s="523"/>
      <c r="K46" s="425"/>
      <c r="L46" s="294"/>
      <c r="M46" s="290"/>
      <c r="N46" s="299"/>
      <c r="O46" s="322"/>
      <c r="P46" s="526"/>
      <c r="Q46" s="219"/>
      <c r="R46" s="198"/>
      <c r="S46" s="198"/>
      <c r="T46" s="198"/>
      <c r="U46" s="198"/>
      <c r="V46" s="198"/>
      <c r="W46" s="198"/>
      <c r="X46" s="198"/>
      <c r="Y46" s="198"/>
      <c r="Z46" s="198"/>
    </row>
    <row r="47" ht="81.75" customHeight="1">
      <c r="A47" s="530"/>
      <c r="B47" s="296"/>
      <c r="C47" s="285"/>
      <c r="D47" s="285"/>
      <c r="E47" s="287"/>
      <c r="F47" s="288"/>
      <c r="G47" s="288"/>
      <c r="H47" s="288"/>
      <c r="I47" s="523"/>
      <c r="J47" s="523"/>
      <c r="K47" s="425"/>
      <c r="L47" s="294"/>
      <c r="M47" s="290"/>
      <c r="N47" s="299"/>
      <c r="O47" s="322"/>
      <c r="P47" s="526"/>
      <c r="Q47" s="219"/>
      <c r="R47" s="198"/>
      <c r="S47" s="198"/>
      <c r="T47" s="198"/>
      <c r="U47" s="198"/>
      <c r="V47" s="198"/>
      <c r="W47" s="198"/>
      <c r="X47" s="198"/>
      <c r="Y47" s="198"/>
      <c r="Z47" s="198"/>
    </row>
    <row r="48" ht="81.75" hidden="1" customHeight="1">
      <c r="A48" s="530"/>
      <c r="B48" s="296"/>
      <c r="C48" s="285"/>
      <c r="D48" s="285"/>
      <c r="E48" s="287"/>
      <c r="F48" s="288"/>
      <c r="G48" s="288"/>
      <c r="H48" s="288"/>
      <c r="I48" s="523"/>
      <c r="J48" s="523"/>
      <c r="K48" s="425"/>
      <c r="L48" s="294"/>
      <c r="M48" s="290"/>
      <c r="N48" s="299"/>
      <c r="O48" s="322"/>
      <c r="P48" s="526"/>
      <c r="Q48" s="219"/>
      <c r="R48" s="198"/>
      <c r="S48" s="198"/>
      <c r="T48" s="198"/>
      <c r="U48" s="198"/>
      <c r="V48" s="198"/>
      <c r="W48" s="198"/>
      <c r="X48" s="198"/>
      <c r="Y48" s="198"/>
      <c r="Z48" s="198"/>
    </row>
    <row r="49" ht="81.75" customHeight="1">
      <c r="A49" s="530"/>
      <c r="B49" s="299"/>
      <c r="C49" s="285"/>
      <c r="D49" s="367"/>
      <c r="E49" s="287"/>
      <c r="F49" s="288"/>
      <c r="G49" s="288"/>
      <c r="H49" s="288"/>
      <c r="I49" s="523"/>
      <c r="J49" s="523"/>
      <c r="K49" s="294"/>
      <c r="L49" s="294"/>
      <c r="M49" s="290"/>
      <c r="N49" s="299"/>
      <c r="O49" s="322"/>
      <c r="P49" s="526"/>
      <c r="Q49" s="219"/>
      <c r="R49" s="198"/>
      <c r="S49" s="198"/>
      <c r="T49" s="198"/>
      <c r="U49" s="198"/>
      <c r="V49" s="198"/>
      <c r="W49" s="198"/>
      <c r="X49" s="198"/>
      <c r="Y49" s="198"/>
      <c r="Z49" s="198"/>
    </row>
    <row r="50" ht="91.5" customHeight="1">
      <c r="A50" s="530"/>
      <c r="B50" s="299"/>
      <c r="C50" s="285"/>
      <c r="D50" s="285"/>
      <c r="E50" s="287"/>
      <c r="F50" s="288"/>
      <c r="G50" s="288"/>
      <c r="H50" s="288"/>
      <c r="I50" s="523"/>
      <c r="J50" s="535"/>
      <c r="K50" s="294"/>
      <c r="L50" s="294"/>
      <c r="M50" s="290"/>
      <c r="N50" s="299"/>
      <c r="O50" s="322"/>
      <c r="P50" s="526"/>
      <c r="Q50" s="219"/>
      <c r="R50" s="198"/>
      <c r="S50" s="198"/>
      <c r="T50" s="198"/>
      <c r="U50" s="198"/>
      <c r="V50" s="198"/>
      <c r="W50" s="198"/>
      <c r="X50" s="198"/>
      <c r="Y50" s="198"/>
      <c r="Z50" s="198"/>
    </row>
    <row r="51" ht="81.75" customHeight="1">
      <c r="A51" s="299"/>
      <c r="B51" s="299"/>
      <c r="C51" s="285"/>
      <c r="D51" s="285"/>
      <c r="E51" s="287"/>
      <c r="F51" s="288"/>
      <c r="G51" s="288"/>
      <c r="H51" s="288"/>
      <c r="I51" s="523"/>
      <c r="J51" s="535"/>
      <c r="K51" s="294"/>
      <c r="L51" s="294"/>
      <c r="M51" s="290"/>
      <c r="N51" s="299"/>
      <c r="O51" s="322"/>
      <c r="P51" s="300"/>
      <c r="Q51" s="219"/>
      <c r="R51" s="198"/>
      <c r="S51" s="198"/>
      <c r="T51" s="198"/>
      <c r="U51" s="198"/>
      <c r="V51" s="198"/>
      <c r="W51" s="198"/>
      <c r="X51" s="198"/>
      <c r="Y51" s="198"/>
      <c r="Z51" s="198"/>
    </row>
    <row r="52" ht="81.75" customHeight="1">
      <c r="A52" s="299"/>
      <c r="B52" s="299"/>
      <c r="C52" s="285"/>
      <c r="D52" s="367"/>
      <c r="E52" s="287"/>
      <c r="F52" s="288"/>
      <c r="G52" s="288"/>
      <c r="H52" s="288"/>
      <c r="I52" s="288"/>
      <c r="J52" s="288"/>
      <c r="K52" s="294"/>
      <c r="L52" s="294"/>
      <c r="M52" s="290"/>
      <c r="N52" s="299"/>
      <c r="O52" s="322"/>
      <c r="P52" s="300"/>
      <c r="Q52" s="219"/>
      <c r="R52" s="198"/>
      <c r="S52" s="198"/>
      <c r="T52" s="198"/>
      <c r="U52" s="198"/>
      <c r="V52" s="198"/>
      <c r="W52" s="198"/>
      <c r="X52" s="198"/>
      <c r="Y52" s="198"/>
      <c r="Z52" s="198"/>
    </row>
    <row r="53" ht="75.75" hidden="1" customHeight="1">
      <c r="A53" s="299"/>
      <c r="B53" s="299"/>
      <c r="C53" s="285"/>
      <c r="D53" s="367"/>
      <c r="E53" s="287"/>
      <c r="F53" s="288"/>
      <c r="G53" s="288"/>
      <c r="H53" s="288"/>
      <c r="I53" s="288"/>
      <c r="J53" s="288"/>
      <c r="K53" s="294"/>
      <c r="L53" s="294"/>
      <c r="M53" s="290"/>
      <c r="N53" s="299"/>
      <c r="O53" s="322"/>
      <c r="P53" s="300"/>
      <c r="Q53" s="219"/>
      <c r="R53" s="198"/>
      <c r="S53" s="198"/>
      <c r="T53" s="198"/>
      <c r="U53" s="198"/>
      <c r="V53" s="198"/>
      <c r="W53" s="198"/>
      <c r="X53" s="198"/>
      <c r="Y53" s="198"/>
      <c r="Z53" s="198"/>
    </row>
    <row r="54" ht="81.75" hidden="1" customHeight="1">
      <c r="A54" s="299"/>
      <c r="B54" s="296"/>
      <c r="C54" s="285"/>
      <c r="D54" s="285"/>
      <c r="E54" s="287"/>
      <c r="F54" s="288"/>
      <c r="G54" s="288"/>
      <c r="H54" s="288"/>
      <c r="I54" s="523"/>
      <c r="J54" s="535"/>
      <c r="K54" s="451"/>
      <c r="L54" s="294"/>
      <c r="M54" s="290"/>
      <c r="N54" s="299"/>
      <c r="O54" s="322"/>
      <c r="P54" s="300"/>
      <c r="Q54" s="219"/>
      <c r="R54" s="198"/>
      <c r="S54" s="198"/>
      <c r="T54" s="198"/>
      <c r="U54" s="198"/>
      <c r="V54" s="198"/>
      <c r="W54" s="198"/>
      <c r="X54" s="198"/>
      <c r="Y54" s="198"/>
      <c r="Z54" s="198"/>
    </row>
    <row r="55" ht="72.75" customHeight="1">
      <c r="A55" s="299"/>
      <c r="B55" s="296"/>
      <c r="C55" s="285"/>
      <c r="D55" s="285"/>
      <c r="E55" s="287"/>
      <c r="F55" s="288"/>
      <c r="G55" s="288"/>
      <c r="H55" s="288"/>
      <c r="I55" s="288"/>
      <c r="J55" s="288"/>
      <c r="K55" s="536"/>
      <c r="L55" s="294"/>
      <c r="M55" s="290"/>
      <c r="N55" s="299"/>
      <c r="O55" s="322"/>
      <c r="P55" s="300"/>
      <c r="Q55" s="219"/>
      <c r="R55" s="198"/>
      <c r="S55" s="198"/>
      <c r="T55" s="198"/>
      <c r="U55" s="198"/>
      <c r="V55" s="198"/>
      <c r="W55" s="198"/>
      <c r="X55" s="198"/>
      <c r="Y55" s="198"/>
      <c r="Z55" s="198"/>
    </row>
    <row r="56" ht="69.75" customHeight="1">
      <c r="A56" s="299"/>
      <c r="B56" s="296"/>
      <c r="C56" s="285"/>
      <c r="D56" s="285"/>
      <c r="E56" s="287"/>
      <c r="F56" s="288"/>
      <c r="G56" s="288"/>
      <c r="H56" s="288"/>
      <c r="I56" s="288"/>
      <c r="J56" s="288"/>
      <c r="K56" s="536"/>
      <c r="L56" s="294"/>
      <c r="M56" s="290"/>
      <c r="N56" s="299"/>
      <c r="O56" s="322"/>
      <c r="P56" s="300"/>
      <c r="Q56" s="219"/>
      <c r="R56" s="198"/>
      <c r="S56" s="198"/>
      <c r="T56" s="198"/>
      <c r="U56" s="198"/>
      <c r="V56" s="198"/>
      <c r="W56" s="198"/>
      <c r="X56" s="198"/>
      <c r="Y56" s="198"/>
      <c r="Z56" s="198"/>
    </row>
    <row r="57" ht="69.75" hidden="1" customHeight="1">
      <c r="A57" s="299"/>
      <c r="B57" s="299"/>
      <c r="C57" s="285"/>
      <c r="D57" s="285"/>
      <c r="E57" s="287"/>
      <c r="F57" s="288"/>
      <c r="G57" s="288"/>
      <c r="H57" s="288"/>
      <c r="I57" s="288"/>
      <c r="J57" s="288"/>
      <c r="K57" s="294"/>
      <c r="L57" s="294"/>
      <c r="M57" s="290"/>
      <c r="N57" s="299"/>
      <c r="O57" s="322"/>
      <c r="P57" s="300"/>
      <c r="Q57" s="219"/>
      <c r="R57" s="198"/>
      <c r="S57" s="198"/>
      <c r="T57" s="198"/>
      <c r="U57" s="198"/>
      <c r="V57" s="198"/>
      <c r="W57" s="198"/>
      <c r="X57" s="198"/>
      <c r="Y57" s="198"/>
      <c r="Z57" s="198"/>
    </row>
    <row r="58" ht="67.5" hidden="1" customHeight="1">
      <c r="A58" s="299"/>
      <c r="B58" s="299"/>
      <c r="C58" s="285"/>
      <c r="D58" s="367"/>
      <c r="E58" s="287"/>
      <c r="F58" s="288"/>
      <c r="G58" s="288"/>
      <c r="H58" s="288"/>
      <c r="I58" s="288"/>
      <c r="J58" s="288"/>
      <c r="K58" s="294"/>
      <c r="L58" s="294"/>
      <c r="M58" s="290"/>
      <c r="N58" s="299"/>
      <c r="O58" s="322"/>
      <c r="P58" s="300"/>
      <c r="Q58" s="219"/>
      <c r="R58" s="198"/>
      <c r="S58" s="198"/>
      <c r="T58" s="198"/>
      <c r="U58" s="198"/>
      <c r="V58" s="198"/>
      <c r="W58" s="198"/>
      <c r="X58" s="198"/>
      <c r="Y58" s="198"/>
      <c r="Z58" s="198"/>
    </row>
    <row r="59" ht="71.25" hidden="1" customHeight="1">
      <c r="A59" s="299"/>
      <c r="B59" s="299"/>
      <c r="C59" s="285"/>
      <c r="D59" s="367"/>
      <c r="E59" s="287"/>
      <c r="F59" s="288"/>
      <c r="G59" s="288"/>
      <c r="H59" s="288"/>
      <c r="I59" s="288"/>
      <c r="J59" s="288"/>
      <c r="K59" s="294"/>
      <c r="L59" s="294"/>
      <c r="M59" s="290"/>
      <c r="N59" s="299"/>
      <c r="O59" s="322"/>
      <c r="P59" s="300"/>
      <c r="Q59" s="219"/>
      <c r="R59" s="198"/>
      <c r="S59" s="198"/>
      <c r="T59" s="198"/>
      <c r="U59" s="198"/>
      <c r="V59" s="198"/>
      <c r="W59" s="198"/>
      <c r="X59" s="198"/>
      <c r="Y59" s="198"/>
      <c r="Z59" s="198"/>
    </row>
    <row r="60" ht="71.25" hidden="1" customHeight="1">
      <c r="A60" s="299"/>
      <c r="B60" s="299"/>
      <c r="C60" s="285"/>
      <c r="D60" s="367"/>
      <c r="E60" s="287"/>
      <c r="F60" s="288"/>
      <c r="G60" s="288"/>
      <c r="H60" s="288"/>
      <c r="I60" s="288"/>
      <c r="J60" s="288"/>
      <c r="K60" s="294"/>
      <c r="L60" s="294"/>
      <c r="M60" s="290"/>
      <c r="N60" s="299"/>
      <c r="O60" s="322"/>
      <c r="P60" s="300"/>
      <c r="Q60" s="219"/>
      <c r="R60" s="198"/>
      <c r="S60" s="198"/>
      <c r="T60" s="198"/>
      <c r="U60" s="198"/>
      <c r="V60" s="198"/>
      <c r="W60" s="198"/>
      <c r="X60" s="198"/>
      <c r="Y60" s="198"/>
      <c r="Z60" s="198"/>
    </row>
    <row r="61" ht="71.25" hidden="1" customHeight="1">
      <c r="A61" s="299"/>
      <c r="B61" s="296"/>
      <c r="C61" s="285"/>
      <c r="D61" s="285"/>
      <c r="E61" s="287"/>
      <c r="F61" s="288"/>
      <c r="G61" s="288"/>
      <c r="H61" s="288"/>
      <c r="I61" s="288"/>
      <c r="J61" s="288"/>
      <c r="K61" s="536"/>
      <c r="L61" s="294"/>
      <c r="M61" s="290"/>
      <c r="N61" s="299"/>
      <c r="O61" s="322"/>
      <c r="P61" s="300"/>
      <c r="Q61" s="219"/>
      <c r="R61" s="198"/>
      <c r="S61" s="198"/>
      <c r="T61" s="198"/>
      <c r="U61" s="198"/>
      <c r="V61" s="198"/>
      <c r="W61" s="198"/>
      <c r="X61" s="198"/>
      <c r="Y61" s="198"/>
      <c r="Z61" s="198"/>
    </row>
    <row r="62" ht="71.25" hidden="1" customHeight="1">
      <c r="A62" s="299"/>
      <c r="B62" s="299"/>
      <c r="C62" s="285"/>
      <c r="D62" s="285"/>
      <c r="E62" s="287"/>
      <c r="F62" s="288"/>
      <c r="G62" s="288"/>
      <c r="H62" s="288"/>
      <c r="I62" s="288"/>
      <c r="J62" s="288"/>
      <c r="K62" s="294"/>
      <c r="L62" s="294"/>
      <c r="M62" s="290"/>
      <c r="N62" s="299"/>
      <c r="O62" s="322"/>
      <c r="P62" s="300"/>
      <c r="Q62" s="219"/>
      <c r="R62" s="198"/>
      <c r="S62" s="198"/>
      <c r="T62" s="198"/>
      <c r="U62" s="198"/>
      <c r="V62" s="198"/>
      <c r="W62" s="198"/>
      <c r="X62" s="198"/>
      <c r="Y62" s="198"/>
      <c r="Z62" s="198"/>
    </row>
    <row r="63" ht="71.25" hidden="1" customHeight="1">
      <c r="A63" s="299"/>
      <c r="B63" s="299"/>
      <c r="C63" s="285"/>
      <c r="D63" s="285"/>
      <c r="E63" s="287"/>
      <c r="F63" s="288"/>
      <c r="G63" s="288"/>
      <c r="H63" s="288"/>
      <c r="I63" s="288"/>
      <c r="J63" s="288"/>
      <c r="K63" s="294"/>
      <c r="L63" s="294"/>
      <c r="M63" s="290"/>
      <c r="N63" s="299"/>
      <c r="O63" s="322"/>
      <c r="P63" s="300"/>
      <c r="Q63" s="219"/>
      <c r="R63" s="198"/>
      <c r="S63" s="198"/>
      <c r="T63" s="198"/>
      <c r="U63" s="198"/>
      <c r="V63" s="198"/>
      <c r="W63" s="198"/>
      <c r="X63" s="198"/>
      <c r="Y63" s="198"/>
      <c r="Z63" s="198"/>
    </row>
    <row r="64" ht="71.25" customHeight="1">
      <c r="A64" s="299"/>
      <c r="B64" s="299"/>
      <c r="C64" s="285"/>
      <c r="D64" s="285"/>
      <c r="E64" s="287"/>
      <c r="F64" s="288"/>
      <c r="G64" s="288"/>
      <c r="H64" s="288"/>
      <c r="I64" s="288"/>
      <c r="J64" s="288"/>
      <c r="K64" s="294"/>
      <c r="L64" s="294"/>
      <c r="M64" s="290"/>
      <c r="N64" s="299"/>
      <c r="O64" s="322"/>
      <c r="P64" s="300"/>
      <c r="Q64" s="219"/>
      <c r="R64" s="198"/>
      <c r="S64" s="198"/>
      <c r="T64" s="198"/>
      <c r="U64" s="198"/>
      <c r="V64" s="198"/>
      <c r="W64" s="198"/>
      <c r="X64" s="198"/>
      <c r="Y64" s="198"/>
      <c r="Z64" s="198"/>
    </row>
    <row r="65" ht="82.5" customHeight="1">
      <c r="A65" s="299"/>
      <c r="B65" s="299"/>
      <c r="C65" s="285"/>
      <c r="D65" s="285"/>
      <c r="E65" s="287"/>
      <c r="F65" s="288"/>
      <c r="G65" s="288"/>
      <c r="H65" s="288"/>
      <c r="I65" s="288"/>
      <c r="J65" s="288"/>
      <c r="K65" s="294"/>
      <c r="L65" s="294"/>
      <c r="M65" s="290"/>
      <c r="N65" s="299"/>
      <c r="O65" s="322"/>
      <c r="P65" s="300"/>
      <c r="Q65" s="219"/>
      <c r="R65" s="198"/>
      <c r="S65" s="198"/>
      <c r="T65" s="198"/>
      <c r="U65" s="198"/>
      <c r="V65" s="198"/>
      <c r="W65" s="198"/>
      <c r="X65" s="198"/>
      <c r="Y65" s="198"/>
      <c r="Z65" s="198"/>
    </row>
    <row r="66" ht="71.25" customHeight="1">
      <c r="A66" s="299"/>
      <c r="B66" s="285"/>
      <c r="C66" s="285"/>
      <c r="D66" s="285"/>
      <c r="E66" s="287"/>
      <c r="F66" s="288"/>
      <c r="G66" s="288"/>
      <c r="H66" s="288"/>
      <c r="I66" s="288"/>
      <c r="J66" s="288"/>
      <c r="K66" s="294"/>
      <c r="L66" s="294"/>
      <c r="M66" s="290"/>
      <c r="N66" s="299"/>
      <c r="O66" s="322"/>
      <c r="P66" s="300"/>
      <c r="Q66" s="219"/>
      <c r="R66" s="198"/>
      <c r="S66" s="198"/>
      <c r="T66" s="198"/>
      <c r="U66" s="198"/>
      <c r="V66" s="198"/>
      <c r="W66" s="198"/>
      <c r="X66" s="198"/>
      <c r="Y66" s="198"/>
      <c r="Z66" s="198"/>
    </row>
    <row r="67" ht="71.25" customHeight="1">
      <c r="A67" s="299"/>
      <c r="B67" s="299"/>
      <c r="C67" s="285"/>
      <c r="D67" s="285"/>
      <c r="E67" s="287"/>
      <c r="F67" s="288"/>
      <c r="G67" s="288"/>
      <c r="H67" s="288"/>
      <c r="I67" s="288"/>
      <c r="J67" s="288"/>
      <c r="K67" s="294"/>
      <c r="L67" s="294"/>
      <c r="M67" s="290"/>
      <c r="N67" s="299"/>
      <c r="O67" s="322"/>
      <c r="P67" s="300"/>
      <c r="Q67" s="219"/>
      <c r="R67" s="198"/>
      <c r="S67" s="198"/>
      <c r="T67" s="198"/>
      <c r="U67" s="198"/>
      <c r="V67" s="198"/>
      <c r="W67" s="198"/>
      <c r="X67" s="198"/>
      <c r="Y67" s="198"/>
      <c r="Z67" s="198"/>
    </row>
    <row r="68" ht="71.25" hidden="1" customHeight="1">
      <c r="A68" s="299"/>
      <c r="B68" s="299"/>
      <c r="C68" s="285"/>
      <c r="D68" s="285"/>
      <c r="E68" s="287"/>
      <c r="F68" s="288"/>
      <c r="G68" s="288"/>
      <c r="H68" s="288"/>
      <c r="I68" s="288"/>
      <c r="J68" s="288"/>
      <c r="K68" s="294"/>
      <c r="L68" s="294"/>
      <c r="M68" s="290"/>
      <c r="N68" s="299"/>
      <c r="O68" s="322"/>
      <c r="P68" s="300"/>
      <c r="Q68" s="219"/>
      <c r="R68" s="198"/>
      <c r="S68" s="198"/>
      <c r="T68" s="198"/>
      <c r="U68" s="198"/>
      <c r="V68" s="198"/>
      <c r="W68" s="198"/>
      <c r="X68" s="198"/>
      <c r="Y68" s="198"/>
      <c r="Z68" s="198"/>
    </row>
    <row r="69" ht="71.25" hidden="1" customHeight="1">
      <c r="A69" s="299"/>
      <c r="B69" s="299"/>
      <c r="C69" s="285"/>
      <c r="D69" s="285"/>
      <c r="E69" s="287"/>
      <c r="F69" s="288"/>
      <c r="G69" s="288"/>
      <c r="H69" s="288"/>
      <c r="I69" s="288"/>
      <c r="J69" s="288"/>
      <c r="K69" s="294"/>
      <c r="L69" s="294"/>
      <c r="M69" s="290"/>
      <c r="N69" s="299"/>
      <c r="O69" s="322"/>
      <c r="P69" s="300"/>
      <c r="Q69" s="219"/>
      <c r="R69" s="198"/>
      <c r="S69" s="198"/>
      <c r="T69" s="198"/>
      <c r="U69" s="198"/>
      <c r="V69" s="198"/>
      <c r="W69" s="198"/>
      <c r="X69" s="198"/>
      <c r="Y69" s="198"/>
      <c r="Z69" s="198"/>
    </row>
    <row r="70" ht="71.25" customHeight="1">
      <c r="A70" s="299"/>
      <c r="B70" s="299"/>
      <c r="C70" s="285"/>
      <c r="D70" s="285"/>
      <c r="E70" s="287"/>
      <c r="F70" s="288"/>
      <c r="G70" s="288"/>
      <c r="H70" s="288"/>
      <c r="I70" s="288"/>
      <c r="J70" s="288"/>
      <c r="K70" s="294"/>
      <c r="L70" s="294"/>
      <c r="M70" s="290"/>
      <c r="N70" s="299"/>
      <c r="O70" s="322"/>
      <c r="P70" s="300"/>
      <c r="Q70" s="219"/>
      <c r="R70" s="198"/>
      <c r="S70" s="198"/>
      <c r="T70" s="198"/>
      <c r="U70" s="198"/>
      <c r="V70" s="198"/>
      <c r="W70" s="198"/>
      <c r="X70" s="198"/>
      <c r="Y70" s="198"/>
      <c r="Z70" s="198"/>
    </row>
    <row r="71" ht="71.25" customHeight="1">
      <c r="A71" s="299"/>
      <c r="B71" s="285"/>
      <c r="C71" s="285"/>
      <c r="D71" s="285"/>
      <c r="E71" s="287"/>
      <c r="F71" s="288"/>
      <c r="G71" s="288"/>
      <c r="H71" s="288"/>
      <c r="I71" s="288"/>
      <c r="J71" s="288"/>
      <c r="K71" s="451"/>
      <c r="L71" s="451"/>
      <c r="M71" s="290"/>
      <c r="N71" s="299"/>
      <c r="O71" s="322"/>
      <c r="P71" s="300"/>
      <c r="Q71" s="219"/>
      <c r="R71" s="198"/>
      <c r="S71" s="198"/>
      <c r="T71" s="198"/>
      <c r="U71" s="198"/>
      <c r="V71" s="198"/>
      <c r="W71" s="198"/>
      <c r="X71" s="198"/>
      <c r="Y71" s="198"/>
      <c r="Z71" s="198"/>
    </row>
    <row r="72" ht="71.25" customHeight="1">
      <c r="A72" s="299"/>
      <c r="B72" s="285"/>
      <c r="C72" s="285"/>
      <c r="D72" s="285"/>
      <c r="E72" s="287"/>
      <c r="F72" s="288"/>
      <c r="G72" s="288"/>
      <c r="H72" s="288"/>
      <c r="I72" s="288"/>
      <c r="J72" s="288"/>
      <c r="K72" s="451"/>
      <c r="L72" s="451"/>
      <c r="M72" s="290"/>
      <c r="N72" s="299"/>
      <c r="O72" s="322"/>
      <c r="P72" s="300"/>
      <c r="Q72" s="219"/>
      <c r="R72" s="198"/>
      <c r="S72" s="198"/>
      <c r="T72" s="198"/>
      <c r="U72" s="198"/>
      <c r="V72" s="198"/>
      <c r="W72" s="198"/>
      <c r="X72" s="198"/>
      <c r="Y72" s="198"/>
      <c r="Z72" s="198"/>
    </row>
    <row r="73" ht="71.25" hidden="1" customHeight="1">
      <c r="A73" s="299"/>
      <c r="B73" s="285"/>
      <c r="C73" s="285"/>
      <c r="D73" s="285"/>
      <c r="E73" s="287"/>
      <c r="F73" s="288"/>
      <c r="G73" s="288"/>
      <c r="H73" s="288"/>
      <c r="I73" s="288"/>
      <c r="J73" s="288"/>
      <c r="K73" s="451"/>
      <c r="L73" s="451"/>
      <c r="M73" s="290"/>
      <c r="N73" s="299"/>
      <c r="O73" s="322"/>
      <c r="P73" s="300"/>
      <c r="Q73" s="219"/>
      <c r="R73" s="198"/>
      <c r="S73" s="198"/>
      <c r="T73" s="198"/>
      <c r="U73" s="198"/>
      <c r="V73" s="198"/>
      <c r="W73" s="198"/>
      <c r="X73" s="198"/>
      <c r="Y73" s="198"/>
      <c r="Z73" s="198"/>
    </row>
    <row r="74" ht="71.25" hidden="1" customHeight="1">
      <c r="A74" s="299"/>
      <c r="B74" s="285"/>
      <c r="C74" s="285"/>
      <c r="D74" s="285"/>
      <c r="E74" s="287"/>
      <c r="F74" s="288"/>
      <c r="G74" s="288"/>
      <c r="H74" s="288"/>
      <c r="I74" s="288"/>
      <c r="J74" s="288"/>
      <c r="K74" s="451"/>
      <c r="L74" s="451"/>
      <c r="M74" s="290"/>
      <c r="N74" s="299"/>
      <c r="O74" s="322"/>
      <c r="P74" s="300"/>
      <c r="Q74" s="219"/>
      <c r="R74" s="198"/>
      <c r="S74" s="198"/>
      <c r="T74" s="198"/>
      <c r="U74" s="198"/>
      <c r="V74" s="198"/>
      <c r="W74" s="198"/>
      <c r="X74" s="198"/>
      <c r="Y74" s="198"/>
      <c r="Z74" s="198"/>
    </row>
    <row r="75" ht="71.25" hidden="1" customHeight="1">
      <c r="A75" s="299"/>
      <c r="B75" s="285"/>
      <c r="C75" s="285"/>
      <c r="D75" s="285"/>
      <c r="E75" s="287"/>
      <c r="F75" s="288"/>
      <c r="G75" s="288"/>
      <c r="H75" s="288"/>
      <c r="I75" s="288"/>
      <c r="J75" s="288"/>
      <c r="K75" s="451"/>
      <c r="L75" s="451"/>
      <c r="M75" s="290"/>
      <c r="N75" s="299"/>
      <c r="O75" s="322"/>
      <c r="P75" s="300"/>
      <c r="Q75" s="219"/>
      <c r="R75" s="198"/>
      <c r="S75" s="198"/>
      <c r="T75" s="198"/>
      <c r="U75" s="198"/>
      <c r="V75" s="198"/>
      <c r="W75" s="198"/>
      <c r="X75" s="198"/>
      <c r="Y75" s="198"/>
      <c r="Z75" s="198"/>
    </row>
    <row r="76" ht="71.25" hidden="1" customHeight="1">
      <c r="A76" s="299"/>
      <c r="B76" s="285"/>
      <c r="C76" s="285"/>
      <c r="D76" s="285"/>
      <c r="E76" s="287"/>
      <c r="F76" s="288"/>
      <c r="G76" s="288"/>
      <c r="H76" s="288"/>
      <c r="I76" s="288"/>
      <c r="J76" s="288"/>
      <c r="K76" s="451"/>
      <c r="L76" s="451"/>
      <c r="M76" s="290"/>
      <c r="N76" s="299"/>
      <c r="O76" s="322"/>
      <c r="P76" s="300"/>
      <c r="Q76" s="219"/>
      <c r="R76" s="198"/>
      <c r="S76" s="198"/>
      <c r="T76" s="198"/>
      <c r="U76" s="198"/>
      <c r="V76" s="198"/>
      <c r="W76" s="198"/>
      <c r="X76" s="198"/>
      <c r="Y76" s="198"/>
      <c r="Z76" s="198"/>
    </row>
    <row r="77" ht="71.25" hidden="1" customHeight="1">
      <c r="A77" s="299"/>
      <c r="B77" s="299"/>
      <c r="C77" s="285"/>
      <c r="D77" s="285"/>
      <c r="E77" s="287"/>
      <c r="F77" s="288"/>
      <c r="G77" s="288"/>
      <c r="H77" s="288"/>
      <c r="I77" s="288"/>
      <c r="J77" s="288"/>
      <c r="K77" s="294"/>
      <c r="L77" s="294"/>
      <c r="M77" s="290"/>
      <c r="N77" s="299"/>
      <c r="O77" s="322"/>
      <c r="P77" s="300"/>
      <c r="Q77" s="219"/>
      <c r="R77" s="198"/>
      <c r="S77" s="198"/>
      <c r="T77" s="198"/>
      <c r="U77" s="198"/>
      <c r="V77" s="198"/>
      <c r="W77" s="198"/>
      <c r="X77" s="198"/>
      <c r="Y77" s="198"/>
      <c r="Z77" s="198"/>
    </row>
    <row r="78" ht="71.25" hidden="1" customHeight="1">
      <c r="A78" s="299"/>
      <c r="B78" s="285"/>
      <c r="C78" s="285"/>
      <c r="D78" s="285"/>
      <c r="E78" s="287"/>
      <c r="F78" s="288"/>
      <c r="G78" s="288"/>
      <c r="H78" s="288"/>
      <c r="I78" s="288"/>
      <c r="J78" s="288"/>
      <c r="K78" s="451"/>
      <c r="L78" s="451"/>
      <c r="M78" s="290"/>
      <c r="N78" s="299"/>
      <c r="O78" s="322"/>
      <c r="P78" s="300"/>
      <c r="Q78" s="219"/>
      <c r="R78" s="198"/>
      <c r="S78" s="198"/>
      <c r="T78" s="198"/>
      <c r="U78" s="198"/>
      <c r="V78" s="198"/>
      <c r="W78" s="198"/>
      <c r="X78" s="198"/>
      <c r="Y78" s="198"/>
      <c r="Z78" s="198"/>
    </row>
    <row r="79" ht="71.25" customHeight="1">
      <c r="A79" s="299"/>
      <c r="B79" s="285"/>
      <c r="C79" s="285"/>
      <c r="D79" s="285"/>
      <c r="E79" s="287"/>
      <c r="F79" s="288"/>
      <c r="G79" s="288"/>
      <c r="H79" s="288"/>
      <c r="I79" s="288"/>
      <c r="J79" s="288"/>
      <c r="K79" s="294"/>
      <c r="L79" s="294"/>
      <c r="M79" s="290"/>
      <c r="N79" s="299"/>
      <c r="O79" s="322"/>
      <c r="P79" s="300"/>
      <c r="Q79" s="219"/>
      <c r="R79" s="198"/>
      <c r="S79" s="198"/>
      <c r="T79" s="198"/>
      <c r="U79" s="198"/>
      <c r="V79" s="198"/>
      <c r="W79" s="198"/>
      <c r="X79" s="198"/>
      <c r="Y79" s="198"/>
      <c r="Z79" s="198"/>
    </row>
    <row r="80" ht="78.75" customHeight="1">
      <c r="A80" s="299"/>
      <c r="B80" s="299"/>
      <c r="C80" s="285"/>
      <c r="D80" s="285"/>
      <c r="E80" s="287"/>
      <c r="F80" s="288"/>
      <c r="G80" s="288"/>
      <c r="H80" s="288"/>
      <c r="I80" s="288"/>
      <c r="J80" s="288"/>
      <c r="K80" s="294"/>
      <c r="L80" s="294"/>
      <c r="M80" s="290"/>
      <c r="N80" s="299"/>
      <c r="O80" s="322"/>
      <c r="P80" s="300"/>
      <c r="Q80" s="219"/>
      <c r="R80" s="198"/>
      <c r="S80" s="198"/>
      <c r="T80" s="198"/>
      <c r="U80" s="198"/>
      <c r="V80" s="198"/>
      <c r="W80" s="198"/>
      <c r="X80" s="198"/>
      <c r="Y80" s="198"/>
      <c r="Z80" s="198"/>
    </row>
    <row r="81" ht="71.25" customHeight="1">
      <c r="A81" s="299"/>
      <c r="B81" s="299"/>
      <c r="C81" s="285"/>
      <c r="D81" s="285"/>
      <c r="E81" s="287"/>
      <c r="F81" s="288"/>
      <c r="G81" s="288"/>
      <c r="H81" s="288"/>
      <c r="I81" s="288"/>
      <c r="J81" s="288"/>
      <c r="K81" s="294"/>
      <c r="L81" s="294"/>
      <c r="M81" s="290"/>
      <c r="N81" s="299"/>
      <c r="O81" s="322"/>
      <c r="P81" s="300"/>
      <c r="Q81" s="219"/>
      <c r="R81" s="198"/>
      <c r="S81" s="198"/>
      <c r="T81" s="198"/>
      <c r="U81" s="198"/>
      <c r="V81" s="198"/>
      <c r="W81" s="198"/>
      <c r="X81" s="198"/>
      <c r="Y81" s="198"/>
      <c r="Z81" s="198"/>
    </row>
    <row r="82" ht="71.25" customHeight="1">
      <c r="A82" s="299"/>
      <c r="B82" s="299"/>
      <c r="C82" s="285"/>
      <c r="D82" s="285"/>
      <c r="E82" s="287"/>
      <c r="F82" s="288"/>
      <c r="G82" s="288"/>
      <c r="H82" s="288"/>
      <c r="I82" s="288"/>
      <c r="J82" s="288"/>
      <c r="K82" s="294"/>
      <c r="L82" s="294"/>
      <c r="M82" s="290"/>
      <c r="N82" s="299"/>
      <c r="O82" s="322"/>
      <c r="P82" s="300"/>
      <c r="Q82" s="219"/>
      <c r="R82" s="198"/>
      <c r="S82" s="198"/>
      <c r="T82" s="198"/>
      <c r="U82" s="198"/>
      <c r="V82" s="198"/>
      <c r="W82" s="198"/>
      <c r="X82" s="198"/>
      <c r="Y82" s="198"/>
      <c r="Z82" s="198"/>
    </row>
    <row r="83" ht="71.25" customHeight="1">
      <c r="A83" s="299"/>
      <c r="B83" s="299"/>
      <c r="C83" s="285"/>
      <c r="D83" s="285"/>
      <c r="E83" s="287"/>
      <c r="F83" s="288"/>
      <c r="G83" s="288"/>
      <c r="H83" s="288"/>
      <c r="I83" s="288"/>
      <c r="J83" s="288"/>
      <c r="K83" s="294"/>
      <c r="L83" s="294"/>
      <c r="M83" s="290"/>
      <c r="N83" s="299"/>
      <c r="O83" s="322"/>
      <c r="P83" s="300"/>
      <c r="Q83" s="219"/>
      <c r="R83" s="198"/>
      <c r="S83" s="198"/>
      <c r="T83" s="198"/>
      <c r="U83" s="198"/>
      <c r="V83" s="198"/>
      <c r="W83" s="198"/>
      <c r="X83" s="198"/>
      <c r="Y83" s="198"/>
      <c r="Z83" s="198"/>
    </row>
    <row r="84" ht="71.25" customHeight="1">
      <c r="A84" s="299"/>
      <c r="B84" s="299"/>
      <c r="C84" s="285"/>
      <c r="D84" s="285"/>
      <c r="E84" s="287"/>
      <c r="F84" s="288"/>
      <c r="G84" s="288"/>
      <c r="H84" s="288"/>
      <c r="I84" s="288"/>
      <c r="J84" s="288"/>
      <c r="K84" s="294"/>
      <c r="L84" s="294"/>
      <c r="M84" s="290"/>
      <c r="N84" s="299"/>
      <c r="O84" s="322"/>
      <c r="P84" s="300"/>
      <c r="Q84" s="219"/>
      <c r="R84" s="198"/>
      <c r="S84" s="198"/>
      <c r="T84" s="198"/>
      <c r="U84" s="198"/>
      <c r="V84" s="198"/>
      <c r="W84" s="198"/>
      <c r="X84" s="198"/>
      <c r="Y84" s="198"/>
      <c r="Z84" s="198"/>
    </row>
    <row r="85" ht="71.25" customHeight="1">
      <c r="A85" s="299"/>
      <c r="B85" s="285"/>
      <c r="C85" s="285"/>
      <c r="D85" s="285"/>
      <c r="E85" s="287"/>
      <c r="F85" s="288"/>
      <c r="G85" s="288"/>
      <c r="H85" s="288"/>
      <c r="I85" s="288"/>
      <c r="J85" s="288"/>
      <c r="K85" s="294"/>
      <c r="L85" s="294"/>
      <c r="M85" s="290"/>
      <c r="N85" s="299"/>
      <c r="O85" s="322"/>
      <c r="P85" s="300"/>
      <c r="Q85" s="219"/>
      <c r="R85" s="198"/>
      <c r="S85" s="198"/>
      <c r="T85" s="198"/>
      <c r="U85" s="198"/>
      <c r="V85" s="198"/>
      <c r="W85" s="198"/>
      <c r="X85" s="198"/>
      <c r="Y85" s="198"/>
      <c r="Z85" s="198"/>
    </row>
    <row r="86" ht="71.25" customHeight="1">
      <c r="A86" s="299"/>
      <c r="B86" s="299"/>
      <c r="C86" s="285"/>
      <c r="D86" s="285"/>
      <c r="E86" s="287"/>
      <c r="F86" s="288"/>
      <c r="G86" s="288"/>
      <c r="H86" s="288"/>
      <c r="I86" s="288"/>
      <c r="J86" s="288"/>
      <c r="K86" s="294"/>
      <c r="L86" s="294"/>
      <c r="M86" s="290"/>
      <c r="N86" s="299"/>
      <c r="O86" s="322"/>
      <c r="P86" s="300"/>
      <c r="Q86" s="219"/>
      <c r="R86" s="198"/>
      <c r="S86" s="198"/>
      <c r="T86" s="198"/>
      <c r="U86" s="198"/>
      <c r="V86" s="198"/>
      <c r="W86" s="198"/>
      <c r="X86" s="198"/>
      <c r="Y86" s="198"/>
      <c r="Z86" s="198"/>
    </row>
    <row r="87" ht="71.25" customHeight="1">
      <c r="A87" s="299"/>
      <c r="B87" s="299"/>
      <c r="C87" s="285"/>
      <c r="D87" s="285"/>
      <c r="E87" s="287"/>
      <c r="F87" s="288"/>
      <c r="G87" s="288"/>
      <c r="H87" s="288"/>
      <c r="I87" s="288"/>
      <c r="J87" s="288"/>
      <c r="K87" s="294"/>
      <c r="L87" s="294"/>
      <c r="M87" s="290"/>
      <c r="N87" s="299"/>
      <c r="O87" s="322"/>
      <c r="P87" s="300"/>
      <c r="Q87" s="219"/>
      <c r="R87" s="198"/>
      <c r="S87" s="198"/>
      <c r="T87" s="198"/>
      <c r="U87" s="198"/>
      <c r="V87" s="198"/>
      <c r="W87" s="198"/>
      <c r="X87" s="198"/>
      <c r="Y87" s="198"/>
      <c r="Z87" s="198"/>
    </row>
    <row r="88" ht="71.25" customHeight="1">
      <c r="A88" s="299"/>
      <c r="B88" s="299"/>
      <c r="C88" s="285"/>
      <c r="D88" s="285"/>
      <c r="E88" s="287"/>
      <c r="F88" s="288"/>
      <c r="G88" s="288"/>
      <c r="H88" s="288"/>
      <c r="I88" s="288"/>
      <c r="J88" s="288"/>
      <c r="K88" s="294"/>
      <c r="L88" s="294"/>
      <c r="M88" s="290"/>
      <c r="N88" s="299"/>
      <c r="O88" s="322"/>
      <c r="P88" s="300"/>
      <c r="Q88" s="219"/>
      <c r="R88" s="198"/>
      <c r="S88" s="198"/>
      <c r="T88" s="198"/>
      <c r="U88" s="198"/>
      <c r="V88" s="198"/>
      <c r="W88" s="198"/>
      <c r="X88" s="198"/>
      <c r="Y88" s="198"/>
      <c r="Z88" s="198"/>
    </row>
    <row r="89" ht="71.25" customHeight="1">
      <c r="A89" s="299"/>
      <c r="B89" s="285"/>
      <c r="C89" s="285"/>
      <c r="D89" s="285"/>
      <c r="E89" s="287"/>
      <c r="F89" s="288"/>
      <c r="G89" s="288"/>
      <c r="H89" s="288"/>
      <c r="I89" s="288"/>
      <c r="J89" s="288"/>
      <c r="K89" s="451"/>
      <c r="L89" s="451"/>
      <c r="M89" s="290"/>
      <c r="N89" s="299"/>
      <c r="O89" s="322"/>
      <c r="P89" s="300"/>
      <c r="Q89" s="219"/>
      <c r="R89" s="198"/>
      <c r="S89" s="198"/>
      <c r="T89" s="198"/>
      <c r="U89" s="198"/>
      <c r="V89" s="198"/>
      <c r="W89" s="198"/>
      <c r="X89" s="198"/>
      <c r="Y89" s="198"/>
      <c r="Z89" s="198"/>
    </row>
    <row r="90" ht="71.25" hidden="1" customHeight="1">
      <c r="A90" s="299"/>
      <c r="B90" s="299"/>
      <c r="C90" s="285"/>
      <c r="D90" s="285"/>
      <c r="E90" s="287"/>
      <c r="F90" s="288"/>
      <c r="G90" s="288"/>
      <c r="H90" s="288"/>
      <c r="I90" s="288"/>
      <c r="J90" s="288"/>
      <c r="K90" s="294"/>
      <c r="L90" s="294"/>
      <c r="M90" s="290"/>
      <c r="N90" s="299"/>
      <c r="O90" s="322"/>
      <c r="P90" s="300"/>
      <c r="Q90" s="219"/>
      <c r="R90" s="198"/>
      <c r="S90" s="198"/>
      <c r="T90" s="198"/>
      <c r="U90" s="198"/>
      <c r="V90" s="198"/>
      <c r="W90" s="198"/>
      <c r="X90" s="198"/>
      <c r="Y90" s="198"/>
      <c r="Z90" s="198"/>
    </row>
    <row r="91" ht="71.25" hidden="1" customHeight="1">
      <c r="A91" s="299"/>
      <c r="B91" s="299"/>
      <c r="C91" s="285"/>
      <c r="D91" s="285"/>
      <c r="E91" s="287"/>
      <c r="F91" s="288"/>
      <c r="G91" s="288"/>
      <c r="H91" s="288"/>
      <c r="I91" s="288"/>
      <c r="J91" s="288"/>
      <c r="K91" s="294"/>
      <c r="L91" s="294"/>
      <c r="M91" s="290"/>
      <c r="N91" s="299"/>
      <c r="O91" s="299"/>
      <c r="P91" s="300"/>
      <c r="Q91" s="219"/>
      <c r="R91" s="198"/>
      <c r="S91" s="198"/>
      <c r="T91" s="198"/>
      <c r="U91" s="198"/>
      <c r="V91" s="198"/>
      <c r="W91" s="198"/>
      <c r="X91" s="198"/>
      <c r="Y91" s="198"/>
      <c r="Z91" s="198"/>
    </row>
    <row r="92" ht="71.25" customHeight="1">
      <c r="A92" s="299"/>
      <c r="B92" s="285"/>
      <c r="C92" s="285"/>
      <c r="D92" s="285"/>
      <c r="E92" s="287"/>
      <c r="F92" s="288"/>
      <c r="G92" s="288"/>
      <c r="H92" s="288"/>
      <c r="I92" s="288"/>
      <c r="J92" s="288"/>
      <c r="K92" s="294"/>
      <c r="L92" s="294"/>
      <c r="M92" s="290"/>
      <c r="N92" s="299"/>
      <c r="O92" s="322"/>
      <c r="P92" s="300"/>
      <c r="Q92" s="219"/>
      <c r="R92" s="198"/>
      <c r="S92" s="198"/>
      <c r="T92" s="198"/>
      <c r="U92" s="198"/>
      <c r="V92" s="198"/>
      <c r="W92" s="198"/>
      <c r="X92" s="198"/>
      <c r="Y92" s="198"/>
      <c r="Z92" s="198"/>
    </row>
    <row r="93" ht="71.25" customHeight="1">
      <c r="A93" s="299"/>
      <c r="B93" s="299"/>
      <c r="C93" s="285"/>
      <c r="D93" s="285"/>
      <c r="E93" s="287"/>
      <c r="F93" s="288"/>
      <c r="G93" s="288"/>
      <c r="H93" s="288"/>
      <c r="I93" s="288"/>
      <c r="J93" s="288"/>
      <c r="K93" s="294"/>
      <c r="L93" s="294"/>
      <c r="M93" s="290"/>
      <c r="N93" s="299"/>
      <c r="O93" s="322"/>
      <c r="P93" s="300"/>
      <c r="Q93" s="219"/>
      <c r="R93" s="198"/>
      <c r="S93" s="198"/>
      <c r="T93" s="198"/>
      <c r="U93" s="198"/>
      <c r="V93" s="198"/>
      <c r="W93" s="198"/>
      <c r="X93" s="198"/>
      <c r="Y93" s="198"/>
      <c r="Z93" s="198"/>
    </row>
    <row r="94" ht="71.25" hidden="1" customHeight="1">
      <c r="A94" s="299"/>
      <c r="B94" s="299"/>
      <c r="C94" s="285"/>
      <c r="D94" s="285"/>
      <c r="E94" s="287"/>
      <c r="F94" s="288"/>
      <c r="G94" s="288"/>
      <c r="H94" s="288"/>
      <c r="I94" s="288"/>
      <c r="J94" s="288"/>
      <c r="K94" s="294"/>
      <c r="L94" s="294"/>
      <c r="M94" s="290"/>
      <c r="N94" s="299"/>
      <c r="O94" s="322"/>
      <c r="P94" s="300"/>
      <c r="Q94" s="219"/>
      <c r="R94" s="198"/>
      <c r="S94" s="198"/>
      <c r="T94" s="198"/>
      <c r="U94" s="198"/>
      <c r="V94" s="198"/>
      <c r="W94" s="198"/>
      <c r="X94" s="198"/>
      <c r="Y94" s="198"/>
      <c r="Z94" s="198"/>
    </row>
    <row r="95" ht="71.25" customHeight="1">
      <c r="A95" s="299"/>
      <c r="B95" s="299"/>
      <c r="C95" s="285"/>
      <c r="D95" s="285"/>
      <c r="E95" s="287"/>
      <c r="F95" s="288"/>
      <c r="G95" s="288"/>
      <c r="H95" s="288"/>
      <c r="I95" s="288"/>
      <c r="J95" s="288"/>
      <c r="K95" s="294"/>
      <c r="L95" s="294"/>
      <c r="M95" s="290"/>
      <c r="N95" s="285"/>
      <c r="O95" s="322"/>
      <c r="P95" s="300"/>
      <c r="Q95" s="219"/>
      <c r="R95" s="198"/>
      <c r="S95" s="198"/>
      <c r="T95" s="198"/>
      <c r="U95" s="198"/>
      <c r="V95" s="198"/>
      <c r="W95" s="198"/>
      <c r="X95" s="198"/>
      <c r="Y95" s="198"/>
      <c r="Z95" s="198"/>
    </row>
    <row r="96" ht="71.25" customHeight="1">
      <c r="A96" s="299"/>
      <c r="B96" s="285"/>
      <c r="C96" s="285"/>
      <c r="D96" s="285"/>
      <c r="E96" s="287"/>
      <c r="F96" s="288"/>
      <c r="G96" s="288"/>
      <c r="H96" s="288"/>
      <c r="I96" s="288"/>
      <c r="J96" s="288"/>
      <c r="K96" s="451"/>
      <c r="L96" s="451"/>
      <c r="M96" s="290"/>
      <c r="N96" s="299"/>
      <c r="O96" s="322"/>
      <c r="P96" s="300"/>
      <c r="Q96" s="219"/>
      <c r="R96" s="198"/>
      <c r="S96" s="198"/>
      <c r="T96" s="198"/>
      <c r="U96" s="198"/>
      <c r="V96" s="198"/>
      <c r="W96" s="198"/>
      <c r="X96" s="198"/>
      <c r="Y96" s="198"/>
      <c r="Z96" s="198"/>
    </row>
    <row r="97" ht="71.25" customHeight="1">
      <c r="A97" s="299"/>
      <c r="B97" s="299"/>
      <c r="C97" s="285"/>
      <c r="D97" s="285"/>
      <c r="E97" s="287"/>
      <c r="F97" s="288"/>
      <c r="G97" s="288"/>
      <c r="H97" s="288"/>
      <c r="I97" s="288"/>
      <c r="J97" s="288"/>
      <c r="K97" s="294"/>
      <c r="L97" s="294"/>
      <c r="M97" s="290"/>
      <c r="N97" s="299"/>
      <c r="O97" s="322"/>
      <c r="P97" s="300"/>
      <c r="Q97" s="219"/>
      <c r="R97" s="198"/>
      <c r="S97" s="198"/>
      <c r="T97" s="198"/>
      <c r="U97" s="198"/>
      <c r="V97" s="198"/>
      <c r="W97" s="198"/>
      <c r="X97" s="198"/>
      <c r="Y97" s="198"/>
      <c r="Z97" s="198"/>
    </row>
    <row r="98" ht="71.25" customHeight="1">
      <c r="A98" s="299"/>
      <c r="B98" s="299"/>
      <c r="C98" s="285"/>
      <c r="D98" s="285"/>
      <c r="E98" s="287"/>
      <c r="F98" s="288"/>
      <c r="G98" s="288"/>
      <c r="H98" s="288"/>
      <c r="I98" s="288"/>
      <c r="J98" s="288"/>
      <c r="K98" s="294"/>
      <c r="L98" s="294"/>
      <c r="M98" s="290"/>
      <c r="N98" s="299"/>
      <c r="O98" s="322"/>
      <c r="P98" s="300"/>
      <c r="Q98" s="219"/>
      <c r="R98" s="198"/>
      <c r="S98" s="198"/>
      <c r="T98" s="198"/>
      <c r="U98" s="198"/>
      <c r="V98" s="198"/>
      <c r="W98" s="198"/>
      <c r="X98" s="198"/>
      <c r="Y98" s="198"/>
      <c r="Z98" s="198"/>
    </row>
    <row r="99" ht="71.25" customHeight="1">
      <c r="A99" s="299"/>
      <c r="B99" s="299"/>
      <c r="C99" s="285"/>
      <c r="D99" s="285"/>
      <c r="E99" s="287"/>
      <c r="F99" s="288"/>
      <c r="G99" s="288"/>
      <c r="H99" s="288"/>
      <c r="I99" s="288"/>
      <c r="J99" s="288"/>
      <c r="K99" s="294"/>
      <c r="L99" s="294"/>
      <c r="M99" s="290"/>
      <c r="N99" s="299"/>
      <c r="O99" s="322"/>
      <c r="P99" s="300"/>
      <c r="Q99" s="219"/>
      <c r="R99" s="198"/>
      <c r="S99" s="198"/>
      <c r="T99" s="198"/>
      <c r="U99" s="198"/>
      <c r="V99" s="198"/>
      <c r="W99" s="198"/>
      <c r="X99" s="198"/>
      <c r="Y99" s="198"/>
      <c r="Z99" s="198"/>
    </row>
    <row r="100" ht="71.25" customHeight="1">
      <c r="A100" s="299"/>
      <c r="B100" s="299"/>
      <c r="C100" s="285"/>
      <c r="D100" s="285"/>
      <c r="E100" s="287"/>
      <c r="F100" s="288"/>
      <c r="G100" s="288"/>
      <c r="H100" s="288"/>
      <c r="I100" s="288"/>
      <c r="J100" s="288"/>
      <c r="K100" s="294"/>
      <c r="L100" s="294"/>
      <c r="M100" s="290"/>
      <c r="N100" s="285"/>
      <c r="O100" s="322"/>
      <c r="P100" s="300"/>
      <c r="Q100" s="219"/>
      <c r="R100" s="198"/>
      <c r="S100" s="198"/>
      <c r="T100" s="198"/>
      <c r="U100" s="198"/>
      <c r="V100" s="198"/>
      <c r="W100" s="198"/>
      <c r="X100" s="198"/>
      <c r="Y100" s="198"/>
      <c r="Z100" s="198"/>
    </row>
    <row r="101" ht="71.25" customHeight="1">
      <c r="A101" s="299"/>
      <c r="B101" s="299"/>
      <c r="C101" s="285"/>
      <c r="D101" s="285"/>
      <c r="E101" s="287"/>
      <c r="F101" s="288"/>
      <c r="G101" s="288"/>
      <c r="H101" s="288"/>
      <c r="I101" s="288"/>
      <c r="J101" s="288"/>
      <c r="K101" s="294"/>
      <c r="L101" s="294"/>
      <c r="M101" s="290"/>
      <c r="N101" s="299"/>
      <c r="O101" s="322"/>
      <c r="P101" s="300"/>
      <c r="Q101" s="219"/>
      <c r="R101" s="198"/>
      <c r="S101" s="198"/>
      <c r="T101" s="198"/>
      <c r="U101" s="198"/>
      <c r="V101" s="198"/>
      <c r="W101" s="198"/>
      <c r="X101" s="198"/>
      <c r="Y101" s="198"/>
      <c r="Z101" s="198"/>
    </row>
    <row r="102" ht="71.25" customHeight="1">
      <c r="A102" s="299"/>
      <c r="B102" s="299"/>
      <c r="C102" s="285"/>
      <c r="D102" s="285"/>
      <c r="E102" s="287"/>
      <c r="F102" s="288"/>
      <c r="G102" s="288"/>
      <c r="H102" s="288"/>
      <c r="I102" s="288"/>
      <c r="J102" s="288"/>
      <c r="K102" s="294"/>
      <c r="L102" s="294"/>
      <c r="M102" s="290"/>
      <c r="N102" s="299"/>
      <c r="O102" s="322"/>
      <c r="P102" s="300"/>
      <c r="Q102" s="219"/>
      <c r="R102" s="198"/>
      <c r="S102" s="198"/>
      <c r="T102" s="198"/>
      <c r="U102" s="198"/>
      <c r="V102" s="198"/>
      <c r="W102" s="198"/>
      <c r="X102" s="198"/>
      <c r="Y102" s="198"/>
      <c r="Z102" s="198"/>
    </row>
    <row r="103" ht="71.25" customHeight="1">
      <c r="A103" s="299"/>
      <c r="B103" s="285"/>
      <c r="C103" s="285"/>
      <c r="D103" s="285"/>
      <c r="E103" s="287"/>
      <c r="F103" s="288"/>
      <c r="G103" s="288"/>
      <c r="H103" s="288"/>
      <c r="I103" s="288"/>
      <c r="J103" s="288"/>
      <c r="K103" s="294"/>
      <c r="L103" s="294"/>
      <c r="M103" s="290"/>
      <c r="N103" s="299"/>
      <c r="O103" s="322"/>
      <c r="P103" s="300"/>
      <c r="Q103" s="219"/>
      <c r="R103" s="198"/>
      <c r="S103" s="198"/>
      <c r="T103" s="198"/>
      <c r="U103" s="198"/>
      <c r="V103" s="198"/>
      <c r="W103" s="198"/>
      <c r="X103" s="198"/>
      <c r="Y103" s="198"/>
      <c r="Z103" s="198"/>
    </row>
    <row r="104" ht="71.25" customHeight="1">
      <c r="A104" s="299"/>
      <c r="B104" s="299"/>
      <c r="C104" s="285"/>
      <c r="D104" s="285"/>
      <c r="E104" s="287"/>
      <c r="F104" s="288"/>
      <c r="G104" s="288"/>
      <c r="H104" s="288"/>
      <c r="I104" s="288"/>
      <c r="J104" s="288"/>
      <c r="K104" s="294"/>
      <c r="L104" s="294"/>
      <c r="M104" s="290"/>
      <c r="N104" s="299"/>
      <c r="O104" s="322"/>
      <c r="P104" s="300"/>
      <c r="Q104" s="219"/>
      <c r="R104" s="198"/>
      <c r="S104" s="198"/>
      <c r="T104" s="198"/>
      <c r="U104" s="198"/>
      <c r="V104" s="198"/>
      <c r="W104" s="198"/>
      <c r="X104" s="198"/>
      <c r="Y104" s="198"/>
      <c r="Z104" s="198"/>
    </row>
    <row r="105" ht="71.25" customHeight="1">
      <c r="A105" s="299"/>
      <c r="B105" s="299"/>
      <c r="C105" s="285"/>
      <c r="D105" s="285"/>
      <c r="E105" s="287"/>
      <c r="F105" s="288"/>
      <c r="G105" s="288"/>
      <c r="H105" s="288"/>
      <c r="I105" s="288"/>
      <c r="J105" s="288"/>
      <c r="K105" s="294"/>
      <c r="L105" s="294"/>
      <c r="M105" s="290"/>
      <c r="N105" s="299"/>
      <c r="O105" s="322"/>
      <c r="P105" s="300"/>
      <c r="Q105" s="219"/>
      <c r="R105" s="198"/>
      <c r="S105" s="198"/>
      <c r="T105" s="198"/>
      <c r="U105" s="198"/>
      <c r="V105" s="198"/>
      <c r="W105" s="198"/>
      <c r="X105" s="198"/>
      <c r="Y105" s="198"/>
      <c r="Z105" s="198"/>
    </row>
    <row r="106" ht="78.0" hidden="1" customHeight="1">
      <c r="A106" s="299"/>
      <c r="B106" s="299"/>
      <c r="C106" s="285"/>
      <c r="D106" s="285"/>
      <c r="E106" s="287"/>
      <c r="F106" s="288"/>
      <c r="G106" s="288"/>
      <c r="H106" s="288"/>
      <c r="I106" s="288"/>
      <c r="J106" s="288"/>
      <c r="K106" s="294"/>
      <c r="L106" s="294"/>
      <c r="M106" s="290"/>
      <c r="N106" s="299"/>
      <c r="O106" s="322"/>
      <c r="P106" s="300"/>
      <c r="Q106" s="219"/>
      <c r="R106" s="198"/>
      <c r="S106" s="198"/>
      <c r="T106" s="198"/>
      <c r="U106" s="198"/>
      <c r="V106" s="198"/>
      <c r="W106" s="198"/>
      <c r="X106" s="198"/>
      <c r="Y106" s="198"/>
      <c r="Z106" s="198"/>
    </row>
    <row r="107" ht="79.5" customHeight="1">
      <c r="A107" s="299"/>
      <c r="B107" s="285"/>
      <c r="C107" s="285"/>
      <c r="D107" s="285"/>
      <c r="E107" s="287"/>
      <c r="F107" s="288"/>
      <c r="G107" s="288"/>
      <c r="H107" s="288"/>
      <c r="I107" s="288"/>
      <c r="J107" s="288"/>
      <c r="K107" s="294"/>
      <c r="L107" s="294"/>
      <c r="M107" s="290"/>
      <c r="N107" s="299"/>
      <c r="O107" s="322"/>
      <c r="P107" s="300"/>
      <c r="Q107" s="219"/>
      <c r="R107" s="198"/>
      <c r="S107" s="198"/>
      <c r="T107" s="198"/>
      <c r="U107" s="198"/>
      <c r="V107" s="198"/>
      <c r="W107" s="198"/>
      <c r="X107" s="198"/>
      <c r="Y107" s="198"/>
      <c r="Z107" s="198"/>
    </row>
    <row r="108" ht="82.5" customHeight="1">
      <c r="A108" s="299"/>
      <c r="B108" s="299"/>
      <c r="C108" s="285"/>
      <c r="D108" s="285"/>
      <c r="E108" s="287"/>
      <c r="F108" s="288"/>
      <c r="G108" s="288"/>
      <c r="H108" s="288"/>
      <c r="I108" s="288"/>
      <c r="J108" s="288"/>
      <c r="K108" s="294"/>
      <c r="L108" s="294"/>
      <c r="M108" s="290"/>
      <c r="N108" s="299"/>
      <c r="O108" s="322"/>
      <c r="P108" s="300"/>
      <c r="Q108" s="219"/>
      <c r="R108" s="198"/>
      <c r="S108" s="198"/>
      <c r="T108" s="198"/>
      <c r="U108" s="198"/>
      <c r="V108" s="198"/>
      <c r="W108" s="198"/>
      <c r="X108" s="198"/>
      <c r="Y108" s="198"/>
      <c r="Z108" s="198"/>
    </row>
    <row r="109" ht="71.25" customHeight="1">
      <c r="A109" s="299"/>
      <c r="B109" s="285"/>
      <c r="C109" s="285"/>
      <c r="D109" s="285"/>
      <c r="E109" s="287"/>
      <c r="F109" s="288"/>
      <c r="G109" s="288"/>
      <c r="H109" s="288"/>
      <c r="I109" s="288"/>
      <c r="J109" s="288"/>
      <c r="K109" s="294"/>
      <c r="L109" s="294"/>
      <c r="M109" s="290"/>
      <c r="N109" s="299"/>
      <c r="O109" s="322"/>
      <c r="P109" s="300"/>
      <c r="Q109" s="219"/>
      <c r="R109" s="198"/>
      <c r="S109" s="198"/>
      <c r="T109" s="198"/>
      <c r="U109" s="198"/>
      <c r="V109" s="198"/>
      <c r="W109" s="198"/>
      <c r="X109" s="198"/>
      <c r="Y109" s="198"/>
      <c r="Z109" s="198"/>
    </row>
    <row r="110" ht="71.25" customHeight="1">
      <c r="A110" s="299"/>
      <c r="B110" s="299"/>
      <c r="C110" s="285"/>
      <c r="D110" s="285"/>
      <c r="E110" s="287"/>
      <c r="F110" s="288"/>
      <c r="G110" s="288"/>
      <c r="H110" s="288"/>
      <c r="I110" s="288"/>
      <c r="J110" s="288"/>
      <c r="K110" s="294"/>
      <c r="L110" s="294"/>
      <c r="M110" s="290"/>
      <c r="N110" s="299"/>
      <c r="O110" s="299"/>
      <c r="P110" s="300"/>
      <c r="Q110" s="219"/>
      <c r="R110" s="198"/>
      <c r="S110" s="198"/>
      <c r="T110" s="198"/>
      <c r="U110" s="198"/>
      <c r="V110" s="198"/>
      <c r="W110" s="198"/>
      <c r="X110" s="198"/>
      <c r="Y110" s="198"/>
      <c r="Z110" s="198"/>
    </row>
    <row r="111" ht="71.25" hidden="1" customHeight="1">
      <c r="A111" s="299"/>
      <c r="B111" s="285"/>
      <c r="C111" s="285"/>
      <c r="D111" s="285"/>
      <c r="E111" s="287"/>
      <c r="F111" s="288"/>
      <c r="G111" s="288"/>
      <c r="H111" s="288"/>
      <c r="I111" s="288"/>
      <c r="J111" s="288"/>
      <c r="K111" s="294"/>
      <c r="L111" s="294"/>
      <c r="M111" s="290"/>
      <c r="N111" s="299"/>
      <c r="O111" s="322"/>
      <c r="P111" s="300"/>
      <c r="Q111" s="219"/>
      <c r="R111" s="198"/>
      <c r="S111" s="198"/>
      <c r="T111" s="198"/>
      <c r="U111" s="198"/>
      <c r="V111" s="198"/>
      <c r="W111" s="198"/>
      <c r="X111" s="198"/>
      <c r="Y111" s="198"/>
      <c r="Z111" s="198"/>
    </row>
    <row r="112" ht="81.75" hidden="1" customHeight="1">
      <c r="A112" s="299"/>
      <c r="B112" s="285"/>
      <c r="C112" s="285"/>
      <c r="D112" s="285"/>
      <c r="E112" s="287"/>
      <c r="F112" s="288"/>
      <c r="G112" s="288"/>
      <c r="H112" s="288"/>
      <c r="I112" s="288"/>
      <c r="J112" s="288"/>
      <c r="K112" s="294"/>
      <c r="L112" s="294"/>
      <c r="M112" s="290"/>
      <c r="N112" s="299"/>
      <c r="O112" s="299"/>
      <c r="P112" s="300"/>
      <c r="Q112" s="219"/>
      <c r="R112" s="198"/>
      <c r="S112" s="198"/>
      <c r="T112" s="198"/>
      <c r="U112" s="198"/>
      <c r="V112" s="198"/>
      <c r="W112" s="198"/>
      <c r="X112" s="198"/>
      <c r="Y112" s="198"/>
      <c r="Z112" s="198"/>
    </row>
    <row r="113" ht="79.5" hidden="1" customHeight="1">
      <c r="A113" s="299"/>
      <c r="B113" s="285"/>
      <c r="C113" s="285"/>
      <c r="D113" s="285"/>
      <c r="E113" s="287"/>
      <c r="F113" s="288"/>
      <c r="G113" s="288"/>
      <c r="H113" s="288"/>
      <c r="I113" s="288"/>
      <c r="J113" s="288"/>
      <c r="K113" s="294"/>
      <c r="L113" s="294"/>
      <c r="M113" s="290"/>
      <c r="N113" s="285"/>
      <c r="O113" s="322"/>
      <c r="P113" s="300"/>
      <c r="Q113" s="219"/>
      <c r="R113" s="198"/>
      <c r="S113" s="198"/>
      <c r="T113" s="198"/>
      <c r="U113" s="198"/>
      <c r="V113" s="198"/>
      <c r="W113" s="198"/>
      <c r="X113" s="198"/>
      <c r="Y113" s="198"/>
      <c r="Z113" s="198"/>
    </row>
    <row r="114" ht="71.25" hidden="1" customHeight="1">
      <c r="A114" s="299"/>
      <c r="B114" s="299"/>
      <c r="C114" s="285"/>
      <c r="D114" s="285"/>
      <c r="E114" s="287"/>
      <c r="F114" s="288"/>
      <c r="G114" s="288"/>
      <c r="H114" s="288"/>
      <c r="I114" s="288"/>
      <c r="J114" s="288"/>
      <c r="K114" s="294"/>
      <c r="L114" s="294"/>
      <c r="M114" s="290"/>
      <c r="N114" s="299"/>
      <c r="O114" s="322"/>
      <c r="P114" s="300"/>
      <c r="Q114" s="219"/>
      <c r="R114" s="198"/>
      <c r="S114" s="198"/>
      <c r="T114" s="198"/>
      <c r="U114" s="198"/>
      <c r="V114" s="198"/>
      <c r="W114" s="198"/>
      <c r="X114" s="198"/>
      <c r="Y114" s="198"/>
      <c r="Z114" s="198"/>
    </row>
    <row r="115" ht="71.25" hidden="1" customHeight="1">
      <c r="A115" s="299"/>
      <c r="B115" s="299"/>
      <c r="C115" s="285"/>
      <c r="D115" s="285"/>
      <c r="E115" s="287"/>
      <c r="F115" s="288"/>
      <c r="G115" s="288"/>
      <c r="H115" s="288"/>
      <c r="I115" s="288"/>
      <c r="J115" s="288"/>
      <c r="K115" s="294"/>
      <c r="L115" s="294"/>
      <c r="M115" s="290"/>
      <c r="N115" s="285"/>
      <c r="O115" s="322"/>
      <c r="P115" s="300"/>
      <c r="Q115" s="219"/>
      <c r="R115" s="198"/>
      <c r="S115" s="198"/>
      <c r="T115" s="198"/>
      <c r="U115" s="198"/>
      <c r="V115" s="198"/>
      <c r="W115" s="198"/>
      <c r="X115" s="198"/>
      <c r="Y115" s="198"/>
      <c r="Z115" s="198"/>
    </row>
    <row r="116" ht="82.5" hidden="1" customHeight="1">
      <c r="A116" s="299"/>
      <c r="B116" s="299"/>
      <c r="C116" s="285"/>
      <c r="D116" s="285"/>
      <c r="E116" s="287"/>
      <c r="F116" s="288"/>
      <c r="G116" s="288"/>
      <c r="H116" s="288"/>
      <c r="I116" s="288"/>
      <c r="J116" s="288"/>
      <c r="K116" s="294"/>
      <c r="L116" s="294"/>
      <c r="M116" s="290"/>
      <c r="N116" s="299"/>
      <c r="O116" s="322"/>
      <c r="P116" s="300"/>
      <c r="Q116" s="219"/>
      <c r="R116" s="198"/>
      <c r="S116" s="198"/>
      <c r="T116" s="198"/>
      <c r="U116" s="198"/>
      <c r="V116" s="198"/>
      <c r="W116" s="198"/>
      <c r="X116" s="198"/>
      <c r="Y116" s="198"/>
      <c r="Z116" s="198"/>
    </row>
    <row r="117" ht="71.25" hidden="1" customHeight="1">
      <c r="A117" s="299"/>
      <c r="B117" s="299"/>
      <c r="C117" s="285"/>
      <c r="D117" s="285"/>
      <c r="E117" s="287"/>
      <c r="F117" s="288"/>
      <c r="G117" s="288"/>
      <c r="H117" s="288"/>
      <c r="I117" s="288"/>
      <c r="J117" s="288"/>
      <c r="K117" s="294"/>
      <c r="L117" s="294"/>
      <c r="M117" s="290"/>
      <c r="N117" s="285"/>
      <c r="O117" s="322"/>
      <c r="P117" s="300"/>
      <c r="Q117" s="219"/>
      <c r="R117" s="198"/>
      <c r="S117" s="198"/>
      <c r="T117" s="198"/>
      <c r="U117" s="198"/>
      <c r="V117" s="198"/>
      <c r="W117" s="198"/>
      <c r="X117" s="198"/>
      <c r="Y117" s="198"/>
      <c r="Z117" s="198"/>
    </row>
    <row r="118" ht="71.25" customHeight="1">
      <c r="A118" s="299"/>
      <c r="B118" s="299"/>
      <c r="C118" s="285"/>
      <c r="D118" s="285"/>
      <c r="E118" s="287"/>
      <c r="F118" s="288"/>
      <c r="G118" s="288"/>
      <c r="H118" s="288"/>
      <c r="I118" s="288"/>
      <c r="J118" s="288"/>
      <c r="K118" s="294"/>
      <c r="L118" s="294"/>
      <c r="M118" s="290"/>
      <c r="N118" s="285"/>
      <c r="O118" s="322"/>
      <c r="P118" s="300"/>
      <c r="Q118" s="219"/>
      <c r="R118" s="198"/>
      <c r="S118" s="198"/>
      <c r="T118" s="198"/>
      <c r="U118" s="198"/>
      <c r="V118" s="198"/>
      <c r="W118" s="198"/>
      <c r="X118" s="198"/>
      <c r="Y118" s="198"/>
      <c r="Z118" s="198"/>
    </row>
    <row r="119" ht="69.75" customHeight="1">
      <c r="A119" s="299"/>
      <c r="B119" s="299"/>
      <c r="C119" s="285"/>
      <c r="D119" s="285"/>
      <c r="E119" s="287"/>
      <c r="F119" s="288"/>
      <c r="G119" s="288"/>
      <c r="H119" s="288"/>
      <c r="I119" s="288"/>
      <c r="J119" s="288"/>
      <c r="K119" s="294"/>
      <c r="L119" s="294"/>
      <c r="M119" s="290"/>
      <c r="N119" s="299"/>
      <c r="O119" s="299"/>
      <c r="P119" s="300"/>
      <c r="Q119" s="219"/>
      <c r="R119" s="198"/>
      <c r="S119" s="198"/>
      <c r="T119" s="198"/>
      <c r="U119" s="198"/>
      <c r="V119" s="198"/>
      <c r="W119" s="198"/>
      <c r="X119" s="198"/>
      <c r="Y119" s="198"/>
      <c r="Z119" s="198"/>
    </row>
    <row r="120" ht="63.0" hidden="1" customHeight="1">
      <c r="A120" s="299"/>
      <c r="B120" s="285"/>
      <c r="C120" s="285"/>
      <c r="D120" s="285"/>
      <c r="E120" s="287"/>
      <c r="F120" s="288"/>
      <c r="G120" s="301"/>
      <c r="H120" s="301"/>
      <c r="I120" s="288"/>
      <c r="J120" s="523"/>
      <c r="K120" s="294"/>
      <c r="L120" s="294"/>
      <c r="M120" s="290"/>
      <c r="N120" s="285"/>
      <c r="O120" s="299"/>
      <c r="P120" s="300"/>
      <c r="Q120" s="219"/>
      <c r="R120" s="198"/>
      <c r="S120" s="198"/>
      <c r="T120" s="198"/>
      <c r="U120" s="198"/>
      <c r="V120" s="198"/>
      <c r="W120" s="198"/>
      <c r="X120" s="198"/>
      <c r="Y120" s="198"/>
      <c r="Z120" s="198"/>
    </row>
    <row r="121" ht="61.5" hidden="1" customHeight="1">
      <c r="A121" s="285"/>
      <c r="B121" s="299"/>
      <c r="C121" s="285"/>
      <c r="D121" s="367"/>
      <c r="E121" s="287"/>
      <c r="F121" s="288"/>
      <c r="G121" s="301"/>
      <c r="H121" s="301"/>
      <c r="I121" s="288"/>
      <c r="J121" s="523"/>
      <c r="K121" s="294"/>
      <c r="L121" s="294"/>
      <c r="M121" s="290"/>
      <c r="N121" s="285"/>
      <c r="O121" s="299"/>
      <c r="P121" s="300"/>
      <c r="Q121" s="219"/>
      <c r="R121" s="198"/>
      <c r="S121" s="198"/>
      <c r="T121" s="198"/>
      <c r="U121" s="198"/>
      <c r="V121" s="198"/>
      <c r="W121" s="198"/>
      <c r="X121" s="198"/>
      <c r="Y121" s="198"/>
      <c r="Z121" s="198"/>
    </row>
    <row r="122" ht="69.75" hidden="1" customHeight="1">
      <c r="A122" s="285"/>
      <c r="B122" s="299"/>
      <c r="C122" s="285"/>
      <c r="D122" s="367"/>
      <c r="E122" s="287"/>
      <c r="F122" s="288"/>
      <c r="G122" s="301"/>
      <c r="H122" s="301"/>
      <c r="I122" s="288"/>
      <c r="J122" s="523"/>
      <c r="K122" s="294"/>
      <c r="L122" s="294"/>
      <c r="M122" s="290"/>
      <c r="N122" s="285"/>
      <c r="O122" s="299"/>
      <c r="P122" s="300"/>
      <c r="Q122" s="219"/>
      <c r="R122" s="198"/>
      <c r="S122" s="198"/>
      <c r="T122" s="198"/>
      <c r="U122" s="198"/>
      <c r="V122" s="198"/>
      <c r="W122" s="198"/>
      <c r="X122" s="198"/>
      <c r="Y122" s="198"/>
      <c r="Z122" s="198"/>
    </row>
    <row r="123" ht="70.5" customHeight="1">
      <c r="A123" s="299"/>
      <c r="B123" s="285"/>
      <c r="C123" s="285"/>
      <c r="D123" s="285"/>
      <c r="E123" s="287"/>
      <c r="F123" s="288"/>
      <c r="G123" s="301"/>
      <c r="H123" s="301"/>
      <c r="I123" s="288"/>
      <c r="J123" s="523"/>
      <c r="K123" s="294"/>
      <c r="L123" s="294"/>
      <c r="M123" s="290"/>
      <c r="N123" s="285"/>
      <c r="O123" s="299"/>
      <c r="P123" s="300"/>
      <c r="Q123" s="219"/>
      <c r="R123" s="198"/>
      <c r="S123" s="198"/>
      <c r="T123" s="198"/>
      <c r="U123" s="198"/>
      <c r="V123" s="198"/>
      <c r="W123" s="198"/>
      <c r="X123" s="198"/>
      <c r="Y123" s="198"/>
      <c r="Z123" s="198"/>
    </row>
    <row r="124" ht="61.5" hidden="1" customHeight="1">
      <c r="A124" s="285"/>
      <c r="B124" s="299"/>
      <c r="C124" s="285"/>
      <c r="D124" s="367"/>
      <c r="E124" s="287"/>
      <c r="F124" s="288"/>
      <c r="G124" s="301"/>
      <c r="H124" s="301"/>
      <c r="I124" s="288"/>
      <c r="J124" s="523"/>
      <c r="K124" s="294"/>
      <c r="L124" s="294"/>
      <c r="M124" s="290"/>
      <c r="N124" s="285"/>
      <c r="O124" s="299"/>
      <c r="P124" s="300"/>
      <c r="Q124" s="219"/>
      <c r="R124" s="198"/>
      <c r="S124" s="198"/>
      <c r="T124" s="198"/>
      <c r="U124" s="198"/>
      <c r="V124" s="198"/>
      <c r="W124" s="198"/>
      <c r="X124" s="198"/>
      <c r="Y124" s="198"/>
      <c r="Z124" s="198"/>
    </row>
    <row r="125" ht="57.75" customHeight="1">
      <c r="A125" s="285"/>
      <c r="B125" s="299"/>
      <c r="C125" s="285"/>
      <c r="D125" s="367"/>
      <c r="E125" s="287"/>
      <c r="F125" s="288"/>
      <c r="G125" s="301"/>
      <c r="H125" s="301"/>
      <c r="I125" s="288"/>
      <c r="J125" s="523"/>
      <c r="K125" s="294"/>
      <c r="L125" s="294"/>
      <c r="M125" s="290"/>
      <c r="N125" s="285"/>
      <c r="O125" s="299"/>
      <c r="P125" s="300"/>
      <c r="Q125" s="219"/>
      <c r="R125" s="198"/>
      <c r="S125" s="198"/>
      <c r="T125" s="198"/>
      <c r="U125" s="198"/>
      <c r="V125" s="198"/>
      <c r="W125" s="198"/>
      <c r="X125" s="198"/>
      <c r="Y125" s="198"/>
      <c r="Z125" s="198"/>
    </row>
    <row r="126" ht="57.75" customHeight="1">
      <c r="A126" s="299"/>
      <c r="B126" s="285"/>
      <c r="C126" s="285"/>
      <c r="D126" s="285"/>
      <c r="E126" s="287"/>
      <c r="F126" s="288"/>
      <c r="G126" s="301"/>
      <c r="H126" s="301"/>
      <c r="I126" s="288"/>
      <c r="J126" s="523"/>
      <c r="K126" s="294"/>
      <c r="L126" s="294"/>
      <c r="M126" s="290"/>
      <c r="N126" s="285"/>
      <c r="O126" s="299"/>
      <c r="P126" s="300"/>
      <c r="Q126" s="219"/>
      <c r="R126" s="198"/>
      <c r="S126" s="198"/>
      <c r="T126" s="198"/>
      <c r="U126" s="198"/>
      <c r="V126" s="198"/>
      <c r="W126" s="198"/>
      <c r="X126" s="198"/>
      <c r="Y126" s="198"/>
      <c r="Z126" s="198"/>
    </row>
    <row r="127" ht="57.75" customHeight="1">
      <c r="A127" s="285"/>
      <c r="B127" s="299"/>
      <c r="C127" s="285"/>
      <c r="D127" s="367"/>
      <c r="E127" s="287"/>
      <c r="F127" s="288"/>
      <c r="G127" s="301"/>
      <c r="H127" s="301"/>
      <c r="I127" s="288"/>
      <c r="J127" s="523"/>
      <c r="K127" s="294"/>
      <c r="L127" s="294"/>
      <c r="M127" s="290"/>
      <c r="N127" s="285"/>
      <c r="O127" s="299"/>
      <c r="P127" s="300"/>
      <c r="Q127" s="219"/>
      <c r="R127" s="198"/>
      <c r="S127" s="198"/>
      <c r="T127" s="198"/>
      <c r="U127" s="198"/>
      <c r="V127" s="198"/>
      <c r="W127" s="198"/>
      <c r="X127" s="198"/>
      <c r="Y127" s="198"/>
      <c r="Z127" s="198"/>
    </row>
    <row r="128" ht="57.75" customHeight="1">
      <c r="A128" s="285"/>
      <c r="B128" s="299"/>
      <c r="C128" s="285"/>
      <c r="D128" s="367"/>
      <c r="E128" s="287"/>
      <c r="F128" s="288"/>
      <c r="G128" s="301"/>
      <c r="H128" s="301"/>
      <c r="I128" s="288"/>
      <c r="J128" s="523"/>
      <c r="K128" s="294"/>
      <c r="L128" s="294"/>
      <c r="M128" s="290"/>
      <c r="N128" s="285"/>
      <c r="O128" s="299"/>
      <c r="P128" s="300"/>
      <c r="Q128" s="219"/>
      <c r="R128" s="198"/>
      <c r="S128" s="198"/>
      <c r="T128" s="198"/>
      <c r="U128" s="198"/>
      <c r="V128" s="198"/>
      <c r="W128" s="198"/>
      <c r="X128" s="198"/>
      <c r="Y128" s="198"/>
      <c r="Z128" s="198"/>
    </row>
    <row r="129" ht="57.75" hidden="1" customHeight="1">
      <c r="A129" s="299"/>
      <c r="B129" s="285"/>
      <c r="C129" s="285"/>
      <c r="D129" s="285"/>
      <c r="E129" s="287"/>
      <c r="F129" s="288"/>
      <c r="G129" s="301"/>
      <c r="H129" s="301"/>
      <c r="I129" s="288"/>
      <c r="J129" s="523"/>
      <c r="K129" s="294"/>
      <c r="L129" s="294"/>
      <c r="M129" s="290"/>
      <c r="N129" s="285"/>
      <c r="O129" s="299"/>
      <c r="P129" s="300"/>
      <c r="Q129" s="219"/>
      <c r="R129" s="198"/>
      <c r="S129" s="198"/>
      <c r="T129" s="198"/>
      <c r="U129" s="198"/>
      <c r="V129" s="198"/>
      <c r="W129" s="198"/>
      <c r="X129" s="198"/>
      <c r="Y129" s="198"/>
      <c r="Z129" s="198"/>
    </row>
    <row r="130" ht="57.75" customHeight="1">
      <c r="A130" s="285"/>
      <c r="B130" s="299"/>
      <c r="C130" s="285"/>
      <c r="D130" s="367"/>
      <c r="E130" s="287"/>
      <c r="F130" s="288"/>
      <c r="G130" s="301"/>
      <c r="H130" s="301"/>
      <c r="I130" s="288"/>
      <c r="J130" s="523"/>
      <c r="K130" s="294"/>
      <c r="L130" s="294"/>
      <c r="M130" s="290"/>
      <c r="N130" s="285"/>
      <c r="O130" s="299"/>
      <c r="P130" s="300"/>
      <c r="Q130" s="219"/>
      <c r="R130" s="198"/>
      <c r="S130" s="198"/>
      <c r="T130" s="198"/>
      <c r="U130" s="198"/>
      <c r="V130" s="198"/>
      <c r="W130" s="198"/>
      <c r="X130" s="198"/>
      <c r="Y130" s="198"/>
      <c r="Z130" s="198"/>
    </row>
    <row r="131" ht="57.75" hidden="1" customHeight="1">
      <c r="A131" s="285"/>
      <c r="B131" s="299"/>
      <c r="C131" s="285"/>
      <c r="D131" s="367"/>
      <c r="E131" s="287"/>
      <c r="F131" s="288"/>
      <c r="G131" s="301"/>
      <c r="H131" s="301"/>
      <c r="I131" s="288"/>
      <c r="J131" s="523"/>
      <c r="K131" s="294"/>
      <c r="L131" s="294"/>
      <c r="M131" s="290"/>
      <c r="N131" s="285"/>
      <c r="O131" s="299"/>
      <c r="P131" s="300"/>
      <c r="Q131" s="219"/>
      <c r="R131" s="198"/>
      <c r="S131" s="198"/>
      <c r="T131" s="198"/>
      <c r="U131" s="198"/>
      <c r="V131" s="198"/>
      <c r="W131" s="198"/>
      <c r="X131" s="198"/>
      <c r="Y131" s="198"/>
      <c r="Z131" s="198"/>
    </row>
    <row r="132" ht="57.75" hidden="1" customHeight="1">
      <c r="A132" s="299"/>
      <c r="B132" s="285"/>
      <c r="C132" s="285"/>
      <c r="D132" s="285"/>
      <c r="E132" s="287"/>
      <c r="F132" s="288"/>
      <c r="G132" s="301"/>
      <c r="H132" s="301"/>
      <c r="I132" s="288"/>
      <c r="J132" s="523"/>
      <c r="K132" s="294"/>
      <c r="L132" s="294"/>
      <c r="M132" s="290"/>
      <c r="N132" s="285"/>
      <c r="O132" s="299"/>
      <c r="P132" s="300"/>
      <c r="Q132" s="219"/>
      <c r="R132" s="198"/>
      <c r="S132" s="198"/>
      <c r="T132" s="198"/>
      <c r="U132" s="198"/>
      <c r="V132" s="198"/>
      <c r="W132" s="198"/>
      <c r="X132" s="198"/>
      <c r="Y132" s="198"/>
      <c r="Z132" s="198"/>
    </row>
    <row r="133" ht="69.75" hidden="1" customHeight="1">
      <c r="A133" s="285"/>
      <c r="B133" s="299"/>
      <c r="C133" s="285"/>
      <c r="D133" s="367"/>
      <c r="E133" s="287"/>
      <c r="F133" s="288"/>
      <c r="G133" s="301"/>
      <c r="H133" s="301"/>
      <c r="I133" s="288"/>
      <c r="J133" s="523"/>
      <c r="K133" s="294"/>
      <c r="L133" s="294"/>
      <c r="M133" s="290"/>
      <c r="N133" s="285"/>
      <c r="O133" s="299"/>
      <c r="P133" s="300"/>
      <c r="Q133" s="219"/>
      <c r="R133" s="198"/>
      <c r="S133" s="198"/>
      <c r="T133" s="198"/>
      <c r="U133" s="198"/>
      <c r="V133" s="198"/>
      <c r="W133" s="198"/>
      <c r="X133" s="198"/>
      <c r="Y133" s="198"/>
      <c r="Z133" s="198"/>
    </row>
    <row r="134" ht="57.75" hidden="1" customHeight="1">
      <c r="A134" s="285"/>
      <c r="B134" s="299"/>
      <c r="C134" s="285"/>
      <c r="D134" s="367"/>
      <c r="E134" s="287"/>
      <c r="F134" s="288"/>
      <c r="G134" s="301"/>
      <c r="H134" s="301"/>
      <c r="I134" s="288"/>
      <c r="J134" s="523"/>
      <c r="K134" s="294"/>
      <c r="L134" s="294"/>
      <c r="M134" s="290"/>
      <c r="N134" s="285"/>
      <c r="O134" s="299"/>
      <c r="P134" s="300"/>
      <c r="Q134" s="219"/>
      <c r="R134" s="198"/>
      <c r="S134" s="198"/>
      <c r="T134" s="198"/>
      <c r="U134" s="198"/>
      <c r="V134" s="198"/>
      <c r="W134" s="198"/>
      <c r="X134" s="198"/>
      <c r="Y134" s="198"/>
      <c r="Z134" s="198"/>
    </row>
    <row r="135" ht="57.75" customHeight="1">
      <c r="A135" s="299"/>
      <c r="B135" s="285"/>
      <c r="C135" s="285"/>
      <c r="D135" s="285"/>
      <c r="E135" s="287"/>
      <c r="F135" s="288"/>
      <c r="G135" s="301"/>
      <c r="H135" s="301"/>
      <c r="I135" s="288"/>
      <c r="J135" s="523"/>
      <c r="K135" s="294"/>
      <c r="L135" s="294"/>
      <c r="M135" s="290"/>
      <c r="N135" s="285"/>
      <c r="O135" s="299"/>
      <c r="P135" s="300"/>
      <c r="Q135" s="219"/>
      <c r="R135" s="198"/>
      <c r="S135" s="198"/>
      <c r="T135" s="198"/>
      <c r="U135" s="198"/>
      <c r="V135" s="198"/>
      <c r="W135" s="198"/>
      <c r="X135" s="198"/>
      <c r="Y135" s="198"/>
      <c r="Z135" s="198"/>
    </row>
    <row r="136" ht="57.75" customHeight="1">
      <c r="A136" s="285"/>
      <c r="B136" s="299"/>
      <c r="C136" s="285"/>
      <c r="D136" s="367"/>
      <c r="E136" s="287"/>
      <c r="F136" s="288"/>
      <c r="G136" s="301"/>
      <c r="H136" s="301"/>
      <c r="I136" s="288"/>
      <c r="J136" s="523"/>
      <c r="K136" s="294"/>
      <c r="L136" s="294"/>
      <c r="M136" s="290"/>
      <c r="N136" s="285"/>
      <c r="O136" s="299"/>
      <c r="P136" s="300"/>
      <c r="Q136" s="219"/>
      <c r="R136" s="198"/>
      <c r="S136" s="198"/>
      <c r="T136" s="198"/>
      <c r="U136" s="198"/>
      <c r="V136" s="198"/>
      <c r="W136" s="198"/>
      <c r="X136" s="198"/>
      <c r="Y136" s="198"/>
      <c r="Z136" s="198"/>
    </row>
    <row r="137" ht="72.75" hidden="1" customHeight="1">
      <c r="A137" s="285"/>
      <c r="B137" s="299"/>
      <c r="C137" s="285"/>
      <c r="D137" s="367"/>
      <c r="E137" s="287"/>
      <c r="F137" s="288"/>
      <c r="G137" s="301"/>
      <c r="H137" s="301"/>
      <c r="I137" s="288"/>
      <c r="J137" s="523"/>
      <c r="K137" s="294"/>
      <c r="L137" s="294"/>
      <c r="M137" s="290"/>
      <c r="N137" s="285"/>
      <c r="O137" s="299"/>
      <c r="P137" s="300"/>
      <c r="Q137" s="219"/>
      <c r="R137" s="198"/>
      <c r="S137" s="198"/>
      <c r="T137" s="198"/>
      <c r="U137" s="198"/>
      <c r="V137" s="198"/>
      <c r="W137" s="198"/>
      <c r="X137" s="198"/>
      <c r="Y137" s="198"/>
      <c r="Z137" s="198"/>
    </row>
    <row r="138" ht="57.75" hidden="1" customHeight="1">
      <c r="A138" s="299"/>
      <c r="B138" s="285"/>
      <c r="C138" s="285"/>
      <c r="D138" s="285"/>
      <c r="E138" s="287"/>
      <c r="F138" s="288"/>
      <c r="G138" s="301"/>
      <c r="H138" s="301"/>
      <c r="I138" s="288"/>
      <c r="J138" s="523"/>
      <c r="K138" s="294"/>
      <c r="L138" s="294"/>
      <c r="M138" s="290"/>
      <c r="N138" s="285"/>
      <c r="O138" s="299"/>
      <c r="P138" s="300"/>
      <c r="Q138" s="219"/>
      <c r="R138" s="198"/>
      <c r="S138" s="198"/>
      <c r="T138" s="198"/>
      <c r="U138" s="198"/>
      <c r="V138" s="198"/>
      <c r="W138" s="198"/>
      <c r="X138" s="198"/>
      <c r="Y138" s="198"/>
      <c r="Z138" s="198"/>
    </row>
    <row r="139" ht="57.75" hidden="1" customHeight="1">
      <c r="A139" s="285"/>
      <c r="B139" s="299"/>
      <c r="C139" s="285"/>
      <c r="D139" s="367"/>
      <c r="E139" s="287"/>
      <c r="F139" s="288"/>
      <c r="G139" s="301"/>
      <c r="H139" s="301"/>
      <c r="I139" s="288"/>
      <c r="J139" s="523"/>
      <c r="K139" s="294"/>
      <c r="L139" s="294"/>
      <c r="M139" s="290"/>
      <c r="N139" s="285"/>
      <c r="O139" s="299"/>
      <c r="P139" s="300"/>
      <c r="Q139" s="219"/>
      <c r="R139" s="198"/>
      <c r="S139" s="198"/>
      <c r="T139" s="198"/>
      <c r="U139" s="198"/>
      <c r="V139" s="198"/>
      <c r="W139" s="198"/>
      <c r="X139" s="198"/>
      <c r="Y139" s="198"/>
      <c r="Z139" s="198"/>
    </row>
    <row r="140" ht="57.75" hidden="1" customHeight="1">
      <c r="A140" s="285"/>
      <c r="B140" s="299"/>
      <c r="C140" s="285"/>
      <c r="D140" s="367"/>
      <c r="E140" s="287"/>
      <c r="F140" s="288"/>
      <c r="G140" s="301"/>
      <c r="H140" s="301"/>
      <c r="I140" s="288"/>
      <c r="J140" s="523"/>
      <c r="K140" s="294"/>
      <c r="L140" s="294"/>
      <c r="M140" s="290"/>
      <c r="N140" s="285"/>
      <c r="O140" s="299"/>
      <c r="P140" s="300"/>
      <c r="Q140" s="219"/>
      <c r="R140" s="198"/>
      <c r="S140" s="198"/>
      <c r="T140" s="198"/>
      <c r="U140" s="198"/>
      <c r="V140" s="198"/>
      <c r="W140" s="198"/>
      <c r="X140" s="198"/>
      <c r="Y140" s="198"/>
      <c r="Z140" s="198"/>
    </row>
    <row r="141" ht="72.0" hidden="1" customHeight="1">
      <c r="A141" s="299"/>
      <c r="B141" s="285"/>
      <c r="C141" s="285"/>
      <c r="D141" s="285"/>
      <c r="E141" s="287"/>
      <c r="F141" s="288"/>
      <c r="G141" s="301"/>
      <c r="H141" s="301"/>
      <c r="I141" s="288"/>
      <c r="J141" s="523"/>
      <c r="K141" s="294"/>
      <c r="L141" s="294"/>
      <c r="M141" s="290"/>
      <c r="N141" s="285"/>
      <c r="O141" s="299"/>
      <c r="P141" s="300"/>
      <c r="Q141" s="219"/>
      <c r="R141" s="198"/>
      <c r="S141" s="198"/>
      <c r="T141" s="198"/>
      <c r="U141" s="198"/>
      <c r="V141" s="198"/>
      <c r="W141" s="198"/>
      <c r="X141" s="198"/>
      <c r="Y141" s="198"/>
      <c r="Z141" s="198"/>
    </row>
    <row r="142" ht="57.75" customHeight="1">
      <c r="A142" s="285"/>
      <c r="B142" s="299"/>
      <c r="C142" s="285"/>
      <c r="D142" s="367"/>
      <c r="E142" s="287"/>
      <c r="F142" s="288"/>
      <c r="G142" s="301"/>
      <c r="H142" s="301"/>
      <c r="I142" s="288"/>
      <c r="J142" s="523"/>
      <c r="K142" s="294"/>
      <c r="L142" s="294"/>
      <c r="M142" s="290"/>
      <c r="N142" s="285"/>
      <c r="O142" s="299"/>
      <c r="P142" s="300"/>
      <c r="Q142" s="219"/>
      <c r="R142" s="198"/>
      <c r="S142" s="198"/>
      <c r="T142" s="198"/>
      <c r="U142" s="198"/>
      <c r="V142" s="198"/>
      <c r="W142" s="198"/>
      <c r="X142" s="198"/>
      <c r="Y142" s="198"/>
      <c r="Z142" s="198"/>
    </row>
    <row r="143" ht="59.25" hidden="1" customHeight="1">
      <c r="A143" s="285"/>
      <c r="B143" s="299"/>
      <c r="C143" s="285"/>
      <c r="D143" s="367"/>
      <c r="E143" s="287"/>
      <c r="F143" s="288"/>
      <c r="G143" s="301"/>
      <c r="H143" s="301"/>
      <c r="I143" s="288"/>
      <c r="J143" s="523"/>
      <c r="K143" s="294"/>
      <c r="L143" s="294"/>
      <c r="M143" s="290"/>
      <c r="N143" s="285"/>
      <c r="O143" s="299"/>
      <c r="P143" s="300"/>
      <c r="Q143" s="219"/>
      <c r="R143" s="198"/>
      <c r="S143" s="198"/>
      <c r="T143" s="198"/>
      <c r="U143" s="198"/>
      <c r="V143" s="198"/>
      <c r="W143" s="198"/>
      <c r="X143" s="198"/>
      <c r="Y143" s="198"/>
      <c r="Z143" s="198"/>
    </row>
    <row r="144" ht="55.5" customHeight="1">
      <c r="A144" s="299"/>
      <c r="B144" s="285"/>
      <c r="C144" s="285"/>
      <c r="D144" s="285"/>
      <c r="E144" s="287"/>
      <c r="F144" s="288"/>
      <c r="G144" s="301"/>
      <c r="H144" s="301"/>
      <c r="I144" s="288"/>
      <c r="J144" s="523"/>
      <c r="K144" s="294"/>
      <c r="L144" s="294"/>
      <c r="M144" s="290"/>
      <c r="N144" s="285"/>
      <c r="O144" s="299"/>
      <c r="P144" s="300"/>
      <c r="Q144" s="219"/>
      <c r="R144" s="198"/>
      <c r="S144" s="198"/>
      <c r="T144" s="198"/>
      <c r="U144" s="198"/>
      <c r="V144" s="198"/>
      <c r="W144" s="198"/>
      <c r="X144" s="198"/>
      <c r="Y144" s="198"/>
      <c r="Z144" s="198"/>
    </row>
    <row r="145" ht="62.25" customHeight="1">
      <c r="A145" s="285"/>
      <c r="B145" s="299"/>
      <c r="C145" s="285"/>
      <c r="D145" s="367"/>
      <c r="E145" s="287"/>
      <c r="F145" s="288"/>
      <c r="G145" s="301"/>
      <c r="H145" s="301"/>
      <c r="I145" s="288"/>
      <c r="J145" s="523"/>
      <c r="K145" s="294"/>
      <c r="L145" s="294"/>
      <c r="M145" s="290"/>
      <c r="N145" s="285"/>
      <c r="O145" s="299"/>
      <c r="P145" s="300"/>
      <c r="Q145" s="219"/>
      <c r="R145" s="198"/>
      <c r="S145" s="198"/>
      <c r="T145" s="198"/>
      <c r="U145" s="198"/>
      <c r="V145" s="198"/>
      <c r="W145" s="198"/>
      <c r="X145" s="198"/>
      <c r="Y145" s="198"/>
      <c r="Z145" s="198"/>
    </row>
    <row r="146" ht="63.75" customHeight="1">
      <c r="A146" s="285"/>
      <c r="B146" s="299"/>
      <c r="C146" s="285"/>
      <c r="D146" s="367"/>
      <c r="E146" s="287"/>
      <c r="F146" s="288"/>
      <c r="G146" s="301"/>
      <c r="H146" s="301"/>
      <c r="I146" s="288"/>
      <c r="J146" s="523"/>
      <c r="K146" s="294"/>
      <c r="L146" s="294"/>
      <c r="M146" s="290"/>
      <c r="N146" s="285"/>
      <c r="O146" s="299"/>
      <c r="P146" s="300"/>
      <c r="Q146" s="219"/>
      <c r="R146" s="198"/>
      <c r="S146" s="198"/>
      <c r="T146" s="198"/>
      <c r="U146" s="198"/>
      <c r="V146" s="198"/>
      <c r="W146" s="198"/>
      <c r="X146" s="198"/>
      <c r="Y146" s="198"/>
      <c r="Z146" s="198"/>
    </row>
    <row r="147" ht="60.75" hidden="1" customHeight="1">
      <c r="A147" s="299"/>
      <c r="B147" s="285"/>
      <c r="C147" s="285"/>
      <c r="D147" s="285"/>
      <c r="E147" s="287"/>
      <c r="F147" s="288"/>
      <c r="G147" s="301"/>
      <c r="H147" s="301"/>
      <c r="I147" s="288"/>
      <c r="J147" s="523"/>
      <c r="K147" s="294"/>
      <c r="L147" s="294"/>
      <c r="M147" s="290"/>
      <c r="N147" s="285"/>
      <c r="O147" s="299"/>
      <c r="P147" s="300"/>
      <c r="Q147" s="219"/>
      <c r="R147" s="198"/>
      <c r="S147" s="198"/>
      <c r="T147" s="198"/>
      <c r="U147" s="198"/>
      <c r="V147" s="198"/>
      <c r="W147" s="198"/>
      <c r="X147" s="198"/>
      <c r="Y147" s="198"/>
      <c r="Z147" s="198"/>
    </row>
    <row r="148" ht="72.0" customHeight="1">
      <c r="A148" s="285"/>
      <c r="B148" s="299"/>
      <c r="C148" s="285"/>
      <c r="D148" s="367"/>
      <c r="E148" s="287"/>
      <c r="F148" s="288"/>
      <c r="G148" s="301"/>
      <c r="H148" s="301"/>
      <c r="I148" s="288"/>
      <c r="J148" s="523"/>
      <c r="K148" s="294"/>
      <c r="L148" s="294"/>
      <c r="M148" s="290"/>
      <c r="N148" s="285"/>
      <c r="O148" s="299"/>
      <c r="P148" s="300"/>
      <c r="Q148" s="219"/>
      <c r="R148" s="198"/>
      <c r="S148" s="198"/>
      <c r="T148" s="198"/>
      <c r="U148" s="198"/>
      <c r="V148" s="198"/>
      <c r="W148" s="198"/>
      <c r="X148" s="198"/>
      <c r="Y148" s="198"/>
      <c r="Z148" s="198"/>
    </row>
    <row r="149" ht="57.75" customHeight="1">
      <c r="A149" s="285"/>
      <c r="B149" s="299"/>
      <c r="C149" s="285"/>
      <c r="D149" s="367"/>
      <c r="E149" s="287"/>
      <c r="F149" s="288"/>
      <c r="G149" s="301"/>
      <c r="H149" s="301"/>
      <c r="I149" s="288"/>
      <c r="J149" s="523"/>
      <c r="K149" s="294"/>
      <c r="L149" s="294"/>
      <c r="M149" s="290"/>
      <c r="N149" s="285"/>
      <c r="O149" s="299"/>
      <c r="P149" s="300"/>
      <c r="Q149" s="219"/>
      <c r="R149" s="198"/>
      <c r="S149" s="198"/>
      <c r="T149" s="198"/>
      <c r="U149" s="198"/>
      <c r="V149" s="198"/>
      <c r="W149" s="198"/>
      <c r="X149" s="198"/>
      <c r="Y149" s="198"/>
      <c r="Z149" s="198"/>
    </row>
    <row r="150" ht="57.75" hidden="1" customHeight="1">
      <c r="A150" s="299"/>
      <c r="B150" s="285"/>
      <c r="C150" s="285"/>
      <c r="D150" s="285"/>
      <c r="E150" s="287"/>
      <c r="F150" s="288"/>
      <c r="G150" s="301"/>
      <c r="H150" s="301"/>
      <c r="I150" s="288"/>
      <c r="J150" s="523"/>
      <c r="K150" s="294"/>
      <c r="L150" s="294"/>
      <c r="M150" s="290"/>
      <c r="N150" s="285"/>
      <c r="O150" s="299"/>
      <c r="P150" s="300"/>
      <c r="Q150" s="219"/>
      <c r="R150" s="198"/>
      <c r="S150" s="198"/>
      <c r="T150" s="198"/>
      <c r="U150" s="198"/>
      <c r="V150" s="198"/>
      <c r="W150" s="198"/>
      <c r="X150" s="198"/>
      <c r="Y150" s="198"/>
      <c r="Z150" s="198"/>
    </row>
    <row r="151" ht="63.0" hidden="1" customHeight="1">
      <c r="A151" s="285"/>
      <c r="B151" s="299"/>
      <c r="C151" s="285"/>
      <c r="D151" s="367"/>
      <c r="E151" s="287"/>
      <c r="F151" s="288"/>
      <c r="G151" s="301"/>
      <c r="H151" s="301"/>
      <c r="I151" s="288"/>
      <c r="J151" s="523"/>
      <c r="K151" s="294"/>
      <c r="L151" s="294"/>
      <c r="M151" s="290"/>
      <c r="N151" s="285"/>
      <c r="O151" s="299"/>
      <c r="P151" s="300"/>
      <c r="Q151" s="219"/>
      <c r="R151" s="198"/>
      <c r="S151" s="198"/>
      <c r="T151" s="198"/>
      <c r="U151" s="198"/>
      <c r="V151" s="198"/>
      <c r="W151" s="198"/>
      <c r="X151" s="198"/>
      <c r="Y151" s="198"/>
      <c r="Z151" s="198"/>
    </row>
    <row r="152" ht="69.0" customHeight="1">
      <c r="A152" s="285"/>
      <c r="B152" s="299"/>
      <c r="C152" s="285"/>
      <c r="D152" s="367"/>
      <c r="E152" s="287"/>
      <c r="F152" s="288"/>
      <c r="G152" s="301"/>
      <c r="H152" s="301"/>
      <c r="I152" s="288"/>
      <c r="J152" s="523"/>
      <c r="K152" s="294"/>
      <c r="L152" s="294"/>
      <c r="M152" s="290"/>
      <c r="N152" s="285"/>
      <c r="O152" s="299"/>
      <c r="P152" s="300"/>
      <c r="Q152" s="219"/>
      <c r="R152" s="198"/>
      <c r="S152" s="198"/>
      <c r="T152" s="198"/>
      <c r="U152" s="198"/>
      <c r="V152" s="198"/>
      <c r="W152" s="198"/>
      <c r="X152" s="198"/>
      <c r="Y152" s="198"/>
      <c r="Z152" s="198"/>
    </row>
    <row r="153" ht="61.5" hidden="1" customHeight="1">
      <c r="A153" s="299"/>
      <c r="B153" s="285"/>
      <c r="C153" s="285"/>
      <c r="D153" s="285"/>
      <c r="E153" s="287"/>
      <c r="F153" s="288"/>
      <c r="G153" s="301"/>
      <c r="H153" s="301"/>
      <c r="I153" s="288"/>
      <c r="J153" s="523"/>
      <c r="K153" s="294"/>
      <c r="L153" s="294"/>
      <c r="M153" s="290"/>
      <c r="N153" s="285"/>
      <c r="O153" s="299"/>
      <c r="P153" s="300"/>
      <c r="Q153" s="219"/>
      <c r="R153" s="198"/>
      <c r="S153" s="198"/>
      <c r="T153" s="198"/>
      <c r="U153" s="198"/>
      <c r="V153" s="198"/>
      <c r="W153" s="198"/>
      <c r="X153" s="198"/>
      <c r="Y153" s="198"/>
      <c r="Z153" s="198"/>
    </row>
    <row r="154" ht="57.75" hidden="1" customHeight="1">
      <c r="A154" s="285"/>
      <c r="B154" s="299"/>
      <c r="C154" s="285"/>
      <c r="D154" s="367"/>
      <c r="E154" s="287"/>
      <c r="F154" s="288"/>
      <c r="G154" s="301"/>
      <c r="H154" s="301"/>
      <c r="I154" s="288"/>
      <c r="J154" s="523"/>
      <c r="K154" s="294"/>
      <c r="L154" s="294"/>
      <c r="M154" s="290"/>
      <c r="N154" s="285"/>
      <c r="O154" s="299"/>
      <c r="P154" s="300"/>
      <c r="Q154" s="219"/>
      <c r="R154" s="198"/>
      <c r="S154" s="198"/>
      <c r="T154" s="198"/>
      <c r="U154" s="198"/>
      <c r="V154" s="198"/>
      <c r="W154" s="198"/>
      <c r="X154" s="198"/>
      <c r="Y154" s="198"/>
      <c r="Z154" s="198"/>
    </row>
    <row r="155" ht="62.25" hidden="1" customHeight="1">
      <c r="A155" s="285"/>
      <c r="B155" s="299"/>
      <c r="C155" s="285"/>
      <c r="D155" s="367"/>
      <c r="E155" s="287"/>
      <c r="F155" s="288"/>
      <c r="G155" s="301"/>
      <c r="H155" s="301"/>
      <c r="I155" s="288"/>
      <c r="J155" s="523"/>
      <c r="K155" s="294"/>
      <c r="L155" s="294"/>
      <c r="M155" s="290"/>
      <c r="N155" s="285"/>
      <c r="O155" s="299"/>
      <c r="P155" s="300"/>
      <c r="Q155" s="219"/>
      <c r="R155" s="198"/>
      <c r="S155" s="198"/>
      <c r="T155" s="198"/>
      <c r="U155" s="198"/>
      <c r="V155" s="198"/>
      <c r="W155" s="198"/>
      <c r="X155" s="198"/>
      <c r="Y155" s="198"/>
      <c r="Z155" s="198"/>
    </row>
    <row r="156" ht="69.0" customHeight="1">
      <c r="A156" s="299"/>
      <c r="B156" s="285"/>
      <c r="C156" s="285"/>
      <c r="D156" s="285"/>
      <c r="E156" s="287"/>
      <c r="F156" s="288"/>
      <c r="G156" s="301"/>
      <c r="H156" s="301"/>
      <c r="I156" s="288"/>
      <c r="J156" s="523"/>
      <c r="K156" s="294"/>
      <c r="L156" s="294"/>
      <c r="M156" s="290"/>
      <c r="N156" s="285"/>
      <c r="O156" s="299"/>
      <c r="P156" s="300"/>
      <c r="Q156" s="219"/>
      <c r="R156" s="198"/>
      <c r="S156" s="198"/>
      <c r="T156" s="198"/>
      <c r="U156" s="198"/>
      <c r="V156" s="198"/>
      <c r="W156" s="198"/>
      <c r="X156" s="198"/>
      <c r="Y156" s="198"/>
      <c r="Z156" s="198"/>
    </row>
    <row r="157" ht="63.0" customHeight="1">
      <c r="A157" s="285"/>
      <c r="B157" s="299"/>
      <c r="C157" s="285"/>
      <c r="D157" s="367"/>
      <c r="E157" s="287"/>
      <c r="F157" s="288"/>
      <c r="G157" s="301"/>
      <c r="H157" s="301"/>
      <c r="I157" s="288"/>
      <c r="J157" s="523"/>
      <c r="K157" s="294"/>
      <c r="L157" s="294"/>
      <c r="M157" s="290"/>
      <c r="N157" s="285"/>
      <c r="O157" s="299"/>
      <c r="P157" s="300"/>
      <c r="Q157" s="219"/>
      <c r="R157" s="198"/>
      <c r="S157" s="198"/>
      <c r="T157" s="198"/>
      <c r="U157" s="198"/>
      <c r="V157" s="198"/>
      <c r="W157" s="198"/>
      <c r="X157" s="198"/>
      <c r="Y157" s="198"/>
      <c r="Z157" s="198"/>
    </row>
    <row r="158" ht="57.75" hidden="1" customHeight="1">
      <c r="A158" s="285"/>
      <c r="B158" s="299"/>
      <c r="C158" s="285"/>
      <c r="D158" s="367"/>
      <c r="E158" s="287"/>
      <c r="F158" s="288"/>
      <c r="G158" s="301"/>
      <c r="H158" s="301"/>
      <c r="I158" s="288"/>
      <c r="J158" s="523"/>
      <c r="K158" s="294"/>
      <c r="L158" s="294"/>
      <c r="M158" s="290"/>
      <c r="N158" s="285"/>
      <c r="O158" s="299"/>
      <c r="P158" s="300"/>
      <c r="Q158" s="219"/>
      <c r="R158" s="198"/>
      <c r="S158" s="198"/>
      <c r="T158" s="198"/>
      <c r="U158" s="198"/>
      <c r="V158" s="198"/>
      <c r="W158" s="198"/>
      <c r="X158" s="198"/>
      <c r="Y158" s="198"/>
      <c r="Z158" s="198"/>
    </row>
    <row r="159" ht="61.5" hidden="1" customHeight="1">
      <c r="A159" s="299"/>
      <c r="B159" s="285"/>
      <c r="C159" s="285"/>
      <c r="D159" s="285"/>
      <c r="E159" s="287"/>
      <c r="F159" s="288"/>
      <c r="G159" s="301"/>
      <c r="H159" s="301"/>
      <c r="I159" s="288"/>
      <c r="J159" s="523"/>
      <c r="K159" s="294"/>
      <c r="L159" s="294"/>
      <c r="M159" s="290"/>
      <c r="N159" s="285"/>
      <c r="O159" s="299"/>
      <c r="P159" s="300"/>
      <c r="Q159" s="219"/>
      <c r="R159" s="198"/>
      <c r="S159" s="198"/>
      <c r="T159" s="198"/>
      <c r="U159" s="198"/>
      <c r="V159" s="198"/>
      <c r="W159" s="198"/>
      <c r="X159" s="198"/>
      <c r="Y159" s="198"/>
      <c r="Z159" s="198"/>
    </row>
    <row r="160" ht="66.75" hidden="1" customHeight="1">
      <c r="A160" s="285"/>
      <c r="B160" s="299"/>
      <c r="C160" s="285"/>
      <c r="D160" s="367"/>
      <c r="E160" s="287"/>
      <c r="F160" s="288"/>
      <c r="G160" s="301"/>
      <c r="H160" s="301"/>
      <c r="I160" s="288"/>
      <c r="J160" s="523"/>
      <c r="K160" s="294"/>
      <c r="L160" s="294"/>
      <c r="M160" s="290"/>
      <c r="N160" s="285"/>
      <c r="O160" s="299"/>
      <c r="P160" s="300"/>
      <c r="Q160" s="219"/>
      <c r="R160" s="198"/>
      <c r="S160" s="198"/>
      <c r="T160" s="198"/>
      <c r="U160" s="198"/>
      <c r="V160" s="198"/>
      <c r="W160" s="198"/>
      <c r="X160" s="198"/>
      <c r="Y160" s="198"/>
      <c r="Z160" s="198"/>
    </row>
    <row r="161" ht="57.75" customHeight="1">
      <c r="A161" s="285"/>
      <c r="B161" s="299"/>
      <c r="C161" s="285"/>
      <c r="D161" s="367"/>
      <c r="E161" s="287"/>
      <c r="F161" s="288"/>
      <c r="G161" s="301"/>
      <c r="H161" s="301"/>
      <c r="I161" s="288"/>
      <c r="J161" s="523"/>
      <c r="K161" s="294"/>
      <c r="L161" s="294"/>
      <c r="M161" s="290"/>
      <c r="N161" s="285"/>
      <c r="O161" s="299"/>
      <c r="P161" s="300"/>
      <c r="Q161" s="219"/>
      <c r="R161" s="198"/>
      <c r="S161" s="198"/>
      <c r="T161" s="198"/>
      <c r="U161" s="198"/>
      <c r="V161" s="198"/>
      <c r="W161" s="198"/>
      <c r="X161" s="198"/>
      <c r="Y161" s="198"/>
      <c r="Z161" s="198"/>
    </row>
    <row r="162" ht="57.75" hidden="1" customHeight="1">
      <c r="A162" s="299"/>
      <c r="B162" s="285"/>
      <c r="C162" s="285"/>
      <c r="D162" s="285"/>
      <c r="E162" s="287"/>
      <c r="F162" s="288"/>
      <c r="G162" s="301"/>
      <c r="H162" s="301"/>
      <c r="I162" s="288"/>
      <c r="J162" s="523"/>
      <c r="K162" s="294"/>
      <c r="L162" s="294"/>
      <c r="M162" s="290"/>
      <c r="N162" s="285"/>
      <c r="O162" s="299"/>
      <c r="P162" s="300"/>
      <c r="Q162" s="219"/>
      <c r="R162" s="198"/>
      <c r="S162" s="198"/>
      <c r="T162" s="198"/>
      <c r="U162" s="198"/>
      <c r="V162" s="198"/>
      <c r="W162" s="198"/>
      <c r="X162" s="198"/>
      <c r="Y162" s="198"/>
      <c r="Z162" s="198"/>
    </row>
    <row r="163" ht="57.75" customHeight="1">
      <c r="A163" s="285"/>
      <c r="B163" s="299"/>
      <c r="C163" s="285"/>
      <c r="D163" s="367"/>
      <c r="E163" s="287"/>
      <c r="F163" s="288"/>
      <c r="G163" s="301"/>
      <c r="H163" s="301"/>
      <c r="I163" s="288"/>
      <c r="J163" s="523"/>
      <c r="K163" s="294"/>
      <c r="L163" s="294"/>
      <c r="M163" s="290"/>
      <c r="N163" s="285"/>
      <c r="O163" s="299"/>
      <c r="P163" s="300"/>
      <c r="Q163" s="219"/>
      <c r="R163" s="198"/>
      <c r="S163" s="198"/>
      <c r="T163" s="198"/>
      <c r="U163" s="198"/>
      <c r="V163" s="198"/>
      <c r="W163" s="198"/>
      <c r="X163" s="198"/>
      <c r="Y163" s="198"/>
      <c r="Z163" s="198"/>
    </row>
    <row r="164" ht="57.75" hidden="1" customHeight="1">
      <c r="A164" s="285"/>
      <c r="B164" s="299"/>
      <c r="C164" s="285"/>
      <c r="D164" s="367"/>
      <c r="E164" s="287"/>
      <c r="F164" s="288"/>
      <c r="G164" s="301"/>
      <c r="H164" s="301"/>
      <c r="I164" s="288"/>
      <c r="J164" s="523"/>
      <c r="K164" s="294"/>
      <c r="L164" s="294"/>
      <c r="M164" s="290"/>
      <c r="N164" s="285"/>
      <c r="O164" s="299"/>
      <c r="P164" s="300"/>
      <c r="Q164" s="219"/>
      <c r="R164" s="198"/>
      <c r="S164" s="198"/>
      <c r="T164" s="198"/>
      <c r="U164" s="198"/>
      <c r="V164" s="198"/>
      <c r="W164" s="198"/>
      <c r="X164" s="198"/>
      <c r="Y164" s="198"/>
      <c r="Z164" s="198"/>
    </row>
    <row r="165" ht="62.25" hidden="1" customHeight="1">
      <c r="A165" s="299"/>
      <c r="B165" s="285"/>
      <c r="C165" s="285"/>
      <c r="D165" s="285"/>
      <c r="E165" s="287"/>
      <c r="F165" s="288"/>
      <c r="G165" s="301"/>
      <c r="H165" s="301"/>
      <c r="I165" s="288"/>
      <c r="J165" s="523"/>
      <c r="K165" s="294"/>
      <c r="L165" s="294"/>
      <c r="M165" s="290"/>
      <c r="N165" s="285"/>
      <c r="O165" s="299"/>
      <c r="P165" s="300"/>
      <c r="Q165" s="219"/>
      <c r="R165" s="198"/>
      <c r="S165" s="198"/>
      <c r="T165" s="198"/>
      <c r="U165" s="198"/>
      <c r="V165" s="198"/>
      <c r="W165" s="198"/>
      <c r="X165" s="198"/>
      <c r="Y165" s="198"/>
      <c r="Z165" s="198"/>
    </row>
    <row r="166" ht="57.75" hidden="1" customHeight="1">
      <c r="A166" s="285"/>
      <c r="B166" s="299"/>
      <c r="C166" s="285"/>
      <c r="D166" s="367"/>
      <c r="E166" s="287"/>
      <c r="F166" s="288"/>
      <c r="G166" s="301"/>
      <c r="H166" s="301"/>
      <c r="I166" s="288"/>
      <c r="J166" s="523"/>
      <c r="K166" s="294"/>
      <c r="L166" s="294"/>
      <c r="M166" s="290"/>
      <c r="N166" s="285"/>
      <c r="O166" s="299"/>
      <c r="P166" s="300"/>
      <c r="Q166" s="219"/>
      <c r="R166" s="198"/>
      <c r="S166" s="198"/>
      <c r="T166" s="198"/>
      <c r="U166" s="198"/>
      <c r="V166" s="198"/>
      <c r="W166" s="198"/>
      <c r="X166" s="198"/>
      <c r="Y166" s="198"/>
      <c r="Z166" s="198"/>
    </row>
    <row r="167" ht="57.75" hidden="1" customHeight="1">
      <c r="A167" s="285"/>
      <c r="B167" s="299"/>
      <c r="C167" s="285"/>
      <c r="D167" s="367"/>
      <c r="E167" s="287"/>
      <c r="F167" s="288"/>
      <c r="G167" s="301"/>
      <c r="H167" s="301"/>
      <c r="I167" s="288"/>
      <c r="J167" s="523"/>
      <c r="K167" s="294"/>
      <c r="L167" s="294"/>
      <c r="M167" s="290"/>
      <c r="N167" s="285"/>
      <c r="O167" s="299"/>
      <c r="P167" s="300"/>
      <c r="Q167" s="219"/>
      <c r="R167" s="198"/>
      <c r="S167" s="198"/>
      <c r="T167" s="198"/>
      <c r="U167" s="198"/>
      <c r="V167" s="198"/>
      <c r="W167" s="198"/>
      <c r="X167" s="198"/>
      <c r="Y167" s="198"/>
      <c r="Z167" s="198"/>
    </row>
    <row r="168" ht="84.0" customHeight="1">
      <c r="A168" s="299"/>
      <c r="B168" s="285"/>
      <c r="C168" s="285"/>
      <c r="D168" s="285"/>
      <c r="E168" s="287"/>
      <c r="F168" s="288"/>
      <c r="G168" s="301"/>
      <c r="H168" s="301"/>
      <c r="I168" s="288"/>
      <c r="J168" s="523"/>
      <c r="K168" s="294"/>
      <c r="L168" s="294"/>
      <c r="M168" s="290"/>
      <c r="N168" s="285"/>
      <c r="O168" s="299"/>
      <c r="P168" s="300"/>
      <c r="Q168" s="219"/>
      <c r="R168" s="198"/>
      <c r="S168" s="198"/>
      <c r="T168" s="198"/>
      <c r="U168" s="198"/>
      <c r="V168" s="198"/>
      <c r="W168" s="198"/>
      <c r="X168" s="198"/>
      <c r="Y168" s="198"/>
      <c r="Z168" s="198"/>
    </row>
    <row r="169" ht="68.25" hidden="1" customHeight="1">
      <c r="A169" s="285"/>
      <c r="B169" s="299"/>
      <c r="C169" s="285"/>
      <c r="D169" s="367"/>
      <c r="E169" s="287"/>
      <c r="F169" s="288"/>
      <c r="G169" s="301"/>
      <c r="H169" s="301"/>
      <c r="I169" s="288"/>
      <c r="J169" s="523"/>
      <c r="K169" s="294"/>
      <c r="L169" s="294"/>
      <c r="M169" s="290"/>
      <c r="N169" s="285"/>
      <c r="O169" s="299"/>
      <c r="P169" s="300"/>
      <c r="Q169" s="219"/>
      <c r="R169" s="198"/>
      <c r="S169" s="198"/>
      <c r="T169" s="198"/>
      <c r="U169" s="198"/>
      <c r="V169" s="198"/>
      <c r="W169" s="198"/>
      <c r="X169" s="198"/>
      <c r="Y169" s="198"/>
      <c r="Z169" s="198"/>
    </row>
    <row r="170" ht="72.75" customHeight="1">
      <c r="A170" s="285"/>
      <c r="B170" s="299"/>
      <c r="C170" s="285"/>
      <c r="D170" s="367"/>
      <c r="E170" s="287"/>
      <c r="F170" s="288"/>
      <c r="G170" s="301"/>
      <c r="H170" s="301"/>
      <c r="I170" s="288"/>
      <c r="J170" s="523"/>
      <c r="K170" s="294"/>
      <c r="L170" s="294"/>
      <c r="M170" s="290"/>
      <c r="N170" s="285"/>
      <c r="O170" s="299"/>
      <c r="P170" s="300"/>
      <c r="Q170" s="219"/>
      <c r="R170" s="198"/>
      <c r="S170" s="198"/>
      <c r="T170" s="198"/>
      <c r="U170" s="198"/>
      <c r="V170" s="198"/>
      <c r="W170" s="198"/>
      <c r="X170" s="198"/>
      <c r="Y170" s="198"/>
      <c r="Z170" s="198"/>
    </row>
    <row r="171" ht="64.5" customHeight="1">
      <c r="A171" s="299"/>
      <c r="B171" s="285"/>
      <c r="C171" s="285"/>
      <c r="D171" s="285"/>
      <c r="E171" s="287"/>
      <c r="F171" s="288"/>
      <c r="G171" s="301"/>
      <c r="H171" s="301"/>
      <c r="I171" s="288"/>
      <c r="J171" s="523"/>
      <c r="K171" s="294"/>
      <c r="L171" s="294"/>
      <c r="M171" s="290"/>
      <c r="N171" s="285"/>
      <c r="O171" s="299"/>
      <c r="P171" s="300"/>
      <c r="Q171" s="219"/>
      <c r="R171" s="198"/>
      <c r="S171" s="198"/>
      <c r="T171" s="198"/>
      <c r="U171" s="198"/>
      <c r="V171" s="198"/>
      <c r="W171" s="198"/>
      <c r="X171" s="198"/>
      <c r="Y171" s="198"/>
      <c r="Z171" s="198"/>
    </row>
    <row r="172" ht="69.0" customHeight="1">
      <c r="A172" s="285"/>
      <c r="B172" s="299"/>
      <c r="C172" s="285"/>
      <c r="D172" s="367"/>
      <c r="E172" s="287"/>
      <c r="F172" s="288"/>
      <c r="G172" s="301"/>
      <c r="H172" s="301"/>
      <c r="I172" s="288"/>
      <c r="J172" s="523"/>
      <c r="K172" s="294"/>
      <c r="L172" s="294"/>
      <c r="M172" s="290"/>
      <c r="N172" s="285"/>
      <c r="O172" s="299"/>
      <c r="P172" s="300"/>
      <c r="Q172" s="219"/>
      <c r="R172" s="198"/>
      <c r="S172" s="198"/>
      <c r="T172" s="198"/>
      <c r="U172" s="198"/>
      <c r="V172" s="198"/>
      <c r="W172" s="198"/>
      <c r="X172" s="198"/>
      <c r="Y172" s="198"/>
      <c r="Z172" s="198"/>
    </row>
    <row r="173" ht="71.25" hidden="1" customHeight="1">
      <c r="A173" s="285"/>
      <c r="B173" s="299"/>
      <c r="C173" s="285"/>
      <c r="D173" s="367"/>
      <c r="E173" s="287"/>
      <c r="F173" s="288"/>
      <c r="G173" s="301"/>
      <c r="H173" s="301"/>
      <c r="I173" s="288"/>
      <c r="J173" s="523"/>
      <c r="K173" s="294"/>
      <c r="L173" s="294"/>
      <c r="M173" s="290"/>
      <c r="N173" s="285"/>
      <c r="O173" s="299"/>
      <c r="P173" s="300"/>
      <c r="Q173" s="219"/>
      <c r="R173" s="198"/>
      <c r="S173" s="198"/>
      <c r="T173" s="198"/>
      <c r="U173" s="198"/>
      <c r="V173" s="198"/>
      <c r="W173" s="198"/>
      <c r="X173" s="198"/>
      <c r="Y173" s="198"/>
      <c r="Z173" s="198"/>
    </row>
    <row r="174" ht="66.75" customHeight="1">
      <c r="A174" s="299"/>
      <c r="B174" s="285"/>
      <c r="C174" s="285"/>
      <c r="D174" s="285"/>
      <c r="E174" s="287"/>
      <c r="F174" s="288"/>
      <c r="G174" s="301"/>
      <c r="H174" s="301"/>
      <c r="I174" s="288"/>
      <c r="J174" s="523"/>
      <c r="K174" s="294"/>
      <c r="L174" s="294"/>
      <c r="M174" s="290"/>
      <c r="N174" s="285"/>
      <c r="O174" s="299"/>
      <c r="P174" s="300"/>
      <c r="Q174" s="219"/>
      <c r="R174" s="198"/>
      <c r="S174" s="198"/>
      <c r="T174" s="198"/>
      <c r="U174" s="198"/>
      <c r="V174" s="198"/>
      <c r="W174" s="198"/>
      <c r="X174" s="198"/>
      <c r="Y174" s="198"/>
      <c r="Z174" s="198"/>
    </row>
    <row r="175" ht="65.25" customHeight="1">
      <c r="A175" s="285"/>
      <c r="B175" s="299"/>
      <c r="C175" s="285"/>
      <c r="D175" s="367"/>
      <c r="E175" s="287"/>
      <c r="F175" s="288"/>
      <c r="G175" s="301"/>
      <c r="H175" s="301"/>
      <c r="I175" s="288"/>
      <c r="J175" s="523"/>
      <c r="K175" s="294"/>
      <c r="L175" s="294"/>
      <c r="M175" s="290"/>
      <c r="N175" s="285"/>
      <c r="O175" s="299"/>
      <c r="P175" s="300"/>
      <c r="Q175" s="219"/>
      <c r="R175" s="198"/>
      <c r="S175" s="198"/>
      <c r="T175" s="198"/>
      <c r="U175" s="198"/>
      <c r="V175" s="198"/>
      <c r="W175" s="198"/>
      <c r="X175" s="198"/>
      <c r="Y175" s="198"/>
      <c r="Z175" s="198"/>
    </row>
    <row r="176" ht="69.75" customHeight="1">
      <c r="A176" s="285"/>
      <c r="B176" s="299"/>
      <c r="C176" s="285"/>
      <c r="D176" s="367"/>
      <c r="E176" s="287"/>
      <c r="F176" s="288"/>
      <c r="G176" s="301"/>
      <c r="H176" s="301"/>
      <c r="I176" s="288"/>
      <c r="J176" s="523"/>
      <c r="K176" s="294"/>
      <c r="L176" s="294"/>
      <c r="M176" s="290"/>
      <c r="N176" s="285"/>
      <c r="O176" s="299"/>
      <c r="P176" s="300"/>
      <c r="Q176" s="219"/>
      <c r="R176" s="198"/>
      <c r="S176" s="198"/>
      <c r="T176" s="198"/>
      <c r="U176" s="198"/>
      <c r="V176" s="198"/>
      <c r="W176" s="198"/>
      <c r="X176" s="198"/>
      <c r="Y176" s="198"/>
      <c r="Z176" s="198"/>
    </row>
    <row r="177" ht="70.5" customHeight="1">
      <c r="A177" s="299"/>
      <c r="B177" s="285"/>
      <c r="C177" s="285"/>
      <c r="D177" s="285"/>
      <c r="E177" s="287"/>
      <c r="F177" s="288"/>
      <c r="G177" s="301"/>
      <c r="H177" s="301"/>
      <c r="I177" s="288"/>
      <c r="J177" s="523"/>
      <c r="K177" s="294"/>
      <c r="L177" s="294"/>
      <c r="M177" s="290"/>
      <c r="N177" s="285"/>
      <c r="O177" s="299"/>
      <c r="P177" s="300"/>
      <c r="Q177" s="219"/>
      <c r="R177" s="198"/>
      <c r="S177" s="198"/>
      <c r="T177" s="198"/>
      <c r="U177" s="198"/>
      <c r="V177" s="198"/>
      <c r="W177" s="198"/>
      <c r="X177" s="198"/>
      <c r="Y177" s="198"/>
      <c r="Z177" s="198"/>
    </row>
    <row r="178" ht="69.75" customHeight="1">
      <c r="A178" s="285"/>
      <c r="B178" s="299"/>
      <c r="C178" s="285"/>
      <c r="D178" s="367"/>
      <c r="E178" s="287"/>
      <c r="F178" s="288"/>
      <c r="G178" s="301"/>
      <c r="H178" s="301"/>
      <c r="I178" s="288"/>
      <c r="J178" s="523"/>
      <c r="K178" s="294"/>
      <c r="L178" s="294"/>
      <c r="M178" s="290"/>
      <c r="N178" s="285"/>
      <c r="O178" s="299"/>
      <c r="P178" s="300"/>
      <c r="Q178" s="219"/>
      <c r="R178" s="198"/>
      <c r="S178" s="198"/>
      <c r="T178" s="198"/>
      <c r="U178" s="198"/>
      <c r="V178" s="198"/>
      <c r="W178" s="198"/>
      <c r="X178" s="198"/>
      <c r="Y178" s="198"/>
      <c r="Z178" s="198"/>
    </row>
    <row r="179" ht="68.25" customHeight="1">
      <c r="A179" s="285"/>
      <c r="B179" s="299"/>
      <c r="C179" s="285"/>
      <c r="D179" s="367"/>
      <c r="E179" s="287"/>
      <c r="F179" s="288"/>
      <c r="G179" s="301"/>
      <c r="H179" s="301"/>
      <c r="I179" s="288"/>
      <c r="J179" s="523"/>
      <c r="K179" s="294"/>
      <c r="L179" s="294"/>
      <c r="M179" s="290"/>
      <c r="N179" s="285"/>
      <c r="O179" s="299"/>
      <c r="P179" s="300"/>
      <c r="Q179" s="219"/>
      <c r="R179" s="198"/>
      <c r="S179" s="198"/>
      <c r="T179" s="198"/>
      <c r="U179" s="198"/>
      <c r="V179" s="198"/>
      <c r="W179" s="198"/>
      <c r="X179" s="198"/>
      <c r="Y179" s="198"/>
      <c r="Z179" s="198"/>
    </row>
    <row r="180" ht="57.75" hidden="1" customHeight="1">
      <c r="A180" s="299"/>
      <c r="B180" s="285"/>
      <c r="C180" s="285"/>
      <c r="D180" s="285"/>
      <c r="E180" s="287"/>
      <c r="F180" s="288"/>
      <c r="G180" s="301"/>
      <c r="H180" s="301"/>
      <c r="I180" s="288"/>
      <c r="J180" s="523"/>
      <c r="K180" s="294"/>
      <c r="L180" s="294"/>
      <c r="M180" s="290"/>
      <c r="N180" s="285"/>
      <c r="O180" s="299"/>
      <c r="P180" s="300"/>
      <c r="Q180" s="219"/>
      <c r="R180" s="198"/>
      <c r="S180" s="198"/>
      <c r="T180" s="198"/>
      <c r="U180" s="198"/>
      <c r="V180" s="198"/>
      <c r="W180" s="198"/>
      <c r="X180" s="198"/>
      <c r="Y180" s="198"/>
      <c r="Z180" s="198"/>
    </row>
    <row r="181" ht="67.5" hidden="1" customHeight="1">
      <c r="A181" s="285"/>
      <c r="B181" s="299"/>
      <c r="C181" s="285"/>
      <c r="D181" s="367"/>
      <c r="E181" s="287"/>
      <c r="F181" s="288"/>
      <c r="G181" s="301"/>
      <c r="H181" s="301"/>
      <c r="I181" s="288"/>
      <c r="J181" s="523"/>
      <c r="K181" s="294"/>
      <c r="L181" s="294"/>
      <c r="M181" s="290"/>
      <c r="N181" s="285"/>
      <c r="O181" s="299"/>
      <c r="P181" s="300"/>
      <c r="Q181" s="219"/>
      <c r="R181" s="198"/>
      <c r="S181" s="198"/>
      <c r="T181" s="198"/>
      <c r="U181" s="198"/>
      <c r="V181" s="198"/>
      <c r="W181" s="198"/>
      <c r="X181" s="198"/>
      <c r="Y181" s="198"/>
      <c r="Z181" s="198"/>
    </row>
    <row r="182" ht="68.25" customHeight="1">
      <c r="A182" s="285"/>
      <c r="B182" s="299"/>
      <c r="C182" s="285"/>
      <c r="D182" s="367"/>
      <c r="E182" s="287"/>
      <c r="F182" s="288"/>
      <c r="G182" s="301"/>
      <c r="H182" s="301"/>
      <c r="I182" s="288"/>
      <c r="J182" s="523"/>
      <c r="K182" s="294"/>
      <c r="L182" s="294"/>
      <c r="M182" s="290"/>
      <c r="N182" s="285"/>
      <c r="O182" s="299"/>
      <c r="P182" s="300"/>
      <c r="Q182" s="219"/>
      <c r="R182" s="198"/>
      <c r="S182" s="198"/>
      <c r="T182" s="198"/>
      <c r="U182" s="198"/>
      <c r="V182" s="198"/>
      <c r="W182" s="198"/>
      <c r="X182" s="198"/>
      <c r="Y182" s="198"/>
      <c r="Z182" s="198"/>
    </row>
    <row r="183" ht="72.0" hidden="1" customHeight="1">
      <c r="A183" s="299"/>
      <c r="B183" s="285"/>
      <c r="C183" s="285"/>
      <c r="D183" s="285"/>
      <c r="E183" s="287"/>
      <c r="F183" s="288"/>
      <c r="G183" s="301"/>
      <c r="H183" s="301"/>
      <c r="I183" s="288"/>
      <c r="J183" s="523"/>
      <c r="K183" s="294"/>
      <c r="L183" s="294"/>
      <c r="M183" s="290"/>
      <c r="N183" s="285"/>
      <c r="O183" s="299"/>
      <c r="P183" s="300"/>
      <c r="Q183" s="219"/>
      <c r="R183" s="198"/>
      <c r="S183" s="198"/>
      <c r="T183" s="198"/>
      <c r="U183" s="198"/>
      <c r="V183" s="198"/>
      <c r="W183" s="198"/>
      <c r="X183" s="198"/>
      <c r="Y183" s="198"/>
      <c r="Z183" s="198"/>
    </row>
    <row r="184" ht="63.75" customHeight="1">
      <c r="A184" s="285"/>
      <c r="B184" s="299"/>
      <c r="C184" s="285"/>
      <c r="D184" s="367"/>
      <c r="E184" s="287"/>
      <c r="F184" s="288"/>
      <c r="G184" s="301"/>
      <c r="H184" s="301"/>
      <c r="I184" s="288"/>
      <c r="J184" s="523"/>
      <c r="K184" s="294"/>
      <c r="L184" s="294"/>
      <c r="M184" s="290"/>
      <c r="N184" s="285"/>
      <c r="O184" s="299"/>
      <c r="P184" s="300"/>
      <c r="Q184" s="219"/>
      <c r="R184" s="198"/>
      <c r="S184" s="198"/>
      <c r="T184" s="198"/>
      <c r="U184" s="198"/>
      <c r="V184" s="198"/>
      <c r="W184" s="198"/>
      <c r="X184" s="198"/>
      <c r="Y184" s="198"/>
      <c r="Z184" s="198"/>
    </row>
    <row r="185" ht="63.75" customHeight="1">
      <c r="A185" s="285"/>
      <c r="B185" s="299"/>
      <c r="C185" s="285"/>
      <c r="D185" s="367"/>
      <c r="E185" s="287"/>
      <c r="F185" s="288"/>
      <c r="G185" s="301"/>
      <c r="H185" s="301"/>
      <c r="I185" s="288"/>
      <c r="J185" s="523"/>
      <c r="K185" s="294"/>
      <c r="L185" s="294"/>
      <c r="M185" s="290"/>
      <c r="N185" s="285"/>
      <c r="O185" s="299"/>
      <c r="P185" s="300"/>
      <c r="Q185" s="219"/>
      <c r="R185" s="198"/>
      <c r="S185" s="198"/>
      <c r="T185" s="198"/>
      <c r="U185" s="198"/>
      <c r="V185" s="198"/>
      <c r="W185" s="198"/>
      <c r="X185" s="198"/>
      <c r="Y185" s="198"/>
      <c r="Z185" s="198"/>
    </row>
    <row r="186" ht="63.75" hidden="1" customHeight="1">
      <c r="A186" s="299"/>
      <c r="B186" s="285"/>
      <c r="C186" s="285"/>
      <c r="D186" s="285"/>
      <c r="E186" s="287"/>
      <c r="F186" s="288"/>
      <c r="G186" s="301"/>
      <c r="H186" s="301"/>
      <c r="I186" s="288"/>
      <c r="J186" s="523"/>
      <c r="K186" s="294"/>
      <c r="L186" s="294"/>
      <c r="M186" s="290"/>
      <c r="N186" s="285"/>
      <c r="O186" s="299"/>
      <c r="P186" s="300"/>
      <c r="Q186" s="219"/>
      <c r="R186" s="198"/>
      <c r="S186" s="198"/>
      <c r="T186" s="198"/>
      <c r="U186" s="198"/>
      <c r="V186" s="198"/>
      <c r="W186" s="198"/>
      <c r="X186" s="198"/>
      <c r="Y186" s="198"/>
      <c r="Z186" s="198"/>
    </row>
    <row r="187" ht="63.75" hidden="1" customHeight="1">
      <c r="A187" s="285"/>
      <c r="B187" s="299"/>
      <c r="C187" s="285"/>
      <c r="D187" s="367"/>
      <c r="E187" s="287"/>
      <c r="F187" s="288"/>
      <c r="G187" s="301"/>
      <c r="H187" s="301"/>
      <c r="I187" s="288"/>
      <c r="J187" s="523"/>
      <c r="K187" s="294"/>
      <c r="L187" s="294"/>
      <c r="M187" s="290"/>
      <c r="N187" s="285"/>
      <c r="O187" s="299"/>
      <c r="P187" s="300"/>
      <c r="Q187" s="219"/>
      <c r="R187" s="198"/>
      <c r="S187" s="198"/>
      <c r="T187" s="198"/>
      <c r="U187" s="198"/>
      <c r="V187" s="198"/>
      <c r="W187" s="198"/>
      <c r="X187" s="198"/>
      <c r="Y187" s="198"/>
      <c r="Z187" s="198"/>
    </row>
    <row r="188" ht="63.75" hidden="1" customHeight="1">
      <c r="A188" s="285"/>
      <c r="B188" s="299"/>
      <c r="C188" s="285"/>
      <c r="D188" s="367"/>
      <c r="E188" s="287"/>
      <c r="F188" s="288"/>
      <c r="G188" s="301"/>
      <c r="H188" s="301"/>
      <c r="I188" s="288"/>
      <c r="J188" s="523"/>
      <c r="K188" s="294"/>
      <c r="L188" s="294"/>
      <c r="M188" s="290"/>
      <c r="N188" s="285"/>
      <c r="O188" s="299"/>
      <c r="P188" s="300"/>
      <c r="Q188" s="219"/>
      <c r="R188" s="198"/>
      <c r="S188" s="198"/>
      <c r="T188" s="198"/>
      <c r="U188" s="198"/>
      <c r="V188" s="198"/>
      <c r="W188" s="198"/>
      <c r="X188" s="198"/>
      <c r="Y188" s="198"/>
      <c r="Z188" s="198"/>
    </row>
    <row r="189" ht="69.75" customHeight="1">
      <c r="A189" s="299"/>
      <c r="B189" s="285"/>
      <c r="C189" s="285"/>
      <c r="D189" s="285"/>
      <c r="E189" s="287"/>
      <c r="F189" s="288"/>
      <c r="G189" s="301"/>
      <c r="H189" s="301"/>
      <c r="I189" s="288"/>
      <c r="J189" s="523"/>
      <c r="K189" s="294"/>
      <c r="L189" s="294"/>
      <c r="M189" s="290"/>
      <c r="N189" s="285"/>
      <c r="O189" s="299"/>
      <c r="P189" s="300"/>
      <c r="Q189" s="219"/>
      <c r="R189" s="198"/>
      <c r="S189" s="198"/>
      <c r="T189" s="198"/>
      <c r="U189" s="198"/>
      <c r="V189" s="198"/>
      <c r="W189" s="198"/>
      <c r="X189" s="198"/>
      <c r="Y189" s="198"/>
      <c r="Z189" s="198"/>
    </row>
    <row r="190" ht="72.0" hidden="1" customHeight="1">
      <c r="A190" s="285"/>
      <c r="B190" s="299"/>
      <c r="C190" s="285"/>
      <c r="D190" s="367"/>
      <c r="E190" s="287"/>
      <c r="F190" s="288"/>
      <c r="G190" s="301"/>
      <c r="H190" s="301"/>
      <c r="I190" s="288"/>
      <c r="J190" s="523"/>
      <c r="K190" s="294"/>
      <c r="L190" s="294"/>
      <c r="M190" s="290"/>
      <c r="N190" s="285"/>
      <c r="O190" s="299"/>
      <c r="P190" s="300"/>
      <c r="Q190" s="219"/>
      <c r="R190" s="198"/>
      <c r="S190" s="198"/>
      <c r="T190" s="198"/>
      <c r="U190" s="198"/>
      <c r="V190" s="198"/>
      <c r="W190" s="198"/>
      <c r="X190" s="198"/>
      <c r="Y190" s="198"/>
      <c r="Z190" s="198"/>
    </row>
    <row r="191" ht="76.5" customHeight="1">
      <c r="A191" s="285"/>
      <c r="B191" s="299"/>
      <c r="C191" s="285"/>
      <c r="D191" s="367"/>
      <c r="E191" s="287"/>
      <c r="F191" s="288"/>
      <c r="G191" s="301"/>
      <c r="H191" s="301"/>
      <c r="I191" s="288"/>
      <c r="J191" s="523"/>
      <c r="K191" s="294"/>
      <c r="L191" s="294"/>
      <c r="M191" s="290"/>
      <c r="N191" s="285"/>
      <c r="O191" s="299"/>
      <c r="P191" s="300"/>
      <c r="Q191" s="219"/>
      <c r="R191" s="198"/>
      <c r="S191" s="198"/>
      <c r="T191" s="198"/>
      <c r="U191" s="198"/>
      <c r="V191" s="198"/>
      <c r="W191" s="198"/>
      <c r="X191" s="198"/>
      <c r="Y191" s="198"/>
      <c r="Z191" s="198"/>
    </row>
    <row r="192" ht="72.75" customHeight="1">
      <c r="A192" s="299"/>
      <c r="B192" s="285"/>
      <c r="C192" s="285"/>
      <c r="D192" s="285"/>
      <c r="E192" s="287"/>
      <c r="F192" s="288"/>
      <c r="G192" s="301"/>
      <c r="H192" s="301"/>
      <c r="I192" s="288"/>
      <c r="J192" s="523"/>
      <c r="K192" s="294"/>
      <c r="L192" s="294"/>
      <c r="M192" s="290"/>
      <c r="N192" s="285"/>
      <c r="O192" s="299"/>
      <c r="P192" s="300"/>
      <c r="Q192" s="219"/>
      <c r="R192" s="198"/>
      <c r="S192" s="198"/>
      <c r="T192" s="198"/>
      <c r="U192" s="198"/>
      <c r="V192" s="198"/>
      <c r="W192" s="198"/>
      <c r="X192" s="198"/>
      <c r="Y192" s="198"/>
      <c r="Z192" s="198"/>
    </row>
    <row r="193" ht="71.25" hidden="1" customHeight="1">
      <c r="A193" s="285"/>
      <c r="B193" s="299"/>
      <c r="C193" s="285"/>
      <c r="D193" s="367"/>
      <c r="E193" s="287"/>
      <c r="F193" s="288"/>
      <c r="G193" s="301"/>
      <c r="H193" s="301"/>
      <c r="I193" s="288"/>
      <c r="J193" s="523"/>
      <c r="K193" s="294"/>
      <c r="L193" s="294"/>
      <c r="M193" s="290"/>
      <c r="N193" s="285"/>
      <c r="O193" s="299"/>
      <c r="P193" s="300"/>
      <c r="Q193" s="219"/>
      <c r="R193" s="198"/>
      <c r="S193" s="198"/>
      <c r="T193" s="198"/>
      <c r="U193" s="198"/>
      <c r="V193" s="198"/>
      <c r="W193" s="198"/>
      <c r="X193" s="198"/>
      <c r="Y193" s="198"/>
      <c r="Z193" s="198"/>
    </row>
    <row r="194" ht="76.5" hidden="1" customHeight="1">
      <c r="A194" s="285"/>
      <c r="B194" s="299"/>
      <c r="C194" s="285"/>
      <c r="D194" s="367"/>
      <c r="E194" s="287"/>
      <c r="F194" s="288"/>
      <c r="G194" s="301"/>
      <c r="H194" s="301"/>
      <c r="I194" s="288"/>
      <c r="J194" s="523"/>
      <c r="K194" s="294"/>
      <c r="L194" s="294"/>
      <c r="M194" s="290"/>
      <c r="N194" s="285"/>
      <c r="O194" s="299"/>
      <c r="P194" s="300"/>
      <c r="Q194" s="219"/>
      <c r="R194" s="198"/>
      <c r="S194" s="198"/>
      <c r="T194" s="198"/>
      <c r="U194" s="198"/>
      <c r="V194" s="198"/>
      <c r="W194" s="198"/>
      <c r="X194" s="198"/>
      <c r="Y194" s="198"/>
      <c r="Z194" s="198"/>
    </row>
    <row r="195" ht="72.75" customHeight="1">
      <c r="A195" s="299"/>
      <c r="B195" s="285"/>
      <c r="C195" s="285"/>
      <c r="D195" s="285"/>
      <c r="E195" s="287"/>
      <c r="F195" s="288"/>
      <c r="G195" s="301"/>
      <c r="H195" s="301"/>
      <c r="I195" s="288"/>
      <c r="J195" s="523"/>
      <c r="K195" s="294"/>
      <c r="L195" s="294"/>
      <c r="M195" s="290"/>
      <c r="N195" s="285"/>
      <c r="O195" s="299"/>
      <c r="P195" s="300"/>
      <c r="Q195" s="219"/>
      <c r="R195" s="198"/>
      <c r="S195" s="198"/>
      <c r="T195" s="198"/>
      <c r="U195" s="198"/>
      <c r="V195" s="198"/>
      <c r="W195" s="198"/>
      <c r="X195" s="198"/>
      <c r="Y195" s="198"/>
      <c r="Z195" s="198"/>
    </row>
    <row r="196" ht="66.0" customHeight="1">
      <c r="A196" s="285"/>
      <c r="B196" s="299"/>
      <c r="C196" s="285"/>
      <c r="D196" s="367"/>
      <c r="E196" s="287"/>
      <c r="F196" s="288"/>
      <c r="G196" s="301"/>
      <c r="H196" s="301"/>
      <c r="I196" s="288"/>
      <c r="J196" s="523"/>
      <c r="K196" s="294"/>
      <c r="L196" s="294"/>
      <c r="M196" s="290"/>
      <c r="N196" s="285"/>
      <c r="O196" s="299"/>
      <c r="P196" s="300"/>
      <c r="Q196" s="219"/>
      <c r="R196" s="198"/>
      <c r="S196" s="198"/>
      <c r="T196" s="198"/>
      <c r="U196" s="198"/>
      <c r="V196" s="198"/>
      <c r="W196" s="198"/>
      <c r="X196" s="198"/>
      <c r="Y196" s="198"/>
      <c r="Z196" s="198"/>
    </row>
    <row r="197" ht="70.5" hidden="1" customHeight="1">
      <c r="A197" s="285"/>
      <c r="B197" s="299"/>
      <c r="C197" s="285"/>
      <c r="D197" s="367"/>
      <c r="E197" s="287"/>
      <c r="F197" s="288"/>
      <c r="G197" s="367"/>
      <c r="H197" s="301"/>
      <c r="I197" s="288"/>
      <c r="J197" s="523"/>
      <c r="K197" s="294"/>
      <c r="L197" s="294"/>
      <c r="M197" s="290"/>
      <c r="N197" s="285"/>
      <c r="O197" s="299"/>
      <c r="P197" s="300"/>
      <c r="Q197" s="219"/>
      <c r="R197" s="198"/>
      <c r="S197" s="198"/>
      <c r="T197" s="198"/>
      <c r="U197" s="198"/>
      <c r="V197" s="198"/>
      <c r="W197" s="198"/>
      <c r="X197" s="198"/>
      <c r="Y197" s="198"/>
      <c r="Z197" s="198"/>
    </row>
    <row r="198" ht="70.5" hidden="1" customHeight="1">
      <c r="A198" s="299"/>
      <c r="B198" s="285"/>
      <c r="C198" s="285"/>
      <c r="D198" s="285"/>
      <c r="E198" s="287"/>
      <c r="F198" s="288"/>
      <c r="G198" s="301"/>
      <c r="H198" s="301"/>
      <c r="I198" s="288"/>
      <c r="J198" s="523"/>
      <c r="K198" s="294"/>
      <c r="L198" s="294"/>
      <c r="M198" s="290"/>
      <c r="N198" s="285"/>
      <c r="O198" s="299"/>
      <c r="P198" s="300"/>
      <c r="Q198" s="219"/>
      <c r="R198" s="198"/>
      <c r="S198" s="198"/>
      <c r="T198" s="198"/>
      <c r="U198" s="198"/>
      <c r="V198" s="198"/>
      <c r="W198" s="198"/>
      <c r="X198" s="198"/>
      <c r="Y198" s="198"/>
      <c r="Z198" s="198"/>
    </row>
    <row r="199" ht="72.75" hidden="1" customHeight="1">
      <c r="A199" s="285"/>
      <c r="B199" s="299"/>
      <c r="C199" s="285"/>
      <c r="D199" s="367"/>
      <c r="E199" s="287"/>
      <c r="F199" s="288"/>
      <c r="G199" s="301"/>
      <c r="H199" s="301"/>
      <c r="I199" s="288"/>
      <c r="J199" s="523"/>
      <c r="K199" s="294"/>
      <c r="L199" s="294"/>
      <c r="M199" s="290"/>
      <c r="N199" s="285"/>
      <c r="O199" s="299"/>
      <c r="P199" s="300"/>
      <c r="Q199" s="219"/>
      <c r="R199" s="198"/>
      <c r="S199" s="198"/>
      <c r="T199" s="198"/>
      <c r="U199" s="198"/>
      <c r="V199" s="198"/>
      <c r="W199" s="198"/>
      <c r="X199" s="198"/>
      <c r="Y199" s="198"/>
      <c r="Z199" s="198"/>
    </row>
    <row r="200" ht="69.75" hidden="1" customHeight="1">
      <c r="A200" s="285"/>
      <c r="B200" s="299"/>
      <c r="C200" s="285"/>
      <c r="D200" s="367"/>
      <c r="E200" s="287"/>
      <c r="F200" s="288"/>
      <c r="G200" s="301"/>
      <c r="H200" s="301"/>
      <c r="I200" s="288"/>
      <c r="J200" s="523"/>
      <c r="K200" s="294"/>
      <c r="L200" s="294"/>
      <c r="M200" s="290"/>
      <c r="N200" s="285"/>
      <c r="O200" s="299"/>
      <c r="P200" s="300"/>
      <c r="Q200" s="219"/>
      <c r="R200" s="198"/>
      <c r="S200" s="198"/>
      <c r="T200" s="198"/>
      <c r="U200" s="198"/>
      <c r="V200" s="198"/>
      <c r="W200" s="198"/>
      <c r="X200" s="198"/>
      <c r="Y200" s="198"/>
      <c r="Z200" s="198"/>
    </row>
    <row r="201" ht="63.75" customHeight="1">
      <c r="A201" s="299"/>
      <c r="B201" s="285"/>
      <c r="C201" s="285"/>
      <c r="D201" s="285"/>
      <c r="E201" s="287"/>
      <c r="F201" s="288"/>
      <c r="G201" s="301"/>
      <c r="H201" s="301"/>
      <c r="I201" s="288"/>
      <c r="J201" s="523"/>
      <c r="K201" s="294"/>
      <c r="L201" s="294"/>
      <c r="M201" s="290"/>
      <c r="N201" s="285"/>
      <c r="O201" s="299"/>
      <c r="P201" s="300"/>
      <c r="Q201" s="219"/>
      <c r="R201" s="198"/>
      <c r="S201" s="198"/>
      <c r="T201" s="198"/>
      <c r="U201" s="198"/>
      <c r="V201" s="198"/>
      <c r="W201" s="198"/>
      <c r="X201" s="198"/>
      <c r="Y201" s="198"/>
      <c r="Z201" s="198"/>
    </row>
    <row r="202" ht="63.75" customHeight="1">
      <c r="A202" s="285"/>
      <c r="B202" s="299"/>
      <c r="C202" s="285"/>
      <c r="D202" s="367"/>
      <c r="E202" s="287"/>
      <c r="F202" s="288"/>
      <c r="G202" s="301"/>
      <c r="H202" s="301"/>
      <c r="I202" s="288"/>
      <c r="J202" s="523"/>
      <c r="K202" s="294"/>
      <c r="L202" s="294"/>
      <c r="M202" s="290"/>
      <c r="N202" s="285"/>
      <c r="O202" s="299"/>
      <c r="P202" s="300"/>
      <c r="Q202" s="219"/>
      <c r="R202" s="198"/>
      <c r="S202" s="198"/>
      <c r="T202" s="198"/>
      <c r="U202" s="198"/>
      <c r="V202" s="198"/>
      <c r="W202" s="198"/>
      <c r="X202" s="198"/>
      <c r="Y202" s="198"/>
      <c r="Z202" s="198"/>
    </row>
    <row r="203" ht="69.75" hidden="1" customHeight="1">
      <c r="A203" s="285"/>
      <c r="B203" s="299"/>
      <c r="C203" s="285"/>
      <c r="D203" s="367"/>
      <c r="E203" s="287"/>
      <c r="F203" s="288"/>
      <c r="G203" s="301"/>
      <c r="H203" s="301"/>
      <c r="I203" s="288"/>
      <c r="J203" s="523"/>
      <c r="K203" s="294"/>
      <c r="L203" s="294"/>
      <c r="M203" s="290"/>
      <c r="N203" s="285"/>
      <c r="O203" s="299"/>
      <c r="P203" s="300"/>
      <c r="Q203" s="219"/>
      <c r="R203" s="198"/>
      <c r="S203" s="198"/>
      <c r="T203" s="198"/>
      <c r="U203" s="198"/>
      <c r="V203" s="198"/>
      <c r="W203" s="198"/>
      <c r="X203" s="198"/>
      <c r="Y203" s="198"/>
      <c r="Z203" s="198"/>
    </row>
    <row r="204" ht="66.75" hidden="1" customHeight="1">
      <c r="A204" s="299"/>
      <c r="B204" s="285"/>
      <c r="C204" s="285"/>
      <c r="D204" s="285"/>
      <c r="E204" s="287"/>
      <c r="F204" s="288"/>
      <c r="G204" s="301"/>
      <c r="H204" s="301"/>
      <c r="I204" s="288"/>
      <c r="J204" s="523"/>
      <c r="K204" s="294"/>
      <c r="L204" s="294"/>
      <c r="M204" s="290"/>
      <c r="N204" s="285"/>
      <c r="O204" s="299"/>
      <c r="P204" s="300"/>
      <c r="Q204" s="219"/>
      <c r="R204" s="198"/>
      <c r="S204" s="198"/>
      <c r="T204" s="198"/>
      <c r="U204" s="198"/>
      <c r="V204" s="198"/>
      <c r="W204" s="198"/>
      <c r="X204" s="198"/>
      <c r="Y204" s="198"/>
      <c r="Z204" s="198"/>
    </row>
    <row r="205" ht="68.25" hidden="1" customHeight="1">
      <c r="A205" s="285"/>
      <c r="B205" s="299"/>
      <c r="C205" s="285"/>
      <c r="D205" s="367"/>
      <c r="E205" s="287"/>
      <c r="F205" s="288"/>
      <c r="G205" s="301"/>
      <c r="H205" s="301"/>
      <c r="I205" s="288"/>
      <c r="J205" s="523"/>
      <c r="K205" s="294"/>
      <c r="L205" s="294"/>
      <c r="M205" s="290"/>
      <c r="N205" s="285"/>
      <c r="O205" s="299"/>
      <c r="P205" s="300"/>
      <c r="Q205" s="219"/>
      <c r="R205" s="198"/>
      <c r="S205" s="198"/>
      <c r="T205" s="198"/>
      <c r="U205" s="198"/>
      <c r="V205" s="198"/>
      <c r="W205" s="198"/>
      <c r="X205" s="198"/>
      <c r="Y205" s="198"/>
      <c r="Z205" s="198"/>
    </row>
    <row r="206" ht="62.25" hidden="1" customHeight="1">
      <c r="A206" s="285"/>
      <c r="B206" s="299"/>
      <c r="C206" s="285"/>
      <c r="D206" s="367"/>
      <c r="E206" s="287"/>
      <c r="F206" s="288"/>
      <c r="G206" s="301"/>
      <c r="H206" s="301"/>
      <c r="I206" s="288"/>
      <c r="J206" s="523"/>
      <c r="K206" s="294"/>
      <c r="L206" s="294"/>
      <c r="M206" s="290"/>
      <c r="N206" s="285"/>
      <c r="O206" s="299"/>
      <c r="P206" s="300"/>
      <c r="Q206" s="219"/>
      <c r="R206" s="198"/>
      <c r="S206" s="198"/>
      <c r="T206" s="198"/>
      <c r="U206" s="198"/>
      <c r="V206" s="198"/>
      <c r="W206" s="198"/>
      <c r="X206" s="198"/>
      <c r="Y206" s="198"/>
      <c r="Z206" s="198"/>
    </row>
    <row r="207" ht="77.25" customHeight="1">
      <c r="A207" s="299"/>
      <c r="B207" s="285"/>
      <c r="C207" s="285"/>
      <c r="D207" s="285"/>
      <c r="E207" s="287"/>
      <c r="F207" s="288"/>
      <c r="G207" s="301"/>
      <c r="H207" s="301"/>
      <c r="I207" s="288"/>
      <c r="J207" s="523"/>
      <c r="K207" s="294"/>
      <c r="L207" s="294"/>
      <c r="M207" s="290"/>
      <c r="N207" s="285"/>
      <c r="O207" s="299"/>
      <c r="P207" s="300"/>
      <c r="Q207" s="219"/>
      <c r="R207" s="198"/>
      <c r="S207" s="198"/>
      <c r="T207" s="198"/>
      <c r="U207" s="198"/>
      <c r="V207" s="198"/>
      <c r="W207" s="198"/>
      <c r="X207" s="198"/>
      <c r="Y207" s="198"/>
      <c r="Z207" s="198"/>
    </row>
    <row r="208" ht="67.5" customHeight="1">
      <c r="A208" s="285"/>
      <c r="B208" s="299"/>
      <c r="C208" s="285"/>
      <c r="D208" s="367"/>
      <c r="E208" s="287"/>
      <c r="F208" s="288"/>
      <c r="G208" s="301"/>
      <c r="H208" s="301"/>
      <c r="I208" s="288"/>
      <c r="J208" s="523"/>
      <c r="K208" s="294"/>
      <c r="L208" s="294"/>
      <c r="M208" s="290"/>
      <c r="N208" s="285"/>
      <c r="O208" s="299"/>
      <c r="P208" s="300"/>
      <c r="Q208" s="219"/>
      <c r="R208" s="198"/>
      <c r="S208" s="198"/>
      <c r="T208" s="198"/>
      <c r="U208" s="198"/>
      <c r="V208" s="198"/>
      <c r="W208" s="198"/>
      <c r="X208" s="198"/>
      <c r="Y208" s="198"/>
      <c r="Z208" s="198"/>
    </row>
    <row r="209" ht="65.25" customHeight="1">
      <c r="A209" s="285"/>
      <c r="B209" s="299"/>
      <c r="C209" s="285"/>
      <c r="D209" s="367"/>
      <c r="E209" s="287"/>
      <c r="F209" s="288"/>
      <c r="G209" s="301"/>
      <c r="H209" s="301"/>
      <c r="I209" s="288"/>
      <c r="J209" s="523"/>
      <c r="K209" s="294"/>
      <c r="L209" s="294"/>
      <c r="M209" s="290"/>
      <c r="N209" s="285"/>
      <c r="O209" s="299"/>
      <c r="P209" s="300"/>
      <c r="Q209" s="219"/>
      <c r="R209" s="198"/>
      <c r="S209" s="198"/>
      <c r="T209" s="198"/>
      <c r="U209" s="198"/>
      <c r="V209" s="198"/>
      <c r="W209" s="198"/>
      <c r="X209" s="198"/>
      <c r="Y209" s="198"/>
      <c r="Z209" s="198"/>
    </row>
    <row r="210" ht="68.25" customHeight="1">
      <c r="A210" s="299"/>
      <c r="B210" s="285"/>
      <c r="C210" s="285"/>
      <c r="D210" s="285"/>
      <c r="E210" s="287"/>
      <c r="F210" s="288"/>
      <c r="G210" s="301"/>
      <c r="H210" s="301"/>
      <c r="I210" s="288"/>
      <c r="J210" s="523"/>
      <c r="K210" s="294"/>
      <c r="L210" s="294"/>
      <c r="M210" s="290"/>
      <c r="N210" s="285"/>
      <c r="O210" s="299"/>
      <c r="P210" s="300"/>
      <c r="Q210" s="219"/>
      <c r="R210" s="198"/>
      <c r="S210" s="198"/>
      <c r="T210" s="198"/>
      <c r="U210" s="198"/>
      <c r="V210" s="198"/>
      <c r="W210" s="198"/>
      <c r="X210" s="198"/>
      <c r="Y210" s="198"/>
      <c r="Z210" s="198"/>
    </row>
    <row r="211" ht="74.25" customHeight="1">
      <c r="A211" s="285"/>
      <c r="B211" s="299"/>
      <c r="C211" s="285"/>
      <c r="D211" s="367"/>
      <c r="E211" s="287"/>
      <c r="F211" s="288"/>
      <c r="G211" s="301"/>
      <c r="H211" s="301"/>
      <c r="I211" s="288"/>
      <c r="J211" s="523"/>
      <c r="K211" s="294"/>
      <c r="L211" s="294"/>
      <c r="M211" s="290"/>
      <c r="N211" s="285"/>
      <c r="O211" s="299"/>
      <c r="P211" s="300"/>
      <c r="Q211" s="219"/>
      <c r="R211" s="198"/>
      <c r="S211" s="198"/>
      <c r="T211" s="198"/>
      <c r="U211" s="198"/>
      <c r="V211" s="198"/>
      <c r="W211" s="198"/>
      <c r="X211" s="198"/>
      <c r="Y211" s="198"/>
      <c r="Z211" s="198"/>
    </row>
    <row r="212" ht="75.75" hidden="1" customHeight="1">
      <c r="A212" s="285"/>
      <c r="B212" s="299"/>
      <c r="C212" s="285"/>
      <c r="D212" s="367"/>
      <c r="E212" s="287"/>
      <c r="F212" s="288"/>
      <c r="G212" s="301"/>
      <c r="H212" s="301"/>
      <c r="I212" s="288"/>
      <c r="J212" s="523"/>
      <c r="K212" s="294"/>
      <c r="L212" s="294"/>
      <c r="M212" s="290"/>
      <c r="N212" s="285"/>
      <c r="O212" s="299"/>
      <c r="P212" s="300"/>
      <c r="Q212" s="219"/>
      <c r="R212" s="198"/>
      <c r="S212" s="198"/>
      <c r="T212" s="198"/>
      <c r="U212" s="198"/>
      <c r="V212" s="198"/>
      <c r="W212" s="198"/>
      <c r="X212" s="198"/>
      <c r="Y212" s="198"/>
      <c r="Z212" s="198"/>
    </row>
    <row r="213" ht="72.0" hidden="1" customHeight="1">
      <c r="A213" s="299"/>
      <c r="B213" s="285"/>
      <c r="C213" s="285"/>
      <c r="D213" s="285"/>
      <c r="E213" s="287"/>
      <c r="F213" s="288"/>
      <c r="G213" s="301"/>
      <c r="H213" s="301"/>
      <c r="I213" s="288"/>
      <c r="J213" s="523"/>
      <c r="K213" s="294"/>
      <c r="L213" s="294"/>
      <c r="M213" s="290"/>
      <c r="N213" s="285"/>
      <c r="O213" s="299"/>
      <c r="P213" s="300"/>
      <c r="Q213" s="219"/>
      <c r="R213" s="198"/>
      <c r="S213" s="198"/>
      <c r="T213" s="198"/>
      <c r="U213" s="198"/>
      <c r="V213" s="198"/>
      <c r="W213" s="198"/>
      <c r="X213" s="198"/>
      <c r="Y213" s="198"/>
      <c r="Z213" s="198"/>
    </row>
    <row r="214" ht="65.25" hidden="1" customHeight="1">
      <c r="A214" s="285"/>
      <c r="B214" s="299"/>
      <c r="C214" s="285"/>
      <c r="D214" s="367"/>
      <c r="E214" s="287"/>
      <c r="F214" s="288"/>
      <c r="G214" s="301"/>
      <c r="H214" s="301"/>
      <c r="I214" s="288"/>
      <c r="J214" s="523"/>
      <c r="K214" s="294"/>
      <c r="L214" s="294"/>
      <c r="M214" s="290"/>
      <c r="N214" s="285"/>
      <c r="O214" s="299"/>
      <c r="P214" s="300"/>
      <c r="Q214" s="219"/>
      <c r="R214" s="198"/>
      <c r="S214" s="198"/>
      <c r="T214" s="198"/>
      <c r="U214" s="198"/>
      <c r="V214" s="198"/>
      <c r="W214" s="198"/>
      <c r="X214" s="198"/>
      <c r="Y214" s="198"/>
      <c r="Z214" s="198"/>
    </row>
    <row r="215" ht="61.5" hidden="1" customHeight="1">
      <c r="A215" s="285"/>
      <c r="B215" s="299"/>
      <c r="C215" s="285"/>
      <c r="D215" s="367"/>
      <c r="E215" s="287"/>
      <c r="F215" s="288"/>
      <c r="G215" s="301"/>
      <c r="H215" s="301"/>
      <c r="I215" s="288"/>
      <c r="J215" s="523"/>
      <c r="K215" s="294"/>
      <c r="L215" s="294"/>
      <c r="M215" s="290"/>
      <c r="N215" s="285"/>
      <c r="O215" s="299"/>
      <c r="P215" s="300"/>
      <c r="Q215" s="219"/>
      <c r="R215" s="198"/>
      <c r="S215" s="198"/>
      <c r="T215" s="198"/>
      <c r="U215" s="198"/>
      <c r="V215" s="198"/>
      <c r="W215" s="198"/>
      <c r="X215" s="198"/>
      <c r="Y215" s="198"/>
      <c r="Z215" s="198"/>
    </row>
    <row r="216" ht="65.25" hidden="1" customHeight="1">
      <c r="A216" s="299"/>
      <c r="B216" s="285"/>
      <c r="C216" s="285"/>
      <c r="D216" s="285"/>
      <c r="E216" s="287"/>
      <c r="F216" s="288"/>
      <c r="G216" s="301"/>
      <c r="H216" s="301"/>
      <c r="I216" s="288"/>
      <c r="J216" s="523"/>
      <c r="K216" s="294"/>
      <c r="L216" s="294"/>
      <c r="M216" s="290"/>
      <c r="N216" s="285"/>
      <c r="O216" s="299"/>
      <c r="P216" s="300"/>
      <c r="Q216" s="219"/>
      <c r="R216" s="198"/>
      <c r="S216" s="198"/>
      <c r="T216" s="198"/>
      <c r="U216" s="198"/>
      <c r="V216" s="198"/>
      <c r="W216" s="198"/>
      <c r="X216" s="198"/>
      <c r="Y216" s="198"/>
      <c r="Z216" s="198"/>
    </row>
    <row r="217" ht="71.25" customHeight="1">
      <c r="A217" s="285"/>
      <c r="B217" s="299"/>
      <c r="C217" s="285"/>
      <c r="D217" s="367"/>
      <c r="E217" s="287"/>
      <c r="F217" s="288"/>
      <c r="G217" s="301"/>
      <c r="H217" s="301"/>
      <c r="I217" s="288"/>
      <c r="J217" s="523"/>
      <c r="K217" s="294"/>
      <c r="L217" s="294"/>
      <c r="M217" s="290"/>
      <c r="N217" s="285"/>
      <c r="O217" s="299"/>
      <c r="P217" s="300"/>
      <c r="Q217" s="219"/>
      <c r="R217" s="198"/>
      <c r="S217" s="198"/>
      <c r="T217" s="198"/>
      <c r="U217" s="198"/>
      <c r="V217" s="198"/>
      <c r="W217" s="198"/>
      <c r="X217" s="198"/>
      <c r="Y217" s="198"/>
      <c r="Z217" s="198"/>
    </row>
    <row r="218" ht="68.25" customHeight="1">
      <c r="A218" s="285"/>
      <c r="B218" s="299"/>
      <c r="C218" s="285"/>
      <c r="D218" s="367"/>
      <c r="E218" s="287"/>
      <c r="F218" s="288"/>
      <c r="G218" s="301"/>
      <c r="H218" s="301"/>
      <c r="I218" s="288"/>
      <c r="J218" s="523"/>
      <c r="K218" s="294"/>
      <c r="L218" s="294"/>
      <c r="M218" s="290"/>
      <c r="N218" s="285"/>
      <c r="O218" s="299"/>
      <c r="P218" s="300"/>
      <c r="Q218" s="219"/>
      <c r="R218" s="198"/>
      <c r="S218" s="198"/>
      <c r="T218" s="198"/>
      <c r="U218" s="198"/>
      <c r="V218" s="198"/>
      <c r="W218" s="198"/>
      <c r="X218" s="198"/>
      <c r="Y218" s="198"/>
      <c r="Z218" s="198"/>
    </row>
    <row r="219" ht="75.75" customHeight="1">
      <c r="A219" s="299"/>
      <c r="B219" s="285"/>
      <c r="C219" s="285"/>
      <c r="D219" s="285"/>
      <c r="E219" s="287"/>
      <c r="F219" s="288"/>
      <c r="G219" s="301"/>
      <c r="H219" s="301"/>
      <c r="I219" s="288"/>
      <c r="J219" s="523"/>
      <c r="K219" s="294"/>
      <c r="L219" s="294"/>
      <c r="M219" s="290"/>
      <c r="N219" s="285"/>
      <c r="O219" s="299"/>
      <c r="P219" s="300"/>
      <c r="Q219" s="219"/>
      <c r="R219" s="198"/>
      <c r="S219" s="198"/>
      <c r="T219" s="198"/>
      <c r="U219" s="198"/>
      <c r="V219" s="198"/>
      <c r="W219" s="198"/>
      <c r="X219" s="198"/>
      <c r="Y219" s="198"/>
      <c r="Z219" s="198"/>
    </row>
    <row r="220" ht="71.25" hidden="1" customHeight="1">
      <c r="A220" s="285"/>
      <c r="B220" s="299"/>
      <c r="C220" s="285"/>
      <c r="D220" s="367"/>
      <c r="E220" s="287"/>
      <c r="F220" s="288"/>
      <c r="G220" s="301"/>
      <c r="H220" s="301"/>
      <c r="I220" s="288"/>
      <c r="J220" s="523"/>
      <c r="K220" s="294"/>
      <c r="L220" s="294"/>
      <c r="M220" s="290"/>
      <c r="N220" s="285"/>
      <c r="O220" s="299"/>
      <c r="P220" s="300"/>
      <c r="Q220" s="219"/>
      <c r="R220" s="198"/>
      <c r="S220" s="198"/>
      <c r="T220" s="198"/>
      <c r="U220" s="198"/>
      <c r="V220" s="198"/>
      <c r="W220" s="198"/>
      <c r="X220" s="198"/>
      <c r="Y220" s="198"/>
      <c r="Z220" s="198"/>
    </row>
    <row r="221" ht="72.75" hidden="1" customHeight="1">
      <c r="A221" s="285"/>
      <c r="B221" s="299"/>
      <c r="C221" s="285"/>
      <c r="D221" s="367"/>
      <c r="E221" s="287"/>
      <c r="F221" s="288"/>
      <c r="G221" s="301"/>
      <c r="H221" s="301"/>
      <c r="I221" s="288"/>
      <c r="J221" s="523"/>
      <c r="K221" s="294"/>
      <c r="L221" s="294"/>
      <c r="M221" s="290"/>
      <c r="N221" s="285"/>
      <c r="O221" s="299"/>
      <c r="P221" s="300"/>
      <c r="Q221" s="219"/>
      <c r="R221" s="198"/>
      <c r="S221" s="198"/>
      <c r="T221" s="198"/>
      <c r="U221" s="198"/>
      <c r="V221" s="198"/>
      <c r="W221" s="198"/>
      <c r="X221" s="198"/>
      <c r="Y221" s="198"/>
      <c r="Z221" s="198"/>
    </row>
    <row r="222" ht="74.25" customHeight="1">
      <c r="A222" s="299"/>
      <c r="B222" s="285"/>
      <c r="C222" s="285"/>
      <c r="D222" s="285"/>
      <c r="E222" s="287"/>
      <c r="F222" s="288"/>
      <c r="G222" s="301"/>
      <c r="H222" s="301"/>
      <c r="I222" s="288"/>
      <c r="J222" s="523"/>
      <c r="K222" s="294"/>
      <c r="L222" s="294"/>
      <c r="M222" s="290"/>
      <c r="N222" s="285"/>
      <c r="O222" s="299"/>
      <c r="P222" s="300"/>
      <c r="Q222" s="219"/>
      <c r="R222" s="198"/>
      <c r="S222" s="198"/>
      <c r="T222" s="198"/>
      <c r="U222" s="198"/>
      <c r="V222" s="198"/>
      <c r="W222" s="198"/>
      <c r="X222" s="198"/>
      <c r="Y222" s="198"/>
      <c r="Z222" s="198"/>
    </row>
    <row r="223" ht="78.0" customHeight="1">
      <c r="A223" s="285"/>
      <c r="B223" s="299"/>
      <c r="C223" s="285"/>
      <c r="D223" s="367"/>
      <c r="E223" s="287"/>
      <c r="F223" s="288"/>
      <c r="G223" s="301"/>
      <c r="H223" s="301"/>
      <c r="I223" s="288"/>
      <c r="J223" s="523"/>
      <c r="K223" s="294"/>
      <c r="L223" s="294"/>
      <c r="M223" s="290"/>
      <c r="N223" s="285"/>
      <c r="O223" s="299"/>
      <c r="P223" s="300"/>
      <c r="Q223" s="219"/>
      <c r="R223" s="198"/>
      <c r="S223" s="198"/>
      <c r="T223" s="198"/>
      <c r="U223" s="198"/>
      <c r="V223" s="198"/>
      <c r="W223" s="198"/>
      <c r="X223" s="198"/>
      <c r="Y223" s="198"/>
      <c r="Z223" s="198"/>
    </row>
    <row r="224" ht="66.75" hidden="1" customHeight="1">
      <c r="A224" s="285"/>
      <c r="B224" s="299"/>
      <c r="C224" s="285"/>
      <c r="D224" s="367"/>
      <c r="E224" s="287"/>
      <c r="F224" s="288"/>
      <c r="G224" s="301"/>
      <c r="H224" s="301"/>
      <c r="I224" s="288"/>
      <c r="J224" s="523"/>
      <c r="K224" s="294"/>
      <c r="L224" s="294"/>
      <c r="M224" s="290"/>
      <c r="N224" s="285"/>
      <c r="O224" s="299"/>
      <c r="P224" s="300"/>
      <c r="Q224" s="219"/>
      <c r="R224" s="198"/>
      <c r="S224" s="198"/>
      <c r="T224" s="198"/>
      <c r="U224" s="198"/>
      <c r="V224" s="198"/>
      <c r="W224" s="198"/>
      <c r="X224" s="198"/>
      <c r="Y224" s="198"/>
      <c r="Z224" s="198"/>
    </row>
    <row r="225" ht="65.25" hidden="1" customHeight="1">
      <c r="A225" s="299"/>
      <c r="B225" s="285"/>
      <c r="C225" s="285"/>
      <c r="D225" s="285"/>
      <c r="E225" s="287"/>
      <c r="F225" s="288"/>
      <c r="G225" s="301"/>
      <c r="H225" s="301"/>
      <c r="I225" s="288"/>
      <c r="J225" s="523"/>
      <c r="K225" s="294"/>
      <c r="L225" s="294"/>
      <c r="M225" s="290"/>
      <c r="N225" s="285"/>
      <c r="O225" s="299"/>
      <c r="P225" s="300"/>
      <c r="Q225" s="219"/>
      <c r="R225" s="198"/>
      <c r="S225" s="198"/>
      <c r="T225" s="198"/>
      <c r="U225" s="198"/>
      <c r="V225" s="198"/>
      <c r="W225" s="198"/>
      <c r="X225" s="198"/>
      <c r="Y225" s="198"/>
      <c r="Z225" s="198"/>
    </row>
    <row r="226" ht="73.5" hidden="1" customHeight="1">
      <c r="A226" s="285"/>
      <c r="B226" s="299"/>
      <c r="C226" s="285"/>
      <c r="D226" s="367"/>
      <c r="E226" s="287"/>
      <c r="F226" s="288"/>
      <c r="G226" s="301"/>
      <c r="H226" s="301"/>
      <c r="I226" s="288"/>
      <c r="J226" s="523"/>
      <c r="K226" s="294"/>
      <c r="L226" s="294"/>
      <c r="M226" s="290"/>
      <c r="N226" s="285"/>
      <c r="O226" s="299"/>
      <c r="P226" s="300"/>
      <c r="Q226" s="219"/>
      <c r="R226" s="198"/>
      <c r="S226" s="198"/>
      <c r="T226" s="198"/>
      <c r="U226" s="198"/>
      <c r="V226" s="198"/>
      <c r="W226" s="198"/>
      <c r="X226" s="198"/>
      <c r="Y226" s="198"/>
      <c r="Z226" s="198"/>
    </row>
    <row r="227" ht="77.25" hidden="1" customHeight="1">
      <c r="A227" s="285"/>
      <c r="B227" s="299"/>
      <c r="C227" s="285"/>
      <c r="D227" s="367"/>
      <c r="E227" s="287"/>
      <c r="F227" s="288"/>
      <c r="G227" s="301"/>
      <c r="H227" s="301"/>
      <c r="I227" s="288"/>
      <c r="J227" s="523"/>
      <c r="K227" s="294"/>
      <c r="L227" s="294"/>
      <c r="M227" s="290"/>
      <c r="N227" s="285"/>
      <c r="O227" s="299"/>
      <c r="P227" s="300"/>
      <c r="Q227" s="219"/>
      <c r="R227" s="198"/>
      <c r="S227" s="198"/>
      <c r="T227" s="198"/>
      <c r="U227" s="198"/>
      <c r="V227" s="198"/>
      <c r="W227" s="198"/>
      <c r="X227" s="198"/>
      <c r="Y227" s="198"/>
      <c r="Z227" s="198"/>
    </row>
    <row r="228" ht="71.25" hidden="1" customHeight="1">
      <c r="A228" s="299"/>
      <c r="B228" s="285"/>
      <c r="C228" s="285"/>
      <c r="D228" s="285"/>
      <c r="E228" s="287"/>
      <c r="F228" s="288"/>
      <c r="G228" s="301"/>
      <c r="H228" s="301"/>
      <c r="I228" s="288"/>
      <c r="J228" s="523"/>
      <c r="K228" s="294"/>
      <c r="L228" s="294"/>
      <c r="M228" s="290"/>
      <c r="N228" s="285"/>
      <c r="O228" s="299"/>
      <c r="P228" s="300"/>
      <c r="Q228" s="219"/>
      <c r="R228" s="198"/>
      <c r="S228" s="198"/>
      <c r="T228" s="198"/>
      <c r="U228" s="198"/>
      <c r="V228" s="198"/>
      <c r="W228" s="198"/>
      <c r="X228" s="198"/>
      <c r="Y228" s="198"/>
      <c r="Z228" s="198"/>
    </row>
    <row r="229" ht="74.25" hidden="1" customHeight="1">
      <c r="A229" s="285"/>
      <c r="B229" s="299"/>
      <c r="C229" s="285"/>
      <c r="D229" s="367"/>
      <c r="E229" s="287"/>
      <c r="F229" s="288"/>
      <c r="G229" s="301"/>
      <c r="H229" s="301"/>
      <c r="I229" s="288"/>
      <c r="J229" s="523"/>
      <c r="K229" s="294"/>
      <c r="L229" s="294"/>
      <c r="M229" s="290"/>
      <c r="N229" s="285"/>
      <c r="O229" s="299"/>
      <c r="P229" s="300"/>
      <c r="Q229" s="219"/>
      <c r="R229" s="198"/>
      <c r="S229" s="198"/>
      <c r="T229" s="198"/>
      <c r="U229" s="198"/>
      <c r="V229" s="198"/>
      <c r="W229" s="198"/>
      <c r="X229" s="198"/>
      <c r="Y229" s="198"/>
      <c r="Z229" s="198"/>
    </row>
    <row r="230" ht="72.0" hidden="1" customHeight="1">
      <c r="A230" s="285"/>
      <c r="B230" s="299"/>
      <c r="C230" s="285"/>
      <c r="D230" s="367"/>
      <c r="E230" s="287"/>
      <c r="F230" s="288"/>
      <c r="G230" s="301"/>
      <c r="H230" s="301"/>
      <c r="I230" s="288"/>
      <c r="J230" s="523"/>
      <c r="K230" s="294"/>
      <c r="L230" s="294"/>
      <c r="M230" s="290"/>
      <c r="N230" s="285"/>
      <c r="O230" s="299"/>
      <c r="P230" s="300"/>
      <c r="Q230" s="219"/>
      <c r="R230" s="198"/>
      <c r="S230" s="198"/>
      <c r="T230" s="198"/>
      <c r="U230" s="198"/>
      <c r="V230" s="198"/>
      <c r="W230" s="198"/>
      <c r="X230" s="198"/>
      <c r="Y230" s="198"/>
      <c r="Z230" s="198"/>
    </row>
    <row r="231" ht="66.0" hidden="1" customHeight="1">
      <c r="A231" s="299"/>
      <c r="B231" s="285"/>
      <c r="C231" s="285"/>
      <c r="D231" s="285"/>
      <c r="E231" s="287"/>
      <c r="F231" s="288"/>
      <c r="G231" s="301"/>
      <c r="H231" s="301"/>
      <c r="I231" s="288"/>
      <c r="J231" s="523"/>
      <c r="K231" s="294"/>
      <c r="L231" s="294"/>
      <c r="M231" s="290"/>
      <c r="N231" s="285"/>
      <c r="O231" s="299"/>
      <c r="P231" s="300"/>
      <c r="Q231" s="219"/>
      <c r="R231" s="198"/>
      <c r="S231" s="198"/>
      <c r="T231" s="198"/>
      <c r="U231" s="198"/>
      <c r="V231" s="198"/>
      <c r="W231" s="198"/>
      <c r="X231" s="198"/>
      <c r="Y231" s="198"/>
      <c r="Z231" s="198"/>
    </row>
    <row r="232" ht="60.75" hidden="1" customHeight="1">
      <c r="A232" s="285"/>
      <c r="B232" s="299"/>
      <c r="C232" s="285"/>
      <c r="D232" s="367"/>
      <c r="E232" s="287"/>
      <c r="F232" s="288"/>
      <c r="G232" s="301"/>
      <c r="H232" s="301"/>
      <c r="I232" s="288"/>
      <c r="J232" s="523"/>
      <c r="K232" s="294"/>
      <c r="L232" s="294"/>
      <c r="M232" s="290"/>
      <c r="N232" s="285"/>
      <c r="O232" s="299"/>
      <c r="P232" s="300"/>
      <c r="Q232" s="219"/>
      <c r="R232" s="198"/>
      <c r="S232" s="198"/>
      <c r="T232" s="198"/>
      <c r="U232" s="198"/>
      <c r="V232" s="198"/>
      <c r="W232" s="198"/>
      <c r="X232" s="198"/>
      <c r="Y232" s="198"/>
      <c r="Z232" s="198"/>
    </row>
    <row r="233" ht="64.5" hidden="1" customHeight="1">
      <c r="A233" s="285"/>
      <c r="B233" s="299"/>
      <c r="C233" s="285"/>
      <c r="D233" s="367"/>
      <c r="E233" s="287"/>
      <c r="F233" s="288"/>
      <c r="G233" s="301"/>
      <c r="H233" s="301"/>
      <c r="I233" s="288"/>
      <c r="J233" s="523"/>
      <c r="K233" s="294"/>
      <c r="L233" s="294"/>
      <c r="M233" s="290"/>
      <c r="N233" s="285"/>
      <c r="O233" s="299"/>
      <c r="P233" s="300"/>
      <c r="Q233" s="219"/>
      <c r="R233" s="198"/>
      <c r="S233" s="198"/>
      <c r="T233" s="198"/>
      <c r="U233" s="198"/>
      <c r="V233" s="198"/>
      <c r="W233" s="198"/>
      <c r="X233" s="198"/>
      <c r="Y233" s="198"/>
      <c r="Z233" s="198"/>
    </row>
    <row r="234" ht="72.75" customHeight="1">
      <c r="A234" s="299"/>
      <c r="B234" s="285"/>
      <c r="C234" s="285"/>
      <c r="D234" s="285"/>
      <c r="E234" s="287"/>
      <c r="F234" s="288"/>
      <c r="G234" s="301"/>
      <c r="H234" s="301"/>
      <c r="I234" s="288"/>
      <c r="J234" s="523"/>
      <c r="K234" s="294"/>
      <c r="L234" s="294"/>
      <c r="M234" s="290"/>
      <c r="N234" s="285"/>
      <c r="O234" s="299"/>
      <c r="P234" s="300"/>
      <c r="Q234" s="219"/>
      <c r="R234" s="198"/>
      <c r="S234" s="198"/>
      <c r="T234" s="198"/>
      <c r="U234" s="198"/>
      <c r="V234" s="198"/>
      <c r="W234" s="198"/>
      <c r="X234" s="198"/>
      <c r="Y234" s="198"/>
      <c r="Z234" s="198"/>
    </row>
    <row r="235" ht="67.5" customHeight="1">
      <c r="A235" s="285"/>
      <c r="B235" s="299"/>
      <c r="C235" s="285"/>
      <c r="D235" s="367"/>
      <c r="E235" s="287"/>
      <c r="F235" s="288"/>
      <c r="G235" s="301"/>
      <c r="H235" s="301"/>
      <c r="I235" s="288"/>
      <c r="J235" s="523"/>
      <c r="K235" s="294"/>
      <c r="L235" s="294"/>
      <c r="M235" s="290"/>
      <c r="N235" s="285"/>
      <c r="O235" s="299"/>
      <c r="P235" s="300"/>
      <c r="Q235" s="219"/>
      <c r="R235" s="198"/>
      <c r="S235" s="198"/>
      <c r="T235" s="198"/>
      <c r="U235" s="198"/>
      <c r="V235" s="198"/>
      <c r="W235" s="198"/>
      <c r="X235" s="198"/>
      <c r="Y235" s="198"/>
      <c r="Z235" s="198"/>
    </row>
    <row r="236" ht="64.5" customHeight="1">
      <c r="A236" s="285"/>
      <c r="B236" s="299"/>
      <c r="C236" s="285"/>
      <c r="D236" s="367"/>
      <c r="E236" s="287"/>
      <c r="F236" s="288"/>
      <c r="G236" s="301"/>
      <c r="H236" s="301"/>
      <c r="I236" s="288"/>
      <c r="J236" s="523"/>
      <c r="K236" s="294"/>
      <c r="L236" s="294"/>
      <c r="M236" s="290"/>
      <c r="N236" s="285"/>
      <c r="O236" s="299"/>
      <c r="P236" s="300"/>
      <c r="Q236" s="219"/>
      <c r="R236" s="198"/>
      <c r="S236" s="198"/>
      <c r="T236" s="198"/>
      <c r="U236" s="198"/>
      <c r="V236" s="198"/>
      <c r="W236" s="198"/>
      <c r="X236" s="198"/>
      <c r="Y236" s="198"/>
      <c r="Z236" s="198"/>
    </row>
    <row r="237" ht="72.75" customHeight="1">
      <c r="A237" s="299"/>
      <c r="B237" s="285"/>
      <c r="C237" s="285"/>
      <c r="D237" s="285"/>
      <c r="E237" s="287"/>
      <c r="F237" s="288"/>
      <c r="G237" s="301"/>
      <c r="H237" s="301"/>
      <c r="I237" s="288"/>
      <c r="J237" s="523"/>
      <c r="K237" s="294"/>
      <c r="L237" s="294"/>
      <c r="M237" s="290"/>
      <c r="N237" s="285"/>
      <c r="O237" s="299"/>
      <c r="P237" s="300"/>
      <c r="Q237" s="219"/>
      <c r="R237" s="198"/>
      <c r="S237" s="198"/>
      <c r="T237" s="198"/>
      <c r="U237" s="198"/>
      <c r="V237" s="198"/>
      <c r="W237" s="198"/>
      <c r="X237" s="198"/>
      <c r="Y237" s="198"/>
      <c r="Z237" s="198"/>
    </row>
    <row r="238" ht="69.0" customHeight="1">
      <c r="A238" s="285"/>
      <c r="B238" s="299"/>
      <c r="C238" s="285"/>
      <c r="D238" s="367"/>
      <c r="E238" s="287"/>
      <c r="F238" s="288"/>
      <c r="G238" s="301"/>
      <c r="H238" s="301"/>
      <c r="I238" s="288"/>
      <c r="J238" s="523"/>
      <c r="K238" s="294"/>
      <c r="L238" s="294"/>
      <c r="M238" s="290"/>
      <c r="N238" s="285"/>
      <c r="O238" s="299"/>
      <c r="P238" s="300"/>
      <c r="Q238" s="219"/>
      <c r="R238" s="198"/>
      <c r="S238" s="198"/>
      <c r="T238" s="198"/>
      <c r="U238" s="198"/>
      <c r="V238" s="198"/>
      <c r="W238" s="198"/>
      <c r="X238" s="198"/>
      <c r="Y238" s="198"/>
      <c r="Z238" s="198"/>
    </row>
    <row r="239" ht="66.75" hidden="1" customHeight="1">
      <c r="A239" s="285"/>
      <c r="B239" s="299"/>
      <c r="C239" s="285"/>
      <c r="D239" s="367"/>
      <c r="E239" s="287"/>
      <c r="F239" s="288"/>
      <c r="G239" s="301"/>
      <c r="H239" s="301"/>
      <c r="I239" s="288"/>
      <c r="J239" s="523"/>
      <c r="K239" s="294"/>
      <c r="L239" s="294"/>
      <c r="M239" s="290"/>
      <c r="N239" s="285"/>
      <c r="O239" s="299"/>
      <c r="P239" s="300"/>
      <c r="Q239" s="219"/>
      <c r="R239" s="198"/>
      <c r="S239" s="198"/>
      <c r="T239" s="198"/>
      <c r="U239" s="198"/>
      <c r="V239" s="198"/>
      <c r="W239" s="198"/>
      <c r="X239" s="198"/>
      <c r="Y239" s="198"/>
      <c r="Z239" s="198"/>
    </row>
    <row r="240" ht="63.0" hidden="1" customHeight="1">
      <c r="A240" s="299"/>
      <c r="B240" s="285"/>
      <c r="C240" s="285"/>
      <c r="D240" s="285"/>
      <c r="E240" s="287"/>
      <c r="F240" s="288"/>
      <c r="G240" s="301"/>
      <c r="H240" s="301"/>
      <c r="I240" s="288"/>
      <c r="J240" s="523"/>
      <c r="K240" s="294"/>
      <c r="L240" s="294"/>
      <c r="M240" s="290"/>
      <c r="N240" s="285"/>
      <c r="O240" s="299"/>
      <c r="P240" s="300"/>
      <c r="Q240" s="219"/>
      <c r="R240" s="198"/>
      <c r="S240" s="198"/>
      <c r="T240" s="198"/>
      <c r="U240" s="198"/>
      <c r="V240" s="198"/>
      <c r="W240" s="198"/>
      <c r="X240" s="198"/>
      <c r="Y240" s="198"/>
      <c r="Z240" s="198"/>
    </row>
    <row r="241" ht="64.5" hidden="1" customHeight="1">
      <c r="A241" s="285"/>
      <c r="B241" s="299"/>
      <c r="C241" s="285"/>
      <c r="D241" s="367"/>
      <c r="E241" s="287"/>
      <c r="F241" s="288"/>
      <c r="G241" s="301"/>
      <c r="H241" s="301"/>
      <c r="I241" s="288"/>
      <c r="J241" s="523"/>
      <c r="K241" s="294"/>
      <c r="L241" s="294"/>
      <c r="M241" s="290"/>
      <c r="N241" s="285"/>
      <c r="O241" s="299"/>
      <c r="P241" s="300"/>
      <c r="Q241" s="219"/>
      <c r="R241" s="198"/>
      <c r="S241" s="198"/>
      <c r="T241" s="198"/>
      <c r="U241" s="198"/>
      <c r="V241" s="198"/>
      <c r="W241" s="198"/>
      <c r="X241" s="198"/>
      <c r="Y241" s="198"/>
      <c r="Z241" s="198"/>
    </row>
    <row r="242" ht="67.5" hidden="1" customHeight="1">
      <c r="A242" s="285"/>
      <c r="B242" s="299"/>
      <c r="C242" s="285"/>
      <c r="D242" s="367"/>
      <c r="E242" s="287"/>
      <c r="F242" s="288"/>
      <c r="G242" s="301"/>
      <c r="H242" s="301"/>
      <c r="I242" s="288"/>
      <c r="J242" s="523"/>
      <c r="K242" s="294"/>
      <c r="L242" s="294"/>
      <c r="M242" s="290"/>
      <c r="N242" s="285"/>
      <c r="O242" s="299"/>
      <c r="P242" s="300"/>
      <c r="Q242" s="219"/>
      <c r="R242" s="198"/>
      <c r="S242" s="198"/>
      <c r="T242" s="198"/>
      <c r="U242" s="198"/>
      <c r="V242" s="198"/>
      <c r="W242" s="198"/>
      <c r="X242" s="198"/>
      <c r="Y242" s="198"/>
      <c r="Z242" s="198"/>
    </row>
    <row r="243" ht="66.0" hidden="1" customHeight="1">
      <c r="A243" s="299"/>
      <c r="B243" s="285"/>
      <c r="C243" s="285"/>
      <c r="D243" s="285"/>
      <c r="E243" s="287"/>
      <c r="F243" s="288"/>
      <c r="G243" s="301"/>
      <c r="H243" s="301"/>
      <c r="I243" s="288"/>
      <c r="J243" s="523"/>
      <c r="K243" s="294"/>
      <c r="L243" s="294"/>
      <c r="M243" s="290"/>
      <c r="N243" s="285"/>
      <c r="O243" s="299"/>
      <c r="P243" s="300"/>
      <c r="Q243" s="219"/>
      <c r="R243" s="198"/>
      <c r="S243" s="198"/>
      <c r="T243" s="198"/>
      <c r="U243" s="198"/>
      <c r="V243" s="198"/>
      <c r="W243" s="198"/>
      <c r="X243" s="198"/>
      <c r="Y243" s="198"/>
      <c r="Z243" s="198"/>
    </row>
    <row r="244" ht="63.0" customHeight="1">
      <c r="A244" s="285"/>
      <c r="B244" s="299"/>
      <c r="C244" s="285"/>
      <c r="D244" s="367"/>
      <c r="E244" s="287"/>
      <c r="F244" s="288"/>
      <c r="G244" s="301"/>
      <c r="H244" s="301"/>
      <c r="I244" s="288"/>
      <c r="J244" s="523"/>
      <c r="K244" s="294"/>
      <c r="L244" s="294"/>
      <c r="M244" s="290"/>
      <c r="N244" s="285"/>
      <c r="O244" s="299"/>
      <c r="P244" s="300"/>
      <c r="Q244" s="219"/>
      <c r="R244" s="198"/>
      <c r="S244" s="198"/>
      <c r="T244" s="198"/>
      <c r="U244" s="198"/>
      <c r="V244" s="198"/>
      <c r="W244" s="198"/>
      <c r="X244" s="198"/>
      <c r="Y244" s="198"/>
      <c r="Z244" s="198"/>
    </row>
    <row r="245" ht="57.75" hidden="1" customHeight="1">
      <c r="A245" s="285"/>
      <c r="B245" s="299"/>
      <c r="C245" s="285"/>
      <c r="D245" s="367"/>
      <c r="E245" s="287"/>
      <c r="F245" s="288"/>
      <c r="G245" s="301"/>
      <c r="H245" s="301"/>
      <c r="I245" s="288"/>
      <c r="J245" s="523"/>
      <c r="K245" s="294"/>
      <c r="L245" s="294"/>
      <c r="M245" s="290"/>
      <c r="N245" s="285"/>
      <c r="O245" s="299"/>
      <c r="P245" s="300"/>
      <c r="Q245" s="219"/>
      <c r="R245" s="198"/>
      <c r="S245" s="198"/>
      <c r="T245" s="198"/>
      <c r="U245" s="198"/>
      <c r="V245" s="198"/>
      <c r="W245" s="198"/>
      <c r="X245" s="198"/>
      <c r="Y245" s="198"/>
      <c r="Z245" s="198"/>
    </row>
    <row r="246" ht="61.5" hidden="1" customHeight="1">
      <c r="A246" s="299"/>
      <c r="B246" s="285"/>
      <c r="C246" s="285"/>
      <c r="D246" s="285"/>
      <c r="E246" s="287"/>
      <c r="F246" s="288"/>
      <c r="G246" s="301"/>
      <c r="H246" s="301"/>
      <c r="I246" s="288"/>
      <c r="J246" s="523"/>
      <c r="K246" s="294"/>
      <c r="L246" s="294"/>
      <c r="M246" s="290"/>
      <c r="N246" s="285"/>
      <c r="O246" s="299"/>
      <c r="P246" s="300"/>
      <c r="Q246" s="219"/>
      <c r="R246" s="198"/>
      <c r="S246" s="198"/>
      <c r="T246" s="198"/>
      <c r="U246" s="198"/>
      <c r="V246" s="198"/>
      <c r="W246" s="198"/>
      <c r="X246" s="198"/>
      <c r="Y246" s="198"/>
      <c r="Z246" s="198"/>
    </row>
    <row r="247" ht="63.0" hidden="1" customHeight="1">
      <c r="A247" s="285"/>
      <c r="B247" s="299"/>
      <c r="C247" s="285"/>
      <c r="D247" s="367"/>
      <c r="E247" s="287"/>
      <c r="F247" s="288"/>
      <c r="G247" s="301"/>
      <c r="H247" s="301"/>
      <c r="I247" s="288"/>
      <c r="J247" s="523"/>
      <c r="K247" s="294"/>
      <c r="L247" s="294"/>
      <c r="M247" s="290"/>
      <c r="N247" s="285"/>
      <c r="O247" s="299"/>
      <c r="P247" s="300"/>
      <c r="Q247" s="219"/>
      <c r="R247" s="198"/>
      <c r="S247" s="198"/>
      <c r="T247" s="198"/>
      <c r="U247" s="198"/>
      <c r="V247" s="198"/>
      <c r="W247" s="198"/>
      <c r="X247" s="198"/>
      <c r="Y247" s="198"/>
      <c r="Z247" s="198"/>
    </row>
    <row r="248" ht="63.0" customHeight="1">
      <c r="A248" s="285"/>
      <c r="B248" s="299"/>
      <c r="C248" s="285"/>
      <c r="D248" s="367"/>
      <c r="E248" s="287"/>
      <c r="F248" s="288"/>
      <c r="G248" s="301"/>
      <c r="H248" s="301"/>
      <c r="I248" s="288"/>
      <c r="J248" s="523"/>
      <c r="K248" s="294"/>
      <c r="L248" s="294"/>
      <c r="M248" s="290"/>
      <c r="N248" s="285"/>
      <c r="O248" s="299"/>
      <c r="P248" s="300"/>
      <c r="Q248" s="219"/>
      <c r="R248" s="198"/>
      <c r="S248" s="198"/>
      <c r="T248" s="198"/>
      <c r="U248" s="198"/>
      <c r="V248" s="198"/>
      <c r="W248" s="198"/>
      <c r="X248" s="198"/>
      <c r="Y248" s="198"/>
      <c r="Z248" s="198"/>
    </row>
    <row r="249" ht="66.0" hidden="1" customHeight="1">
      <c r="A249" s="299"/>
      <c r="B249" s="285"/>
      <c r="C249" s="285"/>
      <c r="D249" s="285"/>
      <c r="E249" s="287"/>
      <c r="F249" s="288"/>
      <c r="G249" s="301"/>
      <c r="H249" s="301"/>
      <c r="I249" s="288"/>
      <c r="J249" s="523"/>
      <c r="K249" s="294"/>
      <c r="L249" s="294"/>
      <c r="M249" s="290"/>
      <c r="N249" s="285"/>
      <c r="O249" s="299"/>
      <c r="P249" s="300"/>
      <c r="Q249" s="219"/>
      <c r="R249" s="198"/>
      <c r="S249" s="198"/>
      <c r="T249" s="198"/>
      <c r="U249" s="198"/>
      <c r="V249" s="198"/>
      <c r="W249" s="198"/>
      <c r="X249" s="198"/>
      <c r="Y249" s="198"/>
      <c r="Z249" s="198"/>
    </row>
    <row r="250" ht="70.5" customHeight="1">
      <c r="A250" s="285"/>
      <c r="B250" s="299"/>
      <c r="C250" s="285"/>
      <c r="D250" s="367"/>
      <c r="E250" s="287"/>
      <c r="F250" s="288"/>
      <c r="G250" s="301"/>
      <c r="H250" s="301"/>
      <c r="I250" s="288"/>
      <c r="J250" s="523"/>
      <c r="K250" s="294"/>
      <c r="L250" s="294"/>
      <c r="M250" s="290"/>
      <c r="N250" s="285"/>
      <c r="O250" s="299"/>
      <c r="P250" s="300"/>
      <c r="Q250" s="219"/>
      <c r="R250" s="198"/>
      <c r="S250" s="198"/>
      <c r="T250" s="198"/>
      <c r="U250" s="198"/>
      <c r="V250" s="198"/>
      <c r="W250" s="198"/>
      <c r="X250" s="198"/>
      <c r="Y250" s="198"/>
      <c r="Z250" s="198"/>
    </row>
    <row r="251" ht="71.25" hidden="1" customHeight="1">
      <c r="A251" s="285"/>
      <c r="B251" s="299"/>
      <c r="C251" s="285"/>
      <c r="D251" s="367"/>
      <c r="E251" s="287"/>
      <c r="F251" s="288"/>
      <c r="G251" s="301"/>
      <c r="H251" s="301"/>
      <c r="I251" s="288"/>
      <c r="J251" s="523"/>
      <c r="K251" s="294"/>
      <c r="L251" s="294"/>
      <c r="M251" s="290"/>
      <c r="N251" s="285"/>
      <c r="O251" s="299"/>
      <c r="P251" s="300"/>
      <c r="Q251" s="219"/>
      <c r="R251" s="198"/>
      <c r="S251" s="198"/>
      <c r="T251" s="198"/>
      <c r="U251" s="198"/>
      <c r="V251" s="198"/>
      <c r="W251" s="198"/>
      <c r="X251" s="198"/>
      <c r="Y251" s="198"/>
      <c r="Z251" s="198"/>
    </row>
    <row r="252" ht="68.25" hidden="1" customHeight="1">
      <c r="A252" s="299"/>
      <c r="B252" s="285"/>
      <c r="C252" s="285"/>
      <c r="D252" s="285"/>
      <c r="E252" s="287"/>
      <c r="F252" s="288"/>
      <c r="G252" s="301"/>
      <c r="H252" s="301"/>
      <c r="I252" s="288"/>
      <c r="J252" s="523"/>
      <c r="K252" s="294"/>
      <c r="L252" s="294"/>
      <c r="M252" s="290"/>
      <c r="N252" s="285"/>
      <c r="O252" s="299"/>
      <c r="P252" s="300"/>
      <c r="Q252" s="219"/>
      <c r="R252" s="198"/>
      <c r="S252" s="198"/>
      <c r="T252" s="198"/>
      <c r="U252" s="198"/>
      <c r="V252" s="198"/>
      <c r="W252" s="198"/>
      <c r="X252" s="198"/>
      <c r="Y252" s="198"/>
      <c r="Z252" s="198"/>
    </row>
    <row r="253" ht="64.5" hidden="1" customHeight="1">
      <c r="A253" s="285"/>
      <c r="B253" s="299"/>
      <c r="C253" s="285"/>
      <c r="D253" s="367"/>
      <c r="E253" s="287"/>
      <c r="F253" s="288"/>
      <c r="G253" s="301"/>
      <c r="H253" s="301"/>
      <c r="I253" s="288"/>
      <c r="J253" s="523"/>
      <c r="K253" s="294"/>
      <c r="L253" s="294"/>
      <c r="M253" s="290"/>
      <c r="N253" s="285"/>
      <c r="O253" s="299"/>
      <c r="P253" s="300"/>
      <c r="Q253" s="219"/>
      <c r="R253" s="198"/>
      <c r="S253" s="198"/>
      <c r="T253" s="198"/>
      <c r="U253" s="198"/>
      <c r="V253" s="198"/>
      <c r="W253" s="198"/>
      <c r="X253" s="198"/>
      <c r="Y253" s="198"/>
      <c r="Z253" s="198"/>
    </row>
    <row r="254" ht="69.0" hidden="1" customHeight="1">
      <c r="A254" s="285"/>
      <c r="B254" s="299"/>
      <c r="C254" s="285"/>
      <c r="D254" s="367"/>
      <c r="E254" s="287"/>
      <c r="F254" s="288"/>
      <c r="G254" s="301"/>
      <c r="H254" s="301"/>
      <c r="I254" s="288"/>
      <c r="J254" s="523"/>
      <c r="K254" s="294"/>
      <c r="L254" s="294"/>
      <c r="M254" s="290"/>
      <c r="N254" s="285"/>
      <c r="O254" s="299"/>
      <c r="P254" s="300"/>
      <c r="Q254" s="219"/>
      <c r="R254" s="198"/>
      <c r="S254" s="198"/>
      <c r="T254" s="198"/>
      <c r="U254" s="198"/>
      <c r="V254" s="198"/>
      <c r="W254" s="198"/>
      <c r="X254" s="198"/>
      <c r="Y254" s="198"/>
      <c r="Z254" s="198"/>
    </row>
    <row r="255" ht="64.5" customHeight="1">
      <c r="A255" s="299"/>
      <c r="B255" s="285"/>
      <c r="C255" s="285"/>
      <c r="D255" s="285"/>
      <c r="E255" s="287"/>
      <c r="F255" s="288"/>
      <c r="G255" s="301"/>
      <c r="H255" s="301"/>
      <c r="I255" s="288"/>
      <c r="J255" s="523"/>
      <c r="K255" s="294"/>
      <c r="L255" s="294"/>
      <c r="M255" s="290"/>
      <c r="N255" s="285"/>
      <c r="O255" s="299"/>
      <c r="P255" s="300"/>
      <c r="Q255" s="219"/>
      <c r="R255" s="198"/>
      <c r="S255" s="198"/>
      <c r="T255" s="198"/>
      <c r="U255" s="198"/>
      <c r="V255" s="198"/>
      <c r="W255" s="198"/>
      <c r="X255" s="198"/>
      <c r="Y255" s="198"/>
      <c r="Z255" s="198"/>
    </row>
    <row r="256" ht="64.5" customHeight="1">
      <c r="A256" s="285"/>
      <c r="B256" s="299"/>
      <c r="C256" s="285"/>
      <c r="D256" s="367"/>
      <c r="E256" s="287"/>
      <c r="F256" s="288"/>
      <c r="G256" s="301"/>
      <c r="H256" s="301"/>
      <c r="I256" s="288"/>
      <c r="J256" s="523"/>
      <c r="K256" s="294"/>
      <c r="L256" s="294"/>
      <c r="M256" s="290"/>
      <c r="N256" s="285"/>
      <c r="O256" s="299"/>
      <c r="P256" s="300"/>
      <c r="Q256" s="219"/>
      <c r="R256" s="198"/>
      <c r="S256" s="198"/>
      <c r="T256" s="198"/>
      <c r="U256" s="198"/>
      <c r="V256" s="198"/>
      <c r="W256" s="198"/>
      <c r="X256" s="198"/>
      <c r="Y256" s="198"/>
      <c r="Z256" s="198"/>
    </row>
    <row r="257" ht="60.75" customHeight="1">
      <c r="A257" s="285"/>
      <c r="B257" s="299"/>
      <c r="C257" s="285"/>
      <c r="D257" s="367"/>
      <c r="E257" s="287"/>
      <c r="F257" s="288"/>
      <c r="G257" s="301"/>
      <c r="H257" s="301"/>
      <c r="I257" s="288"/>
      <c r="J257" s="523"/>
      <c r="K257" s="294"/>
      <c r="L257" s="294"/>
      <c r="M257" s="290"/>
      <c r="N257" s="285"/>
      <c r="O257" s="299"/>
      <c r="P257" s="300"/>
      <c r="Q257" s="219"/>
      <c r="R257" s="198"/>
      <c r="S257" s="198"/>
      <c r="T257" s="198"/>
      <c r="U257" s="198"/>
      <c r="V257" s="198"/>
      <c r="W257" s="198"/>
      <c r="X257" s="198"/>
      <c r="Y257" s="198"/>
      <c r="Z257" s="198"/>
    </row>
    <row r="258" ht="62.25" customHeight="1">
      <c r="A258" s="299"/>
      <c r="B258" s="285"/>
      <c r="C258" s="285"/>
      <c r="D258" s="285"/>
      <c r="E258" s="287"/>
      <c r="F258" s="288"/>
      <c r="G258" s="301"/>
      <c r="H258" s="301"/>
      <c r="I258" s="288"/>
      <c r="J258" s="523"/>
      <c r="K258" s="294"/>
      <c r="L258" s="294"/>
      <c r="M258" s="290"/>
      <c r="N258" s="285"/>
      <c r="O258" s="299"/>
      <c r="P258" s="300"/>
      <c r="Q258" s="219"/>
      <c r="R258" s="198"/>
      <c r="S258" s="198"/>
      <c r="T258" s="198"/>
      <c r="U258" s="198"/>
      <c r="V258" s="198"/>
      <c r="W258" s="198"/>
      <c r="X258" s="198"/>
      <c r="Y258" s="198"/>
      <c r="Z258" s="198"/>
    </row>
    <row r="259" ht="57.75" hidden="1" customHeight="1">
      <c r="A259" s="285"/>
      <c r="B259" s="299"/>
      <c r="C259" s="285"/>
      <c r="D259" s="367"/>
      <c r="E259" s="287"/>
      <c r="F259" s="288"/>
      <c r="G259" s="301"/>
      <c r="H259" s="301"/>
      <c r="I259" s="288"/>
      <c r="J259" s="523"/>
      <c r="K259" s="294"/>
      <c r="L259" s="294"/>
      <c r="M259" s="290"/>
      <c r="N259" s="285"/>
      <c r="O259" s="299"/>
      <c r="P259" s="300"/>
      <c r="Q259" s="219"/>
      <c r="R259" s="198"/>
      <c r="S259" s="198"/>
      <c r="T259" s="198"/>
      <c r="U259" s="198"/>
      <c r="V259" s="198"/>
      <c r="W259" s="198"/>
      <c r="X259" s="198"/>
      <c r="Y259" s="198"/>
      <c r="Z259" s="198"/>
    </row>
    <row r="260" ht="57.75" customHeight="1">
      <c r="A260" s="285"/>
      <c r="B260" s="299"/>
      <c r="C260" s="285"/>
      <c r="D260" s="367"/>
      <c r="E260" s="287"/>
      <c r="F260" s="288"/>
      <c r="G260" s="301"/>
      <c r="H260" s="301"/>
      <c r="I260" s="288"/>
      <c r="J260" s="523"/>
      <c r="K260" s="294"/>
      <c r="L260" s="294"/>
      <c r="M260" s="290"/>
      <c r="N260" s="285"/>
      <c r="O260" s="299"/>
      <c r="P260" s="300"/>
      <c r="Q260" s="219"/>
      <c r="R260" s="198"/>
      <c r="S260" s="198"/>
      <c r="T260" s="198"/>
      <c r="U260" s="198"/>
      <c r="V260" s="198"/>
      <c r="W260" s="198"/>
      <c r="X260" s="198"/>
      <c r="Y260" s="198"/>
      <c r="Z260" s="198"/>
    </row>
    <row r="261" ht="57.75" hidden="1" customHeight="1">
      <c r="A261" s="299"/>
      <c r="B261" s="285"/>
      <c r="C261" s="285"/>
      <c r="D261" s="285"/>
      <c r="E261" s="287"/>
      <c r="F261" s="288"/>
      <c r="G261" s="301"/>
      <c r="H261" s="301"/>
      <c r="I261" s="288"/>
      <c r="J261" s="523"/>
      <c r="K261" s="294"/>
      <c r="L261" s="294"/>
      <c r="M261" s="290"/>
      <c r="N261" s="285"/>
      <c r="O261" s="299"/>
      <c r="P261" s="300"/>
      <c r="Q261" s="219"/>
      <c r="R261" s="198"/>
      <c r="S261" s="198"/>
      <c r="T261" s="198"/>
      <c r="U261" s="198"/>
      <c r="V261" s="198"/>
      <c r="W261" s="198"/>
      <c r="X261" s="198"/>
      <c r="Y261" s="198"/>
      <c r="Z261" s="198"/>
    </row>
    <row r="262" ht="57.75" hidden="1" customHeight="1">
      <c r="A262" s="285"/>
      <c r="B262" s="299"/>
      <c r="C262" s="285"/>
      <c r="D262" s="367"/>
      <c r="E262" s="287"/>
      <c r="F262" s="288"/>
      <c r="G262" s="301"/>
      <c r="H262" s="301"/>
      <c r="I262" s="288"/>
      <c r="J262" s="523"/>
      <c r="K262" s="294"/>
      <c r="L262" s="294"/>
      <c r="M262" s="290"/>
      <c r="N262" s="285"/>
      <c r="O262" s="299"/>
      <c r="P262" s="300"/>
      <c r="Q262" s="219"/>
      <c r="R262" s="198"/>
      <c r="S262" s="198"/>
      <c r="T262" s="198"/>
      <c r="U262" s="198"/>
      <c r="V262" s="198"/>
      <c r="W262" s="198"/>
      <c r="X262" s="198"/>
      <c r="Y262" s="198"/>
      <c r="Z262" s="198"/>
    </row>
    <row r="263" ht="57.75" customHeight="1">
      <c r="A263" s="285"/>
      <c r="B263" s="299"/>
      <c r="C263" s="285"/>
      <c r="D263" s="367"/>
      <c r="E263" s="287"/>
      <c r="F263" s="288"/>
      <c r="G263" s="301"/>
      <c r="H263" s="301"/>
      <c r="I263" s="288"/>
      <c r="J263" s="523"/>
      <c r="K263" s="294"/>
      <c r="L263" s="294"/>
      <c r="M263" s="290"/>
      <c r="N263" s="285"/>
      <c r="O263" s="299"/>
      <c r="P263" s="300"/>
      <c r="Q263" s="219"/>
      <c r="R263" s="198"/>
      <c r="S263" s="198"/>
      <c r="T263" s="198"/>
      <c r="U263" s="198"/>
      <c r="V263" s="198"/>
      <c r="W263" s="198"/>
      <c r="X263" s="198"/>
      <c r="Y263" s="198"/>
      <c r="Z263" s="198"/>
    </row>
    <row r="264" ht="57.75" customHeight="1">
      <c r="A264" s="285"/>
      <c r="B264" s="299"/>
      <c r="C264" s="285"/>
      <c r="D264" s="367"/>
      <c r="E264" s="287"/>
      <c r="F264" s="288"/>
      <c r="G264" s="301"/>
      <c r="H264" s="301"/>
      <c r="I264" s="288"/>
      <c r="J264" s="523"/>
      <c r="K264" s="294"/>
      <c r="L264" s="294"/>
      <c r="M264" s="290"/>
      <c r="N264" s="285"/>
      <c r="O264" s="299"/>
      <c r="P264" s="300"/>
      <c r="Q264" s="219"/>
      <c r="R264" s="198"/>
      <c r="S264" s="198"/>
      <c r="T264" s="198"/>
      <c r="U264" s="198"/>
      <c r="V264" s="198"/>
      <c r="W264" s="198"/>
      <c r="X264" s="198"/>
      <c r="Y264" s="198"/>
      <c r="Z264" s="198"/>
    </row>
    <row r="265" ht="57.75" customHeight="1">
      <c r="A265" s="299"/>
      <c r="B265" s="285"/>
      <c r="C265" s="285"/>
      <c r="D265" s="285"/>
      <c r="E265" s="287"/>
      <c r="F265" s="288"/>
      <c r="G265" s="301"/>
      <c r="H265" s="301"/>
      <c r="I265" s="288"/>
      <c r="J265" s="523"/>
      <c r="K265" s="294"/>
      <c r="L265" s="294"/>
      <c r="M265" s="290"/>
      <c r="N265" s="285"/>
      <c r="O265" s="299"/>
      <c r="P265" s="300"/>
      <c r="Q265" s="219"/>
      <c r="R265" s="198"/>
      <c r="S265" s="198"/>
      <c r="T265" s="198"/>
      <c r="U265" s="198"/>
      <c r="V265" s="198"/>
      <c r="W265" s="198"/>
      <c r="X265" s="198"/>
      <c r="Y265" s="198"/>
      <c r="Z265" s="198"/>
    </row>
    <row r="266" ht="57.75" hidden="1" customHeight="1">
      <c r="A266" s="285"/>
      <c r="B266" s="299"/>
      <c r="C266" s="285"/>
      <c r="D266" s="367"/>
      <c r="E266" s="287"/>
      <c r="F266" s="288"/>
      <c r="G266" s="301"/>
      <c r="H266" s="301"/>
      <c r="I266" s="288"/>
      <c r="J266" s="523"/>
      <c r="K266" s="294"/>
      <c r="L266" s="294"/>
      <c r="M266" s="290"/>
      <c r="N266" s="285"/>
      <c r="O266" s="299"/>
      <c r="P266" s="300"/>
      <c r="Q266" s="219"/>
      <c r="R266" s="198"/>
      <c r="S266" s="198"/>
      <c r="T266" s="198"/>
      <c r="U266" s="198"/>
      <c r="V266" s="198"/>
      <c r="W266" s="198"/>
      <c r="X266" s="198"/>
      <c r="Y266" s="198"/>
      <c r="Z266" s="198"/>
    </row>
    <row r="267" ht="57.75" customHeight="1">
      <c r="A267" s="285"/>
      <c r="B267" s="299"/>
      <c r="C267" s="285"/>
      <c r="D267" s="367"/>
      <c r="E267" s="287"/>
      <c r="F267" s="288"/>
      <c r="G267" s="301"/>
      <c r="H267" s="301"/>
      <c r="I267" s="288"/>
      <c r="J267" s="523"/>
      <c r="K267" s="294"/>
      <c r="L267" s="294"/>
      <c r="M267" s="290"/>
      <c r="N267" s="285"/>
      <c r="O267" s="299"/>
      <c r="P267" s="300"/>
      <c r="Q267" s="219"/>
      <c r="R267" s="198"/>
      <c r="S267" s="198"/>
      <c r="T267" s="198"/>
      <c r="U267" s="198"/>
      <c r="V267" s="198"/>
      <c r="W267" s="198"/>
      <c r="X267" s="198"/>
      <c r="Y267" s="198"/>
      <c r="Z267" s="198"/>
    </row>
    <row r="268" ht="57.75" hidden="1" customHeight="1">
      <c r="A268" s="299"/>
      <c r="B268" s="285"/>
      <c r="C268" s="285"/>
      <c r="D268" s="285"/>
      <c r="E268" s="287"/>
      <c r="F268" s="288"/>
      <c r="G268" s="301"/>
      <c r="H268" s="301"/>
      <c r="I268" s="288"/>
      <c r="J268" s="523"/>
      <c r="K268" s="294"/>
      <c r="L268" s="294"/>
      <c r="M268" s="290"/>
      <c r="N268" s="285"/>
      <c r="O268" s="299"/>
      <c r="P268" s="300"/>
      <c r="Q268" s="219"/>
      <c r="R268" s="198"/>
      <c r="S268" s="198"/>
      <c r="T268" s="198"/>
      <c r="U268" s="198"/>
      <c r="V268" s="198"/>
      <c r="W268" s="198"/>
      <c r="X268" s="198"/>
      <c r="Y268" s="198"/>
      <c r="Z268" s="198"/>
    </row>
    <row r="269" ht="57.75" hidden="1" customHeight="1">
      <c r="A269" s="285"/>
      <c r="B269" s="299"/>
      <c r="C269" s="285"/>
      <c r="D269" s="367"/>
      <c r="E269" s="287"/>
      <c r="F269" s="288"/>
      <c r="G269" s="301"/>
      <c r="H269" s="301"/>
      <c r="I269" s="288"/>
      <c r="J269" s="523"/>
      <c r="K269" s="294"/>
      <c r="L269" s="294"/>
      <c r="M269" s="290"/>
      <c r="N269" s="285"/>
      <c r="O269" s="299"/>
      <c r="P269" s="300"/>
      <c r="Q269" s="219"/>
      <c r="R269" s="198"/>
      <c r="S269" s="198"/>
      <c r="T269" s="198"/>
      <c r="U269" s="198"/>
      <c r="V269" s="198"/>
      <c r="W269" s="198"/>
      <c r="X269" s="198"/>
      <c r="Y269" s="198"/>
      <c r="Z269" s="198"/>
    </row>
    <row r="270" ht="57.75" customHeight="1">
      <c r="A270" s="285"/>
      <c r="B270" s="299"/>
      <c r="C270" s="285"/>
      <c r="D270" s="367"/>
      <c r="E270" s="287"/>
      <c r="F270" s="288"/>
      <c r="G270" s="301"/>
      <c r="H270" s="301"/>
      <c r="I270" s="288"/>
      <c r="J270" s="523"/>
      <c r="K270" s="294"/>
      <c r="L270" s="294"/>
      <c r="M270" s="290"/>
      <c r="N270" s="285"/>
      <c r="O270" s="299"/>
      <c r="P270" s="300"/>
      <c r="Q270" s="219"/>
      <c r="R270" s="198"/>
      <c r="S270" s="198"/>
      <c r="T270" s="198"/>
      <c r="U270" s="198"/>
      <c r="V270" s="198"/>
      <c r="W270" s="198"/>
      <c r="X270" s="198"/>
      <c r="Y270" s="198"/>
      <c r="Z270" s="198"/>
    </row>
    <row r="271" ht="57.75" hidden="1" customHeight="1">
      <c r="A271" s="299"/>
      <c r="B271" s="285"/>
      <c r="C271" s="285"/>
      <c r="D271" s="285"/>
      <c r="E271" s="287"/>
      <c r="F271" s="288"/>
      <c r="G271" s="301"/>
      <c r="H271" s="301"/>
      <c r="I271" s="288"/>
      <c r="J271" s="523"/>
      <c r="K271" s="294"/>
      <c r="L271" s="294"/>
      <c r="M271" s="290"/>
      <c r="N271" s="285"/>
      <c r="O271" s="299"/>
      <c r="P271" s="300"/>
      <c r="Q271" s="219"/>
      <c r="R271" s="198"/>
      <c r="S271" s="198"/>
      <c r="T271" s="198"/>
      <c r="U271" s="198"/>
      <c r="V271" s="198"/>
      <c r="W271" s="198"/>
      <c r="X271" s="198"/>
      <c r="Y271" s="198"/>
      <c r="Z271" s="198"/>
    </row>
    <row r="272" ht="62.25" customHeight="1">
      <c r="A272" s="285"/>
      <c r="B272" s="299"/>
      <c r="C272" s="285"/>
      <c r="D272" s="367"/>
      <c r="E272" s="287"/>
      <c r="F272" s="288"/>
      <c r="G272" s="301"/>
      <c r="H272" s="301"/>
      <c r="I272" s="288"/>
      <c r="J272" s="523"/>
      <c r="K272" s="294"/>
      <c r="L272" s="294"/>
      <c r="M272" s="290"/>
      <c r="N272" s="285"/>
      <c r="O272" s="299"/>
      <c r="P272" s="300"/>
      <c r="Q272" s="198"/>
      <c r="R272" s="198"/>
      <c r="T272" s="198"/>
      <c r="U272" s="198"/>
      <c r="V272" s="198"/>
      <c r="W272" s="198"/>
      <c r="X272" s="198"/>
      <c r="Y272" s="198"/>
      <c r="Z272" s="198"/>
    </row>
    <row r="273" ht="57.75" customHeight="1">
      <c r="A273" s="285"/>
      <c r="B273" s="299"/>
      <c r="C273" s="285"/>
      <c r="D273" s="367"/>
      <c r="E273" s="287"/>
      <c r="F273" s="288"/>
      <c r="G273" s="301"/>
      <c r="H273" s="301"/>
      <c r="I273" s="288"/>
      <c r="J273" s="523"/>
      <c r="K273" s="294"/>
      <c r="L273" s="294"/>
      <c r="M273" s="290"/>
      <c r="N273" s="285"/>
      <c r="O273" s="299"/>
      <c r="P273" s="300"/>
      <c r="Q273" s="198"/>
      <c r="R273" s="198"/>
      <c r="S273" s="198"/>
      <c r="T273" s="198"/>
      <c r="U273" s="198"/>
      <c r="V273" s="198"/>
      <c r="W273" s="198"/>
      <c r="X273" s="198"/>
      <c r="Y273" s="198"/>
      <c r="Z273" s="198"/>
    </row>
    <row r="274" ht="57.75" customHeight="1">
      <c r="A274" s="299"/>
      <c r="B274" s="285"/>
      <c r="C274" s="285"/>
      <c r="D274" s="285"/>
      <c r="E274" s="287"/>
      <c r="F274" s="288"/>
      <c r="G274" s="301"/>
      <c r="H274" s="301"/>
      <c r="I274" s="288"/>
      <c r="J274" s="523"/>
      <c r="K274" s="294"/>
      <c r="L274" s="294"/>
      <c r="M274" s="290"/>
      <c r="N274" s="285"/>
      <c r="O274" s="299"/>
      <c r="P274" s="300"/>
      <c r="Q274" s="198"/>
      <c r="R274" s="198"/>
      <c r="S274" s="198"/>
      <c r="T274" s="198"/>
      <c r="U274" s="198"/>
      <c r="V274" s="198"/>
      <c r="W274" s="198"/>
      <c r="X274" s="198"/>
      <c r="Y274" s="198"/>
      <c r="Z274" s="198"/>
    </row>
    <row r="275" ht="63.0" hidden="1" customHeight="1">
      <c r="A275" s="285"/>
      <c r="B275" s="299"/>
      <c r="C275" s="285"/>
      <c r="D275" s="367"/>
      <c r="E275" s="287"/>
      <c r="F275" s="288"/>
      <c r="G275" s="301"/>
      <c r="H275" s="301"/>
      <c r="I275" s="288"/>
      <c r="J275" s="523"/>
      <c r="K275" s="294"/>
      <c r="L275" s="294"/>
      <c r="M275" s="290"/>
      <c r="N275" s="285"/>
      <c r="O275" s="299"/>
      <c r="P275" s="300"/>
      <c r="Q275" s="198"/>
      <c r="R275" s="198"/>
      <c r="S275" s="198"/>
      <c r="T275" s="198"/>
      <c r="U275" s="198"/>
      <c r="V275" s="198"/>
      <c r="W275" s="198"/>
      <c r="X275" s="198"/>
      <c r="Y275" s="198"/>
      <c r="Z275" s="198"/>
    </row>
    <row r="276" ht="57.75" hidden="1" customHeight="1">
      <c r="A276" s="285"/>
      <c r="B276" s="299"/>
      <c r="C276" s="285"/>
      <c r="D276" s="367"/>
      <c r="E276" s="287"/>
      <c r="F276" s="288"/>
      <c r="G276" s="301"/>
      <c r="H276" s="301"/>
      <c r="I276" s="288"/>
      <c r="J276" s="523"/>
      <c r="K276" s="294"/>
      <c r="L276" s="294"/>
      <c r="M276" s="290"/>
      <c r="N276" s="285"/>
      <c r="O276" s="299"/>
      <c r="P276" s="300"/>
      <c r="Q276" s="198"/>
      <c r="R276" s="198"/>
      <c r="S276" s="198"/>
      <c r="T276" s="198"/>
      <c r="U276" s="198"/>
      <c r="V276" s="198"/>
      <c r="W276" s="198"/>
      <c r="X276" s="198"/>
      <c r="Y276" s="198"/>
      <c r="Z276" s="198"/>
    </row>
    <row r="277" ht="57.75" customHeight="1">
      <c r="A277" s="299"/>
      <c r="B277" s="285"/>
      <c r="C277" s="285"/>
      <c r="D277" s="285"/>
      <c r="E277" s="287"/>
      <c r="F277" s="288"/>
      <c r="G277" s="301"/>
      <c r="H277" s="301"/>
      <c r="I277" s="288"/>
      <c r="J277" s="523"/>
      <c r="K277" s="294"/>
      <c r="L277" s="294"/>
      <c r="M277" s="290"/>
      <c r="N277" s="285"/>
      <c r="O277" s="299"/>
      <c r="P277" s="300"/>
      <c r="Q277" s="198"/>
      <c r="R277" s="198"/>
      <c r="S277" s="198"/>
      <c r="T277" s="198"/>
      <c r="U277" s="198"/>
      <c r="V277" s="198"/>
      <c r="W277" s="198"/>
      <c r="X277" s="198"/>
      <c r="Y277" s="198"/>
      <c r="Z277" s="198"/>
    </row>
    <row r="278" ht="57.75" hidden="1" customHeight="1">
      <c r="A278" s="285"/>
      <c r="B278" s="299"/>
      <c r="C278" s="285"/>
      <c r="D278" s="367"/>
      <c r="E278" s="287"/>
      <c r="F278" s="288"/>
      <c r="G278" s="301"/>
      <c r="H278" s="301"/>
      <c r="I278" s="288"/>
      <c r="J278" s="523"/>
      <c r="K278" s="294"/>
      <c r="L278" s="294"/>
      <c r="M278" s="290"/>
      <c r="N278" s="285"/>
      <c r="O278" s="299"/>
      <c r="P278" s="300"/>
      <c r="Q278" s="198"/>
      <c r="R278" s="198"/>
      <c r="S278" s="198"/>
      <c r="T278" s="198"/>
      <c r="U278" s="198"/>
      <c r="V278" s="198"/>
      <c r="W278" s="198"/>
      <c r="X278" s="198"/>
      <c r="Y278" s="198"/>
      <c r="Z278" s="198"/>
    </row>
    <row r="279" ht="57.75" hidden="1" customHeight="1">
      <c r="A279" s="285"/>
      <c r="B279" s="299"/>
      <c r="C279" s="285"/>
      <c r="D279" s="367"/>
      <c r="E279" s="287"/>
      <c r="F279" s="288"/>
      <c r="G279" s="301"/>
      <c r="H279" s="301"/>
      <c r="I279" s="288"/>
      <c r="J279" s="523"/>
      <c r="K279" s="294"/>
      <c r="L279" s="294"/>
      <c r="M279" s="290"/>
      <c r="N279" s="285"/>
      <c r="O279" s="299"/>
      <c r="P279" s="300"/>
      <c r="Q279" s="198"/>
      <c r="R279" s="198"/>
      <c r="S279" s="198"/>
      <c r="T279" s="198"/>
      <c r="U279" s="198"/>
      <c r="V279" s="198"/>
      <c r="W279" s="198"/>
      <c r="X279" s="198"/>
      <c r="Y279" s="198"/>
      <c r="Z279" s="198"/>
    </row>
    <row r="280" ht="57.75" customHeight="1">
      <c r="A280" s="299"/>
      <c r="B280" s="285"/>
      <c r="C280" s="285"/>
      <c r="D280" s="285"/>
      <c r="E280" s="287"/>
      <c r="F280" s="288"/>
      <c r="G280" s="301"/>
      <c r="H280" s="301"/>
      <c r="I280" s="288"/>
      <c r="J280" s="523"/>
      <c r="K280" s="294"/>
      <c r="L280" s="294"/>
      <c r="M280" s="290"/>
      <c r="N280" s="285"/>
      <c r="O280" s="299"/>
      <c r="P280" s="300"/>
      <c r="Q280" s="198"/>
      <c r="R280" s="198"/>
      <c r="S280" s="198"/>
      <c r="T280" s="198"/>
      <c r="U280" s="198"/>
      <c r="V280" s="198"/>
      <c r="W280" s="198"/>
      <c r="X280" s="198"/>
      <c r="Y280" s="198"/>
      <c r="Z280" s="198"/>
    </row>
    <row r="281" ht="57.75" hidden="1" customHeight="1">
      <c r="A281" s="285"/>
      <c r="B281" s="299"/>
      <c r="C281" s="285"/>
      <c r="D281" s="367"/>
      <c r="E281" s="287"/>
      <c r="F281" s="288"/>
      <c r="G281" s="301"/>
      <c r="H281" s="301"/>
      <c r="I281" s="288"/>
      <c r="J281" s="523"/>
      <c r="K281" s="294"/>
      <c r="L281" s="294"/>
      <c r="M281" s="290"/>
      <c r="N281" s="285"/>
      <c r="O281" s="299"/>
      <c r="P281" s="300"/>
      <c r="Q281" s="198"/>
      <c r="R281" s="198"/>
      <c r="S281" s="198"/>
      <c r="T281" s="198"/>
      <c r="U281" s="198"/>
      <c r="V281" s="198"/>
      <c r="W281" s="198"/>
      <c r="X281" s="198"/>
      <c r="Y281" s="198"/>
      <c r="Z281" s="198"/>
    </row>
    <row r="282" ht="57.75" hidden="1" customHeight="1">
      <c r="A282" s="285"/>
      <c r="B282" s="299"/>
      <c r="C282" s="285"/>
      <c r="D282" s="367"/>
      <c r="E282" s="287"/>
      <c r="F282" s="288"/>
      <c r="G282" s="301"/>
      <c r="H282" s="301"/>
      <c r="I282" s="288"/>
      <c r="J282" s="523"/>
      <c r="K282" s="294"/>
      <c r="L282" s="294"/>
      <c r="M282" s="290"/>
      <c r="N282" s="285"/>
      <c r="O282" s="299"/>
      <c r="P282" s="300"/>
      <c r="Q282" s="198"/>
      <c r="R282" s="198"/>
      <c r="S282" s="198"/>
      <c r="T282" s="198"/>
      <c r="U282" s="198"/>
      <c r="V282" s="198"/>
      <c r="W282" s="198"/>
      <c r="X282" s="198"/>
      <c r="Y282" s="198"/>
      <c r="Z282" s="198"/>
    </row>
    <row r="283" ht="63.0" hidden="1" customHeight="1">
      <c r="A283" s="299"/>
      <c r="B283" s="285"/>
      <c r="C283" s="285"/>
      <c r="D283" s="285"/>
      <c r="E283" s="287"/>
      <c r="F283" s="288"/>
      <c r="G283" s="301"/>
      <c r="H283" s="301"/>
      <c r="I283" s="288"/>
      <c r="J283" s="523"/>
      <c r="K283" s="294"/>
      <c r="L283" s="294"/>
      <c r="M283" s="290"/>
      <c r="N283" s="285"/>
      <c r="O283" s="299"/>
      <c r="P283" s="300"/>
      <c r="Q283" s="198"/>
      <c r="R283" s="198"/>
      <c r="S283" s="198"/>
      <c r="T283" s="198"/>
      <c r="U283" s="198"/>
      <c r="V283" s="198"/>
      <c r="W283" s="198"/>
      <c r="X283" s="198"/>
      <c r="Y283" s="198"/>
      <c r="Z283" s="198"/>
    </row>
    <row r="284" ht="63.75" customHeight="1">
      <c r="A284" s="285"/>
      <c r="B284" s="299"/>
      <c r="C284" s="285"/>
      <c r="D284" s="367"/>
      <c r="E284" s="287"/>
      <c r="F284" s="288"/>
      <c r="G284" s="301"/>
      <c r="H284" s="301"/>
      <c r="I284" s="288"/>
      <c r="J284" s="523"/>
      <c r="K284" s="294"/>
      <c r="L284" s="294"/>
      <c r="M284" s="290"/>
      <c r="N284" s="285"/>
      <c r="O284" s="299"/>
      <c r="P284" s="300"/>
      <c r="Q284" s="198"/>
      <c r="R284" s="198"/>
      <c r="S284" s="198"/>
      <c r="T284" s="198"/>
      <c r="U284" s="198"/>
      <c r="V284" s="198"/>
      <c r="W284" s="198"/>
      <c r="X284" s="198"/>
      <c r="Y284" s="198"/>
      <c r="Z284" s="198"/>
    </row>
    <row r="285" ht="57.75" customHeight="1">
      <c r="A285" s="285"/>
      <c r="B285" s="299"/>
      <c r="C285" s="285"/>
      <c r="D285" s="367"/>
      <c r="E285" s="287"/>
      <c r="F285" s="288"/>
      <c r="G285" s="301"/>
      <c r="H285" s="301"/>
      <c r="I285" s="288"/>
      <c r="J285" s="523"/>
      <c r="K285" s="294"/>
      <c r="L285" s="294"/>
      <c r="M285" s="290"/>
      <c r="N285" s="285"/>
      <c r="O285" s="299"/>
      <c r="P285" s="300"/>
      <c r="Q285" s="198"/>
      <c r="R285" s="198"/>
      <c r="S285" s="198"/>
      <c r="T285" s="198"/>
      <c r="U285" s="198"/>
      <c r="V285" s="198"/>
      <c r="W285" s="198"/>
      <c r="X285" s="198"/>
      <c r="Y285" s="198"/>
      <c r="Z285" s="198"/>
    </row>
    <row r="286" ht="57.75" customHeight="1">
      <c r="A286" s="299"/>
      <c r="B286" s="285"/>
      <c r="C286" s="285"/>
      <c r="D286" s="285"/>
      <c r="E286" s="287"/>
      <c r="F286" s="288"/>
      <c r="G286" s="301"/>
      <c r="H286" s="301"/>
      <c r="I286" s="288"/>
      <c r="J286" s="523"/>
      <c r="K286" s="294"/>
      <c r="L286" s="294"/>
      <c r="M286" s="290"/>
      <c r="N286" s="285"/>
      <c r="O286" s="299"/>
      <c r="P286" s="300"/>
      <c r="Q286" s="198"/>
      <c r="R286" s="198"/>
      <c r="S286" s="198"/>
      <c r="T286" s="198"/>
      <c r="U286" s="198"/>
      <c r="V286" s="198"/>
      <c r="W286" s="198"/>
      <c r="X286" s="198"/>
      <c r="Y286" s="198"/>
      <c r="Z286" s="198"/>
    </row>
    <row r="287" ht="57.75" customHeight="1">
      <c r="A287" s="285"/>
      <c r="B287" s="299"/>
      <c r="C287" s="285"/>
      <c r="D287" s="367"/>
      <c r="E287" s="287"/>
      <c r="F287" s="288"/>
      <c r="G287" s="301"/>
      <c r="H287" s="301"/>
      <c r="I287" s="288"/>
      <c r="J287" s="523"/>
      <c r="K287" s="294"/>
      <c r="L287" s="294"/>
      <c r="M287" s="290"/>
      <c r="N287" s="285"/>
      <c r="O287" s="299"/>
      <c r="P287" s="300"/>
      <c r="Q287" s="198"/>
      <c r="R287" s="198"/>
      <c r="S287" s="198"/>
      <c r="T287" s="198"/>
      <c r="U287" s="198"/>
      <c r="V287" s="198"/>
      <c r="W287" s="198"/>
      <c r="X287" s="198"/>
      <c r="Y287" s="198"/>
      <c r="Z287" s="198"/>
    </row>
    <row r="288" ht="57.75" hidden="1" customHeight="1">
      <c r="A288" s="285"/>
      <c r="B288" s="299"/>
      <c r="C288" s="285"/>
      <c r="D288" s="367"/>
      <c r="E288" s="287"/>
      <c r="F288" s="288"/>
      <c r="G288" s="301"/>
      <c r="H288" s="301"/>
      <c r="I288" s="288"/>
      <c r="J288" s="523"/>
      <c r="K288" s="294"/>
      <c r="L288" s="294"/>
      <c r="M288" s="290"/>
      <c r="N288" s="285"/>
      <c r="O288" s="299"/>
      <c r="P288" s="300"/>
      <c r="Q288" s="198"/>
      <c r="R288" s="198"/>
      <c r="S288" s="198"/>
      <c r="T288" s="198"/>
      <c r="U288" s="198"/>
      <c r="V288" s="198"/>
      <c r="W288" s="198"/>
      <c r="X288" s="198"/>
      <c r="Y288" s="198"/>
      <c r="Z288" s="198"/>
    </row>
    <row r="289" ht="57.75" hidden="1" customHeight="1">
      <c r="A289" s="299"/>
      <c r="B289" s="285"/>
      <c r="C289" s="285"/>
      <c r="D289" s="285"/>
      <c r="E289" s="287"/>
      <c r="F289" s="288"/>
      <c r="G289" s="301"/>
      <c r="H289" s="301"/>
      <c r="I289" s="288"/>
      <c r="J289" s="523"/>
      <c r="K289" s="294"/>
      <c r="L289" s="294"/>
      <c r="M289" s="290"/>
      <c r="N289" s="285"/>
      <c r="O289" s="299"/>
      <c r="P289" s="300"/>
      <c r="Q289" s="198"/>
      <c r="R289" s="198"/>
      <c r="S289" s="198"/>
      <c r="T289" s="198"/>
      <c r="U289" s="198"/>
      <c r="V289" s="198"/>
      <c r="W289" s="198"/>
      <c r="X289" s="198"/>
      <c r="Y289" s="198"/>
      <c r="Z289" s="198"/>
    </row>
    <row r="290" ht="57.75" customHeight="1">
      <c r="A290" s="285"/>
      <c r="B290" s="299"/>
      <c r="C290" s="285"/>
      <c r="D290" s="367"/>
      <c r="E290" s="287"/>
      <c r="F290" s="288"/>
      <c r="G290" s="301"/>
      <c r="H290" s="301"/>
      <c r="I290" s="288"/>
      <c r="J290" s="523"/>
      <c r="K290" s="294"/>
      <c r="L290" s="294"/>
      <c r="M290" s="290"/>
      <c r="N290" s="285"/>
      <c r="O290" s="299"/>
      <c r="P290" s="300"/>
      <c r="Q290" s="198"/>
      <c r="R290" s="198"/>
      <c r="S290" s="198"/>
      <c r="T290" s="198"/>
      <c r="U290" s="198"/>
      <c r="V290" s="198"/>
      <c r="W290" s="198"/>
      <c r="X290" s="198"/>
      <c r="Y290" s="198"/>
      <c r="Z290" s="198"/>
    </row>
    <row r="291" ht="57.75" hidden="1" customHeight="1">
      <c r="A291" s="285"/>
      <c r="B291" s="299"/>
      <c r="C291" s="285"/>
      <c r="D291" s="367"/>
      <c r="E291" s="287"/>
      <c r="F291" s="288"/>
      <c r="G291" s="301"/>
      <c r="H291" s="301"/>
      <c r="I291" s="288"/>
      <c r="J291" s="523"/>
      <c r="K291" s="294"/>
      <c r="L291" s="294"/>
      <c r="M291" s="290"/>
      <c r="N291" s="285"/>
      <c r="O291" s="299"/>
      <c r="P291" s="300"/>
      <c r="Q291" s="198"/>
      <c r="R291" s="198"/>
      <c r="S291" s="198"/>
      <c r="T291" s="198"/>
      <c r="U291" s="198"/>
      <c r="V291" s="198"/>
      <c r="W291" s="198"/>
      <c r="X291" s="198"/>
      <c r="Y291" s="198"/>
      <c r="Z291" s="198"/>
    </row>
    <row r="292" ht="57.75" hidden="1" customHeight="1">
      <c r="A292" s="299"/>
      <c r="B292" s="285"/>
      <c r="C292" s="285"/>
      <c r="D292" s="285"/>
      <c r="E292" s="287"/>
      <c r="F292" s="288"/>
      <c r="G292" s="301"/>
      <c r="H292" s="301"/>
      <c r="I292" s="288"/>
      <c r="J292" s="523"/>
      <c r="K292" s="294"/>
      <c r="L292" s="294"/>
      <c r="M292" s="290"/>
      <c r="N292" s="285"/>
      <c r="O292" s="299"/>
      <c r="P292" s="300"/>
      <c r="Q292" s="198"/>
      <c r="R292" s="198"/>
      <c r="S292" s="198"/>
      <c r="T292" s="198"/>
      <c r="U292" s="198"/>
      <c r="V292" s="198"/>
      <c r="W292" s="198"/>
      <c r="X292" s="198"/>
      <c r="Y292" s="198"/>
      <c r="Z292" s="198"/>
    </row>
    <row r="293" ht="57.75" customHeight="1">
      <c r="A293" s="285"/>
      <c r="B293" s="299"/>
      <c r="C293" s="285"/>
      <c r="D293" s="367"/>
      <c r="E293" s="287"/>
      <c r="F293" s="288"/>
      <c r="G293" s="301"/>
      <c r="H293" s="301"/>
      <c r="I293" s="288"/>
      <c r="J293" s="523"/>
      <c r="K293" s="294"/>
      <c r="L293" s="294"/>
      <c r="M293" s="290"/>
      <c r="N293" s="285"/>
      <c r="O293" s="299"/>
      <c r="P293" s="300"/>
      <c r="Q293" s="198"/>
      <c r="R293" s="198"/>
      <c r="S293" s="198"/>
      <c r="T293" s="198"/>
      <c r="U293" s="198"/>
      <c r="V293" s="198"/>
      <c r="W293" s="198"/>
      <c r="X293" s="198"/>
      <c r="Y293" s="198"/>
      <c r="Z293" s="198"/>
    </row>
    <row r="294" ht="61.5" customHeight="1">
      <c r="A294" s="285"/>
      <c r="B294" s="299"/>
      <c r="C294" s="285"/>
      <c r="D294" s="367"/>
      <c r="E294" s="287"/>
      <c r="F294" s="288"/>
      <c r="G294" s="301"/>
      <c r="H294" s="301"/>
      <c r="I294" s="288"/>
      <c r="J294" s="523"/>
      <c r="K294" s="294"/>
      <c r="L294" s="294"/>
      <c r="M294" s="290"/>
      <c r="N294" s="285"/>
      <c r="O294" s="299"/>
      <c r="P294" s="300"/>
      <c r="Q294" s="198"/>
      <c r="R294" s="198"/>
      <c r="S294" s="198"/>
      <c r="T294" s="198"/>
      <c r="U294" s="198"/>
      <c r="V294" s="198"/>
      <c r="W294" s="198"/>
      <c r="X294" s="198"/>
      <c r="Y294" s="198"/>
      <c r="Z294" s="198"/>
    </row>
    <row r="295" ht="60.75" hidden="1" customHeight="1">
      <c r="A295" s="299"/>
      <c r="B295" s="285"/>
      <c r="C295" s="285"/>
      <c r="D295" s="285"/>
      <c r="E295" s="287"/>
      <c r="F295" s="288"/>
      <c r="G295" s="301"/>
      <c r="H295" s="301"/>
      <c r="I295" s="288"/>
      <c r="J295" s="523"/>
      <c r="K295" s="294"/>
      <c r="L295" s="294"/>
      <c r="M295" s="290"/>
      <c r="N295" s="285"/>
      <c r="O295" s="299"/>
      <c r="P295" s="300"/>
      <c r="Q295" s="198"/>
      <c r="R295" s="198"/>
      <c r="S295" s="198"/>
      <c r="T295" s="198"/>
      <c r="U295" s="198"/>
      <c r="V295" s="198"/>
      <c r="W295" s="198"/>
      <c r="X295" s="198"/>
      <c r="Y295" s="198"/>
      <c r="Z295" s="198"/>
    </row>
    <row r="296" ht="65.25" hidden="1" customHeight="1">
      <c r="A296" s="285"/>
      <c r="B296" s="299"/>
      <c r="C296" s="285"/>
      <c r="D296" s="367"/>
      <c r="E296" s="287"/>
      <c r="F296" s="288"/>
      <c r="G296" s="367"/>
      <c r="H296" s="301"/>
      <c r="I296" s="288"/>
      <c r="J296" s="523"/>
      <c r="K296" s="294"/>
      <c r="L296" s="294"/>
      <c r="M296" s="290"/>
      <c r="N296" s="285"/>
      <c r="O296" s="299"/>
      <c r="P296" s="300"/>
      <c r="Q296" s="198"/>
      <c r="R296" s="198"/>
      <c r="S296" s="198"/>
      <c r="T296" s="198"/>
      <c r="U296" s="198"/>
      <c r="V296" s="198"/>
      <c r="W296" s="198"/>
      <c r="X296" s="198"/>
      <c r="Y296" s="198"/>
      <c r="Z296" s="198"/>
    </row>
    <row r="297" ht="70.5" customHeight="1">
      <c r="A297" s="285"/>
      <c r="B297" s="299"/>
      <c r="C297" s="285"/>
      <c r="D297" s="367"/>
      <c r="E297" s="287"/>
      <c r="F297" s="288"/>
      <c r="G297" s="301"/>
      <c r="H297" s="301"/>
      <c r="I297" s="288"/>
      <c r="J297" s="523"/>
      <c r="K297" s="294"/>
      <c r="L297" s="294"/>
      <c r="M297" s="290"/>
      <c r="N297" s="285"/>
      <c r="O297" s="299"/>
      <c r="P297" s="300"/>
      <c r="Q297" s="198"/>
      <c r="R297" s="198"/>
      <c r="S297" s="198"/>
      <c r="T297" s="198"/>
      <c r="U297" s="198"/>
      <c r="V297" s="198"/>
      <c r="W297" s="198"/>
      <c r="X297" s="198"/>
      <c r="Y297" s="198"/>
      <c r="Z297" s="198"/>
    </row>
    <row r="298" ht="63.0" customHeight="1">
      <c r="A298" s="299"/>
      <c r="B298" s="285"/>
      <c r="C298" s="285"/>
      <c r="D298" s="285"/>
      <c r="E298" s="287"/>
      <c r="F298" s="288"/>
      <c r="G298" s="301"/>
      <c r="H298" s="301"/>
      <c r="I298" s="288"/>
      <c r="J298" s="523"/>
      <c r="K298" s="294"/>
      <c r="L298" s="294"/>
      <c r="M298" s="290"/>
      <c r="N298" s="285"/>
      <c r="O298" s="299"/>
      <c r="P298" s="300"/>
      <c r="Q298" s="198"/>
      <c r="R298" s="198"/>
      <c r="S298" s="198"/>
      <c r="T298" s="198"/>
      <c r="U298" s="198"/>
      <c r="V298" s="198"/>
      <c r="W298" s="198"/>
      <c r="X298" s="198"/>
      <c r="Y298" s="198"/>
      <c r="Z298" s="198"/>
    </row>
    <row r="299" ht="57.75" hidden="1" customHeight="1">
      <c r="A299" s="285"/>
      <c r="B299" s="299"/>
      <c r="C299" s="285"/>
      <c r="D299" s="367"/>
      <c r="E299" s="287"/>
      <c r="F299" s="288"/>
      <c r="G299" s="301"/>
      <c r="H299" s="301"/>
      <c r="I299" s="288"/>
      <c r="J299" s="523"/>
      <c r="K299" s="294"/>
      <c r="L299" s="294"/>
      <c r="M299" s="290"/>
      <c r="N299" s="285"/>
      <c r="O299" s="299"/>
      <c r="P299" s="300"/>
      <c r="Q299" s="198"/>
      <c r="R299" s="198"/>
      <c r="S299" s="198"/>
      <c r="T299" s="198"/>
      <c r="U299" s="198"/>
      <c r="V299" s="198"/>
      <c r="W299" s="198"/>
      <c r="X299" s="198"/>
      <c r="Y299" s="198"/>
      <c r="Z299" s="198"/>
    </row>
    <row r="300" ht="57.75" hidden="1" customHeight="1">
      <c r="A300" s="285"/>
      <c r="B300" s="299"/>
      <c r="C300" s="285"/>
      <c r="D300" s="367"/>
      <c r="E300" s="287"/>
      <c r="F300" s="288"/>
      <c r="G300" s="301"/>
      <c r="H300" s="301"/>
      <c r="I300" s="288"/>
      <c r="J300" s="523"/>
      <c r="K300" s="294"/>
      <c r="L300" s="294"/>
      <c r="M300" s="290"/>
      <c r="N300" s="285"/>
      <c r="O300" s="299"/>
      <c r="P300" s="300"/>
      <c r="Q300" s="198"/>
      <c r="R300" s="198"/>
      <c r="S300" s="198"/>
      <c r="T300" s="198"/>
      <c r="U300" s="198"/>
      <c r="V300" s="198"/>
      <c r="W300" s="198"/>
      <c r="X300" s="198"/>
      <c r="Y300" s="198"/>
      <c r="Z300" s="198"/>
    </row>
    <row r="301" ht="57.75" customHeight="1">
      <c r="A301" s="299"/>
      <c r="B301" s="285"/>
      <c r="C301" s="285"/>
      <c r="D301" s="285"/>
      <c r="E301" s="287"/>
      <c r="F301" s="288"/>
      <c r="G301" s="301"/>
      <c r="H301" s="301"/>
      <c r="I301" s="288"/>
      <c r="J301" s="523"/>
      <c r="K301" s="294"/>
      <c r="L301" s="294"/>
      <c r="M301" s="290"/>
      <c r="N301" s="285"/>
      <c r="O301" s="299"/>
      <c r="P301" s="300"/>
      <c r="Q301" s="198"/>
      <c r="R301" s="198"/>
      <c r="S301" s="198"/>
      <c r="T301" s="198"/>
      <c r="U301" s="198"/>
      <c r="V301" s="198"/>
      <c r="W301" s="198"/>
      <c r="X301" s="198"/>
      <c r="Y301" s="198"/>
      <c r="Z301" s="198"/>
    </row>
    <row r="302" ht="57.75" customHeight="1">
      <c r="A302" s="285"/>
      <c r="B302" s="299"/>
      <c r="C302" s="285"/>
      <c r="D302" s="367"/>
      <c r="E302" s="287"/>
      <c r="F302" s="288"/>
      <c r="G302" s="301"/>
      <c r="H302" s="301"/>
      <c r="I302" s="288"/>
      <c r="J302" s="523"/>
      <c r="K302" s="294"/>
      <c r="L302" s="294"/>
      <c r="M302" s="290"/>
      <c r="N302" s="285"/>
      <c r="O302" s="299"/>
      <c r="P302" s="300"/>
      <c r="Q302" s="198"/>
      <c r="R302" s="198"/>
      <c r="S302" s="198"/>
      <c r="T302" s="198"/>
      <c r="U302" s="198"/>
      <c r="V302" s="198"/>
      <c r="W302" s="198"/>
      <c r="X302" s="198"/>
      <c r="Y302" s="198"/>
      <c r="Z302" s="198"/>
    </row>
    <row r="303" ht="60.75" customHeight="1">
      <c r="A303" s="285"/>
      <c r="B303" s="299"/>
      <c r="C303" s="285"/>
      <c r="D303" s="367"/>
      <c r="E303" s="287"/>
      <c r="F303" s="288"/>
      <c r="G303" s="301"/>
      <c r="H303" s="301"/>
      <c r="I303" s="288"/>
      <c r="J303" s="523"/>
      <c r="K303" s="294"/>
      <c r="L303" s="294"/>
      <c r="M303" s="290"/>
      <c r="N303" s="285"/>
      <c r="O303" s="299"/>
      <c r="P303" s="300"/>
      <c r="Q303" s="198"/>
      <c r="R303" s="198"/>
      <c r="S303" s="198"/>
      <c r="T303" s="198"/>
      <c r="U303" s="198"/>
      <c r="V303" s="198"/>
      <c r="W303" s="198"/>
      <c r="X303" s="198"/>
      <c r="Y303" s="198"/>
      <c r="Z303" s="198"/>
    </row>
    <row r="304" ht="57.75" customHeight="1">
      <c r="A304" s="299"/>
      <c r="B304" s="285"/>
      <c r="C304" s="285"/>
      <c r="D304" s="285"/>
      <c r="E304" s="287"/>
      <c r="F304" s="288"/>
      <c r="G304" s="301"/>
      <c r="H304" s="301"/>
      <c r="I304" s="288"/>
      <c r="J304" s="523"/>
      <c r="K304" s="294"/>
      <c r="L304" s="294"/>
      <c r="M304" s="290"/>
      <c r="N304" s="285"/>
      <c r="O304" s="299"/>
      <c r="P304" s="300"/>
      <c r="Q304" s="198"/>
      <c r="R304" s="198"/>
      <c r="S304" s="198"/>
      <c r="T304" s="198"/>
      <c r="U304" s="198"/>
      <c r="V304" s="198"/>
      <c r="W304" s="198"/>
      <c r="X304" s="198"/>
      <c r="Y304" s="198"/>
      <c r="Z304" s="198"/>
    </row>
    <row r="305" ht="65.25" customHeight="1">
      <c r="A305" s="285"/>
      <c r="B305" s="299"/>
      <c r="C305" s="285"/>
      <c r="D305" s="367"/>
      <c r="E305" s="287"/>
      <c r="F305" s="288"/>
      <c r="G305" s="301"/>
      <c r="H305" s="301"/>
      <c r="I305" s="288"/>
      <c r="J305" s="523"/>
      <c r="K305" s="294"/>
      <c r="L305" s="294"/>
      <c r="M305" s="290"/>
      <c r="N305" s="285"/>
      <c r="O305" s="299"/>
      <c r="P305" s="300"/>
      <c r="Q305" s="198"/>
      <c r="R305" s="198"/>
      <c r="S305" s="198"/>
      <c r="T305" s="198"/>
      <c r="U305" s="198"/>
      <c r="V305" s="198"/>
      <c r="W305" s="198"/>
      <c r="X305" s="198"/>
      <c r="Y305" s="198"/>
      <c r="Z305" s="198"/>
    </row>
    <row r="306" ht="57.75" hidden="1" customHeight="1">
      <c r="A306" s="285"/>
      <c r="B306" s="299"/>
      <c r="C306" s="285"/>
      <c r="D306" s="367"/>
      <c r="E306" s="287"/>
      <c r="F306" s="288"/>
      <c r="G306" s="301"/>
      <c r="H306" s="301"/>
      <c r="I306" s="288"/>
      <c r="J306" s="523"/>
      <c r="K306" s="294"/>
      <c r="L306" s="294"/>
      <c r="M306" s="290"/>
      <c r="N306" s="285"/>
      <c r="O306" s="299"/>
      <c r="P306" s="300"/>
      <c r="Q306" s="198"/>
      <c r="R306" s="198"/>
      <c r="S306" s="198"/>
      <c r="T306" s="198"/>
      <c r="U306" s="198"/>
      <c r="V306" s="198"/>
      <c r="W306" s="198"/>
      <c r="X306" s="198"/>
      <c r="Y306" s="198"/>
      <c r="Z306" s="198"/>
    </row>
    <row r="307" ht="57.75" customHeight="1">
      <c r="A307" s="299"/>
      <c r="B307" s="285"/>
      <c r="C307" s="285"/>
      <c r="D307" s="285"/>
      <c r="E307" s="287"/>
      <c r="F307" s="288"/>
      <c r="G307" s="301"/>
      <c r="H307" s="301"/>
      <c r="I307" s="288"/>
      <c r="J307" s="523"/>
      <c r="K307" s="294"/>
      <c r="L307" s="294"/>
      <c r="M307" s="290"/>
      <c r="N307" s="285"/>
      <c r="O307" s="299"/>
      <c r="P307" s="300"/>
      <c r="Q307" s="198"/>
      <c r="R307" s="198"/>
      <c r="S307" s="198"/>
      <c r="T307" s="198"/>
      <c r="U307" s="198"/>
      <c r="V307" s="198"/>
      <c r="W307" s="198"/>
      <c r="X307" s="198"/>
      <c r="Y307" s="198"/>
      <c r="Z307" s="198"/>
    </row>
    <row r="308" ht="69.0" customHeight="1">
      <c r="A308" s="285"/>
      <c r="B308" s="299"/>
      <c r="C308" s="285"/>
      <c r="D308" s="367"/>
      <c r="E308" s="287"/>
      <c r="F308" s="288"/>
      <c r="G308" s="301"/>
      <c r="H308" s="301"/>
      <c r="I308" s="288"/>
      <c r="J308" s="523"/>
      <c r="K308" s="294"/>
      <c r="L308" s="294"/>
      <c r="M308" s="290"/>
      <c r="N308" s="285"/>
      <c r="O308" s="299"/>
      <c r="P308" s="300"/>
      <c r="Q308" s="198"/>
      <c r="R308" s="198"/>
      <c r="S308" s="198"/>
      <c r="T308" s="198"/>
      <c r="U308" s="198"/>
      <c r="V308" s="198"/>
      <c r="W308" s="198"/>
      <c r="X308" s="198"/>
      <c r="Y308" s="198"/>
      <c r="Z308" s="198"/>
    </row>
    <row r="309" ht="57.75" customHeight="1">
      <c r="A309" s="285"/>
      <c r="B309" s="299"/>
      <c r="C309" s="285"/>
      <c r="D309" s="367"/>
      <c r="E309" s="287"/>
      <c r="F309" s="288"/>
      <c r="G309" s="301"/>
      <c r="H309" s="301"/>
      <c r="I309" s="288"/>
      <c r="J309" s="523"/>
      <c r="K309" s="294"/>
      <c r="L309" s="294"/>
      <c r="M309" s="290"/>
      <c r="N309" s="285"/>
      <c r="O309" s="299"/>
      <c r="P309" s="300"/>
      <c r="Q309" s="198"/>
      <c r="R309" s="198"/>
      <c r="S309" s="198"/>
      <c r="T309" s="198"/>
      <c r="U309" s="198"/>
      <c r="V309" s="198"/>
      <c r="W309" s="198"/>
      <c r="X309" s="198"/>
      <c r="Y309" s="198"/>
      <c r="Z309" s="198"/>
    </row>
    <row r="310" ht="68.25" customHeight="1">
      <c r="A310" s="299"/>
      <c r="B310" s="285"/>
      <c r="C310" s="285"/>
      <c r="D310" s="285"/>
      <c r="E310" s="287"/>
      <c r="F310" s="288"/>
      <c r="G310" s="301"/>
      <c r="H310" s="301"/>
      <c r="I310" s="288"/>
      <c r="J310" s="523"/>
      <c r="K310" s="294"/>
      <c r="L310" s="294"/>
      <c r="M310" s="290"/>
      <c r="N310" s="285"/>
      <c r="O310" s="299"/>
      <c r="P310" s="300"/>
      <c r="Q310" s="198"/>
      <c r="R310" s="198"/>
      <c r="S310" s="198"/>
      <c r="T310" s="198"/>
      <c r="U310" s="198"/>
      <c r="V310" s="198"/>
      <c r="W310" s="198"/>
      <c r="X310" s="198"/>
      <c r="Y310" s="198"/>
      <c r="Z310" s="198"/>
    </row>
    <row r="311" ht="68.25" customHeight="1">
      <c r="A311" s="285"/>
      <c r="B311" s="299"/>
      <c r="C311" s="285"/>
      <c r="D311" s="367"/>
      <c r="E311" s="287"/>
      <c r="F311" s="288"/>
      <c r="G311" s="301"/>
      <c r="H311" s="301"/>
      <c r="I311" s="288"/>
      <c r="J311" s="523"/>
      <c r="K311" s="294"/>
      <c r="L311" s="294"/>
      <c r="M311" s="290"/>
      <c r="N311" s="285"/>
      <c r="O311" s="299"/>
      <c r="P311" s="300"/>
      <c r="Q311" s="198"/>
      <c r="R311" s="198"/>
      <c r="S311" s="198"/>
      <c r="T311" s="198"/>
      <c r="U311" s="198"/>
      <c r="V311" s="198"/>
      <c r="W311" s="198"/>
      <c r="X311" s="198"/>
      <c r="Y311" s="198"/>
      <c r="Z311" s="198"/>
    </row>
    <row r="312" ht="66.0" hidden="1" customHeight="1">
      <c r="A312" s="285"/>
      <c r="B312" s="299"/>
      <c r="C312" s="285"/>
      <c r="D312" s="367"/>
      <c r="E312" s="287"/>
      <c r="F312" s="288"/>
      <c r="G312" s="301"/>
      <c r="H312" s="301"/>
      <c r="I312" s="288"/>
      <c r="J312" s="523"/>
      <c r="K312" s="294"/>
      <c r="L312" s="294"/>
      <c r="M312" s="290"/>
      <c r="N312" s="285"/>
      <c r="O312" s="299"/>
      <c r="P312" s="300"/>
      <c r="Q312" s="198"/>
      <c r="R312" s="198"/>
      <c r="S312" s="198"/>
      <c r="T312" s="198"/>
      <c r="U312" s="198"/>
      <c r="V312" s="198"/>
      <c r="W312" s="198"/>
      <c r="X312" s="198"/>
      <c r="Y312" s="198"/>
      <c r="Z312" s="198"/>
    </row>
    <row r="313" ht="63.75" customHeight="1">
      <c r="A313" s="299"/>
      <c r="B313" s="285"/>
      <c r="C313" s="285"/>
      <c r="D313" s="285"/>
      <c r="E313" s="287"/>
      <c r="F313" s="288"/>
      <c r="G313" s="301"/>
      <c r="H313" s="301"/>
      <c r="I313" s="288"/>
      <c r="J313" s="523"/>
      <c r="K313" s="294"/>
      <c r="L313" s="294"/>
      <c r="M313" s="290"/>
      <c r="N313" s="285"/>
      <c r="O313" s="299"/>
      <c r="P313" s="300"/>
      <c r="Q313" s="198"/>
      <c r="R313" s="198"/>
      <c r="S313" s="198"/>
      <c r="T313" s="198"/>
      <c r="U313" s="198"/>
      <c r="V313" s="198"/>
      <c r="W313" s="198"/>
      <c r="X313" s="198"/>
      <c r="Y313" s="198"/>
      <c r="Z313" s="198"/>
    </row>
    <row r="314" ht="57.0" hidden="1" customHeight="1">
      <c r="A314" s="285"/>
      <c r="B314" s="299"/>
      <c r="C314" s="285"/>
      <c r="D314" s="367"/>
      <c r="E314" s="287"/>
      <c r="F314" s="288"/>
      <c r="G314" s="301"/>
      <c r="H314" s="301"/>
      <c r="I314" s="288"/>
      <c r="J314" s="523"/>
      <c r="K314" s="294"/>
      <c r="L314" s="294"/>
      <c r="M314" s="290"/>
      <c r="N314" s="285"/>
      <c r="O314" s="299"/>
      <c r="P314" s="300"/>
      <c r="Q314" s="198"/>
      <c r="R314" s="198"/>
      <c r="S314" s="198"/>
      <c r="T314" s="198"/>
      <c r="U314" s="198"/>
      <c r="V314" s="198"/>
      <c r="W314" s="198"/>
      <c r="X314" s="198"/>
      <c r="Y314" s="198"/>
      <c r="Z314" s="198"/>
    </row>
    <row r="315" ht="63.75" hidden="1" customHeight="1">
      <c r="A315" s="285"/>
      <c r="B315" s="299"/>
      <c r="C315" s="285"/>
      <c r="D315" s="367"/>
      <c r="E315" s="287"/>
      <c r="F315" s="288"/>
      <c r="G315" s="301"/>
      <c r="H315" s="301"/>
      <c r="I315" s="288"/>
      <c r="J315" s="523"/>
      <c r="K315" s="294"/>
      <c r="L315" s="294"/>
      <c r="M315" s="290"/>
      <c r="N315" s="285"/>
      <c r="O315" s="299"/>
      <c r="P315" s="300"/>
      <c r="Q315" s="198"/>
      <c r="R315" s="198"/>
      <c r="S315" s="198"/>
      <c r="T315" s="198"/>
      <c r="U315" s="198"/>
      <c r="V315" s="198"/>
      <c r="W315" s="198"/>
      <c r="X315" s="198"/>
      <c r="Y315" s="198"/>
      <c r="Z315" s="198"/>
    </row>
    <row r="316" ht="62.25" customHeight="1">
      <c r="A316" s="299"/>
      <c r="B316" s="285"/>
      <c r="C316" s="285"/>
      <c r="D316" s="285"/>
      <c r="E316" s="287"/>
      <c r="F316" s="288"/>
      <c r="G316" s="301"/>
      <c r="H316" s="301"/>
      <c r="I316" s="288"/>
      <c r="J316" s="523"/>
      <c r="K316" s="294"/>
      <c r="L316" s="294"/>
      <c r="M316" s="290"/>
      <c r="N316" s="285"/>
      <c r="O316" s="299"/>
      <c r="P316" s="300"/>
      <c r="Q316" s="198"/>
      <c r="R316" s="198"/>
      <c r="S316" s="198"/>
      <c r="T316" s="198"/>
      <c r="U316" s="198"/>
      <c r="V316" s="198"/>
      <c r="W316" s="198"/>
      <c r="X316" s="198"/>
      <c r="Y316" s="198"/>
      <c r="Z316" s="198"/>
    </row>
    <row r="317" ht="60.0" hidden="1" customHeight="1">
      <c r="A317" s="285"/>
      <c r="B317" s="299"/>
      <c r="C317" s="285"/>
      <c r="D317" s="367"/>
      <c r="E317" s="287"/>
      <c r="F317" s="288"/>
      <c r="G317" s="301"/>
      <c r="H317" s="301"/>
      <c r="I317" s="288"/>
      <c r="J317" s="523"/>
      <c r="K317" s="294"/>
      <c r="L317" s="294"/>
      <c r="M317" s="290"/>
      <c r="N317" s="285"/>
      <c r="O317" s="299"/>
      <c r="P317" s="300"/>
      <c r="Q317" s="198"/>
      <c r="R317" s="198"/>
      <c r="S317" s="198"/>
      <c r="T317" s="198"/>
      <c r="U317" s="198"/>
      <c r="V317" s="198"/>
      <c r="W317" s="198"/>
      <c r="X317" s="198"/>
      <c r="Y317" s="198"/>
      <c r="Z317" s="198"/>
    </row>
    <row r="318" ht="62.25" customHeight="1">
      <c r="A318" s="285"/>
      <c r="B318" s="299"/>
      <c r="C318" s="285"/>
      <c r="D318" s="367"/>
      <c r="E318" s="287"/>
      <c r="F318" s="288"/>
      <c r="G318" s="301"/>
      <c r="H318" s="301"/>
      <c r="I318" s="288"/>
      <c r="J318" s="523"/>
      <c r="K318" s="294"/>
      <c r="L318" s="294"/>
      <c r="M318" s="290"/>
      <c r="N318" s="285"/>
      <c r="O318" s="299"/>
      <c r="P318" s="300"/>
      <c r="Q318" s="198"/>
      <c r="R318" s="198"/>
      <c r="S318" s="198"/>
      <c r="T318" s="198"/>
      <c r="U318" s="198"/>
      <c r="V318" s="198"/>
      <c r="W318" s="198"/>
      <c r="X318" s="198"/>
      <c r="Y318" s="198"/>
      <c r="Z318" s="198"/>
    </row>
    <row r="319" ht="57.0" hidden="1" customHeight="1">
      <c r="A319" s="299"/>
      <c r="B319" s="285"/>
      <c r="C319" s="285"/>
      <c r="D319" s="285"/>
      <c r="E319" s="287"/>
      <c r="F319" s="288"/>
      <c r="G319" s="301"/>
      <c r="H319" s="301"/>
      <c r="I319" s="288"/>
      <c r="J319" s="523"/>
      <c r="K319" s="294"/>
      <c r="L319" s="294"/>
      <c r="M319" s="290"/>
      <c r="N319" s="285"/>
      <c r="O319" s="299"/>
      <c r="P319" s="300"/>
      <c r="Q319" s="198"/>
      <c r="R319" s="198"/>
      <c r="S319" s="198"/>
      <c r="T319" s="198"/>
      <c r="U319" s="198"/>
      <c r="V319" s="198"/>
      <c r="W319" s="198"/>
      <c r="X319" s="198"/>
      <c r="Y319" s="198"/>
      <c r="Z319" s="198"/>
    </row>
    <row r="320" ht="57.0" hidden="1" customHeight="1">
      <c r="A320" s="285"/>
      <c r="B320" s="299"/>
      <c r="C320" s="285"/>
      <c r="D320" s="367"/>
      <c r="E320" s="287"/>
      <c r="F320" s="288"/>
      <c r="G320" s="301"/>
      <c r="H320" s="301"/>
      <c r="I320" s="288"/>
      <c r="J320" s="523"/>
      <c r="K320" s="294"/>
      <c r="L320" s="294"/>
      <c r="M320" s="290"/>
      <c r="N320" s="285"/>
      <c r="O320" s="299"/>
      <c r="P320" s="300"/>
      <c r="Q320" s="198"/>
      <c r="R320" s="198"/>
      <c r="S320" s="198"/>
      <c r="T320" s="198"/>
      <c r="U320" s="198"/>
      <c r="V320" s="198"/>
      <c r="W320" s="198"/>
      <c r="X320" s="198"/>
      <c r="Y320" s="198"/>
      <c r="Z320" s="198"/>
    </row>
    <row r="321" ht="57.0" customHeight="1">
      <c r="A321" s="285"/>
      <c r="B321" s="299"/>
      <c r="C321" s="285"/>
      <c r="D321" s="367"/>
      <c r="E321" s="287"/>
      <c r="F321" s="288"/>
      <c r="G321" s="301"/>
      <c r="H321" s="301"/>
      <c r="I321" s="288"/>
      <c r="J321" s="523"/>
      <c r="K321" s="294"/>
      <c r="L321" s="294"/>
      <c r="M321" s="290"/>
      <c r="N321" s="285"/>
      <c r="O321" s="299"/>
      <c r="P321" s="300"/>
      <c r="Q321" s="198"/>
      <c r="R321" s="198"/>
      <c r="S321" s="198"/>
      <c r="T321" s="198"/>
      <c r="U321" s="198"/>
      <c r="V321" s="198"/>
      <c r="W321" s="198"/>
      <c r="X321" s="198"/>
      <c r="Y321" s="198"/>
      <c r="Z321" s="198"/>
    </row>
    <row r="322" ht="57.75" hidden="1" customHeight="1">
      <c r="A322" s="299"/>
      <c r="B322" s="285"/>
      <c r="C322" s="285"/>
      <c r="D322" s="285"/>
      <c r="E322" s="287"/>
      <c r="F322" s="288"/>
      <c r="G322" s="301"/>
      <c r="H322" s="301"/>
      <c r="I322" s="288"/>
      <c r="J322" s="523"/>
      <c r="K322" s="294"/>
      <c r="L322" s="294"/>
      <c r="M322" s="290"/>
      <c r="N322" s="285"/>
      <c r="O322" s="299"/>
      <c r="P322" s="300"/>
      <c r="Q322" s="198"/>
      <c r="R322" s="198"/>
      <c r="S322" s="198"/>
      <c r="T322" s="198"/>
      <c r="U322" s="198"/>
      <c r="V322" s="198"/>
      <c r="W322" s="198"/>
      <c r="X322" s="198"/>
      <c r="Y322" s="198"/>
      <c r="Z322" s="198"/>
    </row>
    <row r="323" ht="58.5" customHeight="1">
      <c r="A323" s="285"/>
      <c r="B323" s="299"/>
      <c r="C323" s="285"/>
      <c r="D323" s="367"/>
      <c r="E323" s="287"/>
      <c r="F323" s="288"/>
      <c r="G323" s="301"/>
      <c r="H323" s="301"/>
      <c r="I323" s="288"/>
      <c r="J323" s="523"/>
      <c r="K323" s="294"/>
      <c r="L323" s="294"/>
      <c r="M323" s="290"/>
      <c r="N323" s="285"/>
      <c r="O323" s="299"/>
      <c r="P323" s="300"/>
      <c r="Q323" s="198"/>
      <c r="R323" s="198"/>
      <c r="S323" s="198"/>
      <c r="T323" s="198"/>
      <c r="U323" s="198"/>
      <c r="V323" s="198"/>
      <c r="W323" s="198"/>
      <c r="X323" s="198"/>
      <c r="Y323" s="198"/>
      <c r="Z323" s="198"/>
    </row>
    <row r="324" ht="57.0" customHeight="1">
      <c r="A324" s="285"/>
      <c r="B324" s="299"/>
      <c r="C324" s="285"/>
      <c r="D324" s="367"/>
      <c r="E324" s="287"/>
      <c r="F324" s="288"/>
      <c r="G324" s="301"/>
      <c r="H324" s="301"/>
      <c r="I324" s="288"/>
      <c r="J324" s="523"/>
      <c r="K324" s="294"/>
      <c r="L324" s="294"/>
      <c r="M324" s="290"/>
      <c r="N324" s="285"/>
      <c r="O324" s="299"/>
      <c r="P324" s="300"/>
      <c r="Q324" s="198"/>
      <c r="R324" s="198"/>
      <c r="S324" s="198"/>
      <c r="T324" s="198"/>
      <c r="U324" s="198"/>
      <c r="V324" s="198"/>
      <c r="W324" s="198"/>
      <c r="X324" s="198"/>
      <c r="Y324" s="198"/>
      <c r="Z324" s="198"/>
    </row>
    <row r="325" ht="58.5" customHeight="1">
      <c r="A325" s="299"/>
      <c r="B325" s="285"/>
      <c r="C325" s="285"/>
      <c r="D325" s="285"/>
      <c r="E325" s="287"/>
      <c r="F325" s="288"/>
      <c r="G325" s="301"/>
      <c r="H325" s="301"/>
      <c r="I325" s="288"/>
      <c r="J325" s="523"/>
      <c r="K325" s="294"/>
      <c r="L325" s="294"/>
      <c r="M325" s="290"/>
      <c r="N325" s="285"/>
      <c r="O325" s="299"/>
      <c r="P325" s="300"/>
      <c r="Q325" s="198"/>
      <c r="R325" s="198"/>
      <c r="S325" s="198"/>
      <c r="T325" s="198"/>
      <c r="U325" s="198"/>
      <c r="V325" s="198"/>
      <c r="W325" s="198"/>
      <c r="X325" s="198"/>
      <c r="Y325" s="198"/>
      <c r="Z325" s="198"/>
    </row>
    <row r="326" ht="58.5" hidden="1" customHeight="1">
      <c r="A326" s="285"/>
      <c r="B326" s="299"/>
      <c r="C326" s="285"/>
      <c r="D326" s="367"/>
      <c r="E326" s="287"/>
      <c r="F326" s="288"/>
      <c r="G326" s="301"/>
      <c r="H326" s="301"/>
      <c r="I326" s="288"/>
      <c r="J326" s="523"/>
      <c r="K326" s="294"/>
      <c r="L326" s="294"/>
      <c r="M326" s="290"/>
      <c r="N326" s="285"/>
      <c r="O326" s="299"/>
      <c r="P326" s="300"/>
      <c r="Q326" s="198"/>
      <c r="R326" s="198"/>
      <c r="S326" s="198"/>
      <c r="T326" s="198"/>
      <c r="U326" s="198"/>
      <c r="V326" s="198"/>
      <c r="W326" s="198"/>
      <c r="X326" s="198"/>
      <c r="Y326" s="198"/>
      <c r="Z326" s="198"/>
    </row>
    <row r="327" ht="58.5" hidden="1" customHeight="1">
      <c r="A327" s="285"/>
      <c r="B327" s="299"/>
      <c r="C327" s="285"/>
      <c r="D327" s="367"/>
      <c r="E327" s="287"/>
      <c r="F327" s="288"/>
      <c r="G327" s="367"/>
      <c r="H327" s="301"/>
      <c r="I327" s="288"/>
      <c r="J327" s="523"/>
      <c r="K327" s="294"/>
      <c r="L327" s="294"/>
      <c r="M327" s="290"/>
      <c r="N327" s="285"/>
      <c r="O327" s="299"/>
      <c r="P327" s="300"/>
      <c r="Q327" s="198"/>
      <c r="R327" s="198"/>
      <c r="S327" s="198"/>
      <c r="T327" s="198"/>
      <c r="U327" s="198"/>
      <c r="V327" s="198"/>
      <c r="W327" s="198"/>
      <c r="X327" s="198"/>
      <c r="Y327" s="198"/>
      <c r="Z327" s="198"/>
    </row>
    <row r="328" ht="58.5" hidden="1" customHeight="1">
      <c r="A328" s="299"/>
      <c r="B328" s="285"/>
      <c r="C328" s="285"/>
      <c r="D328" s="285"/>
      <c r="E328" s="287"/>
      <c r="F328" s="288"/>
      <c r="G328" s="301"/>
      <c r="H328" s="301"/>
      <c r="I328" s="288"/>
      <c r="J328" s="523"/>
      <c r="K328" s="294"/>
      <c r="L328" s="294"/>
      <c r="M328" s="290"/>
      <c r="N328" s="285"/>
      <c r="O328" s="299"/>
      <c r="P328" s="300"/>
      <c r="Q328" s="198"/>
      <c r="R328" s="198"/>
      <c r="S328" s="198"/>
      <c r="T328" s="198"/>
      <c r="U328" s="198"/>
      <c r="V328" s="198"/>
      <c r="W328" s="198"/>
      <c r="X328" s="198"/>
      <c r="Y328" s="198"/>
      <c r="Z328" s="198"/>
    </row>
    <row r="329" ht="58.5" hidden="1" customHeight="1">
      <c r="A329" s="285"/>
      <c r="B329" s="299"/>
      <c r="C329" s="285"/>
      <c r="D329" s="367"/>
      <c r="E329" s="287"/>
      <c r="F329" s="288"/>
      <c r="G329" s="301"/>
      <c r="H329" s="301"/>
      <c r="I329" s="288"/>
      <c r="J329" s="523"/>
      <c r="K329" s="294"/>
      <c r="L329" s="294"/>
      <c r="M329" s="290"/>
      <c r="N329" s="285"/>
      <c r="O329" s="299"/>
      <c r="P329" s="300"/>
      <c r="Q329" s="198"/>
      <c r="R329" s="198"/>
      <c r="S329" s="198"/>
      <c r="T329" s="198"/>
      <c r="U329" s="198"/>
      <c r="V329" s="198"/>
      <c r="W329" s="198"/>
      <c r="X329" s="198"/>
      <c r="Y329" s="198"/>
      <c r="Z329" s="198"/>
    </row>
    <row r="330" ht="58.5" hidden="1" customHeight="1">
      <c r="A330" s="285"/>
      <c r="B330" s="299"/>
      <c r="C330" s="285"/>
      <c r="D330" s="367"/>
      <c r="E330" s="287"/>
      <c r="F330" s="288"/>
      <c r="G330" s="301"/>
      <c r="H330" s="301"/>
      <c r="I330" s="288"/>
      <c r="J330" s="523"/>
      <c r="K330" s="294"/>
      <c r="L330" s="294"/>
      <c r="M330" s="290"/>
      <c r="N330" s="285"/>
      <c r="O330" s="299"/>
      <c r="P330" s="300"/>
      <c r="Q330" s="198"/>
      <c r="R330" s="198"/>
      <c r="S330" s="198"/>
      <c r="T330" s="198"/>
      <c r="U330" s="198"/>
      <c r="V330" s="198"/>
      <c r="W330" s="198"/>
      <c r="X330" s="198"/>
      <c r="Y330" s="198"/>
      <c r="Z330" s="198"/>
    </row>
    <row r="331" ht="57.0" hidden="1" customHeight="1">
      <c r="A331" s="299"/>
      <c r="B331" s="285"/>
      <c r="C331" s="285"/>
      <c r="D331" s="285"/>
      <c r="E331" s="287"/>
      <c r="F331" s="288"/>
      <c r="G331" s="301"/>
      <c r="H331" s="301"/>
      <c r="I331" s="288"/>
      <c r="J331" s="523"/>
      <c r="K331" s="294"/>
      <c r="L331" s="294"/>
      <c r="M331" s="290"/>
      <c r="N331" s="285"/>
      <c r="O331" s="299"/>
      <c r="P331" s="300"/>
      <c r="Q331" s="198"/>
      <c r="R331" s="198"/>
      <c r="S331" s="198"/>
      <c r="T331" s="198"/>
      <c r="U331" s="198"/>
      <c r="V331" s="198"/>
      <c r="W331" s="198"/>
      <c r="X331" s="198"/>
      <c r="Y331" s="198"/>
      <c r="Z331" s="198"/>
    </row>
    <row r="332" ht="58.5" customHeight="1">
      <c r="A332" s="285"/>
      <c r="B332" s="299"/>
      <c r="C332" s="285"/>
      <c r="D332" s="367"/>
      <c r="E332" s="287"/>
      <c r="F332" s="288"/>
      <c r="G332" s="301"/>
      <c r="H332" s="301"/>
      <c r="I332" s="288"/>
      <c r="J332" s="523"/>
      <c r="K332" s="294"/>
      <c r="L332" s="294"/>
      <c r="M332" s="290"/>
      <c r="N332" s="285"/>
      <c r="O332" s="299"/>
      <c r="P332" s="300"/>
      <c r="Q332" s="198"/>
      <c r="R332" s="198"/>
      <c r="S332" s="198"/>
      <c r="T332" s="198"/>
      <c r="U332" s="198"/>
      <c r="V332" s="198"/>
      <c r="W332" s="198"/>
      <c r="X332" s="198"/>
      <c r="Y332" s="198"/>
      <c r="Z332" s="198"/>
    </row>
    <row r="333" ht="61.5" customHeight="1">
      <c r="A333" s="285"/>
      <c r="B333" s="299"/>
      <c r="C333" s="285"/>
      <c r="D333" s="367"/>
      <c r="E333" s="287"/>
      <c r="F333" s="288"/>
      <c r="G333" s="301"/>
      <c r="H333" s="301"/>
      <c r="I333" s="288"/>
      <c r="J333" s="523"/>
      <c r="K333" s="294"/>
      <c r="L333" s="294"/>
      <c r="M333" s="290"/>
      <c r="N333" s="285"/>
      <c r="O333" s="299"/>
      <c r="P333" s="300"/>
      <c r="Q333" s="198"/>
      <c r="R333" s="198"/>
      <c r="S333" s="198"/>
      <c r="T333" s="198"/>
      <c r="U333" s="198"/>
      <c r="V333" s="198"/>
      <c r="W333" s="198"/>
      <c r="X333" s="198"/>
      <c r="Y333" s="198"/>
      <c r="Z333" s="198"/>
    </row>
    <row r="334" ht="67.5" customHeight="1">
      <c r="A334" s="299"/>
      <c r="B334" s="285"/>
      <c r="C334" s="285"/>
      <c r="D334" s="285"/>
      <c r="E334" s="287"/>
      <c r="F334" s="288"/>
      <c r="G334" s="301"/>
      <c r="H334" s="301"/>
      <c r="I334" s="288"/>
      <c r="J334" s="523"/>
      <c r="K334" s="294"/>
      <c r="L334" s="294"/>
      <c r="M334" s="290"/>
      <c r="N334" s="285"/>
      <c r="O334" s="299"/>
      <c r="P334" s="300"/>
      <c r="Q334" s="198"/>
      <c r="R334" s="198"/>
      <c r="S334" s="198"/>
      <c r="T334" s="198"/>
      <c r="U334" s="198"/>
      <c r="V334" s="198"/>
      <c r="W334" s="198"/>
      <c r="X334" s="198"/>
      <c r="Y334" s="198"/>
      <c r="Z334" s="198"/>
    </row>
    <row r="335" ht="65.25" customHeight="1">
      <c r="A335" s="285"/>
      <c r="B335" s="299"/>
      <c r="C335" s="285"/>
      <c r="D335" s="367"/>
      <c r="E335" s="287"/>
      <c r="F335" s="288"/>
      <c r="G335" s="301"/>
      <c r="H335" s="301"/>
      <c r="I335" s="288"/>
      <c r="J335" s="523"/>
      <c r="K335" s="294"/>
      <c r="L335" s="294"/>
      <c r="M335" s="290"/>
      <c r="N335" s="285"/>
      <c r="O335" s="299"/>
      <c r="P335" s="300"/>
      <c r="Q335" s="198"/>
      <c r="R335" s="198"/>
      <c r="S335" s="198"/>
      <c r="T335" s="198"/>
      <c r="U335" s="198"/>
      <c r="V335" s="198"/>
      <c r="W335" s="198"/>
      <c r="X335" s="198"/>
      <c r="Y335" s="198"/>
      <c r="Z335" s="198"/>
    </row>
    <row r="336" ht="60.75" customHeight="1">
      <c r="A336" s="285"/>
      <c r="B336" s="299"/>
      <c r="C336" s="285"/>
      <c r="D336" s="367"/>
      <c r="E336" s="287"/>
      <c r="F336" s="288"/>
      <c r="G336" s="301"/>
      <c r="H336" s="301"/>
      <c r="I336" s="288"/>
      <c r="J336" s="523"/>
      <c r="K336" s="294"/>
      <c r="L336" s="294"/>
      <c r="M336" s="290"/>
      <c r="N336" s="285"/>
      <c r="O336" s="299"/>
      <c r="P336" s="300"/>
      <c r="Q336" s="198"/>
      <c r="R336" s="198"/>
      <c r="S336" s="198"/>
      <c r="T336" s="198"/>
      <c r="U336" s="198"/>
      <c r="V336" s="198"/>
      <c r="W336" s="198"/>
      <c r="X336" s="198"/>
      <c r="Y336" s="198"/>
      <c r="Z336" s="198"/>
    </row>
    <row r="337" ht="69.0" customHeight="1">
      <c r="A337" s="299"/>
      <c r="B337" s="285"/>
      <c r="C337" s="285"/>
      <c r="D337" s="285"/>
      <c r="E337" s="287"/>
      <c r="F337" s="288"/>
      <c r="G337" s="301"/>
      <c r="H337" s="301"/>
      <c r="I337" s="288"/>
      <c r="J337" s="523"/>
      <c r="K337" s="294"/>
      <c r="L337" s="294"/>
      <c r="M337" s="290"/>
      <c r="N337" s="285"/>
      <c r="O337" s="299"/>
      <c r="P337" s="300"/>
      <c r="Q337" s="198"/>
      <c r="R337" s="198"/>
      <c r="S337" s="198"/>
      <c r="T337" s="198"/>
      <c r="U337" s="198"/>
      <c r="V337" s="198"/>
      <c r="W337" s="198"/>
      <c r="X337" s="198"/>
      <c r="Y337" s="198"/>
      <c r="Z337" s="198"/>
    </row>
    <row r="338" ht="69.0" hidden="1" customHeight="1">
      <c r="A338" s="285"/>
      <c r="B338" s="299"/>
      <c r="C338" s="285"/>
      <c r="D338" s="367"/>
      <c r="E338" s="287"/>
      <c r="F338" s="288"/>
      <c r="G338" s="301"/>
      <c r="H338" s="301"/>
      <c r="I338" s="288"/>
      <c r="J338" s="523"/>
      <c r="K338" s="294"/>
      <c r="L338" s="294"/>
      <c r="M338" s="290"/>
      <c r="N338" s="285"/>
      <c r="O338" s="299"/>
      <c r="P338" s="300"/>
      <c r="Q338" s="198"/>
      <c r="R338" s="198"/>
      <c r="S338" s="198"/>
      <c r="T338" s="198"/>
      <c r="U338" s="198"/>
      <c r="V338" s="198"/>
      <c r="W338" s="198"/>
      <c r="X338" s="198"/>
      <c r="Y338" s="198"/>
      <c r="Z338" s="198"/>
    </row>
    <row r="339" ht="65.25" customHeight="1">
      <c r="A339" s="285"/>
      <c r="B339" s="299"/>
      <c r="C339" s="285"/>
      <c r="D339" s="367"/>
      <c r="E339" s="287"/>
      <c r="F339" s="288"/>
      <c r="G339" s="301"/>
      <c r="H339" s="301"/>
      <c r="I339" s="288"/>
      <c r="J339" s="523"/>
      <c r="K339" s="294"/>
      <c r="L339" s="294"/>
      <c r="M339" s="290"/>
      <c r="N339" s="285"/>
      <c r="O339" s="299"/>
      <c r="P339" s="300"/>
      <c r="Q339" s="198"/>
      <c r="R339" s="198"/>
      <c r="S339" s="198"/>
      <c r="T339" s="198"/>
      <c r="U339" s="198"/>
      <c r="V339" s="198"/>
      <c r="W339" s="198"/>
      <c r="X339" s="198"/>
      <c r="Y339" s="198"/>
      <c r="Z339" s="198"/>
    </row>
    <row r="340" ht="60.0" customHeight="1">
      <c r="A340" s="299"/>
      <c r="B340" s="285"/>
      <c r="C340" s="285"/>
      <c r="D340" s="285"/>
      <c r="E340" s="287"/>
      <c r="F340" s="288"/>
      <c r="G340" s="301"/>
      <c r="H340" s="301"/>
      <c r="I340" s="288"/>
      <c r="J340" s="523"/>
      <c r="K340" s="294"/>
      <c r="L340" s="294"/>
      <c r="M340" s="290"/>
      <c r="N340" s="285"/>
      <c r="O340" s="299"/>
      <c r="P340" s="300"/>
      <c r="Q340" s="198"/>
      <c r="R340" s="198"/>
      <c r="S340" s="198"/>
      <c r="T340" s="198"/>
      <c r="U340" s="198"/>
      <c r="V340" s="198"/>
      <c r="W340" s="198"/>
      <c r="X340" s="198"/>
      <c r="Y340" s="198"/>
      <c r="Z340" s="198"/>
    </row>
    <row r="341" ht="60.0" hidden="1" customHeight="1">
      <c r="A341" s="285"/>
      <c r="B341" s="299"/>
      <c r="C341" s="285"/>
      <c r="D341" s="367"/>
      <c r="E341" s="287"/>
      <c r="F341" s="288"/>
      <c r="G341" s="301"/>
      <c r="H341" s="301"/>
      <c r="I341" s="288"/>
      <c r="J341" s="523"/>
      <c r="K341" s="294"/>
      <c r="L341" s="294"/>
      <c r="M341" s="290"/>
      <c r="N341" s="285"/>
      <c r="O341" s="299"/>
      <c r="P341" s="300"/>
      <c r="Q341" s="198"/>
      <c r="R341" s="198"/>
      <c r="S341" s="198"/>
      <c r="T341" s="198"/>
      <c r="U341" s="198"/>
      <c r="V341" s="198"/>
      <c r="W341" s="198"/>
      <c r="X341" s="198"/>
      <c r="Y341" s="198"/>
      <c r="Z341" s="198"/>
    </row>
    <row r="342" ht="65.25" hidden="1" customHeight="1">
      <c r="A342" s="285"/>
      <c r="B342" s="299"/>
      <c r="C342" s="285"/>
      <c r="D342" s="367"/>
      <c r="E342" s="287"/>
      <c r="F342" s="288"/>
      <c r="G342" s="301"/>
      <c r="H342" s="301"/>
      <c r="I342" s="288"/>
      <c r="J342" s="523"/>
      <c r="K342" s="294"/>
      <c r="L342" s="294"/>
      <c r="M342" s="290"/>
      <c r="N342" s="285"/>
      <c r="O342" s="299"/>
      <c r="P342" s="300"/>
      <c r="Q342" s="198"/>
      <c r="R342" s="198"/>
      <c r="S342" s="198"/>
      <c r="T342" s="198"/>
      <c r="U342" s="198"/>
      <c r="V342" s="198"/>
      <c r="W342" s="198"/>
      <c r="X342" s="198"/>
      <c r="Y342" s="198"/>
      <c r="Z342" s="198"/>
    </row>
    <row r="343" ht="61.5" hidden="1" customHeight="1">
      <c r="A343" s="299"/>
      <c r="B343" s="285"/>
      <c r="C343" s="285"/>
      <c r="D343" s="285"/>
      <c r="E343" s="287"/>
      <c r="F343" s="288"/>
      <c r="G343" s="301"/>
      <c r="H343" s="301"/>
      <c r="I343" s="288"/>
      <c r="J343" s="523"/>
      <c r="K343" s="294"/>
      <c r="L343" s="294"/>
      <c r="M343" s="290"/>
      <c r="N343" s="285"/>
      <c r="O343" s="299"/>
      <c r="P343" s="300"/>
      <c r="Q343" s="198"/>
      <c r="R343" s="198"/>
      <c r="S343" s="198"/>
      <c r="T343" s="198"/>
      <c r="U343" s="198"/>
      <c r="V343" s="198"/>
      <c r="W343" s="198"/>
      <c r="X343" s="198"/>
      <c r="Y343" s="198"/>
      <c r="Z343" s="198"/>
    </row>
    <row r="344" ht="61.5" customHeight="1">
      <c r="A344" s="537"/>
      <c r="B344" s="285"/>
      <c r="C344" s="285"/>
      <c r="D344" s="285"/>
      <c r="E344" s="287"/>
      <c r="F344" s="288"/>
      <c r="G344" s="288"/>
      <c r="H344" s="288"/>
      <c r="I344" s="288"/>
      <c r="J344" s="288"/>
      <c r="K344" s="294"/>
      <c r="L344" s="294"/>
      <c r="M344" s="290"/>
      <c r="N344" s="285"/>
      <c r="O344" s="299"/>
      <c r="P344" s="300"/>
      <c r="Q344" s="538"/>
      <c r="R344" s="198"/>
      <c r="S344" s="198"/>
      <c r="T344" s="198"/>
      <c r="U344" s="198"/>
      <c r="V344" s="198"/>
      <c r="W344" s="198"/>
      <c r="X344" s="198"/>
      <c r="Y344" s="198"/>
      <c r="Z344" s="198"/>
    </row>
    <row r="345" ht="61.5" hidden="1" customHeight="1">
      <c r="A345" s="537"/>
      <c r="B345" s="285"/>
      <c r="C345" s="285"/>
      <c r="D345" s="285"/>
      <c r="E345" s="287"/>
      <c r="F345" s="288"/>
      <c r="G345" s="288"/>
      <c r="H345" s="288"/>
      <c r="I345" s="288"/>
      <c r="J345" s="288"/>
      <c r="K345" s="294"/>
      <c r="L345" s="294"/>
      <c r="M345" s="290"/>
      <c r="N345" s="285"/>
      <c r="O345" s="299"/>
      <c r="P345" s="300"/>
      <c r="Q345" s="538"/>
      <c r="R345" s="198"/>
      <c r="S345" s="198"/>
      <c r="T345" s="198"/>
      <c r="U345" s="198"/>
      <c r="V345" s="198"/>
      <c r="W345" s="198"/>
      <c r="X345" s="198"/>
      <c r="Y345" s="198"/>
      <c r="Z345" s="198"/>
    </row>
    <row r="346" ht="58.5" hidden="1" customHeight="1">
      <c r="A346" s="537"/>
      <c r="B346" s="285"/>
      <c r="C346" s="285"/>
      <c r="D346" s="285"/>
      <c r="E346" s="287"/>
      <c r="F346" s="288"/>
      <c r="G346" s="288"/>
      <c r="H346" s="288"/>
      <c r="I346" s="288"/>
      <c r="J346" s="288"/>
      <c r="K346" s="294"/>
      <c r="L346" s="294"/>
      <c r="M346" s="290"/>
      <c r="N346" s="285"/>
      <c r="O346" s="299"/>
      <c r="P346" s="300"/>
      <c r="Q346" s="538"/>
      <c r="R346" s="198"/>
      <c r="S346" s="198"/>
      <c r="T346" s="198"/>
      <c r="U346" s="198"/>
      <c r="V346" s="198"/>
      <c r="W346" s="198"/>
      <c r="X346" s="198"/>
      <c r="Y346" s="198"/>
      <c r="Z346" s="198"/>
    </row>
    <row r="347" ht="57.0" customHeight="1">
      <c r="A347" s="537"/>
      <c r="B347" s="285"/>
      <c r="C347" s="285"/>
      <c r="D347" s="285"/>
      <c r="E347" s="287"/>
      <c r="F347" s="288"/>
      <c r="G347" s="288"/>
      <c r="H347" s="288"/>
      <c r="I347" s="288"/>
      <c r="J347" s="288"/>
      <c r="K347" s="294"/>
      <c r="L347" s="294"/>
      <c r="M347" s="290"/>
      <c r="N347" s="285"/>
      <c r="O347" s="299"/>
      <c r="P347" s="300"/>
      <c r="Q347" s="538"/>
      <c r="R347" s="198"/>
      <c r="S347" s="198"/>
      <c r="T347" s="198"/>
      <c r="U347" s="198"/>
      <c r="V347" s="198"/>
      <c r="W347" s="198"/>
      <c r="X347" s="198"/>
      <c r="Y347" s="198"/>
      <c r="Z347" s="198"/>
    </row>
    <row r="348" ht="58.5" customHeight="1">
      <c r="A348" s="537"/>
      <c r="B348" s="285"/>
      <c r="C348" s="285"/>
      <c r="D348" s="285"/>
      <c r="E348" s="287"/>
      <c r="F348" s="288"/>
      <c r="G348" s="288"/>
      <c r="H348" s="288"/>
      <c r="I348" s="288"/>
      <c r="J348" s="288"/>
      <c r="K348" s="294"/>
      <c r="L348" s="294"/>
      <c r="M348" s="290"/>
      <c r="N348" s="285"/>
      <c r="O348" s="299"/>
      <c r="P348" s="300"/>
      <c r="Q348" s="538"/>
      <c r="R348" s="198"/>
      <c r="S348" s="198"/>
      <c r="T348" s="198"/>
      <c r="U348" s="198"/>
      <c r="V348" s="198"/>
      <c r="W348" s="198"/>
      <c r="X348" s="198"/>
      <c r="Y348" s="198"/>
      <c r="Z348" s="198"/>
    </row>
    <row r="349" ht="57.0" customHeight="1">
      <c r="A349" s="537"/>
      <c r="B349" s="285"/>
      <c r="C349" s="285"/>
      <c r="D349" s="285"/>
      <c r="E349" s="287"/>
      <c r="F349" s="288"/>
      <c r="G349" s="288"/>
      <c r="H349" s="288"/>
      <c r="I349" s="288"/>
      <c r="J349" s="288"/>
      <c r="K349" s="294"/>
      <c r="L349" s="294"/>
      <c r="M349" s="290"/>
      <c r="N349" s="285"/>
      <c r="O349" s="299"/>
      <c r="P349" s="300"/>
      <c r="Q349" s="538"/>
      <c r="R349" s="198"/>
      <c r="S349" s="198"/>
      <c r="T349" s="198"/>
      <c r="U349" s="198"/>
      <c r="V349" s="198"/>
      <c r="W349" s="198"/>
      <c r="X349" s="198"/>
      <c r="Y349" s="198"/>
      <c r="Z349" s="198"/>
    </row>
    <row r="350" ht="59.25" customHeight="1">
      <c r="A350" s="537"/>
      <c r="B350" s="285"/>
      <c r="C350" s="285"/>
      <c r="D350" s="285"/>
      <c r="E350" s="287"/>
      <c r="F350" s="288"/>
      <c r="G350" s="288"/>
      <c r="H350" s="288"/>
      <c r="I350" s="288"/>
      <c r="J350" s="288"/>
      <c r="K350" s="294"/>
      <c r="L350" s="294"/>
      <c r="M350" s="290"/>
      <c r="N350" s="285"/>
      <c r="O350" s="299"/>
      <c r="P350" s="300"/>
      <c r="Q350" s="198"/>
      <c r="R350" s="198"/>
      <c r="S350" s="198"/>
      <c r="T350" s="198"/>
      <c r="U350" s="198"/>
      <c r="V350" s="198"/>
      <c r="W350" s="198"/>
      <c r="X350" s="198"/>
      <c r="Y350" s="198"/>
      <c r="Z350" s="198"/>
    </row>
    <row r="351" ht="63.75" customHeight="1">
      <c r="A351" s="537"/>
      <c r="B351" s="299"/>
      <c r="C351" s="285"/>
      <c r="D351" s="285"/>
      <c r="E351" s="287"/>
      <c r="F351" s="288"/>
      <c r="G351" s="288"/>
      <c r="H351" s="288"/>
      <c r="I351" s="288"/>
      <c r="J351" s="372"/>
      <c r="K351" s="294"/>
      <c r="L351" s="294"/>
      <c r="M351" s="290"/>
      <c r="N351" s="285"/>
      <c r="O351" s="299"/>
      <c r="P351" s="300"/>
      <c r="Q351" s="198"/>
      <c r="R351" s="198"/>
      <c r="S351" s="198"/>
      <c r="T351" s="198"/>
      <c r="U351" s="198"/>
      <c r="V351" s="198"/>
      <c r="W351" s="198"/>
      <c r="X351" s="198"/>
      <c r="Y351" s="198"/>
      <c r="Z351" s="198"/>
    </row>
    <row r="352" ht="59.25" customHeight="1">
      <c r="A352" s="537"/>
      <c r="B352" s="285"/>
      <c r="C352" s="285"/>
      <c r="D352" s="285"/>
      <c r="E352" s="287"/>
      <c r="F352" s="288"/>
      <c r="G352" s="288"/>
      <c r="H352" s="288"/>
      <c r="I352" s="288"/>
      <c r="J352" s="288"/>
      <c r="K352" s="539"/>
      <c r="L352" s="294"/>
      <c r="M352" s="290"/>
      <c r="N352" s="285"/>
      <c r="O352" s="299"/>
      <c r="P352" s="300"/>
      <c r="Q352" s="198"/>
      <c r="R352" s="198"/>
      <c r="S352" s="198"/>
      <c r="T352" s="198"/>
      <c r="U352" s="198"/>
      <c r="V352" s="198"/>
      <c r="W352" s="198"/>
      <c r="X352" s="198"/>
      <c r="Y352" s="198"/>
      <c r="Z352" s="198"/>
    </row>
    <row r="353" ht="56.25" customHeight="1">
      <c r="A353" s="537"/>
      <c r="B353" s="285"/>
      <c r="C353" s="285"/>
      <c r="D353" s="285"/>
      <c r="E353" s="287"/>
      <c r="F353" s="288"/>
      <c r="G353" s="288"/>
      <c r="H353" s="288"/>
      <c r="I353" s="288"/>
      <c r="J353" s="288"/>
      <c r="K353" s="294"/>
      <c r="L353" s="294"/>
      <c r="M353" s="290"/>
      <c r="N353" s="285"/>
      <c r="O353" s="299"/>
      <c r="P353" s="300"/>
      <c r="Q353" s="198"/>
      <c r="R353" s="198"/>
      <c r="S353" s="198"/>
      <c r="T353" s="198"/>
      <c r="U353" s="198"/>
      <c r="V353" s="198"/>
      <c r="W353" s="198"/>
      <c r="X353" s="198"/>
      <c r="Y353" s="198"/>
      <c r="Z353" s="198"/>
    </row>
    <row r="354" ht="58.5" hidden="1" customHeight="1">
      <c r="A354" s="537"/>
      <c r="B354" s="299"/>
      <c r="C354" s="285"/>
      <c r="D354" s="285"/>
      <c r="E354" s="287"/>
      <c r="F354" s="288"/>
      <c r="G354" s="288"/>
      <c r="H354" s="288"/>
      <c r="I354" s="288"/>
      <c r="J354" s="288"/>
      <c r="K354" s="294"/>
      <c r="L354" s="294"/>
      <c r="M354" s="290"/>
      <c r="N354" s="285"/>
      <c r="O354" s="299"/>
      <c r="P354" s="300"/>
      <c r="Q354" s="198"/>
      <c r="R354" s="198"/>
      <c r="S354" s="198"/>
      <c r="T354" s="198"/>
      <c r="U354" s="198"/>
      <c r="V354" s="198"/>
      <c r="W354" s="198"/>
      <c r="X354" s="198"/>
      <c r="Y354" s="198"/>
      <c r="Z354" s="198"/>
    </row>
    <row r="355" ht="61.5" hidden="1" customHeight="1">
      <c r="A355" s="537"/>
      <c r="B355" s="285"/>
      <c r="C355" s="285"/>
      <c r="D355" s="285"/>
      <c r="E355" s="287"/>
      <c r="F355" s="288"/>
      <c r="G355" s="288"/>
      <c r="H355" s="288"/>
      <c r="I355" s="288"/>
      <c r="J355" s="288"/>
      <c r="K355" s="294"/>
      <c r="L355" s="294"/>
      <c r="M355" s="290"/>
      <c r="N355" s="285"/>
      <c r="O355" s="299"/>
      <c r="P355" s="300"/>
      <c r="Q355" s="538"/>
      <c r="R355" s="198"/>
      <c r="S355" s="198"/>
      <c r="T355" s="198"/>
      <c r="U355" s="198"/>
      <c r="V355" s="198"/>
      <c r="W355" s="198"/>
      <c r="X355" s="198"/>
      <c r="Y355" s="198"/>
      <c r="Z355" s="198"/>
    </row>
    <row r="356" ht="58.5" hidden="1" customHeight="1">
      <c r="A356" s="537"/>
      <c r="B356" s="285"/>
      <c r="C356" s="285"/>
      <c r="D356" s="285"/>
      <c r="E356" s="287"/>
      <c r="F356" s="288"/>
      <c r="G356" s="288"/>
      <c r="H356" s="288"/>
      <c r="I356" s="288"/>
      <c r="J356" s="288"/>
      <c r="K356" s="294"/>
      <c r="L356" s="294"/>
      <c r="M356" s="290"/>
      <c r="N356" s="285"/>
      <c r="O356" s="299"/>
      <c r="P356" s="300"/>
      <c r="Q356" s="538"/>
      <c r="R356" s="198"/>
      <c r="S356" s="198"/>
      <c r="T356" s="198"/>
      <c r="U356" s="198"/>
      <c r="V356" s="198"/>
      <c r="W356" s="198"/>
      <c r="X356" s="198"/>
      <c r="Y356" s="198"/>
      <c r="Z356" s="198"/>
    </row>
    <row r="357" ht="57.0" hidden="1" customHeight="1">
      <c r="A357" s="537"/>
      <c r="B357" s="285"/>
      <c r="C357" s="285"/>
      <c r="D357" s="285"/>
      <c r="E357" s="287"/>
      <c r="F357" s="288"/>
      <c r="G357" s="288"/>
      <c r="H357" s="288"/>
      <c r="I357" s="288"/>
      <c r="J357" s="288"/>
      <c r="K357" s="294"/>
      <c r="L357" s="294"/>
      <c r="M357" s="290"/>
      <c r="N357" s="285"/>
      <c r="O357" s="299"/>
      <c r="P357" s="300"/>
      <c r="Q357" s="538"/>
      <c r="R357" s="198"/>
      <c r="S357" s="198"/>
      <c r="T357" s="198"/>
      <c r="U357" s="198"/>
      <c r="V357" s="198"/>
      <c r="W357" s="198"/>
      <c r="X357" s="198"/>
      <c r="Y357" s="198"/>
      <c r="Z357" s="198"/>
    </row>
    <row r="358" ht="57.0" hidden="1" customHeight="1">
      <c r="A358" s="537"/>
      <c r="B358" s="285"/>
      <c r="C358" s="285"/>
      <c r="D358" s="285"/>
      <c r="E358" s="287"/>
      <c r="F358" s="288"/>
      <c r="G358" s="288"/>
      <c r="H358" s="288"/>
      <c r="I358" s="288"/>
      <c r="J358" s="288"/>
      <c r="K358" s="294"/>
      <c r="L358" s="294"/>
      <c r="M358" s="290"/>
      <c r="N358" s="285"/>
      <c r="O358" s="299"/>
      <c r="P358" s="300"/>
      <c r="Q358" s="538"/>
      <c r="R358" s="198"/>
      <c r="S358" s="198"/>
      <c r="T358" s="198"/>
      <c r="U358" s="198"/>
      <c r="V358" s="198"/>
      <c r="W358" s="198"/>
      <c r="X358" s="198"/>
      <c r="Y358" s="198"/>
      <c r="Z358" s="198"/>
    </row>
    <row r="359" ht="57.0" hidden="1" customHeight="1">
      <c r="A359" s="537"/>
      <c r="B359" s="285"/>
      <c r="C359" s="285"/>
      <c r="D359" s="285"/>
      <c r="E359" s="287"/>
      <c r="F359" s="288"/>
      <c r="G359" s="288"/>
      <c r="H359" s="288"/>
      <c r="I359" s="288"/>
      <c r="J359" s="288"/>
      <c r="K359" s="294"/>
      <c r="L359" s="294"/>
      <c r="M359" s="290"/>
      <c r="N359" s="285"/>
      <c r="O359" s="299"/>
      <c r="P359" s="300"/>
      <c r="Q359" s="538"/>
      <c r="R359" s="198"/>
      <c r="S359" s="198"/>
      <c r="T359" s="198"/>
      <c r="U359" s="198"/>
      <c r="V359" s="198"/>
      <c r="W359" s="198"/>
      <c r="X359" s="198"/>
      <c r="Y359" s="198"/>
      <c r="Z359" s="198"/>
    </row>
    <row r="360" ht="57.75" hidden="1" customHeight="1">
      <c r="A360" s="537"/>
      <c r="B360" s="285"/>
      <c r="C360" s="285"/>
      <c r="D360" s="285"/>
      <c r="E360" s="287"/>
      <c r="F360" s="288"/>
      <c r="G360" s="288"/>
      <c r="H360" s="288"/>
      <c r="I360" s="288"/>
      <c r="J360" s="288"/>
      <c r="K360" s="294"/>
      <c r="L360" s="294"/>
      <c r="M360" s="290"/>
      <c r="N360" s="285"/>
      <c r="O360" s="299"/>
      <c r="P360" s="300"/>
      <c r="Q360" s="538"/>
      <c r="R360" s="198"/>
      <c r="S360" s="198"/>
      <c r="T360" s="198"/>
      <c r="U360" s="198"/>
      <c r="V360" s="198"/>
      <c r="W360" s="198"/>
      <c r="X360" s="198"/>
      <c r="Y360" s="198"/>
      <c r="Z360" s="198"/>
    </row>
    <row r="361" ht="55.5" hidden="1" customHeight="1">
      <c r="A361" s="537"/>
      <c r="B361" s="285"/>
      <c r="C361" s="285"/>
      <c r="D361" s="285"/>
      <c r="E361" s="287"/>
      <c r="F361" s="288"/>
      <c r="G361" s="288"/>
      <c r="H361" s="288"/>
      <c r="I361" s="288"/>
      <c r="J361" s="288"/>
      <c r="K361" s="294"/>
      <c r="L361" s="294"/>
      <c r="M361" s="290"/>
      <c r="N361" s="285"/>
      <c r="O361" s="299"/>
      <c r="P361" s="300"/>
      <c r="Q361" s="198"/>
      <c r="R361" s="198"/>
      <c r="S361" s="198"/>
      <c r="T361" s="198"/>
      <c r="U361" s="198"/>
      <c r="V361" s="198"/>
      <c r="W361" s="198"/>
      <c r="X361" s="198"/>
      <c r="Y361" s="198"/>
      <c r="Z361" s="198"/>
    </row>
    <row r="362" ht="57.0" hidden="1" customHeight="1">
      <c r="A362" s="537"/>
      <c r="B362" s="299"/>
      <c r="C362" s="285"/>
      <c r="D362" s="285"/>
      <c r="E362" s="287"/>
      <c r="F362" s="288"/>
      <c r="G362" s="288"/>
      <c r="H362" s="288"/>
      <c r="I362" s="288"/>
      <c r="J362" s="288"/>
      <c r="K362" s="294"/>
      <c r="L362" s="294"/>
      <c r="M362" s="290"/>
      <c r="N362" s="285"/>
      <c r="O362" s="299"/>
      <c r="P362" s="300"/>
      <c r="Q362" s="198"/>
      <c r="R362" s="198"/>
      <c r="S362" s="198"/>
      <c r="T362" s="198"/>
      <c r="U362" s="198"/>
      <c r="V362" s="198"/>
      <c r="W362" s="198"/>
      <c r="X362" s="198"/>
      <c r="Y362" s="198"/>
      <c r="Z362" s="198"/>
    </row>
    <row r="363" ht="56.25" customHeight="1">
      <c r="A363" s="537"/>
      <c r="B363" s="285"/>
      <c r="C363" s="285"/>
      <c r="D363" s="285"/>
      <c r="E363" s="287"/>
      <c r="F363" s="288"/>
      <c r="G363" s="288"/>
      <c r="H363" s="288"/>
      <c r="I363" s="288"/>
      <c r="J363" s="372"/>
      <c r="K363" s="294"/>
      <c r="L363" s="294"/>
      <c r="M363" s="290"/>
      <c r="N363" s="285"/>
      <c r="O363" s="299"/>
      <c r="P363" s="300"/>
      <c r="Q363" s="198"/>
      <c r="R363" s="198"/>
      <c r="S363" s="198"/>
      <c r="T363" s="198"/>
      <c r="U363" s="198"/>
      <c r="V363" s="198"/>
      <c r="W363" s="198"/>
      <c r="X363" s="198"/>
      <c r="Y363" s="198"/>
      <c r="Z363" s="198"/>
    </row>
    <row r="364" ht="73.5" hidden="1" customHeight="1">
      <c r="A364" s="537"/>
      <c r="B364" s="285"/>
      <c r="C364" s="299"/>
      <c r="D364" s="285"/>
      <c r="E364" s="287"/>
      <c r="F364" s="288"/>
      <c r="G364" s="288"/>
      <c r="H364" s="288"/>
      <c r="I364" s="288"/>
      <c r="J364" s="288"/>
      <c r="K364" s="285"/>
      <c r="L364" s="294"/>
      <c r="M364" s="290"/>
      <c r="N364" s="285"/>
      <c r="O364" s="299"/>
      <c r="P364" s="300"/>
      <c r="Q364" s="198"/>
      <c r="R364" s="198"/>
      <c r="S364" s="198"/>
      <c r="T364" s="198"/>
      <c r="U364" s="198"/>
      <c r="V364" s="198"/>
      <c r="W364" s="198"/>
      <c r="X364" s="198"/>
      <c r="Y364" s="198"/>
      <c r="Z364" s="198"/>
    </row>
    <row r="365" ht="61.5" hidden="1" customHeight="1">
      <c r="A365" s="537"/>
      <c r="B365" s="299"/>
      <c r="C365" s="285"/>
      <c r="D365" s="285"/>
      <c r="E365" s="287"/>
      <c r="F365" s="288"/>
      <c r="G365" s="288"/>
      <c r="H365" s="288"/>
      <c r="I365" s="288"/>
      <c r="J365" s="288"/>
      <c r="K365" s="294"/>
      <c r="L365" s="294"/>
      <c r="M365" s="290"/>
      <c r="N365" s="285"/>
      <c r="O365" s="299"/>
      <c r="P365" s="300"/>
      <c r="Q365" s="198"/>
      <c r="R365" s="198"/>
      <c r="S365" s="198"/>
      <c r="T365" s="198"/>
      <c r="U365" s="198"/>
      <c r="V365" s="198"/>
      <c r="W365" s="198"/>
      <c r="X365" s="198"/>
      <c r="Y365" s="198"/>
      <c r="Z365" s="198"/>
    </row>
    <row r="366" ht="54.75" hidden="1" customHeight="1">
      <c r="A366" s="537"/>
      <c r="B366" s="285"/>
      <c r="C366" s="285"/>
      <c r="D366" s="285"/>
      <c r="E366" s="287"/>
      <c r="F366" s="288"/>
      <c r="G366" s="288"/>
      <c r="H366" s="288"/>
      <c r="I366" s="288"/>
      <c r="J366" s="288"/>
      <c r="K366" s="294"/>
      <c r="L366" s="294"/>
      <c r="M366" s="290"/>
      <c r="N366" s="285"/>
      <c r="O366" s="299"/>
      <c r="P366" s="300"/>
      <c r="Q366" s="198"/>
      <c r="R366" s="198"/>
      <c r="S366" s="198"/>
      <c r="T366" s="198"/>
      <c r="U366" s="198"/>
      <c r="V366" s="198"/>
      <c r="W366" s="198"/>
      <c r="X366" s="198"/>
      <c r="Y366" s="198"/>
      <c r="Z366" s="198"/>
    </row>
    <row r="367" ht="56.25" customHeight="1">
      <c r="A367" s="537"/>
      <c r="B367" s="299"/>
      <c r="C367" s="285"/>
      <c r="D367" s="285"/>
      <c r="E367" s="287"/>
      <c r="F367" s="288"/>
      <c r="G367" s="288"/>
      <c r="H367" s="288"/>
      <c r="I367" s="288"/>
      <c r="J367" s="288"/>
      <c r="K367" s="294"/>
      <c r="L367" s="294"/>
      <c r="M367" s="290"/>
      <c r="N367" s="285"/>
      <c r="O367" s="299"/>
      <c r="P367" s="300"/>
      <c r="Q367" s="198"/>
      <c r="R367" s="198"/>
      <c r="S367" s="198"/>
      <c r="T367" s="198"/>
      <c r="U367" s="198"/>
      <c r="V367" s="198"/>
      <c r="W367" s="198"/>
      <c r="X367" s="198"/>
      <c r="Y367" s="198"/>
      <c r="Z367" s="198"/>
    </row>
    <row r="368" ht="59.25" customHeight="1">
      <c r="A368" s="537"/>
      <c r="B368" s="285"/>
      <c r="C368" s="285"/>
      <c r="D368" s="285"/>
      <c r="E368" s="287"/>
      <c r="F368" s="288"/>
      <c r="G368" s="288"/>
      <c r="H368" s="288"/>
      <c r="I368" s="288"/>
      <c r="J368" s="288"/>
      <c r="K368" s="294"/>
      <c r="L368" s="294"/>
      <c r="M368" s="290"/>
      <c r="N368" s="285"/>
      <c r="O368" s="299"/>
      <c r="P368" s="300"/>
      <c r="Q368" s="198"/>
      <c r="R368" s="198"/>
      <c r="S368" s="198"/>
      <c r="T368" s="198"/>
      <c r="U368" s="198"/>
      <c r="V368" s="198"/>
      <c r="W368" s="198"/>
      <c r="X368" s="198"/>
      <c r="Y368" s="198"/>
      <c r="Z368" s="198"/>
    </row>
    <row r="369" ht="59.25" customHeight="1">
      <c r="A369" s="537"/>
      <c r="B369" s="285"/>
      <c r="C369" s="285"/>
      <c r="D369" s="285"/>
      <c r="E369" s="287"/>
      <c r="F369" s="288"/>
      <c r="G369" s="288"/>
      <c r="H369" s="288"/>
      <c r="I369" s="288"/>
      <c r="J369" s="288"/>
      <c r="K369" s="294"/>
      <c r="L369" s="294"/>
      <c r="M369" s="290"/>
      <c r="N369" s="285"/>
      <c r="O369" s="299"/>
      <c r="P369" s="300"/>
      <c r="Q369" s="198"/>
      <c r="R369" s="198"/>
      <c r="S369" s="198"/>
      <c r="T369" s="198"/>
      <c r="U369" s="198"/>
      <c r="V369" s="198"/>
      <c r="W369" s="198"/>
      <c r="X369" s="198"/>
      <c r="Y369" s="198"/>
      <c r="Z369" s="198"/>
    </row>
    <row r="370" ht="56.25" customHeight="1">
      <c r="A370" s="537"/>
      <c r="B370" s="299"/>
      <c r="C370" s="285"/>
      <c r="D370" s="285"/>
      <c r="E370" s="287"/>
      <c r="F370" s="288"/>
      <c r="G370" s="288"/>
      <c r="H370" s="288"/>
      <c r="I370" s="288"/>
      <c r="J370" s="288"/>
      <c r="K370" s="294"/>
      <c r="L370" s="294"/>
      <c r="M370" s="290"/>
      <c r="N370" s="285"/>
      <c r="O370" s="299"/>
      <c r="P370" s="300"/>
      <c r="Q370" s="198"/>
      <c r="R370" s="198"/>
      <c r="S370" s="198"/>
      <c r="T370" s="198"/>
      <c r="U370" s="198"/>
      <c r="V370" s="198"/>
      <c r="W370" s="198"/>
      <c r="X370" s="198"/>
      <c r="Y370" s="198"/>
      <c r="Z370" s="198"/>
    </row>
    <row r="371" ht="57.75" customHeight="1">
      <c r="A371" s="537"/>
      <c r="B371" s="285"/>
      <c r="C371" s="285"/>
      <c r="D371" s="285"/>
      <c r="E371" s="287"/>
      <c r="F371" s="288"/>
      <c r="G371" s="288"/>
      <c r="H371" s="288"/>
      <c r="I371" s="288"/>
      <c r="J371" s="288"/>
      <c r="K371" s="294"/>
      <c r="L371" s="294"/>
      <c r="M371" s="290"/>
      <c r="N371" s="285"/>
      <c r="O371" s="299"/>
      <c r="P371" s="300"/>
      <c r="Q371" s="198"/>
      <c r="R371" s="198"/>
      <c r="S371" s="198"/>
      <c r="T371" s="198"/>
      <c r="U371" s="198"/>
      <c r="V371" s="198"/>
      <c r="W371" s="198"/>
      <c r="X371" s="198"/>
      <c r="Y371" s="198"/>
      <c r="Z371" s="198"/>
    </row>
    <row r="372" ht="58.5" customHeight="1">
      <c r="A372" s="537"/>
      <c r="B372" s="285"/>
      <c r="C372" s="285"/>
      <c r="D372" s="285"/>
      <c r="E372" s="287"/>
      <c r="F372" s="288"/>
      <c r="G372" s="288"/>
      <c r="H372" s="288"/>
      <c r="I372" s="288"/>
      <c r="J372" s="288"/>
      <c r="K372" s="294"/>
      <c r="L372" s="294"/>
      <c r="M372" s="290"/>
      <c r="N372" s="285"/>
      <c r="O372" s="299"/>
      <c r="P372" s="300"/>
      <c r="Q372" s="198"/>
      <c r="R372" s="198"/>
      <c r="S372" s="198"/>
      <c r="T372" s="198"/>
      <c r="U372" s="198"/>
      <c r="V372" s="198"/>
      <c r="W372" s="198"/>
      <c r="X372" s="198"/>
      <c r="Y372" s="198"/>
      <c r="Z372" s="198"/>
    </row>
    <row r="373" ht="59.25" customHeight="1">
      <c r="A373" s="537"/>
      <c r="B373" s="285"/>
      <c r="C373" s="285"/>
      <c r="D373" s="285"/>
      <c r="E373" s="287"/>
      <c r="F373" s="288"/>
      <c r="G373" s="288"/>
      <c r="H373" s="288"/>
      <c r="I373" s="288"/>
      <c r="J373" s="288"/>
      <c r="K373" s="294"/>
      <c r="L373" s="294"/>
      <c r="M373" s="290"/>
      <c r="N373" s="285"/>
      <c r="O373" s="299"/>
      <c r="P373" s="300"/>
      <c r="Q373" s="198"/>
      <c r="R373" s="198"/>
      <c r="S373" s="198"/>
      <c r="T373" s="198"/>
      <c r="U373" s="198"/>
      <c r="V373" s="198"/>
      <c r="W373" s="198"/>
      <c r="X373" s="198"/>
      <c r="Y373" s="198"/>
      <c r="Z373" s="198"/>
    </row>
    <row r="374" ht="60.0" customHeight="1">
      <c r="A374" s="537"/>
      <c r="B374" s="285"/>
      <c r="C374" s="285"/>
      <c r="D374" s="285"/>
      <c r="E374" s="287"/>
      <c r="F374" s="288"/>
      <c r="G374" s="288"/>
      <c r="H374" s="288"/>
      <c r="I374" s="288"/>
      <c r="J374" s="288"/>
      <c r="K374" s="294"/>
      <c r="L374" s="294"/>
      <c r="M374" s="290"/>
      <c r="N374" s="285"/>
      <c r="O374" s="299"/>
      <c r="P374" s="300"/>
      <c r="Q374" s="198"/>
      <c r="R374" s="198"/>
      <c r="S374" s="198"/>
      <c r="T374" s="198"/>
      <c r="U374" s="198"/>
      <c r="V374" s="198"/>
      <c r="W374" s="198"/>
      <c r="X374" s="198"/>
      <c r="Y374" s="198"/>
      <c r="Z374" s="198"/>
    </row>
    <row r="375" ht="70.5" customHeight="1">
      <c r="A375" s="537"/>
      <c r="B375" s="285"/>
      <c r="C375" s="285"/>
      <c r="D375" s="285"/>
      <c r="E375" s="287"/>
      <c r="F375" s="288"/>
      <c r="G375" s="288"/>
      <c r="H375" s="288"/>
      <c r="I375" s="288"/>
      <c r="J375" s="288"/>
      <c r="K375" s="294"/>
      <c r="L375" s="294"/>
      <c r="M375" s="290"/>
      <c r="N375" s="285"/>
      <c r="O375" s="299"/>
      <c r="P375" s="300"/>
      <c r="Q375" s="198"/>
      <c r="R375" s="198"/>
      <c r="S375" s="198"/>
      <c r="T375" s="198"/>
      <c r="U375" s="198"/>
      <c r="V375" s="198"/>
      <c r="W375" s="198"/>
      <c r="X375" s="198"/>
      <c r="Y375" s="198"/>
      <c r="Z375" s="198"/>
    </row>
    <row r="376" ht="67.5" customHeight="1">
      <c r="A376" s="537"/>
      <c r="B376" s="285"/>
      <c r="C376" s="285"/>
      <c r="D376" s="285"/>
      <c r="E376" s="287"/>
      <c r="F376" s="288"/>
      <c r="G376" s="288"/>
      <c r="H376" s="288"/>
      <c r="I376" s="288"/>
      <c r="J376" s="288"/>
      <c r="K376" s="294"/>
      <c r="L376" s="294"/>
      <c r="M376" s="290"/>
      <c r="N376" s="285"/>
      <c r="O376" s="299"/>
      <c r="P376" s="300"/>
      <c r="Q376" s="198"/>
      <c r="R376" s="198"/>
      <c r="S376" s="198"/>
      <c r="T376" s="198"/>
      <c r="U376" s="198"/>
      <c r="V376" s="198"/>
      <c r="W376" s="198"/>
      <c r="X376" s="198"/>
      <c r="Y376" s="198"/>
      <c r="Z376" s="198"/>
    </row>
    <row r="377" ht="64.5" customHeight="1">
      <c r="A377" s="537"/>
      <c r="B377" s="285"/>
      <c r="C377" s="285"/>
      <c r="D377" s="285"/>
      <c r="E377" s="287"/>
      <c r="F377" s="288"/>
      <c r="G377" s="288"/>
      <c r="H377" s="288"/>
      <c r="I377" s="288"/>
      <c r="J377" s="288"/>
      <c r="K377" s="294"/>
      <c r="L377" s="294"/>
      <c r="M377" s="290"/>
      <c r="N377" s="285"/>
      <c r="O377" s="299"/>
      <c r="P377" s="300"/>
      <c r="Q377" s="198"/>
      <c r="R377" s="198"/>
      <c r="S377" s="198"/>
      <c r="T377" s="198"/>
      <c r="U377" s="198"/>
      <c r="V377" s="198"/>
      <c r="W377" s="198"/>
      <c r="X377" s="198"/>
      <c r="Y377" s="198"/>
      <c r="Z377" s="198"/>
    </row>
    <row r="378" ht="57.0" customHeight="1">
      <c r="A378" s="537"/>
      <c r="B378" s="299"/>
      <c r="C378" s="285"/>
      <c r="D378" s="285"/>
      <c r="E378" s="287"/>
      <c r="F378" s="288"/>
      <c r="G378" s="288"/>
      <c r="H378" s="288"/>
      <c r="I378" s="288"/>
      <c r="J378" s="288"/>
      <c r="K378" s="294"/>
      <c r="L378" s="294"/>
      <c r="M378" s="290"/>
      <c r="N378" s="285"/>
      <c r="O378" s="299"/>
      <c r="P378" s="300"/>
      <c r="Q378" s="198"/>
      <c r="R378" s="198"/>
      <c r="S378" s="198"/>
      <c r="T378" s="198"/>
      <c r="U378" s="198"/>
      <c r="V378" s="198"/>
      <c r="W378" s="198"/>
      <c r="X378" s="198"/>
      <c r="Y378" s="198"/>
      <c r="Z378" s="198"/>
    </row>
    <row r="379" ht="57.0" customHeight="1">
      <c r="A379" s="537"/>
      <c r="B379" s="285"/>
      <c r="C379" s="285"/>
      <c r="D379" s="285"/>
      <c r="E379" s="287"/>
      <c r="F379" s="288"/>
      <c r="G379" s="288"/>
      <c r="H379" s="288"/>
      <c r="I379" s="288"/>
      <c r="J379" s="288"/>
      <c r="K379" s="294"/>
      <c r="L379" s="294"/>
      <c r="M379" s="290"/>
      <c r="N379" s="285"/>
      <c r="O379" s="299"/>
      <c r="P379" s="300"/>
      <c r="Q379" s="198"/>
      <c r="R379" s="198"/>
      <c r="S379" s="198"/>
      <c r="T379" s="198"/>
      <c r="U379" s="198"/>
      <c r="V379" s="198"/>
      <c r="W379" s="198"/>
      <c r="X379" s="198"/>
      <c r="Y379" s="198"/>
      <c r="Z379" s="198"/>
    </row>
    <row r="380" ht="57.75" customHeight="1">
      <c r="A380" s="537"/>
      <c r="B380" s="285"/>
      <c r="C380" s="285"/>
      <c r="D380" s="285"/>
      <c r="E380" s="287"/>
      <c r="F380" s="288"/>
      <c r="G380" s="288"/>
      <c r="H380" s="288"/>
      <c r="I380" s="288"/>
      <c r="J380" s="288"/>
      <c r="K380" s="294"/>
      <c r="L380" s="294"/>
      <c r="M380" s="290"/>
      <c r="N380" s="285"/>
      <c r="O380" s="299"/>
      <c r="P380" s="300"/>
      <c r="Q380" s="198"/>
      <c r="R380" s="198"/>
      <c r="S380" s="198"/>
      <c r="T380" s="198"/>
      <c r="U380" s="198"/>
      <c r="V380" s="198"/>
      <c r="W380" s="198"/>
      <c r="X380" s="198"/>
      <c r="Y380" s="198"/>
      <c r="Z380" s="198"/>
    </row>
    <row r="381" ht="54.0" customHeight="1">
      <c r="A381" s="537"/>
      <c r="B381" s="285"/>
      <c r="C381" s="285"/>
      <c r="D381" s="285"/>
      <c r="E381" s="287"/>
      <c r="F381" s="288"/>
      <c r="G381" s="372"/>
      <c r="H381" s="372"/>
      <c r="I381" s="288"/>
      <c r="J381" s="288"/>
      <c r="K381" s="294"/>
      <c r="L381" s="294"/>
      <c r="M381" s="290"/>
      <c r="N381" s="285"/>
      <c r="O381" s="299"/>
      <c r="P381" s="300"/>
      <c r="Q381" s="198"/>
      <c r="R381" s="198"/>
      <c r="S381" s="198"/>
      <c r="T381" s="198"/>
      <c r="U381" s="198"/>
      <c r="V381" s="198"/>
      <c r="W381" s="198"/>
      <c r="X381" s="198"/>
      <c r="Y381" s="198"/>
      <c r="Z381" s="198"/>
    </row>
    <row r="382" ht="54.0" customHeight="1">
      <c r="A382" s="537"/>
      <c r="B382" s="285"/>
      <c r="C382" s="285"/>
      <c r="D382" s="285"/>
      <c r="E382" s="287"/>
      <c r="F382" s="288"/>
      <c r="G382" s="288"/>
      <c r="H382" s="288"/>
      <c r="I382" s="288"/>
      <c r="J382" s="288"/>
      <c r="K382" s="294"/>
      <c r="L382" s="294"/>
      <c r="M382" s="290"/>
      <c r="N382" s="285"/>
      <c r="O382" s="299"/>
      <c r="P382" s="300"/>
      <c r="Q382" s="198"/>
      <c r="R382" s="198"/>
      <c r="S382" s="198"/>
      <c r="T382" s="198"/>
      <c r="U382" s="198"/>
      <c r="V382" s="198"/>
      <c r="W382" s="198"/>
      <c r="X382" s="198"/>
      <c r="Y382" s="198"/>
      <c r="Z382" s="198"/>
    </row>
    <row r="383" ht="54.0" customHeight="1">
      <c r="A383" s="537"/>
      <c r="B383" s="299"/>
      <c r="C383" s="285"/>
      <c r="D383" s="285"/>
      <c r="E383" s="287"/>
      <c r="F383" s="288"/>
      <c r="G383" s="288"/>
      <c r="H383" s="288"/>
      <c r="I383" s="288"/>
      <c r="J383" s="288"/>
      <c r="K383" s="294"/>
      <c r="L383" s="294"/>
      <c r="M383" s="290"/>
      <c r="N383" s="285"/>
      <c r="O383" s="299"/>
      <c r="P383" s="300"/>
      <c r="Q383" s="198"/>
      <c r="R383" s="198"/>
      <c r="S383" s="198"/>
      <c r="T383" s="198"/>
      <c r="U383" s="198"/>
      <c r="V383" s="198"/>
      <c r="W383" s="198"/>
      <c r="X383" s="198"/>
      <c r="Y383" s="198"/>
      <c r="Z383" s="198"/>
    </row>
    <row r="384" ht="54.0" customHeight="1">
      <c r="A384" s="537"/>
      <c r="B384" s="285"/>
      <c r="C384" s="285"/>
      <c r="D384" s="285"/>
      <c r="E384" s="287"/>
      <c r="F384" s="288"/>
      <c r="G384" s="288"/>
      <c r="H384" s="288"/>
      <c r="I384" s="288"/>
      <c r="J384" s="288"/>
      <c r="K384" s="294"/>
      <c r="L384" s="294"/>
      <c r="M384" s="290"/>
      <c r="N384" s="285"/>
      <c r="O384" s="299"/>
      <c r="P384" s="300"/>
      <c r="Q384" s="198"/>
      <c r="R384" s="198"/>
      <c r="S384" s="198"/>
      <c r="T384" s="198"/>
      <c r="U384" s="198"/>
      <c r="V384" s="198"/>
      <c r="W384" s="198"/>
      <c r="X384" s="198"/>
      <c r="Y384" s="198"/>
      <c r="Z384" s="198"/>
    </row>
    <row r="385" ht="60.75" customHeight="1">
      <c r="A385" s="537"/>
      <c r="B385" s="299"/>
      <c r="C385" s="285"/>
      <c r="D385" s="285"/>
      <c r="E385" s="287"/>
      <c r="F385" s="288"/>
      <c r="G385" s="372"/>
      <c r="H385" s="372"/>
      <c r="I385" s="288"/>
      <c r="J385" s="288"/>
      <c r="K385" s="294"/>
      <c r="L385" s="294"/>
      <c r="M385" s="290"/>
      <c r="N385" s="285"/>
      <c r="O385" s="299"/>
      <c r="P385" s="300"/>
      <c r="Q385" s="198"/>
      <c r="R385" s="198"/>
      <c r="S385" s="198"/>
      <c r="T385" s="198"/>
      <c r="U385" s="198"/>
      <c r="V385" s="198"/>
      <c r="W385" s="198"/>
      <c r="X385" s="198"/>
      <c r="Y385" s="198"/>
      <c r="Z385" s="198"/>
    </row>
    <row r="386" ht="57.0" customHeight="1">
      <c r="A386" s="537"/>
      <c r="B386" s="285"/>
      <c r="C386" s="285"/>
      <c r="D386" s="285"/>
      <c r="E386" s="287"/>
      <c r="F386" s="288"/>
      <c r="G386" s="372"/>
      <c r="H386" s="372"/>
      <c r="I386" s="288"/>
      <c r="J386" s="372"/>
      <c r="K386" s="294"/>
      <c r="L386" s="294"/>
      <c r="M386" s="290"/>
      <c r="N386" s="285"/>
      <c r="O386" s="299"/>
      <c r="P386" s="300"/>
      <c r="Q386" s="198"/>
      <c r="R386" s="198"/>
      <c r="S386" s="198"/>
      <c r="T386" s="198"/>
      <c r="U386" s="198"/>
      <c r="V386" s="198"/>
      <c r="W386" s="198"/>
      <c r="X386" s="198"/>
      <c r="Y386" s="198"/>
      <c r="Z386" s="198"/>
    </row>
    <row r="387" ht="57.0" customHeight="1">
      <c r="A387" s="537"/>
      <c r="B387" s="299"/>
      <c r="C387" s="285"/>
      <c r="D387" s="285"/>
      <c r="E387" s="287"/>
      <c r="F387" s="288"/>
      <c r="G387" s="288"/>
      <c r="H387" s="288"/>
      <c r="I387" s="288"/>
      <c r="J387" s="288"/>
      <c r="K387" s="294"/>
      <c r="L387" s="294"/>
      <c r="M387" s="290"/>
      <c r="N387" s="285"/>
      <c r="O387" s="299"/>
      <c r="P387" s="300"/>
      <c r="Q387" s="198"/>
      <c r="R387" s="198"/>
      <c r="S387" s="198"/>
      <c r="T387" s="198"/>
      <c r="U387" s="198"/>
      <c r="V387" s="198"/>
      <c r="W387" s="198"/>
      <c r="X387" s="198"/>
      <c r="Y387" s="198"/>
      <c r="Z387" s="198"/>
    </row>
    <row r="388" ht="54.0" customHeight="1">
      <c r="A388" s="537"/>
      <c r="B388" s="285"/>
      <c r="C388" s="285"/>
      <c r="D388" s="285"/>
      <c r="E388" s="287"/>
      <c r="F388" s="288"/>
      <c r="G388" s="288"/>
      <c r="H388" s="288"/>
      <c r="I388" s="288"/>
      <c r="J388" s="288"/>
      <c r="K388" s="294"/>
      <c r="L388" s="294"/>
      <c r="M388" s="290"/>
      <c r="N388" s="285"/>
      <c r="O388" s="299"/>
      <c r="P388" s="300"/>
      <c r="Q388" s="198"/>
      <c r="R388" s="198"/>
      <c r="S388" s="198"/>
      <c r="T388" s="198"/>
      <c r="U388" s="198"/>
      <c r="V388" s="198"/>
      <c r="W388" s="198"/>
      <c r="X388" s="198"/>
      <c r="Y388" s="198"/>
      <c r="Z388" s="198"/>
    </row>
    <row r="389" ht="55.5" customHeight="1">
      <c r="A389" s="537"/>
      <c r="B389" s="299"/>
      <c r="C389" s="285"/>
      <c r="D389" s="285"/>
      <c r="E389" s="287"/>
      <c r="F389" s="288"/>
      <c r="G389" s="288"/>
      <c r="H389" s="288"/>
      <c r="I389" s="288"/>
      <c r="J389" s="288"/>
      <c r="K389" s="294"/>
      <c r="L389" s="294"/>
      <c r="M389" s="290"/>
      <c r="N389" s="285"/>
      <c r="O389" s="299"/>
      <c r="P389" s="300"/>
      <c r="Q389" s="198"/>
      <c r="R389" s="198"/>
      <c r="S389" s="198"/>
      <c r="T389" s="198"/>
      <c r="U389" s="198"/>
      <c r="V389" s="198"/>
      <c r="W389" s="198"/>
      <c r="X389" s="198"/>
      <c r="Y389" s="198"/>
      <c r="Z389" s="198"/>
    </row>
    <row r="390" ht="57.0" customHeight="1">
      <c r="A390" s="537"/>
      <c r="B390" s="285"/>
      <c r="C390" s="285"/>
      <c r="D390" s="285"/>
      <c r="E390" s="287"/>
      <c r="F390" s="288"/>
      <c r="G390" s="288"/>
      <c r="H390" s="288"/>
      <c r="I390" s="288"/>
      <c r="J390" s="288"/>
      <c r="K390" s="294"/>
      <c r="L390" s="294"/>
      <c r="M390" s="290"/>
      <c r="N390" s="285"/>
      <c r="O390" s="299"/>
      <c r="P390" s="300"/>
      <c r="Q390" s="198"/>
      <c r="R390" s="198"/>
      <c r="S390" s="198"/>
      <c r="T390" s="198"/>
      <c r="U390" s="198"/>
      <c r="V390" s="198"/>
      <c r="W390" s="198"/>
      <c r="X390" s="198"/>
      <c r="Y390" s="198"/>
      <c r="Z390" s="198"/>
    </row>
    <row r="391" ht="66.0" customHeight="1">
      <c r="A391" s="537"/>
      <c r="B391" s="285"/>
      <c r="C391" s="285"/>
      <c r="D391" s="285"/>
      <c r="E391" s="287"/>
      <c r="F391" s="288"/>
      <c r="G391" s="288"/>
      <c r="H391" s="288"/>
      <c r="I391" s="288"/>
      <c r="J391" s="288"/>
      <c r="K391" s="294"/>
      <c r="L391" s="294"/>
      <c r="M391" s="290"/>
      <c r="N391" s="285"/>
      <c r="O391" s="299"/>
      <c r="P391" s="300"/>
      <c r="Q391" s="198"/>
      <c r="R391" s="198"/>
      <c r="S391" s="198"/>
      <c r="T391" s="198"/>
      <c r="U391" s="198"/>
      <c r="V391" s="198"/>
      <c r="W391" s="198"/>
      <c r="X391" s="198"/>
      <c r="Y391" s="198"/>
      <c r="Z391" s="198"/>
    </row>
    <row r="392" ht="54.0" customHeight="1">
      <c r="A392" s="537"/>
      <c r="B392" s="285"/>
      <c r="C392" s="299"/>
      <c r="D392" s="285"/>
      <c r="E392" s="287"/>
      <c r="F392" s="288"/>
      <c r="G392" s="288"/>
      <c r="H392" s="288"/>
      <c r="I392" s="288"/>
      <c r="J392" s="288"/>
      <c r="K392" s="294"/>
      <c r="L392" s="294"/>
      <c r="M392" s="290"/>
      <c r="N392" s="285"/>
      <c r="O392" s="299"/>
      <c r="P392" s="300"/>
      <c r="Q392" s="198"/>
      <c r="R392" s="198"/>
      <c r="S392" s="198"/>
      <c r="T392" s="198"/>
      <c r="U392" s="198"/>
      <c r="V392" s="198"/>
      <c r="W392" s="198"/>
      <c r="X392" s="198"/>
      <c r="Y392" s="198"/>
      <c r="Z392" s="198"/>
    </row>
    <row r="393" ht="57.0" customHeight="1">
      <c r="A393" s="537"/>
      <c r="B393" s="285"/>
      <c r="C393" s="299"/>
      <c r="D393" s="285"/>
      <c r="E393" s="287"/>
      <c r="F393" s="288"/>
      <c r="G393" s="288"/>
      <c r="H393" s="288"/>
      <c r="I393" s="288"/>
      <c r="J393" s="288"/>
      <c r="K393" s="294"/>
      <c r="L393" s="294"/>
      <c r="M393" s="290"/>
      <c r="N393" s="285"/>
      <c r="O393" s="299"/>
      <c r="P393" s="300"/>
      <c r="Q393" s="198"/>
      <c r="R393" s="198"/>
      <c r="S393" s="198"/>
      <c r="T393" s="198"/>
      <c r="U393" s="198"/>
      <c r="V393" s="198"/>
      <c r="W393" s="198"/>
      <c r="X393" s="198"/>
      <c r="Y393" s="198"/>
      <c r="Z393" s="198"/>
    </row>
    <row r="394" ht="54.0" customHeight="1">
      <c r="A394" s="537"/>
      <c r="B394" s="285"/>
      <c r="C394" s="285"/>
      <c r="D394" s="285"/>
      <c r="E394" s="287"/>
      <c r="F394" s="288"/>
      <c r="G394" s="288"/>
      <c r="H394" s="288"/>
      <c r="I394" s="288"/>
      <c r="J394" s="288"/>
      <c r="K394" s="294"/>
      <c r="L394" s="294"/>
      <c r="M394" s="290"/>
      <c r="N394" s="285"/>
      <c r="O394" s="299"/>
      <c r="P394" s="300"/>
      <c r="Q394" s="198"/>
      <c r="R394" s="198"/>
      <c r="S394" s="198"/>
      <c r="T394" s="198"/>
      <c r="U394" s="198"/>
      <c r="V394" s="198"/>
      <c r="W394" s="198"/>
      <c r="X394" s="198"/>
      <c r="Y394" s="198"/>
      <c r="Z394" s="198"/>
    </row>
    <row r="395" ht="57.75" customHeight="1">
      <c r="A395" s="537"/>
      <c r="B395" s="285"/>
      <c r="C395" s="299"/>
      <c r="D395" s="285"/>
      <c r="E395" s="287"/>
      <c r="F395" s="288"/>
      <c r="G395" s="288"/>
      <c r="H395" s="288"/>
      <c r="I395" s="288"/>
      <c r="J395" s="288"/>
      <c r="K395" s="294"/>
      <c r="L395" s="294"/>
      <c r="M395" s="290"/>
      <c r="N395" s="285"/>
      <c r="O395" s="299"/>
      <c r="P395" s="300"/>
      <c r="Q395" s="198"/>
      <c r="R395" s="198"/>
      <c r="S395" s="198"/>
      <c r="T395" s="198"/>
      <c r="U395" s="198"/>
      <c r="V395" s="198"/>
      <c r="W395" s="198"/>
      <c r="X395" s="198"/>
      <c r="Y395" s="198"/>
      <c r="Z395" s="198"/>
    </row>
    <row r="396" ht="57.0" customHeight="1">
      <c r="A396" s="537"/>
      <c r="B396" s="285"/>
      <c r="C396" s="285"/>
      <c r="D396" s="285"/>
      <c r="E396" s="287"/>
      <c r="F396" s="288"/>
      <c r="G396" s="372"/>
      <c r="H396" s="372"/>
      <c r="I396" s="288"/>
      <c r="J396" s="288"/>
      <c r="K396" s="294"/>
      <c r="L396" s="294"/>
      <c r="M396" s="290"/>
      <c r="N396" s="285"/>
      <c r="O396" s="299"/>
      <c r="P396" s="300"/>
      <c r="Q396" s="198"/>
      <c r="R396" s="198"/>
      <c r="S396" s="198"/>
      <c r="T396" s="198"/>
      <c r="U396" s="198"/>
      <c r="V396" s="198"/>
      <c r="W396" s="198"/>
      <c r="X396" s="198"/>
      <c r="Y396" s="198"/>
      <c r="Z396" s="198"/>
    </row>
    <row r="397" ht="58.5" customHeight="1">
      <c r="A397" s="284"/>
      <c r="B397" s="285"/>
      <c r="C397" s="285"/>
      <c r="D397" s="285"/>
      <c r="E397" s="287"/>
      <c r="F397" s="288"/>
      <c r="G397" s="285"/>
      <c r="H397" s="288"/>
      <c r="I397" s="285"/>
      <c r="J397" s="288"/>
      <c r="K397" s="294"/>
      <c r="L397" s="294"/>
      <c r="M397" s="290"/>
      <c r="N397" s="285"/>
      <c r="O397" s="299"/>
      <c r="P397" s="300"/>
      <c r="Q397" s="198"/>
      <c r="R397" s="198"/>
      <c r="S397" s="198"/>
      <c r="T397" s="198"/>
      <c r="U397" s="198"/>
      <c r="V397" s="198"/>
      <c r="W397" s="198"/>
      <c r="X397" s="198"/>
      <c r="Y397" s="198"/>
      <c r="Z397" s="198"/>
    </row>
    <row r="398" ht="55.5" customHeight="1">
      <c r="A398" s="284"/>
      <c r="B398" s="285"/>
      <c r="C398" s="299"/>
      <c r="D398" s="285"/>
      <c r="E398" s="287"/>
      <c r="F398" s="288"/>
      <c r="G398" s="372"/>
      <c r="H398" s="372"/>
      <c r="I398" s="285"/>
      <c r="J398" s="288"/>
      <c r="K398" s="294"/>
      <c r="L398" s="294"/>
      <c r="M398" s="290"/>
      <c r="N398" s="285"/>
      <c r="O398" s="299"/>
      <c r="P398" s="300"/>
      <c r="Q398" s="198"/>
      <c r="R398" s="198"/>
      <c r="S398" s="198"/>
      <c r="T398" s="198"/>
      <c r="U398" s="198"/>
      <c r="V398" s="198"/>
      <c r="W398" s="198"/>
      <c r="X398" s="198"/>
      <c r="Y398" s="198"/>
      <c r="Z398" s="198"/>
    </row>
    <row r="399" ht="67.5" customHeight="1">
      <c r="A399" s="284"/>
      <c r="B399" s="285"/>
      <c r="C399" s="299"/>
      <c r="D399" s="285"/>
      <c r="E399" s="287"/>
      <c r="F399" s="288"/>
      <c r="G399" s="372"/>
      <c r="H399" s="372"/>
      <c r="I399" s="285"/>
      <c r="J399" s="288"/>
      <c r="K399" s="294"/>
      <c r="L399" s="294"/>
      <c r="M399" s="290"/>
      <c r="N399" s="285"/>
      <c r="O399" s="299"/>
      <c r="P399" s="300"/>
      <c r="Q399" s="198"/>
      <c r="R399" s="198"/>
      <c r="S399" s="198"/>
      <c r="T399" s="198"/>
      <c r="U399" s="198"/>
      <c r="V399" s="198"/>
      <c r="W399" s="198"/>
      <c r="X399" s="198"/>
      <c r="Y399" s="198"/>
      <c r="Z399" s="198"/>
    </row>
    <row r="400" ht="73.5" customHeight="1">
      <c r="A400" s="284"/>
      <c r="B400" s="285"/>
      <c r="C400" s="285"/>
      <c r="D400" s="285"/>
      <c r="E400" s="287"/>
      <c r="F400" s="288"/>
      <c r="G400" s="288"/>
      <c r="H400" s="288"/>
      <c r="I400" s="285"/>
      <c r="J400" s="285"/>
      <c r="K400" s="294"/>
      <c r="L400" s="294"/>
      <c r="M400" s="290"/>
      <c r="N400" s="285"/>
      <c r="O400" s="299"/>
      <c r="P400" s="300"/>
      <c r="Q400" s="198"/>
      <c r="R400" s="198"/>
      <c r="S400" s="198"/>
      <c r="T400" s="198"/>
      <c r="U400" s="198"/>
      <c r="V400" s="198"/>
      <c r="W400" s="198"/>
      <c r="X400" s="198"/>
      <c r="Y400" s="198"/>
      <c r="Z400" s="198"/>
    </row>
    <row r="401" ht="57.75" customHeight="1">
      <c r="A401" s="284"/>
      <c r="B401" s="285"/>
      <c r="C401" s="285"/>
      <c r="D401" s="285"/>
      <c r="E401" s="287"/>
      <c r="F401" s="288"/>
      <c r="G401" s="288"/>
      <c r="H401" s="288"/>
      <c r="I401" s="285"/>
      <c r="J401" s="288"/>
      <c r="K401" s="294"/>
      <c r="L401" s="294"/>
      <c r="M401" s="290"/>
      <c r="N401" s="285"/>
      <c r="O401" s="299"/>
      <c r="P401" s="300"/>
      <c r="Q401" s="198"/>
      <c r="R401" s="198"/>
      <c r="S401" s="198"/>
      <c r="T401" s="198"/>
      <c r="U401" s="198"/>
      <c r="V401" s="198"/>
      <c r="W401" s="198"/>
      <c r="X401" s="198"/>
      <c r="Y401" s="198"/>
      <c r="Z401" s="198"/>
    </row>
    <row r="402" ht="54.0" customHeight="1">
      <c r="A402" s="284"/>
      <c r="B402" s="285"/>
      <c r="C402" s="285"/>
      <c r="D402" s="285"/>
      <c r="E402" s="287"/>
      <c r="F402" s="288"/>
      <c r="G402" s="288"/>
      <c r="H402" s="288"/>
      <c r="I402" s="285"/>
      <c r="J402" s="288"/>
      <c r="K402" s="294"/>
      <c r="L402" s="294"/>
      <c r="M402" s="290"/>
      <c r="N402" s="285"/>
      <c r="O402" s="299"/>
      <c r="P402" s="300"/>
      <c r="Q402" s="198"/>
      <c r="R402" s="198"/>
      <c r="S402" s="198"/>
      <c r="T402" s="198"/>
      <c r="U402" s="198"/>
      <c r="V402" s="198"/>
      <c r="W402" s="198"/>
      <c r="X402" s="198"/>
      <c r="Y402" s="198"/>
      <c r="Z402" s="198"/>
    </row>
    <row r="403" ht="54.0" customHeight="1">
      <c r="A403" s="284"/>
      <c r="B403" s="285"/>
      <c r="C403" s="285"/>
      <c r="D403" s="285"/>
      <c r="E403" s="287"/>
      <c r="F403" s="288"/>
      <c r="G403" s="288"/>
      <c r="H403" s="288"/>
      <c r="I403" s="285"/>
      <c r="J403" s="288"/>
      <c r="K403" s="294"/>
      <c r="L403" s="294"/>
      <c r="M403" s="290"/>
      <c r="N403" s="285"/>
      <c r="O403" s="299"/>
      <c r="P403" s="300"/>
      <c r="Q403" s="198"/>
      <c r="R403" s="198"/>
      <c r="S403" s="198"/>
      <c r="T403" s="198"/>
      <c r="U403" s="198"/>
      <c r="V403" s="198"/>
      <c r="W403" s="198"/>
      <c r="X403" s="198"/>
      <c r="Y403" s="198"/>
      <c r="Z403" s="198"/>
    </row>
    <row r="404" ht="54.0" customHeight="1">
      <c r="A404" s="284"/>
      <c r="B404" s="285"/>
      <c r="C404" s="285"/>
      <c r="D404" s="285"/>
      <c r="E404" s="287"/>
      <c r="F404" s="288"/>
      <c r="G404" s="288"/>
      <c r="H404" s="288"/>
      <c r="I404" s="285"/>
      <c r="J404" s="285"/>
      <c r="K404" s="294"/>
      <c r="L404" s="294"/>
      <c r="M404" s="290"/>
      <c r="N404" s="285"/>
      <c r="O404" s="299"/>
      <c r="P404" s="300"/>
      <c r="Q404" s="198"/>
      <c r="R404" s="198"/>
      <c r="S404" s="198"/>
      <c r="T404" s="198"/>
      <c r="U404" s="198"/>
      <c r="V404" s="198"/>
      <c r="W404" s="198"/>
      <c r="X404" s="198"/>
      <c r="Y404" s="198"/>
      <c r="Z404" s="198"/>
    </row>
    <row r="405" ht="54.0" customHeight="1">
      <c r="A405" s="284"/>
      <c r="B405" s="285"/>
      <c r="C405" s="299"/>
      <c r="D405" s="299"/>
      <c r="E405" s="287"/>
      <c r="F405" s="288"/>
      <c r="G405" s="288"/>
      <c r="H405" s="288"/>
      <c r="I405" s="285"/>
      <c r="J405" s="288"/>
      <c r="K405" s="433"/>
      <c r="L405" s="433"/>
      <c r="M405" s="290"/>
      <c r="N405" s="285"/>
      <c r="O405" s="299"/>
      <c r="P405" s="300"/>
      <c r="Q405" s="198"/>
      <c r="R405" s="198"/>
      <c r="S405" s="198"/>
      <c r="T405" s="198"/>
      <c r="U405" s="198"/>
      <c r="V405" s="198"/>
      <c r="W405" s="198"/>
      <c r="X405" s="198"/>
      <c r="Y405" s="198"/>
      <c r="Z405" s="198"/>
    </row>
    <row r="406" ht="68.25" customHeight="1">
      <c r="A406" s="284"/>
      <c r="B406" s="285"/>
      <c r="C406" s="299"/>
      <c r="D406" s="285"/>
      <c r="E406" s="287"/>
      <c r="F406" s="288"/>
      <c r="G406" s="288"/>
      <c r="H406" s="288"/>
      <c r="I406" s="285"/>
      <c r="J406" s="288"/>
      <c r="K406" s="294"/>
      <c r="L406" s="294"/>
      <c r="M406" s="290"/>
      <c r="N406" s="285"/>
      <c r="O406" s="299"/>
      <c r="P406" s="300"/>
      <c r="Q406" s="198"/>
      <c r="R406" s="198"/>
      <c r="S406" s="198"/>
      <c r="T406" s="198"/>
      <c r="U406" s="198"/>
      <c r="V406" s="198"/>
      <c r="W406" s="198"/>
      <c r="X406" s="198"/>
      <c r="Y406" s="198"/>
      <c r="Z406" s="198"/>
    </row>
    <row r="407" ht="68.25" customHeight="1">
      <c r="A407" s="284"/>
      <c r="B407" s="285"/>
      <c r="C407" s="299"/>
      <c r="D407" s="285"/>
      <c r="E407" s="287"/>
      <c r="F407" s="288"/>
      <c r="G407" s="288"/>
      <c r="H407" s="288"/>
      <c r="I407" s="285"/>
      <c r="J407" s="288"/>
      <c r="K407" s="294"/>
      <c r="L407" s="294"/>
      <c r="M407" s="290"/>
      <c r="N407" s="285"/>
      <c r="O407" s="299"/>
      <c r="P407" s="300"/>
      <c r="Q407" s="198"/>
      <c r="R407" s="198"/>
      <c r="S407" s="198"/>
      <c r="T407" s="198"/>
      <c r="U407" s="198"/>
      <c r="V407" s="198"/>
      <c r="W407" s="198"/>
      <c r="X407" s="198"/>
      <c r="Y407" s="198"/>
      <c r="Z407" s="198"/>
    </row>
    <row r="408" ht="55.5" customHeight="1">
      <c r="A408" s="284"/>
      <c r="B408" s="285"/>
      <c r="C408" s="299"/>
      <c r="D408" s="285"/>
      <c r="E408" s="287"/>
      <c r="F408" s="288"/>
      <c r="G408" s="372"/>
      <c r="H408" s="372"/>
      <c r="I408" s="285"/>
      <c r="J408" s="285"/>
      <c r="K408" s="294"/>
      <c r="L408" s="294"/>
      <c r="M408" s="290"/>
      <c r="N408" s="285"/>
      <c r="O408" s="299"/>
      <c r="P408" s="300"/>
      <c r="Q408" s="198"/>
      <c r="R408" s="198"/>
      <c r="S408" s="198"/>
      <c r="T408" s="198"/>
      <c r="U408" s="198"/>
      <c r="V408" s="198"/>
      <c r="W408" s="198"/>
      <c r="X408" s="198"/>
      <c r="Y408" s="198"/>
      <c r="Z408" s="198"/>
    </row>
    <row r="409" ht="54.0" customHeight="1">
      <c r="A409" s="284"/>
      <c r="B409" s="285"/>
      <c r="C409" s="285"/>
      <c r="D409" s="285"/>
      <c r="E409" s="287"/>
      <c r="F409" s="288"/>
      <c r="G409" s="288"/>
      <c r="H409" s="288"/>
      <c r="I409" s="285"/>
      <c r="J409" s="288"/>
      <c r="K409" s="294"/>
      <c r="L409" s="294"/>
      <c r="M409" s="290"/>
      <c r="N409" s="285"/>
      <c r="O409" s="299"/>
      <c r="P409" s="300"/>
      <c r="Q409" s="198"/>
      <c r="R409" s="198"/>
      <c r="S409" s="198"/>
      <c r="T409" s="198"/>
      <c r="U409" s="198"/>
      <c r="V409" s="198"/>
      <c r="W409" s="198"/>
      <c r="X409" s="198"/>
      <c r="Y409" s="198"/>
      <c r="Z409" s="198"/>
    </row>
    <row r="410" ht="58.5" customHeight="1">
      <c r="A410" s="284"/>
      <c r="B410" s="285"/>
      <c r="C410" s="285"/>
      <c r="D410" s="285"/>
      <c r="E410" s="287"/>
      <c r="F410" s="288"/>
      <c r="G410" s="288"/>
      <c r="H410" s="288"/>
      <c r="I410" s="285"/>
      <c r="J410" s="288"/>
      <c r="K410" s="294"/>
      <c r="L410" s="294"/>
      <c r="M410" s="290"/>
      <c r="N410" s="285"/>
      <c r="O410" s="299"/>
      <c r="P410" s="300"/>
      <c r="Q410" s="198"/>
      <c r="R410" s="198"/>
      <c r="S410" s="198"/>
      <c r="T410" s="198"/>
      <c r="U410" s="198"/>
      <c r="V410" s="198"/>
      <c r="W410" s="198"/>
      <c r="X410" s="198"/>
      <c r="Y410" s="198"/>
      <c r="Z410" s="198"/>
    </row>
    <row r="411" ht="62.25" customHeight="1">
      <c r="A411" s="284"/>
      <c r="B411" s="299"/>
      <c r="C411" s="285"/>
      <c r="D411" s="285"/>
      <c r="E411" s="287"/>
      <c r="F411" s="288"/>
      <c r="G411" s="288"/>
      <c r="H411" s="288"/>
      <c r="I411" s="285"/>
      <c r="J411" s="288"/>
      <c r="K411" s="294"/>
      <c r="L411" s="294"/>
      <c r="M411" s="290"/>
      <c r="N411" s="285"/>
      <c r="O411" s="299"/>
      <c r="P411" s="300"/>
      <c r="Q411" s="198"/>
      <c r="R411" s="198"/>
      <c r="S411" s="198"/>
      <c r="T411" s="198"/>
      <c r="U411" s="198"/>
      <c r="V411" s="198"/>
      <c r="W411" s="198"/>
      <c r="X411" s="198"/>
      <c r="Y411" s="198"/>
      <c r="Z411" s="198"/>
    </row>
    <row r="412" ht="54.0" customHeight="1">
      <c r="A412" s="284"/>
      <c r="B412" s="299"/>
      <c r="C412" s="285"/>
      <c r="D412" s="285"/>
      <c r="E412" s="287"/>
      <c r="F412" s="288"/>
      <c r="G412" s="372"/>
      <c r="H412" s="372"/>
      <c r="I412" s="285"/>
      <c r="J412" s="373"/>
      <c r="K412" s="294"/>
      <c r="L412" s="294"/>
      <c r="M412" s="290"/>
      <c r="N412" s="285"/>
      <c r="O412" s="299"/>
      <c r="P412" s="300"/>
      <c r="Q412" s="198"/>
      <c r="R412" s="198"/>
      <c r="S412" s="198"/>
      <c r="T412" s="198"/>
      <c r="U412" s="198"/>
      <c r="V412" s="198"/>
      <c r="W412" s="198"/>
      <c r="X412" s="198"/>
      <c r="Y412" s="198"/>
      <c r="Z412" s="198"/>
    </row>
    <row r="413" ht="54.0" customHeight="1">
      <c r="A413" s="284"/>
      <c r="B413" s="285"/>
      <c r="C413" s="285"/>
      <c r="D413" s="285"/>
      <c r="E413" s="287"/>
      <c r="F413" s="288"/>
      <c r="G413" s="372"/>
      <c r="H413" s="372"/>
      <c r="I413" s="285"/>
      <c r="J413" s="373"/>
      <c r="K413" s="294"/>
      <c r="L413" s="294"/>
      <c r="M413" s="290"/>
      <c r="N413" s="285"/>
      <c r="O413" s="299"/>
      <c r="P413" s="300"/>
      <c r="Q413" s="198"/>
      <c r="R413" s="198"/>
      <c r="S413" s="198"/>
      <c r="T413" s="198"/>
      <c r="U413" s="198"/>
      <c r="V413" s="198"/>
      <c r="W413" s="198"/>
      <c r="X413" s="198"/>
      <c r="Y413" s="198"/>
      <c r="Z413" s="198"/>
    </row>
    <row r="414" ht="54.0" customHeight="1">
      <c r="A414" s="284"/>
      <c r="B414" s="285"/>
      <c r="C414" s="285"/>
      <c r="D414" s="285"/>
      <c r="E414" s="287"/>
      <c r="F414" s="288"/>
      <c r="G414" s="288"/>
      <c r="H414" s="288"/>
      <c r="I414" s="285"/>
      <c r="J414" s="288"/>
      <c r="K414" s="294"/>
      <c r="L414" s="294"/>
      <c r="M414" s="290"/>
      <c r="N414" s="285"/>
      <c r="O414" s="299"/>
      <c r="P414" s="300"/>
      <c r="Q414" s="198"/>
      <c r="R414" s="198"/>
      <c r="S414" s="198"/>
      <c r="T414" s="198"/>
      <c r="U414" s="198"/>
      <c r="V414" s="198"/>
      <c r="W414" s="198"/>
      <c r="X414" s="198"/>
      <c r="Y414" s="198"/>
      <c r="Z414" s="198"/>
    </row>
    <row r="415" ht="55.5" customHeight="1">
      <c r="A415" s="284"/>
      <c r="B415" s="285"/>
      <c r="C415" s="299"/>
      <c r="D415" s="299"/>
      <c r="E415" s="287"/>
      <c r="F415" s="288"/>
      <c r="G415" s="288"/>
      <c r="H415" s="288"/>
      <c r="I415" s="285"/>
      <c r="J415" s="288"/>
      <c r="K415" s="433"/>
      <c r="L415" s="433"/>
      <c r="M415" s="290"/>
      <c r="N415" s="285"/>
      <c r="O415" s="299"/>
      <c r="P415" s="300"/>
      <c r="Q415" s="198"/>
      <c r="R415" s="198"/>
      <c r="S415" s="198"/>
      <c r="T415" s="198"/>
      <c r="U415" s="198"/>
      <c r="V415" s="198"/>
      <c r="W415" s="198"/>
      <c r="X415" s="198"/>
      <c r="Y415" s="198"/>
      <c r="Z415" s="198"/>
    </row>
    <row r="416" ht="57.75" customHeight="1">
      <c r="A416" s="284"/>
      <c r="B416" s="299"/>
      <c r="C416" s="285"/>
      <c r="D416" s="285"/>
      <c r="E416" s="287"/>
      <c r="F416" s="288"/>
      <c r="G416" s="372"/>
      <c r="H416" s="372"/>
      <c r="I416" s="285"/>
      <c r="J416" s="288"/>
      <c r="K416" s="294"/>
      <c r="L416" s="294"/>
      <c r="M416" s="290"/>
      <c r="N416" s="285"/>
      <c r="O416" s="299"/>
      <c r="P416" s="300"/>
      <c r="Q416" s="198"/>
      <c r="R416" s="198"/>
      <c r="S416" s="198"/>
      <c r="T416" s="198"/>
      <c r="U416" s="198"/>
      <c r="V416" s="198"/>
      <c r="W416" s="198"/>
      <c r="X416" s="198"/>
      <c r="Y416" s="198"/>
      <c r="Z416" s="198"/>
    </row>
    <row r="417" ht="60.75" customHeight="1">
      <c r="A417" s="284"/>
      <c r="B417" s="285"/>
      <c r="C417" s="285"/>
      <c r="D417" s="285"/>
      <c r="E417" s="287"/>
      <c r="F417" s="288"/>
      <c r="G417" s="288"/>
      <c r="H417" s="288"/>
      <c r="I417" s="285"/>
      <c r="J417" s="288"/>
      <c r="K417" s="294"/>
      <c r="L417" s="294"/>
      <c r="M417" s="290"/>
      <c r="N417" s="285"/>
      <c r="O417" s="299"/>
      <c r="P417" s="300"/>
      <c r="Q417" s="198"/>
      <c r="R417" s="198"/>
      <c r="S417" s="198"/>
      <c r="T417" s="198"/>
      <c r="U417" s="198"/>
      <c r="V417" s="198"/>
      <c r="W417" s="198"/>
      <c r="X417" s="198"/>
      <c r="Y417" s="198"/>
      <c r="Z417" s="198"/>
    </row>
    <row r="418" ht="57.75" customHeight="1">
      <c r="A418" s="284"/>
      <c r="B418" s="285"/>
      <c r="C418" s="285"/>
      <c r="D418" s="285"/>
      <c r="E418" s="287"/>
      <c r="F418" s="288"/>
      <c r="G418" s="372"/>
      <c r="H418" s="372"/>
      <c r="I418" s="285"/>
      <c r="J418" s="288"/>
      <c r="K418" s="294"/>
      <c r="L418" s="294"/>
      <c r="M418" s="290"/>
      <c r="N418" s="285"/>
      <c r="O418" s="299"/>
      <c r="P418" s="300"/>
      <c r="Q418" s="198"/>
      <c r="R418" s="198"/>
      <c r="S418" s="198"/>
      <c r="T418" s="198"/>
      <c r="U418" s="198"/>
      <c r="V418" s="198"/>
      <c r="W418" s="198"/>
      <c r="X418" s="198"/>
      <c r="Y418" s="198"/>
      <c r="Z418" s="198"/>
    </row>
    <row r="419" ht="59.25" customHeight="1">
      <c r="A419" s="284"/>
      <c r="B419" s="285"/>
      <c r="C419" s="285"/>
      <c r="D419" s="285"/>
      <c r="E419" s="287"/>
      <c r="F419" s="288"/>
      <c r="G419" s="288"/>
      <c r="H419" s="288"/>
      <c r="I419" s="285"/>
      <c r="J419" s="285"/>
      <c r="K419" s="294"/>
      <c r="L419" s="294"/>
      <c r="M419" s="290"/>
      <c r="N419" s="285"/>
      <c r="O419" s="299"/>
      <c r="P419" s="300"/>
      <c r="Q419" s="198"/>
      <c r="R419" s="198"/>
      <c r="S419" s="198"/>
      <c r="T419" s="198"/>
      <c r="U419" s="198"/>
      <c r="V419" s="198"/>
      <c r="W419" s="198"/>
      <c r="X419" s="198"/>
      <c r="Y419" s="198"/>
      <c r="Z419" s="198"/>
    </row>
    <row r="420" ht="57.0" customHeight="1">
      <c r="A420" s="284"/>
      <c r="B420" s="285"/>
      <c r="C420" s="299"/>
      <c r="D420" s="299"/>
      <c r="E420" s="287"/>
      <c r="F420" s="288"/>
      <c r="G420" s="288"/>
      <c r="H420" s="288"/>
      <c r="I420" s="285"/>
      <c r="J420" s="288"/>
      <c r="K420" s="433"/>
      <c r="L420" s="433"/>
      <c r="M420" s="290"/>
      <c r="N420" s="285"/>
      <c r="O420" s="299"/>
      <c r="P420" s="300"/>
      <c r="Q420" s="198"/>
      <c r="R420" s="198"/>
      <c r="S420" s="198"/>
      <c r="T420" s="198"/>
      <c r="U420" s="198"/>
      <c r="V420" s="198"/>
      <c r="W420" s="198"/>
      <c r="X420" s="198"/>
      <c r="Y420" s="198"/>
      <c r="Z420" s="198"/>
    </row>
    <row r="421" ht="63.75" customHeight="1">
      <c r="A421" s="284"/>
      <c r="B421" s="285"/>
      <c r="C421" s="299"/>
      <c r="D421" s="299"/>
      <c r="E421" s="287"/>
      <c r="F421" s="288"/>
      <c r="G421" s="288"/>
      <c r="H421" s="288"/>
      <c r="I421" s="285"/>
      <c r="J421" s="285"/>
      <c r="K421" s="433"/>
      <c r="L421" s="433"/>
      <c r="M421" s="290"/>
      <c r="N421" s="285"/>
      <c r="O421" s="299"/>
      <c r="P421" s="300"/>
      <c r="Q421" s="198"/>
      <c r="R421" s="198"/>
      <c r="S421" s="198"/>
      <c r="T421" s="198"/>
      <c r="U421" s="198"/>
      <c r="V421" s="198"/>
      <c r="W421" s="198"/>
      <c r="X421" s="198"/>
      <c r="Y421" s="198"/>
      <c r="Z421" s="198"/>
    </row>
    <row r="422" ht="65.25" customHeight="1">
      <c r="A422" s="284"/>
      <c r="B422" s="285"/>
      <c r="C422" s="299"/>
      <c r="D422" s="285"/>
      <c r="E422" s="287"/>
      <c r="F422" s="288"/>
      <c r="G422" s="288"/>
      <c r="H422" s="288"/>
      <c r="I422" s="285"/>
      <c r="J422" s="288"/>
      <c r="K422" s="294"/>
      <c r="L422" s="294"/>
      <c r="M422" s="290"/>
      <c r="N422" s="285"/>
      <c r="O422" s="299"/>
      <c r="P422" s="300"/>
      <c r="Q422" s="198"/>
      <c r="R422" s="198"/>
      <c r="S422" s="198"/>
      <c r="T422" s="198"/>
      <c r="U422" s="198"/>
      <c r="V422" s="198"/>
      <c r="W422" s="198"/>
      <c r="X422" s="198"/>
      <c r="Y422" s="198"/>
      <c r="Z422" s="198"/>
    </row>
    <row r="423" ht="64.5" customHeight="1">
      <c r="A423" s="284"/>
      <c r="B423" s="285"/>
      <c r="C423" s="299"/>
      <c r="D423" s="285"/>
      <c r="E423" s="287"/>
      <c r="F423" s="288"/>
      <c r="G423" s="288"/>
      <c r="H423" s="288"/>
      <c r="I423" s="285"/>
      <c r="J423" s="288"/>
      <c r="K423" s="294"/>
      <c r="L423" s="294"/>
      <c r="M423" s="290"/>
      <c r="N423" s="285"/>
      <c r="O423" s="299"/>
      <c r="P423" s="300"/>
      <c r="Q423" s="198"/>
      <c r="R423" s="198"/>
      <c r="S423" s="198"/>
      <c r="T423" s="198"/>
      <c r="U423" s="198"/>
      <c r="V423" s="198"/>
      <c r="W423" s="198"/>
      <c r="X423" s="198"/>
      <c r="Y423" s="198"/>
      <c r="Z423" s="198"/>
    </row>
    <row r="424" ht="57.75" customHeight="1">
      <c r="A424" s="299"/>
      <c r="B424" s="299"/>
      <c r="C424" s="285"/>
      <c r="D424" s="285"/>
      <c r="E424" s="287"/>
      <c r="F424" s="288"/>
      <c r="G424" s="288"/>
      <c r="H424" s="288"/>
      <c r="I424" s="285"/>
      <c r="J424" s="285"/>
      <c r="K424" s="294"/>
      <c r="L424" s="294"/>
      <c r="M424" s="290"/>
      <c r="N424" s="285"/>
      <c r="O424" s="299"/>
      <c r="P424" s="300"/>
      <c r="Q424" s="198"/>
      <c r="R424" s="198"/>
      <c r="S424" s="198"/>
      <c r="T424" s="198"/>
      <c r="U424" s="198"/>
      <c r="V424" s="198"/>
      <c r="W424" s="198"/>
      <c r="X424" s="198"/>
      <c r="Y424" s="198"/>
      <c r="Z424" s="198"/>
    </row>
    <row r="425" ht="69.75" customHeight="1">
      <c r="A425" s="284"/>
      <c r="B425" s="299"/>
      <c r="C425" s="285"/>
      <c r="D425" s="285"/>
      <c r="E425" s="287"/>
      <c r="F425" s="288"/>
      <c r="G425" s="372"/>
      <c r="H425" s="372"/>
      <c r="I425" s="285"/>
      <c r="J425" s="288"/>
      <c r="K425" s="294"/>
      <c r="L425" s="294"/>
      <c r="M425" s="290"/>
      <c r="N425" s="285"/>
      <c r="O425" s="299"/>
      <c r="P425" s="300"/>
      <c r="Q425" s="198"/>
      <c r="R425" s="198"/>
      <c r="S425" s="198"/>
      <c r="T425" s="198"/>
      <c r="U425" s="198"/>
      <c r="V425" s="198"/>
      <c r="W425" s="198"/>
      <c r="X425" s="198"/>
      <c r="Y425" s="198"/>
      <c r="Z425" s="198"/>
    </row>
    <row r="426" ht="55.5" customHeight="1">
      <c r="A426" s="284"/>
      <c r="B426" s="299"/>
      <c r="C426" s="285"/>
      <c r="D426" s="285"/>
      <c r="E426" s="287"/>
      <c r="F426" s="288"/>
      <c r="G426" s="288"/>
      <c r="H426" s="288"/>
      <c r="I426" s="285"/>
      <c r="J426" s="288"/>
      <c r="K426" s="294"/>
      <c r="L426" s="294"/>
      <c r="M426" s="290"/>
      <c r="N426" s="285"/>
      <c r="O426" s="299"/>
      <c r="P426" s="300"/>
      <c r="Q426" s="198"/>
      <c r="R426" s="198"/>
      <c r="S426" s="198"/>
      <c r="T426" s="198"/>
      <c r="U426" s="198"/>
      <c r="V426" s="198"/>
      <c r="W426" s="198"/>
      <c r="X426" s="198"/>
      <c r="Y426" s="198"/>
      <c r="Z426" s="198"/>
    </row>
    <row r="427" ht="53.25" customHeight="1">
      <c r="A427" s="284"/>
      <c r="B427" s="285"/>
      <c r="C427" s="285"/>
      <c r="D427" s="285"/>
      <c r="E427" s="287"/>
      <c r="F427" s="288"/>
      <c r="G427" s="288"/>
      <c r="H427" s="288"/>
      <c r="I427" s="285"/>
      <c r="J427" s="288"/>
      <c r="K427" s="294"/>
      <c r="L427" s="294"/>
      <c r="M427" s="290"/>
      <c r="N427" s="285"/>
      <c r="O427" s="299"/>
      <c r="P427" s="300"/>
      <c r="Q427" s="198"/>
      <c r="R427" s="198"/>
      <c r="S427" s="198"/>
      <c r="T427" s="198"/>
      <c r="U427" s="198"/>
      <c r="V427" s="198"/>
      <c r="W427" s="198"/>
      <c r="X427" s="198"/>
      <c r="Y427" s="198"/>
      <c r="Z427" s="198"/>
    </row>
    <row r="428" ht="54.0" customHeight="1">
      <c r="A428" s="284"/>
      <c r="B428" s="285"/>
      <c r="C428" s="285"/>
      <c r="D428" s="285"/>
      <c r="E428" s="287"/>
      <c r="F428" s="288"/>
      <c r="G428" s="372"/>
      <c r="H428" s="372"/>
      <c r="I428" s="285"/>
      <c r="J428" s="288"/>
      <c r="K428" s="294"/>
      <c r="L428" s="294"/>
      <c r="M428" s="290"/>
      <c r="N428" s="285"/>
      <c r="O428" s="299"/>
      <c r="P428" s="300"/>
      <c r="Q428" s="198"/>
      <c r="R428" s="198"/>
      <c r="S428" s="198"/>
      <c r="T428" s="198"/>
      <c r="U428" s="198"/>
      <c r="V428" s="198"/>
      <c r="W428" s="198"/>
      <c r="X428" s="198"/>
      <c r="Y428" s="198"/>
      <c r="Z428" s="198"/>
    </row>
    <row r="429" ht="54.0" customHeight="1">
      <c r="A429" s="284"/>
      <c r="B429" s="285"/>
      <c r="C429" s="285"/>
      <c r="D429" s="285"/>
      <c r="E429" s="287"/>
      <c r="F429" s="288"/>
      <c r="G429" s="372"/>
      <c r="H429" s="372"/>
      <c r="I429" s="285"/>
      <c r="J429" s="288"/>
      <c r="K429" s="294"/>
      <c r="L429" s="294"/>
      <c r="M429" s="290"/>
      <c r="N429" s="285"/>
      <c r="O429" s="299"/>
      <c r="P429" s="300"/>
      <c r="Q429" s="198"/>
      <c r="R429" s="198"/>
      <c r="S429" s="198"/>
      <c r="T429" s="198"/>
      <c r="U429" s="198"/>
      <c r="V429" s="198"/>
      <c r="W429" s="198"/>
      <c r="X429" s="198"/>
      <c r="Y429" s="198"/>
      <c r="Z429" s="198"/>
    </row>
    <row r="430" ht="54.0" customHeight="1">
      <c r="A430" s="284"/>
      <c r="B430" s="285"/>
      <c r="C430" s="285"/>
      <c r="D430" s="285"/>
      <c r="E430" s="287"/>
      <c r="F430" s="288"/>
      <c r="G430" s="288"/>
      <c r="H430" s="288"/>
      <c r="I430" s="285"/>
      <c r="J430" s="288"/>
      <c r="K430" s="294"/>
      <c r="L430" s="294"/>
      <c r="M430" s="290"/>
      <c r="N430" s="285"/>
      <c r="O430" s="299"/>
      <c r="P430" s="300"/>
      <c r="Q430" s="198"/>
      <c r="R430" s="198"/>
      <c r="S430" s="198"/>
      <c r="T430" s="198"/>
      <c r="U430" s="198"/>
      <c r="V430" s="198"/>
      <c r="W430" s="198"/>
      <c r="X430" s="198"/>
      <c r="Y430" s="198"/>
      <c r="Z430" s="198"/>
    </row>
    <row r="431" ht="59.25" customHeight="1">
      <c r="A431" s="284"/>
      <c r="B431" s="285"/>
      <c r="C431" s="285"/>
      <c r="D431" s="285"/>
      <c r="E431" s="287"/>
      <c r="F431" s="288"/>
      <c r="G431" s="288"/>
      <c r="H431" s="288"/>
      <c r="I431" s="285"/>
      <c r="J431" s="285"/>
      <c r="K431" s="294"/>
      <c r="L431" s="294"/>
      <c r="M431" s="290"/>
      <c r="N431" s="285"/>
      <c r="O431" s="299"/>
      <c r="P431" s="300"/>
      <c r="Q431" s="198"/>
      <c r="R431" s="198"/>
      <c r="S431" s="198"/>
      <c r="T431" s="198"/>
      <c r="U431" s="198"/>
      <c r="V431" s="198"/>
      <c r="W431" s="198"/>
      <c r="X431" s="198"/>
      <c r="Y431" s="198"/>
      <c r="Z431" s="198"/>
    </row>
    <row r="432" ht="59.25" customHeight="1">
      <c r="A432" s="284"/>
      <c r="B432" s="285"/>
      <c r="C432" s="285"/>
      <c r="D432" s="285"/>
      <c r="E432" s="287"/>
      <c r="F432" s="288"/>
      <c r="G432" s="288"/>
      <c r="H432" s="288"/>
      <c r="I432" s="285"/>
      <c r="J432" s="288"/>
      <c r="K432" s="294"/>
      <c r="L432" s="294"/>
      <c r="M432" s="290"/>
      <c r="N432" s="285"/>
      <c r="O432" s="299"/>
      <c r="P432" s="300"/>
      <c r="Q432" s="198"/>
      <c r="R432" s="198"/>
      <c r="S432" s="198"/>
      <c r="T432" s="198"/>
      <c r="U432" s="198"/>
      <c r="V432" s="198"/>
      <c r="W432" s="198"/>
      <c r="X432" s="198"/>
      <c r="Y432" s="198"/>
      <c r="Z432" s="198"/>
    </row>
    <row r="433" ht="56.25" customHeight="1">
      <c r="A433" s="284"/>
      <c r="B433" s="285"/>
      <c r="C433" s="285"/>
      <c r="D433" s="285"/>
      <c r="E433" s="287"/>
      <c r="F433" s="288"/>
      <c r="G433" s="285"/>
      <c r="H433" s="288"/>
      <c r="I433" s="285"/>
      <c r="J433" s="288"/>
      <c r="K433" s="294"/>
      <c r="L433" s="294"/>
      <c r="M433" s="290"/>
      <c r="N433" s="285"/>
      <c r="O433" s="299"/>
      <c r="P433" s="300"/>
      <c r="Q433" s="198"/>
      <c r="R433" s="198"/>
      <c r="S433" s="198"/>
      <c r="T433" s="198"/>
      <c r="U433" s="198"/>
      <c r="V433" s="198"/>
      <c r="W433" s="198"/>
      <c r="X433" s="198"/>
      <c r="Y433" s="198"/>
      <c r="Z433" s="198"/>
    </row>
    <row r="434" ht="55.5" customHeight="1">
      <c r="A434" s="284"/>
      <c r="B434" s="285"/>
      <c r="C434" s="299"/>
      <c r="D434" s="285"/>
      <c r="E434" s="287"/>
      <c r="F434" s="288"/>
      <c r="G434" s="288"/>
      <c r="H434" s="288"/>
      <c r="I434" s="285"/>
      <c r="J434" s="288"/>
      <c r="K434" s="294"/>
      <c r="L434" s="294"/>
      <c r="M434" s="290"/>
      <c r="N434" s="285"/>
      <c r="O434" s="299"/>
      <c r="P434" s="300"/>
      <c r="Q434" s="198"/>
      <c r="R434" s="198"/>
      <c r="S434" s="198"/>
      <c r="T434" s="198"/>
      <c r="U434" s="198"/>
      <c r="V434" s="198"/>
      <c r="W434" s="198"/>
      <c r="X434" s="198"/>
      <c r="Y434" s="198"/>
      <c r="Z434" s="198"/>
    </row>
    <row r="435" ht="60.0" customHeight="1">
      <c r="A435" s="284"/>
      <c r="B435" s="299"/>
      <c r="C435" s="285"/>
      <c r="D435" s="285"/>
      <c r="E435" s="287"/>
      <c r="F435" s="288"/>
      <c r="G435" s="288"/>
      <c r="H435" s="288"/>
      <c r="I435" s="285"/>
      <c r="J435" s="288"/>
      <c r="K435" s="294"/>
      <c r="L435" s="294"/>
      <c r="M435" s="290"/>
      <c r="N435" s="285"/>
      <c r="O435" s="299"/>
      <c r="P435" s="300"/>
      <c r="Q435" s="198"/>
      <c r="R435" s="198"/>
      <c r="S435" s="198"/>
      <c r="T435" s="198"/>
      <c r="U435" s="198"/>
      <c r="V435" s="198"/>
      <c r="W435" s="198"/>
      <c r="X435" s="198"/>
      <c r="Y435" s="198"/>
      <c r="Z435" s="198"/>
    </row>
    <row r="436" ht="57.75" customHeight="1">
      <c r="A436" s="284"/>
      <c r="B436" s="285"/>
      <c r="C436" s="285"/>
      <c r="D436" s="285"/>
      <c r="E436" s="287"/>
      <c r="F436" s="288"/>
      <c r="G436" s="288"/>
      <c r="H436" s="288"/>
      <c r="I436" s="285"/>
      <c r="J436" s="288"/>
      <c r="K436" s="294"/>
      <c r="L436" s="294"/>
      <c r="M436" s="290"/>
      <c r="N436" s="285"/>
      <c r="O436" s="299"/>
      <c r="P436" s="300"/>
      <c r="Q436" s="198"/>
      <c r="R436" s="198"/>
      <c r="S436" s="198"/>
      <c r="T436" s="198"/>
      <c r="U436" s="198"/>
      <c r="V436" s="198"/>
      <c r="W436" s="198"/>
      <c r="X436" s="198"/>
      <c r="Y436" s="198"/>
      <c r="Z436" s="198"/>
    </row>
    <row r="437" ht="54.0" customHeight="1">
      <c r="A437" s="284"/>
      <c r="B437" s="285"/>
      <c r="C437" s="285"/>
      <c r="D437" s="285"/>
      <c r="E437" s="287"/>
      <c r="F437" s="288"/>
      <c r="G437" s="288"/>
      <c r="H437" s="288"/>
      <c r="I437" s="285"/>
      <c r="J437" s="288"/>
      <c r="K437" s="294"/>
      <c r="L437" s="294"/>
      <c r="M437" s="290"/>
      <c r="N437" s="285"/>
      <c r="O437" s="299"/>
      <c r="P437" s="300"/>
      <c r="Q437" s="198"/>
      <c r="R437" s="198"/>
      <c r="S437" s="198"/>
      <c r="T437" s="198"/>
      <c r="U437" s="198"/>
      <c r="V437" s="198"/>
      <c r="W437" s="198"/>
      <c r="X437" s="198"/>
      <c r="Y437" s="198"/>
      <c r="Z437" s="198"/>
    </row>
    <row r="438" ht="54.0" customHeight="1">
      <c r="A438" s="284"/>
      <c r="B438" s="285"/>
      <c r="C438" s="285"/>
      <c r="D438" s="285"/>
      <c r="E438" s="287"/>
      <c r="F438" s="288"/>
      <c r="G438" s="288"/>
      <c r="H438" s="288"/>
      <c r="I438" s="285"/>
      <c r="J438" s="288"/>
      <c r="K438" s="294"/>
      <c r="L438" s="294"/>
      <c r="M438" s="290"/>
      <c r="N438" s="285"/>
      <c r="O438" s="299"/>
      <c r="P438" s="300"/>
      <c r="Q438" s="198"/>
      <c r="R438" s="198"/>
      <c r="S438" s="198"/>
      <c r="T438" s="198"/>
      <c r="U438" s="198"/>
      <c r="V438" s="198"/>
      <c r="W438" s="198"/>
      <c r="X438" s="198"/>
      <c r="Y438" s="198"/>
      <c r="Z438" s="198"/>
    </row>
    <row r="439" ht="58.5" customHeight="1">
      <c r="A439" s="284"/>
      <c r="B439" s="285"/>
      <c r="C439" s="285"/>
      <c r="D439" s="285"/>
      <c r="E439" s="287"/>
      <c r="F439" s="288"/>
      <c r="G439" s="372"/>
      <c r="H439" s="372"/>
      <c r="I439" s="285"/>
      <c r="J439" s="288"/>
      <c r="K439" s="294"/>
      <c r="L439" s="294"/>
      <c r="M439" s="290"/>
      <c r="N439" s="285"/>
      <c r="O439" s="299"/>
      <c r="P439" s="300"/>
      <c r="Q439" s="198"/>
      <c r="R439" s="198"/>
      <c r="S439" s="198"/>
      <c r="T439" s="198"/>
      <c r="U439" s="198"/>
      <c r="V439" s="198"/>
      <c r="W439" s="198"/>
      <c r="X439" s="198"/>
      <c r="Y439" s="198"/>
      <c r="Z439" s="198"/>
    </row>
    <row r="440" ht="54.0" customHeight="1">
      <c r="A440" s="284"/>
      <c r="B440" s="285"/>
      <c r="C440" s="299"/>
      <c r="D440" s="285"/>
      <c r="E440" s="287"/>
      <c r="F440" s="288"/>
      <c r="G440" s="288"/>
      <c r="H440" s="288"/>
      <c r="I440" s="285"/>
      <c r="J440" s="285"/>
      <c r="K440" s="294"/>
      <c r="L440" s="294"/>
      <c r="M440" s="290"/>
      <c r="N440" s="285"/>
      <c r="O440" s="299"/>
      <c r="P440" s="300"/>
      <c r="Q440" s="198"/>
      <c r="R440" s="198"/>
      <c r="S440" s="198"/>
      <c r="T440" s="198"/>
      <c r="U440" s="198"/>
      <c r="V440" s="198"/>
      <c r="W440" s="198"/>
      <c r="X440" s="198"/>
      <c r="Y440" s="198"/>
      <c r="Z440" s="198"/>
    </row>
    <row r="441" ht="69.75" customHeight="1">
      <c r="A441" s="284"/>
      <c r="B441" s="285"/>
      <c r="C441" s="299"/>
      <c r="D441" s="285"/>
      <c r="E441" s="287"/>
      <c r="F441" s="288"/>
      <c r="G441" s="288"/>
      <c r="H441" s="288"/>
      <c r="I441" s="285"/>
      <c r="J441" s="288"/>
      <c r="K441" s="294"/>
      <c r="L441" s="294"/>
      <c r="M441" s="290"/>
      <c r="N441" s="285"/>
      <c r="O441" s="299"/>
      <c r="P441" s="300"/>
      <c r="Q441" s="198"/>
      <c r="R441" s="198"/>
      <c r="S441" s="198"/>
      <c r="T441" s="198"/>
      <c r="U441" s="198"/>
      <c r="V441" s="198"/>
      <c r="W441" s="198"/>
      <c r="X441" s="198"/>
      <c r="Y441" s="198"/>
      <c r="Z441" s="198"/>
    </row>
    <row r="442" ht="54.0" customHeight="1">
      <c r="A442" s="284"/>
      <c r="B442" s="285"/>
      <c r="C442" s="299"/>
      <c r="D442" s="285"/>
      <c r="E442" s="287"/>
      <c r="F442" s="288"/>
      <c r="G442" s="288"/>
      <c r="H442" s="288"/>
      <c r="I442" s="285"/>
      <c r="J442" s="285"/>
      <c r="K442" s="294"/>
      <c r="L442" s="294"/>
      <c r="M442" s="290"/>
      <c r="N442" s="285"/>
      <c r="O442" s="299"/>
      <c r="P442" s="300"/>
      <c r="Q442" s="198"/>
      <c r="R442" s="198"/>
      <c r="S442" s="198"/>
      <c r="T442" s="198"/>
      <c r="U442" s="198"/>
      <c r="V442" s="198"/>
      <c r="W442" s="198"/>
      <c r="X442" s="198"/>
      <c r="Y442" s="198"/>
      <c r="Z442" s="198"/>
    </row>
    <row r="443" ht="69.0" customHeight="1">
      <c r="A443" s="284"/>
      <c r="B443" s="285"/>
      <c r="C443" s="299"/>
      <c r="D443" s="285"/>
      <c r="E443" s="287"/>
      <c r="F443" s="288"/>
      <c r="G443" s="288"/>
      <c r="H443" s="288"/>
      <c r="I443" s="285"/>
      <c r="J443" s="285"/>
      <c r="K443" s="294"/>
      <c r="L443" s="294"/>
      <c r="M443" s="290"/>
      <c r="N443" s="285"/>
      <c r="O443" s="299"/>
      <c r="P443" s="300"/>
      <c r="Q443" s="198"/>
      <c r="R443" s="198"/>
      <c r="S443" s="198"/>
      <c r="T443" s="198"/>
      <c r="U443" s="198"/>
      <c r="V443" s="198"/>
      <c r="W443" s="198"/>
      <c r="X443" s="198"/>
      <c r="Y443" s="198"/>
      <c r="Z443" s="198"/>
    </row>
    <row r="444" ht="54.75" customHeight="1">
      <c r="A444" s="284"/>
      <c r="B444" s="285"/>
      <c r="C444" s="285"/>
      <c r="D444" s="285"/>
      <c r="E444" s="287"/>
      <c r="F444" s="288"/>
      <c r="G444" s="372"/>
      <c r="H444" s="372"/>
      <c r="I444" s="285"/>
      <c r="J444" s="288"/>
      <c r="K444" s="294"/>
      <c r="L444" s="294"/>
      <c r="M444" s="290"/>
      <c r="N444" s="285"/>
      <c r="O444" s="299"/>
      <c r="P444" s="300"/>
      <c r="Q444" s="198"/>
      <c r="R444" s="198"/>
      <c r="S444" s="198"/>
      <c r="T444" s="198"/>
      <c r="U444" s="198"/>
      <c r="V444" s="198"/>
      <c r="W444" s="198"/>
      <c r="X444" s="198"/>
      <c r="Y444" s="198"/>
      <c r="Z444" s="198"/>
    </row>
    <row r="445" ht="58.5" customHeight="1">
      <c r="A445" s="284"/>
      <c r="B445" s="299"/>
      <c r="C445" s="285"/>
      <c r="D445" s="285"/>
      <c r="E445" s="287"/>
      <c r="F445" s="288"/>
      <c r="G445" s="288"/>
      <c r="H445" s="288"/>
      <c r="I445" s="285"/>
      <c r="J445" s="288"/>
      <c r="K445" s="294"/>
      <c r="L445" s="294"/>
      <c r="M445" s="290"/>
      <c r="N445" s="285"/>
      <c r="O445" s="299"/>
      <c r="P445" s="300"/>
      <c r="Q445" s="198"/>
      <c r="R445" s="198"/>
      <c r="S445" s="198"/>
      <c r="T445" s="198"/>
      <c r="U445" s="198"/>
      <c r="V445" s="198"/>
      <c r="W445" s="198"/>
      <c r="X445" s="198"/>
      <c r="Y445" s="198"/>
      <c r="Z445" s="198"/>
    </row>
    <row r="446" ht="54.75" customHeight="1">
      <c r="A446" s="284"/>
      <c r="B446" s="299"/>
      <c r="C446" s="285"/>
      <c r="D446" s="285"/>
      <c r="E446" s="287"/>
      <c r="F446" s="288"/>
      <c r="G446" s="299"/>
      <c r="H446" s="372"/>
      <c r="I446" s="285"/>
      <c r="J446" s="372"/>
      <c r="K446" s="294"/>
      <c r="L446" s="294"/>
      <c r="M446" s="290"/>
      <c r="N446" s="285"/>
      <c r="O446" s="299"/>
      <c r="P446" s="300"/>
      <c r="Q446" s="198"/>
      <c r="R446" s="198"/>
      <c r="S446" s="198"/>
      <c r="T446" s="198"/>
      <c r="U446" s="198"/>
      <c r="V446" s="198"/>
      <c r="W446" s="198"/>
      <c r="X446" s="198"/>
      <c r="Y446" s="198"/>
      <c r="Z446" s="198"/>
    </row>
    <row r="447" ht="54.0" customHeight="1">
      <c r="A447" s="284"/>
      <c r="B447" s="299"/>
      <c r="C447" s="285"/>
      <c r="D447" s="285"/>
      <c r="E447" s="287"/>
      <c r="F447" s="288"/>
      <c r="G447" s="372"/>
      <c r="H447" s="372"/>
      <c r="I447" s="285"/>
      <c r="J447" s="372"/>
      <c r="K447" s="294"/>
      <c r="L447" s="294"/>
      <c r="M447" s="290"/>
      <c r="N447" s="285"/>
      <c r="O447" s="299"/>
      <c r="P447" s="300"/>
      <c r="Q447" s="198"/>
      <c r="R447" s="198"/>
      <c r="S447" s="198"/>
      <c r="T447" s="198"/>
      <c r="U447" s="198"/>
      <c r="V447" s="198"/>
      <c r="W447" s="198"/>
      <c r="X447" s="198"/>
      <c r="Y447" s="198"/>
      <c r="Z447" s="198"/>
    </row>
    <row r="448" ht="54.0" customHeight="1">
      <c r="A448" s="284"/>
      <c r="B448" s="299"/>
      <c r="C448" s="285"/>
      <c r="D448" s="285"/>
      <c r="E448" s="287"/>
      <c r="F448" s="288"/>
      <c r="G448" s="372"/>
      <c r="H448" s="372"/>
      <c r="I448" s="285"/>
      <c r="J448" s="372"/>
      <c r="K448" s="294"/>
      <c r="L448" s="294"/>
      <c r="M448" s="290"/>
      <c r="N448" s="285"/>
      <c r="O448" s="299"/>
      <c r="P448" s="300"/>
      <c r="Q448" s="198"/>
      <c r="R448" s="198"/>
      <c r="S448" s="198"/>
      <c r="T448" s="198"/>
      <c r="U448" s="198"/>
      <c r="V448" s="198"/>
      <c r="W448" s="198"/>
      <c r="X448" s="198"/>
      <c r="Y448" s="198"/>
      <c r="Z448" s="198"/>
    </row>
    <row r="449" ht="54.0" customHeight="1">
      <c r="A449" s="284"/>
      <c r="B449" s="285"/>
      <c r="C449" s="285"/>
      <c r="D449" s="285"/>
      <c r="E449" s="287"/>
      <c r="F449" s="288"/>
      <c r="G449" s="288"/>
      <c r="H449" s="288"/>
      <c r="I449" s="285"/>
      <c r="J449" s="288"/>
      <c r="K449" s="294"/>
      <c r="L449" s="294"/>
      <c r="M449" s="290"/>
      <c r="N449" s="285"/>
      <c r="O449" s="299"/>
      <c r="P449" s="300"/>
      <c r="Q449" s="198"/>
      <c r="R449" s="198"/>
      <c r="S449" s="198"/>
      <c r="T449" s="198"/>
      <c r="U449" s="198"/>
      <c r="V449" s="198"/>
      <c r="W449" s="198"/>
      <c r="X449" s="198"/>
      <c r="Y449" s="198"/>
      <c r="Z449" s="198"/>
    </row>
    <row r="450" ht="54.0" customHeight="1">
      <c r="A450" s="284"/>
      <c r="B450" s="285"/>
      <c r="C450" s="285"/>
      <c r="D450" s="285"/>
      <c r="E450" s="287"/>
      <c r="F450" s="288"/>
      <c r="G450" s="372"/>
      <c r="H450" s="372"/>
      <c r="I450" s="285"/>
      <c r="J450" s="288"/>
      <c r="K450" s="294"/>
      <c r="L450" s="294"/>
      <c r="M450" s="290"/>
      <c r="N450" s="285"/>
      <c r="O450" s="299"/>
      <c r="P450" s="300"/>
      <c r="Q450" s="198"/>
      <c r="R450" s="198"/>
      <c r="S450" s="198"/>
      <c r="T450" s="198"/>
      <c r="U450" s="198"/>
      <c r="V450" s="198"/>
      <c r="W450" s="198"/>
      <c r="X450" s="198"/>
      <c r="Y450" s="198"/>
      <c r="Z450" s="198"/>
    </row>
    <row r="451" ht="54.0" customHeight="1">
      <c r="A451" s="284"/>
      <c r="B451" s="285"/>
      <c r="C451" s="285"/>
      <c r="D451" s="285"/>
      <c r="E451" s="287"/>
      <c r="F451" s="288"/>
      <c r="G451" s="288"/>
      <c r="H451" s="288"/>
      <c r="I451" s="285"/>
      <c r="J451" s="288"/>
      <c r="K451" s="294"/>
      <c r="L451" s="294"/>
      <c r="M451" s="290"/>
      <c r="N451" s="285"/>
      <c r="O451" s="299"/>
      <c r="P451" s="300"/>
      <c r="Q451" s="198"/>
      <c r="R451" s="198"/>
      <c r="S451" s="198"/>
      <c r="T451" s="198"/>
      <c r="U451" s="198"/>
      <c r="V451" s="198"/>
      <c r="W451" s="198"/>
      <c r="X451" s="198"/>
      <c r="Y451" s="198"/>
      <c r="Z451" s="198"/>
    </row>
    <row r="452" ht="59.25" customHeight="1">
      <c r="A452" s="284"/>
      <c r="B452" s="285"/>
      <c r="C452" s="285"/>
      <c r="D452" s="285"/>
      <c r="E452" s="287"/>
      <c r="F452" s="288"/>
      <c r="G452" s="288"/>
      <c r="H452" s="288"/>
      <c r="I452" s="285"/>
      <c r="J452" s="288"/>
      <c r="K452" s="294"/>
      <c r="L452" s="294"/>
      <c r="M452" s="290"/>
      <c r="N452" s="285"/>
      <c r="O452" s="299"/>
      <c r="P452" s="300"/>
      <c r="Q452" s="198"/>
      <c r="R452" s="198"/>
      <c r="S452" s="198"/>
      <c r="T452" s="198"/>
      <c r="U452" s="198"/>
      <c r="V452" s="198"/>
      <c r="W452" s="198"/>
      <c r="X452" s="198"/>
      <c r="Y452" s="198"/>
      <c r="Z452" s="198"/>
    </row>
    <row r="453" ht="54.0" customHeight="1">
      <c r="A453" s="284"/>
      <c r="B453" s="285"/>
      <c r="C453" s="285"/>
      <c r="D453" s="285"/>
      <c r="E453" s="287"/>
      <c r="F453" s="288"/>
      <c r="G453" s="288"/>
      <c r="H453" s="288"/>
      <c r="I453" s="285"/>
      <c r="J453" s="288"/>
      <c r="K453" s="294"/>
      <c r="L453" s="294"/>
      <c r="M453" s="290"/>
      <c r="N453" s="285"/>
      <c r="O453" s="299"/>
      <c r="P453" s="300"/>
      <c r="Q453" s="198"/>
      <c r="R453" s="198"/>
      <c r="S453" s="198"/>
      <c r="T453" s="198"/>
      <c r="U453" s="198"/>
      <c r="V453" s="198"/>
      <c r="W453" s="198"/>
      <c r="X453" s="198"/>
      <c r="Y453" s="198"/>
      <c r="Z453" s="198"/>
    </row>
    <row r="454" ht="54.0" customHeight="1">
      <c r="A454" s="284"/>
      <c r="B454" s="285"/>
      <c r="C454" s="285"/>
      <c r="D454" s="285"/>
      <c r="E454" s="287"/>
      <c r="F454" s="288"/>
      <c r="G454" s="372"/>
      <c r="H454" s="372"/>
      <c r="I454" s="285"/>
      <c r="J454" s="288"/>
      <c r="K454" s="294"/>
      <c r="L454" s="294"/>
      <c r="M454" s="290"/>
      <c r="N454" s="285"/>
      <c r="O454" s="299"/>
      <c r="P454" s="300"/>
      <c r="Q454" s="198"/>
      <c r="R454" s="198"/>
      <c r="S454" s="198"/>
      <c r="T454" s="198"/>
      <c r="U454" s="198"/>
      <c r="V454" s="198"/>
      <c r="W454" s="198"/>
      <c r="X454" s="198"/>
      <c r="Y454" s="198"/>
      <c r="Z454" s="198"/>
    </row>
    <row r="455" ht="54.0" customHeight="1">
      <c r="A455" s="284"/>
      <c r="B455" s="285"/>
      <c r="C455" s="299"/>
      <c r="D455" s="285"/>
      <c r="E455" s="287"/>
      <c r="F455" s="288"/>
      <c r="G455" s="372"/>
      <c r="H455" s="372"/>
      <c r="I455" s="285"/>
      <c r="J455" s="288"/>
      <c r="K455" s="294"/>
      <c r="L455" s="294"/>
      <c r="M455" s="290"/>
      <c r="N455" s="285"/>
      <c r="O455" s="299"/>
      <c r="P455" s="300"/>
      <c r="Q455" s="438"/>
      <c r="R455" s="198"/>
      <c r="S455" s="198"/>
      <c r="T455" s="198"/>
      <c r="U455" s="198"/>
      <c r="V455" s="198"/>
      <c r="W455" s="198"/>
      <c r="X455" s="198"/>
      <c r="Y455" s="198"/>
      <c r="Z455" s="198"/>
    </row>
    <row r="456" ht="58.5" customHeight="1">
      <c r="A456" s="284"/>
      <c r="B456" s="285"/>
      <c r="C456" s="299"/>
      <c r="D456" s="285"/>
      <c r="E456" s="287"/>
      <c r="F456" s="288"/>
      <c r="G456" s="372"/>
      <c r="H456" s="372"/>
      <c r="I456" s="285"/>
      <c r="J456" s="288"/>
      <c r="K456" s="294"/>
      <c r="L456" s="294"/>
      <c r="M456" s="290"/>
      <c r="N456" s="285"/>
      <c r="O456" s="299"/>
      <c r="P456" s="300"/>
      <c r="Q456" s="438"/>
      <c r="R456" s="198"/>
      <c r="S456" s="198"/>
      <c r="T456" s="198"/>
      <c r="U456" s="198"/>
      <c r="V456" s="198"/>
      <c r="W456" s="198"/>
      <c r="X456" s="198"/>
      <c r="Y456" s="198"/>
      <c r="Z456" s="198"/>
    </row>
    <row r="457" ht="54.0" customHeight="1">
      <c r="A457" s="284"/>
      <c r="B457" s="285"/>
      <c r="C457" s="285"/>
      <c r="D457" s="285"/>
      <c r="E457" s="287"/>
      <c r="F457" s="372"/>
      <c r="G457" s="288"/>
      <c r="H457" s="288"/>
      <c r="I457" s="285"/>
      <c r="J457" s="299"/>
      <c r="K457" s="294"/>
      <c r="L457" s="294"/>
      <c r="M457" s="290"/>
      <c r="N457" s="285"/>
      <c r="O457" s="299"/>
      <c r="P457" s="300"/>
      <c r="Q457" s="438"/>
      <c r="R457" s="198"/>
      <c r="S457" s="198"/>
      <c r="T457" s="198"/>
      <c r="U457" s="198"/>
      <c r="V457" s="198"/>
      <c r="W457" s="198"/>
      <c r="X457" s="198"/>
      <c r="Y457" s="198"/>
      <c r="Z457" s="198"/>
    </row>
    <row r="458" ht="59.25" customHeight="1">
      <c r="A458" s="284"/>
      <c r="B458" s="285"/>
      <c r="C458" s="299"/>
      <c r="D458" s="285"/>
      <c r="E458" s="287"/>
      <c r="F458" s="288"/>
      <c r="G458" s="288"/>
      <c r="H458" s="288"/>
      <c r="I458" s="285"/>
      <c r="J458" s="288"/>
      <c r="K458" s="294"/>
      <c r="L458" s="294"/>
      <c r="M458" s="290"/>
      <c r="N458" s="285"/>
      <c r="O458" s="299"/>
      <c r="P458" s="300"/>
      <c r="Q458" s="198"/>
      <c r="R458" s="198"/>
      <c r="S458" s="198"/>
      <c r="T458" s="198"/>
      <c r="U458" s="198"/>
      <c r="V458" s="198"/>
      <c r="W458" s="198"/>
      <c r="X458" s="198"/>
      <c r="Y458" s="198"/>
      <c r="Z458" s="198"/>
    </row>
    <row r="459" ht="55.5" customHeight="1">
      <c r="A459" s="284"/>
      <c r="B459" s="285"/>
      <c r="C459" s="299"/>
      <c r="D459" s="285"/>
      <c r="E459" s="287"/>
      <c r="F459" s="288"/>
      <c r="G459" s="288"/>
      <c r="H459" s="288"/>
      <c r="I459" s="285"/>
      <c r="J459" s="288"/>
      <c r="K459" s="294"/>
      <c r="L459" s="294"/>
      <c r="M459" s="290"/>
      <c r="N459" s="285"/>
      <c r="O459" s="299"/>
      <c r="P459" s="300"/>
      <c r="Q459" s="198"/>
      <c r="R459" s="198"/>
      <c r="S459" s="198"/>
      <c r="T459" s="198"/>
      <c r="U459" s="198"/>
      <c r="V459" s="198"/>
      <c r="W459" s="198"/>
      <c r="X459" s="198"/>
      <c r="Y459" s="198"/>
      <c r="Z459" s="198"/>
    </row>
    <row r="460" ht="54.0" customHeight="1">
      <c r="A460" s="284"/>
      <c r="B460" s="285"/>
      <c r="C460" s="299"/>
      <c r="D460" s="285"/>
      <c r="E460" s="287"/>
      <c r="F460" s="372"/>
      <c r="G460" s="372"/>
      <c r="H460" s="372"/>
      <c r="I460" s="285"/>
      <c r="J460" s="372"/>
      <c r="K460" s="294"/>
      <c r="L460" s="294"/>
      <c r="M460" s="290"/>
      <c r="N460" s="285"/>
      <c r="O460" s="299"/>
      <c r="P460" s="300"/>
      <c r="Q460" s="198"/>
      <c r="R460" s="198"/>
      <c r="S460" s="198"/>
      <c r="T460" s="198"/>
      <c r="U460" s="198"/>
      <c r="V460" s="198"/>
      <c r="W460" s="198"/>
      <c r="X460" s="198"/>
      <c r="Y460" s="198"/>
      <c r="Z460" s="198"/>
    </row>
    <row r="461" ht="56.25" customHeight="1">
      <c r="A461" s="284"/>
      <c r="B461" s="285"/>
      <c r="C461" s="299"/>
      <c r="D461" s="285"/>
      <c r="E461" s="287"/>
      <c r="F461" s="288"/>
      <c r="G461" s="288"/>
      <c r="H461" s="288"/>
      <c r="I461" s="285"/>
      <c r="J461" s="288"/>
      <c r="K461" s="294"/>
      <c r="L461" s="294"/>
      <c r="M461" s="290"/>
      <c r="N461" s="285"/>
      <c r="O461" s="299"/>
      <c r="P461" s="300"/>
      <c r="Q461" s="438"/>
      <c r="R461" s="198"/>
      <c r="S461" s="198"/>
      <c r="T461" s="198"/>
      <c r="U461" s="198"/>
      <c r="V461" s="198"/>
      <c r="W461" s="198"/>
      <c r="X461" s="198"/>
      <c r="Y461" s="198"/>
      <c r="Z461" s="198"/>
    </row>
    <row r="462" ht="68.25" customHeight="1">
      <c r="A462" s="284"/>
      <c r="B462" s="285"/>
      <c r="C462" s="299"/>
      <c r="D462" s="371"/>
      <c r="E462" s="287"/>
      <c r="F462" s="288"/>
      <c r="G462" s="288"/>
      <c r="H462" s="288"/>
      <c r="I462" s="285"/>
      <c r="J462" s="285"/>
      <c r="K462" s="285"/>
      <c r="L462" s="285"/>
      <c r="M462" s="290"/>
      <c r="N462" s="285"/>
      <c r="O462" s="299"/>
      <c r="P462" s="300"/>
      <c r="Q462" s="198"/>
      <c r="R462" s="198"/>
      <c r="S462" s="198"/>
      <c r="T462" s="198"/>
      <c r="U462" s="198"/>
      <c r="V462" s="198"/>
      <c r="W462" s="198"/>
      <c r="X462" s="198"/>
      <c r="Y462" s="198"/>
      <c r="Z462" s="198"/>
    </row>
    <row r="463" ht="70.5" customHeight="1">
      <c r="A463" s="540"/>
      <c r="B463" s="541"/>
      <c r="C463" s="542"/>
      <c r="D463" s="541"/>
      <c r="E463" s="543"/>
      <c r="F463" s="544"/>
      <c r="G463" s="544"/>
      <c r="H463" s="544"/>
      <c r="I463" s="541"/>
      <c r="J463" s="544"/>
      <c r="K463" s="541"/>
      <c r="L463" s="541"/>
      <c r="M463" s="545"/>
      <c r="N463" s="541"/>
      <c r="O463" s="542"/>
      <c r="P463" s="546"/>
      <c r="Q463" s="438"/>
      <c r="R463" s="198"/>
      <c r="S463" s="198"/>
      <c r="T463" s="198"/>
      <c r="U463" s="198"/>
      <c r="V463" s="198"/>
      <c r="W463" s="198"/>
      <c r="X463" s="198"/>
      <c r="Y463" s="198"/>
      <c r="Z463" s="198"/>
    </row>
    <row r="464" ht="12.75" customHeight="1">
      <c r="A464" s="411"/>
      <c r="B464" s="411"/>
      <c r="C464" s="411"/>
      <c r="D464" s="411"/>
      <c r="E464" s="411"/>
      <c r="F464" s="385"/>
      <c r="G464" s="411"/>
      <c r="H464" s="411"/>
      <c r="I464" s="385"/>
      <c r="J464" s="411"/>
      <c r="K464" s="411"/>
      <c r="L464" s="411"/>
      <c r="M464" s="411"/>
      <c r="N464" s="411"/>
      <c r="O464" s="411"/>
      <c r="P464" s="411"/>
      <c r="Q464" s="385"/>
      <c r="R464" s="411"/>
    </row>
    <row r="465" ht="12.75" customHeight="1">
      <c r="A465" s="411"/>
      <c r="B465" s="411"/>
      <c r="C465" s="411"/>
      <c r="D465" s="411"/>
      <c r="E465" s="411"/>
      <c r="F465" s="385"/>
      <c r="G465" s="411"/>
      <c r="H465" s="411"/>
      <c r="I465" s="385"/>
      <c r="J465" s="411"/>
      <c r="K465" s="411"/>
      <c r="L465" s="411"/>
      <c r="M465" s="411"/>
      <c r="N465" s="411"/>
      <c r="O465" s="411"/>
      <c r="P465" s="411"/>
      <c r="Q465" s="385"/>
      <c r="R465" s="411"/>
    </row>
    <row r="466" ht="12.75" customHeight="1">
      <c r="A466" s="411"/>
      <c r="B466" s="411"/>
      <c r="C466" s="411"/>
      <c r="D466" s="411"/>
      <c r="E466" s="411"/>
      <c r="F466" s="385"/>
      <c r="G466" s="411"/>
      <c r="H466" s="411"/>
      <c r="I466" s="385"/>
      <c r="J466" s="411"/>
      <c r="K466" s="411"/>
      <c r="L466" s="411"/>
      <c r="M466" s="411"/>
      <c r="N466" s="411"/>
      <c r="O466" s="411"/>
      <c r="P466" s="411"/>
      <c r="Q466" s="385"/>
      <c r="R466" s="411"/>
    </row>
    <row r="467" ht="12.75" customHeight="1">
      <c r="A467" s="411"/>
      <c r="B467" s="411"/>
      <c r="C467" s="411"/>
      <c r="D467" s="411"/>
      <c r="E467" s="411"/>
      <c r="F467" s="385"/>
      <c r="G467" s="411"/>
      <c r="H467" s="411"/>
      <c r="I467" s="385"/>
      <c r="J467" s="411"/>
      <c r="K467" s="411"/>
      <c r="L467" s="411"/>
      <c r="M467" s="411"/>
      <c r="N467" s="411"/>
      <c r="O467" s="411"/>
      <c r="P467" s="411"/>
      <c r="Q467" s="385"/>
      <c r="R467" s="411"/>
    </row>
    <row r="468" ht="12.75" customHeight="1">
      <c r="A468" s="411"/>
      <c r="B468" s="411"/>
      <c r="C468" s="411"/>
      <c r="D468" s="411"/>
      <c r="E468" s="411"/>
      <c r="F468" s="385"/>
      <c r="G468" s="411"/>
      <c r="H468" s="411"/>
      <c r="I468" s="385"/>
      <c r="J468" s="411"/>
      <c r="K468" s="411"/>
      <c r="L468" s="411"/>
      <c r="M468" s="411"/>
      <c r="N468" s="411"/>
      <c r="O468" s="411"/>
      <c r="P468" s="411"/>
      <c r="Q468" s="385"/>
      <c r="R468" s="411"/>
    </row>
    <row r="469" ht="12.75" customHeight="1">
      <c r="A469" s="411"/>
      <c r="B469" s="411"/>
      <c r="C469" s="411"/>
      <c r="D469" s="411"/>
      <c r="E469" s="411"/>
      <c r="F469" s="385"/>
      <c r="G469" s="411"/>
      <c r="H469" s="411"/>
      <c r="I469" s="385"/>
      <c r="J469" s="411"/>
      <c r="K469" s="411"/>
      <c r="L469" s="411"/>
      <c r="M469" s="411"/>
      <c r="N469" s="411"/>
      <c r="O469" s="411"/>
      <c r="P469" s="411"/>
      <c r="Q469" s="385"/>
      <c r="R469" s="411"/>
    </row>
    <row r="470" ht="12.75" customHeight="1">
      <c r="A470" s="411"/>
      <c r="B470" s="411"/>
      <c r="C470" s="411"/>
      <c r="D470" s="411"/>
      <c r="E470" s="411"/>
      <c r="F470" s="385"/>
      <c r="G470" s="411"/>
      <c r="H470" s="411"/>
      <c r="I470" s="385"/>
      <c r="J470" s="411"/>
      <c r="K470" s="411"/>
      <c r="L470" s="411"/>
      <c r="M470" s="411"/>
      <c r="N470" s="411"/>
      <c r="O470" s="411"/>
      <c r="P470" s="411"/>
      <c r="Q470" s="385"/>
      <c r="R470" s="411"/>
    </row>
    <row r="471" ht="12.75" customHeight="1">
      <c r="A471" s="411"/>
      <c r="B471" s="411"/>
      <c r="C471" s="411"/>
      <c r="D471" s="411"/>
      <c r="E471" s="411"/>
      <c r="F471" s="385"/>
      <c r="G471" s="411"/>
      <c r="H471" s="411"/>
      <c r="I471" s="385"/>
      <c r="J471" s="411"/>
      <c r="K471" s="411"/>
      <c r="L471" s="411"/>
      <c r="M471" s="411"/>
      <c r="N471" s="411"/>
      <c r="O471" s="411"/>
      <c r="P471" s="411"/>
      <c r="Q471" s="385"/>
      <c r="R471" s="411"/>
    </row>
    <row r="472" ht="12.75" customHeight="1">
      <c r="A472" s="411"/>
      <c r="B472" s="411"/>
      <c r="C472" s="411"/>
      <c r="D472" s="411"/>
      <c r="E472" s="411"/>
      <c r="F472" s="385"/>
      <c r="G472" s="411"/>
      <c r="H472" s="411"/>
      <c r="I472" s="385"/>
      <c r="J472" s="411"/>
      <c r="K472" s="411"/>
      <c r="L472" s="411"/>
      <c r="M472" s="411"/>
      <c r="N472" s="411"/>
      <c r="O472" s="411"/>
      <c r="P472" s="411"/>
      <c r="Q472" s="385"/>
      <c r="R472" s="411"/>
    </row>
    <row r="473" ht="12.75" customHeight="1">
      <c r="A473" s="411"/>
      <c r="B473" s="411"/>
      <c r="C473" s="411"/>
      <c r="D473" s="411"/>
      <c r="E473" s="411"/>
      <c r="F473" s="385"/>
      <c r="G473" s="411"/>
      <c r="H473" s="411"/>
      <c r="I473" s="385"/>
      <c r="J473" s="411"/>
      <c r="K473" s="411"/>
      <c r="L473" s="411"/>
      <c r="M473" s="411"/>
      <c r="N473" s="411"/>
      <c r="O473" s="411"/>
      <c r="P473" s="411"/>
      <c r="Q473" s="385"/>
      <c r="R473" s="411"/>
    </row>
    <row r="474" ht="12.75" customHeight="1">
      <c r="A474" s="411"/>
      <c r="B474" s="411"/>
      <c r="C474" s="411"/>
      <c r="D474" s="411"/>
      <c r="E474" s="411"/>
      <c r="F474" s="385"/>
      <c r="G474" s="411"/>
      <c r="H474" s="411"/>
      <c r="I474" s="385"/>
      <c r="J474" s="411"/>
      <c r="K474" s="411"/>
      <c r="L474" s="411"/>
      <c r="M474" s="411"/>
      <c r="N474" s="411"/>
      <c r="O474" s="411"/>
      <c r="P474" s="411"/>
      <c r="Q474" s="385"/>
      <c r="R474" s="411"/>
    </row>
    <row r="475" ht="12.75" customHeight="1">
      <c r="A475" s="411"/>
      <c r="B475" s="411"/>
      <c r="C475" s="411"/>
      <c r="D475" s="411"/>
      <c r="E475" s="411"/>
      <c r="F475" s="385"/>
      <c r="G475" s="411"/>
      <c r="H475" s="411"/>
      <c r="I475" s="385"/>
      <c r="J475" s="411"/>
      <c r="K475" s="411"/>
      <c r="L475" s="411"/>
      <c r="M475" s="411"/>
      <c r="N475" s="411"/>
      <c r="O475" s="411"/>
      <c r="P475" s="411"/>
      <c r="Q475" s="385"/>
      <c r="R475" s="411"/>
    </row>
    <row r="476" ht="12.75" customHeight="1">
      <c r="A476" s="411"/>
      <c r="B476" s="411"/>
      <c r="C476" s="411"/>
      <c r="D476" s="411"/>
      <c r="E476" s="411"/>
      <c r="F476" s="385"/>
      <c r="G476" s="411"/>
      <c r="H476" s="411"/>
      <c r="I476" s="385"/>
      <c r="J476" s="411"/>
      <c r="K476" s="411"/>
      <c r="L476" s="411"/>
      <c r="M476" s="411"/>
      <c r="N476" s="411"/>
      <c r="O476" s="411"/>
      <c r="P476" s="411"/>
      <c r="Q476" s="385"/>
      <c r="R476" s="411"/>
    </row>
    <row r="477" ht="12.75" customHeight="1">
      <c r="A477" s="411"/>
      <c r="B477" s="411"/>
      <c r="C477" s="411"/>
      <c r="D477" s="411"/>
      <c r="E477" s="411"/>
      <c r="F477" s="411"/>
      <c r="G477" s="411"/>
      <c r="H477" s="411"/>
      <c r="I477" s="411"/>
      <c r="J477" s="411"/>
      <c r="K477" s="411"/>
      <c r="L477" s="411"/>
      <c r="M477" s="411"/>
      <c r="N477" s="411"/>
      <c r="O477" s="411"/>
      <c r="P477" s="411"/>
      <c r="Q477" s="385"/>
      <c r="R477" s="411"/>
    </row>
    <row r="478" ht="12.75" customHeight="1">
      <c r="A478" s="411"/>
      <c r="B478" s="411"/>
      <c r="C478" s="411"/>
      <c r="D478" s="411"/>
      <c r="E478" s="411"/>
      <c r="F478" s="411"/>
      <c r="G478" s="411"/>
      <c r="H478" s="411"/>
      <c r="I478" s="411"/>
      <c r="J478" s="411"/>
      <c r="K478" s="411"/>
      <c r="L478" s="411"/>
      <c r="M478" s="411"/>
      <c r="N478" s="411"/>
      <c r="O478" s="411"/>
      <c r="P478" s="411"/>
      <c r="Q478" s="385"/>
      <c r="R478" s="411"/>
    </row>
    <row r="479" ht="12.75" customHeight="1">
      <c r="A479" s="411"/>
      <c r="B479" s="411"/>
      <c r="C479" s="411"/>
      <c r="D479" s="411"/>
      <c r="E479" s="411"/>
      <c r="F479" s="411"/>
      <c r="G479" s="411"/>
      <c r="H479" s="411"/>
      <c r="I479" s="411"/>
      <c r="J479" s="411"/>
      <c r="K479" s="411"/>
      <c r="L479" s="411"/>
      <c r="M479" s="411"/>
      <c r="N479" s="411"/>
      <c r="O479" s="411"/>
      <c r="P479" s="411"/>
      <c r="Q479" s="385"/>
      <c r="R479" s="411"/>
    </row>
    <row r="480" ht="12.75" customHeight="1">
      <c r="A480" s="411"/>
      <c r="B480" s="411"/>
      <c r="C480" s="411"/>
      <c r="D480" s="411"/>
      <c r="E480" s="411"/>
      <c r="F480" s="411"/>
      <c r="G480" s="411"/>
      <c r="H480" s="411"/>
      <c r="I480" s="411"/>
      <c r="J480" s="411"/>
      <c r="K480" s="411"/>
      <c r="L480" s="411"/>
      <c r="M480" s="411"/>
      <c r="N480" s="411"/>
      <c r="O480" s="411"/>
      <c r="P480" s="411"/>
      <c r="Q480" s="385"/>
      <c r="R480" s="411"/>
    </row>
    <row r="481" ht="12.75" customHeight="1">
      <c r="A481" s="411"/>
      <c r="B481" s="411"/>
      <c r="C481" s="411"/>
      <c r="D481" s="411"/>
      <c r="E481" s="411"/>
      <c r="F481" s="411"/>
      <c r="G481" s="411"/>
      <c r="H481" s="411"/>
      <c r="I481" s="411"/>
      <c r="J481" s="411"/>
      <c r="K481" s="411"/>
      <c r="L481" s="411"/>
      <c r="M481" s="411"/>
      <c r="N481" s="411"/>
      <c r="O481" s="411"/>
      <c r="P481" s="411"/>
      <c r="Q481" s="385"/>
      <c r="R481" s="411"/>
    </row>
    <row r="482" ht="12.75" customHeight="1">
      <c r="A482" s="411"/>
      <c r="B482" s="411"/>
      <c r="C482" s="411"/>
      <c r="D482" s="411"/>
      <c r="E482" s="411"/>
      <c r="F482" s="411"/>
      <c r="G482" s="411"/>
      <c r="H482" s="411"/>
      <c r="I482" s="411"/>
      <c r="J482" s="411"/>
      <c r="K482" s="411"/>
      <c r="L482" s="411"/>
      <c r="M482" s="411"/>
      <c r="N482" s="411"/>
      <c r="O482" s="411"/>
      <c r="P482" s="411"/>
      <c r="Q482" s="385"/>
      <c r="R482" s="411"/>
    </row>
    <row r="483" ht="12.75" customHeight="1">
      <c r="A483" s="411"/>
      <c r="B483" s="411"/>
      <c r="C483" s="411"/>
      <c r="D483" s="411"/>
      <c r="E483" s="411"/>
      <c r="F483" s="411"/>
      <c r="G483" s="411"/>
      <c r="H483" s="411"/>
      <c r="I483" s="411"/>
      <c r="J483" s="411"/>
      <c r="K483" s="411"/>
      <c r="L483" s="411"/>
      <c r="M483" s="411"/>
      <c r="N483" s="411"/>
      <c r="O483" s="411"/>
      <c r="P483" s="411"/>
      <c r="Q483" s="385"/>
      <c r="R483" s="411"/>
    </row>
    <row r="484" ht="12.75" customHeight="1">
      <c r="A484" s="411"/>
      <c r="B484" s="411"/>
      <c r="C484" s="411"/>
      <c r="D484" s="411"/>
      <c r="E484" s="411"/>
      <c r="F484" s="411"/>
      <c r="G484" s="411"/>
      <c r="H484" s="411"/>
      <c r="I484" s="411"/>
      <c r="J484" s="411"/>
      <c r="K484" s="411"/>
      <c r="L484" s="411"/>
      <c r="M484" s="411"/>
      <c r="N484" s="411"/>
      <c r="O484" s="411"/>
      <c r="P484" s="411"/>
      <c r="Q484" s="385"/>
      <c r="R484" s="411"/>
    </row>
    <row r="485" ht="12.75" customHeight="1">
      <c r="A485" s="411"/>
      <c r="B485" s="411"/>
      <c r="C485" s="411"/>
      <c r="D485" s="411"/>
      <c r="E485" s="411"/>
      <c r="F485" s="411"/>
      <c r="G485" s="411"/>
      <c r="H485" s="411"/>
      <c r="I485" s="411"/>
      <c r="J485" s="411"/>
      <c r="K485" s="411"/>
      <c r="L485" s="411"/>
      <c r="M485" s="411"/>
      <c r="N485" s="411"/>
      <c r="O485" s="411"/>
      <c r="P485" s="411"/>
      <c r="Q485" s="385"/>
      <c r="R485" s="411"/>
    </row>
    <row r="486" ht="12.75" customHeight="1">
      <c r="A486" s="411"/>
      <c r="B486" s="411"/>
      <c r="C486" s="411"/>
      <c r="D486" s="411"/>
      <c r="E486" s="411"/>
      <c r="F486" s="411"/>
      <c r="G486" s="411"/>
      <c r="H486" s="411"/>
      <c r="I486" s="411"/>
      <c r="J486" s="411"/>
      <c r="K486" s="411"/>
      <c r="L486" s="411"/>
      <c r="M486" s="411"/>
      <c r="N486" s="411"/>
      <c r="O486" s="411"/>
      <c r="P486" s="411"/>
      <c r="Q486" s="385"/>
      <c r="R486" s="411"/>
    </row>
    <row r="487" ht="12.75" customHeight="1">
      <c r="A487" s="411"/>
      <c r="B487" s="411"/>
      <c r="C487" s="411"/>
      <c r="D487" s="411"/>
      <c r="E487" s="411"/>
      <c r="F487" s="411"/>
      <c r="G487" s="411"/>
      <c r="H487" s="411"/>
      <c r="I487" s="411"/>
      <c r="J487" s="411"/>
      <c r="K487" s="411"/>
      <c r="L487" s="411"/>
      <c r="M487" s="411"/>
      <c r="N487" s="411"/>
      <c r="O487" s="411"/>
      <c r="P487" s="411"/>
      <c r="Q487" s="385"/>
      <c r="R487" s="411"/>
    </row>
    <row r="488" ht="12.75" customHeight="1">
      <c r="A488" s="411"/>
      <c r="B488" s="411"/>
      <c r="C488" s="411"/>
      <c r="D488" s="411"/>
      <c r="E488" s="411"/>
      <c r="F488" s="411"/>
      <c r="G488" s="411"/>
      <c r="H488" s="411"/>
      <c r="I488" s="411"/>
      <c r="J488" s="411"/>
      <c r="K488" s="411"/>
      <c r="L488" s="411"/>
      <c r="M488" s="411"/>
      <c r="N488" s="411"/>
      <c r="O488" s="411"/>
      <c r="P488" s="411"/>
      <c r="Q488" s="385"/>
      <c r="R488" s="411"/>
    </row>
    <row r="489" ht="12.75" customHeight="1">
      <c r="A489" s="411"/>
      <c r="B489" s="411"/>
      <c r="C489" s="411"/>
      <c r="D489" s="411"/>
      <c r="E489" s="411"/>
      <c r="F489" s="411"/>
      <c r="G489" s="411"/>
      <c r="H489" s="411"/>
      <c r="I489" s="411"/>
      <c r="J489" s="411"/>
      <c r="K489" s="411"/>
      <c r="L489" s="411"/>
      <c r="M489" s="411"/>
      <c r="N489" s="411"/>
      <c r="O489" s="411"/>
      <c r="P489" s="411"/>
      <c r="Q489" s="385"/>
      <c r="R489" s="411"/>
    </row>
    <row r="490" ht="12.75" customHeight="1">
      <c r="A490" s="411"/>
      <c r="B490" s="411"/>
      <c r="C490" s="411"/>
      <c r="D490" s="411"/>
      <c r="E490" s="411"/>
      <c r="F490" s="411"/>
      <c r="G490" s="411"/>
      <c r="H490" s="411"/>
      <c r="I490" s="411"/>
      <c r="J490" s="411"/>
      <c r="K490" s="411"/>
      <c r="L490" s="411"/>
      <c r="M490" s="411"/>
      <c r="N490" s="411"/>
      <c r="O490" s="411"/>
      <c r="P490" s="411"/>
      <c r="Q490" s="385"/>
      <c r="R490" s="411"/>
    </row>
    <row r="491" ht="12.75" customHeight="1">
      <c r="A491" s="411"/>
      <c r="B491" s="411"/>
      <c r="C491" s="411"/>
      <c r="D491" s="411"/>
      <c r="E491" s="411"/>
      <c r="F491" s="411"/>
      <c r="G491" s="411"/>
      <c r="H491" s="411"/>
      <c r="I491" s="411"/>
      <c r="J491" s="411"/>
      <c r="K491" s="411"/>
      <c r="L491" s="411"/>
      <c r="M491" s="411"/>
      <c r="N491" s="411"/>
      <c r="O491" s="411"/>
      <c r="P491" s="411"/>
      <c r="Q491" s="385"/>
      <c r="R491" s="411"/>
    </row>
    <row r="492" ht="12.75" customHeight="1">
      <c r="A492" s="411"/>
      <c r="B492" s="411"/>
      <c r="C492" s="411"/>
      <c r="D492" s="411"/>
      <c r="E492" s="411"/>
      <c r="F492" s="411"/>
      <c r="G492" s="411"/>
      <c r="H492" s="411"/>
      <c r="I492" s="411"/>
      <c r="J492" s="411"/>
      <c r="K492" s="411"/>
      <c r="L492" s="411"/>
      <c r="M492" s="411"/>
      <c r="N492" s="411"/>
      <c r="O492" s="411"/>
      <c r="P492" s="411"/>
      <c r="Q492" s="385"/>
      <c r="R492" s="411"/>
    </row>
    <row r="493" ht="12.75" customHeight="1">
      <c r="A493" s="411"/>
      <c r="B493" s="411"/>
      <c r="C493" s="411"/>
      <c r="D493" s="411"/>
      <c r="E493" s="411"/>
      <c r="F493" s="411"/>
      <c r="G493" s="411"/>
      <c r="H493" s="411"/>
      <c r="I493" s="411"/>
      <c r="J493" s="411"/>
      <c r="K493" s="411"/>
      <c r="L493" s="411"/>
      <c r="M493" s="411"/>
      <c r="N493" s="411"/>
      <c r="O493" s="411"/>
      <c r="P493" s="411"/>
      <c r="Q493" s="385"/>
      <c r="R493" s="411"/>
    </row>
    <row r="494" ht="12.75" customHeight="1">
      <c r="A494" s="411"/>
      <c r="B494" s="411"/>
      <c r="C494" s="411"/>
      <c r="D494" s="411"/>
      <c r="E494" s="411"/>
      <c r="F494" s="411"/>
      <c r="G494" s="411"/>
      <c r="H494" s="411"/>
      <c r="I494" s="411"/>
      <c r="J494" s="411"/>
      <c r="K494" s="411"/>
      <c r="L494" s="411"/>
      <c r="M494" s="411"/>
      <c r="N494" s="411"/>
      <c r="O494" s="411"/>
      <c r="P494" s="411"/>
      <c r="Q494" s="385"/>
      <c r="R494" s="411"/>
    </row>
    <row r="495" ht="12.75" customHeight="1">
      <c r="A495" s="411"/>
      <c r="B495" s="411"/>
      <c r="C495" s="411"/>
      <c r="D495" s="411"/>
      <c r="E495" s="411"/>
      <c r="F495" s="411"/>
      <c r="G495" s="411"/>
      <c r="H495" s="411"/>
      <c r="I495" s="411"/>
      <c r="J495" s="411"/>
      <c r="K495" s="411"/>
      <c r="L495" s="411"/>
      <c r="M495" s="411"/>
      <c r="N495" s="411"/>
      <c r="O495" s="411"/>
      <c r="P495" s="411"/>
      <c r="Q495" s="385"/>
      <c r="R495" s="411"/>
    </row>
    <row r="496" ht="12.75" customHeight="1">
      <c r="A496" s="411"/>
      <c r="B496" s="411"/>
      <c r="C496" s="411"/>
      <c r="D496" s="411"/>
      <c r="E496" s="411"/>
      <c r="F496" s="411"/>
      <c r="G496" s="411"/>
      <c r="H496" s="411"/>
      <c r="I496" s="411"/>
      <c r="J496" s="411"/>
      <c r="K496" s="411"/>
      <c r="L496" s="411"/>
      <c r="M496" s="411"/>
      <c r="N496" s="411"/>
      <c r="O496" s="411"/>
      <c r="P496" s="411"/>
      <c r="Q496" s="385"/>
      <c r="R496" s="411"/>
    </row>
    <row r="497" ht="12.75" customHeight="1">
      <c r="A497" s="411"/>
      <c r="B497" s="411"/>
      <c r="C497" s="411"/>
      <c r="D497" s="411"/>
      <c r="E497" s="411"/>
      <c r="F497" s="411"/>
      <c r="G497" s="411"/>
      <c r="H497" s="411"/>
      <c r="I497" s="411"/>
      <c r="J497" s="411"/>
      <c r="K497" s="411"/>
      <c r="L497" s="411"/>
      <c r="M497" s="411"/>
      <c r="N497" s="411"/>
      <c r="O497" s="411"/>
      <c r="P497" s="411"/>
      <c r="Q497" s="385"/>
      <c r="R497" s="411"/>
    </row>
    <row r="498" ht="12.75" customHeight="1">
      <c r="A498" s="411"/>
      <c r="B498" s="411"/>
      <c r="C498" s="411"/>
      <c r="D498" s="411"/>
      <c r="E498" s="411"/>
      <c r="F498" s="411"/>
      <c r="G498" s="411"/>
      <c r="H498" s="411"/>
      <c r="I498" s="411"/>
      <c r="J498" s="411"/>
      <c r="K498" s="411"/>
      <c r="L498" s="411"/>
      <c r="M498" s="411"/>
      <c r="N498" s="411"/>
      <c r="O498" s="411"/>
      <c r="P498" s="411"/>
      <c r="Q498" s="385"/>
      <c r="R498" s="411"/>
    </row>
    <row r="499" ht="12.75" customHeight="1">
      <c r="A499" s="411"/>
      <c r="B499" s="411"/>
      <c r="C499" s="411"/>
      <c r="D499" s="411"/>
      <c r="E499" s="411"/>
      <c r="F499" s="411"/>
      <c r="G499" s="411"/>
      <c r="H499" s="411"/>
      <c r="I499" s="411"/>
      <c r="J499" s="411"/>
      <c r="K499" s="411"/>
      <c r="L499" s="411"/>
      <c r="M499" s="411"/>
      <c r="N499" s="411"/>
      <c r="O499" s="411"/>
      <c r="P499" s="411"/>
      <c r="Q499" s="385"/>
      <c r="R499" s="411"/>
    </row>
    <row r="500" ht="12.75" customHeight="1">
      <c r="A500" s="411"/>
      <c r="B500" s="411"/>
      <c r="C500" s="411"/>
      <c r="D500" s="411"/>
      <c r="E500" s="411"/>
      <c r="F500" s="411"/>
      <c r="G500" s="411"/>
      <c r="H500" s="411"/>
      <c r="I500" s="411"/>
      <c r="J500" s="411"/>
      <c r="K500" s="411"/>
      <c r="L500" s="411"/>
      <c r="M500" s="411"/>
      <c r="N500" s="411"/>
      <c r="O500" s="411"/>
      <c r="P500" s="411"/>
      <c r="Q500" s="385"/>
      <c r="R500" s="411"/>
    </row>
    <row r="501" ht="12.75" customHeight="1">
      <c r="A501" s="411"/>
      <c r="B501" s="411"/>
      <c r="C501" s="411"/>
      <c r="D501" s="411"/>
      <c r="E501" s="411"/>
      <c r="F501" s="411"/>
      <c r="G501" s="411"/>
      <c r="H501" s="411"/>
      <c r="I501" s="411"/>
      <c r="J501" s="411"/>
      <c r="K501" s="411"/>
      <c r="L501" s="411"/>
      <c r="M501" s="411"/>
      <c r="N501" s="411"/>
      <c r="O501" s="411"/>
      <c r="P501" s="411"/>
      <c r="Q501" s="385"/>
      <c r="R501" s="411"/>
    </row>
    <row r="502" ht="12.75" customHeight="1">
      <c r="A502" s="411"/>
      <c r="B502" s="411"/>
      <c r="C502" s="411"/>
      <c r="D502" s="411"/>
      <c r="E502" s="411"/>
      <c r="F502" s="411"/>
      <c r="G502" s="411"/>
      <c r="H502" s="411"/>
      <c r="I502" s="411"/>
      <c r="J502" s="411"/>
      <c r="K502" s="411"/>
      <c r="L502" s="411"/>
      <c r="M502" s="411"/>
      <c r="N502" s="411"/>
      <c r="O502" s="411"/>
      <c r="P502" s="411"/>
      <c r="Q502" s="385"/>
      <c r="R502" s="411"/>
    </row>
    <row r="503" ht="12.75" customHeight="1">
      <c r="A503" s="411"/>
      <c r="B503" s="411"/>
      <c r="C503" s="411"/>
      <c r="D503" s="411"/>
      <c r="E503" s="411"/>
      <c r="F503" s="411"/>
      <c r="G503" s="411"/>
      <c r="H503" s="411"/>
      <c r="I503" s="411"/>
      <c r="J503" s="411"/>
      <c r="K503" s="411"/>
      <c r="L503" s="411"/>
      <c r="M503" s="411"/>
      <c r="N503" s="411"/>
      <c r="O503" s="411"/>
      <c r="P503" s="411"/>
      <c r="Q503" s="385"/>
      <c r="R503" s="411"/>
    </row>
    <row r="504" ht="12.75" customHeight="1">
      <c r="A504" s="411"/>
      <c r="B504" s="411"/>
      <c r="C504" s="411"/>
      <c r="D504" s="411"/>
      <c r="E504" s="411"/>
      <c r="F504" s="411"/>
      <c r="G504" s="411"/>
      <c r="H504" s="411"/>
      <c r="I504" s="411"/>
      <c r="J504" s="411"/>
      <c r="K504" s="411"/>
      <c r="L504" s="411"/>
      <c r="M504" s="411"/>
      <c r="N504" s="411"/>
      <c r="O504" s="411"/>
      <c r="P504" s="411"/>
      <c r="Q504" s="385"/>
      <c r="R504" s="411"/>
    </row>
    <row r="505" ht="12.75" customHeight="1">
      <c r="A505" s="411"/>
      <c r="B505" s="411"/>
      <c r="C505" s="411"/>
      <c r="D505" s="411"/>
      <c r="E505" s="411"/>
      <c r="F505" s="411"/>
      <c r="G505" s="411"/>
      <c r="H505" s="411"/>
      <c r="I505" s="411"/>
      <c r="J505" s="411"/>
      <c r="K505" s="411"/>
      <c r="L505" s="411"/>
      <c r="M505" s="411"/>
      <c r="N505" s="411"/>
      <c r="O505" s="411"/>
      <c r="P505" s="411"/>
      <c r="Q505" s="385"/>
      <c r="R505" s="411"/>
    </row>
    <row r="506" ht="12.75" customHeight="1">
      <c r="A506" s="411"/>
      <c r="B506" s="411"/>
      <c r="C506" s="411"/>
      <c r="D506" s="411"/>
      <c r="E506" s="411"/>
      <c r="F506" s="411"/>
      <c r="G506" s="411"/>
      <c r="H506" s="411"/>
      <c r="I506" s="411"/>
      <c r="J506" s="411"/>
      <c r="K506" s="411"/>
      <c r="L506" s="411"/>
      <c r="M506" s="411"/>
      <c r="N506" s="411"/>
      <c r="O506" s="411"/>
      <c r="P506" s="411"/>
      <c r="Q506" s="385"/>
      <c r="R506" s="411"/>
    </row>
    <row r="507" ht="12.75" customHeight="1">
      <c r="A507" s="411"/>
      <c r="B507" s="411"/>
      <c r="C507" s="411"/>
      <c r="D507" s="411"/>
      <c r="E507" s="411"/>
      <c r="F507" s="411"/>
      <c r="G507" s="411"/>
      <c r="H507" s="411"/>
      <c r="I507" s="411"/>
      <c r="J507" s="411"/>
      <c r="K507" s="411"/>
      <c r="L507" s="411"/>
      <c r="M507" s="411"/>
      <c r="N507" s="411"/>
      <c r="O507" s="411"/>
      <c r="P507" s="411"/>
      <c r="Q507" s="385"/>
      <c r="R507" s="411"/>
    </row>
    <row r="508" ht="12.75" customHeight="1">
      <c r="A508" s="411"/>
      <c r="B508" s="411"/>
      <c r="C508" s="411"/>
      <c r="D508" s="411"/>
      <c r="E508" s="411"/>
      <c r="F508" s="411"/>
      <c r="G508" s="411"/>
      <c r="H508" s="411"/>
      <c r="I508" s="411"/>
      <c r="J508" s="411"/>
      <c r="K508" s="411"/>
      <c r="L508" s="411"/>
      <c r="M508" s="411"/>
      <c r="N508" s="411"/>
      <c r="O508" s="411"/>
      <c r="P508" s="411"/>
      <c r="Q508" s="385"/>
      <c r="R508" s="411"/>
    </row>
    <row r="509" ht="12.75" customHeight="1">
      <c r="A509" s="411"/>
      <c r="B509" s="411"/>
      <c r="C509" s="411"/>
      <c r="D509" s="411"/>
      <c r="E509" s="411"/>
      <c r="F509" s="411"/>
      <c r="G509" s="411"/>
      <c r="H509" s="411"/>
      <c r="I509" s="411"/>
      <c r="J509" s="411"/>
      <c r="K509" s="411"/>
      <c r="L509" s="411"/>
      <c r="M509" s="411"/>
      <c r="N509" s="411"/>
      <c r="O509" s="411"/>
      <c r="P509" s="411"/>
      <c r="Q509" s="385"/>
      <c r="R509" s="411"/>
    </row>
    <row r="510" ht="12.75" customHeight="1">
      <c r="A510" s="411"/>
      <c r="B510" s="411"/>
      <c r="C510" s="411"/>
      <c r="D510" s="411"/>
      <c r="E510" s="411"/>
      <c r="F510" s="411"/>
      <c r="G510" s="411"/>
      <c r="H510" s="411"/>
      <c r="I510" s="411"/>
      <c r="J510" s="411"/>
      <c r="K510" s="411"/>
      <c r="L510" s="411"/>
      <c r="M510" s="411"/>
      <c r="N510" s="411"/>
      <c r="O510" s="411"/>
      <c r="P510" s="411"/>
      <c r="Q510" s="385"/>
      <c r="R510" s="411"/>
    </row>
    <row r="511" ht="12.75" customHeight="1">
      <c r="A511" s="411"/>
      <c r="B511" s="411"/>
      <c r="C511" s="411"/>
      <c r="D511" s="411"/>
      <c r="E511" s="411"/>
      <c r="F511" s="411"/>
      <c r="G511" s="411"/>
      <c r="H511" s="411"/>
      <c r="I511" s="411"/>
      <c r="J511" s="411"/>
      <c r="K511" s="411"/>
      <c r="L511" s="411"/>
      <c r="M511" s="411"/>
      <c r="N511" s="411"/>
      <c r="O511" s="411"/>
      <c r="P511" s="411"/>
      <c r="Q511" s="385"/>
      <c r="R511" s="411"/>
    </row>
    <row r="512" ht="12.75" customHeight="1">
      <c r="A512" s="411"/>
      <c r="B512" s="411"/>
      <c r="C512" s="411"/>
      <c r="D512" s="411"/>
      <c r="E512" s="411"/>
      <c r="F512" s="411"/>
      <c r="G512" s="411"/>
      <c r="H512" s="411"/>
      <c r="I512" s="411"/>
      <c r="J512" s="411"/>
      <c r="K512" s="411"/>
      <c r="L512" s="411"/>
      <c r="M512" s="411"/>
      <c r="N512" s="411"/>
      <c r="O512" s="411"/>
      <c r="P512" s="411"/>
      <c r="Q512" s="385"/>
      <c r="R512" s="411"/>
    </row>
    <row r="513" ht="12.75" customHeight="1">
      <c r="A513" s="411"/>
      <c r="B513" s="411"/>
      <c r="C513" s="411"/>
      <c r="D513" s="411"/>
      <c r="E513" s="411"/>
      <c r="F513" s="411"/>
      <c r="G513" s="411"/>
      <c r="H513" s="411"/>
      <c r="I513" s="411"/>
      <c r="J513" s="411"/>
      <c r="K513" s="411"/>
      <c r="L513" s="411"/>
      <c r="M513" s="411"/>
      <c r="N513" s="411"/>
      <c r="O513" s="411"/>
      <c r="P513" s="411"/>
      <c r="Q513" s="385"/>
      <c r="R513" s="411"/>
    </row>
    <row r="514" ht="12.75" customHeight="1">
      <c r="A514" s="411"/>
      <c r="B514" s="411"/>
      <c r="C514" s="411"/>
      <c r="D514" s="411"/>
      <c r="E514" s="411"/>
      <c r="F514" s="411"/>
      <c r="G514" s="411"/>
      <c r="H514" s="411"/>
      <c r="I514" s="411"/>
      <c r="J514" s="411"/>
      <c r="K514" s="411"/>
      <c r="L514" s="411"/>
      <c r="M514" s="411"/>
      <c r="N514" s="411"/>
      <c r="O514" s="411"/>
      <c r="P514" s="411"/>
      <c r="Q514" s="385"/>
      <c r="R514" s="411"/>
    </row>
    <row r="515" ht="12.75" customHeight="1">
      <c r="A515" s="411"/>
      <c r="B515" s="411"/>
      <c r="C515" s="411"/>
      <c r="D515" s="411"/>
      <c r="E515" s="411"/>
      <c r="F515" s="411"/>
      <c r="G515" s="411"/>
      <c r="H515" s="411"/>
      <c r="I515" s="411"/>
      <c r="J515" s="411"/>
      <c r="K515" s="411"/>
      <c r="L515" s="411"/>
      <c r="M515" s="411"/>
      <c r="N515" s="411"/>
      <c r="O515" s="411"/>
      <c r="P515" s="411"/>
      <c r="Q515" s="385"/>
      <c r="R515" s="411"/>
    </row>
    <row r="516" ht="12.75" customHeight="1">
      <c r="A516" s="411"/>
      <c r="B516" s="411"/>
      <c r="C516" s="411"/>
      <c r="D516" s="411"/>
      <c r="E516" s="411"/>
      <c r="F516" s="411"/>
      <c r="G516" s="411"/>
      <c r="H516" s="411"/>
      <c r="I516" s="411"/>
      <c r="J516" s="411"/>
      <c r="K516" s="411"/>
      <c r="L516" s="411"/>
      <c r="M516" s="411"/>
      <c r="N516" s="411"/>
      <c r="O516" s="411"/>
      <c r="P516" s="411"/>
      <c r="Q516" s="385"/>
      <c r="R516" s="411"/>
    </row>
    <row r="517" ht="12.75" customHeight="1">
      <c r="A517" s="411"/>
      <c r="B517" s="411"/>
      <c r="C517" s="411"/>
      <c r="D517" s="411"/>
      <c r="E517" s="411"/>
      <c r="F517" s="411"/>
      <c r="G517" s="411"/>
      <c r="H517" s="411"/>
      <c r="I517" s="411"/>
      <c r="J517" s="411"/>
      <c r="K517" s="411"/>
      <c r="L517" s="411"/>
      <c r="M517" s="411"/>
      <c r="N517" s="411"/>
      <c r="O517" s="411"/>
      <c r="P517" s="411"/>
      <c r="Q517" s="385"/>
      <c r="R517" s="411"/>
    </row>
    <row r="518" ht="12.75" customHeight="1">
      <c r="A518" s="411"/>
      <c r="B518" s="411"/>
      <c r="C518" s="411"/>
      <c r="D518" s="411"/>
      <c r="E518" s="411"/>
      <c r="F518" s="411"/>
      <c r="G518" s="411"/>
      <c r="H518" s="411"/>
      <c r="I518" s="411"/>
      <c r="J518" s="411"/>
      <c r="K518" s="411"/>
      <c r="L518" s="411"/>
      <c r="M518" s="411"/>
      <c r="N518" s="411"/>
      <c r="O518" s="411"/>
      <c r="P518" s="411"/>
      <c r="Q518" s="385"/>
      <c r="R518" s="411"/>
    </row>
    <row r="519" ht="12.75" customHeight="1">
      <c r="A519" s="411"/>
      <c r="B519" s="411"/>
      <c r="C519" s="411"/>
      <c r="D519" s="411"/>
      <c r="E519" s="411"/>
      <c r="F519" s="411"/>
      <c r="G519" s="411"/>
      <c r="H519" s="411"/>
      <c r="I519" s="411"/>
      <c r="J519" s="411"/>
      <c r="K519" s="411"/>
      <c r="L519" s="411"/>
      <c r="M519" s="411"/>
      <c r="N519" s="411"/>
      <c r="O519" s="411"/>
      <c r="P519" s="411"/>
      <c r="Q519" s="385"/>
      <c r="R519" s="411"/>
    </row>
    <row r="520" ht="12.75" customHeight="1">
      <c r="A520" s="411"/>
      <c r="B520" s="411"/>
      <c r="C520" s="411"/>
      <c r="D520" s="411"/>
      <c r="E520" s="411"/>
      <c r="F520" s="411"/>
      <c r="G520" s="411"/>
      <c r="H520" s="411"/>
      <c r="I520" s="411"/>
      <c r="J520" s="411"/>
      <c r="K520" s="411"/>
      <c r="L520" s="411"/>
      <c r="M520" s="411"/>
      <c r="N520" s="411"/>
      <c r="O520" s="411"/>
      <c r="P520" s="411"/>
      <c r="Q520" s="385"/>
      <c r="R520" s="411"/>
    </row>
    <row r="521" ht="12.75" customHeight="1">
      <c r="A521" s="411"/>
      <c r="B521" s="411"/>
      <c r="C521" s="411"/>
      <c r="D521" s="411"/>
      <c r="E521" s="411"/>
      <c r="F521" s="411"/>
      <c r="G521" s="411"/>
      <c r="H521" s="411"/>
      <c r="I521" s="411"/>
      <c r="J521" s="411"/>
      <c r="K521" s="411"/>
      <c r="L521" s="411"/>
      <c r="M521" s="411"/>
      <c r="N521" s="411"/>
      <c r="O521" s="411"/>
      <c r="P521" s="411"/>
      <c r="Q521" s="385"/>
      <c r="R521" s="411"/>
    </row>
    <row r="522" ht="12.75" customHeight="1">
      <c r="A522" s="411"/>
      <c r="B522" s="411"/>
      <c r="C522" s="411"/>
      <c r="D522" s="411"/>
      <c r="E522" s="411"/>
      <c r="F522" s="411"/>
      <c r="G522" s="411"/>
      <c r="H522" s="411"/>
      <c r="I522" s="411"/>
      <c r="J522" s="411"/>
      <c r="K522" s="411"/>
      <c r="L522" s="411"/>
      <c r="M522" s="411"/>
      <c r="N522" s="411"/>
      <c r="O522" s="411"/>
      <c r="P522" s="411"/>
      <c r="Q522" s="385"/>
      <c r="R522" s="411"/>
    </row>
    <row r="523" ht="12.75" customHeight="1">
      <c r="A523" s="411"/>
      <c r="B523" s="411"/>
      <c r="C523" s="411"/>
      <c r="D523" s="411"/>
      <c r="E523" s="411"/>
      <c r="F523" s="411"/>
      <c r="G523" s="411"/>
      <c r="H523" s="411"/>
      <c r="I523" s="411"/>
      <c r="J523" s="411"/>
      <c r="K523" s="411"/>
      <c r="L523" s="411"/>
      <c r="M523" s="411"/>
      <c r="N523" s="411"/>
      <c r="O523" s="411"/>
      <c r="P523" s="411"/>
      <c r="Q523" s="385"/>
      <c r="R523" s="411"/>
    </row>
    <row r="524" ht="12.75" customHeight="1">
      <c r="A524" s="411"/>
      <c r="B524" s="411"/>
      <c r="C524" s="411"/>
      <c r="D524" s="411"/>
      <c r="E524" s="411"/>
      <c r="F524" s="411"/>
      <c r="G524" s="411"/>
      <c r="H524" s="411"/>
      <c r="I524" s="411"/>
      <c r="J524" s="411"/>
      <c r="K524" s="411"/>
      <c r="L524" s="411"/>
      <c r="M524" s="411"/>
      <c r="N524" s="411"/>
      <c r="O524" s="411"/>
      <c r="P524" s="411"/>
      <c r="Q524" s="385"/>
      <c r="R524" s="411"/>
    </row>
    <row r="525" ht="12.75" customHeight="1">
      <c r="A525" s="411"/>
      <c r="B525" s="411"/>
      <c r="C525" s="411"/>
      <c r="D525" s="411"/>
      <c r="E525" s="411"/>
      <c r="F525" s="411"/>
      <c r="G525" s="411"/>
      <c r="H525" s="411"/>
      <c r="I525" s="411"/>
      <c r="J525" s="411"/>
      <c r="K525" s="411"/>
      <c r="L525" s="411"/>
      <c r="M525" s="411"/>
      <c r="N525" s="411"/>
      <c r="O525" s="411"/>
      <c r="P525" s="411"/>
      <c r="Q525" s="385"/>
      <c r="R525" s="411"/>
    </row>
    <row r="526" ht="12.75" customHeight="1">
      <c r="A526" s="411"/>
      <c r="B526" s="411"/>
      <c r="C526" s="411"/>
      <c r="D526" s="411"/>
      <c r="E526" s="411"/>
      <c r="F526" s="411"/>
      <c r="G526" s="411"/>
      <c r="H526" s="411"/>
      <c r="I526" s="411"/>
      <c r="J526" s="411"/>
      <c r="K526" s="411"/>
      <c r="L526" s="411"/>
      <c r="M526" s="411"/>
      <c r="N526" s="411"/>
      <c r="O526" s="411"/>
      <c r="P526" s="411"/>
      <c r="Q526" s="385"/>
      <c r="R526" s="411"/>
    </row>
    <row r="527" ht="12.75" customHeight="1">
      <c r="A527" s="411"/>
      <c r="B527" s="411"/>
      <c r="C527" s="411"/>
      <c r="D527" s="411"/>
      <c r="E527" s="411"/>
      <c r="F527" s="411"/>
      <c r="G527" s="411"/>
      <c r="H527" s="411"/>
      <c r="I527" s="411"/>
      <c r="J527" s="411"/>
      <c r="K527" s="411"/>
      <c r="L527" s="411"/>
      <c r="M527" s="411"/>
      <c r="N527" s="411"/>
      <c r="O527" s="411"/>
      <c r="P527" s="411"/>
      <c r="Q527" s="385"/>
      <c r="R527" s="411"/>
    </row>
    <row r="528" ht="12.75" customHeight="1">
      <c r="A528" s="411"/>
      <c r="B528" s="411"/>
      <c r="C528" s="411"/>
      <c r="D528" s="411"/>
      <c r="E528" s="411"/>
      <c r="F528" s="411"/>
      <c r="G528" s="411"/>
      <c r="H528" s="411"/>
      <c r="I528" s="411"/>
      <c r="J528" s="411"/>
      <c r="K528" s="411"/>
      <c r="L528" s="411"/>
      <c r="M528" s="411"/>
      <c r="N528" s="411"/>
      <c r="O528" s="411"/>
      <c r="P528" s="411"/>
      <c r="Q528" s="385"/>
      <c r="R528" s="411"/>
    </row>
    <row r="529" ht="12.75" customHeight="1">
      <c r="A529" s="411"/>
      <c r="B529" s="411"/>
      <c r="C529" s="411"/>
      <c r="D529" s="411"/>
      <c r="E529" s="411"/>
      <c r="F529" s="411"/>
      <c r="G529" s="411"/>
      <c r="H529" s="411"/>
      <c r="I529" s="411"/>
      <c r="J529" s="411"/>
      <c r="K529" s="411"/>
      <c r="L529" s="411"/>
      <c r="M529" s="411"/>
      <c r="N529" s="411"/>
      <c r="O529" s="411"/>
      <c r="P529" s="411"/>
      <c r="Q529" s="385"/>
      <c r="R529" s="411"/>
    </row>
    <row r="530" ht="12.75" customHeight="1">
      <c r="A530" s="411"/>
      <c r="B530" s="411"/>
      <c r="C530" s="411"/>
      <c r="D530" s="411"/>
      <c r="E530" s="411"/>
      <c r="F530" s="411"/>
      <c r="G530" s="411"/>
      <c r="H530" s="411"/>
      <c r="I530" s="411"/>
      <c r="J530" s="411"/>
      <c r="K530" s="411"/>
      <c r="L530" s="411"/>
      <c r="M530" s="411"/>
      <c r="N530" s="411"/>
      <c r="O530" s="411"/>
      <c r="P530" s="411"/>
      <c r="Q530" s="385"/>
      <c r="R530" s="411"/>
    </row>
    <row r="531" ht="12.75" customHeight="1">
      <c r="A531" s="411"/>
      <c r="B531" s="411"/>
      <c r="C531" s="411"/>
      <c r="D531" s="411"/>
      <c r="E531" s="411"/>
      <c r="F531" s="411"/>
      <c r="G531" s="411"/>
      <c r="H531" s="411"/>
      <c r="I531" s="411"/>
      <c r="J531" s="411"/>
      <c r="K531" s="411"/>
      <c r="L531" s="411"/>
      <c r="M531" s="411"/>
      <c r="N531" s="411"/>
      <c r="O531" s="411"/>
      <c r="P531" s="411"/>
      <c r="Q531" s="385"/>
      <c r="R531" s="411"/>
    </row>
    <row r="532" ht="12.75" customHeight="1">
      <c r="A532" s="411"/>
      <c r="B532" s="411"/>
      <c r="C532" s="411"/>
      <c r="D532" s="411"/>
      <c r="E532" s="411"/>
      <c r="F532" s="411"/>
      <c r="G532" s="411"/>
      <c r="H532" s="411"/>
      <c r="I532" s="411"/>
      <c r="J532" s="411"/>
      <c r="K532" s="411"/>
      <c r="L532" s="411"/>
      <c r="M532" s="411"/>
      <c r="N532" s="411"/>
      <c r="O532" s="411"/>
      <c r="P532" s="411"/>
      <c r="Q532" s="385"/>
      <c r="R532" s="411"/>
    </row>
    <row r="533" ht="12.75" customHeight="1">
      <c r="A533" s="411"/>
      <c r="B533" s="411"/>
      <c r="C533" s="411"/>
      <c r="D533" s="411"/>
      <c r="E533" s="411"/>
      <c r="F533" s="411"/>
      <c r="G533" s="411"/>
      <c r="H533" s="411"/>
      <c r="I533" s="411"/>
      <c r="J533" s="411"/>
      <c r="K533" s="411"/>
      <c r="L533" s="411"/>
      <c r="M533" s="411"/>
      <c r="N533" s="411"/>
      <c r="O533" s="411"/>
      <c r="P533" s="411"/>
      <c r="Q533" s="385"/>
      <c r="R533" s="411"/>
    </row>
    <row r="534" ht="12.75" customHeight="1">
      <c r="A534" s="411"/>
      <c r="B534" s="411"/>
      <c r="C534" s="411"/>
      <c r="D534" s="411"/>
      <c r="E534" s="411"/>
      <c r="F534" s="411"/>
      <c r="G534" s="411"/>
      <c r="H534" s="411"/>
      <c r="I534" s="411"/>
      <c r="J534" s="411"/>
      <c r="K534" s="411"/>
      <c r="L534" s="411"/>
      <c r="M534" s="411"/>
      <c r="N534" s="411"/>
      <c r="O534" s="411"/>
      <c r="P534" s="411"/>
      <c r="Q534" s="385"/>
      <c r="R534" s="411"/>
    </row>
    <row r="535" ht="12.75" customHeight="1">
      <c r="A535" s="411"/>
      <c r="B535" s="411"/>
      <c r="C535" s="411"/>
      <c r="D535" s="411"/>
      <c r="E535" s="411"/>
      <c r="F535" s="411"/>
      <c r="G535" s="411"/>
      <c r="H535" s="411"/>
      <c r="I535" s="411"/>
      <c r="J535" s="411"/>
      <c r="K535" s="411"/>
      <c r="L535" s="411"/>
      <c r="M535" s="411"/>
      <c r="N535" s="411"/>
      <c r="O535" s="411"/>
      <c r="P535" s="411"/>
      <c r="Q535" s="385"/>
      <c r="R535" s="411"/>
    </row>
    <row r="536" ht="12.75" customHeight="1">
      <c r="A536" s="411"/>
      <c r="B536" s="411"/>
      <c r="C536" s="411"/>
      <c r="D536" s="411"/>
      <c r="E536" s="411"/>
      <c r="F536" s="411"/>
      <c r="G536" s="411"/>
      <c r="H536" s="411"/>
      <c r="I536" s="411"/>
      <c r="J536" s="411"/>
      <c r="K536" s="411"/>
      <c r="L536" s="411"/>
      <c r="M536" s="411"/>
      <c r="N536" s="411"/>
      <c r="O536" s="411"/>
      <c r="P536" s="411"/>
      <c r="Q536" s="385"/>
      <c r="R536" s="411"/>
    </row>
    <row r="537" ht="12.75" customHeight="1">
      <c r="A537" s="411"/>
      <c r="B537" s="411"/>
      <c r="C537" s="411"/>
      <c r="D537" s="411"/>
      <c r="E537" s="411"/>
      <c r="F537" s="411"/>
      <c r="G537" s="411"/>
      <c r="H537" s="411"/>
      <c r="I537" s="411"/>
      <c r="J537" s="411"/>
      <c r="K537" s="411"/>
      <c r="L537" s="411"/>
      <c r="M537" s="411"/>
      <c r="N537" s="411"/>
      <c r="O537" s="411"/>
      <c r="P537" s="411"/>
      <c r="Q537" s="385"/>
      <c r="R537" s="411"/>
    </row>
    <row r="538" ht="12.75" customHeight="1">
      <c r="A538" s="411"/>
      <c r="B538" s="411"/>
      <c r="C538" s="411"/>
      <c r="D538" s="411"/>
      <c r="E538" s="411"/>
      <c r="F538" s="411"/>
      <c r="G538" s="411"/>
      <c r="H538" s="411"/>
      <c r="I538" s="411"/>
      <c r="J538" s="411"/>
      <c r="K538" s="411"/>
      <c r="L538" s="411"/>
      <c r="M538" s="411"/>
      <c r="N538" s="411"/>
      <c r="O538" s="411"/>
      <c r="P538" s="411"/>
      <c r="Q538" s="385"/>
      <c r="R538" s="411"/>
    </row>
    <row r="539" ht="12.75" customHeight="1">
      <c r="A539" s="411"/>
      <c r="B539" s="411"/>
      <c r="C539" s="411"/>
      <c r="D539" s="411"/>
      <c r="E539" s="411"/>
      <c r="F539" s="411"/>
      <c r="G539" s="411"/>
      <c r="H539" s="411"/>
      <c r="I539" s="411"/>
      <c r="J539" s="411"/>
      <c r="K539" s="411"/>
      <c r="L539" s="411"/>
      <c r="M539" s="411"/>
      <c r="N539" s="411"/>
      <c r="O539" s="411"/>
      <c r="P539" s="411"/>
      <c r="Q539" s="385"/>
      <c r="R539" s="411"/>
    </row>
    <row r="540" ht="12.75" customHeight="1">
      <c r="A540" s="411"/>
      <c r="B540" s="411"/>
      <c r="C540" s="411"/>
      <c r="D540" s="411"/>
      <c r="E540" s="411"/>
      <c r="F540" s="411"/>
      <c r="G540" s="411"/>
      <c r="H540" s="411"/>
      <c r="I540" s="411"/>
      <c r="J540" s="411"/>
      <c r="K540" s="411"/>
      <c r="L540" s="411"/>
      <c r="M540" s="411"/>
      <c r="N540" s="411"/>
      <c r="O540" s="411"/>
      <c r="P540" s="411"/>
      <c r="Q540" s="385"/>
      <c r="R540" s="411"/>
    </row>
    <row r="541" ht="12.75" customHeight="1">
      <c r="A541" s="411"/>
      <c r="B541" s="411"/>
      <c r="C541" s="411"/>
      <c r="D541" s="411"/>
      <c r="E541" s="411"/>
      <c r="F541" s="411"/>
      <c r="G541" s="411"/>
      <c r="H541" s="411"/>
      <c r="I541" s="411"/>
      <c r="J541" s="411"/>
      <c r="K541" s="411"/>
      <c r="L541" s="411"/>
      <c r="M541" s="411"/>
      <c r="N541" s="411"/>
      <c r="O541" s="411"/>
      <c r="P541" s="411"/>
      <c r="Q541" s="385"/>
      <c r="R541" s="411"/>
    </row>
    <row r="542" ht="12.75" customHeight="1">
      <c r="A542" s="411"/>
      <c r="B542" s="411"/>
      <c r="C542" s="411"/>
      <c r="D542" s="411"/>
      <c r="E542" s="411"/>
      <c r="F542" s="411"/>
      <c r="G542" s="411"/>
      <c r="H542" s="411"/>
      <c r="I542" s="411"/>
      <c r="J542" s="411"/>
      <c r="K542" s="411"/>
      <c r="L542" s="411"/>
      <c r="M542" s="411"/>
      <c r="N542" s="411"/>
      <c r="O542" s="411"/>
      <c r="P542" s="411"/>
      <c r="Q542" s="385"/>
      <c r="R542" s="411"/>
    </row>
    <row r="543" ht="12.75" customHeight="1">
      <c r="A543" s="411"/>
      <c r="B543" s="411"/>
      <c r="C543" s="411"/>
      <c r="D543" s="411"/>
      <c r="E543" s="411"/>
      <c r="F543" s="411"/>
      <c r="G543" s="411"/>
      <c r="H543" s="411"/>
      <c r="I543" s="411"/>
      <c r="J543" s="411"/>
      <c r="K543" s="411"/>
      <c r="L543" s="411"/>
      <c r="M543" s="411"/>
      <c r="N543" s="411"/>
      <c r="O543" s="411"/>
      <c r="P543" s="411"/>
      <c r="Q543" s="385"/>
      <c r="R543" s="411"/>
    </row>
    <row r="544" ht="12.75" customHeight="1">
      <c r="A544" s="411"/>
      <c r="B544" s="411"/>
      <c r="C544" s="411"/>
      <c r="D544" s="411"/>
      <c r="E544" s="411"/>
      <c r="F544" s="411"/>
      <c r="G544" s="411"/>
      <c r="H544" s="411"/>
      <c r="I544" s="411"/>
      <c r="J544" s="411"/>
      <c r="K544" s="411"/>
      <c r="L544" s="411"/>
      <c r="M544" s="411"/>
      <c r="N544" s="411"/>
      <c r="O544" s="411"/>
      <c r="P544" s="411"/>
      <c r="Q544" s="385"/>
      <c r="R544" s="411"/>
    </row>
    <row r="545" ht="12.75" customHeight="1">
      <c r="A545" s="411"/>
      <c r="B545" s="411"/>
      <c r="C545" s="411"/>
      <c r="D545" s="411"/>
      <c r="E545" s="411"/>
      <c r="F545" s="411"/>
      <c r="G545" s="411"/>
      <c r="H545" s="411"/>
      <c r="I545" s="411"/>
      <c r="J545" s="411"/>
      <c r="K545" s="411"/>
      <c r="L545" s="411"/>
      <c r="M545" s="411"/>
      <c r="N545" s="411"/>
      <c r="O545" s="411"/>
      <c r="P545" s="411"/>
      <c r="Q545" s="385"/>
      <c r="R545" s="411"/>
    </row>
    <row r="546" ht="12.75" customHeight="1">
      <c r="A546" s="411"/>
      <c r="B546" s="411"/>
      <c r="C546" s="411"/>
      <c r="D546" s="411"/>
      <c r="E546" s="411"/>
      <c r="F546" s="411"/>
      <c r="G546" s="411"/>
      <c r="H546" s="411"/>
      <c r="I546" s="411"/>
      <c r="J546" s="411"/>
      <c r="K546" s="411"/>
      <c r="L546" s="411"/>
      <c r="M546" s="411"/>
      <c r="N546" s="411"/>
      <c r="O546" s="411"/>
      <c r="P546" s="411"/>
      <c r="Q546" s="385"/>
      <c r="R546" s="411"/>
    </row>
    <row r="547" ht="12.75" customHeight="1">
      <c r="A547" s="411"/>
      <c r="B547" s="411"/>
      <c r="C547" s="411"/>
      <c r="D547" s="411"/>
      <c r="E547" s="411"/>
      <c r="F547" s="411"/>
      <c r="G547" s="411"/>
      <c r="H547" s="411"/>
      <c r="I547" s="411"/>
      <c r="J547" s="411"/>
      <c r="K547" s="411"/>
      <c r="L547" s="411"/>
      <c r="M547" s="411"/>
      <c r="N547" s="411"/>
      <c r="O547" s="411"/>
      <c r="P547" s="411"/>
      <c r="Q547" s="385"/>
      <c r="R547" s="411"/>
    </row>
    <row r="548" ht="12.75" customHeight="1">
      <c r="A548" s="411"/>
      <c r="B548" s="411"/>
      <c r="C548" s="411"/>
      <c r="D548" s="411"/>
      <c r="E548" s="411"/>
      <c r="F548" s="411"/>
      <c r="G548" s="411"/>
      <c r="H548" s="411"/>
      <c r="I548" s="411"/>
      <c r="J548" s="411"/>
      <c r="K548" s="411"/>
      <c r="L548" s="411"/>
      <c r="M548" s="411"/>
      <c r="N548" s="411"/>
      <c r="O548" s="411"/>
      <c r="P548" s="411"/>
      <c r="Q548" s="385"/>
      <c r="R548" s="411"/>
    </row>
    <row r="549" ht="12.75" customHeight="1">
      <c r="A549" s="411"/>
      <c r="B549" s="411"/>
      <c r="C549" s="411"/>
      <c r="D549" s="411"/>
      <c r="E549" s="411"/>
      <c r="F549" s="411"/>
      <c r="G549" s="411"/>
      <c r="H549" s="411"/>
      <c r="I549" s="411"/>
      <c r="J549" s="411"/>
      <c r="K549" s="411"/>
      <c r="L549" s="411"/>
      <c r="M549" s="411"/>
      <c r="N549" s="411"/>
      <c r="O549" s="411"/>
      <c r="P549" s="411"/>
      <c r="Q549" s="385"/>
      <c r="R549" s="411"/>
    </row>
    <row r="550" ht="12.75" customHeight="1">
      <c r="A550" s="411"/>
      <c r="B550" s="411"/>
      <c r="C550" s="411"/>
      <c r="D550" s="411"/>
      <c r="E550" s="411"/>
      <c r="F550" s="411"/>
      <c r="G550" s="411"/>
      <c r="H550" s="411"/>
      <c r="I550" s="411"/>
      <c r="J550" s="411"/>
      <c r="K550" s="411"/>
      <c r="L550" s="411"/>
      <c r="M550" s="411"/>
      <c r="N550" s="411"/>
      <c r="O550" s="411"/>
      <c r="P550" s="411"/>
      <c r="Q550" s="385"/>
      <c r="R550" s="411"/>
    </row>
    <row r="551" ht="12.75" customHeight="1">
      <c r="A551" s="411"/>
      <c r="B551" s="411"/>
      <c r="C551" s="411"/>
      <c r="D551" s="411"/>
      <c r="E551" s="411"/>
      <c r="F551" s="411"/>
      <c r="G551" s="411"/>
      <c r="H551" s="411"/>
      <c r="I551" s="411"/>
      <c r="J551" s="411"/>
      <c r="K551" s="411"/>
      <c r="L551" s="411"/>
      <c r="M551" s="411"/>
      <c r="N551" s="411"/>
      <c r="O551" s="411"/>
      <c r="P551" s="411"/>
      <c r="Q551" s="385"/>
      <c r="R551" s="411"/>
    </row>
    <row r="552" ht="12.75" customHeight="1">
      <c r="A552" s="411"/>
      <c r="B552" s="411"/>
      <c r="C552" s="411"/>
      <c r="D552" s="411"/>
      <c r="E552" s="411"/>
      <c r="F552" s="411"/>
      <c r="G552" s="411"/>
      <c r="H552" s="411"/>
      <c r="I552" s="411"/>
      <c r="J552" s="411"/>
      <c r="K552" s="411"/>
      <c r="L552" s="411"/>
      <c r="M552" s="411"/>
      <c r="N552" s="411"/>
      <c r="O552" s="411"/>
      <c r="P552" s="411"/>
      <c r="Q552" s="385"/>
      <c r="R552" s="411"/>
    </row>
    <row r="553" ht="12.75" customHeight="1">
      <c r="A553" s="411"/>
      <c r="B553" s="411"/>
      <c r="C553" s="411"/>
      <c r="D553" s="411"/>
      <c r="E553" s="411"/>
      <c r="F553" s="411"/>
      <c r="G553" s="411"/>
      <c r="H553" s="411"/>
      <c r="I553" s="411"/>
      <c r="J553" s="411"/>
      <c r="K553" s="411"/>
      <c r="L553" s="411"/>
      <c r="M553" s="411"/>
      <c r="N553" s="411"/>
      <c r="O553" s="411"/>
      <c r="P553" s="411"/>
      <c r="Q553" s="385"/>
      <c r="R553" s="411"/>
    </row>
    <row r="554" ht="12.75" customHeight="1">
      <c r="A554" s="411"/>
      <c r="B554" s="411"/>
      <c r="C554" s="411"/>
      <c r="D554" s="411"/>
      <c r="E554" s="411"/>
      <c r="F554" s="411"/>
      <c r="G554" s="411"/>
      <c r="H554" s="411"/>
      <c r="I554" s="411"/>
      <c r="J554" s="411"/>
      <c r="K554" s="411"/>
      <c r="L554" s="411"/>
      <c r="M554" s="411"/>
      <c r="N554" s="411"/>
      <c r="O554" s="411"/>
      <c r="P554" s="411"/>
      <c r="Q554" s="385"/>
      <c r="R554" s="411"/>
    </row>
    <row r="555" ht="12.75" customHeight="1">
      <c r="A555" s="411"/>
      <c r="B555" s="411"/>
      <c r="C555" s="411"/>
      <c r="D555" s="411"/>
      <c r="E555" s="411"/>
      <c r="F555" s="411"/>
      <c r="G555" s="411"/>
      <c r="H555" s="411"/>
      <c r="I555" s="411"/>
      <c r="J555" s="411"/>
      <c r="K555" s="411"/>
      <c r="L555" s="411"/>
      <c r="M555" s="411"/>
      <c r="N555" s="411"/>
      <c r="O555" s="411"/>
      <c r="P555" s="411"/>
      <c r="Q555" s="385"/>
      <c r="R555" s="411"/>
    </row>
    <row r="556" ht="12.75" customHeight="1">
      <c r="A556" s="411"/>
      <c r="B556" s="411"/>
      <c r="C556" s="411"/>
      <c r="D556" s="411"/>
      <c r="E556" s="411"/>
      <c r="F556" s="411"/>
      <c r="G556" s="411"/>
      <c r="H556" s="411"/>
      <c r="I556" s="411"/>
      <c r="J556" s="411"/>
      <c r="K556" s="411"/>
      <c r="L556" s="411"/>
      <c r="M556" s="411"/>
      <c r="N556" s="411"/>
      <c r="O556" s="411"/>
      <c r="P556" s="411"/>
      <c r="Q556" s="385"/>
      <c r="R556" s="411"/>
    </row>
    <row r="557" ht="12.75" customHeight="1">
      <c r="A557" s="411"/>
      <c r="B557" s="411"/>
      <c r="C557" s="411"/>
      <c r="D557" s="411"/>
      <c r="E557" s="411"/>
      <c r="F557" s="411"/>
      <c r="G557" s="411"/>
      <c r="H557" s="411"/>
      <c r="I557" s="411"/>
      <c r="J557" s="411"/>
      <c r="K557" s="411"/>
      <c r="L557" s="411"/>
      <c r="M557" s="411"/>
      <c r="N557" s="411"/>
      <c r="O557" s="411"/>
      <c r="P557" s="411"/>
      <c r="Q557" s="385"/>
      <c r="R557" s="411"/>
    </row>
    <row r="558" ht="12.75" customHeight="1">
      <c r="A558" s="411"/>
      <c r="B558" s="411"/>
      <c r="C558" s="411"/>
      <c r="D558" s="411"/>
      <c r="E558" s="411"/>
      <c r="F558" s="411"/>
      <c r="G558" s="411"/>
      <c r="H558" s="411"/>
      <c r="I558" s="411"/>
      <c r="J558" s="411"/>
      <c r="K558" s="411"/>
      <c r="L558" s="411"/>
      <c r="M558" s="411"/>
      <c r="N558" s="411"/>
      <c r="O558" s="411"/>
      <c r="P558" s="411"/>
      <c r="Q558" s="385"/>
      <c r="R558" s="411"/>
    </row>
    <row r="559" ht="12.75" customHeight="1">
      <c r="A559" s="411"/>
      <c r="B559" s="411"/>
      <c r="C559" s="411"/>
      <c r="D559" s="411"/>
      <c r="E559" s="411"/>
      <c r="F559" s="411"/>
      <c r="G559" s="411"/>
      <c r="H559" s="411"/>
      <c r="I559" s="411"/>
      <c r="J559" s="411"/>
      <c r="K559" s="411"/>
      <c r="L559" s="411"/>
      <c r="M559" s="411"/>
      <c r="N559" s="411"/>
      <c r="O559" s="411"/>
      <c r="P559" s="411"/>
      <c r="Q559" s="385"/>
      <c r="R559" s="411"/>
    </row>
    <row r="560" ht="12.75" customHeight="1">
      <c r="A560" s="411"/>
      <c r="B560" s="411"/>
      <c r="C560" s="411"/>
      <c r="D560" s="411"/>
      <c r="E560" s="411"/>
      <c r="F560" s="411"/>
      <c r="G560" s="411"/>
      <c r="H560" s="411"/>
      <c r="I560" s="411"/>
      <c r="J560" s="411"/>
      <c r="K560" s="411"/>
      <c r="L560" s="411"/>
      <c r="M560" s="411"/>
      <c r="N560" s="411"/>
      <c r="O560" s="411"/>
      <c r="P560" s="411"/>
      <c r="Q560" s="385"/>
      <c r="R560" s="411"/>
    </row>
    <row r="561" ht="12.75" customHeight="1">
      <c r="A561" s="411"/>
      <c r="B561" s="411"/>
      <c r="C561" s="411"/>
      <c r="D561" s="411"/>
      <c r="E561" s="411"/>
      <c r="F561" s="411"/>
      <c r="G561" s="411"/>
      <c r="H561" s="411"/>
      <c r="I561" s="411"/>
      <c r="J561" s="411"/>
      <c r="K561" s="411"/>
      <c r="L561" s="411"/>
      <c r="M561" s="411"/>
      <c r="N561" s="411"/>
      <c r="O561" s="411"/>
      <c r="P561" s="411"/>
      <c r="Q561" s="385"/>
      <c r="R561" s="411"/>
    </row>
    <row r="562" ht="12.75" customHeight="1">
      <c r="A562" s="411"/>
      <c r="B562" s="411"/>
      <c r="C562" s="411"/>
      <c r="D562" s="411"/>
      <c r="E562" s="411"/>
      <c r="F562" s="411"/>
      <c r="G562" s="411"/>
      <c r="H562" s="411"/>
      <c r="I562" s="411"/>
      <c r="J562" s="411"/>
      <c r="K562" s="411"/>
      <c r="L562" s="411"/>
      <c r="M562" s="411"/>
      <c r="N562" s="411"/>
      <c r="O562" s="411"/>
      <c r="P562" s="411"/>
      <c r="Q562" s="385"/>
      <c r="R562" s="411"/>
    </row>
    <row r="563" ht="12.75" customHeight="1">
      <c r="A563" s="411"/>
      <c r="B563" s="411"/>
      <c r="C563" s="411"/>
      <c r="D563" s="411"/>
      <c r="E563" s="411"/>
      <c r="F563" s="411"/>
      <c r="G563" s="411"/>
      <c r="H563" s="411"/>
      <c r="I563" s="411"/>
      <c r="J563" s="411"/>
      <c r="K563" s="411"/>
      <c r="L563" s="411"/>
      <c r="M563" s="411"/>
      <c r="N563" s="411"/>
      <c r="O563" s="411"/>
      <c r="P563" s="411"/>
      <c r="Q563" s="385"/>
      <c r="R563" s="411"/>
    </row>
    <row r="564" ht="12.75" customHeight="1">
      <c r="A564" s="411"/>
      <c r="B564" s="411"/>
      <c r="C564" s="411"/>
      <c r="D564" s="411"/>
      <c r="E564" s="411"/>
      <c r="F564" s="411"/>
      <c r="G564" s="411"/>
      <c r="H564" s="411"/>
      <c r="I564" s="411"/>
      <c r="J564" s="411"/>
      <c r="K564" s="411"/>
      <c r="L564" s="411"/>
      <c r="M564" s="411"/>
      <c r="N564" s="411"/>
      <c r="O564" s="411"/>
      <c r="P564" s="411"/>
      <c r="Q564" s="385"/>
      <c r="R564" s="411"/>
    </row>
    <row r="565" ht="12.75" customHeight="1">
      <c r="A565" s="411"/>
      <c r="B565" s="411"/>
      <c r="C565" s="411"/>
      <c r="D565" s="411"/>
      <c r="E565" s="411"/>
      <c r="F565" s="411"/>
      <c r="G565" s="411"/>
      <c r="H565" s="411"/>
      <c r="I565" s="411"/>
      <c r="J565" s="411"/>
      <c r="K565" s="411"/>
      <c r="L565" s="411"/>
      <c r="M565" s="411"/>
      <c r="N565" s="411"/>
      <c r="O565" s="411"/>
      <c r="P565" s="411"/>
      <c r="Q565" s="385"/>
      <c r="R565" s="411"/>
    </row>
    <row r="566" ht="12.75" customHeight="1">
      <c r="A566" s="411"/>
      <c r="B566" s="411"/>
      <c r="C566" s="411"/>
      <c r="D566" s="411"/>
      <c r="E566" s="411"/>
      <c r="F566" s="411"/>
      <c r="G566" s="411"/>
      <c r="H566" s="411"/>
      <c r="I566" s="411"/>
      <c r="J566" s="411"/>
      <c r="K566" s="411"/>
      <c r="L566" s="411"/>
      <c r="M566" s="411"/>
      <c r="N566" s="411"/>
      <c r="O566" s="411"/>
      <c r="P566" s="411"/>
      <c r="Q566" s="385"/>
      <c r="R566" s="411"/>
    </row>
    <row r="567" ht="12.75" customHeight="1">
      <c r="A567" s="411"/>
      <c r="B567" s="411"/>
      <c r="C567" s="411"/>
      <c r="D567" s="411"/>
      <c r="E567" s="411"/>
      <c r="F567" s="411"/>
      <c r="G567" s="411"/>
      <c r="H567" s="411"/>
      <c r="I567" s="411"/>
      <c r="J567" s="411"/>
      <c r="K567" s="411"/>
      <c r="L567" s="411"/>
      <c r="M567" s="411"/>
      <c r="N567" s="411"/>
      <c r="O567" s="411"/>
      <c r="P567" s="411"/>
      <c r="Q567" s="385"/>
      <c r="R567" s="411"/>
    </row>
    <row r="568" ht="12.75" customHeight="1">
      <c r="A568" s="411"/>
      <c r="B568" s="411"/>
      <c r="C568" s="411"/>
      <c r="D568" s="411"/>
      <c r="E568" s="411"/>
      <c r="F568" s="411"/>
      <c r="G568" s="411"/>
      <c r="H568" s="411"/>
      <c r="I568" s="411"/>
      <c r="J568" s="411"/>
      <c r="K568" s="411"/>
      <c r="L568" s="411"/>
      <c r="M568" s="411"/>
      <c r="N568" s="411"/>
      <c r="O568" s="411"/>
      <c r="P568" s="411"/>
      <c r="Q568" s="385"/>
      <c r="R568" s="411"/>
    </row>
    <row r="569" ht="12.75" customHeight="1">
      <c r="A569" s="411"/>
      <c r="B569" s="411"/>
      <c r="C569" s="411"/>
      <c r="D569" s="411"/>
      <c r="E569" s="411"/>
      <c r="F569" s="411"/>
      <c r="G569" s="411"/>
      <c r="H569" s="411"/>
      <c r="I569" s="411"/>
      <c r="J569" s="411"/>
      <c r="K569" s="411"/>
      <c r="L569" s="411"/>
      <c r="M569" s="411"/>
      <c r="N569" s="411"/>
      <c r="O569" s="411"/>
      <c r="P569" s="411"/>
      <c r="Q569" s="385"/>
      <c r="R569" s="411"/>
    </row>
    <row r="570" ht="12.75" customHeight="1">
      <c r="A570" s="411"/>
      <c r="B570" s="411"/>
      <c r="C570" s="411"/>
      <c r="D570" s="411"/>
      <c r="E570" s="411"/>
      <c r="F570" s="411"/>
      <c r="G570" s="411"/>
      <c r="H570" s="411"/>
      <c r="I570" s="411"/>
      <c r="J570" s="411"/>
      <c r="K570" s="411"/>
      <c r="L570" s="411"/>
      <c r="M570" s="411"/>
      <c r="N570" s="411"/>
      <c r="O570" s="411"/>
      <c r="P570" s="411"/>
      <c r="Q570" s="385"/>
      <c r="R570" s="411"/>
    </row>
    <row r="571" ht="12.75" customHeight="1">
      <c r="A571" s="411"/>
      <c r="B571" s="411"/>
      <c r="C571" s="411"/>
      <c r="D571" s="411"/>
      <c r="E571" s="411"/>
      <c r="F571" s="411"/>
      <c r="G571" s="411"/>
      <c r="H571" s="411"/>
      <c r="I571" s="411"/>
      <c r="J571" s="411"/>
      <c r="K571" s="411"/>
      <c r="L571" s="411"/>
      <c r="M571" s="411"/>
      <c r="N571" s="411"/>
      <c r="O571" s="411"/>
      <c r="P571" s="411"/>
      <c r="Q571" s="385"/>
      <c r="R571" s="411"/>
    </row>
    <row r="572" ht="12.75" customHeight="1">
      <c r="A572" s="411"/>
      <c r="B572" s="411"/>
      <c r="C572" s="411"/>
      <c r="D572" s="411"/>
      <c r="E572" s="411"/>
      <c r="F572" s="411"/>
      <c r="G572" s="411"/>
      <c r="H572" s="411"/>
      <c r="I572" s="411"/>
      <c r="J572" s="411"/>
      <c r="K572" s="411"/>
      <c r="L572" s="411"/>
      <c r="M572" s="411"/>
      <c r="N572" s="411"/>
      <c r="O572" s="411"/>
      <c r="P572" s="411"/>
      <c r="Q572" s="385"/>
      <c r="R572" s="411"/>
    </row>
    <row r="573" ht="12.75" customHeight="1">
      <c r="A573" s="411"/>
      <c r="B573" s="411"/>
      <c r="C573" s="411"/>
      <c r="D573" s="411"/>
      <c r="E573" s="411"/>
      <c r="F573" s="411"/>
      <c r="G573" s="411"/>
      <c r="H573" s="411"/>
      <c r="I573" s="411"/>
      <c r="J573" s="411"/>
      <c r="K573" s="411"/>
      <c r="L573" s="411"/>
      <c r="M573" s="411"/>
      <c r="N573" s="411"/>
      <c r="O573" s="411"/>
      <c r="P573" s="411"/>
      <c r="Q573" s="385"/>
      <c r="R573" s="411"/>
    </row>
    <row r="574" ht="12.75" customHeight="1">
      <c r="A574" s="411"/>
      <c r="B574" s="411"/>
      <c r="C574" s="411"/>
      <c r="D574" s="411"/>
      <c r="E574" s="411"/>
      <c r="F574" s="411"/>
      <c r="G574" s="411"/>
      <c r="H574" s="411"/>
      <c r="I574" s="411"/>
      <c r="J574" s="411"/>
      <c r="K574" s="411"/>
      <c r="L574" s="411"/>
      <c r="M574" s="411"/>
      <c r="N574" s="411"/>
      <c r="O574" s="411"/>
      <c r="P574" s="411"/>
      <c r="Q574" s="385"/>
      <c r="R574" s="411"/>
    </row>
    <row r="575" ht="12.75" customHeight="1">
      <c r="A575" s="411"/>
      <c r="B575" s="411"/>
      <c r="C575" s="411"/>
      <c r="D575" s="411"/>
      <c r="E575" s="411"/>
      <c r="F575" s="411"/>
      <c r="G575" s="411"/>
      <c r="H575" s="411"/>
      <c r="I575" s="411"/>
      <c r="J575" s="411"/>
      <c r="K575" s="411"/>
      <c r="L575" s="411"/>
      <c r="M575" s="411"/>
      <c r="N575" s="411"/>
      <c r="O575" s="411"/>
      <c r="P575" s="411"/>
      <c r="Q575" s="385"/>
      <c r="R575" s="411"/>
    </row>
    <row r="576" ht="12.75" customHeight="1">
      <c r="A576" s="411"/>
      <c r="B576" s="411"/>
      <c r="C576" s="411"/>
      <c r="D576" s="411"/>
      <c r="E576" s="411"/>
      <c r="F576" s="411"/>
      <c r="G576" s="411"/>
      <c r="H576" s="411"/>
      <c r="I576" s="411"/>
      <c r="J576" s="411"/>
      <c r="K576" s="411"/>
      <c r="L576" s="411"/>
      <c r="M576" s="411"/>
      <c r="N576" s="411"/>
      <c r="O576" s="411"/>
      <c r="P576" s="411"/>
      <c r="Q576" s="385"/>
      <c r="R576" s="411"/>
    </row>
    <row r="577" ht="12.75" customHeight="1">
      <c r="A577" s="411"/>
      <c r="B577" s="411"/>
      <c r="C577" s="411"/>
      <c r="D577" s="411"/>
      <c r="E577" s="411"/>
      <c r="F577" s="411"/>
      <c r="G577" s="411"/>
      <c r="H577" s="411"/>
      <c r="I577" s="411"/>
      <c r="J577" s="411"/>
      <c r="K577" s="411"/>
      <c r="L577" s="411"/>
      <c r="M577" s="411"/>
      <c r="N577" s="411"/>
      <c r="O577" s="411"/>
      <c r="P577" s="411"/>
      <c r="Q577" s="385"/>
      <c r="R577" s="411"/>
    </row>
    <row r="578" ht="12.75" customHeight="1">
      <c r="A578" s="411"/>
      <c r="B578" s="411"/>
      <c r="C578" s="411"/>
      <c r="D578" s="411"/>
      <c r="E578" s="411"/>
      <c r="F578" s="411"/>
      <c r="G578" s="411"/>
      <c r="H578" s="411"/>
      <c r="I578" s="411"/>
      <c r="J578" s="411"/>
      <c r="K578" s="411"/>
      <c r="L578" s="411"/>
      <c r="M578" s="411"/>
      <c r="N578" s="411"/>
      <c r="O578" s="411"/>
      <c r="P578" s="411"/>
      <c r="Q578" s="385"/>
      <c r="R578" s="411"/>
    </row>
    <row r="579" ht="12.75" customHeight="1">
      <c r="A579" s="411"/>
      <c r="B579" s="411"/>
      <c r="C579" s="411"/>
      <c r="D579" s="411"/>
      <c r="E579" s="411"/>
      <c r="F579" s="411"/>
      <c r="G579" s="411"/>
      <c r="H579" s="411"/>
      <c r="I579" s="411"/>
      <c r="J579" s="411"/>
      <c r="K579" s="411"/>
      <c r="L579" s="411"/>
      <c r="M579" s="411"/>
      <c r="N579" s="411"/>
      <c r="O579" s="411"/>
      <c r="P579" s="411"/>
      <c r="Q579" s="385"/>
      <c r="R579" s="411"/>
    </row>
    <row r="580" ht="12.75" customHeight="1">
      <c r="A580" s="411"/>
      <c r="B580" s="411"/>
      <c r="C580" s="411"/>
      <c r="D580" s="411"/>
      <c r="E580" s="411"/>
      <c r="F580" s="411"/>
      <c r="G580" s="411"/>
      <c r="H580" s="411"/>
      <c r="I580" s="411"/>
      <c r="J580" s="411"/>
      <c r="K580" s="411"/>
      <c r="L580" s="411"/>
      <c r="M580" s="411"/>
      <c r="N580" s="411"/>
      <c r="O580" s="411"/>
      <c r="P580" s="411"/>
      <c r="Q580" s="385"/>
      <c r="R580" s="411"/>
    </row>
    <row r="581" ht="12.75" customHeight="1">
      <c r="A581" s="411"/>
      <c r="B581" s="411"/>
      <c r="C581" s="411"/>
      <c r="D581" s="411"/>
      <c r="E581" s="411"/>
      <c r="F581" s="411"/>
      <c r="G581" s="411"/>
      <c r="H581" s="411"/>
      <c r="I581" s="411"/>
      <c r="J581" s="411"/>
      <c r="K581" s="411"/>
      <c r="L581" s="411"/>
      <c r="M581" s="411"/>
      <c r="N581" s="411"/>
      <c r="O581" s="411"/>
      <c r="P581" s="411"/>
      <c r="Q581" s="385"/>
      <c r="R581" s="411"/>
    </row>
    <row r="582" ht="12.75" customHeight="1">
      <c r="A582" s="411"/>
      <c r="B582" s="411"/>
      <c r="C582" s="411"/>
      <c r="D582" s="411"/>
      <c r="E582" s="411"/>
      <c r="F582" s="411"/>
      <c r="G582" s="411"/>
      <c r="H582" s="411"/>
      <c r="I582" s="411"/>
      <c r="J582" s="411"/>
      <c r="K582" s="411"/>
      <c r="L582" s="411"/>
      <c r="M582" s="411"/>
      <c r="N582" s="411"/>
      <c r="O582" s="411"/>
      <c r="P582" s="411"/>
      <c r="Q582" s="385"/>
      <c r="R582" s="411"/>
    </row>
    <row r="583" ht="12.75" customHeight="1">
      <c r="A583" s="411"/>
      <c r="B583" s="411"/>
      <c r="C583" s="411"/>
      <c r="D583" s="411"/>
      <c r="E583" s="411"/>
      <c r="F583" s="411"/>
      <c r="G583" s="411"/>
      <c r="H583" s="411"/>
      <c r="I583" s="411"/>
      <c r="J583" s="411"/>
      <c r="K583" s="411"/>
      <c r="L583" s="411"/>
      <c r="M583" s="411"/>
      <c r="N583" s="411"/>
      <c r="O583" s="411"/>
      <c r="P583" s="411"/>
      <c r="Q583" s="385"/>
      <c r="R583" s="411"/>
    </row>
    <row r="584" ht="12.75" customHeight="1">
      <c r="A584" s="411"/>
      <c r="B584" s="411"/>
      <c r="C584" s="411"/>
      <c r="D584" s="411"/>
      <c r="E584" s="411"/>
      <c r="F584" s="411"/>
      <c r="G584" s="411"/>
      <c r="H584" s="411"/>
      <c r="I584" s="411"/>
      <c r="J584" s="411"/>
      <c r="K584" s="411"/>
      <c r="L584" s="411"/>
      <c r="M584" s="411"/>
      <c r="N584" s="411"/>
      <c r="O584" s="411"/>
      <c r="P584" s="411"/>
      <c r="Q584" s="385"/>
      <c r="R584" s="411"/>
    </row>
    <row r="585" ht="12.75" customHeight="1">
      <c r="A585" s="411"/>
      <c r="B585" s="411"/>
      <c r="C585" s="411"/>
      <c r="D585" s="411"/>
      <c r="E585" s="411"/>
      <c r="F585" s="411"/>
      <c r="G585" s="411"/>
      <c r="H585" s="411"/>
      <c r="I585" s="411"/>
      <c r="J585" s="411"/>
      <c r="K585" s="411"/>
      <c r="L585" s="411"/>
      <c r="M585" s="411"/>
      <c r="N585" s="411"/>
      <c r="O585" s="411"/>
      <c r="P585" s="411"/>
      <c r="Q585" s="385"/>
      <c r="R585" s="411"/>
    </row>
    <row r="586" ht="12.75" customHeight="1">
      <c r="A586" s="411"/>
      <c r="B586" s="411"/>
      <c r="C586" s="411"/>
      <c r="D586" s="411"/>
      <c r="E586" s="411"/>
      <c r="F586" s="411"/>
      <c r="G586" s="411"/>
      <c r="H586" s="411"/>
      <c r="I586" s="411"/>
      <c r="J586" s="411"/>
      <c r="K586" s="411"/>
      <c r="L586" s="411"/>
      <c r="M586" s="411"/>
      <c r="N586" s="411"/>
      <c r="O586" s="411"/>
      <c r="P586" s="411"/>
      <c r="Q586" s="385"/>
      <c r="R586" s="411"/>
    </row>
    <row r="587" ht="12.75" customHeight="1">
      <c r="A587" s="411"/>
      <c r="B587" s="411"/>
      <c r="C587" s="411"/>
      <c r="D587" s="411"/>
      <c r="E587" s="411"/>
      <c r="F587" s="411"/>
      <c r="G587" s="411"/>
      <c r="H587" s="411"/>
      <c r="I587" s="411"/>
      <c r="J587" s="411"/>
      <c r="K587" s="411"/>
      <c r="L587" s="411"/>
      <c r="M587" s="411"/>
      <c r="N587" s="411"/>
      <c r="O587" s="411"/>
      <c r="P587" s="411"/>
      <c r="Q587" s="385"/>
      <c r="R587" s="411"/>
    </row>
    <row r="588" ht="12.75" customHeight="1">
      <c r="A588" s="411"/>
      <c r="B588" s="411"/>
      <c r="C588" s="411"/>
      <c r="D588" s="411"/>
      <c r="E588" s="411"/>
      <c r="F588" s="411"/>
      <c r="G588" s="411"/>
      <c r="H588" s="411"/>
      <c r="I588" s="411"/>
      <c r="J588" s="411"/>
      <c r="K588" s="411"/>
      <c r="L588" s="411"/>
      <c r="M588" s="411"/>
      <c r="N588" s="411"/>
      <c r="O588" s="411"/>
      <c r="P588" s="411"/>
      <c r="Q588" s="385"/>
      <c r="R588" s="411"/>
    </row>
    <row r="589" ht="12.75" customHeight="1">
      <c r="A589" s="411"/>
      <c r="B589" s="411"/>
      <c r="C589" s="411"/>
      <c r="D589" s="411"/>
      <c r="E589" s="411"/>
      <c r="F589" s="411"/>
      <c r="G589" s="411"/>
      <c r="H589" s="411"/>
      <c r="I589" s="411"/>
      <c r="J589" s="411"/>
      <c r="K589" s="411"/>
      <c r="L589" s="411"/>
      <c r="M589" s="411"/>
      <c r="N589" s="411"/>
      <c r="O589" s="411"/>
      <c r="P589" s="411"/>
      <c r="Q589" s="385"/>
      <c r="R589" s="411"/>
    </row>
    <row r="590" ht="12.75" customHeight="1">
      <c r="A590" s="411"/>
      <c r="B590" s="411"/>
      <c r="C590" s="411"/>
      <c r="D590" s="411"/>
      <c r="E590" s="411"/>
      <c r="F590" s="411"/>
      <c r="G590" s="411"/>
      <c r="H590" s="411"/>
      <c r="I590" s="411"/>
      <c r="J590" s="411"/>
      <c r="K590" s="411"/>
      <c r="L590" s="411"/>
      <c r="M590" s="411"/>
      <c r="N590" s="411"/>
      <c r="O590" s="411"/>
      <c r="P590" s="411"/>
      <c r="Q590" s="385"/>
      <c r="R590" s="411"/>
    </row>
    <row r="591" ht="12.75" customHeight="1">
      <c r="A591" s="411"/>
      <c r="B591" s="411"/>
      <c r="C591" s="411"/>
      <c r="D591" s="411"/>
      <c r="E591" s="411"/>
      <c r="F591" s="411"/>
      <c r="G591" s="411"/>
      <c r="H591" s="411"/>
      <c r="I591" s="411"/>
      <c r="J591" s="411"/>
      <c r="K591" s="411"/>
      <c r="L591" s="411"/>
      <c r="M591" s="411"/>
      <c r="N591" s="411"/>
      <c r="O591" s="411"/>
      <c r="P591" s="411"/>
      <c r="Q591" s="385"/>
      <c r="R591" s="411"/>
    </row>
    <row r="592" ht="12.75" customHeight="1">
      <c r="A592" s="411"/>
      <c r="B592" s="411"/>
      <c r="C592" s="411"/>
      <c r="D592" s="411"/>
      <c r="E592" s="411"/>
      <c r="F592" s="411"/>
      <c r="G592" s="411"/>
      <c r="H592" s="411"/>
      <c r="I592" s="411"/>
      <c r="J592" s="411"/>
      <c r="K592" s="411"/>
      <c r="L592" s="411"/>
      <c r="M592" s="411"/>
      <c r="N592" s="411"/>
      <c r="O592" s="411"/>
      <c r="P592" s="411"/>
      <c r="Q592" s="385"/>
      <c r="R592" s="411"/>
    </row>
    <row r="593" ht="12.75" customHeight="1">
      <c r="A593" s="411"/>
      <c r="B593" s="411"/>
      <c r="C593" s="411"/>
      <c r="D593" s="411"/>
      <c r="E593" s="411"/>
      <c r="F593" s="411"/>
      <c r="G593" s="411"/>
      <c r="H593" s="411"/>
      <c r="I593" s="411"/>
      <c r="J593" s="411"/>
      <c r="K593" s="411"/>
      <c r="L593" s="411"/>
      <c r="M593" s="411"/>
      <c r="N593" s="411"/>
      <c r="O593" s="411"/>
      <c r="P593" s="411"/>
      <c r="Q593" s="385"/>
      <c r="R593" s="411"/>
    </row>
    <row r="594" ht="12.75" customHeight="1">
      <c r="A594" s="411"/>
      <c r="B594" s="411"/>
      <c r="C594" s="411"/>
      <c r="D594" s="411"/>
      <c r="E594" s="411"/>
      <c r="F594" s="411"/>
      <c r="G594" s="411"/>
      <c r="H594" s="411"/>
      <c r="I594" s="411"/>
      <c r="J594" s="411"/>
      <c r="K594" s="411"/>
      <c r="L594" s="411"/>
      <c r="M594" s="411"/>
      <c r="N594" s="411"/>
      <c r="O594" s="411"/>
      <c r="P594" s="411"/>
      <c r="Q594" s="385"/>
      <c r="R594" s="411"/>
    </row>
    <row r="595" ht="12.75" customHeight="1">
      <c r="A595" s="411"/>
      <c r="B595" s="411"/>
      <c r="C595" s="411"/>
      <c r="D595" s="411"/>
      <c r="E595" s="411"/>
      <c r="F595" s="411"/>
      <c r="G595" s="411"/>
      <c r="H595" s="411"/>
      <c r="I595" s="411"/>
      <c r="J595" s="411"/>
      <c r="K595" s="411"/>
      <c r="L595" s="411"/>
      <c r="M595" s="411"/>
      <c r="N595" s="411"/>
      <c r="O595" s="411"/>
      <c r="P595" s="411"/>
      <c r="Q595" s="385"/>
      <c r="R595" s="411"/>
    </row>
    <row r="596" ht="12.75" customHeight="1">
      <c r="A596" s="411"/>
      <c r="B596" s="411"/>
      <c r="C596" s="411"/>
      <c r="D596" s="411"/>
      <c r="E596" s="411"/>
      <c r="F596" s="411"/>
      <c r="G596" s="411"/>
      <c r="H596" s="411"/>
      <c r="I596" s="411"/>
      <c r="J596" s="411"/>
      <c r="K596" s="411"/>
      <c r="L596" s="411"/>
      <c r="M596" s="411"/>
      <c r="N596" s="411"/>
      <c r="O596" s="411"/>
      <c r="P596" s="411"/>
      <c r="Q596" s="385"/>
      <c r="R596" s="411"/>
    </row>
    <row r="597" ht="12.75" customHeight="1">
      <c r="A597" s="411"/>
      <c r="B597" s="411"/>
      <c r="C597" s="411"/>
      <c r="D597" s="411"/>
      <c r="E597" s="411"/>
      <c r="F597" s="411"/>
      <c r="G597" s="411"/>
      <c r="H597" s="411"/>
      <c r="I597" s="411"/>
      <c r="J597" s="411"/>
      <c r="K597" s="411"/>
      <c r="L597" s="411"/>
      <c r="M597" s="411"/>
      <c r="N597" s="411"/>
      <c r="O597" s="411"/>
      <c r="P597" s="411"/>
      <c r="Q597" s="385"/>
      <c r="R597" s="411"/>
    </row>
    <row r="598" ht="12.75" customHeight="1">
      <c r="A598" s="411"/>
      <c r="B598" s="411"/>
      <c r="C598" s="411"/>
      <c r="D598" s="411"/>
      <c r="E598" s="411"/>
      <c r="F598" s="411"/>
      <c r="G598" s="411"/>
      <c r="H598" s="411"/>
      <c r="I598" s="411"/>
      <c r="J598" s="411"/>
      <c r="K598" s="411"/>
      <c r="L598" s="411"/>
      <c r="M598" s="411"/>
      <c r="N598" s="411"/>
      <c r="O598" s="411"/>
      <c r="P598" s="411"/>
      <c r="Q598" s="385"/>
      <c r="R598" s="411"/>
    </row>
    <row r="599" ht="12.75" customHeight="1">
      <c r="A599" s="411"/>
      <c r="B599" s="411"/>
      <c r="C599" s="411"/>
      <c r="D599" s="411"/>
      <c r="E599" s="411"/>
      <c r="F599" s="411"/>
      <c r="G599" s="411"/>
      <c r="H599" s="411"/>
      <c r="I599" s="411"/>
      <c r="J599" s="411"/>
      <c r="K599" s="411"/>
      <c r="L599" s="411"/>
      <c r="M599" s="411"/>
      <c r="N599" s="411"/>
      <c r="O599" s="411"/>
      <c r="P599" s="411"/>
      <c r="Q599" s="385"/>
      <c r="R599" s="411"/>
    </row>
    <row r="600" ht="12.75" customHeight="1">
      <c r="A600" s="411"/>
      <c r="B600" s="411"/>
      <c r="C600" s="411"/>
      <c r="D600" s="411"/>
      <c r="E600" s="411"/>
      <c r="F600" s="411"/>
      <c r="G600" s="411"/>
      <c r="H600" s="411"/>
      <c r="I600" s="411"/>
      <c r="J600" s="411"/>
      <c r="K600" s="411"/>
      <c r="L600" s="411"/>
      <c r="M600" s="411"/>
      <c r="N600" s="411"/>
      <c r="O600" s="411"/>
      <c r="P600" s="411"/>
      <c r="Q600" s="385"/>
      <c r="R600" s="411"/>
    </row>
    <row r="601" ht="12.75" customHeight="1">
      <c r="A601" s="411"/>
      <c r="B601" s="411"/>
      <c r="C601" s="411"/>
      <c r="D601" s="411"/>
      <c r="E601" s="411"/>
      <c r="F601" s="411"/>
      <c r="G601" s="411"/>
      <c r="H601" s="411"/>
      <c r="I601" s="411"/>
      <c r="J601" s="411"/>
      <c r="K601" s="411"/>
      <c r="L601" s="411"/>
      <c r="M601" s="411"/>
      <c r="N601" s="411"/>
      <c r="O601" s="411"/>
      <c r="P601" s="411"/>
      <c r="Q601" s="385"/>
      <c r="R601" s="411"/>
    </row>
    <row r="602" ht="12.75" customHeight="1">
      <c r="A602" s="411"/>
      <c r="B602" s="411"/>
      <c r="C602" s="411"/>
      <c r="D602" s="411"/>
      <c r="E602" s="411"/>
      <c r="F602" s="411"/>
      <c r="G602" s="411"/>
      <c r="H602" s="411"/>
      <c r="I602" s="411"/>
      <c r="J602" s="411"/>
      <c r="K602" s="411"/>
      <c r="L602" s="411"/>
      <c r="M602" s="411"/>
      <c r="N602" s="411"/>
      <c r="O602" s="411"/>
      <c r="P602" s="411"/>
      <c r="Q602" s="385"/>
      <c r="R602" s="411"/>
    </row>
    <row r="603" ht="12.75" customHeight="1">
      <c r="A603" s="411"/>
      <c r="B603" s="411"/>
      <c r="C603" s="411"/>
      <c r="D603" s="411"/>
      <c r="E603" s="411"/>
      <c r="F603" s="411"/>
      <c r="G603" s="411"/>
      <c r="H603" s="411"/>
      <c r="I603" s="411"/>
      <c r="J603" s="411"/>
      <c r="K603" s="411"/>
      <c r="L603" s="411"/>
      <c r="M603" s="411"/>
      <c r="N603" s="411"/>
      <c r="O603" s="411"/>
      <c r="P603" s="411"/>
      <c r="Q603" s="385"/>
      <c r="R603" s="411"/>
    </row>
    <row r="604" ht="12.75" customHeight="1">
      <c r="A604" s="411"/>
      <c r="B604" s="411"/>
      <c r="C604" s="411"/>
      <c r="D604" s="411"/>
      <c r="E604" s="411"/>
      <c r="F604" s="411"/>
      <c r="G604" s="411"/>
      <c r="H604" s="411"/>
      <c r="I604" s="411"/>
      <c r="J604" s="411"/>
      <c r="K604" s="411"/>
      <c r="L604" s="411"/>
      <c r="M604" s="411"/>
      <c r="N604" s="411"/>
      <c r="O604" s="411"/>
      <c r="P604" s="411"/>
      <c r="Q604" s="385"/>
      <c r="R604" s="411"/>
    </row>
    <row r="605" ht="12.75" customHeight="1">
      <c r="A605" s="411"/>
      <c r="B605" s="411"/>
      <c r="C605" s="411"/>
      <c r="D605" s="411"/>
      <c r="E605" s="411"/>
      <c r="F605" s="411"/>
      <c r="G605" s="411"/>
      <c r="H605" s="411"/>
      <c r="I605" s="411"/>
      <c r="J605" s="411"/>
      <c r="K605" s="411"/>
      <c r="L605" s="411"/>
      <c r="M605" s="411"/>
      <c r="N605" s="411"/>
      <c r="O605" s="411"/>
      <c r="P605" s="411"/>
      <c r="Q605" s="385"/>
      <c r="R605" s="411"/>
    </row>
    <row r="606" ht="12.75" customHeight="1">
      <c r="A606" s="411"/>
      <c r="B606" s="411"/>
      <c r="C606" s="411"/>
      <c r="D606" s="411"/>
      <c r="E606" s="411"/>
      <c r="F606" s="411"/>
      <c r="G606" s="411"/>
      <c r="H606" s="411"/>
      <c r="I606" s="411"/>
      <c r="J606" s="411"/>
      <c r="K606" s="411"/>
      <c r="L606" s="411"/>
      <c r="M606" s="411"/>
      <c r="N606" s="411"/>
      <c r="O606" s="411"/>
      <c r="P606" s="411"/>
      <c r="Q606" s="385"/>
      <c r="R606" s="411"/>
    </row>
    <row r="607" ht="12.75" customHeight="1">
      <c r="A607" s="411"/>
      <c r="B607" s="411"/>
      <c r="C607" s="411"/>
      <c r="D607" s="411"/>
      <c r="E607" s="411"/>
      <c r="F607" s="411"/>
      <c r="G607" s="411"/>
      <c r="H607" s="411"/>
      <c r="I607" s="411"/>
      <c r="J607" s="411"/>
      <c r="K607" s="411"/>
      <c r="L607" s="411"/>
      <c r="M607" s="411"/>
      <c r="N607" s="411"/>
      <c r="O607" s="411"/>
      <c r="P607" s="411"/>
      <c r="Q607" s="385"/>
      <c r="R607" s="411"/>
    </row>
    <row r="608" ht="12.75" customHeight="1">
      <c r="A608" s="411"/>
      <c r="B608" s="411"/>
      <c r="C608" s="411"/>
      <c r="D608" s="411"/>
      <c r="E608" s="411"/>
      <c r="F608" s="411"/>
      <c r="G608" s="411"/>
      <c r="H608" s="411"/>
      <c r="I608" s="411"/>
      <c r="J608" s="411"/>
      <c r="K608" s="411"/>
      <c r="L608" s="411"/>
      <c r="M608" s="411"/>
      <c r="N608" s="411"/>
      <c r="O608" s="411"/>
      <c r="P608" s="411"/>
      <c r="Q608" s="385"/>
      <c r="R608" s="411"/>
    </row>
    <row r="609" ht="12.75" customHeight="1">
      <c r="A609" s="411"/>
      <c r="B609" s="411"/>
      <c r="C609" s="411"/>
      <c r="D609" s="411"/>
      <c r="E609" s="411"/>
      <c r="F609" s="411"/>
      <c r="G609" s="411"/>
      <c r="H609" s="411"/>
      <c r="I609" s="411"/>
      <c r="J609" s="411"/>
      <c r="K609" s="411"/>
      <c r="L609" s="411"/>
      <c r="M609" s="411"/>
      <c r="N609" s="411"/>
      <c r="O609" s="411"/>
      <c r="P609" s="411"/>
      <c r="Q609" s="385"/>
      <c r="R609" s="411"/>
    </row>
    <row r="610" ht="12.75" customHeight="1">
      <c r="A610" s="411"/>
      <c r="B610" s="411"/>
      <c r="C610" s="411"/>
      <c r="D610" s="411"/>
      <c r="E610" s="411"/>
      <c r="F610" s="411"/>
      <c r="G610" s="411"/>
      <c r="H610" s="411"/>
      <c r="I610" s="411"/>
      <c r="J610" s="411"/>
      <c r="K610" s="411"/>
      <c r="L610" s="411"/>
      <c r="M610" s="411"/>
      <c r="N610" s="411"/>
      <c r="O610" s="411"/>
      <c r="P610" s="411"/>
      <c r="Q610" s="385"/>
      <c r="R610" s="411"/>
    </row>
    <row r="611" ht="12.75" customHeight="1">
      <c r="A611" s="411"/>
      <c r="B611" s="411"/>
      <c r="C611" s="411"/>
      <c r="D611" s="411"/>
      <c r="E611" s="411"/>
      <c r="F611" s="411"/>
      <c r="G611" s="411"/>
      <c r="H611" s="411"/>
      <c r="I611" s="411"/>
      <c r="J611" s="411"/>
      <c r="K611" s="411"/>
      <c r="L611" s="411"/>
      <c r="M611" s="411"/>
      <c r="N611" s="411"/>
      <c r="O611" s="411"/>
      <c r="P611" s="411"/>
      <c r="Q611" s="385"/>
      <c r="R611" s="411"/>
    </row>
    <row r="612" ht="12.75" customHeight="1">
      <c r="A612" s="411"/>
      <c r="B612" s="411"/>
      <c r="C612" s="411"/>
      <c r="D612" s="411"/>
      <c r="E612" s="411"/>
      <c r="F612" s="411"/>
      <c r="G612" s="411"/>
      <c r="H612" s="411"/>
      <c r="I612" s="411"/>
      <c r="J612" s="411"/>
      <c r="K612" s="411"/>
      <c r="L612" s="411"/>
      <c r="M612" s="411"/>
      <c r="N612" s="411"/>
      <c r="O612" s="411"/>
      <c r="P612" s="411"/>
      <c r="Q612" s="385"/>
      <c r="R612" s="411"/>
    </row>
    <row r="613" ht="12.75" customHeight="1">
      <c r="A613" s="411"/>
      <c r="B613" s="411"/>
      <c r="C613" s="411"/>
      <c r="D613" s="411"/>
      <c r="E613" s="411"/>
      <c r="F613" s="411"/>
      <c r="G613" s="411"/>
      <c r="H613" s="411"/>
      <c r="I613" s="411"/>
      <c r="J613" s="411"/>
      <c r="K613" s="411"/>
      <c r="L613" s="411"/>
      <c r="M613" s="411"/>
      <c r="N613" s="411"/>
      <c r="O613" s="411"/>
      <c r="P613" s="411"/>
      <c r="Q613" s="385"/>
      <c r="R613" s="411"/>
    </row>
    <row r="614" ht="12.75" customHeight="1">
      <c r="A614" s="411"/>
      <c r="B614" s="411"/>
      <c r="C614" s="411"/>
      <c r="D614" s="411"/>
      <c r="E614" s="411"/>
      <c r="F614" s="411"/>
      <c r="G614" s="411"/>
      <c r="H614" s="411"/>
      <c r="I614" s="411"/>
      <c r="J614" s="411"/>
      <c r="K614" s="411"/>
      <c r="L614" s="411"/>
      <c r="M614" s="411"/>
      <c r="N614" s="411"/>
      <c r="O614" s="411"/>
      <c r="P614" s="411"/>
      <c r="Q614" s="385"/>
      <c r="R614" s="411"/>
    </row>
    <row r="615" ht="12.75" customHeight="1">
      <c r="A615" s="411"/>
      <c r="B615" s="411"/>
      <c r="C615" s="411"/>
      <c r="D615" s="411"/>
      <c r="E615" s="411"/>
      <c r="F615" s="411"/>
      <c r="G615" s="411"/>
      <c r="H615" s="411"/>
      <c r="I615" s="411"/>
      <c r="J615" s="411"/>
      <c r="K615" s="411"/>
      <c r="L615" s="411"/>
      <c r="M615" s="411"/>
      <c r="N615" s="411"/>
      <c r="O615" s="411"/>
      <c r="P615" s="411"/>
      <c r="Q615" s="385"/>
      <c r="R615" s="411"/>
    </row>
    <row r="616" ht="12.75" customHeight="1">
      <c r="A616" s="411"/>
      <c r="B616" s="411"/>
      <c r="C616" s="411"/>
      <c r="D616" s="411"/>
      <c r="E616" s="411"/>
      <c r="F616" s="411"/>
      <c r="G616" s="411"/>
      <c r="H616" s="411"/>
      <c r="I616" s="411"/>
      <c r="J616" s="411"/>
      <c r="K616" s="411"/>
      <c r="L616" s="411"/>
      <c r="M616" s="411"/>
      <c r="N616" s="411"/>
      <c r="O616" s="411"/>
      <c r="P616" s="411"/>
      <c r="Q616" s="385"/>
      <c r="R616" s="411"/>
    </row>
    <row r="617" ht="12.75" customHeight="1">
      <c r="A617" s="411"/>
      <c r="B617" s="411"/>
      <c r="C617" s="411"/>
      <c r="D617" s="411"/>
      <c r="E617" s="411"/>
      <c r="F617" s="411"/>
      <c r="G617" s="411"/>
      <c r="H617" s="411"/>
      <c r="I617" s="411"/>
      <c r="J617" s="411"/>
      <c r="K617" s="411"/>
      <c r="L617" s="411"/>
      <c r="M617" s="411"/>
      <c r="N617" s="411"/>
      <c r="O617" s="411"/>
      <c r="P617" s="411"/>
      <c r="Q617" s="385"/>
      <c r="R617" s="411"/>
    </row>
    <row r="618" ht="12.75" customHeight="1">
      <c r="A618" s="411"/>
      <c r="B618" s="411"/>
      <c r="C618" s="411"/>
      <c r="D618" s="411"/>
      <c r="E618" s="411"/>
      <c r="F618" s="411"/>
      <c r="G618" s="411"/>
      <c r="H618" s="411"/>
      <c r="I618" s="411"/>
      <c r="J618" s="411"/>
      <c r="K618" s="411"/>
      <c r="L618" s="411"/>
      <c r="M618" s="411"/>
      <c r="N618" s="411"/>
      <c r="O618" s="411"/>
      <c r="P618" s="411"/>
      <c r="Q618" s="385"/>
      <c r="R618" s="411"/>
    </row>
    <row r="619" ht="12.75" customHeight="1">
      <c r="A619" s="411"/>
      <c r="B619" s="411"/>
      <c r="C619" s="411"/>
      <c r="D619" s="411"/>
      <c r="E619" s="411"/>
      <c r="F619" s="411"/>
      <c r="G619" s="411"/>
      <c r="H619" s="411"/>
      <c r="I619" s="411"/>
      <c r="J619" s="411"/>
      <c r="K619" s="411"/>
      <c r="L619" s="411"/>
      <c r="M619" s="411"/>
      <c r="N619" s="411"/>
      <c r="O619" s="411"/>
      <c r="P619" s="411"/>
      <c r="Q619" s="385"/>
      <c r="R619" s="411"/>
    </row>
    <row r="620" ht="12.75" customHeight="1">
      <c r="A620" s="411"/>
      <c r="B620" s="411"/>
      <c r="C620" s="411"/>
      <c r="D620" s="411"/>
      <c r="E620" s="411"/>
      <c r="F620" s="411"/>
      <c r="G620" s="411"/>
      <c r="H620" s="411"/>
      <c r="I620" s="411"/>
      <c r="J620" s="411"/>
      <c r="K620" s="411"/>
      <c r="L620" s="411"/>
      <c r="M620" s="411"/>
      <c r="N620" s="411"/>
      <c r="O620" s="411"/>
      <c r="P620" s="411"/>
      <c r="Q620" s="385"/>
      <c r="R620" s="411"/>
    </row>
    <row r="621" ht="12.75" customHeight="1">
      <c r="A621" s="411"/>
      <c r="B621" s="411"/>
      <c r="C621" s="411"/>
      <c r="D621" s="411"/>
      <c r="E621" s="411"/>
      <c r="F621" s="411"/>
      <c r="G621" s="411"/>
      <c r="H621" s="411"/>
      <c r="I621" s="411"/>
      <c r="J621" s="411"/>
      <c r="K621" s="411"/>
      <c r="L621" s="411"/>
      <c r="M621" s="411"/>
      <c r="N621" s="411"/>
      <c r="O621" s="411"/>
      <c r="P621" s="411"/>
      <c r="Q621" s="385"/>
      <c r="R621" s="411"/>
    </row>
    <row r="622" ht="12.75" customHeight="1">
      <c r="A622" s="411"/>
      <c r="B622" s="411"/>
      <c r="C622" s="411"/>
      <c r="D622" s="411"/>
      <c r="E622" s="411"/>
      <c r="F622" s="411"/>
      <c r="G622" s="411"/>
      <c r="H622" s="411"/>
      <c r="I622" s="411"/>
      <c r="J622" s="411"/>
      <c r="K622" s="411"/>
      <c r="L622" s="411"/>
      <c r="M622" s="411"/>
      <c r="N622" s="411"/>
      <c r="O622" s="411"/>
      <c r="P622" s="411"/>
      <c r="Q622" s="385"/>
      <c r="R622" s="411"/>
    </row>
    <row r="623" ht="12.75" customHeight="1">
      <c r="A623" s="411"/>
      <c r="B623" s="411"/>
      <c r="C623" s="411"/>
      <c r="D623" s="411"/>
      <c r="E623" s="411"/>
      <c r="F623" s="411"/>
      <c r="G623" s="411"/>
      <c r="H623" s="411"/>
      <c r="I623" s="411"/>
      <c r="J623" s="411"/>
      <c r="K623" s="411"/>
      <c r="L623" s="411"/>
      <c r="M623" s="411"/>
      <c r="N623" s="411"/>
      <c r="O623" s="411"/>
      <c r="P623" s="411"/>
      <c r="Q623" s="385"/>
      <c r="R623" s="411"/>
    </row>
    <row r="624" ht="12.75" customHeight="1">
      <c r="A624" s="411"/>
      <c r="B624" s="411"/>
      <c r="C624" s="411"/>
      <c r="D624" s="411"/>
      <c r="E624" s="411"/>
      <c r="F624" s="411"/>
      <c r="G624" s="411"/>
      <c r="H624" s="411"/>
      <c r="I624" s="411"/>
      <c r="J624" s="411"/>
      <c r="K624" s="411"/>
      <c r="L624" s="411"/>
      <c r="M624" s="411"/>
      <c r="N624" s="411"/>
      <c r="O624" s="411"/>
      <c r="P624" s="411"/>
      <c r="Q624" s="385"/>
      <c r="R624" s="411"/>
    </row>
    <row r="625" ht="12.75" customHeight="1">
      <c r="A625" s="411"/>
      <c r="B625" s="411"/>
      <c r="C625" s="411"/>
      <c r="D625" s="411"/>
      <c r="E625" s="411"/>
      <c r="F625" s="411"/>
      <c r="G625" s="411"/>
      <c r="H625" s="411"/>
      <c r="I625" s="411"/>
      <c r="J625" s="411"/>
      <c r="K625" s="411"/>
      <c r="L625" s="411"/>
      <c r="M625" s="411"/>
      <c r="N625" s="411"/>
      <c r="O625" s="411"/>
      <c r="P625" s="411"/>
      <c r="Q625" s="385"/>
      <c r="R625" s="411"/>
    </row>
    <row r="626" ht="12.75" customHeight="1">
      <c r="A626" s="411"/>
      <c r="B626" s="411"/>
      <c r="C626" s="411"/>
      <c r="D626" s="411"/>
      <c r="E626" s="411"/>
      <c r="F626" s="411"/>
      <c r="G626" s="411"/>
      <c r="H626" s="411"/>
      <c r="I626" s="411"/>
      <c r="J626" s="411"/>
      <c r="K626" s="411"/>
      <c r="L626" s="411"/>
      <c r="M626" s="411"/>
      <c r="N626" s="411"/>
      <c r="O626" s="411"/>
      <c r="P626" s="411"/>
      <c r="Q626" s="385"/>
      <c r="R626" s="411"/>
    </row>
    <row r="627" ht="12.75" customHeight="1">
      <c r="A627" s="411"/>
      <c r="B627" s="411"/>
      <c r="C627" s="411"/>
      <c r="D627" s="411"/>
      <c r="E627" s="411"/>
      <c r="F627" s="411"/>
      <c r="G627" s="411"/>
      <c r="H627" s="411"/>
      <c r="I627" s="411"/>
      <c r="J627" s="411"/>
      <c r="K627" s="411"/>
      <c r="L627" s="411"/>
      <c r="M627" s="411"/>
      <c r="N627" s="411"/>
      <c r="O627" s="411"/>
      <c r="P627" s="411"/>
      <c r="Q627" s="385"/>
      <c r="R627" s="411"/>
    </row>
    <row r="628" ht="12.75" customHeight="1">
      <c r="A628" s="411"/>
      <c r="B628" s="411"/>
      <c r="C628" s="411"/>
      <c r="D628" s="411"/>
      <c r="E628" s="411"/>
      <c r="F628" s="411"/>
      <c r="G628" s="411"/>
      <c r="H628" s="411"/>
      <c r="I628" s="411"/>
      <c r="J628" s="411"/>
      <c r="K628" s="411"/>
      <c r="L628" s="411"/>
      <c r="M628" s="411"/>
      <c r="N628" s="411"/>
      <c r="O628" s="411"/>
      <c r="P628" s="411"/>
      <c r="Q628" s="385"/>
      <c r="R628" s="411"/>
    </row>
    <row r="629" ht="12.75" customHeight="1">
      <c r="A629" s="411"/>
      <c r="B629" s="411"/>
      <c r="C629" s="411"/>
      <c r="D629" s="411"/>
      <c r="E629" s="411"/>
      <c r="F629" s="411"/>
      <c r="G629" s="411"/>
      <c r="H629" s="411"/>
      <c r="I629" s="411"/>
      <c r="J629" s="411"/>
      <c r="K629" s="411"/>
      <c r="L629" s="411"/>
      <c r="M629" s="411"/>
      <c r="N629" s="411"/>
      <c r="O629" s="411"/>
      <c r="P629" s="411"/>
      <c r="Q629" s="385"/>
      <c r="R629" s="411"/>
    </row>
    <row r="630" ht="12.75" customHeight="1">
      <c r="A630" s="411"/>
      <c r="B630" s="411"/>
      <c r="C630" s="411"/>
      <c r="D630" s="411"/>
      <c r="E630" s="411"/>
      <c r="F630" s="411"/>
      <c r="G630" s="411"/>
      <c r="H630" s="411"/>
      <c r="I630" s="411"/>
      <c r="J630" s="411"/>
      <c r="K630" s="411"/>
      <c r="L630" s="411"/>
      <c r="M630" s="411"/>
      <c r="N630" s="411"/>
      <c r="O630" s="411"/>
      <c r="P630" s="411"/>
      <c r="Q630" s="385"/>
      <c r="R630" s="411"/>
    </row>
    <row r="631" ht="12.75" customHeight="1">
      <c r="A631" s="411"/>
      <c r="B631" s="411"/>
      <c r="C631" s="411"/>
      <c r="D631" s="411"/>
      <c r="E631" s="411"/>
      <c r="F631" s="411"/>
      <c r="G631" s="411"/>
      <c r="H631" s="411"/>
      <c r="I631" s="411"/>
      <c r="J631" s="411"/>
      <c r="K631" s="411"/>
      <c r="L631" s="411"/>
      <c r="M631" s="411"/>
      <c r="N631" s="411"/>
      <c r="O631" s="411"/>
      <c r="P631" s="411"/>
      <c r="Q631" s="385"/>
      <c r="R631" s="411"/>
    </row>
    <row r="632" ht="12.75" customHeight="1">
      <c r="A632" s="411"/>
      <c r="B632" s="411"/>
      <c r="C632" s="411"/>
      <c r="D632" s="411"/>
      <c r="E632" s="411"/>
      <c r="F632" s="411"/>
      <c r="G632" s="411"/>
      <c r="H632" s="411"/>
      <c r="I632" s="411"/>
      <c r="J632" s="411"/>
      <c r="K632" s="411"/>
      <c r="L632" s="411"/>
      <c r="M632" s="411"/>
      <c r="N632" s="411"/>
      <c r="O632" s="411"/>
      <c r="P632" s="411"/>
      <c r="Q632" s="385"/>
      <c r="R632" s="411"/>
    </row>
    <row r="633" ht="12.75" customHeight="1">
      <c r="A633" s="411"/>
      <c r="B633" s="411"/>
      <c r="C633" s="411"/>
      <c r="D633" s="411"/>
      <c r="E633" s="411"/>
      <c r="F633" s="411"/>
      <c r="G633" s="411"/>
      <c r="H633" s="411"/>
      <c r="I633" s="411"/>
      <c r="J633" s="411"/>
      <c r="K633" s="411"/>
      <c r="L633" s="411"/>
      <c r="M633" s="411"/>
      <c r="N633" s="411"/>
      <c r="O633" s="411"/>
      <c r="P633" s="411"/>
      <c r="Q633" s="385"/>
      <c r="R633" s="411"/>
    </row>
    <row r="634" ht="12.75" customHeight="1">
      <c r="A634" s="411"/>
      <c r="B634" s="411"/>
      <c r="C634" s="411"/>
      <c r="D634" s="411"/>
      <c r="E634" s="411"/>
      <c r="F634" s="411"/>
      <c r="G634" s="411"/>
      <c r="H634" s="411"/>
      <c r="I634" s="411"/>
      <c r="J634" s="411"/>
      <c r="K634" s="411"/>
      <c r="L634" s="411"/>
      <c r="M634" s="411"/>
      <c r="N634" s="411"/>
      <c r="O634" s="411"/>
      <c r="P634" s="411"/>
      <c r="Q634" s="385"/>
      <c r="R634" s="411"/>
    </row>
    <row r="635" ht="12.75" customHeight="1">
      <c r="A635" s="411"/>
      <c r="B635" s="411"/>
      <c r="C635" s="411"/>
      <c r="D635" s="411"/>
      <c r="E635" s="411"/>
      <c r="F635" s="411"/>
      <c r="G635" s="411"/>
      <c r="H635" s="411"/>
      <c r="I635" s="411"/>
      <c r="J635" s="411"/>
      <c r="K635" s="411"/>
      <c r="L635" s="411"/>
      <c r="M635" s="411"/>
      <c r="N635" s="411"/>
      <c r="O635" s="411"/>
      <c r="P635" s="411"/>
      <c r="Q635" s="385"/>
      <c r="R635" s="411"/>
    </row>
    <row r="636" ht="12.75" customHeight="1">
      <c r="A636" s="411"/>
      <c r="B636" s="411"/>
      <c r="C636" s="411"/>
      <c r="D636" s="411"/>
      <c r="E636" s="411"/>
      <c r="F636" s="411"/>
      <c r="G636" s="411"/>
      <c r="H636" s="411"/>
      <c r="I636" s="411"/>
      <c r="J636" s="411"/>
      <c r="K636" s="411"/>
      <c r="L636" s="411"/>
      <c r="M636" s="411"/>
      <c r="N636" s="411"/>
      <c r="O636" s="411"/>
      <c r="P636" s="411"/>
      <c r="Q636" s="385"/>
      <c r="R636" s="411"/>
    </row>
    <row r="637" ht="12.75" customHeight="1">
      <c r="A637" s="411"/>
      <c r="B637" s="411"/>
      <c r="C637" s="411"/>
      <c r="D637" s="411"/>
      <c r="E637" s="411"/>
      <c r="F637" s="411"/>
      <c r="G637" s="411"/>
      <c r="H637" s="411"/>
      <c r="I637" s="411"/>
      <c r="J637" s="411"/>
      <c r="K637" s="411"/>
      <c r="L637" s="411"/>
      <c r="M637" s="411"/>
      <c r="N637" s="411"/>
      <c r="O637" s="411"/>
      <c r="P637" s="411"/>
      <c r="Q637" s="385"/>
      <c r="R637" s="411"/>
    </row>
    <row r="638" ht="12.75" customHeight="1">
      <c r="A638" s="411"/>
      <c r="B638" s="411"/>
      <c r="C638" s="411"/>
      <c r="D638" s="411"/>
      <c r="E638" s="411"/>
      <c r="F638" s="411"/>
      <c r="G638" s="411"/>
      <c r="H638" s="411"/>
      <c r="I638" s="411"/>
      <c r="J638" s="411"/>
      <c r="K638" s="411"/>
      <c r="L638" s="411"/>
      <c r="M638" s="411"/>
      <c r="N638" s="411"/>
      <c r="O638" s="411"/>
      <c r="P638" s="411"/>
      <c r="Q638" s="385"/>
      <c r="R638" s="411"/>
    </row>
    <row r="639" ht="12.75" customHeight="1">
      <c r="A639" s="411"/>
      <c r="B639" s="411"/>
      <c r="C639" s="411"/>
      <c r="D639" s="411"/>
      <c r="E639" s="411"/>
      <c r="F639" s="411"/>
      <c r="G639" s="411"/>
      <c r="H639" s="411"/>
      <c r="I639" s="411"/>
      <c r="J639" s="411"/>
      <c r="K639" s="411"/>
      <c r="L639" s="411"/>
      <c r="M639" s="411"/>
      <c r="N639" s="411"/>
      <c r="O639" s="411"/>
      <c r="P639" s="411"/>
      <c r="Q639" s="385"/>
      <c r="R639" s="411"/>
    </row>
    <row r="640" ht="12.75" customHeight="1">
      <c r="A640" s="411"/>
      <c r="B640" s="411"/>
      <c r="C640" s="411"/>
      <c r="D640" s="411"/>
      <c r="E640" s="411"/>
      <c r="F640" s="411"/>
      <c r="G640" s="411"/>
      <c r="H640" s="411"/>
      <c r="I640" s="411"/>
      <c r="J640" s="411"/>
      <c r="K640" s="411"/>
      <c r="L640" s="411"/>
      <c r="M640" s="411"/>
      <c r="N640" s="411"/>
      <c r="O640" s="411"/>
      <c r="P640" s="411"/>
      <c r="Q640" s="385"/>
      <c r="R640" s="411"/>
    </row>
    <row r="641" ht="12.75" customHeight="1">
      <c r="A641" s="411"/>
      <c r="B641" s="411"/>
      <c r="C641" s="411"/>
      <c r="D641" s="411"/>
      <c r="E641" s="411"/>
      <c r="F641" s="411"/>
      <c r="G641" s="411"/>
      <c r="H641" s="411"/>
      <c r="I641" s="411"/>
      <c r="J641" s="411"/>
      <c r="K641" s="411"/>
      <c r="L641" s="411"/>
      <c r="M641" s="411"/>
      <c r="N641" s="411"/>
      <c r="O641" s="411"/>
      <c r="P641" s="411"/>
      <c r="Q641" s="385"/>
      <c r="R641" s="411"/>
    </row>
    <row r="642" ht="12.75" customHeight="1">
      <c r="A642" s="411"/>
      <c r="B642" s="411"/>
      <c r="C642" s="411"/>
      <c r="D642" s="411"/>
      <c r="E642" s="411"/>
      <c r="F642" s="411"/>
      <c r="G642" s="411"/>
      <c r="H642" s="411"/>
      <c r="I642" s="411"/>
      <c r="J642" s="411"/>
      <c r="K642" s="411"/>
      <c r="L642" s="411"/>
      <c r="M642" s="411"/>
      <c r="N642" s="411"/>
      <c r="O642" s="411"/>
      <c r="P642" s="411"/>
      <c r="Q642" s="385"/>
      <c r="R642" s="411"/>
    </row>
    <row r="643" ht="12.75" customHeight="1">
      <c r="A643" s="411"/>
      <c r="B643" s="411"/>
      <c r="C643" s="411"/>
      <c r="D643" s="411"/>
      <c r="E643" s="411"/>
      <c r="F643" s="411"/>
      <c r="G643" s="411"/>
      <c r="H643" s="411"/>
      <c r="I643" s="411"/>
      <c r="J643" s="411"/>
      <c r="K643" s="411"/>
      <c r="L643" s="411"/>
      <c r="M643" s="411"/>
      <c r="N643" s="411"/>
      <c r="O643" s="411"/>
      <c r="P643" s="411"/>
      <c r="Q643" s="385"/>
      <c r="R643" s="411"/>
    </row>
    <row r="644" ht="12.75" customHeight="1">
      <c r="A644" s="411"/>
      <c r="B644" s="411"/>
      <c r="C644" s="411"/>
      <c r="D644" s="411"/>
      <c r="E644" s="411"/>
      <c r="F644" s="411"/>
      <c r="G644" s="411"/>
      <c r="H644" s="411"/>
      <c r="I644" s="411"/>
      <c r="J644" s="411"/>
      <c r="K644" s="411"/>
      <c r="L644" s="411"/>
      <c r="M644" s="411"/>
      <c r="N644" s="411"/>
      <c r="O644" s="411"/>
      <c r="P644" s="411"/>
      <c r="Q644" s="385"/>
      <c r="R644" s="411"/>
    </row>
    <row r="645" ht="12.75" customHeight="1">
      <c r="A645" s="411"/>
      <c r="B645" s="411"/>
      <c r="C645" s="411"/>
      <c r="D645" s="411"/>
      <c r="E645" s="411"/>
      <c r="F645" s="411"/>
      <c r="G645" s="411"/>
      <c r="H645" s="411"/>
      <c r="I645" s="411"/>
      <c r="J645" s="411"/>
      <c r="K645" s="411"/>
      <c r="L645" s="411"/>
      <c r="M645" s="411"/>
      <c r="N645" s="411"/>
      <c r="O645" s="411"/>
      <c r="P645" s="411"/>
      <c r="Q645" s="385"/>
      <c r="R645" s="411"/>
    </row>
    <row r="646" ht="12.75" customHeight="1">
      <c r="A646" s="411"/>
      <c r="B646" s="411"/>
      <c r="C646" s="411"/>
      <c r="D646" s="411"/>
      <c r="E646" s="411"/>
      <c r="F646" s="411"/>
      <c r="G646" s="411"/>
      <c r="H646" s="411"/>
      <c r="I646" s="411"/>
      <c r="J646" s="411"/>
      <c r="K646" s="411"/>
      <c r="L646" s="411"/>
      <c r="M646" s="411"/>
      <c r="N646" s="411"/>
      <c r="O646" s="411"/>
      <c r="P646" s="411"/>
      <c r="Q646" s="385"/>
      <c r="R646" s="411"/>
    </row>
    <row r="647" ht="12.75" customHeight="1">
      <c r="A647" s="411"/>
      <c r="B647" s="411"/>
      <c r="C647" s="411"/>
      <c r="D647" s="411"/>
      <c r="E647" s="411"/>
      <c r="F647" s="411"/>
      <c r="G647" s="411"/>
      <c r="H647" s="411"/>
      <c r="I647" s="411"/>
      <c r="J647" s="411"/>
      <c r="K647" s="411"/>
      <c r="L647" s="411"/>
      <c r="M647" s="411"/>
      <c r="N647" s="411"/>
      <c r="O647" s="411"/>
      <c r="P647" s="411"/>
      <c r="Q647" s="385"/>
      <c r="R647" s="411"/>
    </row>
    <row r="648" ht="12.75" customHeight="1">
      <c r="A648" s="411"/>
      <c r="B648" s="411"/>
      <c r="C648" s="411"/>
      <c r="D648" s="411"/>
      <c r="E648" s="411"/>
      <c r="F648" s="411"/>
      <c r="G648" s="411"/>
      <c r="H648" s="411"/>
      <c r="I648" s="411"/>
      <c r="J648" s="411"/>
      <c r="K648" s="411"/>
      <c r="L648" s="411"/>
      <c r="M648" s="411"/>
      <c r="N648" s="411"/>
      <c r="O648" s="411"/>
      <c r="P648" s="411"/>
      <c r="Q648" s="385"/>
      <c r="R648" s="411"/>
    </row>
    <row r="649" ht="12.75" customHeight="1">
      <c r="A649" s="411"/>
      <c r="B649" s="411"/>
      <c r="C649" s="411"/>
      <c r="D649" s="411"/>
      <c r="E649" s="411"/>
      <c r="F649" s="411"/>
      <c r="G649" s="411"/>
      <c r="H649" s="411"/>
      <c r="I649" s="411"/>
      <c r="J649" s="411"/>
      <c r="K649" s="411"/>
      <c r="L649" s="411"/>
      <c r="M649" s="411"/>
      <c r="N649" s="411"/>
      <c r="O649" s="411"/>
      <c r="P649" s="411"/>
      <c r="Q649" s="385"/>
      <c r="R649" s="411"/>
    </row>
    <row r="650" ht="12.75" customHeight="1">
      <c r="A650" s="411"/>
      <c r="B650" s="411"/>
      <c r="C650" s="411"/>
      <c r="D650" s="411"/>
      <c r="E650" s="411"/>
      <c r="F650" s="411"/>
      <c r="G650" s="411"/>
      <c r="H650" s="411"/>
      <c r="I650" s="411"/>
      <c r="J650" s="411"/>
      <c r="K650" s="411"/>
      <c r="L650" s="411"/>
      <c r="M650" s="411"/>
      <c r="N650" s="411"/>
      <c r="O650" s="411"/>
      <c r="P650" s="411"/>
      <c r="Q650" s="385"/>
      <c r="R650" s="411"/>
    </row>
    <row r="651" ht="12.75" customHeight="1">
      <c r="A651" s="411"/>
      <c r="B651" s="411"/>
      <c r="C651" s="411"/>
      <c r="D651" s="411"/>
      <c r="E651" s="411"/>
      <c r="F651" s="411"/>
      <c r="G651" s="411"/>
      <c r="H651" s="411"/>
      <c r="I651" s="411"/>
      <c r="J651" s="411"/>
      <c r="K651" s="411"/>
      <c r="L651" s="411"/>
      <c r="M651" s="411"/>
      <c r="N651" s="411"/>
      <c r="O651" s="411"/>
      <c r="P651" s="411"/>
      <c r="Q651" s="385"/>
      <c r="R651" s="411"/>
    </row>
    <row r="652" ht="12.75" customHeight="1">
      <c r="A652" s="411"/>
      <c r="B652" s="411"/>
      <c r="C652" s="411"/>
      <c r="D652" s="411"/>
      <c r="E652" s="411"/>
      <c r="F652" s="411"/>
      <c r="G652" s="411"/>
      <c r="H652" s="411"/>
      <c r="I652" s="411"/>
      <c r="J652" s="411"/>
      <c r="K652" s="411"/>
      <c r="L652" s="411"/>
      <c r="M652" s="411"/>
      <c r="N652" s="411"/>
      <c r="O652" s="411"/>
      <c r="P652" s="411"/>
      <c r="Q652" s="385"/>
      <c r="R652" s="411"/>
    </row>
    <row r="653" ht="12.75" customHeight="1">
      <c r="A653" s="411"/>
      <c r="B653" s="411"/>
      <c r="C653" s="411"/>
      <c r="D653" s="411"/>
      <c r="E653" s="411"/>
      <c r="F653" s="411"/>
      <c r="G653" s="411"/>
      <c r="H653" s="411"/>
      <c r="I653" s="411"/>
      <c r="J653" s="411"/>
      <c r="K653" s="411"/>
      <c r="L653" s="411"/>
      <c r="M653" s="411"/>
      <c r="N653" s="411"/>
      <c r="O653" s="411"/>
      <c r="P653" s="411"/>
      <c r="Q653" s="385"/>
      <c r="R653" s="411"/>
    </row>
    <row r="654" ht="12.75" customHeight="1">
      <c r="A654" s="411"/>
      <c r="B654" s="411"/>
      <c r="C654" s="411"/>
      <c r="D654" s="411"/>
      <c r="E654" s="411"/>
      <c r="F654" s="411"/>
      <c r="G654" s="411"/>
      <c r="H654" s="411"/>
      <c r="I654" s="411"/>
      <c r="J654" s="411"/>
      <c r="K654" s="411"/>
      <c r="L654" s="411"/>
      <c r="M654" s="411"/>
      <c r="N654" s="411"/>
      <c r="O654" s="411"/>
      <c r="P654" s="411"/>
      <c r="Q654" s="385"/>
      <c r="R654" s="411"/>
    </row>
    <row r="655" ht="12.75" customHeight="1">
      <c r="A655" s="411"/>
      <c r="B655" s="411"/>
      <c r="C655" s="411"/>
      <c r="D655" s="411"/>
      <c r="E655" s="411"/>
      <c r="F655" s="411"/>
      <c r="G655" s="411"/>
      <c r="H655" s="411"/>
      <c r="I655" s="411"/>
      <c r="J655" s="411"/>
      <c r="K655" s="411"/>
      <c r="L655" s="411"/>
      <c r="M655" s="411"/>
      <c r="N655" s="411"/>
      <c r="O655" s="411"/>
      <c r="P655" s="411"/>
      <c r="Q655" s="385"/>
      <c r="R655" s="411"/>
    </row>
    <row r="656" ht="12.75" customHeight="1">
      <c r="A656" s="411"/>
      <c r="B656" s="411"/>
      <c r="C656" s="411"/>
      <c r="D656" s="411"/>
      <c r="E656" s="411"/>
      <c r="F656" s="411"/>
      <c r="G656" s="411"/>
      <c r="H656" s="411"/>
      <c r="I656" s="411"/>
      <c r="J656" s="411"/>
      <c r="K656" s="411"/>
      <c r="L656" s="411"/>
      <c r="M656" s="411"/>
      <c r="N656" s="411"/>
      <c r="O656" s="411"/>
      <c r="P656" s="411"/>
      <c r="Q656" s="385"/>
      <c r="R656" s="411"/>
    </row>
    <row r="657" ht="12.75" customHeight="1">
      <c r="A657" s="411"/>
      <c r="B657" s="411"/>
      <c r="C657" s="411"/>
      <c r="D657" s="411"/>
      <c r="E657" s="411"/>
      <c r="F657" s="411"/>
      <c r="G657" s="411"/>
      <c r="H657" s="411"/>
      <c r="I657" s="411"/>
      <c r="J657" s="411"/>
      <c r="K657" s="411"/>
      <c r="L657" s="411"/>
      <c r="M657" s="411"/>
      <c r="N657" s="411"/>
      <c r="O657" s="411"/>
      <c r="P657" s="411"/>
      <c r="Q657" s="385"/>
      <c r="R657" s="411"/>
    </row>
    <row r="658" ht="12.75" customHeight="1">
      <c r="A658" s="411"/>
      <c r="B658" s="411"/>
      <c r="C658" s="411"/>
      <c r="D658" s="411"/>
      <c r="E658" s="411"/>
      <c r="F658" s="411"/>
      <c r="G658" s="411"/>
      <c r="H658" s="411"/>
      <c r="I658" s="411"/>
      <c r="J658" s="411"/>
      <c r="K658" s="411"/>
      <c r="L658" s="411"/>
      <c r="M658" s="411"/>
      <c r="N658" s="411"/>
      <c r="O658" s="411"/>
      <c r="P658" s="411"/>
      <c r="Q658" s="385"/>
      <c r="R658" s="411"/>
    </row>
    <row r="659" ht="12.75" customHeight="1">
      <c r="A659" s="411"/>
      <c r="B659" s="411"/>
      <c r="C659" s="411"/>
      <c r="D659" s="411"/>
      <c r="E659" s="411"/>
      <c r="F659" s="411"/>
      <c r="G659" s="411"/>
      <c r="H659" s="411"/>
      <c r="I659" s="411"/>
      <c r="J659" s="411"/>
      <c r="K659" s="411"/>
      <c r="L659" s="411"/>
      <c r="M659" s="411"/>
      <c r="N659" s="411"/>
      <c r="O659" s="411"/>
      <c r="P659" s="411"/>
      <c r="Q659" s="385"/>
      <c r="R659" s="411"/>
    </row>
    <row r="660" ht="12.75" customHeight="1">
      <c r="A660" s="411"/>
      <c r="B660" s="411"/>
      <c r="C660" s="411"/>
      <c r="D660" s="411"/>
      <c r="E660" s="411"/>
      <c r="F660" s="411"/>
      <c r="G660" s="411"/>
      <c r="H660" s="411"/>
      <c r="I660" s="411"/>
      <c r="J660" s="411"/>
      <c r="K660" s="411"/>
      <c r="L660" s="411"/>
      <c r="M660" s="411"/>
      <c r="N660" s="411"/>
      <c r="O660" s="411"/>
      <c r="P660" s="411"/>
      <c r="Q660" s="385"/>
      <c r="R660" s="411"/>
    </row>
    <row r="661" ht="12.75" customHeight="1">
      <c r="A661" s="411"/>
      <c r="B661" s="411"/>
      <c r="C661" s="411"/>
      <c r="D661" s="411"/>
      <c r="E661" s="411"/>
      <c r="F661" s="411"/>
      <c r="G661" s="411"/>
      <c r="H661" s="411"/>
      <c r="I661" s="411"/>
      <c r="J661" s="411"/>
      <c r="K661" s="411"/>
      <c r="L661" s="411"/>
      <c r="M661" s="411"/>
      <c r="N661" s="411"/>
      <c r="O661" s="411"/>
      <c r="P661" s="411"/>
      <c r="Q661" s="385"/>
      <c r="R661" s="411"/>
    </row>
    <row r="662" ht="12.75" customHeight="1">
      <c r="A662" s="411"/>
      <c r="B662" s="411"/>
      <c r="C662" s="411"/>
      <c r="D662" s="411"/>
      <c r="E662" s="411"/>
      <c r="F662" s="411"/>
      <c r="G662" s="411"/>
      <c r="H662" s="411"/>
      <c r="I662" s="411"/>
      <c r="J662" s="411"/>
      <c r="K662" s="411"/>
      <c r="L662" s="411"/>
      <c r="M662" s="411"/>
      <c r="N662" s="411"/>
      <c r="O662" s="411"/>
      <c r="P662" s="411"/>
      <c r="Q662" s="385"/>
      <c r="R662" s="411"/>
    </row>
    <row r="663" ht="12.75" customHeight="1">
      <c r="A663" s="411"/>
      <c r="B663" s="411"/>
      <c r="C663" s="411"/>
      <c r="D663" s="411"/>
      <c r="E663" s="411"/>
      <c r="F663" s="411"/>
      <c r="G663" s="411"/>
      <c r="H663" s="411"/>
      <c r="I663" s="411"/>
      <c r="J663" s="411"/>
      <c r="K663" s="411"/>
      <c r="L663" s="411"/>
      <c r="M663" s="411"/>
      <c r="N663" s="411"/>
      <c r="O663" s="411"/>
      <c r="P663" s="411"/>
      <c r="Q663" s="385"/>
      <c r="R663" s="411"/>
    </row>
    <row r="664" ht="12.75" customHeight="1">
      <c r="A664" s="411"/>
      <c r="B664" s="411"/>
      <c r="C664" s="411"/>
      <c r="D664" s="411"/>
      <c r="E664" s="411"/>
      <c r="F664" s="411"/>
      <c r="G664" s="411"/>
      <c r="H664" s="411"/>
      <c r="I664" s="411"/>
      <c r="J664" s="411"/>
      <c r="K664" s="411"/>
      <c r="L664" s="411"/>
      <c r="M664" s="411"/>
      <c r="N664" s="411"/>
      <c r="O664" s="411"/>
      <c r="P664" s="411"/>
      <c r="Q664" s="385"/>
      <c r="R664" s="411"/>
    </row>
    <row r="665" ht="12.75" customHeight="1">
      <c r="A665" s="411"/>
      <c r="B665" s="411"/>
      <c r="C665" s="411"/>
      <c r="D665" s="411"/>
      <c r="E665" s="411"/>
      <c r="F665" s="411"/>
      <c r="G665" s="411"/>
      <c r="H665" s="411"/>
      <c r="I665" s="411"/>
      <c r="J665" s="411"/>
      <c r="K665" s="411"/>
      <c r="L665" s="411"/>
      <c r="M665" s="411"/>
      <c r="N665" s="411"/>
      <c r="O665" s="411"/>
      <c r="P665" s="411"/>
      <c r="Q665" s="385"/>
      <c r="R665" s="411"/>
    </row>
    <row r="666" ht="12.75" customHeight="1">
      <c r="A666" s="411"/>
      <c r="B666" s="411"/>
      <c r="C666" s="411"/>
      <c r="D666" s="411"/>
      <c r="E666" s="411"/>
      <c r="F666" s="411"/>
      <c r="G666" s="411"/>
      <c r="H666" s="411"/>
      <c r="I666" s="411"/>
      <c r="J666" s="411"/>
      <c r="K666" s="411"/>
      <c r="L666" s="411"/>
      <c r="M666" s="411"/>
      <c r="N666" s="411"/>
      <c r="O666" s="411"/>
      <c r="P666" s="411"/>
      <c r="Q666" s="385"/>
      <c r="R666" s="411"/>
    </row>
    <row r="667" ht="12.75" customHeight="1">
      <c r="A667" s="411"/>
      <c r="B667" s="411"/>
      <c r="C667" s="411"/>
      <c r="D667" s="411"/>
      <c r="E667" s="411"/>
      <c r="F667" s="411"/>
      <c r="G667" s="411"/>
      <c r="H667" s="411"/>
      <c r="I667" s="411"/>
      <c r="J667" s="411"/>
      <c r="K667" s="411"/>
      <c r="L667" s="411"/>
      <c r="M667" s="411"/>
      <c r="N667" s="411"/>
      <c r="O667" s="411"/>
      <c r="P667" s="411"/>
      <c r="Q667" s="385"/>
      <c r="R667" s="411"/>
    </row>
    <row r="668" ht="12.75" customHeight="1">
      <c r="A668" s="411"/>
      <c r="B668" s="411"/>
      <c r="C668" s="411"/>
      <c r="D668" s="411"/>
      <c r="E668" s="411"/>
      <c r="F668" s="411"/>
      <c r="G668" s="411"/>
      <c r="H668" s="411"/>
      <c r="I668" s="411"/>
      <c r="J668" s="411"/>
      <c r="K668" s="411"/>
      <c r="L668" s="411"/>
      <c r="M668" s="411"/>
      <c r="N668" s="411"/>
      <c r="O668" s="411"/>
      <c r="P668" s="411"/>
      <c r="Q668" s="385"/>
      <c r="R668" s="411"/>
    </row>
    <row r="669" ht="12.75" customHeight="1">
      <c r="A669" s="411"/>
      <c r="B669" s="411"/>
      <c r="C669" s="411"/>
      <c r="D669" s="411"/>
      <c r="E669" s="411"/>
      <c r="F669" s="411"/>
      <c r="G669" s="411"/>
      <c r="H669" s="411"/>
      <c r="I669" s="411"/>
      <c r="J669" s="411"/>
      <c r="K669" s="411"/>
      <c r="L669" s="411"/>
      <c r="M669" s="411"/>
      <c r="N669" s="411"/>
      <c r="O669" s="411"/>
      <c r="P669" s="411"/>
      <c r="Q669" s="385"/>
      <c r="R669" s="411"/>
    </row>
    <row r="670" ht="12.75" customHeight="1">
      <c r="A670" s="411"/>
      <c r="B670" s="411"/>
      <c r="C670" s="411"/>
      <c r="D670" s="411"/>
      <c r="E670" s="411"/>
      <c r="F670" s="411"/>
      <c r="G670" s="411"/>
      <c r="H670" s="411"/>
      <c r="I670" s="411"/>
      <c r="J670" s="411"/>
      <c r="K670" s="411"/>
      <c r="L670" s="411"/>
      <c r="M670" s="411"/>
      <c r="N670" s="411"/>
      <c r="O670" s="411"/>
      <c r="P670" s="411"/>
      <c r="Q670" s="385"/>
      <c r="R670" s="411"/>
    </row>
    <row r="671" ht="12.75" customHeight="1">
      <c r="A671" s="411"/>
      <c r="B671" s="411"/>
      <c r="C671" s="411"/>
      <c r="D671" s="411"/>
      <c r="E671" s="411"/>
      <c r="F671" s="411"/>
      <c r="G671" s="411"/>
      <c r="H671" s="411"/>
      <c r="I671" s="411"/>
      <c r="J671" s="411"/>
      <c r="K671" s="411"/>
      <c r="L671" s="411"/>
      <c r="M671" s="411"/>
      <c r="N671" s="411"/>
      <c r="O671" s="411"/>
      <c r="P671" s="411"/>
      <c r="Q671" s="385"/>
      <c r="R671" s="411"/>
    </row>
    <row r="672" ht="12.75" customHeight="1">
      <c r="A672" s="411"/>
      <c r="B672" s="411"/>
      <c r="C672" s="411"/>
      <c r="D672" s="411"/>
      <c r="E672" s="411"/>
      <c r="F672" s="411"/>
      <c r="G672" s="411"/>
      <c r="H672" s="411"/>
      <c r="I672" s="411"/>
      <c r="J672" s="411"/>
      <c r="K672" s="411"/>
      <c r="L672" s="411"/>
      <c r="M672" s="411"/>
      <c r="N672" s="411"/>
      <c r="O672" s="411"/>
      <c r="P672" s="411"/>
      <c r="Q672" s="385"/>
      <c r="R672" s="411"/>
    </row>
    <row r="673" ht="12.75" customHeight="1">
      <c r="A673" s="411"/>
      <c r="B673" s="411"/>
      <c r="C673" s="411"/>
      <c r="D673" s="411"/>
      <c r="E673" s="411"/>
      <c r="F673" s="411"/>
      <c r="G673" s="411"/>
      <c r="H673" s="411"/>
      <c r="I673" s="411"/>
      <c r="J673" s="411"/>
      <c r="K673" s="411"/>
      <c r="L673" s="411"/>
      <c r="M673" s="411"/>
      <c r="N673" s="411"/>
      <c r="O673" s="411"/>
      <c r="P673" s="411"/>
      <c r="Q673" s="385"/>
      <c r="R673" s="411"/>
    </row>
    <row r="674" ht="12.75" customHeight="1">
      <c r="A674" s="411"/>
      <c r="B674" s="411"/>
      <c r="C674" s="411"/>
      <c r="D674" s="411"/>
      <c r="E674" s="411"/>
      <c r="F674" s="411"/>
      <c r="G674" s="411"/>
      <c r="H674" s="411"/>
      <c r="I674" s="411"/>
      <c r="J674" s="411"/>
      <c r="K674" s="411"/>
      <c r="L674" s="411"/>
      <c r="M674" s="411"/>
      <c r="N674" s="411"/>
      <c r="O674" s="411"/>
      <c r="P674" s="411"/>
      <c r="Q674" s="385"/>
      <c r="R674" s="411"/>
    </row>
    <row r="675" ht="12.75" customHeight="1">
      <c r="A675" s="411"/>
      <c r="B675" s="411"/>
      <c r="C675" s="411"/>
      <c r="D675" s="411"/>
      <c r="E675" s="411"/>
      <c r="F675" s="411"/>
      <c r="G675" s="411"/>
      <c r="H675" s="411"/>
      <c r="I675" s="411"/>
      <c r="J675" s="411"/>
      <c r="K675" s="411"/>
      <c r="L675" s="411"/>
      <c r="M675" s="411"/>
      <c r="N675" s="411"/>
      <c r="O675" s="411"/>
      <c r="P675" s="411"/>
      <c r="Q675" s="385"/>
      <c r="R675" s="411"/>
    </row>
    <row r="676" ht="12.75" customHeight="1">
      <c r="A676" s="411"/>
      <c r="B676" s="411"/>
      <c r="C676" s="411"/>
      <c r="D676" s="411"/>
      <c r="E676" s="411"/>
      <c r="F676" s="411"/>
      <c r="G676" s="411"/>
      <c r="H676" s="411"/>
      <c r="I676" s="411"/>
      <c r="J676" s="411"/>
      <c r="K676" s="411"/>
      <c r="L676" s="411"/>
      <c r="M676" s="411"/>
      <c r="N676" s="411"/>
      <c r="O676" s="411"/>
      <c r="P676" s="411"/>
      <c r="Q676" s="385"/>
      <c r="R676" s="411"/>
    </row>
    <row r="677" ht="12.75" customHeight="1">
      <c r="A677" s="411"/>
      <c r="B677" s="411"/>
      <c r="C677" s="411"/>
      <c r="D677" s="411"/>
      <c r="E677" s="411"/>
      <c r="F677" s="411"/>
      <c r="G677" s="411"/>
      <c r="H677" s="411"/>
      <c r="I677" s="411"/>
      <c r="J677" s="411"/>
      <c r="K677" s="411"/>
      <c r="L677" s="411"/>
      <c r="M677" s="411"/>
      <c r="N677" s="411"/>
      <c r="O677" s="411"/>
      <c r="P677" s="411"/>
      <c r="Q677" s="385"/>
      <c r="R677" s="411"/>
    </row>
    <row r="678" ht="12.75" customHeight="1">
      <c r="A678" s="411"/>
      <c r="B678" s="411"/>
      <c r="C678" s="411"/>
      <c r="D678" s="411"/>
      <c r="E678" s="411"/>
      <c r="F678" s="411"/>
      <c r="G678" s="411"/>
      <c r="H678" s="411"/>
      <c r="I678" s="411"/>
      <c r="J678" s="411"/>
      <c r="K678" s="411"/>
      <c r="L678" s="411"/>
      <c r="M678" s="411"/>
      <c r="N678" s="411"/>
      <c r="O678" s="411"/>
      <c r="P678" s="411"/>
      <c r="Q678" s="385"/>
      <c r="R678" s="411"/>
    </row>
    <row r="679" ht="12.75" customHeight="1">
      <c r="A679" s="411"/>
      <c r="B679" s="411"/>
      <c r="C679" s="411"/>
      <c r="D679" s="411"/>
      <c r="E679" s="411"/>
      <c r="F679" s="411"/>
      <c r="G679" s="411"/>
      <c r="H679" s="411"/>
      <c r="I679" s="411"/>
      <c r="J679" s="411"/>
      <c r="K679" s="411"/>
      <c r="L679" s="411"/>
      <c r="M679" s="411"/>
      <c r="N679" s="411"/>
      <c r="O679" s="411"/>
      <c r="P679" s="411"/>
      <c r="Q679" s="385"/>
      <c r="R679" s="411"/>
    </row>
    <row r="680" ht="12.75" customHeight="1">
      <c r="A680" s="411"/>
      <c r="B680" s="411"/>
      <c r="C680" s="411"/>
      <c r="D680" s="411"/>
      <c r="E680" s="411"/>
      <c r="F680" s="411"/>
      <c r="G680" s="411"/>
      <c r="H680" s="411"/>
      <c r="I680" s="411"/>
      <c r="J680" s="411"/>
      <c r="K680" s="411"/>
      <c r="L680" s="411"/>
      <c r="M680" s="411"/>
      <c r="N680" s="411"/>
      <c r="O680" s="411"/>
      <c r="P680" s="411"/>
      <c r="Q680" s="385"/>
      <c r="R680" s="411"/>
    </row>
    <row r="681" ht="12.75" customHeight="1">
      <c r="A681" s="411"/>
      <c r="B681" s="411"/>
      <c r="C681" s="411"/>
      <c r="D681" s="411"/>
      <c r="E681" s="411"/>
      <c r="F681" s="411"/>
      <c r="G681" s="411"/>
      <c r="H681" s="411"/>
      <c r="I681" s="411"/>
      <c r="J681" s="411"/>
      <c r="K681" s="411"/>
      <c r="L681" s="411"/>
      <c r="M681" s="411"/>
      <c r="N681" s="411"/>
      <c r="O681" s="411"/>
      <c r="P681" s="411"/>
      <c r="Q681" s="385"/>
      <c r="R681" s="411"/>
    </row>
    <row r="682" ht="12.75" customHeight="1">
      <c r="A682" s="411"/>
      <c r="B682" s="411"/>
      <c r="C682" s="411"/>
      <c r="D682" s="411"/>
      <c r="E682" s="411"/>
      <c r="F682" s="411"/>
      <c r="G682" s="411"/>
      <c r="H682" s="411"/>
      <c r="I682" s="411"/>
      <c r="J682" s="411"/>
      <c r="K682" s="411"/>
      <c r="L682" s="411"/>
      <c r="M682" s="411"/>
      <c r="N682" s="411"/>
      <c r="O682" s="411"/>
      <c r="P682" s="411"/>
      <c r="Q682" s="385"/>
      <c r="R682" s="411"/>
    </row>
    <row r="683" ht="12.75" customHeight="1">
      <c r="A683" s="411"/>
      <c r="B683" s="411"/>
      <c r="C683" s="411"/>
      <c r="D683" s="411"/>
      <c r="E683" s="411"/>
      <c r="F683" s="411"/>
      <c r="G683" s="411"/>
      <c r="H683" s="411"/>
      <c r="I683" s="411"/>
      <c r="J683" s="411"/>
      <c r="K683" s="411"/>
      <c r="L683" s="411"/>
      <c r="M683" s="411"/>
      <c r="N683" s="411"/>
      <c r="O683" s="411"/>
      <c r="P683" s="411"/>
      <c r="Q683" s="385"/>
      <c r="R683" s="411"/>
    </row>
    <row r="684" ht="12.75" customHeight="1">
      <c r="A684" s="411"/>
      <c r="B684" s="411"/>
      <c r="C684" s="411"/>
      <c r="D684" s="411"/>
      <c r="E684" s="411"/>
      <c r="F684" s="411"/>
      <c r="G684" s="411"/>
      <c r="H684" s="411"/>
      <c r="I684" s="411"/>
      <c r="J684" s="411"/>
      <c r="K684" s="411"/>
      <c r="L684" s="411"/>
      <c r="M684" s="411"/>
      <c r="N684" s="411"/>
      <c r="O684" s="411"/>
      <c r="P684" s="411"/>
      <c r="Q684" s="385"/>
      <c r="R684" s="411"/>
    </row>
    <row r="685" ht="12.75" customHeight="1">
      <c r="A685" s="411"/>
      <c r="B685" s="411"/>
      <c r="C685" s="411"/>
      <c r="D685" s="411"/>
      <c r="E685" s="411"/>
      <c r="F685" s="411"/>
      <c r="G685" s="411"/>
      <c r="H685" s="411"/>
      <c r="I685" s="411"/>
      <c r="J685" s="411"/>
      <c r="K685" s="411"/>
      <c r="L685" s="411"/>
      <c r="M685" s="411"/>
      <c r="N685" s="411"/>
      <c r="O685" s="411"/>
      <c r="P685" s="411"/>
      <c r="Q685" s="385"/>
      <c r="R685" s="411"/>
    </row>
    <row r="686" ht="12.75" customHeight="1">
      <c r="A686" s="411"/>
      <c r="B686" s="411"/>
      <c r="C686" s="411"/>
      <c r="D686" s="411"/>
      <c r="E686" s="411"/>
      <c r="F686" s="411"/>
      <c r="G686" s="411"/>
      <c r="H686" s="411"/>
      <c r="I686" s="411"/>
      <c r="J686" s="411"/>
      <c r="K686" s="411"/>
      <c r="L686" s="411"/>
      <c r="M686" s="411"/>
      <c r="N686" s="411"/>
      <c r="O686" s="411"/>
      <c r="P686" s="411"/>
      <c r="Q686" s="385"/>
      <c r="R686" s="411"/>
    </row>
    <row r="687" ht="12.75" customHeight="1">
      <c r="A687" s="411"/>
      <c r="B687" s="411"/>
      <c r="C687" s="411"/>
      <c r="D687" s="411"/>
      <c r="E687" s="411"/>
      <c r="F687" s="411"/>
      <c r="G687" s="411"/>
      <c r="H687" s="411"/>
      <c r="I687" s="411"/>
      <c r="J687" s="411"/>
      <c r="K687" s="411"/>
      <c r="L687" s="411"/>
      <c r="M687" s="411"/>
      <c r="N687" s="411"/>
      <c r="O687" s="411"/>
      <c r="P687" s="411"/>
      <c r="Q687" s="385"/>
      <c r="R687" s="411"/>
    </row>
    <row r="688" ht="12.75" customHeight="1">
      <c r="A688" s="411"/>
      <c r="B688" s="411"/>
      <c r="C688" s="411"/>
      <c r="D688" s="411"/>
      <c r="E688" s="411"/>
      <c r="F688" s="411"/>
      <c r="G688" s="411"/>
      <c r="H688" s="411"/>
      <c r="I688" s="411"/>
      <c r="J688" s="411"/>
      <c r="K688" s="411"/>
      <c r="L688" s="411"/>
      <c r="M688" s="411"/>
      <c r="N688" s="411"/>
      <c r="O688" s="411"/>
      <c r="P688" s="411"/>
      <c r="Q688" s="385"/>
      <c r="R688" s="411"/>
    </row>
    <row r="689" ht="12.75" customHeight="1">
      <c r="A689" s="411"/>
      <c r="B689" s="411"/>
      <c r="C689" s="411"/>
      <c r="D689" s="411"/>
      <c r="E689" s="411"/>
      <c r="F689" s="411"/>
      <c r="G689" s="411"/>
      <c r="H689" s="411"/>
      <c r="I689" s="411"/>
      <c r="J689" s="411"/>
      <c r="K689" s="411"/>
      <c r="L689" s="411"/>
      <c r="M689" s="411"/>
      <c r="N689" s="411"/>
      <c r="O689" s="411"/>
      <c r="P689" s="411"/>
      <c r="Q689" s="385"/>
      <c r="R689" s="411"/>
    </row>
    <row r="690" ht="12.75" customHeight="1">
      <c r="A690" s="411"/>
      <c r="B690" s="411"/>
      <c r="C690" s="411"/>
      <c r="D690" s="411"/>
      <c r="E690" s="411"/>
      <c r="F690" s="411"/>
      <c r="G690" s="411"/>
      <c r="H690" s="411"/>
      <c r="I690" s="411"/>
      <c r="J690" s="411"/>
      <c r="K690" s="411"/>
      <c r="L690" s="411"/>
      <c r="M690" s="411"/>
      <c r="N690" s="411"/>
      <c r="O690" s="411"/>
      <c r="P690" s="411"/>
      <c r="Q690" s="385"/>
      <c r="R690" s="411"/>
    </row>
    <row r="691" ht="12.75" customHeight="1">
      <c r="A691" s="411"/>
      <c r="B691" s="411"/>
      <c r="C691" s="411"/>
      <c r="D691" s="411"/>
      <c r="E691" s="411"/>
      <c r="F691" s="411"/>
      <c r="G691" s="411"/>
      <c r="H691" s="411"/>
      <c r="I691" s="411"/>
      <c r="J691" s="411"/>
      <c r="K691" s="411"/>
      <c r="L691" s="411"/>
      <c r="M691" s="411"/>
      <c r="N691" s="411"/>
      <c r="O691" s="411"/>
      <c r="P691" s="411"/>
      <c r="Q691" s="385"/>
      <c r="R691" s="411"/>
    </row>
    <row r="692" ht="12.75" customHeight="1">
      <c r="A692" s="411"/>
      <c r="B692" s="411"/>
      <c r="C692" s="411"/>
      <c r="D692" s="411"/>
      <c r="E692" s="411"/>
      <c r="F692" s="411"/>
      <c r="G692" s="411"/>
      <c r="H692" s="411"/>
      <c r="I692" s="411"/>
      <c r="J692" s="411"/>
      <c r="K692" s="411"/>
      <c r="L692" s="411"/>
      <c r="M692" s="411"/>
      <c r="N692" s="411"/>
      <c r="O692" s="411"/>
      <c r="P692" s="411"/>
      <c r="Q692" s="385"/>
      <c r="R692" s="411"/>
    </row>
    <row r="693" ht="12.75" customHeight="1">
      <c r="A693" s="411"/>
      <c r="B693" s="411"/>
      <c r="C693" s="411"/>
      <c r="D693" s="411"/>
      <c r="E693" s="411"/>
      <c r="F693" s="411"/>
      <c r="G693" s="411"/>
      <c r="H693" s="411"/>
      <c r="I693" s="411"/>
      <c r="J693" s="411"/>
      <c r="K693" s="411"/>
      <c r="L693" s="411"/>
      <c r="M693" s="411"/>
      <c r="N693" s="411"/>
      <c r="O693" s="411"/>
      <c r="P693" s="411"/>
      <c r="Q693" s="385"/>
      <c r="R693" s="411"/>
    </row>
    <row r="694" ht="12.75" customHeight="1">
      <c r="A694" s="411"/>
      <c r="B694" s="411"/>
      <c r="C694" s="411"/>
      <c r="D694" s="411"/>
      <c r="E694" s="411"/>
      <c r="F694" s="411"/>
      <c r="G694" s="411"/>
      <c r="H694" s="411"/>
      <c r="I694" s="411"/>
      <c r="J694" s="411"/>
      <c r="K694" s="411"/>
      <c r="L694" s="411"/>
      <c r="M694" s="411"/>
      <c r="N694" s="411"/>
      <c r="O694" s="411"/>
      <c r="P694" s="411"/>
      <c r="Q694" s="385"/>
      <c r="R694" s="411"/>
    </row>
    <row r="695" ht="12.75" customHeight="1">
      <c r="A695" s="411"/>
      <c r="B695" s="411"/>
      <c r="C695" s="411"/>
      <c r="D695" s="411"/>
      <c r="E695" s="411"/>
      <c r="F695" s="411"/>
      <c r="G695" s="411"/>
      <c r="H695" s="411"/>
      <c r="I695" s="411"/>
      <c r="J695" s="411"/>
      <c r="K695" s="411"/>
      <c r="L695" s="411"/>
      <c r="M695" s="411"/>
      <c r="N695" s="411"/>
      <c r="O695" s="411"/>
      <c r="P695" s="411"/>
      <c r="Q695" s="385"/>
      <c r="R695" s="411"/>
    </row>
    <row r="696" ht="12.75" customHeight="1">
      <c r="A696" s="411"/>
      <c r="B696" s="411"/>
      <c r="C696" s="411"/>
      <c r="D696" s="411"/>
      <c r="E696" s="411"/>
      <c r="F696" s="411"/>
      <c r="G696" s="411"/>
      <c r="H696" s="411"/>
      <c r="I696" s="411"/>
      <c r="J696" s="411"/>
      <c r="K696" s="411"/>
      <c r="L696" s="411"/>
      <c r="M696" s="411"/>
      <c r="N696" s="411"/>
      <c r="O696" s="411"/>
      <c r="P696" s="411"/>
      <c r="Q696" s="385"/>
      <c r="R696" s="411"/>
    </row>
    <row r="697" ht="12.75" customHeight="1">
      <c r="A697" s="411"/>
      <c r="B697" s="411"/>
      <c r="C697" s="411"/>
      <c r="D697" s="411"/>
      <c r="E697" s="411"/>
      <c r="F697" s="411"/>
      <c r="G697" s="411"/>
      <c r="H697" s="411"/>
      <c r="I697" s="411"/>
      <c r="J697" s="411"/>
      <c r="K697" s="411"/>
      <c r="L697" s="411"/>
      <c r="M697" s="411"/>
      <c r="N697" s="411"/>
      <c r="O697" s="411"/>
      <c r="P697" s="411"/>
      <c r="Q697" s="385"/>
      <c r="R697" s="411"/>
    </row>
    <row r="698" ht="12.75" customHeight="1">
      <c r="A698" s="411"/>
      <c r="B698" s="411"/>
      <c r="C698" s="411"/>
      <c r="D698" s="411"/>
      <c r="E698" s="411"/>
      <c r="F698" s="411"/>
      <c r="G698" s="411"/>
      <c r="H698" s="411"/>
      <c r="I698" s="411"/>
      <c r="J698" s="411"/>
      <c r="K698" s="411"/>
      <c r="L698" s="411"/>
      <c r="M698" s="411"/>
      <c r="N698" s="411"/>
      <c r="O698" s="411"/>
      <c r="P698" s="411"/>
      <c r="Q698" s="385"/>
      <c r="R698" s="411"/>
    </row>
    <row r="699" ht="12.75" customHeight="1">
      <c r="A699" s="411"/>
      <c r="B699" s="411"/>
      <c r="C699" s="411"/>
      <c r="D699" s="411"/>
      <c r="E699" s="411"/>
      <c r="F699" s="411"/>
      <c r="G699" s="411"/>
      <c r="H699" s="411"/>
      <c r="I699" s="411"/>
      <c r="J699" s="411"/>
      <c r="K699" s="411"/>
      <c r="L699" s="411"/>
      <c r="M699" s="411"/>
      <c r="N699" s="411"/>
      <c r="O699" s="411"/>
      <c r="P699" s="411"/>
      <c r="Q699" s="385"/>
      <c r="R699" s="411"/>
    </row>
    <row r="700" ht="12.75" customHeight="1">
      <c r="A700" s="411"/>
      <c r="B700" s="411"/>
      <c r="C700" s="411"/>
      <c r="D700" s="411"/>
      <c r="E700" s="411"/>
      <c r="F700" s="411"/>
      <c r="G700" s="411"/>
      <c r="H700" s="411"/>
      <c r="I700" s="411"/>
      <c r="J700" s="411"/>
      <c r="K700" s="411"/>
      <c r="L700" s="411"/>
      <c r="M700" s="411"/>
      <c r="N700" s="411"/>
      <c r="O700" s="411"/>
      <c r="P700" s="411"/>
      <c r="Q700" s="385"/>
      <c r="R700" s="411"/>
    </row>
    <row r="701" ht="12.75" customHeight="1">
      <c r="A701" s="411"/>
      <c r="B701" s="411"/>
      <c r="C701" s="411"/>
      <c r="D701" s="411"/>
      <c r="E701" s="411"/>
      <c r="F701" s="411"/>
      <c r="G701" s="411"/>
      <c r="H701" s="411"/>
      <c r="I701" s="411"/>
      <c r="J701" s="411"/>
      <c r="K701" s="411"/>
      <c r="L701" s="411"/>
      <c r="M701" s="411"/>
      <c r="N701" s="411"/>
      <c r="O701" s="411"/>
      <c r="P701" s="411"/>
      <c r="Q701" s="385"/>
      <c r="R701" s="411"/>
    </row>
    <row r="702" ht="12.75" customHeight="1">
      <c r="A702" s="411"/>
      <c r="B702" s="411"/>
      <c r="C702" s="411"/>
      <c r="D702" s="411"/>
      <c r="E702" s="411"/>
      <c r="F702" s="411"/>
      <c r="G702" s="411"/>
      <c r="H702" s="411"/>
      <c r="I702" s="411"/>
      <c r="J702" s="411"/>
      <c r="K702" s="411"/>
      <c r="L702" s="411"/>
      <c r="M702" s="411"/>
      <c r="N702" s="411"/>
      <c r="O702" s="411"/>
      <c r="P702" s="411"/>
      <c r="Q702" s="385"/>
      <c r="R702" s="411"/>
    </row>
    <row r="703" ht="12.75" customHeight="1">
      <c r="A703" s="411"/>
      <c r="B703" s="411"/>
      <c r="C703" s="411"/>
      <c r="D703" s="411"/>
      <c r="E703" s="411"/>
      <c r="F703" s="411"/>
      <c r="G703" s="411"/>
      <c r="H703" s="411"/>
      <c r="I703" s="411"/>
      <c r="J703" s="411"/>
      <c r="K703" s="411"/>
      <c r="L703" s="411"/>
      <c r="M703" s="411"/>
      <c r="N703" s="411"/>
      <c r="O703" s="411"/>
      <c r="P703" s="411"/>
      <c r="Q703" s="385"/>
      <c r="R703" s="411"/>
    </row>
    <row r="704" ht="12.75" customHeight="1">
      <c r="A704" s="411"/>
      <c r="B704" s="411"/>
      <c r="C704" s="411"/>
      <c r="D704" s="411"/>
      <c r="E704" s="411"/>
      <c r="F704" s="411"/>
      <c r="G704" s="411"/>
      <c r="H704" s="411"/>
      <c r="I704" s="411"/>
      <c r="J704" s="411"/>
      <c r="K704" s="411"/>
      <c r="L704" s="411"/>
      <c r="M704" s="411"/>
      <c r="N704" s="411"/>
      <c r="O704" s="411"/>
      <c r="P704" s="411"/>
      <c r="Q704" s="385"/>
      <c r="R704" s="411"/>
    </row>
    <row r="705" ht="12.75" customHeight="1">
      <c r="A705" s="411"/>
      <c r="B705" s="411"/>
      <c r="C705" s="411"/>
      <c r="D705" s="411"/>
      <c r="E705" s="411"/>
      <c r="F705" s="411"/>
      <c r="G705" s="411"/>
      <c r="H705" s="411"/>
      <c r="I705" s="411"/>
      <c r="J705" s="411"/>
      <c r="K705" s="411"/>
      <c r="L705" s="411"/>
      <c r="M705" s="411"/>
      <c r="N705" s="411"/>
      <c r="O705" s="411"/>
      <c r="P705" s="411"/>
      <c r="Q705" s="385"/>
      <c r="R705" s="411"/>
    </row>
    <row r="706" ht="12.75" customHeight="1">
      <c r="A706" s="411"/>
      <c r="B706" s="411"/>
      <c r="C706" s="411"/>
      <c r="D706" s="411"/>
      <c r="E706" s="411"/>
      <c r="F706" s="411"/>
      <c r="G706" s="411"/>
      <c r="H706" s="411"/>
      <c r="I706" s="411"/>
      <c r="J706" s="411"/>
      <c r="K706" s="411"/>
      <c r="L706" s="411"/>
      <c r="M706" s="411"/>
      <c r="N706" s="411"/>
      <c r="O706" s="411"/>
      <c r="P706" s="411"/>
      <c r="Q706" s="385"/>
      <c r="R706" s="411"/>
    </row>
    <row r="707" ht="12.75" customHeight="1">
      <c r="A707" s="411"/>
      <c r="B707" s="411"/>
      <c r="C707" s="411"/>
      <c r="D707" s="411"/>
      <c r="E707" s="411"/>
      <c r="F707" s="411"/>
      <c r="G707" s="411"/>
      <c r="H707" s="411"/>
      <c r="I707" s="411"/>
      <c r="J707" s="411"/>
      <c r="K707" s="411"/>
      <c r="L707" s="411"/>
      <c r="M707" s="411"/>
      <c r="N707" s="411"/>
      <c r="O707" s="411"/>
      <c r="P707" s="411"/>
      <c r="Q707" s="385"/>
      <c r="R707" s="411"/>
    </row>
    <row r="708" ht="12.75" customHeight="1">
      <c r="A708" s="411"/>
      <c r="B708" s="411"/>
      <c r="C708" s="411"/>
      <c r="D708" s="411"/>
      <c r="E708" s="411"/>
      <c r="F708" s="411"/>
      <c r="G708" s="411"/>
      <c r="H708" s="411"/>
      <c r="I708" s="411"/>
      <c r="J708" s="411"/>
      <c r="K708" s="411"/>
      <c r="L708" s="411"/>
      <c r="M708" s="411"/>
      <c r="N708" s="411"/>
      <c r="O708" s="411"/>
      <c r="P708" s="411"/>
      <c r="Q708" s="385"/>
      <c r="R708" s="411"/>
    </row>
    <row r="709" ht="12.75" customHeight="1">
      <c r="A709" s="411"/>
      <c r="B709" s="411"/>
      <c r="C709" s="411"/>
      <c r="D709" s="411"/>
      <c r="E709" s="411"/>
      <c r="F709" s="411"/>
      <c r="G709" s="411"/>
      <c r="H709" s="411"/>
      <c r="I709" s="411"/>
      <c r="J709" s="411"/>
      <c r="K709" s="411"/>
      <c r="L709" s="411"/>
      <c r="M709" s="411"/>
      <c r="N709" s="411"/>
      <c r="O709" s="411"/>
      <c r="P709" s="411"/>
      <c r="Q709" s="385"/>
      <c r="R709" s="411"/>
    </row>
    <row r="710" ht="12.75" customHeight="1">
      <c r="A710" s="411"/>
      <c r="B710" s="411"/>
      <c r="C710" s="411"/>
      <c r="D710" s="411"/>
      <c r="E710" s="411"/>
      <c r="F710" s="411"/>
      <c r="G710" s="411"/>
      <c r="H710" s="411"/>
      <c r="I710" s="411"/>
      <c r="J710" s="411"/>
      <c r="K710" s="411"/>
      <c r="L710" s="411"/>
      <c r="M710" s="411"/>
      <c r="N710" s="411"/>
      <c r="O710" s="411"/>
      <c r="P710" s="411"/>
      <c r="Q710" s="385"/>
      <c r="R710" s="411"/>
    </row>
    <row r="711" ht="12.75" customHeight="1">
      <c r="A711" s="411"/>
      <c r="B711" s="411"/>
      <c r="C711" s="411"/>
      <c r="D711" s="411"/>
      <c r="E711" s="411"/>
      <c r="F711" s="411"/>
      <c r="G711" s="411"/>
      <c r="H711" s="411"/>
      <c r="I711" s="411"/>
      <c r="J711" s="411"/>
      <c r="K711" s="411"/>
      <c r="L711" s="411"/>
      <c r="M711" s="411"/>
      <c r="N711" s="411"/>
      <c r="O711" s="411"/>
      <c r="P711" s="411"/>
      <c r="Q711" s="385"/>
      <c r="R711" s="411"/>
    </row>
    <row r="712" ht="12.75" customHeight="1">
      <c r="A712" s="411"/>
      <c r="B712" s="411"/>
      <c r="C712" s="411"/>
      <c r="D712" s="411"/>
      <c r="E712" s="411"/>
      <c r="F712" s="411"/>
      <c r="G712" s="411"/>
      <c r="H712" s="411"/>
      <c r="I712" s="411"/>
      <c r="J712" s="411"/>
      <c r="K712" s="411"/>
      <c r="L712" s="411"/>
      <c r="M712" s="411"/>
      <c r="N712" s="411"/>
      <c r="O712" s="411"/>
      <c r="P712" s="411"/>
      <c r="Q712" s="385"/>
      <c r="R712" s="411"/>
    </row>
    <row r="713" ht="12.75" customHeight="1">
      <c r="A713" s="411"/>
      <c r="B713" s="411"/>
      <c r="C713" s="411"/>
      <c r="D713" s="411"/>
      <c r="E713" s="411"/>
      <c r="F713" s="411"/>
      <c r="G713" s="411"/>
      <c r="H713" s="411"/>
      <c r="I713" s="411"/>
      <c r="J713" s="411"/>
      <c r="K713" s="411"/>
      <c r="L713" s="411"/>
      <c r="M713" s="411"/>
      <c r="N713" s="411"/>
      <c r="O713" s="411"/>
      <c r="P713" s="411"/>
      <c r="Q713" s="385"/>
      <c r="R713" s="411"/>
    </row>
    <row r="714" ht="12.75" customHeight="1">
      <c r="A714" s="411"/>
      <c r="B714" s="411"/>
      <c r="C714" s="411"/>
      <c r="D714" s="411"/>
      <c r="E714" s="411"/>
      <c r="F714" s="411"/>
      <c r="G714" s="411"/>
      <c r="H714" s="411"/>
      <c r="I714" s="411"/>
      <c r="J714" s="411"/>
      <c r="K714" s="411"/>
      <c r="L714" s="411"/>
      <c r="M714" s="411"/>
      <c r="N714" s="411"/>
      <c r="O714" s="411"/>
      <c r="P714" s="411"/>
      <c r="Q714" s="385"/>
      <c r="R714" s="411"/>
    </row>
    <row r="715" ht="12.75" customHeight="1">
      <c r="A715" s="411"/>
      <c r="B715" s="411"/>
      <c r="C715" s="411"/>
      <c r="D715" s="411"/>
      <c r="E715" s="411"/>
      <c r="F715" s="411"/>
      <c r="G715" s="411"/>
      <c r="H715" s="411"/>
      <c r="I715" s="411"/>
      <c r="J715" s="411"/>
      <c r="K715" s="411"/>
      <c r="L715" s="411"/>
      <c r="M715" s="411"/>
      <c r="N715" s="411"/>
      <c r="O715" s="411"/>
      <c r="P715" s="411"/>
      <c r="Q715" s="385"/>
      <c r="R715" s="411"/>
    </row>
    <row r="716" ht="12.75" customHeight="1">
      <c r="A716" s="411"/>
      <c r="B716" s="411"/>
      <c r="C716" s="411"/>
      <c r="D716" s="411"/>
      <c r="E716" s="411"/>
      <c r="F716" s="411"/>
      <c r="G716" s="411"/>
      <c r="H716" s="411"/>
      <c r="I716" s="411"/>
      <c r="J716" s="411"/>
      <c r="K716" s="411"/>
      <c r="L716" s="411"/>
      <c r="M716" s="411"/>
      <c r="N716" s="411"/>
      <c r="O716" s="411"/>
      <c r="P716" s="411"/>
      <c r="Q716" s="385"/>
      <c r="R716" s="411"/>
    </row>
    <row r="717" ht="12.75" customHeight="1">
      <c r="A717" s="411"/>
      <c r="B717" s="411"/>
      <c r="C717" s="411"/>
      <c r="D717" s="411"/>
      <c r="E717" s="411"/>
      <c r="F717" s="411"/>
      <c r="G717" s="411"/>
      <c r="H717" s="411"/>
      <c r="I717" s="411"/>
      <c r="J717" s="411"/>
      <c r="K717" s="411"/>
      <c r="L717" s="411"/>
      <c r="M717" s="411"/>
      <c r="N717" s="411"/>
      <c r="O717" s="411"/>
      <c r="P717" s="411"/>
      <c r="Q717" s="385"/>
      <c r="R717" s="411"/>
    </row>
    <row r="718" ht="12.75" customHeight="1">
      <c r="A718" s="411"/>
      <c r="B718" s="411"/>
      <c r="C718" s="411"/>
      <c r="D718" s="411"/>
      <c r="E718" s="411"/>
      <c r="F718" s="411"/>
      <c r="G718" s="411"/>
      <c r="H718" s="411"/>
      <c r="I718" s="411"/>
      <c r="J718" s="411"/>
      <c r="K718" s="411"/>
      <c r="L718" s="411"/>
      <c r="M718" s="411"/>
      <c r="N718" s="411"/>
      <c r="O718" s="411"/>
      <c r="P718" s="411"/>
      <c r="Q718" s="385"/>
      <c r="R718" s="411"/>
    </row>
    <row r="719" ht="12.75" customHeight="1">
      <c r="A719" s="411"/>
      <c r="B719" s="411"/>
      <c r="C719" s="411"/>
      <c r="D719" s="411"/>
      <c r="E719" s="411"/>
      <c r="F719" s="411"/>
      <c r="G719" s="411"/>
      <c r="H719" s="411"/>
      <c r="I719" s="411"/>
      <c r="J719" s="411"/>
      <c r="K719" s="411"/>
      <c r="L719" s="411"/>
      <c r="M719" s="411"/>
      <c r="N719" s="411"/>
      <c r="O719" s="411"/>
      <c r="P719" s="411"/>
      <c r="Q719" s="385"/>
      <c r="R719" s="411"/>
    </row>
    <row r="720" ht="12.75" customHeight="1">
      <c r="A720" s="411"/>
      <c r="B720" s="411"/>
      <c r="C720" s="411"/>
      <c r="D720" s="411"/>
      <c r="E720" s="411"/>
      <c r="F720" s="411"/>
      <c r="G720" s="411"/>
      <c r="H720" s="411"/>
      <c r="I720" s="411"/>
      <c r="J720" s="411"/>
      <c r="K720" s="411"/>
      <c r="L720" s="411"/>
      <c r="M720" s="411"/>
      <c r="N720" s="411"/>
      <c r="O720" s="411"/>
      <c r="P720" s="411"/>
      <c r="Q720" s="385"/>
      <c r="R720" s="411"/>
    </row>
    <row r="721" ht="12.75" customHeight="1">
      <c r="A721" s="411"/>
      <c r="B721" s="411"/>
      <c r="C721" s="411"/>
      <c r="D721" s="411"/>
      <c r="E721" s="411"/>
      <c r="F721" s="411"/>
      <c r="G721" s="411"/>
      <c r="H721" s="411"/>
      <c r="I721" s="411"/>
      <c r="J721" s="411"/>
      <c r="K721" s="411"/>
      <c r="L721" s="411"/>
      <c r="M721" s="411"/>
      <c r="N721" s="411"/>
      <c r="O721" s="411"/>
      <c r="P721" s="411"/>
      <c r="Q721" s="385"/>
      <c r="R721" s="411"/>
    </row>
    <row r="722" ht="12.75" customHeight="1">
      <c r="A722" s="411"/>
      <c r="B722" s="411"/>
      <c r="C722" s="411"/>
      <c r="D722" s="411"/>
      <c r="E722" s="411"/>
      <c r="F722" s="411"/>
      <c r="G722" s="411"/>
      <c r="H722" s="411"/>
      <c r="I722" s="411"/>
      <c r="J722" s="411"/>
      <c r="K722" s="411"/>
      <c r="L722" s="411"/>
      <c r="M722" s="411"/>
      <c r="N722" s="411"/>
      <c r="O722" s="411"/>
      <c r="P722" s="411"/>
      <c r="Q722" s="385"/>
      <c r="R722" s="411"/>
    </row>
    <row r="723" ht="12.75" customHeight="1">
      <c r="A723" s="411"/>
      <c r="B723" s="411"/>
      <c r="C723" s="411"/>
      <c r="D723" s="411"/>
      <c r="E723" s="411"/>
      <c r="F723" s="411"/>
      <c r="G723" s="411"/>
      <c r="H723" s="411"/>
      <c r="I723" s="411"/>
      <c r="J723" s="411"/>
      <c r="K723" s="411"/>
      <c r="L723" s="411"/>
      <c r="M723" s="411"/>
      <c r="N723" s="411"/>
      <c r="O723" s="411"/>
      <c r="P723" s="411"/>
      <c r="Q723" s="385"/>
      <c r="R723" s="411"/>
    </row>
    <row r="724" ht="12.75" customHeight="1">
      <c r="A724" s="411"/>
      <c r="B724" s="411"/>
      <c r="C724" s="411"/>
      <c r="D724" s="411"/>
      <c r="E724" s="411"/>
      <c r="F724" s="411"/>
      <c r="G724" s="411"/>
      <c r="H724" s="411"/>
      <c r="I724" s="411"/>
      <c r="J724" s="411"/>
      <c r="K724" s="411"/>
      <c r="L724" s="411"/>
      <c r="M724" s="411"/>
      <c r="N724" s="411"/>
      <c r="O724" s="411"/>
      <c r="P724" s="411"/>
      <c r="Q724" s="385"/>
      <c r="R724" s="411"/>
    </row>
    <row r="725" ht="12.75" customHeight="1">
      <c r="A725" s="411"/>
      <c r="B725" s="411"/>
      <c r="C725" s="411"/>
      <c r="D725" s="411"/>
      <c r="E725" s="411"/>
      <c r="F725" s="411"/>
      <c r="G725" s="411"/>
      <c r="H725" s="411"/>
      <c r="I725" s="411"/>
      <c r="J725" s="411"/>
      <c r="K725" s="411"/>
      <c r="L725" s="411"/>
      <c r="M725" s="411"/>
      <c r="N725" s="411"/>
      <c r="O725" s="411"/>
      <c r="P725" s="411"/>
      <c r="Q725" s="385"/>
      <c r="R725" s="411"/>
    </row>
    <row r="726" ht="12.75" customHeight="1">
      <c r="A726" s="411"/>
      <c r="B726" s="411"/>
      <c r="C726" s="411"/>
      <c r="D726" s="411"/>
      <c r="E726" s="411"/>
      <c r="F726" s="411"/>
      <c r="G726" s="411"/>
      <c r="H726" s="411"/>
      <c r="I726" s="411"/>
      <c r="J726" s="411"/>
      <c r="K726" s="411"/>
      <c r="L726" s="411"/>
      <c r="M726" s="411"/>
      <c r="N726" s="411"/>
      <c r="O726" s="411"/>
      <c r="P726" s="411"/>
      <c r="Q726" s="385"/>
      <c r="R726" s="411"/>
    </row>
    <row r="727" ht="12.75" customHeight="1">
      <c r="A727" s="411"/>
      <c r="B727" s="411"/>
      <c r="C727" s="411"/>
      <c r="D727" s="411"/>
      <c r="E727" s="411"/>
      <c r="F727" s="411"/>
      <c r="G727" s="411"/>
      <c r="H727" s="411"/>
      <c r="I727" s="411"/>
      <c r="J727" s="411"/>
      <c r="K727" s="411"/>
      <c r="L727" s="411"/>
      <c r="M727" s="411"/>
      <c r="N727" s="411"/>
      <c r="O727" s="411"/>
      <c r="P727" s="411"/>
      <c r="Q727" s="385"/>
      <c r="R727" s="411"/>
    </row>
    <row r="728" ht="12.75" customHeight="1">
      <c r="A728" s="411"/>
      <c r="B728" s="411"/>
      <c r="C728" s="411"/>
      <c r="D728" s="411"/>
      <c r="E728" s="411"/>
      <c r="F728" s="411"/>
      <c r="G728" s="411"/>
      <c r="H728" s="411"/>
      <c r="I728" s="411"/>
      <c r="J728" s="411"/>
      <c r="K728" s="411"/>
      <c r="L728" s="411"/>
      <c r="M728" s="411"/>
      <c r="N728" s="411"/>
      <c r="O728" s="411"/>
      <c r="P728" s="411"/>
      <c r="Q728" s="385"/>
      <c r="R728" s="411"/>
    </row>
    <row r="729" ht="12.75" customHeight="1">
      <c r="A729" s="411"/>
      <c r="B729" s="411"/>
      <c r="C729" s="411"/>
      <c r="D729" s="411"/>
      <c r="E729" s="411"/>
      <c r="F729" s="411"/>
      <c r="G729" s="411"/>
      <c r="H729" s="411"/>
      <c r="I729" s="411"/>
      <c r="J729" s="411"/>
      <c r="K729" s="411"/>
      <c r="L729" s="411"/>
      <c r="M729" s="411"/>
      <c r="N729" s="411"/>
      <c r="O729" s="411"/>
      <c r="P729" s="411"/>
      <c r="Q729" s="385"/>
      <c r="R729" s="411"/>
    </row>
    <row r="730" ht="12.75" customHeight="1">
      <c r="A730" s="411"/>
      <c r="B730" s="411"/>
      <c r="C730" s="411"/>
      <c r="D730" s="411"/>
      <c r="E730" s="411"/>
      <c r="F730" s="411"/>
      <c r="G730" s="411"/>
      <c r="H730" s="411"/>
      <c r="I730" s="411"/>
      <c r="J730" s="411"/>
      <c r="K730" s="411"/>
      <c r="L730" s="411"/>
      <c r="M730" s="411"/>
      <c r="N730" s="411"/>
      <c r="O730" s="411"/>
      <c r="P730" s="411"/>
      <c r="Q730" s="385"/>
      <c r="R730" s="411"/>
    </row>
    <row r="731" ht="12.75" customHeight="1">
      <c r="A731" s="411"/>
      <c r="B731" s="411"/>
      <c r="C731" s="411"/>
      <c r="D731" s="411"/>
      <c r="E731" s="411"/>
      <c r="F731" s="411"/>
      <c r="G731" s="411"/>
      <c r="H731" s="411"/>
      <c r="I731" s="411"/>
      <c r="J731" s="411"/>
      <c r="K731" s="411"/>
      <c r="L731" s="411"/>
      <c r="M731" s="411"/>
      <c r="N731" s="411"/>
      <c r="O731" s="411"/>
      <c r="P731" s="411"/>
      <c r="Q731" s="385"/>
      <c r="R731" s="411"/>
    </row>
    <row r="732" ht="12.75" customHeight="1">
      <c r="A732" s="411"/>
      <c r="B732" s="411"/>
      <c r="C732" s="411"/>
      <c r="D732" s="411"/>
      <c r="E732" s="411"/>
      <c r="F732" s="411"/>
      <c r="G732" s="411"/>
      <c r="H732" s="411"/>
      <c r="I732" s="411"/>
      <c r="J732" s="411"/>
      <c r="K732" s="411"/>
      <c r="L732" s="411"/>
      <c r="M732" s="411"/>
      <c r="N732" s="411"/>
      <c r="O732" s="411"/>
      <c r="P732" s="411"/>
      <c r="Q732" s="385"/>
      <c r="R732" s="411"/>
    </row>
    <row r="733" ht="12.75" customHeight="1">
      <c r="A733" s="411"/>
      <c r="B733" s="411"/>
      <c r="C733" s="411"/>
      <c r="D733" s="411"/>
      <c r="E733" s="411"/>
      <c r="F733" s="411"/>
      <c r="G733" s="411"/>
      <c r="H733" s="411"/>
      <c r="I733" s="411"/>
      <c r="J733" s="411"/>
      <c r="K733" s="411"/>
      <c r="L733" s="411"/>
      <c r="M733" s="411"/>
      <c r="N733" s="411"/>
      <c r="O733" s="411"/>
      <c r="P733" s="411"/>
      <c r="Q733" s="385"/>
      <c r="R733" s="411"/>
    </row>
    <row r="734" ht="12.75" customHeight="1">
      <c r="A734" s="411"/>
      <c r="B734" s="411"/>
      <c r="C734" s="411"/>
      <c r="D734" s="411"/>
      <c r="E734" s="411"/>
      <c r="F734" s="411"/>
      <c r="G734" s="411"/>
      <c r="H734" s="411"/>
      <c r="I734" s="411"/>
      <c r="J734" s="411"/>
      <c r="K734" s="411"/>
      <c r="L734" s="411"/>
      <c r="M734" s="411"/>
      <c r="N734" s="411"/>
      <c r="O734" s="411"/>
      <c r="P734" s="411"/>
      <c r="Q734" s="385"/>
      <c r="R734" s="411"/>
    </row>
    <row r="735" ht="12.75" customHeight="1">
      <c r="A735" s="411"/>
      <c r="B735" s="411"/>
      <c r="C735" s="411"/>
      <c r="D735" s="411"/>
      <c r="E735" s="411"/>
      <c r="F735" s="411"/>
      <c r="G735" s="411"/>
      <c r="H735" s="411"/>
      <c r="I735" s="411"/>
      <c r="J735" s="411"/>
      <c r="K735" s="411"/>
      <c r="L735" s="411"/>
      <c r="M735" s="411"/>
      <c r="N735" s="411"/>
      <c r="O735" s="411"/>
      <c r="P735" s="411"/>
      <c r="Q735" s="385"/>
      <c r="R735" s="411"/>
    </row>
    <row r="736" ht="12.75" customHeight="1">
      <c r="A736" s="411"/>
      <c r="B736" s="411"/>
      <c r="C736" s="411"/>
      <c r="D736" s="411"/>
      <c r="E736" s="411"/>
      <c r="F736" s="411"/>
      <c r="G736" s="411"/>
      <c r="H736" s="411"/>
      <c r="I736" s="411"/>
      <c r="J736" s="411"/>
      <c r="K736" s="411"/>
      <c r="L736" s="411"/>
      <c r="M736" s="411"/>
      <c r="N736" s="411"/>
      <c r="O736" s="411"/>
      <c r="P736" s="411"/>
      <c r="Q736" s="385"/>
      <c r="R736" s="411"/>
    </row>
    <row r="737" ht="12.75" customHeight="1">
      <c r="A737" s="411"/>
      <c r="B737" s="411"/>
      <c r="C737" s="411"/>
      <c r="D737" s="411"/>
      <c r="E737" s="411"/>
      <c r="F737" s="411"/>
      <c r="G737" s="411"/>
      <c r="H737" s="411"/>
      <c r="I737" s="411"/>
      <c r="J737" s="411"/>
      <c r="K737" s="411"/>
      <c r="L737" s="411"/>
      <c r="M737" s="411"/>
      <c r="N737" s="411"/>
      <c r="O737" s="411"/>
      <c r="P737" s="411"/>
      <c r="Q737" s="385"/>
      <c r="R737" s="411"/>
    </row>
    <row r="738" ht="12.75" customHeight="1">
      <c r="A738" s="411"/>
      <c r="B738" s="411"/>
      <c r="C738" s="411"/>
      <c r="D738" s="411"/>
      <c r="E738" s="411"/>
      <c r="F738" s="411"/>
      <c r="G738" s="411"/>
      <c r="H738" s="411"/>
      <c r="I738" s="411"/>
      <c r="J738" s="411"/>
      <c r="K738" s="411"/>
      <c r="L738" s="411"/>
      <c r="M738" s="411"/>
      <c r="N738" s="411"/>
      <c r="O738" s="411"/>
      <c r="P738" s="411"/>
      <c r="Q738" s="385"/>
      <c r="R738" s="411"/>
    </row>
    <row r="739" ht="12.75" customHeight="1">
      <c r="A739" s="411"/>
      <c r="B739" s="411"/>
      <c r="C739" s="411"/>
      <c r="D739" s="411"/>
      <c r="E739" s="411"/>
      <c r="F739" s="411"/>
      <c r="G739" s="411"/>
      <c r="H739" s="411"/>
      <c r="I739" s="411"/>
      <c r="J739" s="411"/>
      <c r="K739" s="411"/>
      <c r="L739" s="411"/>
      <c r="M739" s="411"/>
      <c r="N739" s="411"/>
      <c r="O739" s="411"/>
      <c r="P739" s="411"/>
      <c r="Q739" s="385"/>
      <c r="R739" s="411"/>
    </row>
    <row r="740" ht="12.75" customHeight="1">
      <c r="A740" s="411"/>
      <c r="B740" s="411"/>
      <c r="C740" s="411"/>
      <c r="D740" s="411"/>
      <c r="E740" s="411"/>
      <c r="F740" s="411"/>
      <c r="G740" s="411"/>
      <c r="H740" s="411"/>
      <c r="I740" s="411"/>
      <c r="J740" s="411"/>
      <c r="K740" s="411"/>
      <c r="L740" s="411"/>
      <c r="M740" s="411"/>
      <c r="N740" s="411"/>
      <c r="O740" s="411"/>
      <c r="P740" s="411"/>
      <c r="Q740" s="385"/>
      <c r="R740" s="411"/>
    </row>
    <row r="741" ht="12.75" customHeight="1">
      <c r="A741" s="411"/>
      <c r="B741" s="411"/>
      <c r="C741" s="411"/>
      <c r="D741" s="411"/>
      <c r="E741" s="411"/>
      <c r="F741" s="411"/>
      <c r="G741" s="411"/>
      <c r="H741" s="411"/>
      <c r="I741" s="411"/>
      <c r="J741" s="411"/>
      <c r="K741" s="411"/>
      <c r="L741" s="411"/>
      <c r="M741" s="411"/>
      <c r="N741" s="411"/>
      <c r="O741" s="411"/>
      <c r="P741" s="411"/>
      <c r="Q741" s="385"/>
      <c r="R741" s="411"/>
    </row>
    <row r="742" ht="12.75" customHeight="1">
      <c r="A742" s="411"/>
      <c r="B742" s="411"/>
      <c r="C742" s="411"/>
      <c r="D742" s="411"/>
      <c r="E742" s="411"/>
      <c r="F742" s="411"/>
      <c r="G742" s="411"/>
      <c r="H742" s="411"/>
      <c r="I742" s="411"/>
      <c r="J742" s="411"/>
      <c r="K742" s="411"/>
      <c r="L742" s="411"/>
      <c r="M742" s="411"/>
      <c r="N742" s="411"/>
      <c r="O742" s="411"/>
      <c r="P742" s="411"/>
      <c r="Q742" s="385"/>
      <c r="R742" s="411"/>
    </row>
    <row r="743" ht="12.75" customHeight="1">
      <c r="A743" s="411"/>
      <c r="B743" s="411"/>
      <c r="C743" s="411"/>
      <c r="D743" s="411"/>
      <c r="E743" s="411"/>
      <c r="F743" s="411"/>
      <c r="G743" s="411"/>
      <c r="H743" s="411"/>
      <c r="I743" s="411"/>
      <c r="J743" s="411"/>
      <c r="K743" s="411"/>
      <c r="L743" s="411"/>
      <c r="M743" s="411"/>
      <c r="N743" s="411"/>
      <c r="O743" s="411"/>
      <c r="P743" s="411"/>
      <c r="Q743" s="385"/>
      <c r="R743" s="411"/>
    </row>
    <row r="744" ht="12.75" customHeight="1">
      <c r="A744" s="411"/>
      <c r="B744" s="411"/>
      <c r="C744" s="411"/>
      <c r="D744" s="411"/>
      <c r="E744" s="411"/>
      <c r="F744" s="411"/>
      <c r="G744" s="411"/>
      <c r="H744" s="411"/>
      <c r="I744" s="411"/>
      <c r="J744" s="411"/>
      <c r="K744" s="411"/>
      <c r="L744" s="411"/>
      <c r="M744" s="411"/>
      <c r="N744" s="411"/>
      <c r="O744" s="411"/>
      <c r="P744" s="411"/>
      <c r="Q744" s="385"/>
      <c r="R744" s="411"/>
    </row>
    <row r="745" ht="12.75" customHeight="1">
      <c r="A745" s="411"/>
      <c r="B745" s="411"/>
      <c r="C745" s="411"/>
      <c r="D745" s="411"/>
      <c r="E745" s="411"/>
      <c r="F745" s="411"/>
      <c r="G745" s="411"/>
      <c r="H745" s="411"/>
      <c r="I745" s="411"/>
      <c r="J745" s="411"/>
      <c r="K745" s="411"/>
      <c r="L745" s="411"/>
      <c r="M745" s="411"/>
      <c r="N745" s="411"/>
      <c r="O745" s="411"/>
      <c r="P745" s="411"/>
      <c r="Q745" s="385"/>
      <c r="R745" s="411"/>
    </row>
    <row r="746" ht="12.75" customHeight="1">
      <c r="A746" s="411"/>
      <c r="B746" s="411"/>
      <c r="C746" s="411"/>
      <c r="D746" s="411"/>
      <c r="E746" s="411"/>
      <c r="F746" s="411"/>
      <c r="G746" s="411"/>
      <c r="H746" s="411"/>
      <c r="I746" s="411"/>
      <c r="J746" s="411"/>
      <c r="K746" s="411"/>
      <c r="L746" s="411"/>
      <c r="M746" s="411"/>
      <c r="N746" s="411"/>
      <c r="O746" s="411"/>
      <c r="P746" s="411"/>
      <c r="Q746" s="385"/>
      <c r="R746" s="411"/>
    </row>
    <row r="747" ht="12.75" customHeight="1">
      <c r="A747" s="411"/>
      <c r="B747" s="411"/>
      <c r="C747" s="411"/>
      <c r="D747" s="411"/>
      <c r="E747" s="411"/>
      <c r="F747" s="411"/>
      <c r="G747" s="411"/>
      <c r="H747" s="411"/>
      <c r="I747" s="411"/>
      <c r="J747" s="411"/>
      <c r="K747" s="411"/>
      <c r="L747" s="411"/>
      <c r="M747" s="411"/>
      <c r="N747" s="411"/>
      <c r="O747" s="411"/>
      <c r="P747" s="411"/>
      <c r="Q747" s="385"/>
      <c r="R747" s="411"/>
    </row>
    <row r="748" ht="12.75" customHeight="1">
      <c r="A748" s="411"/>
      <c r="B748" s="411"/>
      <c r="C748" s="411"/>
      <c r="D748" s="411"/>
      <c r="E748" s="411"/>
      <c r="F748" s="411"/>
      <c r="G748" s="411"/>
      <c r="H748" s="411"/>
      <c r="I748" s="411"/>
      <c r="J748" s="411"/>
      <c r="K748" s="411"/>
      <c r="L748" s="411"/>
      <c r="M748" s="411"/>
      <c r="N748" s="411"/>
      <c r="O748" s="411"/>
      <c r="P748" s="411"/>
      <c r="Q748" s="385"/>
      <c r="R748" s="411"/>
    </row>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R$367">
    <filterColumn colId="4">
      <customFilters>
        <customFilter val="*ginger chews*"/>
      </customFilters>
    </filterColumn>
  </autoFilter>
  <conditionalFormatting sqref="A2:Z2">
    <cfRule type="notContainsBlanks" dxfId="0" priority="1">
      <formula>LEN(TRIM(A2))&gt;0</formula>
    </cfRule>
  </conditionalFormatting>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86"/>
    <col customWidth="1" min="2" max="2" width="11.29"/>
    <col customWidth="1" min="3" max="3" width="10.71"/>
    <col customWidth="1" min="4" max="4" width="18.43"/>
    <col customWidth="1" min="5" max="5" width="54.0"/>
    <col customWidth="1" min="6" max="6" width="11.71"/>
    <col customWidth="1" min="7" max="7" width="13.0"/>
    <col customWidth="1" min="8" max="8" width="13.29"/>
    <col customWidth="1" min="9" max="9" width="13.57"/>
    <col customWidth="1" min="10" max="10" width="49.14"/>
    <col customWidth="1" min="11" max="11" width="13.71"/>
    <col customWidth="1" min="12" max="12" width="14.57"/>
    <col customWidth="1" min="13" max="13" width="54.0"/>
    <col customWidth="1" min="15" max="15" width="15.43"/>
    <col customWidth="1" min="17" max="17" width="24.86"/>
    <col customWidth="1" min="19" max="19" width="18.71"/>
  </cols>
  <sheetData>
    <row r="1" ht="51.0" customHeight="1">
      <c r="A1" s="269">
        <v>41.0</v>
      </c>
      <c r="B1" s="421" t="s">
        <v>6313</v>
      </c>
      <c r="C1" s="269"/>
      <c r="D1" s="358" t="s">
        <v>6314</v>
      </c>
      <c r="E1" s="270" t="s">
        <v>3</v>
      </c>
      <c r="F1" s="359" t="s">
        <v>4630</v>
      </c>
      <c r="G1" s="269" t="s">
        <v>7400</v>
      </c>
      <c r="H1" s="269" t="s">
        <v>9156</v>
      </c>
      <c r="I1" s="367" t="s">
        <v>2107</v>
      </c>
      <c r="J1" s="269">
        <v>35800.0</v>
      </c>
      <c r="K1" s="359"/>
      <c r="L1" s="359"/>
      <c r="M1" s="439"/>
      <c r="N1" s="269"/>
      <c r="O1" s="269"/>
      <c r="P1" s="275"/>
      <c r="Q1" s="423"/>
      <c r="R1" s="547"/>
      <c r="S1" s="364"/>
      <c r="T1" s="364"/>
      <c r="U1" s="364"/>
      <c r="V1" s="364"/>
      <c r="W1" s="364"/>
      <c r="X1" s="364"/>
      <c r="Y1" s="364"/>
      <c r="Z1" s="364"/>
    </row>
    <row r="2" ht="51.0" customHeight="1">
      <c r="A2" s="277" t="s">
        <v>7</v>
      </c>
      <c r="B2" s="278" t="s">
        <v>6316</v>
      </c>
      <c r="C2" s="277" t="s">
        <v>6317</v>
      </c>
      <c r="D2" s="277" t="s">
        <v>10</v>
      </c>
      <c r="E2" s="279" t="s">
        <v>11</v>
      </c>
      <c r="F2" s="285" t="s">
        <v>9157</v>
      </c>
      <c r="G2" s="277" t="s">
        <v>12</v>
      </c>
      <c r="H2" s="277" t="s">
        <v>12</v>
      </c>
      <c r="I2" s="277" t="s">
        <v>9158</v>
      </c>
      <c r="J2" s="277" t="s">
        <v>9159</v>
      </c>
      <c r="K2" s="522" t="s">
        <v>2111</v>
      </c>
      <c r="L2" s="522" t="s">
        <v>2112</v>
      </c>
      <c r="M2" s="277" t="s">
        <v>2113</v>
      </c>
      <c r="N2" s="277" t="s">
        <v>493</v>
      </c>
      <c r="O2" s="277" t="s">
        <v>1025</v>
      </c>
      <c r="P2" s="283" t="s">
        <v>2523</v>
      </c>
      <c r="Q2" s="299" t="s">
        <v>9160</v>
      </c>
      <c r="R2" s="424" t="s">
        <v>9161</v>
      </c>
      <c r="S2" s="366" t="s">
        <v>9162</v>
      </c>
      <c r="T2" s="366"/>
      <c r="U2" s="366"/>
      <c r="V2" s="366"/>
      <c r="W2" s="366"/>
      <c r="X2" s="366"/>
      <c r="Y2" s="366"/>
      <c r="Z2" s="366"/>
    </row>
    <row r="3" ht="91.5" customHeight="1">
      <c r="A3" s="370">
        <v>40130.0</v>
      </c>
      <c r="B3" s="299" t="s">
        <v>6501</v>
      </c>
      <c r="C3" s="285">
        <v>758.0</v>
      </c>
      <c r="D3" s="285" t="s">
        <v>9163</v>
      </c>
      <c r="E3" s="287" t="s">
        <v>9164</v>
      </c>
      <c r="F3" s="288">
        <v>45657.0</v>
      </c>
      <c r="G3" s="288">
        <v>45649.0</v>
      </c>
      <c r="H3" s="288">
        <v>45649.0</v>
      </c>
      <c r="I3" s="288">
        <v>45665.0</v>
      </c>
      <c r="J3" s="288">
        <v>45665.0</v>
      </c>
      <c r="K3" s="285"/>
      <c r="L3" s="17"/>
      <c r="M3" s="290" t="s">
        <v>9165</v>
      </c>
      <c r="N3" s="299" t="s">
        <v>4635</v>
      </c>
      <c r="O3" s="322" t="s">
        <v>2621</v>
      </c>
      <c r="P3" s="300">
        <v>41702.96</v>
      </c>
      <c r="Q3" s="299">
        <f t="shared" ref="Q3:Q548" si="1">WEEKNUM($F3)</f>
        <v>53</v>
      </c>
      <c r="R3" s="424"/>
      <c r="S3" s="366" t="s">
        <v>9166</v>
      </c>
      <c r="T3" s="366"/>
      <c r="U3" s="366"/>
      <c r="V3" s="366"/>
      <c r="W3" s="366"/>
      <c r="X3" s="366"/>
      <c r="Y3" s="366"/>
      <c r="Z3" s="366"/>
    </row>
    <row r="4" ht="91.5" customHeight="1">
      <c r="A4" s="370">
        <v>39761.0</v>
      </c>
      <c r="B4" s="299" t="s">
        <v>25</v>
      </c>
      <c r="C4" s="285">
        <v>1745.0</v>
      </c>
      <c r="D4" s="285" t="s">
        <v>9167</v>
      </c>
      <c r="E4" s="287" t="s">
        <v>9168</v>
      </c>
      <c r="F4" s="288">
        <v>45655.0</v>
      </c>
      <c r="G4" s="288">
        <v>45652.0</v>
      </c>
      <c r="H4" s="288">
        <v>45652.0</v>
      </c>
      <c r="I4" s="288">
        <v>45665.0</v>
      </c>
      <c r="J4" s="288">
        <v>45665.0</v>
      </c>
      <c r="K4" s="285"/>
      <c r="L4" s="17"/>
      <c r="M4" s="290" t="s">
        <v>9169</v>
      </c>
      <c r="N4" s="299" t="s">
        <v>497</v>
      </c>
      <c r="O4" s="322" t="s">
        <v>2554</v>
      </c>
      <c r="P4" s="300">
        <v>40860.55</v>
      </c>
      <c r="Q4" s="299">
        <f t="shared" si="1"/>
        <v>53</v>
      </c>
      <c r="R4" s="424" t="s">
        <v>9170</v>
      </c>
      <c r="S4" s="366" t="s">
        <v>9171</v>
      </c>
      <c r="T4" s="198"/>
      <c r="U4" s="198"/>
      <c r="V4" s="198"/>
      <c r="W4" s="198"/>
      <c r="X4" s="198"/>
      <c r="Y4" s="198"/>
      <c r="Z4" s="198"/>
    </row>
    <row r="5" ht="91.5" customHeight="1">
      <c r="A5" s="370">
        <v>40018.0</v>
      </c>
      <c r="B5" s="299" t="s">
        <v>25</v>
      </c>
      <c r="C5" s="285">
        <v>2400.0</v>
      </c>
      <c r="D5" s="285" t="s">
        <v>9172</v>
      </c>
      <c r="E5" s="287" t="s">
        <v>4796</v>
      </c>
      <c r="F5" s="288">
        <v>45655.0</v>
      </c>
      <c r="G5" s="288">
        <v>45652.0</v>
      </c>
      <c r="H5" s="288">
        <v>45652.0</v>
      </c>
      <c r="I5" s="288">
        <v>45664.0</v>
      </c>
      <c r="J5" s="288">
        <v>45664.0</v>
      </c>
      <c r="K5" s="285"/>
      <c r="L5" s="17"/>
      <c r="M5" s="290" t="s">
        <v>9173</v>
      </c>
      <c r="N5" s="299" t="s">
        <v>497</v>
      </c>
      <c r="O5" s="322" t="s">
        <v>2554</v>
      </c>
      <c r="P5" s="300">
        <v>41592.0</v>
      </c>
      <c r="Q5" s="299">
        <f t="shared" si="1"/>
        <v>53</v>
      </c>
      <c r="R5" s="424" t="s">
        <v>9170</v>
      </c>
      <c r="S5" s="366" t="s">
        <v>9171</v>
      </c>
      <c r="T5" s="198"/>
      <c r="U5" s="198"/>
      <c r="V5" s="198"/>
      <c r="W5" s="198"/>
      <c r="X5" s="198"/>
      <c r="Y5" s="198"/>
      <c r="Z5" s="198"/>
    </row>
    <row r="6" ht="91.5" customHeight="1">
      <c r="A6" s="370">
        <v>39929.0</v>
      </c>
      <c r="B6" s="285" t="s">
        <v>21</v>
      </c>
      <c r="C6" s="285">
        <v>5228.0</v>
      </c>
      <c r="D6" s="285" t="s">
        <v>9174</v>
      </c>
      <c r="E6" s="287" t="s">
        <v>9175</v>
      </c>
      <c r="F6" s="288">
        <v>45654.0</v>
      </c>
      <c r="G6" s="288">
        <v>45650.0</v>
      </c>
      <c r="H6" s="288">
        <v>45650.0</v>
      </c>
      <c r="I6" s="288">
        <v>45663.0</v>
      </c>
      <c r="J6" s="285" t="s">
        <v>9176</v>
      </c>
      <c r="K6" s="548" t="s">
        <v>9177</v>
      </c>
      <c r="L6" s="428" t="s">
        <v>9178</v>
      </c>
      <c r="M6" s="290" t="s">
        <v>9179</v>
      </c>
      <c r="N6" s="299" t="s">
        <v>4635</v>
      </c>
      <c r="O6" s="322" t="s">
        <v>2621</v>
      </c>
      <c r="P6" s="300">
        <v>49157.58</v>
      </c>
      <c r="Q6" s="299">
        <f t="shared" si="1"/>
        <v>52</v>
      </c>
      <c r="R6" s="424"/>
      <c r="S6" s="366" t="s">
        <v>9166</v>
      </c>
      <c r="T6" s="198"/>
      <c r="U6" s="198"/>
      <c r="V6" s="198"/>
      <c r="W6" s="198"/>
      <c r="X6" s="198"/>
      <c r="Y6" s="198"/>
      <c r="Z6" s="198"/>
    </row>
    <row r="7" ht="91.5" customHeight="1">
      <c r="A7" s="370">
        <v>39796.0</v>
      </c>
      <c r="B7" s="285" t="s">
        <v>21</v>
      </c>
      <c r="C7" s="285">
        <v>920.0</v>
      </c>
      <c r="D7" s="285" t="s">
        <v>9180</v>
      </c>
      <c r="E7" s="287" t="s">
        <v>9181</v>
      </c>
      <c r="F7" s="288">
        <v>45654.0</v>
      </c>
      <c r="G7" s="288">
        <v>45663.0</v>
      </c>
      <c r="H7" s="288">
        <v>45657.0</v>
      </c>
      <c r="I7" s="288">
        <v>45664.0</v>
      </c>
      <c r="J7" s="285" t="s">
        <v>9182</v>
      </c>
      <c r="K7" s="548" t="s">
        <v>4916</v>
      </c>
      <c r="L7" s="428"/>
      <c r="M7" s="290" t="s">
        <v>9183</v>
      </c>
      <c r="N7" s="299" t="s">
        <v>4635</v>
      </c>
      <c r="O7" s="322" t="s">
        <v>2621</v>
      </c>
      <c r="P7" s="300">
        <v>69038.0</v>
      </c>
      <c r="Q7" s="299">
        <f t="shared" si="1"/>
        <v>52</v>
      </c>
      <c r="R7" s="424"/>
      <c r="S7" s="366" t="s">
        <v>8430</v>
      </c>
      <c r="T7" s="198"/>
      <c r="U7" s="198"/>
      <c r="V7" s="198"/>
      <c r="W7" s="198"/>
      <c r="X7" s="198"/>
      <c r="Y7" s="198"/>
      <c r="Z7" s="198"/>
    </row>
    <row r="8" ht="91.5" customHeight="1">
      <c r="A8" s="370">
        <v>40207.0</v>
      </c>
      <c r="B8" s="299" t="s">
        <v>9184</v>
      </c>
      <c r="C8" s="285">
        <v>1145.0</v>
      </c>
      <c r="D8" s="285" t="s">
        <v>9185</v>
      </c>
      <c r="E8" s="287" t="s">
        <v>7415</v>
      </c>
      <c r="F8" s="288">
        <v>45652.0</v>
      </c>
      <c r="G8" s="288">
        <v>45644.0</v>
      </c>
      <c r="H8" s="288">
        <v>45644.0</v>
      </c>
      <c r="I8" s="288">
        <v>45663.0</v>
      </c>
      <c r="J8" s="285" t="s">
        <v>9186</v>
      </c>
      <c r="K8" s="285"/>
      <c r="L8" s="17"/>
      <c r="M8" s="290" t="s">
        <v>9187</v>
      </c>
      <c r="N8" s="299" t="s">
        <v>6366</v>
      </c>
      <c r="O8" s="299" t="s">
        <v>2628</v>
      </c>
      <c r="P8" s="300">
        <v>146901.0</v>
      </c>
      <c r="Q8" s="299">
        <f t="shared" si="1"/>
        <v>52</v>
      </c>
      <c r="R8" s="424"/>
      <c r="S8" s="366" t="s">
        <v>9166</v>
      </c>
      <c r="T8" s="198"/>
      <c r="U8" s="198"/>
      <c r="V8" s="198"/>
      <c r="W8" s="198"/>
      <c r="X8" s="198"/>
      <c r="Y8" s="198"/>
      <c r="Z8" s="198"/>
    </row>
    <row r="9" ht="91.5" customHeight="1">
      <c r="A9" s="370">
        <v>39434.0</v>
      </c>
      <c r="B9" s="285" t="s">
        <v>21</v>
      </c>
      <c r="C9" s="285">
        <v>4300.0</v>
      </c>
      <c r="D9" s="285" t="s">
        <v>9188</v>
      </c>
      <c r="E9" s="287" t="s">
        <v>3903</v>
      </c>
      <c r="F9" s="288">
        <v>45649.0</v>
      </c>
      <c r="G9" s="288">
        <v>45644.0</v>
      </c>
      <c r="H9" s="288">
        <v>45644.0</v>
      </c>
      <c r="I9" s="288">
        <v>45660.0</v>
      </c>
      <c r="J9" s="288">
        <v>45660.0</v>
      </c>
      <c r="K9" s="548" t="s">
        <v>4916</v>
      </c>
      <c r="L9" s="428"/>
      <c r="M9" s="290" t="s">
        <v>9189</v>
      </c>
      <c r="N9" s="285" t="s">
        <v>4635</v>
      </c>
      <c r="O9" s="322" t="s">
        <v>2621</v>
      </c>
      <c r="P9" s="300">
        <v>123396.0</v>
      </c>
      <c r="Q9" s="299">
        <f t="shared" si="1"/>
        <v>52</v>
      </c>
      <c r="R9" s="424"/>
      <c r="S9" s="366" t="s">
        <v>9166</v>
      </c>
      <c r="T9" s="198"/>
      <c r="U9" s="198"/>
      <c r="V9" s="198"/>
      <c r="W9" s="198"/>
      <c r="X9" s="198"/>
      <c r="Y9" s="198"/>
      <c r="Z9" s="198"/>
    </row>
    <row r="10" ht="91.5" customHeight="1">
      <c r="A10" s="370">
        <v>39771.0</v>
      </c>
      <c r="B10" s="299" t="s">
        <v>6501</v>
      </c>
      <c r="C10" s="285">
        <v>940.0</v>
      </c>
      <c r="D10" s="285" t="s">
        <v>9190</v>
      </c>
      <c r="E10" s="287" t="s">
        <v>9191</v>
      </c>
      <c r="F10" s="288">
        <v>45649.0</v>
      </c>
      <c r="G10" s="288">
        <v>45653.0</v>
      </c>
      <c r="H10" s="288">
        <v>45653.0</v>
      </c>
      <c r="I10" s="288">
        <v>45659.0</v>
      </c>
      <c r="J10" s="288">
        <v>45659.0</v>
      </c>
      <c r="K10" s="285"/>
      <c r="L10" s="17"/>
      <c r="M10" s="290" t="s">
        <v>9192</v>
      </c>
      <c r="N10" s="299" t="s">
        <v>4635</v>
      </c>
      <c r="O10" s="322" t="s">
        <v>2621</v>
      </c>
      <c r="P10" s="300">
        <v>40833.6</v>
      </c>
      <c r="Q10" s="299">
        <f t="shared" si="1"/>
        <v>52</v>
      </c>
      <c r="R10" s="424"/>
      <c r="S10" s="366" t="s">
        <v>8430</v>
      </c>
      <c r="T10" s="198"/>
      <c r="U10" s="198"/>
      <c r="V10" s="198"/>
      <c r="W10" s="198"/>
      <c r="X10" s="198"/>
      <c r="Y10" s="198"/>
      <c r="Z10" s="198"/>
    </row>
    <row r="11" ht="91.5" customHeight="1">
      <c r="A11" s="370">
        <v>39651.0</v>
      </c>
      <c r="B11" s="299" t="s">
        <v>715</v>
      </c>
      <c r="C11" s="285">
        <v>1726.0</v>
      </c>
      <c r="D11" s="285" t="s">
        <v>9193</v>
      </c>
      <c r="E11" s="287" t="s">
        <v>9194</v>
      </c>
      <c r="F11" s="288">
        <v>45649.0</v>
      </c>
      <c r="G11" s="288">
        <v>45644.0</v>
      </c>
      <c r="H11" s="288">
        <v>45644.0</v>
      </c>
      <c r="I11" s="288">
        <v>45656.0</v>
      </c>
      <c r="J11" s="288">
        <v>45656.0</v>
      </c>
      <c r="K11" s="285"/>
      <c r="L11" s="17"/>
      <c r="M11" s="290" t="s">
        <v>9195</v>
      </c>
      <c r="N11" s="299" t="s">
        <v>497</v>
      </c>
      <c r="O11" s="322" t="s">
        <v>2604</v>
      </c>
      <c r="P11" s="300">
        <v>63772.5</v>
      </c>
      <c r="Q11" s="299">
        <f t="shared" si="1"/>
        <v>52</v>
      </c>
      <c r="R11" s="424"/>
      <c r="S11" s="366" t="s">
        <v>9166</v>
      </c>
      <c r="T11" s="198"/>
      <c r="U11" s="198"/>
      <c r="V11" s="198"/>
      <c r="W11" s="198"/>
      <c r="X11" s="198"/>
      <c r="Y11" s="198"/>
      <c r="Z11" s="198"/>
    </row>
    <row r="12" ht="91.5" customHeight="1">
      <c r="A12" s="370">
        <v>39626.0</v>
      </c>
      <c r="B12" s="299" t="s">
        <v>715</v>
      </c>
      <c r="C12" s="285">
        <v>2413.0</v>
      </c>
      <c r="D12" s="285" t="s">
        <v>9196</v>
      </c>
      <c r="E12" s="287" t="s">
        <v>7476</v>
      </c>
      <c r="F12" s="288">
        <v>45649.0</v>
      </c>
      <c r="G12" s="288">
        <v>45644.0</v>
      </c>
      <c r="H12" s="288">
        <v>45644.0</v>
      </c>
      <c r="I12" s="288">
        <v>45659.0</v>
      </c>
      <c r="J12" s="288">
        <v>45659.0</v>
      </c>
      <c r="K12" s="285"/>
      <c r="L12" s="17"/>
      <c r="M12" s="290" t="s">
        <v>9197</v>
      </c>
      <c r="N12" s="299" t="s">
        <v>497</v>
      </c>
      <c r="O12" s="322" t="s">
        <v>2554</v>
      </c>
      <c r="P12" s="300">
        <v>42468.8</v>
      </c>
      <c r="Q12" s="299">
        <f t="shared" si="1"/>
        <v>52</v>
      </c>
      <c r="R12" s="424" t="s">
        <v>9198</v>
      </c>
      <c r="S12" s="366" t="s">
        <v>9171</v>
      </c>
      <c r="T12" s="198"/>
      <c r="U12" s="198"/>
      <c r="V12" s="198"/>
      <c r="W12" s="198"/>
      <c r="X12" s="198"/>
      <c r="Y12" s="198"/>
      <c r="Z12" s="198"/>
    </row>
    <row r="13" ht="93.0" customHeight="1">
      <c r="A13" s="370">
        <v>39949.0</v>
      </c>
      <c r="B13" s="299" t="s">
        <v>715</v>
      </c>
      <c r="C13" s="285">
        <v>1132.0</v>
      </c>
      <c r="D13" s="285" t="s">
        <v>9199</v>
      </c>
      <c r="E13" s="287" t="s">
        <v>7415</v>
      </c>
      <c r="F13" s="288">
        <v>45648.0</v>
      </c>
      <c r="G13" s="288">
        <v>45644.0</v>
      </c>
      <c r="H13" s="288">
        <v>45650.0</v>
      </c>
      <c r="I13" s="288">
        <v>45663.0</v>
      </c>
      <c r="J13" s="288">
        <v>45663.0</v>
      </c>
      <c r="K13" s="285"/>
      <c r="L13" s="17"/>
      <c r="M13" s="290" t="s">
        <v>9200</v>
      </c>
      <c r="N13" s="299" t="s">
        <v>6366</v>
      </c>
      <c r="O13" s="322" t="s">
        <v>2628</v>
      </c>
      <c r="P13" s="300">
        <v>138460.0</v>
      </c>
      <c r="Q13" s="299">
        <f t="shared" si="1"/>
        <v>52</v>
      </c>
      <c r="R13" s="424"/>
      <c r="S13" s="366" t="s">
        <v>9166</v>
      </c>
      <c r="T13" s="198"/>
      <c r="U13" s="198"/>
      <c r="V13" s="198"/>
      <c r="W13" s="198"/>
      <c r="X13" s="198"/>
      <c r="Y13" s="198"/>
      <c r="Z13" s="198"/>
    </row>
    <row r="14" ht="91.5" customHeight="1">
      <c r="A14" s="370">
        <v>39792.0</v>
      </c>
      <c r="B14" s="299" t="s">
        <v>25</v>
      </c>
      <c r="C14" s="285">
        <v>940.0</v>
      </c>
      <c r="D14" s="285" t="s">
        <v>9201</v>
      </c>
      <c r="E14" s="287" t="s">
        <v>9202</v>
      </c>
      <c r="F14" s="288">
        <v>45647.0</v>
      </c>
      <c r="G14" s="288">
        <v>45644.0</v>
      </c>
      <c r="H14" s="288">
        <v>45644.0</v>
      </c>
      <c r="I14" s="288">
        <v>45653.0</v>
      </c>
      <c r="J14" s="288">
        <v>45653.0</v>
      </c>
      <c r="K14" s="549"/>
      <c r="L14" s="17"/>
      <c r="M14" s="290" t="s">
        <v>9203</v>
      </c>
      <c r="N14" s="299" t="s">
        <v>4635</v>
      </c>
      <c r="O14" s="322" t="s">
        <v>2621</v>
      </c>
      <c r="P14" s="300">
        <v>39809.0</v>
      </c>
      <c r="Q14" s="299">
        <f t="shared" si="1"/>
        <v>51</v>
      </c>
      <c r="R14" s="424"/>
      <c r="S14" s="366" t="s">
        <v>8430</v>
      </c>
      <c r="T14" s="198"/>
      <c r="U14" s="198"/>
      <c r="V14" s="198"/>
      <c r="W14" s="198"/>
      <c r="X14" s="198"/>
      <c r="Y14" s="198"/>
      <c r="Z14" s="198"/>
    </row>
    <row r="15" ht="91.5" customHeight="1">
      <c r="A15" s="370">
        <v>39697.0</v>
      </c>
      <c r="B15" s="299" t="s">
        <v>715</v>
      </c>
      <c r="C15" s="285">
        <v>1250.0</v>
      </c>
      <c r="D15" s="285" t="s">
        <v>9204</v>
      </c>
      <c r="E15" s="287" t="s">
        <v>4637</v>
      </c>
      <c r="F15" s="288">
        <v>45643.0</v>
      </c>
      <c r="G15" s="288">
        <v>45642.0</v>
      </c>
      <c r="H15" s="288">
        <v>45642.0</v>
      </c>
      <c r="I15" s="288">
        <v>45649.0</v>
      </c>
      <c r="J15" s="288">
        <v>45649.0</v>
      </c>
      <c r="K15" s="285"/>
      <c r="L15" s="17"/>
      <c r="M15" s="290" t="s">
        <v>9205</v>
      </c>
      <c r="N15" s="299" t="s">
        <v>497</v>
      </c>
      <c r="O15" s="322" t="s">
        <v>2554</v>
      </c>
      <c r="P15" s="300">
        <v>36250.0</v>
      </c>
      <c r="Q15" s="299">
        <f t="shared" si="1"/>
        <v>51</v>
      </c>
      <c r="R15" s="424" t="s">
        <v>9170</v>
      </c>
      <c r="S15" s="366" t="s">
        <v>9171</v>
      </c>
      <c r="T15" s="198"/>
      <c r="U15" s="198"/>
      <c r="V15" s="198"/>
      <c r="W15" s="198"/>
      <c r="X15" s="198"/>
      <c r="Y15" s="198"/>
      <c r="Z15" s="198"/>
    </row>
    <row r="16" ht="91.5" customHeight="1">
      <c r="A16" s="370">
        <v>39624.0</v>
      </c>
      <c r="B16" s="299" t="s">
        <v>715</v>
      </c>
      <c r="C16" s="285">
        <v>4356.0</v>
      </c>
      <c r="D16" s="285" t="s">
        <v>9206</v>
      </c>
      <c r="E16" s="287" t="s">
        <v>9207</v>
      </c>
      <c r="F16" s="288">
        <v>45643.0</v>
      </c>
      <c r="G16" s="288">
        <v>45642.0</v>
      </c>
      <c r="H16" s="288">
        <v>45642.0</v>
      </c>
      <c r="I16" s="288">
        <v>45652.0</v>
      </c>
      <c r="J16" s="288">
        <v>45652.0</v>
      </c>
      <c r="K16" s="285" t="s">
        <v>5270</v>
      </c>
      <c r="L16" s="204" t="s">
        <v>9178</v>
      </c>
      <c r="M16" s="290" t="s">
        <v>9208</v>
      </c>
      <c r="N16" s="299" t="s">
        <v>497</v>
      </c>
      <c r="O16" s="322" t="s">
        <v>2554</v>
      </c>
      <c r="P16" s="300">
        <v>33940.56</v>
      </c>
      <c r="Q16" s="299">
        <f t="shared" si="1"/>
        <v>51</v>
      </c>
      <c r="R16" s="424" t="s">
        <v>9198</v>
      </c>
      <c r="S16" s="366" t="s">
        <v>9171</v>
      </c>
      <c r="T16" s="198"/>
      <c r="U16" s="198"/>
      <c r="V16" s="198"/>
      <c r="W16" s="198"/>
      <c r="X16" s="198"/>
      <c r="Y16" s="198"/>
      <c r="Z16" s="198"/>
    </row>
    <row r="17" ht="91.5" customHeight="1">
      <c r="A17" s="370">
        <v>39948.0</v>
      </c>
      <c r="B17" s="299" t="s">
        <v>715</v>
      </c>
      <c r="C17" s="285">
        <v>1222.0</v>
      </c>
      <c r="D17" s="285" t="s">
        <v>9209</v>
      </c>
      <c r="E17" s="287" t="s">
        <v>7415</v>
      </c>
      <c r="F17" s="288">
        <v>45641.0</v>
      </c>
      <c r="G17" s="288">
        <v>45642.0</v>
      </c>
      <c r="H17" s="288">
        <v>45642.0</v>
      </c>
      <c r="I17" s="288">
        <v>45644.0</v>
      </c>
      <c r="J17" s="288">
        <v>45644.0</v>
      </c>
      <c r="K17" s="285"/>
      <c r="L17" s="17"/>
      <c r="M17" s="290" t="s">
        <v>9210</v>
      </c>
      <c r="N17" s="299" t="s">
        <v>6366</v>
      </c>
      <c r="O17" s="322" t="s">
        <v>2628</v>
      </c>
      <c r="P17" s="300">
        <v>141153.0</v>
      </c>
      <c r="Q17" s="299">
        <f t="shared" si="1"/>
        <v>51</v>
      </c>
      <c r="R17" s="424"/>
      <c r="S17" s="366" t="s">
        <v>9166</v>
      </c>
      <c r="T17" s="198"/>
      <c r="U17" s="198"/>
      <c r="V17" s="198"/>
      <c r="W17" s="198"/>
      <c r="X17" s="198"/>
      <c r="Y17" s="198"/>
      <c r="Z17" s="198"/>
    </row>
    <row r="18" ht="91.5" customHeight="1">
      <c r="A18" s="370">
        <v>39758.0</v>
      </c>
      <c r="B18" s="299" t="s">
        <v>25</v>
      </c>
      <c r="C18" s="285">
        <v>1299.0</v>
      </c>
      <c r="D18" s="285" t="s">
        <v>9211</v>
      </c>
      <c r="E18" s="287" t="s">
        <v>9212</v>
      </c>
      <c r="F18" s="288">
        <v>45641.0</v>
      </c>
      <c r="G18" s="288">
        <v>45638.0</v>
      </c>
      <c r="H18" s="288">
        <v>45638.0</v>
      </c>
      <c r="I18" s="288">
        <v>45645.0</v>
      </c>
      <c r="J18" s="288">
        <v>45645.0</v>
      </c>
      <c r="K18" s="549"/>
      <c r="L18" s="17"/>
      <c r="M18" s="290" t="s">
        <v>9213</v>
      </c>
      <c r="N18" s="299" t="s">
        <v>497</v>
      </c>
      <c r="O18" s="322" t="s">
        <v>2554</v>
      </c>
      <c r="P18" s="300">
        <v>36221.0</v>
      </c>
      <c r="Q18" s="299">
        <f t="shared" si="1"/>
        <v>51</v>
      </c>
      <c r="R18" s="424" t="s">
        <v>9170</v>
      </c>
      <c r="S18" s="366" t="s">
        <v>9171</v>
      </c>
      <c r="T18" s="198"/>
      <c r="U18" s="198"/>
      <c r="V18" s="198"/>
      <c r="W18" s="198"/>
      <c r="X18" s="198"/>
      <c r="Y18" s="198"/>
      <c r="Z18" s="198"/>
    </row>
    <row r="19" ht="91.5" customHeight="1">
      <c r="A19" s="370">
        <v>39858.0</v>
      </c>
      <c r="B19" s="299" t="s">
        <v>715</v>
      </c>
      <c r="C19" s="285">
        <v>1150.0</v>
      </c>
      <c r="D19" s="285" t="s">
        <v>9214</v>
      </c>
      <c r="E19" s="287" t="s">
        <v>9215</v>
      </c>
      <c r="F19" s="288">
        <v>45639.0</v>
      </c>
      <c r="G19" s="288">
        <v>45636.0</v>
      </c>
      <c r="H19" s="288">
        <v>45636.0</v>
      </c>
      <c r="I19" s="288">
        <v>45646.0</v>
      </c>
      <c r="J19" s="288">
        <v>45646.0</v>
      </c>
      <c r="K19" s="285"/>
      <c r="L19" s="17"/>
      <c r="M19" s="290" t="s">
        <v>9216</v>
      </c>
      <c r="N19" s="299" t="s">
        <v>4635</v>
      </c>
      <c r="O19" s="322" t="s">
        <v>2621</v>
      </c>
      <c r="P19" s="300">
        <v>83180.5</v>
      </c>
      <c r="Q19" s="299">
        <f t="shared" si="1"/>
        <v>50</v>
      </c>
      <c r="R19" s="424"/>
      <c r="S19" s="366" t="s">
        <v>9166</v>
      </c>
      <c r="T19" s="198"/>
      <c r="U19" s="198"/>
      <c r="V19" s="198"/>
      <c r="W19" s="198"/>
      <c r="X19" s="198"/>
      <c r="Y19" s="198"/>
      <c r="Z19" s="198"/>
    </row>
    <row r="20" ht="91.5" customHeight="1">
      <c r="A20" s="370">
        <v>39856.0</v>
      </c>
      <c r="B20" s="285" t="s">
        <v>21</v>
      </c>
      <c r="C20" s="285">
        <v>1250.0</v>
      </c>
      <c r="D20" s="285" t="s">
        <v>9217</v>
      </c>
      <c r="E20" s="287" t="s">
        <v>9218</v>
      </c>
      <c r="F20" s="288">
        <v>45638.0</v>
      </c>
      <c r="G20" s="288">
        <v>45636.0</v>
      </c>
      <c r="H20" s="288">
        <v>45636.0</v>
      </c>
      <c r="I20" s="288">
        <v>45644.0</v>
      </c>
      <c r="J20" s="288">
        <v>45644.0</v>
      </c>
      <c r="K20" s="285" t="s">
        <v>4841</v>
      </c>
      <c r="L20" s="285"/>
      <c r="M20" s="290" t="s">
        <v>9219</v>
      </c>
      <c r="N20" s="299" t="s">
        <v>497</v>
      </c>
      <c r="O20" s="322" t="s">
        <v>2554</v>
      </c>
      <c r="P20" s="300">
        <v>31875.0</v>
      </c>
      <c r="Q20" s="299">
        <f t="shared" si="1"/>
        <v>50</v>
      </c>
      <c r="R20" s="424" t="s">
        <v>9170</v>
      </c>
      <c r="S20" s="366" t="s">
        <v>9171</v>
      </c>
      <c r="T20" s="198"/>
      <c r="U20" s="198"/>
      <c r="V20" s="198"/>
      <c r="W20" s="198"/>
      <c r="X20" s="198"/>
      <c r="Y20" s="198"/>
      <c r="Z20" s="198"/>
    </row>
    <row r="21" ht="91.5" customHeight="1">
      <c r="A21" s="370">
        <v>39628.0</v>
      </c>
      <c r="B21" s="285" t="s">
        <v>21</v>
      </c>
      <c r="C21" s="285">
        <v>2413.0</v>
      </c>
      <c r="D21" s="285" t="s">
        <v>9220</v>
      </c>
      <c r="E21" s="287" t="s">
        <v>7448</v>
      </c>
      <c r="F21" s="288">
        <v>45638.0</v>
      </c>
      <c r="G21" s="288">
        <v>45636.0</v>
      </c>
      <c r="H21" s="288">
        <v>45636.0</v>
      </c>
      <c r="I21" s="288">
        <v>45642.0</v>
      </c>
      <c r="J21" s="288">
        <v>45642.0</v>
      </c>
      <c r="K21" s="285" t="s">
        <v>4841</v>
      </c>
      <c r="L21" s="285"/>
      <c r="M21" s="290" t="s">
        <v>9221</v>
      </c>
      <c r="N21" s="299" t="s">
        <v>497</v>
      </c>
      <c r="O21" s="322" t="s">
        <v>2554</v>
      </c>
      <c r="P21" s="300">
        <v>42951.2</v>
      </c>
      <c r="Q21" s="299">
        <f t="shared" si="1"/>
        <v>50</v>
      </c>
      <c r="R21" s="424" t="s">
        <v>9198</v>
      </c>
      <c r="S21" s="366" t="s">
        <v>9171</v>
      </c>
      <c r="T21" s="198"/>
      <c r="U21" s="198"/>
      <c r="V21" s="198"/>
      <c r="W21" s="198"/>
      <c r="X21" s="198"/>
      <c r="Y21" s="198"/>
      <c r="Z21" s="198"/>
    </row>
    <row r="22" ht="91.5" customHeight="1">
      <c r="A22" s="370">
        <v>39625.0</v>
      </c>
      <c r="B22" s="285" t="s">
        <v>21</v>
      </c>
      <c r="C22" s="285">
        <v>2578.0</v>
      </c>
      <c r="D22" s="285" t="s">
        <v>9222</v>
      </c>
      <c r="E22" s="287" t="s">
        <v>9223</v>
      </c>
      <c r="F22" s="288">
        <v>45638.0</v>
      </c>
      <c r="G22" s="288">
        <v>45636.0</v>
      </c>
      <c r="H22" s="288">
        <v>45636.0</v>
      </c>
      <c r="I22" s="288">
        <v>45643.0</v>
      </c>
      <c r="J22" s="285" t="s">
        <v>9224</v>
      </c>
      <c r="K22" s="285" t="s">
        <v>4841</v>
      </c>
      <c r="L22" s="285"/>
      <c r="M22" s="290" t="s">
        <v>9225</v>
      </c>
      <c r="N22" s="299" t="s">
        <v>497</v>
      </c>
      <c r="O22" s="322" t="s">
        <v>2554</v>
      </c>
      <c r="P22" s="300">
        <v>57824.4</v>
      </c>
      <c r="Q22" s="299">
        <f t="shared" si="1"/>
        <v>50</v>
      </c>
      <c r="R22" s="424" t="s">
        <v>9198</v>
      </c>
      <c r="S22" s="366" t="s">
        <v>9171</v>
      </c>
      <c r="T22" s="198"/>
      <c r="U22" s="198"/>
      <c r="V22" s="198"/>
      <c r="W22" s="198"/>
      <c r="X22" s="198"/>
      <c r="Y22" s="198"/>
      <c r="Z22" s="198"/>
    </row>
    <row r="23" ht="91.5" customHeight="1">
      <c r="A23" s="370">
        <v>39754.0</v>
      </c>
      <c r="B23" s="285" t="s">
        <v>21</v>
      </c>
      <c r="C23" s="285">
        <v>4487.0</v>
      </c>
      <c r="D23" s="285" t="s">
        <v>9226</v>
      </c>
      <c r="E23" s="287" t="s">
        <v>9227</v>
      </c>
      <c r="F23" s="288">
        <v>45638.0</v>
      </c>
      <c r="G23" s="288">
        <v>45636.0</v>
      </c>
      <c r="H23" s="288">
        <v>45636.0</v>
      </c>
      <c r="I23" s="288">
        <v>45646.0</v>
      </c>
      <c r="J23" s="285" t="s">
        <v>9228</v>
      </c>
      <c r="K23" s="285" t="s">
        <v>5270</v>
      </c>
      <c r="L23" s="285" t="s">
        <v>9178</v>
      </c>
      <c r="M23" s="290" t="s">
        <v>9229</v>
      </c>
      <c r="N23" s="299" t="s">
        <v>497</v>
      </c>
      <c r="O23" s="322" t="s">
        <v>2554</v>
      </c>
      <c r="P23" s="300">
        <v>32527.5</v>
      </c>
      <c r="Q23" s="299">
        <f t="shared" si="1"/>
        <v>50</v>
      </c>
      <c r="R23" s="424" t="s">
        <v>9170</v>
      </c>
      <c r="S23" s="366" t="s">
        <v>9171</v>
      </c>
      <c r="T23" s="198"/>
      <c r="U23" s="198"/>
      <c r="V23" s="198"/>
      <c r="W23" s="198"/>
      <c r="X23" s="198"/>
      <c r="Y23" s="198"/>
      <c r="Z23" s="198"/>
    </row>
    <row r="24" ht="91.5" customHeight="1">
      <c r="A24" s="370">
        <v>39630.0</v>
      </c>
      <c r="B24" s="285" t="s">
        <v>21</v>
      </c>
      <c r="C24" s="285">
        <v>4356.0</v>
      </c>
      <c r="D24" s="285" t="s">
        <v>9230</v>
      </c>
      <c r="E24" s="287" t="s">
        <v>7523</v>
      </c>
      <c r="F24" s="288">
        <v>45638.0</v>
      </c>
      <c r="G24" s="288">
        <v>45636.0</v>
      </c>
      <c r="H24" s="288">
        <v>45636.0</v>
      </c>
      <c r="I24" s="288">
        <v>45644.0</v>
      </c>
      <c r="J24" s="285" t="s">
        <v>9231</v>
      </c>
      <c r="K24" s="285" t="s">
        <v>4841</v>
      </c>
      <c r="L24" s="285"/>
      <c r="M24" s="290" t="s">
        <v>9232</v>
      </c>
      <c r="N24" s="299" t="s">
        <v>497</v>
      </c>
      <c r="O24" s="299" t="s">
        <v>2554</v>
      </c>
      <c r="P24" s="300">
        <v>30056.4</v>
      </c>
      <c r="Q24" s="299">
        <f t="shared" si="1"/>
        <v>50</v>
      </c>
      <c r="R24" s="424" t="s">
        <v>9198</v>
      </c>
      <c r="S24" s="366" t="s">
        <v>9171</v>
      </c>
      <c r="T24" s="198"/>
      <c r="U24" s="198"/>
      <c r="V24" s="198"/>
      <c r="W24" s="198"/>
      <c r="X24" s="198"/>
      <c r="Y24" s="198"/>
      <c r="Z24" s="198"/>
    </row>
    <row r="25" ht="91.5" customHeight="1">
      <c r="A25" s="370">
        <v>39701.0</v>
      </c>
      <c r="B25" s="285" t="s">
        <v>21</v>
      </c>
      <c r="C25" s="285">
        <v>4500.0</v>
      </c>
      <c r="D25" s="285" t="s">
        <v>9233</v>
      </c>
      <c r="E25" s="287" t="s">
        <v>7438</v>
      </c>
      <c r="F25" s="288">
        <v>45638.0</v>
      </c>
      <c r="G25" s="288">
        <v>45636.0</v>
      </c>
      <c r="H25" s="288">
        <v>45636.0</v>
      </c>
      <c r="I25" s="288">
        <v>45645.0</v>
      </c>
      <c r="J25" s="285" t="s">
        <v>9234</v>
      </c>
      <c r="K25" s="285" t="s">
        <v>4841</v>
      </c>
      <c r="L25" s="285"/>
      <c r="M25" s="290" t="s">
        <v>9235</v>
      </c>
      <c r="N25" s="299" t="s">
        <v>497</v>
      </c>
      <c r="O25" s="322" t="s">
        <v>2554</v>
      </c>
      <c r="P25" s="300">
        <v>33300.0</v>
      </c>
      <c r="Q25" s="299">
        <f t="shared" si="1"/>
        <v>50</v>
      </c>
      <c r="R25" s="424" t="s">
        <v>9170</v>
      </c>
      <c r="S25" s="366" t="s">
        <v>9171</v>
      </c>
      <c r="T25" s="198"/>
      <c r="U25" s="198"/>
      <c r="V25" s="198"/>
      <c r="W25" s="198"/>
      <c r="X25" s="198"/>
      <c r="Y25" s="198"/>
      <c r="Z25" s="198"/>
    </row>
    <row r="26" ht="91.5" customHeight="1">
      <c r="A26" s="370">
        <v>39621.0</v>
      </c>
      <c r="B26" s="285" t="s">
        <v>21</v>
      </c>
      <c r="C26" s="285">
        <v>4356.0</v>
      </c>
      <c r="D26" s="285" t="s">
        <v>9236</v>
      </c>
      <c r="E26" s="287" t="s">
        <v>4644</v>
      </c>
      <c r="F26" s="288">
        <v>45638.0</v>
      </c>
      <c r="G26" s="288">
        <v>45636.0</v>
      </c>
      <c r="H26" s="288">
        <v>45636.0</v>
      </c>
      <c r="I26" s="288">
        <v>45645.0</v>
      </c>
      <c r="J26" s="285" t="s">
        <v>9237</v>
      </c>
      <c r="K26" s="285" t="s">
        <v>5270</v>
      </c>
      <c r="L26" s="285" t="s">
        <v>9178</v>
      </c>
      <c r="M26" s="290" t="s">
        <v>9238</v>
      </c>
      <c r="N26" s="299" t="s">
        <v>497</v>
      </c>
      <c r="O26" s="322" t="s">
        <v>2554</v>
      </c>
      <c r="P26" s="300">
        <v>30056.4</v>
      </c>
      <c r="Q26" s="299">
        <f t="shared" si="1"/>
        <v>50</v>
      </c>
      <c r="R26" s="424" t="s">
        <v>9198</v>
      </c>
      <c r="S26" s="366" t="s">
        <v>9171</v>
      </c>
      <c r="T26" s="198"/>
      <c r="U26" s="198"/>
      <c r="V26" s="198"/>
      <c r="W26" s="198"/>
      <c r="X26" s="198"/>
      <c r="Y26" s="198"/>
      <c r="Z26" s="198"/>
    </row>
    <row r="27" ht="91.5" customHeight="1">
      <c r="A27" s="370">
        <v>39622.0</v>
      </c>
      <c r="B27" s="299" t="s">
        <v>715</v>
      </c>
      <c r="C27" s="285">
        <v>1306.0</v>
      </c>
      <c r="D27" s="285" t="s">
        <v>9239</v>
      </c>
      <c r="E27" s="287" t="s">
        <v>7566</v>
      </c>
      <c r="F27" s="288">
        <v>45636.0</v>
      </c>
      <c r="G27" s="288">
        <v>45630.0</v>
      </c>
      <c r="H27" s="288">
        <v>45630.0</v>
      </c>
      <c r="I27" s="288">
        <v>45642.0</v>
      </c>
      <c r="J27" s="288">
        <v>45642.0</v>
      </c>
      <c r="K27" s="285"/>
      <c r="L27" s="17"/>
      <c r="M27" s="290" t="s">
        <v>9240</v>
      </c>
      <c r="N27" s="299" t="s">
        <v>497</v>
      </c>
      <c r="O27" s="322" t="s">
        <v>2554</v>
      </c>
      <c r="P27" s="300">
        <v>44795.8</v>
      </c>
      <c r="Q27" s="299">
        <f t="shared" si="1"/>
        <v>50</v>
      </c>
      <c r="R27" s="424" t="s">
        <v>9198</v>
      </c>
      <c r="S27" s="366" t="s">
        <v>9171</v>
      </c>
      <c r="T27" s="198"/>
      <c r="U27" s="198"/>
      <c r="V27" s="198"/>
      <c r="W27" s="198"/>
      <c r="X27" s="198"/>
      <c r="Y27" s="198"/>
      <c r="Z27" s="198"/>
    </row>
    <row r="28" ht="98.25" customHeight="1">
      <c r="A28" s="370">
        <v>40078.0</v>
      </c>
      <c r="B28" s="299" t="s">
        <v>25</v>
      </c>
      <c r="C28" s="285">
        <v>715.0</v>
      </c>
      <c r="D28" s="285" t="s">
        <v>9241</v>
      </c>
      <c r="E28" s="287" t="s">
        <v>4641</v>
      </c>
      <c r="F28" s="288">
        <v>45634.0</v>
      </c>
      <c r="G28" s="288">
        <v>45636.0</v>
      </c>
      <c r="H28" s="288">
        <v>45636.0</v>
      </c>
      <c r="I28" s="288">
        <v>45637.0</v>
      </c>
      <c r="J28" s="288">
        <v>45637.0</v>
      </c>
      <c r="K28" s="549"/>
      <c r="L28" s="17"/>
      <c r="M28" s="290" t="s">
        <v>9242</v>
      </c>
      <c r="N28" s="299" t="s">
        <v>497</v>
      </c>
      <c r="O28" s="322" t="s">
        <v>2628</v>
      </c>
      <c r="P28" s="300">
        <v>63315.0</v>
      </c>
      <c r="Q28" s="299">
        <f t="shared" si="1"/>
        <v>50</v>
      </c>
      <c r="R28" s="424"/>
      <c r="S28" s="366" t="s">
        <v>9166</v>
      </c>
      <c r="T28" s="198"/>
      <c r="U28" s="198"/>
      <c r="V28" s="198"/>
      <c r="W28" s="198"/>
      <c r="X28" s="198"/>
      <c r="Y28" s="198"/>
      <c r="Z28" s="198"/>
    </row>
    <row r="29" ht="91.5" customHeight="1">
      <c r="A29" s="370">
        <v>40189.0</v>
      </c>
      <c r="B29" s="285" t="s">
        <v>21</v>
      </c>
      <c r="C29" s="285">
        <v>2200.0</v>
      </c>
      <c r="D29" s="285" t="s">
        <v>9243</v>
      </c>
      <c r="E29" s="287" t="s">
        <v>6582</v>
      </c>
      <c r="F29" s="288">
        <v>45633.0</v>
      </c>
      <c r="G29" s="288">
        <v>45637.0</v>
      </c>
      <c r="H29" s="288">
        <v>45637.0</v>
      </c>
      <c r="I29" s="288">
        <v>45638.0</v>
      </c>
      <c r="J29" s="288">
        <v>45638.0</v>
      </c>
      <c r="K29" s="285" t="s">
        <v>4841</v>
      </c>
      <c r="L29" s="285"/>
      <c r="M29" s="290" t="s">
        <v>9244</v>
      </c>
      <c r="N29" s="299" t="s">
        <v>497</v>
      </c>
      <c r="O29" s="322" t="s">
        <v>2621</v>
      </c>
      <c r="P29" s="300">
        <v>27966.0</v>
      </c>
      <c r="Q29" s="299">
        <f t="shared" si="1"/>
        <v>49</v>
      </c>
      <c r="R29" s="424"/>
      <c r="S29" s="366" t="s">
        <v>9166</v>
      </c>
      <c r="T29" s="198"/>
      <c r="U29" s="198"/>
      <c r="V29" s="198"/>
      <c r="W29" s="198"/>
      <c r="X29" s="198"/>
      <c r="Y29" s="198"/>
      <c r="Z29" s="198"/>
    </row>
    <row r="30" ht="91.5" customHeight="1">
      <c r="A30" s="370">
        <v>39772.0</v>
      </c>
      <c r="B30" s="299" t="s">
        <v>715</v>
      </c>
      <c r="C30" s="285">
        <v>1250.0</v>
      </c>
      <c r="D30" s="285" t="s">
        <v>9245</v>
      </c>
      <c r="E30" s="287" t="s">
        <v>9246</v>
      </c>
      <c r="F30" s="288">
        <v>45632.0</v>
      </c>
      <c r="G30" s="288">
        <v>45629.0</v>
      </c>
      <c r="H30" s="288">
        <v>45629.0</v>
      </c>
      <c r="I30" s="288">
        <v>45639.0</v>
      </c>
      <c r="J30" s="288">
        <v>45639.0</v>
      </c>
      <c r="K30" s="285"/>
      <c r="L30" s="17"/>
      <c r="M30" s="290" t="s">
        <v>9247</v>
      </c>
      <c r="N30" s="299" t="s">
        <v>4635</v>
      </c>
      <c r="O30" s="322" t="s">
        <v>2621</v>
      </c>
      <c r="P30" s="300">
        <v>29459.0</v>
      </c>
      <c r="Q30" s="299">
        <f t="shared" si="1"/>
        <v>49</v>
      </c>
      <c r="R30" s="424"/>
      <c r="S30" s="366" t="s">
        <v>8430</v>
      </c>
      <c r="T30" s="198"/>
      <c r="U30" s="198"/>
      <c r="V30" s="198"/>
      <c r="W30" s="198"/>
      <c r="X30" s="198"/>
      <c r="Y30" s="198"/>
      <c r="Z30" s="198"/>
    </row>
    <row r="31" ht="91.5" customHeight="1">
      <c r="A31" s="370">
        <v>39065.0</v>
      </c>
      <c r="B31" s="299" t="s">
        <v>715</v>
      </c>
      <c r="C31" s="285">
        <v>1510.0</v>
      </c>
      <c r="D31" s="285" t="s">
        <v>9248</v>
      </c>
      <c r="E31" s="287" t="s">
        <v>2751</v>
      </c>
      <c r="F31" s="288">
        <v>45632.0</v>
      </c>
      <c r="G31" s="288">
        <v>45628.0</v>
      </c>
      <c r="H31" s="288">
        <v>45628.0</v>
      </c>
      <c r="I31" s="288">
        <v>45642.0</v>
      </c>
      <c r="J31" s="288">
        <v>45642.0</v>
      </c>
      <c r="K31" s="285"/>
      <c r="L31" s="17"/>
      <c r="M31" s="290" t="s">
        <v>9249</v>
      </c>
      <c r="N31" s="299" t="s">
        <v>6366</v>
      </c>
      <c r="O31" s="322" t="s">
        <v>2621</v>
      </c>
      <c r="P31" s="300">
        <v>42425.6</v>
      </c>
      <c r="Q31" s="299">
        <f t="shared" si="1"/>
        <v>49</v>
      </c>
      <c r="R31" s="424"/>
      <c r="S31" s="366" t="s">
        <v>9166</v>
      </c>
      <c r="T31" s="198"/>
      <c r="U31" s="198"/>
      <c r="V31" s="198"/>
      <c r="W31" s="198"/>
      <c r="X31" s="198"/>
      <c r="Y31" s="198"/>
      <c r="Z31" s="198"/>
    </row>
    <row r="32" ht="91.5" customHeight="1">
      <c r="A32" s="370">
        <v>40191.0</v>
      </c>
      <c r="B32" s="299" t="s">
        <v>25</v>
      </c>
      <c r="C32" s="285">
        <v>2180.0</v>
      </c>
      <c r="D32" s="285" t="s">
        <v>9250</v>
      </c>
      <c r="E32" s="287" t="s">
        <v>6582</v>
      </c>
      <c r="F32" s="288">
        <v>45630.0</v>
      </c>
      <c r="G32" s="288">
        <v>45621.0</v>
      </c>
      <c r="H32" s="288">
        <v>45621.0</v>
      </c>
      <c r="I32" s="288">
        <v>45632.0</v>
      </c>
      <c r="J32" s="288">
        <v>45632.0</v>
      </c>
      <c r="K32" s="285"/>
      <c r="L32" s="17"/>
      <c r="M32" s="290" t="s">
        <v>9251</v>
      </c>
      <c r="N32" s="299" t="s">
        <v>497</v>
      </c>
      <c r="O32" s="322" t="s">
        <v>2621</v>
      </c>
      <c r="P32" s="300">
        <v>28069.8</v>
      </c>
      <c r="Q32" s="299">
        <f t="shared" si="1"/>
        <v>49</v>
      </c>
      <c r="R32" s="424"/>
      <c r="S32" s="366" t="s">
        <v>9166</v>
      </c>
      <c r="T32" s="198"/>
      <c r="U32" s="198"/>
      <c r="V32" s="198"/>
      <c r="W32" s="198"/>
      <c r="X32" s="198"/>
      <c r="Y32" s="198"/>
      <c r="Z32" s="198"/>
    </row>
    <row r="33" ht="91.5" customHeight="1">
      <c r="A33" s="370">
        <v>39617.0</v>
      </c>
      <c r="B33" s="299" t="s">
        <v>715</v>
      </c>
      <c r="C33" s="285">
        <v>2578.0</v>
      </c>
      <c r="D33" s="285" t="s">
        <v>9252</v>
      </c>
      <c r="E33" s="287" t="s">
        <v>9223</v>
      </c>
      <c r="F33" s="288">
        <v>45629.0</v>
      </c>
      <c r="G33" s="288">
        <v>45629.0</v>
      </c>
      <c r="H33" s="288">
        <v>45629.0</v>
      </c>
      <c r="I33" s="288">
        <v>45638.0</v>
      </c>
      <c r="J33" s="288">
        <v>45638.0</v>
      </c>
      <c r="K33" s="285"/>
      <c r="L33" s="17"/>
      <c r="M33" s="290" t="s">
        <v>9253</v>
      </c>
      <c r="N33" s="299" t="s">
        <v>497</v>
      </c>
      <c r="O33" s="322" t="s">
        <v>2554</v>
      </c>
      <c r="P33" s="300">
        <v>57690.4</v>
      </c>
      <c r="Q33" s="299">
        <f t="shared" si="1"/>
        <v>49</v>
      </c>
      <c r="R33" s="424" t="s">
        <v>9198</v>
      </c>
      <c r="S33" s="366" t="s">
        <v>9171</v>
      </c>
      <c r="T33" s="198"/>
      <c r="U33" s="198"/>
      <c r="V33" s="198"/>
      <c r="W33" s="198"/>
      <c r="X33" s="198"/>
      <c r="Y33" s="198"/>
      <c r="Z33" s="198"/>
    </row>
    <row r="34" ht="91.5" customHeight="1">
      <c r="A34" s="370">
        <v>39576.0</v>
      </c>
      <c r="B34" s="299" t="s">
        <v>715</v>
      </c>
      <c r="C34" s="285">
        <v>2413.0</v>
      </c>
      <c r="D34" s="285" t="s">
        <v>9254</v>
      </c>
      <c r="E34" s="287" t="s">
        <v>7476</v>
      </c>
      <c r="F34" s="288">
        <v>45629.0</v>
      </c>
      <c r="G34" s="288">
        <v>45629.0</v>
      </c>
      <c r="H34" s="288">
        <v>45629.0</v>
      </c>
      <c r="I34" s="288">
        <v>45637.0</v>
      </c>
      <c r="J34" s="288">
        <v>45637.0</v>
      </c>
      <c r="K34" s="285"/>
      <c r="L34" s="17"/>
      <c r="M34" s="290" t="s">
        <v>9255</v>
      </c>
      <c r="N34" s="299" t="s">
        <v>497</v>
      </c>
      <c r="O34" s="322" t="s">
        <v>2554</v>
      </c>
      <c r="P34" s="300">
        <v>42468.8</v>
      </c>
      <c r="Q34" s="299">
        <f t="shared" si="1"/>
        <v>49</v>
      </c>
      <c r="R34" s="424" t="s">
        <v>9198</v>
      </c>
      <c r="S34" s="366" t="s">
        <v>9171</v>
      </c>
      <c r="T34" s="198"/>
      <c r="U34" s="198"/>
      <c r="V34" s="198"/>
      <c r="W34" s="198"/>
      <c r="X34" s="198"/>
      <c r="Y34" s="198"/>
      <c r="Z34" s="198"/>
    </row>
    <row r="35" ht="91.5" customHeight="1">
      <c r="A35" s="370">
        <v>39696.0</v>
      </c>
      <c r="B35" s="299" t="s">
        <v>715</v>
      </c>
      <c r="C35" s="285">
        <v>4500.0</v>
      </c>
      <c r="D35" s="285" t="s">
        <v>9256</v>
      </c>
      <c r="E35" s="287" t="s">
        <v>7438</v>
      </c>
      <c r="F35" s="288">
        <v>45628.0</v>
      </c>
      <c r="G35" s="288">
        <v>45625.0</v>
      </c>
      <c r="H35" s="288">
        <v>45625.0</v>
      </c>
      <c r="I35" s="288">
        <v>45636.0</v>
      </c>
      <c r="J35" s="288">
        <v>45636.0</v>
      </c>
      <c r="K35" s="285" t="s">
        <v>5270</v>
      </c>
      <c r="L35" s="285" t="s">
        <v>9178</v>
      </c>
      <c r="M35" s="290" t="s">
        <v>9257</v>
      </c>
      <c r="N35" s="299" t="s">
        <v>497</v>
      </c>
      <c r="O35" s="322" t="s">
        <v>2554</v>
      </c>
      <c r="P35" s="300">
        <v>33187.5</v>
      </c>
      <c r="Q35" s="299">
        <f t="shared" si="1"/>
        <v>49</v>
      </c>
      <c r="R35" s="424" t="s">
        <v>9170</v>
      </c>
      <c r="S35" s="366" t="s">
        <v>9171</v>
      </c>
      <c r="T35" s="198"/>
      <c r="U35" s="198"/>
      <c r="V35" s="198"/>
      <c r="W35" s="198"/>
      <c r="X35" s="198"/>
      <c r="Y35" s="198"/>
      <c r="Z35" s="198"/>
    </row>
    <row r="36" ht="91.5" customHeight="1">
      <c r="A36" s="370">
        <v>39695.0</v>
      </c>
      <c r="B36" s="299" t="s">
        <v>715</v>
      </c>
      <c r="C36" s="285">
        <v>1772.0</v>
      </c>
      <c r="D36" s="285" t="s">
        <v>9258</v>
      </c>
      <c r="E36" s="287" t="s">
        <v>9259</v>
      </c>
      <c r="F36" s="288">
        <v>45628.0</v>
      </c>
      <c r="G36" s="288">
        <v>45625.0</v>
      </c>
      <c r="H36" s="288">
        <v>45625.0</v>
      </c>
      <c r="I36" s="288">
        <v>45635.0</v>
      </c>
      <c r="J36" s="288">
        <v>45635.0</v>
      </c>
      <c r="K36" s="285"/>
      <c r="L36" s="17"/>
      <c r="M36" s="290" t="s">
        <v>9260</v>
      </c>
      <c r="N36" s="299" t="s">
        <v>497</v>
      </c>
      <c r="O36" s="322" t="s">
        <v>2554</v>
      </c>
      <c r="P36" s="300">
        <v>39903.55</v>
      </c>
      <c r="Q36" s="299">
        <f t="shared" si="1"/>
        <v>49</v>
      </c>
      <c r="R36" s="424" t="s">
        <v>9170</v>
      </c>
      <c r="S36" s="366" t="s">
        <v>9171</v>
      </c>
      <c r="T36" s="198"/>
      <c r="U36" s="198"/>
      <c r="V36" s="198"/>
      <c r="W36" s="198"/>
      <c r="X36" s="198"/>
      <c r="Y36" s="198"/>
      <c r="Z36" s="198"/>
    </row>
    <row r="37" ht="91.5" customHeight="1">
      <c r="A37" s="370">
        <v>39618.0</v>
      </c>
      <c r="B37" s="299" t="s">
        <v>715</v>
      </c>
      <c r="C37" s="285">
        <v>4356.0</v>
      </c>
      <c r="D37" s="285" t="s">
        <v>9261</v>
      </c>
      <c r="E37" s="287" t="s">
        <v>9262</v>
      </c>
      <c r="F37" s="288">
        <v>45628.0</v>
      </c>
      <c r="G37" s="288">
        <v>45624.0</v>
      </c>
      <c r="H37" s="288">
        <v>45624.0</v>
      </c>
      <c r="I37" s="288">
        <v>45632.0</v>
      </c>
      <c r="J37" s="288">
        <v>45632.0</v>
      </c>
      <c r="K37" s="285" t="s">
        <v>5270</v>
      </c>
      <c r="L37" s="285" t="s">
        <v>9178</v>
      </c>
      <c r="M37" s="290" t="s">
        <v>9263</v>
      </c>
      <c r="N37" s="299" t="s">
        <v>497</v>
      </c>
      <c r="O37" s="322" t="s">
        <v>2554</v>
      </c>
      <c r="P37" s="300">
        <v>31537.44</v>
      </c>
      <c r="Q37" s="299">
        <f t="shared" si="1"/>
        <v>49</v>
      </c>
      <c r="R37" s="424" t="s">
        <v>9198</v>
      </c>
      <c r="S37" s="366" t="s">
        <v>9171</v>
      </c>
      <c r="T37" s="198"/>
      <c r="U37" s="198"/>
      <c r="V37" s="198"/>
      <c r="W37" s="198"/>
      <c r="X37" s="198"/>
      <c r="Y37" s="198"/>
      <c r="Z37" s="198"/>
    </row>
    <row r="38" ht="91.5" customHeight="1">
      <c r="A38" s="370">
        <v>39795.0</v>
      </c>
      <c r="B38" s="285" t="s">
        <v>21</v>
      </c>
      <c r="C38" s="285">
        <v>920.0</v>
      </c>
      <c r="D38" s="285" t="s">
        <v>9264</v>
      </c>
      <c r="E38" s="287" t="s">
        <v>9265</v>
      </c>
      <c r="F38" s="288">
        <v>45626.0</v>
      </c>
      <c r="G38" s="288">
        <v>45622.0</v>
      </c>
      <c r="H38" s="288">
        <v>45622.0</v>
      </c>
      <c r="I38" s="288">
        <v>45630.0</v>
      </c>
      <c r="J38" s="288">
        <v>45630.0</v>
      </c>
      <c r="K38" s="536" t="s">
        <v>4916</v>
      </c>
      <c r="L38" s="451"/>
      <c r="M38" s="290" t="s">
        <v>9266</v>
      </c>
      <c r="N38" s="299" t="s">
        <v>4635</v>
      </c>
      <c r="O38" s="322" t="s">
        <v>2621</v>
      </c>
      <c r="P38" s="300">
        <v>69038.0</v>
      </c>
      <c r="Q38" s="299">
        <f t="shared" si="1"/>
        <v>48</v>
      </c>
      <c r="R38" s="424"/>
      <c r="S38" s="366" t="s">
        <v>8430</v>
      </c>
      <c r="T38" s="198"/>
      <c r="U38" s="198"/>
      <c r="V38" s="198"/>
      <c r="W38" s="198"/>
      <c r="X38" s="198"/>
      <c r="Y38" s="198"/>
      <c r="Z38" s="198"/>
    </row>
    <row r="39" ht="91.5" customHeight="1">
      <c r="A39" s="370">
        <v>39700.0</v>
      </c>
      <c r="B39" s="285" t="s">
        <v>21</v>
      </c>
      <c r="C39" s="285">
        <v>4500.0</v>
      </c>
      <c r="D39" s="285" t="s">
        <v>9267</v>
      </c>
      <c r="E39" s="287" t="s">
        <v>4658</v>
      </c>
      <c r="F39" s="288">
        <v>45623.0</v>
      </c>
      <c r="G39" s="288">
        <v>45618.0</v>
      </c>
      <c r="H39" s="288">
        <v>45618.0</v>
      </c>
      <c r="I39" s="288">
        <v>45632.0</v>
      </c>
      <c r="J39" s="288">
        <v>45632.0</v>
      </c>
      <c r="K39" s="285" t="s">
        <v>5270</v>
      </c>
      <c r="L39" s="285" t="s">
        <v>9178</v>
      </c>
      <c r="M39" s="290" t="s">
        <v>9268</v>
      </c>
      <c r="N39" s="299" t="s">
        <v>497</v>
      </c>
      <c r="O39" s="322" t="s">
        <v>2554</v>
      </c>
      <c r="P39" s="300">
        <v>33750.0</v>
      </c>
      <c r="Q39" s="299">
        <f t="shared" si="1"/>
        <v>48</v>
      </c>
      <c r="R39" s="424" t="s">
        <v>9170</v>
      </c>
      <c r="S39" s="366" t="s">
        <v>9171</v>
      </c>
      <c r="T39" s="198"/>
      <c r="U39" s="198"/>
      <c r="V39" s="198"/>
      <c r="W39" s="198"/>
      <c r="X39" s="198"/>
      <c r="Y39" s="198"/>
      <c r="Z39" s="198"/>
    </row>
    <row r="40" ht="91.5" customHeight="1">
      <c r="A40" s="370">
        <v>39619.0</v>
      </c>
      <c r="B40" s="285" t="s">
        <v>21</v>
      </c>
      <c r="C40" s="285">
        <v>4356.0</v>
      </c>
      <c r="D40" s="285" t="s">
        <v>9269</v>
      </c>
      <c r="E40" s="287" t="s">
        <v>9270</v>
      </c>
      <c r="F40" s="288">
        <v>45623.0</v>
      </c>
      <c r="G40" s="288">
        <v>45618.0</v>
      </c>
      <c r="H40" s="288">
        <v>45618.0</v>
      </c>
      <c r="I40" s="288">
        <v>45632.0</v>
      </c>
      <c r="J40" s="288">
        <v>45632.0</v>
      </c>
      <c r="K40" s="285" t="s">
        <v>5270</v>
      </c>
      <c r="L40" s="285" t="s">
        <v>9178</v>
      </c>
      <c r="M40" s="290" t="s">
        <v>9271</v>
      </c>
      <c r="N40" s="299" t="s">
        <v>497</v>
      </c>
      <c r="O40" s="322" t="s">
        <v>2554</v>
      </c>
      <c r="P40" s="300">
        <v>31416.4</v>
      </c>
      <c r="Q40" s="299">
        <f t="shared" si="1"/>
        <v>48</v>
      </c>
      <c r="R40" s="424" t="s">
        <v>9198</v>
      </c>
      <c r="S40" s="366" t="s">
        <v>9171</v>
      </c>
      <c r="T40" s="198"/>
      <c r="U40" s="198"/>
      <c r="V40" s="198"/>
      <c r="W40" s="198"/>
      <c r="X40" s="198"/>
      <c r="Y40" s="198"/>
      <c r="Z40" s="198"/>
    </row>
    <row r="41" ht="91.5" customHeight="1">
      <c r="A41" s="370">
        <v>39623.0</v>
      </c>
      <c r="B41" s="285" t="s">
        <v>21</v>
      </c>
      <c r="C41" s="285" t="s">
        <v>5590</v>
      </c>
      <c r="D41" s="285" t="s">
        <v>9272</v>
      </c>
      <c r="E41" s="287" t="s">
        <v>8007</v>
      </c>
      <c r="F41" s="288">
        <v>45623.0</v>
      </c>
      <c r="G41" s="288">
        <v>45618.0</v>
      </c>
      <c r="H41" s="288">
        <v>45618.0</v>
      </c>
      <c r="I41" s="288">
        <v>45635.0</v>
      </c>
      <c r="J41" s="288">
        <v>45635.0</v>
      </c>
      <c r="K41" s="285" t="s">
        <v>4841</v>
      </c>
      <c r="L41" s="285"/>
      <c r="M41" s="290" t="s">
        <v>9273</v>
      </c>
      <c r="N41" s="299" t="s">
        <v>497</v>
      </c>
      <c r="O41" s="322" t="s">
        <v>2554</v>
      </c>
      <c r="P41" s="300">
        <v>31540.42</v>
      </c>
      <c r="Q41" s="299">
        <f t="shared" si="1"/>
        <v>48</v>
      </c>
      <c r="R41" s="424" t="s">
        <v>9198</v>
      </c>
      <c r="S41" s="366" t="s">
        <v>9171</v>
      </c>
      <c r="T41" s="198"/>
      <c r="U41" s="198"/>
      <c r="V41" s="198"/>
      <c r="W41" s="198"/>
      <c r="X41" s="198"/>
      <c r="Y41" s="198"/>
      <c r="Z41" s="198"/>
    </row>
    <row r="42" ht="91.5" customHeight="1">
      <c r="A42" s="370">
        <v>39620.0</v>
      </c>
      <c r="B42" s="285" t="s">
        <v>21</v>
      </c>
      <c r="C42" s="285">
        <v>4356.0</v>
      </c>
      <c r="D42" s="285" t="s">
        <v>9274</v>
      </c>
      <c r="E42" s="287" t="s">
        <v>7750</v>
      </c>
      <c r="F42" s="288">
        <v>45623.0</v>
      </c>
      <c r="G42" s="288">
        <v>45618.0</v>
      </c>
      <c r="H42" s="288">
        <v>45618.0</v>
      </c>
      <c r="I42" s="288">
        <v>45635.0</v>
      </c>
      <c r="J42" s="288">
        <v>45635.0</v>
      </c>
      <c r="K42" s="285" t="s">
        <v>5270</v>
      </c>
      <c r="L42" s="285" t="s">
        <v>9178</v>
      </c>
      <c r="M42" s="290" t="s">
        <v>9275</v>
      </c>
      <c r="N42" s="299" t="s">
        <v>497</v>
      </c>
      <c r="O42" s="322" t="s">
        <v>2554</v>
      </c>
      <c r="P42" s="300">
        <v>30056.4</v>
      </c>
      <c r="Q42" s="299">
        <f t="shared" si="1"/>
        <v>48</v>
      </c>
      <c r="R42" s="424" t="s">
        <v>9198</v>
      </c>
      <c r="S42" s="366" t="s">
        <v>9171</v>
      </c>
      <c r="T42" s="198"/>
      <c r="U42" s="198"/>
      <c r="V42" s="198"/>
      <c r="W42" s="198"/>
      <c r="X42" s="198"/>
      <c r="Y42" s="198"/>
      <c r="Z42" s="198"/>
    </row>
    <row r="43" ht="91.5" customHeight="1">
      <c r="A43" s="370">
        <v>39698.0</v>
      </c>
      <c r="B43" s="285" t="s">
        <v>21</v>
      </c>
      <c r="C43" s="285">
        <v>4500.0</v>
      </c>
      <c r="D43" s="285" t="s">
        <v>9276</v>
      </c>
      <c r="E43" s="287" t="s">
        <v>4690</v>
      </c>
      <c r="F43" s="288">
        <v>45623.0</v>
      </c>
      <c r="G43" s="288">
        <v>45618.0</v>
      </c>
      <c r="H43" s="288">
        <v>45618.0</v>
      </c>
      <c r="I43" s="288">
        <v>45636.0</v>
      </c>
      <c r="J43" s="285" t="s">
        <v>9277</v>
      </c>
      <c r="K43" s="285" t="s">
        <v>4841</v>
      </c>
      <c r="L43" s="285"/>
      <c r="M43" s="290" t="s">
        <v>9278</v>
      </c>
      <c r="N43" s="299" t="s">
        <v>497</v>
      </c>
      <c r="O43" s="322" t="s">
        <v>2554</v>
      </c>
      <c r="P43" s="300">
        <v>32625.0</v>
      </c>
      <c r="Q43" s="299">
        <f t="shared" si="1"/>
        <v>48</v>
      </c>
      <c r="R43" s="424" t="s">
        <v>9170</v>
      </c>
      <c r="S43" s="366" t="s">
        <v>9171</v>
      </c>
      <c r="T43" s="198"/>
      <c r="U43" s="198"/>
      <c r="V43" s="198"/>
      <c r="W43" s="198"/>
      <c r="X43" s="198"/>
      <c r="Y43" s="198"/>
      <c r="Z43" s="198"/>
    </row>
    <row r="44" ht="91.5" customHeight="1">
      <c r="A44" s="370">
        <v>39791.0</v>
      </c>
      <c r="B44" s="299" t="s">
        <v>25</v>
      </c>
      <c r="C44" s="285">
        <v>1025.0</v>
      </c>
      <c r="D44" s="285" t="s">
        <v>9279</v>
      </c>
      <c r="E44" s="287" t="s">
        <v>9280</v>
      </c>
      <c r="F44" s="288">
        <v>45623.0</v>
      </c>
      <c r="G44" s="288">
        <v>45621.0</v>
      </c>
      <c r="H44" s="288">
        <v>45621.0</v>
      </c>
      <c r="I44" s="288">
        <v>45630.0</v>
      </c>
      <c r="J44" s="288">
        <v>45630.0</v>
      </c>
      <c r="K44" s="285"/>
      <c r="L44" s="17"/>
      <c r="M44" s="290" t="s">
        <v>9281</v>
      </c>
      <c r="N44" s="299" t="s">
        <v>4635</v>
      </c>
      <c r="O44" s="322" t="s">
        <v>2621</v>
      </c>
      <c r="P44" s="300">
        <v>32515.75</v>
      </c>
      <c r="Q44" s="299">
        <f t="shared" si="1"/>
        <v>48</v>
      </c>
      <c r="R44" s="424"/>
      <c r="S44" s="366" t="s">
        <v>8430</v>
      </c>
      <c r="T44" s="198"/>
      <c r="U44" s="198"/>
      <c r="V44" s="198"/>
      <c r="W44" s="198"/>
      <c r="X44" s="198"/>
      <c r="Y44" s="198"/>
      <c r="Z44" s="198"/>
    </row>
    <row r="45" ht="91.5" customHeight="1">
      <c r="A45" s="370">
        <v>39573.0</v>
      </c>
      <c r="B45" s="299" t="s">
        <v>715</v>
      </c>
      <c r="C45" s="285">
        <v>1306.0</v>
      </c>
      <c r="D45" s="285" t="s">
        <v>9282</v>
      </c>
      <c r="E45" s="287" t="s">
        <v>9283</v>
      </c>
      <c r="F45" s="288">
        <v>45623.0</v>
      </c>
      <c r="G45" s="288">
        <v>45617.0</v>
      </c>
      <c r="H45" s="288">
        <v>45617.0</v>
      </c>
      <c r="I45" s="288">
        <v>45632.0</v>
      </c>
      <c r="J45" s="288">
        <v>45632.0</v>
      </c>
      <c r="K45" s="285"/>
      <c r="L45" s="17"/>
      <c r="M45" s="424" t="s">
        <v>9284</v>
      </c>
      <c r="N45" s="299" t="s">
        <v>497</v>
      </c>
      <c r="O45" s="322" t="s">
        <v>2554</v>
      </c>
      <c r="P45" s="300">
        <v>44795.8</v>
      </c>
      <c r="Q45" s="299">
        <f t="shared" si="1"/>
        <v>48</v>
      </c>
      <c r="R45" s="424" t="s">
        <v>9198</v>
      </c>
      <c r="S45" s="366" t="s">
        <v>9171</v>
      </c>
      <c r="T45" s="198"/>
      <c r="U45" s="198"/>
      <c r="V45" s="198"/>
      <c r="W45" s="198"/>
      <c r="X45" s="198"/>
      <c r="Y45" s="198"/>
      <c r="Z45" s="198"/>
    </row>
    <row r="46" ht="91.5" customHeight="1">
      <c r="A46" s="370">
        <v>39692.0</v>
      </c>
      <c r="B46" s="299" t="s">
        <v>6501</v>
      </c>
      <c r="C46" s="285">
        <v>2595.0</v>
      </c>
      <c r="D46" s="285" t="s">
        <v>9285</v>
      </c>
      <c r="E46" s="287" t="s">
        <v>9286</v>
      </c>
      <c r="F46" s="288">
        <v>45623.0</v>
      </c>
      <c r="G46" s="288">
        <v>45621.0</v>
      </c>
      <c r="H46" s="288">
        <v>45621.0</v>
      </c>
      <c r="I46" s="288">
        <v>45630.0</v>
      </c>
      <c r="J46" s="288">
        <v>45630.0</v>
      </c>
      <c r="K46" s="285"/>
      <c r="L46" s="17"/>
      <c r="M46" s="290" t="s">
        <v>9287</v>
      </c>
      <c r="N46" s="299" t="s">
        <v>497</v>
      </c>
      <c r="O46" s="322" t="s">
        <v>2554</v>
      </c>
      <c r="P46" s="300">
        <v>49045.5</v>
      </c>
      <c r="Q46" s="299">
        <f t="shared" si="1"/>
        <v>48</v>
      </c>
      <c r="R46" s="424" t="s">
        <v>9170</v>
      </c>
      <c r="S46" s="366" t="s">
        <v>9171</v>
      </c>
      <c r="T46" s="198"/>
      <c r="U46" s="198"/>
      <c r="V46" s="198"/>
      <c r="W46" s="198"/>
      <c r="X46" s="198"/>
      <c r="Y46" s="198"/>
      <c r="Z46" s="198"/>
    </row>
    <row r="47" ht="91.5" customHeight="1">
      <c r="A47" s="370">
        <v>39689.0</v>
      </c>
      <c r="B47" s="299" t="s">
        <v>715</v>
      </c>
      <c r="C47" s="285">
        <v>4500.0</v>
      </c>
      <c r="D47" s="285" t="s">
        <v>9288</v>
      </c>
      <c r="E47" s="287" t="s">
        <v>7438</v>
      </c>
      <c r="F47" s="288">
        <v>45623.0</v>
      </c>
      <c r="G47" s="288">
        <v>45625.0</v>
      </c>
      <c r="H47" s="288">
        <v>45625.0</v>
      </c>
      <c r="I47" s="288">
        <v>45630.0</v>
      </c>
      <c r="J47" s="288">
        <v>45630.0</v>
      </c>
      <c r="K47" s="285"/>
      <c r="L47" s="285"/>
      <c r="M47" s="290" t="s">
        <v>9289</v>
      </c>
      <c r="N47" s="299" t="s">
        <v>497</v>
      </c>
      <c r="O47" s="322" t="s">
        <v>2554</v>
      </c>
      <c r="P47" s="300">
        <v>33187.5</v>
      </c>
      <c r="Q47" s="299">
        <f t="shared" si="1"/>
        <v>48</v>
      </c>
      <c r="R47" s="424" t="s">
        <v>9170</v>
      </c>
      <c r="S47" s="366" t="s">
        <v>9171</v>
      </c>
      <c r="T47" s="198"/>
      <c r="U47" s="198"/>
      <c r="V47" s="198"/>
      <c r="W47" s="198"/>
      <c r="X47" s="198"/>
      <c r="Y47" s="198"/>
      <c r="Z47" s="198"/>
    </row>
    <row r="48" ht="91.5" customHeight="1">
      <c r="A48" s="370">
        <v>39773.0</v>
      </c>
      <c r="B48" s="299" t="s">
        <v>715</v>
      </c>
      <c r="C48" s="285">
        <v>1005.0</v>
      </c>
      <c r="D48" s="285" t="s">
        <v>9290</v>
      </c>
      <c r="E48" s="287" t="s">
        <v>9291</v>
      </c>
      <c r="F48" s="288">
        <v>45623.0</v>
      </c>
      <c r="G48" s="288">
        <v>45618.0</v>
      </c>
      <c r="H48" s="288">
        <v>45618.0</v>
      </c>
      <c r="I48" s="288">
        <v>45631.0</v>
      </c>
      <c r="J48" s="288">
        <v>45631.0</v>
      </c>
      <c r="K48" s="294"/>
      <c r="L48" s="550"/>
      <c r="M48" s="290" t="s">
        <v>9292</v>
      </c>
      <c r="N48" s="299" t="s">
        <v>4635</v>
      </c>
      <c r="O48" s="322" t="s">
        <v>2621</v>
      </c>
      <c r="P48" s="300">
        <v>35204.2</v>
      </c>
      <c r="Q48" s="299">
        <f t="shared" si="1"/>
        <v>48</v>
      </c>
      <c r="R48" s="424"/>
      <c r="S48" s="366" t="s">
        <v>8430</v>
      </c>
      <c r="T48" s="198"/>
      <c r="U48" s="198"/>
      <c r="V48" s="198"/>
      <c r="W48" s="198"/>
      <c r="X48" s="198"/>
      <c r="Y48" s="198"/>
      <c r="Z48" s="198"/>
    </row>
    <row r="49" ht="91.5" customHeight="1">
      <c r="A49" s="370">
        <v>39578.0</v>
      </c>
      <c r="B49" s="299" t="s">
        <v>715</v>
      </c>
      <c r="C49" s="285">
        <v>2413.0</v>
      </c>
      <c r="D49" s="285" t="s">
        <v>9293</v>
      </c>
      <c r="E49" s="287" t="s">
        <v>7957</v>
      </c>
      <c r="F49" s="288">
        <v>45622.0</v>
      </c>
      <c r="G49" s="288">
        <v>45616.0</v>
      </c>
      <c r="H49" s="288">
        <v>45616.0</v>
      </c>
      <c r="I49" s="288">
        <v>45629.0</v>
      </c>
      <c r="J49" s="288">
        <v>45629.0</v>
      </c>
      <c r="K49" s="294"/>
      <c r="L49" s="550"/>
      <c r="M49" s="290" t="s">
        <v>9294</v>
      </c>
      <c r="N49" s="299" t="s">
        <v>497</v>
      </c>
      <c r="O49" s="322" t="s">
        <v>2554</v>
      </c>
      <c r="P49" s="300">
        <v>43434.0</v>
      </c>
      <c r="Q49" s="299">
        <f t="shared" si="1"/>
        <v>48</v>
      </c>
      <c r="R49" s="424" t="s">
        <v>9198</v>
      </c>
      <c r="S49" s="366" t="s">
        <v>9171</v>
      </c>
      <c r="T49" s="198"/>
      <c r="U49" s="198"/>
      <c r="V49" s="198"/>
      <c r="W49" s="198"/>
      <c r="X49" s="198"/>
      <c r="Y49" s="198"/>
      <c r="Z49" s="198"/>
    </row>
    <row r="50" ht="91.5" customHeight="1">
      <c r="A50" s="370">
        <v>39572.0</v>
      </c>
      <c r="B50" s="299" t="s">
        <v>715</v>
      </c>
      <c r="C50" s="285">
        <v>2413.0</v>
      </c>
      <c r="D50" s="285" t="s">
        <v>9295</v>
      </c>
      <c r="E50" s="287" t="s">
        <v>7476</v>
      </c>
      <c r="F50" s="288">
        <v>45622.0</v>
      </c>
      <c r="G50" s="288">
        <v>45616.0</v>
      </c>
      <c r="H50" s="288">
        <v>45616.0</v>
      </c>
      <c r="I50" s="288">
        <v>45628.0</v>
      </c>
      <c r="J50" s="288">
        <v>45628.0</v>
      </c>
      <c r="K50" s="294"/>
      <c r="L50" s="550"/>
      <c r="M50" s="290" t="s">
        <v>9296</v>
      </c>
      <c r="N50" s="299" t="s">
        <v>497</v>
      </c>
      <c r="O50" s="322" t="s">
        <v>2554</v>
      </c>
      <c r="P50" s="300">
        <v>42468.8</v>
      </c>
      <c r="Q50" s="299">
        <f t="shared" si="1"/>
        <v>48</v>
      </c>
      <c r="R50" s="424" t="s">
        <v>9198</v>
      </c>
      <c r="S50" s="366" t="s">
        <v>9171</v>
      </c>
      <c r="T50" s="198"/>
      <c r="U50" s="198"/>
      <c r="V50" s="198"/>
      <c r="W50" s="198"/>
      <c r="X50" s="198"/>
      <c r="Y50" s="198"/>
      <c r="Z50" s="198"/>
    </row>
    <row r="51" ht="91.5" customHeight="1">
      <c r="A51" s="370">
        <v>39638.0</v>
      </c>
      <c r="B51" s="299" t="s">
        <v>25</v>
      </c>
      <c r="C51" s="285">
        <v>2413.0</v>
      </c>
      <c r="D51" s="285" t="s">
        <v>9297</v>
      </c>
      <c r="E51" s="287" t="s">
        <v>9298</v>
      </c>
      <c r="F51" s="288">
        <v>45620.0</v>
      </c>
      <c r="G51" s="288">
        <v>45616.0</v>
      </c>
      <c r="H51" s="288">
        <v>45616.0</v>
      </c>
      <c r="I51" s="288">
        <v>45629.0</v>
      </c>
      <c r="J51" s="288">
        <v>45629.0</v>
      </c>
      <c r="K51" s="294"/>
      <c r="L51" s="294"/>
      <c r="M51" s="290" t="s">
        <v>9299</v>
      </c>
      <c r="N51" s="299" t="s">
        <v>497</v>
      </c>
      <c r="O51" s="322" t="s">
        <v>2554</v>
      </c>
      <c r="P51" s="300">
        <v>42951.2</v>
      </c>
      <c r="Q51" s="299">
        <f t="shared" si="1"/>
        <v>48</v>
      </c>
      <c r="R51" s="424" t="s">
        <v>9198</v>
      </c>
      <c r="S51" s="366" t="s">
        <v>9171</v>
      </c>
      <c r="T51" s="198"/>
      <c r="U51" s="198"/>
      <c r="V51" s="198"/>
      <c r="W51" s="198"/>
      <c r="X51" s="198"/>
      <c r="Y51" s="198"/>
      <c r="Z51" s="198"/>
    </row>
    <row r="52" ht="91.5" customHeight="1">
      <c r="A52" s="370">
        <v>39577.0</v>
      </c>
      <c r="B52" s="299" t="s">
        <v>25</v>
      </c>
      <c r="C52" s="285">
        <v>2413.0</v>
      </c>
      <c r="D52" s="285" t="s">
        <v>9300</v>
      </c>
      <c r="E52" s="287" t="s">
        <v>9298</v>
      </c>
      <c r="F52" s="288">
        <v>45620.0</v>
      </c>
      <c r="G52" s="288">
        <v>45616.0</v>
      </c>
      <c r="H52" s="288">
        <v>45616.0</v>
      </c>
      <c r="I52" s="288">
        <v>45629.0</v>
      </c>
      <c r="J52" s="288">
        <v>45629.0</v>
      </c>
      <c r="K52" s="294"/>
      <c r="L52" s="294"/>
      <c r="M52" s="290" t="s">
        <v>9301</v>
      </c>
      <c r="N52" s="299" t="s">
        <v>497</v>
      </c>
      <c r="O52" s="322" t="s">
        <v>2554</v>
      </c>
      <c r="P52" s="300">
        <v>42951.2</v>
      </c>
      <c r="Q52" s="299">
        <f t="shared" si="1"/>
        <v>48</v>
      </c>
      <c r="R52" s="424" t="s">
        <v>9198</v>
      </c>
      <c r="S52" s="366" t="s">
        <v>9171</v>
      </c>
      <c r="T52" s="198"/>
      <c r="U52" s="198"/>
      <c r="V52" s="198"/>
      <c r="W52" s="198"/>
      <c r="X52" s="198"/>
      <c r="Y52" s="198"/>
      <c r="Z52" s="198"/>
    </row>
    <row r="53" ht="91.5" customHeight="1">
      <c r="A53" s="370">
        <v>39770.0</v>
      </c>
      <c r="B53" s="299" t="s">
        <v>6501</v>
      </c>
      <c r="C53" s="285">
        <v>940.0</v>
      </c>
      <c r="D53" s="285" t="s">
        <v>9302</v>
      </c>
      <c r="E53" s="287" t="s">
        <v>9303</v>
      </c>
      <c r="F53" s="288">
        <v>45617.0</v>
      </c>
      <c r="G53" s="288">
        <v>45614.0</v>
      </c>
      <c r="H53" s="288">
        <v>45614.0</v>
      </c>
      <c r="I53" s="288">
        <v>45625.0</v>
      </c>
      <c r="J53" s="288">
        <v>45625.0</v>
      </c>
      <c r="K53" s="294"/>
      <c r="L53" s="294"/>
      <c r="M53" s="290" t="s">
        <v>9304</v>
      </c>
      <c r="N53" s="299" t="s">
        <v>4635</v>
      </c>
      <c r="O53" s="322" t="s">
        <v>2621</v>
      </c>
      <c r="P53" s="300">
        <v>47009.4</v>
      </c>
      <c r="Q53" s="299">
        <f t="shared" si="1"/>
        <v>47</v>
      </c>
      <c r="R53" s="424"/>
      <c r="S53" s="366" t="s">
        <v>8430</v>
      </c>
      <c r="T53" s="198"/>
      <c r="U53" s="198"/>
      <c r="V53" s="198"/>
      <c r="W53" s="198"/>
      <c r="X53" s="198"/>
      <c r="Y53" s="198"/>
      <c r="Z53" s="198"/>
    </row>
    <row r="54" ht="91.5" customHeight="1">
      <c r="A54" s="370">
        <v>39350.0</v>
      </c>
      <c r="B54" s="299" t="s">
        <v>6501</v>
      </c>
      <c r="C54" s="285">
        <v>940.0</v>
      </c>
      <c r="D54" s="285" t="s">
        <v>9305</v>
      </c>
      <c r="E54" s="287" t="s">
        <v>9306</v>
      </c>
      <c r="F54" s="288">
        <v>45617.0</v>
      </c>
      <c r="G54" s="288">
        <v>45614.0</v>
      </c>
      <c r="H54" s="288">
        <v>45614.0</v>
      </c>
      <c r="I54" s="288">
        <v>45623.0</v>
      </c>
      <c r="J54" s="288">
        <v>45623.0</v>
      </c>
      <c r="K54" s="285"/>
      <c r="L54" s="550"/>
      <c r="M54" s="290" t="s">
        <v>9307</v>
      </c>
      <c r="N54" s="299" t="s">
        <v>4635</v>
      </c>
      <c r="O54" s="322" t="s">
        <v>2621</v>
      </c>
      <c r="P54" s="300">
        <v>43517.3</v>
      </c>
      <c r="Q54" s="299">
        <f t="shared" si="1"/>
        <v>47</v>
      </c>
      <c r="R54" s="424"/>
      <c r="S54" s="366" t="s">
        <v>8430</v>
      </c>
      <c r="T54" s="198"/>
      <c r="U54" s="198"/>
      <c r="V54" s="198"/>
      <c r="W54" s="198"/>
      <c r="X54" s="198"/>
      <c r="Y54" s="198"/>
      <c r="Z54" s="198"/>
    </row>
    <row r="55" ht="91.5" customHeight="1">
      <c r="A55" s="370">
        <v>39699.0</v>
      </c>
      <c r="B55" s="299" t="s">
        <v>25</v>
      </c>
      <c r="C55" s="285">
        <v>1745.0</v>
      </c>
      <c r="D55" s="285" t="s">
        <v>9308</v>
      </c>
      <c r="E55" s="287" t="s">
        <v>9309</v>
      </c>
      <c r="F55" s="288">
        <v>45617.0</v>
      </c>
      <c r="G55" s="288">
        <v>45614.0</v>
      </c>
      <c r="H55" s="288">
        <v>45614.0</v>
      </c>
      <c r="I55" s="288">
        <v>45622.0</v>
      </c>
      <c r="J55" s="288">
        <v>45622.0</v>
      </c>
      <c r="K55" s="294"/>
      <c r="L55" s="294"/>
      <c r="M55" s="290" t="s">
        <v>9310</v>
      </c>
      <c r="N55" s="299" t="s">
        <v>497</v>
      </c>
      <c r="O55" s="322" t="s">
        <v>2554</v>
      </c>
      <c r="P55" s="300">
        <v>40860.55</v>
      </c>
      <c r="Q55" s="299">
        <f t="shared" si="1"/>
        <v>47</v>
      </c>
      <c r="R55" s="424" t="s">
        <v>9170</v>
      </c>
      <c r="S55" s="366" t="s">
        <v>9171</v>
      </c>
      <c r="T55" s="198"/>
      <c r="U55" s="198"/>
      <c r="V55" s="198"/>
      <c r="W55" s="198"/>
      <c r="X55" s="198"/>
      <c r="Y55" s="198"/>
      <c r="Z55" s="198"/>
    </row>
    <row r="56" ht="91.5" customHeight="1">
      <c r="A56" s="370">
        <v>39575.0</v>
      </c>
      <c r="B56" s="299" t="s">
        <v>715</v>
      </c>
      <c r="C56" s="285">
        <v>4356.0</v>
      </c>
      <c r="D56" s="285" t="s">
        <v>9311</v>
      </c>
      <c r="E56" s="287" t="s">
        <v>9312</v>
      </c>
      <c r="F56" s="288">
        <v>45616.0</v>
      </c>
      <c r="G56" s="288">
        <v>45614.0</v>
      </c>
      <c r="H56" s="288">
        <v>45614.0</v>
      </c>
      <c r="I56" s="288">
        <v>45622.0</v>
      </c>
      <c r="J56" s="288">
        <v>45622.0</v>
      </c>
      <c r="K56" s="294" t="s">
        <v>5270</v>
      </c>
      <c r="L56" s="285" t="s">
        <v>9178</v>
      </c>
      <c r="M56" s="290" t="s">
        <v>9313</v>
      </c>
      <c r="N56" s="299" t="s">
        <v>497</v>
      </c>
      <c r="O56" s="322" t="s">
        <v>2554</v>
      </c>
      <c r="P56" s="300">
        <v>31537.44</v>
      </c>
      <c r="Q56" s="299">
        <f t="shared" si="1"/>
        <v>47</v>
      </c>
      <c r="R56" s="424" t="s">
        <v>9198</v>
      </c>
      <c r="S56" s="366" t="s">
        <v>9171</v>
      </c>
      <c r="T56" s="198"/>
      <c r="U56" s="198"/>
      <c r="V56" s="198"/>
      <c r="W56" s="198"/>
      <c r="X56" s="198"/>
      <c r="Y56" s="198"/>
      <c r="Z56" s="198"/>
    </row>
    <row r="57" ht="91.5" customHeight="1">
      <c r="A57" s="370">
        <v>39940.0</v>
      </c>
      <c r="B57" s="285" t="s">
        <v>21</v>
      </c>
      <c r="C57" s="285">
        <v>1419.0</v>
      </c>
      <c r="D57" s="285" t="s">
        <v>9314</v>
      </c>
      <c r="E57" s="287" t="s">
        <v>5211</v>
      </c>
      <c r="F57" s="288">
        <v>45615.0</v>
      </c>
      <c r="G57" s="288">
        <v>45608.0</v>
      </c>
      <c r="H57" s="288">
        <v>45608.0</v>
      </c>
      <c r="I57" s="288">
        <v>45621.0</v>
      </c>
      <c r="J57" s="288">
        <v>45621.0</v>
      </c>
      <c r="K57" s="294" t="s">
        <v>4841</v>
      </c>
      <c r="L57" s="294"/>
      <c r="M57" s="290" t="s">
        <v>9315</v>
      </c>
      <c r="N57" s="299" t="s">
        <v>497</v>
      </c>
      <c r="O57" s="322" t="s">
        <v>2604</v>
      </c>
      <c r="P57" s="300">
        <v>21298.59</v>
      </c>
      <c r="Q57" s="299">
        <f t="shared" si="1"/>
        <v>47</v>
      </c>
      <c r="R57" s="424"/>
      <c r="S57" s="366" t="s">
        <v>9166</v>
      </c>
      <c r="T57" s="198"/>
      <c r="U57" s="198"/>
      <c r="V57" s="198"/>
      <c r="W57" s="198"/>
      <c r="X57" s="198"/>
      <c r="Y57" s="198"/>
      <c r="Z57" s="198"/>
    </row>
    <row r="58" ht="91.5" customHeight="1">
      <c r="A58" s="370">
        <v>40132.0</v>
      </c>
      <c r="B58" s="299" t="s">
        <v>25</v>
      </c>
      <c r="C58" s="285">
        <v>1830.0</v>
      </c>
      <c r="D58" s="285" t="s">
        <v>9316</v>
      </c>
      <c r="E58" s="287" t="s">
        <v>9317</v>
      </c>
      <c r="F58" s="288">
        <v>45612.0</v>
      </c>
      <c r="G58" s="288">
        <v>45608.0</v>
      </c>
      <c r="H58" s="288">
        <v>45608.0</v>
      </c>
      <c r="I58" s="288">
        <v>45617.0</v>
      </c>
      <c r="J58" s="288">
        <v>45617.0</v>
      </c>
      <c r="K58" s="294"/>
      <c r="L58" s="294"/>
      <c r="M58" s="290" t="s">
        <v>9318</v>
      </c>
      <c r="N58" s="299" t="s">
        <v>4635</v>
      </c>
      <c r="O58" s="322" t="s">
        <v>2621</v>
      </c>
      <c r="P58" s="300">
        <v>31722.4</v>
      </c>
      <c r="Q58" s="299">
        <f t="shared" si="1"/>
        <v>46</v>
      </c>
      <c r="R58" s="424"/>
      <c r="S58" s="366" t="s">
        <v>9166</v>
      </c>
      <c r="T58" s="198"/>
      <c r="U58" s="198"/>
      <c r="V58" s="198"/>
      <c r="W58" s="198"/>
      <c r="X58" s="198"/>
      <c r="Y58" s="198"/>
      <c r="Z58" s="198"/>
    </row>
    <row r="59" ht="91.5" customHeight="1">
      <c r="A59" s="370">
        <v>39956.0</v>
      </c>
      <c r="B59" s="299" t="s">
        <v>25</v>
      </c>
      <c r="C59" s="285">
        <v>500.0</v>
      </c>
      <c r="D59" s="285" t="s">
        <v>9319</v>
      </c>
      <c r="E59" s="287" t="s">
        <v>4641</v>
      </c>
      <c r="F59" s="288">
        <v>45612.0</v>
      </c>
      <c r="G59" s="288">
        <v>45608.0</v>
      </c>
      <c r="H59" s="288">
        <v>45608.0</v>
      </c>
      <c r="I59" s="288">
        <v>45617.0</v>
      </c>
      <c r="J59" s="288">
        <v>45617.0</v>
      </c>
      <c r="K59" s="294"/>
      <c r="L59" s="294"/>
      <c r="M59" s="290" t="s">
        <v>9320</v>
      </c>
      <c r="N59" s="299" t="s">
        <v>497</v>
      </c>
      <c r="O59" s="322" t="s">
        <v>2538</v>
      </c>
      <c r="P59" s="300">
        <v>60000.0</v>
      </c>
      <c r="Q59" s="299">
        <f t="shared" si="1"/>
        <v>46</v>
      </c>
      <c r="R59" s="424"/>
      <c r="S59" s="366" t="s">
        <v>9166</v>
      </c>
      <c r="T59" s="198"/>
      <c r="U59" s="198"/>
      <c r="V59" s="198"/>
      <c r="W59" s="198"/>
      <c r="X59" s="198"/>
      <c r="Y59" s="198"/>
      <c r="Z59" s="198"/>
    </row>
    <row r="60" ht="91.5" customHeight="1">
      <c r="A60" s="370">
        <v>39468.0</v>
      </c>
      <c r="B60" s="299" t="s">
        <v>25</v>
      </c>
      <c r="C60" s="285">
        <v>521.0</v>
      </c>
      <c r="D60" s="285" t="s">
        <v>9321</v>
      </c>
      <c r="E60" s="287" t="s">
        <v>9322</v>
      </c>
      <c r="F60" s="288">
        <v>45612.0</v>
      </c>
      <c r="G60" s="288">
        <v>45607.0</v>
      </c>
      <c r="H60" s="288">
        <v>45607.0</v>
      </c>
      <c r="I60" s="288">
        <v>45618.0</v>
      </c>
      <c r="J60" s="288">
        <v>45618.0</v>
      </c>
      <c r="K60" s="294"/>
      <c r="L60" s="294"/>
      <c r="M60" s="290" t="s">
        <v>9323</v>
      </c>
      <c r="N60" s="299" t="s">
        <v>497</v>
      </c>
      <c r="O60" s="322" t="s">
        <v>4853</v>
      </c>
      <c r="P60" s="300">
        <v>11399.48</v>
      </c>
      <c r="Q60" s="299">
        <f t="shared" si="1"/>
        <v>46</v>
      </c>
      <c r="R60" s="424"/>
      <c r="S60" s="366" t="s">
        <v>9166</v>
      </c>
      <c r="T60" s="198"/>
      <c r="U60" s="198"/>
      <c r="V60" s="198"/>
      <c r="W60" s="198"/>
      <c r="X60" s="198"/>
      <c r="Y60" s="198"/>
      <c r="Z60" s="198"/>
    </row>
    <row r="61" ht="99.0" customHeight="1">
      <c r="A61" s="370">
        <v>40184.0</v>
      </c>
      <c r="B61" s="285" t="s">
        <v>21</v>
      </c>
      <c r="C61" s="285" t="s">
        <v>9324</v>
      </c>
      <c r="D61" s="285" t="s">
        <v>9325</v>
      </c>
      <c r="E61" s="287" t="s">
        <v>9326</v>
      </c>
      <c r="F61" s="288">
        <v>45611.0</v>
      </c>
      <c r="G61" s="288">
        <v>45607.0</v>
      </c>
      <c r="H61" s="288">
        <v>45630.0</v>
      </c>
      <c r="I61" s="288">
        <v>45631.0</v>
      </c>
      <c r="J61" s="288">
        <v>45631.0</v>
      </c>
      <c r="K61" s="294" t="s">
        <v>4841</v>
      </c>
      <c r="L61" s="550"/>
      <c r="M61" s="290" t="s">
        <v>9327</v>
      </c>
      <c r="N61" s="299" t="s">
        <v>497</v>
      </c>
      <c r="O61" s="322" t="s">
        <v>2621</v>
      </c>
      <c r="P61" s="300">
        <v>7408.0</v>
      </c>
      <c r="Q61" s="299">
        <f t="shared" si="1"/>
        <v>46</v>
      </c>
      <c r="R61" s="424"/>
      <c r="S61" s="366" t="s">
        <v>9166</v>
      </c>
      <c r="T61" s="198"/>
      <c r="U61" s="198"/>
      <c r="V61" s="198"/>
      <c r="W61" s="198"/>
      <c r="X61" s="198"/>
      <c r="Y61" s="198"/>
      <c r="Z61" s="198"/>
    </row>
    <row r="62" ht="91.5" customHeight="1">
      <c r="A62" s="370">
        <v>39684.0</v>
      </c>
      <c r="B62" s="285" t="s">
        <v>21</v>
      </c>
      <c r="C62" s="285">
        <v>1160.0</v>
      </c>
      <c r="D62" s="285" t="s">
        <v>9328</v>
      </c>
      <c r="E62" s="287" t="s">
        <v>3740</v>
      </c>
      <c r="F62" s="288">
        <v>45610.0</v>
      </c>
      <c r="G62" s="288">
        <v>45606.0</v>
      </c>
      <c r="H62" s="288">
        <v>45606.0</v>
      </c>
      <c r="I62" s="288">
        <v>45614.0</v>
      </c>
      <c r="J62" s="288">
        <v>45614.0</v>
      </c>
      <c r="K62" s="294" t="s">
        <v>4841</v>
      </c>
      <c r="L62" s="294"/>
      <c r="M62" s="290" t="s">
        <v>9329</v>
      </c>
      <c r="N62" s="299" t="s">
        <v>4745</v>
      </c>
      <c r="O62" s="322" t="s">
        <v>4711</v>
      </c>
      <c r="P62" s="300">
        <v>24993.53</v>
      </c>
      <c r="Q62" s="299">
        <f t="shared" si="1"/>
        <v>46</v>
      </c>
      <c r="R62" s="424"/>
      <c r="S62" s="366" t="s">
        <v>9166</v>
      </c>
      <c r="T62" s="198"/>
      <c r="U62" s="198"/>
      <c r="V62" s="198"/>
      <c r="W62" s="198"/>
      <c r="X62" s="198"/>
      <c r="Y62" s="198"/>
      <c r="Z62" s="198"/>
    </row>
    <row r="63" ht="91.5" customHeight="1">
      <c r="A63" s="370">
        <v>39973.0</v>
      </c>
      <c r="B63" s="285" t="s">
        <v>21</v>
      </c>
      <c r="C63" s="285">
        <v>974.0</v>
      </c>
      <c r="D63" s="285" t="s">
        <v>9330</v>
      </c>
      <c r="E63" s="287" t="s">
        <v>9331</v>
      </c>
      <c r="F63" s="288">
        <v>45610.0</v>
      </c>
      <c r="G63" s="288">
        <v>45603.0</v>
      </c>
      <c r="H63" s="288">
        <v>45608.0</v>
      </c>
      <c r="I63" s="288">
        <v>45615.0</v>
      </c>
      <c r="J63" s="288">
        <v>45615.0</v>
      </c>
      <c r="K63" s="294" t="s">
        <v>4841</v>
      </c>
      <c r="L63" s="294"/>
      <c r="M63" s="290" t="s">
        <v>9332</v>
      </c>
      <c r="N63" s="299" t="s">
        <v>497</v>
      </c>
      <c r="O63" s="322" t="s">
        <v>2628</v>
      </c>
      <c r="P63" s="300">
        <v>71091.0</v>
      </c>
      <c r="Q63" s="299">
        <f t="shared" si="1"/>
        <v>46</v>
      </c>
      <c r="R63" s="424"/>
      <c r="S63" s="366" t="s">
        <v>9166</v>
      </c>
      <c r="T63" s="198"/>
      <c r="U63" s="198"/>
      <c r="V63" s="198"/>
      <c r="W63" s="198"/>
      <c r="X63" s="198"/>
      <c r="Y63" s="198"/>
      <c r="Z63" s="198"/>
    </row>
    <row r="64" ht="91.5" customHeight="1">
      <c r="A64" s="370">
        <v>39694.0</v>
      </c>
      <c r="B64" s="285" t="s">
        <v>21</v>
      </c>
      <c r="C64" s="285">
        <v>4500.0</v>
      </c>
      <c r="D64" s="285" t="s">
        <v>9333</v>
      </c>
      <c r="E64" s="287" t="s">
        <v>9334</v>
      </c>
      <c r="F64" s="288">
        <v>45610.0</v>
      </c>
      <c r="G64" s="288">
        <v>45602.0</v>
      </c>
      <c r="H64" s="288">
        <v>45602.0</v>
      </c>
      <c r="I64" s="288">
        <v>45617.0</v>
      </c>
      <c r="J64" s="288">
        <v>45617.0</v>
      </c>
      <c r="K64" s="294" t="s">
        <v>4841</v>
      </c>
      <c r="L64" s="294"/>
      <c r="M64" s="290" t="s">
        <v>9335</v>
      </c>
      <c r="N64" s="299" t="s">
        <v>497</v>
      </c>
      <c r="O64" s="322" t="s">
        <v>2554</v>
      </c>
      <c r="P64" s="300">
        <v>33187.5</v>
      </c>
      <c r="Q64" s="299">
        <f t="shared" si="1"/>
        <v>46</v>
      </c>
      <c r="R64" s="424" t="s">
        <v>9170</v>
      </c>
      <c r="S64" s="366" t="s">
        <v>9171</v>
      </c>
      <c r="T64" s="198"/>
      <c r="U64" s="198"/>
      <c r="V64" s="198"/>
      <c r="W64" s="198"/>
      <c r="X64" s="198"/>
      <c r="Y64" s="198"/>
      <c r="Z64" s="198"/>
    </row>
    <row r="65" ht="91.5" customHeight="1">
      <c r="A65" s="370">
        <v>39580.0</v>
      </c>
      <c r="B65" s="285" t="s">
        <v>21</v>
      </c>
      <c r="C65" s="285">
        <v>1306.0</v>
      </c>
      <c r="D65" s="285" t="s">
        <v>9336</v>
      </c>
      <c r="E65" s="287" t="s">
        <v>9283</v>
      </c>
      <c r="F65" s="288">
        <v>45610.0</v>
      </c>
      <c r="G65" s="288">
        <v>45602.0</v>
      </c>
      <c r="H65" s="288">
        <v>45602.0</v>
      </c>
      <c r="I65" s="288">
        <v>45617.0</v>
      </c>
      <c r="J65" s="288">
        <v>45617.0</v>
      </c>
      <c r="K65" s="294" t="s">
        <v>4841</v>
      </c>
      <c r="L65" s="294"/>
      <c r="M65" s="424" t="s">
        <v>9337</v>
      </c>
      <c r="N65" s="299" t="s">
        <v>497</v>
      </c>
      <c r="O65" s="322" t="s">
        <v>2554</v>
      </c>
      <c r="P65" s="300">
        <v>44795.8</v>
      </c>
      <c r="Q65" s="299">
        <f t="shared" si="1"/>
        <v>46</v>
      </c>
      <c r="R65" s="424" t="s">
        <v>9198</v>
      </c>
      <c r="S65" s="366" t="s">
        <v>9171</v>
      </c>
      <c r="T65" s="198"/>
      <c r="U65" s="198"/>
      <c r="V65" s="198"/>
      <c r="W65" s="198"/>
      <c r="X65" s="198"/>
      <c r="Y65" s="198"/>
      <c r="Z65" s="198"/>
    </row>
    <row r="66" ht="91.5" customHeight="1">
      <c r="A66" s="370">
        <v>39574.0</v>
      </c>
      <c r="B66" s="285" t="s">
        <v>21</v>
      </c>
      <c r="C66" s="285">
        <v>4356.0</v>
      </c>
      <c r="D66" s="285" t="s">
        <v>9338</v>
      </c>
      <c r="E66" s="287" t="s">
        <v>9262</v>
      </c>
      <c r="F66" s="288">
        <v>45610.0</v>
      </c>
      <c r="G66" s="288">
        <v>45602.0</v>
      </c>
      <c r="H66" s="288">
        <v>45602.0</v>
      </c>
      <c r="I66" s="288">
        <v>45617.0</v>
      </c>
      <c r="J66" s="288">
        <v>45617.0</v>
      </c>
      <c r="K66" s="294" t="s">
        <v>4841</v>
      </c>
      <c r="L66" s="294"/>
      <c r="M66" s="290" t="s">
        <v>9339</v>
      </c>
      <c r="N66" s="299" t="s">
        <v>497</v>
      </c>
      <c r="O66" s="322" t="s">
        <v>2554</v>
      </c>
      <c r="P66" s="300">
        <v>31960.4</v>
      </c>
      <c r="Q66" s="299">
        <f t="shared" si="1"/>
        <v>46</v>
      </c>
      <c r="R66" s="424" t="s">
        <v>9198</v>
      </c>
      <c r="S66" s="366" t="s">
        <v>9171</v>
      </c>
      <c r="T66" s="198"/>
      <c r="U66" s="198"/>
      <c r="V66" s="198"/>
      <c r="W66" s="198"/>
      <c r="X66" s="198"/>
      <c r="Y66" s="198"/>
      <c r="Z66" s="198"/>
    </row>
    <row r="67" ht="91.5" customHeight="1">
      <c r="A67" s="370">
        <v>39579.0</v>
      </c>
      <c r="B67" s="299" t="s">
        <v>25</v>
      </c>
      <c r="C67" s="285">
        <v>1306.0</v>
      </c>
      <c r="D67" s="285" t="s">
        <v>9340</v>
      </c>
      <c r="E67" s="287" t="s">
        <v>9341</v>
      </c>
      <c r="F67" s="288">
        <v>45604.0</v>
      </c>
      <c r="G67" s="288">
        <v>45600.0</v>
      </c>
      <c r="H67" s="288">
        <v>45600.0</v>
      </c>
      <c r="I67" s="288">
        <v>45610.0</v>
      </c>
      <c r="J67" s="288">
        <v>45610.0</v>
      </c>
      <c r="K67" s="294"/>
      <c r="L67" s="294"/>
      <c r="M67" s="290" t="s">
        <v>9342</v>
      </c>
      <c r="N67" s="299" t="s">
        <v>497</v>
      </c>
      <c r="O67" s="322" t="s">
        <v>2554</v>
      </c>
      <c r="P67" s="300">
        <v>44795.8</v>
      </c>
      <c r="Q67" s="299">
        <f t="shared" si="1"/>
        <v>45</v>
      </c>
      <c r="R67" s="424" t="s">
        <v>9198</v>
      </c>
      <c r="S67" s="366" t="s">
        <v>9171</v>
      </c>
      <c r="T67" s="198"/>
      <c r="U67" s="198"/>
      <c r="V67" s="198"/>
      <c r="W67" s="198"/>
      <c r="X67" s="198"/>
      <c r="Y67" s="198"/>
      <c r="Z67" s="198"/>
    </row>
    <row r="68" ht="91.5" customHeight="1">
      <c r="A68" s="370">
        <v>39685.0</v>
      </c>
      <c r="B68" s="299" t="s">
        <v>25</v>
      </c>
      <c r="C68" s="285">
        <v>1160.0</v>
      </c>
      <c r="D68" s="285" t="s">
        <v>9343</v>
      </c>
      <c r="E68" s="287" t="s">
        <v>3740</v>
      </c>
      <c r="F68" s="288">
        <v>45602.0</v>
      </c>
      <c r="G68" s="288">
        <v>45600.0</v>
      </c>
      <c r="H68" s="288">
        <v>45600.0</v>
      </c>
      <c r="I68" s="288">
        <v>45607.0</v>
      </c>
      <c r="J68" s="288">
        <v>45607.0</v>
      </c>
      <c r="K68" s="294"/>
      <c r="L68" s="294"/>
      <c r="M68" s="290" t="s">
        <v>9344</v>
      </c>
      <c r="N68" s="299" t="s">
        <v>4745</v>
      </c>
      <c r="O68" s="322" t="s">
        <v>4711</v>
      </c>
      <c r="P68" s="300">
        <v>24993.53</v>
      </c>
      <c r="Q68" s="299">
        <f t="shared" si="1"/>
        <v>45</v>
      </c>
      <c r="R68" s="424"/>
      <c r="S68" s="366" t="s">
        <v>9166</v>
      </c>
      <c r="T68" s="198"/>
      <c r="U68" s="198"/>
      <c r="V68" s="198"/>
      <c r="W68" s="198"/>
      <c r="X68" s="198"/>
      <c r="Y68" s="198"/>
      <c r="Z68" s="198"/>
    </row>
    <row r="69" ht="91.5" customHeight="1">
      <c r="A69" s="370">
        <v>39648.0</v>
      </c>
      <c r="B69" s="299" t="s">
        <v>25</v>
      </c>
      <c r="C69" s="285">
        <v>1990.0</v>
      </c>
      <c r="D69" s="285" t="s">
        <v>9345</v>
      </c>
      <c r="E69" s="287" t="s">
        <v>3812</v>
      </c>
      <c r="F69" s="288">
        <v>45602.0</v>
      </c>
      <c r="G69" s="288">
        <v>45599.0</v>
      </c>
      <c r="H69" s="288">
        <v>45599.0</v>
      </c>
      <c r="I69" s="288">
        <v>45608.0</v>
      </c>
      <c r="J69" s="288">
        <v>45608.0</v>
      </c>
      <c r="K69" s="294"/>
      <c r="L69" s="294"/>
      <c r="M69" s="290" t="s">
        <v>9346</v>
      </c>
      <c r="N69" s="299" t="s">
        <v>6366</v>
      </c>
      <c r="O69" s="322" t="s">
        <v>4662</v>
      </c>
      <c r="P69" s="300">
        <v>136973.0</v>
      </c>
      <c r="Q69" s="299">
        <f t="shared" si="1"/>
        <v>45</v>
      </c>
      <c r="R69" s="424"/>
      <c r="S69" s="366" t="s">
        <v>9166</v>
      </c>
      <c r="T69" s="198"/>
      <c r="U69" s="198"/>
      <c r="V69" s="198"/>
      <c r="W69" s="198"/>
      <c r="X69" s="198"/>
      <c r="Y69" s="198"/>
      <c r="Z69" s="198"/>
    </row>
    <row r="70" ht="91.5" customHeight="1">
      <c r="A70" s="370">
        <v>39515.0</v>
      </c>
      <c r="B70" s="299" t="s">
        <v>715</v>
      </c>
      <c r="C70" s="285">
        <v>2413.0</v>
      </c>
      <c r="D70" s="285" t="s">
        <v>9347</v>
      </c>
      <c r="E70" s="287" t="s">
        <v>7957</v>
      </c>
      <c r="F70" s="288">
        <v>45602.0</v>
      </c>
      <c r="G70" s="288">
        <v>45594.0</v>
      </c>
      <c r="H70" s="288">
        <v>45594.0</v>
      </c>
      <c r="I70" s="288">
        <v>45611.0</v>
      </c>
      <c r="J70" s="285" t="s">
        <v>9348</v>
      </c>
      <c r="K70" s="294"/>
      <c r="L70" s="294"/>
      <c r="M70" s="290" t="s">
        <v>9349</v>
      </c>
      <c r="N70" s="299" t="s">
        <v>497</v>
      </c>
      <c r="O70" s="322" t="s">
        <v>2554</v>
      </c>
      <c r="P70" s="300">
        <v>43434.0</v>
      </c>
      <c r="Q70" s="299">
        <f t="shared" si="1"/>
        <v>45</v>
      </c>
      <c r="R70" s="424" t="s">
        <v>9198</v>
      </c>
      <c r="S70" s="366" t="s">
        <v>9171</v>
      </c>
      <c r="T70" s="198"/>
      <c r="U70" s="198"/>
      <c r="V70" s="198"/>
      <c r="W70" s="198"/>
      <c r="X70" s="198"/>
      <c r="Y70" s="198"/>
      <c r="Z70" s="198"/>
    </row>
    <row r="71" ht="91.5" customHeight="1">
      <c r="A71" s="370">
        <v>39571.0</v>
      </c>
      <c r="B71" s="299" t="s">
        <v>715</v>
      </c>
      <c r="C71" s="285">
        <v>2413.0</v>
      </c>
      <c r="D71" s="285" t="s">
        <v>9350</v>
      </c>
      <c r="E71" s="287" t="s">
        <v>7476</v>
      </c>
      <c r="F71" s="288">
        <v>45600.0</v>
      </c>
      <c r="G71" s="288">
        <v>45595.0</v>
      </c>
      <c r="H71" s="288">
        <v>45595.0</v>
      </c>
      <c r="I71" s="288">
        <v>45610.0</v>
      </c>
      <c r="J71" s="285" t="s">
        <v>9351</v>
      </c>
      <c r="K71" s="294"/>
      <c r="L71" s="294"/>
      <c r="M71" s="290" t="s">
        <v>9352</v>
      </c>
      <c r="N71" s="299" t="s">
        <v>497</v>
      </c>
      <c r="O71" s="322" t="s">
        <v>2554</v>
      </c>
      <c r="P71" s="300">
        <v>42468.8</v>
      </c>
      <c r="Q71" s="299">
        <f t="shared" si="1"/>
        <v>45</v>
      </c>
      <c r="R71" s="424" t="s">
        <v>9198</v>
      </c>
      <c r="S71" s="366" t="s">
        <v>9171</v>
      </c>
      <c r="T71" s="198"/>
      <c r="U71" s="198"/>
      <c r="V71" s="198"/>
      <c r="W71" s="198"/>
      <c r="X71" s="198"/>
      <c r="Y71" s="198"/>
      <c r="Z71" s="198"/>
    </row>
    <row r="72" ht="91.5" customHeight="1">
      <c r="A72" s="370">
        <v>39270.0</v>
      </c>
      <c r="B72" s="299" t="s">
        <v>6501</v>
      </c>
      <c r="C72" s="285">
        <v>2595.0</v>
      </c>
      <c r="D72" s="285" t="s">
        <v>9353</v>
      </c>
      <c r="E72" s="287" t="s">
        <v>9354</v>
      </c>
      <c r="F72" s="288">
        <v>45600.0</v>
      </c>
      <c r="G72" s="288">
        <v>45595.0</v>
      </c>
      <c r="H72" s="288">
        <v>45595.0</v>
      </c>
      <c r="I72" s="288">
        <v>45607.0</v>
      </c>
      <c r="J72" s="288">
        <v>45607.0</v>
      </c>
      <c r="K72" s="294"/>
      <c r="L72" s="294"/>
      <c r="M72" s="290" t="s">
        <v>9355</v>
      </c>
      <c r="N72" s="299" t="s">
        <v>497</v>
      </c>
      <c r="O72" s="322" t="s">
        <v>2554</v>
      </c>
      <c r="P72" s="300">
        <v>47785.91</v>
      </c>
      <c r="Q72" s="299">
        <f t="shared" si="1"/>
        <v>45</v>
      </c>
      <c r="R72" s="424" t="s">
        <v>9170</v>
      </c>
      <c r="S72" s="366" t="s">
        <v>9171</v>
      </c>
      <c r="T72" s="198"/>
      <c r="U72" s="198"/>
      <c r="V72" s="198"/>
      <c r="W72" s="198"/>
      <c r="X72" s="198"/>
      <c r="Y72" s="198"/>
      <c r="Z72" s="198"/>
    </row>
    <row r="73" ht="90.75" customHeight="1">
      <c r="A73" s="370">
        <v>39857.0</v>
      </c>
      <c r="B73" s="299" t="s">
        <v>715</v>
      </c>
      <c r="C73" s="285">
        <v>1150.0</v>
      </c>
      <c r="D73" s="285" t="s">
        <v>9356</v>
      </c>
      <c r="E73" s="287" t="s">
        <v>9357</v>
      </c>
      <c r="F73" s="288">
        <v>45599.0</v>
      </c>
      <c r="G73" s="288">
        <v>45597.0</v>
      </c>
      <c r="H73" s="288">
        <v>45597.0</v>
      </c>
      <c r="I73" s="288">
        <v>45611.0</v>
      </c>
      <c r="J73" s="285" t="s">
        <v>9358</v>
      </c>
      <c r="K73" s="294"/>
      <c r="L73" s="294"/>
      <c r="M73" s="290" t="s">
        <v>9359</v>
      </c>
      <c r="N73" s="299" t="s">
        <v>4635</v>
      </c>
      <c r="O73" s="322" t="s">
        <v>2621</v>
      </c>
      <c r="P73" s="300">
        <v>82819.0</v>
      </c>
      <c r="Q73" s="299">
        <f t="shared" si="1"/>
        <v>45</v>
      </c>
      <c r="R73" s="424"/>
      <c r="S73" s="366" t="s">
        <v>9166</v>
      </c>
      <c r="T73" s="198"/>
      <c r="U73" s="198"/>
      <c r="V73" s="198"/>
      <c r="W73" s="198"/>
      <c r="X73" s="198"/>
      <c r="Y73" s="198"/>
      <c r="Z73" s="198"/>
    </row>
    <row r="74" ht="91.5" customHeight="1">
      <c r="A74" s="370">
        <v>39281.0</v>
      </c>
      <c r="B74" s="299" t="s">
        <v>6501</v>
      </c>
      <c r="C74" s="285">
        <v>940.0</v>
      </c>
      <c r="D74" s="285" t="s">
        <v>9360</v>
      </c>
      <c r="E74" s="287" t="s">
        <v>9361</v>
      </c>
      <c r="F74" s="288">
        <v>45598.0</v>
      </c>
      <c r="G74" s="288">
        <v>45594.0</v>
      </c>
      <c r="H74" s="288">
        <v>45594.0</v>
      </c>
      <c r="I74" s="288">
        <v>45603.0</v>
      </c>
      <c r="J74" s="288">
        <v>45603.0</v>
      </c>
      <c r="K74" s="294"/>
      <c r="L74" s="294"/>
      <c r="M74" s="290" t="s">
        <v>9362</v>
      </c>
      <c r="N74" s="299" t="s">
        <v>4635</v>
      </c>
      <c r="O74" s="322" t="s">
        <v>2621</v>
      </c>
      <c r="P74" s="300">
        <v>43785.2</v>
      </c>
      <c r="Q74" s="299">
        <f t="shared" si="1"/>
        <v>44</v>
      </c>
      <c r="R74" s="424"/>
      <c r="S74" s="366" t="s">
        <v>8430</v>
      </c>
      <c r="T74" s="198"/>
      <c r="U74" s="198"/>
      <c r="V74" s="198"/>
      <c r="W74" s="198"/>
      <c r="X74" s="198"/>
      <c r="Y74" s="198"/>
      <c r="Z74" s="198"/>
    </row>
    <row r="75" ht="91.5" customHeight="1">
      <c r="A75" s="370">
        <v>40100.0</v>
      </c>
      <c r="B75" s="299" t="s">
        <v>715</v>
      </c>
      <c r="C75" s="285">
        <v>560.0</v>
      </c>
      <c r="D75" s="285" t="s">
        <v>9363</v>
      </c>
      <c r="E75" s="287" t="s">
        <v>9364</v>
      </c>
      <c r="F75" s="288">
        <v>45598.0</v>
      </c>
      <c r="G75" s="288">
        <v>45594.0</v>
      </c>
      <c r="H75" s="288">
        <v>45594.0</v>
      </c>
      <c r="I75" s="288">
        <v>45603.0</v>
      </c>
      <c r="J75" s="288">
        <v>45603.0</v>
      </c>
      <c r="K75" s="294"/>
      <c r="L75" s="294"/>
      <c r="M75" s="290" t="s">
        <v>9365</v>
      </c>
      <c r="N75" s="299" t="s">
        <v>4635</v>
      </c>
      <c r="O75" s="322" t="s">
        <v>2621</v>
      </c>
      <c r="P75" s="300">
        <v>56108.0</v>
      </c>
      <c r="Q75" s="299">
        <f t="shared" si="1"/>
        <v>44</v>
      </c>
      <c r="R75" s="424"/>
      <c r="S75" s="366" t="s">
        <v>9166</v>
      </c>
      <c r="T75" s="198"/>
      <c r="U75" s="198"/>
      <c r="V75" s="198"/>
      <c r="W75" s="198"/>
      <c r="X75" s="198"/>
      <c r="Y75" s="198"/>
      <c r="Z75" s="198"/>
    </row>
    <row r="76" ht="91.5" customHeight="1">
      <c r="A76" s="370">
        <v>39805.0</v>
      </c>
      <c r="B76" s="285" t="s">
        <v>21</v>
      </c>
      <c r="C76" s="285">
        <v>1079.0</v>
      </c>
      <c r="D76" s="285" t="s">
        <v>9366</v>
      </c>
      <c r="E76" s="287" t="s">
        <v>9367</v>
      </c>
      <c r="F76" s="288">
        <v>45598.0</v>
      </c>
      <c r="G76" s="288">
        <v>45592.0</v>
      </c>
      <c r="H76" s="288">
        <v>45592.0</v>
      </c>
      <c r="I76" s="288">
        <v>45602.0</v>
      </c>
      <c r="J76" s="288">
        <v>45602.0</v>
      </c>
      <c r="K76" s="536" t="s">
        <v>4916</v>
      </c>
      <c r="L76" s="451"/>
      <c r="M76" s="290" t="s">
        <v>9368</v>
      </c>
      <c r="N76" s="299" t="s">
        <v>6366</v>
      </c>
      <c r="O76" s="322" t="s">
        <v>2621</v>
      </c>
      <c r="P76" s="300">
        <v>55659.0</v>
      </c>
      <c r="Q76" s="299">
        <f t="shared" si="1"/>
        <v>44</v>
      </c>
      <c r="R76" s="424"/>
      <c r="S76" s="366" t="s">
        <v>9166</v>
      </c>
      <c r="T76" s="198"/>
      <c r="U76" s="198"/>
      <c r="V76" s="198"/>
      <c r="W76" s="198"/>
      <c r="X76" s="198"/>
      <c r="Y76" s="198"/>
      <c r="Z76" s="198"/>
    </row>
    <row r="77" ht="91.5" customHeight="1">
      <c r="A77" s="370">
        <v>39877.0</v>
      </c>
      <c r="B77" s="285" t="s">
        <v>21</v>
      </c>
      <c r="C77" s="285" t="s">
        <v>9369</v>
      </c>
      <c r="D77" s="285" t="s">
        <v>9370</v>
      </c>
      <c r="E77" s="287" t="s">
        <v>9371</v>
      </c>
      <c r="F77" s="288">
        <v>45597.0</v>
      </c>
      <c r="G77" s="288" t="s">
        <v>4841</v>
      </c>
      <c r="H77" s="288">
        <v>45609.0</v>
      </c>
      <c r="I77" s="288">
        <v>45616.0</v>
      </c>
      <c r="J77" s="288">
        <v>45616.0</v>
      </c>
      <c r="K77" s="294" t="s">
        <v>4841</v>
      </c>
      <c r="L77" s="294"/>
      <c r="M77" s="290" t="s">
        <v>9372</v>
      </c>
      <c r="N77" s="299" t="s">
        <v>497</v>
      </c>
      <c r="O77" s="322" t="s">
        <v>2628</v>
      </c>
      <c r="P77" s="300">
        <v>30083.0</v>
      </c>
      <c r="Q77" s="299">
        <f t="shared" si="1"/>
        <v>44</v>
      </c>
      <c r="R77" s="424"/>
      <c r="S77" s="366" t="s">
        <v>9166</v>
      </c>
      <c r="T77" s="198"/>
      <c r="U77" s="198"/>
      <c r="V77" s="198"/>
      <c r="W77" s="198"/>
      <c r="X77" s="198"/>
      <c r="Y77" s="198"/>
      <c r="Z77" s="198"/>
    </row>
    <row r="78" ht="91.5" customHeight="1">
      <c r="A78" s="370">
        <v>40014.0</v>
      </c>
      <c r="B78" s="285" t="s">
        <v>21</v>
      </c>
      <c r="C78" s="285">
        <v>1005.0</v>
      </c>
      <c r="D78" s="285" t="s">
        <v>9373</v>
      </c>
      <c r="E78" s="287" t="s">
        <v>9317</v>
      </c>
      <c r="F78" s="288">
        <v>45597.0</v>
      </c>
      <c r="G78" s="288">
        <v>45594.0</v>
      </c>
      <c r="H78" s="288">
        <v>45594.0</v>
      </c>
      <c r="I78" s="288">
        <v>45602.0</v>
      </c>
      <c r="J78" s="288">
        <v>45602.0</v>
      </c>
      <c r="K78" s="294" t="s">
        <v>4841</v>
      </c>
      <c r="L78" s="294"/>
      <c r="M78" s="290" t="s">
        <v>9374</v>
      </c>
      <c r="N78" s="299" t="s">
        <v>4635</v>
      </c>
      <c r="O78" s="299" t="s">
        <v>2621</v>
      </c>
      <c r="P78" s="300">
        <v>28104.4</v>
      </c>
      <c r="Q78" s="299">
        <f t="shared" si="1"/>
        <v>44</v>
      </c>
      <c r="R78" s="424"/>
      <c r="S78" s="366" t="s">
        <v>9166</v>
      </c>
      <c r="T78" s="198"/>
      <c r="U78" s="198"/>
      <c r="V78" s="198"/>
      <c r="W78" s="198"/>
      <c r="X78" s="198"/>
      <c r="Y78" s="198"/>
      <c r="Z78" s="198"/>
    </row>
    <row r="79" ht="91.5" customHeight="1">
      <c r="A79" s="370">
        <v>39687.0</v>
      </c>
      <c r="B79" s="285" t="s">
        <v>21</v>
      </c>
      <c r="C79" s="285">
        <v>4500.0</v>
      </c>
      <c r="D79" s="285" t="s">
        <v>9375</v>
      </c>
      <c r="E79" s="287" t="s">
        <v>4658</v>
      </c>
      <c r="F79" s="288">
        <v>45597.0</v>
      </c>
      <c r="G79" s="288">
        <v>45593.0</v>
      </c>
      <c r="H79" s="288">
        <v>45593.0</v>
      </c>
      <c r="I79" s="288">
        <v>45603.0</v>
      </c>
      <c r="J79" s="288">
        <v>45603.0</v>
      </c>
      <c r="K79" s="294" t="s">
        <v>4841</v>
      </c>
      <c r="L79" s="294"/>
      <c r="M79" s="290" t="s">
        <v>9376</v>
      </c>
      <c r="N79" s="299" t="s">
        <v>497</v>
      </c>
      <c r="O79" s="322" t="s">
        <v>2554</v>
      </c>
      <c r="P79" s="300">
        <v>32625.0</v>
      </c>
      <c r="Q79" s="299">
        <f t="shared" si="1"/>
        <v>44</v>
      </c>
      <c r="R79" s="424" t="s">
        <v>9170</v>
      </c>
      <c r="S79" s="366" t="s">
        <v>9171</v>
      </c>
      <c r="T79" s="198"/>
      <c r="U79" s="198"/>
      <c r="V79" s="198"/>
      <c r="W79" s="198"/>
      <c r="X79" s="198"/>
      <c r="Y79" s="198"/>
      <c r="Z79" s="198"/>
    </row>
    <row r="80" ht="91.5" customHeight="1">
      <c r="A80" s="370">
        <v>39459.0</v>
      </c>
      <c r="B80" s="299" t="s">
        <v>715</v>
      </c>
      <c r="C80" s="285">
        <v>1306.0</v>
      </c>
      <c r="D80" s="285" t="s">
        <v>9377</v>
      </c>
      <c r="E80" s="287" t="s">
        <v>9378</v>
      </c>
      <c r="F80" s="288">
        <v>45595.0</v>
      </c>
      <c r="G80" s="288">
        <v>45588.0</v>
      </c>
      <c r="H80" s="288">
        <v>45588.0</v>
      </c>
      <c r="I80" s="288">
        <v>45603.0</v>
      </c>
      <c r="J80" s="288">
        <v>45603.0</v>
      </c>
      <c r="K80" s="294"/>
      <c r="L80" s="294"/>
      <c r="M80" s="290" t="s">
        <v>9379</v>
      </c>
      <c r="N80" s="299" t="s">
        <v>497</v>
      </c>
      <c r="O80" s="322" t="s">
        <v>2554</v>
      </c>
      <c r="P80" s="300">
        <v>44795.8</v>
      </c>
      <c r="Q80" s="299">
        <f t="shared" si="1"/>
        <v>44</v>
      </c>
      <c r="R80" s="424" t="s">
        <v>9198</v>
      </c>
      <c r="S80" s="366" t="s">
        <v>9171</v>
      </c>
      <c r="T80" s="198"/>
      <c r="U80" s="198"/>
      <c r="V80" s="198"/>
      <c r="W80" s="198"/>
      <c r="X80" s="198"/>
      <c r="Y80" s="198"/>
      <c r="Z80" s="198"/>
    </row>
    <row r="81" ht="91.5" customHeight="1">
      <c r="A81" s="370">
        <v>39465.0</v>
      </c>
      <c r="B81" s="299" t="s">
        <v>715</v>
      </c>
      <c r="C81" s="285">
        <v>2578.0</v>
      </c>
      <c r="D81" s="285" t="s">
        <v>9380</v>
      </c>
      <c r="E81" s="287" t="s">
        <v>9381</v>
      </c>
      <c r="F81" s="288">
        <v>45595.0</v>
      </c>
      <c r="G81" s="288">
        <v>45588.0</v>
      </c>
      <c r="H81" s="288">
        <v>45588.0</v>
      </c>
      <c r="I81" s="288">
        <v>45604.0</v>
      </c>
      <c r="J81" s="285" t="s">
        <v>9382</v>
      </c>
      <c r="K81" s="294"/>
      <c r="L81" s="294"/>
      <c r="M81" s="290" t="s">
        <v>9383</v>
      </c>
      <c r="N81" s="299" t="s">
        <v>497</v>
      </c>
      <c r="O81" s="322" t="s">
        <v>2554</v>
      </c>
      <c r="P81" s="300">
        <v>57489.4</v>
      </c>
      <c r="Q81" s="299">
        <f t="shared" si="1"/>
        <v>44</v>
      </c>
      <c r="R81" s="424" t="s">
        <v>9198</v>
      </c>
      <c r="S81" s="366" t="s">
        <v>9171</v>
      </c>
      <c r="T81" s="198"/>
      <c r="U81" s="198"/>
      <c r="V81" s="198"/>
      <c r="W81" s="198"/>
      <c r="X81" s="198"/>
      <c r="Y81" s="198"/>
      <c r="Z81" s="198"/>
    </row>
    <row r="82" ht="91.5" customHeight="1">
      <c r="A82" s="370">
        <v>39528.0</v>
      </c>
      <c r="B82" s="299" t="s">
        <v>715</v>
      </c>
      <c r="C82" s="285">
        <v>1250.0</v>
      </c>
      <c r="D82" s="285" t="s">
        <v>9384</v>
      </c>
      <c r="E82" s="287" t="s">
        <v>4637</v>
      </c>
      <c r="F82" s="288">
        <v>45595.0</v>
      </c>
      <c r="G82" s="288">
        <v>45589.0</v>
      </c>
      <c r="H82" s="288">
        <v>45589.0</v>
      </c>
      <c r="I82" s="288">
        <v>45607.0</v>
      </c>
      <c r="J82" s="285" t="s">
        <v>9385</v>
      </c>
      <c r="K82" s="294"/>
      <c r="L82" s="294"/>
      <c r="M82" s="290" t="s">
        <v>9386</v>
      </c>
      <c r="N82" s="299" t="s">
        <v>497</v>
      </c>
      <c r="O82" s="322" t="s">
        <v>2554</v>
      </c>
      <c r="P82" s="300">
        <v>36250.0</v>
      </c>
      <c r="Q82" s="299">
        <f t="shared" si="1"/>
        <v>44</v>
      </c>
      <c r="R82" s="424" t="s">
        <v>9170</v>
      </c>
      <c r="S82" s="366" t="s">
        <v>9171</v>
      </c>
      <c r="T82" s="198"/>
      <c r="U82" s="198"/>
      <c r="V82" s="198"/>
      <c r="W82" s="198"/>
      <c r="X82" s="198"/>
      <c r="Y82" s="198"/>
      <c r="Z82" s="198"/>
    </row>
    <row r="83" ht="91.5" customHeight="1">
      <c r="A83" s="370">
        <v>39461.0</v>
      </c>
      <c r="B83" s="299" t="s">
        <v>715</v>
      </c>
      <c r="C83" s="285">
        <v>4356.0</v>
      </c>
      <c r="D83" s="285" t="s">
        <v>9387</v>
      </c>
      <c r="E83" s="287" t="s">
        <v>7561</v>
      </c>
      <c r="F83" s="288">
        <v>45595.0</v>
      </c>
      <c r="G83" s="288">
        <v>45588.0</v>
      </c>
      <c r="H83" s="288">
        <v>45588.0</v>
      </c>
      <c r="I83" s="288">
        <v>45609.0</v>
      </c>
      <c r="J83" s="285" t="s">
        <v>9388</v>
      </c>
      <c r="K83" s="294"/>
      <c r="L83" s="294"/>
      <c r="M83" s="290" t="s">
        <v>9389</v>
      </c>
      <c r="N83" s="299" t="s">
        <v>497</v>
      </c>
      <c r="O83" s="322" t="s">
        <v>2554</v>
      </c>
      <c r="P83" s="300">
        <v>33018.48</v>
      </c>
      <c r="Q83" s="299">
        <f t="shared" si="1"/>
        <v>44</v>
      </c>
      <c r="R83" s="424" t="s">
        <v>9198</v>
      </c>
      <c r="S83" s="366" t="s">
        <v>9171</v>
      </c>
      <c r="T83" s="198"/>
      <c r="U83" s="198"/>
      <c r="V83" s="198"/>
      <c r="W83" s="198"/>
      <c r="X83" s="198"/>
      <c r="Y83" s="198"/>
      <c r="Z83" s="198"/>
    </row>
    <row r="84" ht="91.5" customHeight="1">
      <c r="A84" s="370">
        <v>39379.0</v>
      </c>
      <c r="B84" s="299" t="s">
        <v>715</v>
      </c>
      <c r="C84" s="285">
        <v>2275.0</v>
      </c>
      <c r="D84" s="285" t="s">
        <v>9390</v>
      </c>
      <c r="E84" s="287" t="s">
        <v>4667</v>
      </c>
      <c r="F84" s="288">
        <v>45595.0</v>
      </c>
      <c r="G84" s="288">
        <v>45588.0</v>
      </c>
      <c r="H84" s="288">
        <v>45588.0</v>
      </c>
      <c r="I84" s="288">
        <v>45608.0</v>
      </c>
      <c r="J84" s="285" t="s">
        <v>9391</v>
      </c>
      <c r="K84" s="294"/>
      <c r="L84" s="294"/>
      <c r="M84" s="290" t="s">
        <v>9392</v>
      </c>
      <c r="N84" s="299" t="s">
        <v>497</v>
      </c>
      <c r="O84" s="322" t="s">
        <v>2554</v>
      </c>
      <c r="P84" s="300">
        <v>35740.0</v>
      </c>
      <c r="Q84" s="299">
        <f t="shared" si="1"/>
        <v>44</v>
      </c>
      <c r="R84" s="424" t="s">
        <v>9198</v>
      </c>
      <c r="S84" s="366" t="s">
        <v>9171</v>
      </c>
      <c r="T84" s="198"/>
      <c r="U84" s="198"/>
      <c r="V84" s="198"/>
      <c r="W84" s="198"/>
      <c r="X84" s="198"/>
      <c r="Y84" s="198"/>
      <c r="Z84" s="198"/>
    </row>
    <row r="85" ht="91.5" customHeight="1">
      <c r="A85" s="370">
        <v>39686.0</v>
      </c>
      <c r="B85" s="285" t="s">
        <v>21</v>
      </c>
      <c r="C85" s="285">
        <v>4500.0</v>
      </c>
      <c r="D85" s="285" t="s">
        <v>9393</v>
      </c>
      <c r="E85" s="287" t="s">
        <v>4690</v>
      </c>
      <c r="F85" s="288">
        <v>45594.0</v>
      </c>
      <c r="G85" s="288">
        <v>45587.0</v>
      </c>
      <c r="H85" s="288">
        <v>45587.0</v>
      </c>
      <c r="I85" s="288">
        <v>45590.0</v>
      </c>
      <c r="J85" s="288">
        <v>45590.0</v>
      </c>
      <c r="K85" s="294" t="s">
        <v>4841</v>
      </c>
      <c r="L85" s="294"/>
      <c r="M85" s="290" t="s">
        <v>9394</v>
      </c>
      <c r="N85" s="299" t="s">
        <v>497</v>
      </c>
      <c r="O85" s="322" t="s">
        <v>2554</v>
      </c>
      <c r="P85" s="300">
        <v>32625.0</v>
      </c>
      <c r="Q85" s="299">
        <f t="shared" si="1"/>
        <v>44</v>
      </c>
      <c r="R85" s="424" t="s">
        <v>9170</v>
      </c>
      <c r="S85" s="366" t="s">
        <v>9171</v>
      </c>
      <c r="T85" s="198"/>
      <c r="U85" s="198"/>
      <c r="V85" s="198"/>
      <c r="W85" s="198"/>
      <c r="X85" s="198"/>
      <c r="Y85" s="198"/>
      <c r="Z85" s="198"/>
    </row>
    <row r="86" ht="91.5" customHeight="1">
      <c r="A86" s="370">
        <v>39380.0</v>
      </c>
      <c r="B86" s="299" t="s">
        <v>715</v>
      </c>
      <c r="C86" s="285">
        <v>2578.0</v>
      </c>
      <c r="D86" s="285" t="s">
        <v>9395</v>
      </c>
      <c r="E86" s="287" t="s">
        <v>9396</v>
      </c>
      <c r="F86" s="288">
        <v>45592.0</v>
      </c>
      <c r="G86" s="288">
        <v>45582.0</v>
      </c>
      <c r="H86" s="288">
        <v>45582.0</v>
      </c>
      <c r="I86" s="288">
        <v>45601.0</v>
      </c>
      <c r="J86" s="288">
        <v>45601.0</v>
      </c>
      <c r="K86" s="294"/>
      <c r="L86" s="294"/>
      <c r="M86" s="290" t="s">
        <v>9397</v>
      </c>
      <c r="N86" s="299" t="s">
        <v>497</v>
      </c>
      <c r="O86" s="322" t="s">
        <v>2554</v>
      </c>
      <c r="P86" s="300">
        <v>58352.36</v>
      </c>
      <c r="Q86" s="299">
        <f t="shared" si="1"/>
        <v>44</v>
      </c>
      <c r="R86" s="424" t="s">
        <v>9198</v>
      </c>
      <c r="S86" s="366" t="s">
        <v>9171</v>
      </c>
      <c r="T86" s="198"/>
      <c r="U86" s="198"/>
      <c r="V86" s="198"/>
      <c r="W86" s="198"/>
      <c r="X86" s="198"/>
      <c r="Y86" s="198"/>
      <c r="Z86" s="198"/>
    </row>
    <row r="87" ht="91.5" customHeight="1">
      <c r="A87" s="370">
        <v>39530.0</v>
      </c>
      <c r="B87" s="299" t="s">
        <v>715</v>
      </c>
      <c r="C87" s="285">
        <v>4500.0</v>
      </c>
      <c r="D87" s="285" t="s">
        <v>9398</v>
      </c>
      <c r="E87" s="287" t="s">
        <v>7438</v>
      </c>
      <c r="F87" s="288">
        <v>45592.0</v>
      </c>
      <c r="G87" s="288">
        <v>45583.0</v>
      </c>
      <c r="H87" s="288">
        <v>45583.0</v>
      </c>
      <c r="I87" s="288">
        <v>45602.0</v>
      </c>
      <c r="J87" s="288">
        <v>45602.0</v>
      </c>
      <c r="K87" s="294"/>
      <c r="L87" s="294"/>
      <c r="M87" s="290" t="s">
        <v>9399</v>
      </c>
      <c r="N87" s="299" t="s">
        <v>497</v>
      </c>
      <c r="O87" s="322" t="s">
        <v>2554</v>
      </c>
      <c r="P87" s="300">
        <v>33075.0</v>
      </c>
      <c r="Q87" s="299">
        <f t="shared" si="1"/>
        <v>44</v>
      </c>
      <c r="R87" s="424" t="s">
        <v>9170</v>
      </c>
      <c r="S87" s="366" t="s">
        <v>9171</v>
      </c>
      <c r="T87" s="198"/>
      <c r="U87" s="198"/>
      <c r="V87" s="198"/>
      <c r="W87" s="198"/>
      <c r="X87" s="198"/>
      <c r="Y87" s="198"/>
      <c r="Z87" s="198"/>
    </row>
    <row r="88" ht="91.5" customHeight="1">
      <c r="A88" s="370">
        <v>39526.0</v>
      </c>
      <c r="B88" s="299" t="s">
        <v>715</v>
      </c>
      <c r="C88" s="285">
        <v>1250.0</v>
      </c>
      <c r="D88" s="285" t="s">
        <v>9400</v>
      </c>
      <c r="E88" s="287" t="s">
        <v>4637</v>
      </c>
      <c r="F88" s="288">
        <v>45592.0</v>
      </c>
      <c r="G88" s="288">
        <v>45583.0</v>
      </c>
      <c r="H88" s="288">
        <v>45583.0</v>
      </c>
      <c r="I88" s="288">
        <v>45596.0</v>
      </c>
      <c r="J88" s="288">
        <v>45596.0</v>
      </c>
      <c r="K88" s="294"/>
      <c r="L88" s="294"/>
      <c r="M88" s="290" t="s">
        <v>9401</v>
      </c>
      <c r="N88" s="299" t="s">
        <v>497</v>
      </c>
      <c r="O88" s="322" t="s">
        <v>2554</v>
      </c>
      <c r="P88" s="300">
        <v>36250.0</v>
      </c>
      <c r="Q88" s="299">
        <f t="shared" si="1"/>
        <v>44</v>
      </c>
      <c r="R88" s="424" t="s">
        <v>9170</v>
      </c>
      <c r="S88" s="366" t="s">
        <v>9171</v>
      </c>
      <c r="T88" s="198"/>
      <c r="U88" s="198"/>
      <c r="V88" s="198"/>
      <c r="W88" s="198"/>
      <c r="X88" s="198"/>
      <c r="Y88" s="198"/>
      <c r="Z88" s="198"/>
    </row>
    <row r="89" ht="91.5" customHeight="1">
      <c r="A89" s="370">
        <v>39485.0</v>
      </c>
      <c r="B89" s="299" t="s">
        <v>715</v>
      </c>
      <c r="C89" s="285">
        <v>4500.0</v>
      </c>
      <c r="D89" s="285" t="s">
        <v>9402</v>
      </c>
      <c r="E89" s="287" t="s">
        <v>7438</v>
      </c>
      <c r="F89" s="288">
        <v>45592.0</v>
      </c>
      <c r="G89" s="288">
        <v>45583.0</v>
      </c>
      <c r="H89" s="288">
        <v>45583.0</v>
      </c>
      <c r="I89" s="288">
        <v>45597.0</v>
      </c>
      <c r="J89" s="288">
        <v>45597.0</v>
      </c>
      <c r="K89" s="294"/>
      <c r="L89" s="294"/>
      <c r="M89" s="290" t="s">
        <v>9403</v>
      </c>
      <c r="N89" s="299" t="s">
        <v>497</v>
      </c>
      <c r="O89" s="322" t="s">
        <v>2554</v>
      </c>
      <c r="P89" s="300">
        <v>33187.5</v>
      </c>
      <c r="Q89" s="299">
        <f t="shared" si="1"/>
        <v>44</v>
      </c>
      <c r="R89" s="424" t="s">
        <v>9170</v>
      </c>
      <c r="S89" s="366" t="s">
        <v>9171</v>
      </c>
      <c r="T89" s="198"/>
      <c r="U89" s="198"/>
      <c r="V89" s="198"/>
      <c r="W89" s="198"/>
      <c r="X89" s="198"/>
      <c r="Y89" s="198"/>
      <c r="Z89" s="198"/>
    </row>
    <row r="90" ht="91.5" customHeight="1">
      <c r="A90" s="370">
        <v>39341.0</v>
      </c>
      <c r="B90" s="299" t="s">
        <v>715</v>
      </c>
      <c r="C90" s="285">
        <v>1477.0</v>
      </c>
      <c r="D90" s="285" t="s">
        <v>9404</v>
      </c>
      <c r="E90" s="287" t="s">
        <v>9405</v>
      </c>
      <c r="F90" s="288">
        <v>45592.0</v>
      </c>
      <c r="G90" s="288">
        <v>45583.0</v>
      </c>
      <c r="H90" s="288">
        <v>45583.0</v>
      </c>
      <c r="I90" s="288">
        <v>45600.0</v>
      </c>
      <c r="J90" s="288">
        <v>45600.0</v>
      </c>
      <c r="K90" s="294"/>
      <c r="L90" s="294"/>
      <c r="M90" s="290" t="s">
        <v>9406</v>
      </c>
      <c r="N90" s="299" t="s">
        <v>497</v>
      </c>
      <c r="O90" s="322" t="s">
        <v>2604</v>
      </c>
      <c r="P90" s="300">
        <v>64694.1</v>
      </c>
      <c r="Q90" s="299">
        <f t="shared" si="1"/>
        <v>44</v>
      </c>
      <c r="R90" s="424"/>
      <c r="S90" s="366" t="s">
        <v>9166</v>
      </c>
      <c r="T90" s="198"/>
      <c r="U90" s="198"/>
      <c r="V90" s="198"/>
      <c r="W90" s="198"/>
      <c r="X90" s="198"/>
      <c r="Y90" s="198"/>
      <c r="Z90" s="198"/>
    </row>
    <row r="91" ht="91.5" customHeight="1">
      <c r="A91" s="370">
        <v>39790.0</v>
      </c>
      <c r="B91" s="299" t="s">
        <v>25</v>
      </c>
      <c r="C91" s="285">
        <v>940.0</v>
      </c>
      <c r="D91" s="285" t="s">
        <v>9407</v>
      </c>
      <c r="E91" s="287" t="s">
        <v>9408</v>
      </c>
      <c r="F91" s="288">
        <v>45591.0</v>
      </c>
      <c r="G91" s="288">
        <v>45588.0</v>
      </c>
      <c r="H91" s="288">
        <v>45588.0</v>
      </c>
      <c r="I91" s="288">
        <v>45597.0</v>
      </c>
      <c r="J91" s="288">
        <v>45597.0</v>
      </c>
      <c r="K91" s="294"/>
      <c r="L91" s="294"/>
      <c r="M91" s="290" t="s">
        <v>9409</v>
      </c>
      <c r="N91" s="299" t="s">
        <v>4635</v>
      </c>
      <c r="O91" s="322" t="s">
        <v>2621</v>
      </c>
      <c r="P91" s="300">
        <v>39466.0</v>
      </c>
      <c r="Q91" s="299">
        <f t="shared" si="1"/>
        <v>43</v>
      </c>
      <c r="R91" s="424"/>
      <c r="S91" s="366" t="s">
        <v>8430</v>
      </c>
      <c r="T91" s="198"/>
      <c r="U91" s="198"/>
      <c r="V91" s="198"/>
      <c r="W91" s="198"/>
      <c r="X91" s="198"/>
      <c r="Y91" s="198"/>
      <c r="Z91" s="198"/>
    </row>
    <row r="92" ht="91.5" customHeight="1">
      <c r="A92" s="370">
        <v>39460.0</v>
      </c>
      <c r="B92" s="285" t="s">
        <v>21</v>
      </c>
      <c r="C92" s="285">
        <v>1306.0</v>
      </c>
      <c r="D92" s="285" t="s">
        <v>9410</v>
      </c>
      <c r="E92" s="287" t="s">
        <v>9283</v>
      </c>
      <c r="F92" s="288">
        <v>45589.0</v>
      </c>
      <c r="G92" s="288">
        <v>45585.0</v>
      </c>
      <c r="H92" s="288">
        <v>45585.0</v>
      </c>
      <c r="I92" s="288">
        <v>45596.0</v>
      </c>
      <c r="J92" s="288">
        <v>45596.0</v>
      </c>
      <c r="K92" s="294" t="s">
        <v>4841</v>
      </c>
      <c r="L92" s="294"/>
      <c r="M92" s="290" t="s">
        <v>9411</v>
      </c>
      <c r="N92" s="299" t="s">
        <v>497</v>
      </c>
      <c r="O92" s="322" t="s">
        <v>2554</v>
      </c>
      <c r="P92" s="300">
        <v>44795.8</v>
      </c>
      <c r="Q92" s="299">
        <f t="shared" si="1"/>
        <v>43</v>
      </c>
      <c r="R92" s="424" t="s">
        <v>9198</v>
      </c>
      <c r="S92" s="366" t="s">
        <v>9171</v>
      </c>
      <c r="T92" s="198"/>
      <c r="U92" s="198"/>
      <c r="V92" s="198"/>
      <c r="W92" s="198"/>
      <c r="X92" s="198"/>
      <c r="Y92" s="198"/>
      <c r="Z92" s="198"/>
    </row>
    <row r="93" ht="91.5" customHeight="1">
      <c r="A93" s="370">
        <v>39458.0</v>
      </c>
      <c r="B93" s="285" t="s">
        <v>21</v>
      </c>
      <c r="C93" s="285">
        <v>4356.0</v>
      </c>
      <c r="D93" s="285" t="s">
        <v>9412</v>
      </c>
      <c r="E93" s="287" t="s">
        <v>4644</v>
      </c>
      <c r="F93" s="288">
        <v>45589.0</v>
      </c>
      <c r="G93" s="288">
        <v>45585.0</v>
      </c>
      <c r="H93" s="288">
        <v>45585.0</v>
      </c>
      <c r="I93" s="288">
        <v>45596.0</v>
      </c>
      <c r="J93" s="288">
        <v>45596.0</v>
      </c>
      <c r="K93" s="294" t="s">
        <v>4841</v>
      </c>
      <c r="L93" s="294"/>
      <c r="M93" s="290" t="s">
        <v>9413</v>
      </c>
      <c r="N93" s="299" t="s">
        <v>497</v>
      </c>
      <c r="O93" s="322" t="s">
        <v>2554</v>
      </c>
      <c r="P93" s="300">
        <v>30056.4</v>
      </c>
      <c r="Q93" s="299">
        <f t="shared" si="1"/>
        <v>43</v>
      </c>
      <c r="R93" s="424" t="s">
        <v>9198</v>
      </c>
      <c r="S93" s="366" t="s">
        <v>9171</v>
      </c>
      <c r="T93" s="198"/>
      <c r="U93" s="198"/>
      <c r="V93" s="198"/>
      <c r="W93" s="198"/>
      <c r="X93" s="198"/>
      <c r="Y93" s="198"/>
      <c r="Z93" s="198"/>
    </row>
    <row r="94" ht="91.5" customHeight="1">
      <c r="A94" s="370">
        <v>39840.0</v>
      </c>
      <c r="B94" s="299" t="s">
        <v>715</v>
      </c>
      <c r="C94" s="285">
        <v>1131.0</v>
      </c>
      <c r="D94" s="285" t="s">
        <v>9414</v>
      </c>
      <c r="E94" s="287" t="s">
        <v>7415</v>
      </c>
      <c r="F94" s="288">
        <v>45589.0</v>
      </c>
      <c r="G94" s="288">
        <v>45585.0</v>
      </c>
      <c r="H94" s="288">
        <v>45585.0</v>
      </c>
      <c r="I94" s="288">
        <v>45596.0</v>
      </c>
      <c r="J94" s="288">
        <v>45596.0</v>
      </c>
      <c r="K94" s="294"/>
      <c r="L94" s="294"/>
      <c r="M94" s="290" t="s">
        <v>9415</v>
      </c>
      <c r="N94" s="285" t="s">
        <v>6366</v>
      </c>
      <c r="O94" s="322" t="s">
        <v>2628</v>
      </c>
      <c r="P94" s="300">
        <v>131515.0</v>
      </c>
      <c r="Q94" s="299">
        <f t="shared" si="1"/>
        <v>43</v>
      </c>
      <c r="R94" s="424"/>
      <c r="S94" s="366" t="s">
        <v>9166</v>
      </c>
      <c r="T94" s="198"/>
      <c r="U94" s="198"/>
      <c r="V94" s="198"/>
      <c r="W94" s="198"/>
      <c r="X94" s="198"/>
      <c r="Y94" s="198"/>
      <c r="Z94" s="198"/>
    </row>
    <row r="95" ht="91.5" customHeight="1">
      <c r="A95" s="370">
        <v>39690.0</v>
      </c>
      <c r="B95" s="285" t="s">
        <v>21</v>
      </c>
      <c r="C95" s="285">
        <v>4500.0</v>
      </c>
      <c r="D95" s="285" t="s">
        <v>9416</v>
      </c>
      <c r="E95" s="287" t="s">
        <v>4690</v>
      </c>
      <c r="F95" s="288">
        <v>45588.0</v>
      </c>
      <c r="G95" s="288">
        <v>45586.0</v>
      </c>
      <c r="H95" s="288">
        <v>45586.0</v>
      </c>
      <c r="I95" s="288">
        <v>45595.0</v>
      </c>
      <c r="J95" s="288">
        <v>45595.0</v>
      </c>
      <c r="K95" s="294" t="s">
        <v>4841</v>
      </c>
      <c r="L95" s="294"/>
      <c r="M95" s="290" t="s">
        <v>9417</v>
      </c>
      <c r="N95" s="299" t="s">
        <v>497</v>
      </c>
      <c r="O95" s="322" t="s">
        <v>2554</v>
      </c>
      <c r="P95" s="300">
        <v>32625.0</v>
      </c>
      <c r="Q95" s="299">
        <f t="shared" si="1"/>
        <v>43</v>
      </c>
      <c r="R95" s="424" t="s">
        <v>9170</v>
      </c>
      <c r="S95" s="366" t="s">
        <v>9171</v>
      </c>
      <c r="T95" s="198"/>
      <c r="U95" s="198"/>
      <c r="V95" s="198"/>
      <c r="W95" s="198"/>
      <c r="X95" s="198"/>
      <c r="Y95" s="198"/>
      <c r="Z95" s="198"/>
    </row>
    <row r="96" ht="91.5" customHeight="1">
      <c r="A96" s="370">
        <v>39691.0</v>
      </c>
      <c r="B96" s="285" t="s">
        <v>21</v>
      </c>
      <c r="C96" s="285">
        <v>4500.0</v>
      </c>
      <c r="D96" s="285" t="s">
        <v>9418</v>
      </c>
      <c r="E96" s="287" t="s">
        <v>7438</v>
      </c>
      <c r="F96" s="288">
        <v>45588.0</v>
      </c>
      <c r="G96" s="288">
        <v>45586.0</v>
      </c>
      <c r="H96" s="288">
        <v>45586.0</v>
      </c>
      <c r="I96" s="288">
        <v>45594.0</v>
      </c>
      <c r="J96" s="288">
        <v>45594.0</v>
      </c>
      <c r="K96" s="285" t="s">
        <v>5270</v>
      </c>
      <c r="L96" s="285" t="s">
        <v>9178</v>
      </c>
      <c r="M96" s="290" t="s">
        <v>9419</v>
      </c>
      <c r="N96" s="299" t="s">
        <v>497</v>
      </c>
      <c r="O96" s="322" t="s">
        <v>2554</v>
      </c>
      <c r="P96" s="300">
        <v>33187.5</v>
      </c>
      <c r="Q96" s="299">
        <f t="shared" si="1"/>
        <v>43</v>
      </c>
      <c r="R96" s="424" t="s">
        <v>9170</v>
      </c>
      <c r="S96" s="366" t="s">
        <v>9171</v>
      </c>
      <c r="T96" s="198"/>
      <c r="U96" s="198"/>
      <c r="V96" s="198"/>
      <c r="W96" s="198"/>
      <c r="X96" s="198"/>
      <c r="Y96" s="198"/>
      <c r="Z96" s="198"/>
    </row>
    <row r="97" ht="91.5" customHeight="1">
      <c r="A97" s="370">
        <v>39688.0</v>
      </c>
      <c r="B97" s="285" t="s">
        <v>21</v>
      </c>
      <c r="C97" s="285">
        <v>2400.0</v>
      </c>
      <c r="D97" s="285" t="s">
        <v>9420</v>
      </c>
      <c r="E97" s="287" t="s">
        <v>4796</v>
      </c>
      <c r="F97" s="288">
        <v>45588.0</v>
      </c>
      <c r="G97" s="288">
        <v>45586.0</v>
      </c>
      <c r="H97" s="288">
        <v>45586.0</v>
      </c>
      <c r="I97" s="288">
        <v>45594.0</v>
      </c>
      <c r="J97" s="288">
        <v>45594.0</v>
      </c>
      <c r="K97" s="294" t="s">
        <v>4841</v>
      </c>
      <c r="L97" s="294"/>
      <c r="M97" s="290" t="s">
        <v>9421</v>
      </c>
      <c r="N97" s="299" t="s">
        <v>497</v>
      </c>
      <c r="O97" s="322" t="s">
        <v>2554</v>
      </c>
      <c r="P97" s="300">
        <v>41592.0</v>
      </c>
      <c r="Q97" s="299">
        <f t="shared" si="1"/>
        <v>43</v>
      </c>
      <c r="R97" s="424" t="s">
        <v>9170</v>
      </c>
      <c r="S97" s="366" t="s">
        <v>9171</v>
      </c>
      <c r="T97" s="198"/>
      <c r="U97" s="198"/>
      <c r="V97" s="198"/>
      <c r="W97" s="198"/>
      <c r="X97" s="198"/>
      <c r="Y97" s="198"/>
      <c r="Z97" s="198"/>
    </row>
    <row r="98" ht="91.5" customHeight="1">
      <c r="A98" s="370">
        <v>39463.0</v>
      </c>
      <c r="B98" s="285" t="s">
        <v>21</v>
      </c>
      <c r="C98" s="285">
        <v>4356.0</v>
      </c>
      <c r="D98" s="285" t="s">
        <v>9422</v>
      </c>
      <c r="E98" s="287" t="s">
        <v>7690</v>
      </c>
      <c r="F98" s="288">
        <v>45588.0</v>
      </c>
      <c r="G98" s="288">
        <v>45585.0</v>
      </c>
      <c r="H98" s="288">
        <v>45585.0</v>
      </c>
      <c r="I98" s="288">
        <v>45593.0</v>
      </c>
      <c r="J98" s="288">
        <v>45593.0</v>
      </c>
      <c r="K98" s="294" t="s">
        <v>4841</v>
      </c>
      <c r="L98" s="294"/>
      <c r="M98" s="290" t="s">
        <v>9423</v>
      </c>
      <c r="N98" s="299" t="s">
        <v>497</v>
      </c>
      <c r="O98" s="322" t="s">
        <v>2554</v>
      </c>
      <c r="P98" s="300">
        <v>35980.56</v>
      </c>
      <c r="Q98" s="299">
        <f t="shared" si="1"/>
        <v>43</v>
      </c>
      <c r="R98" s="424" t="s">
        <v>9198</v>
      </c>
      <c r="S98" s="366" t="s">
        <v>9171</v>
      </c>
      <c r="T98" s="198"/>
      <c r="U98" s="198"/>
      <c r="V98" s="198"/>
      <c r="W98" s="198"/>
      <c r="X98" s="198"/>
      <c r="Y98" s="198"/>
      <c r="Z98" s="198"/>
    </row>
    <row r="99" ht="91.5" customHeight="1">
      <c r="A99" s="370">
        <v>39525.0</v>
      </c>
      <c r="B99" s="299" t="s">
        <v>715</v>
      </c>
      <c r="C99" s="285">
        <v>2400.0</v>
      </c>
      <c r="D99" s="285" t="s">
        <v>9424</v>
      </c>
      <c r="E99" s="287" t="s">
        <v>4796</v>
      </c>
      <c r="F99" s="288">
        <v>45587.0</v>
      </c>
      <c r="G99" s="288">
        <v>45583.0</v>
      </c>
      <c r="H99" s="288">
        <v>45583.0</v>
      </c>
      <c r="I99" s="288">
        <v>45593.0</v>
      </c>
      <c r="J99" s="288">
        <v>45593.0</v>
      </c>
      <c r="K99" s="294"/>
      <c r="L99" s="294"/>
      <c r="M99" s="290" t="s">
        <v>9425</v>
      </c>
      <c r="N99" s="299" t="s">
        <v>497</v>
      </c>
      <c r="O99" s="322" t="s">
        <v>2554</v>
      </c>
      <c r="P99" s="300">
        <v>41592.0</v>
      </c>
      <c r="Q99" s="299">
        <f t="shared" si="1"/>
        <v>43</v>
      </c>
      <c r="R99" s="424" t="s">
        <v>9170</v>
      </c>
      <c r="S99" s="366" t="s">
        <v>9171</v>
      </c>
      <c r="T99" s="198"/>
      <c r="U99" s="198"/>
      <c r="V99" s="198"/>
      <c r="W99" s="198"/>
      <c r="X99" s="198"/>
      <c r="Y99" s="198"/>
      <c r="Z99" s="198"/>
    </row>
    <row r="100" ht="91.5" customHeight="1">
      <c r="A100" s="370">
        <v>39514.0</v>
      </c>
      <c r="B100" s="299" t="s">
        <v>715</v>
      </c>
      <c r="C100" s="285">
        <v>2413.0</v>
      </c>
      <c r="D100" s="285" t="s">
        <v>9426</v>
      </c>
      <c r="E100" s="287" t="s">
        <v>7476</v>
      </c>
      <c r="F100" s="288">
        <v>45587.0</v>
      </c>
      <c r="G100" s="288">
        <v>45581.0</v>
      </c>
      <c r="H100" s="288">
        <v>45581.0</v>
      </c>
      <c r="I100" s="288">
        <v>45590.0</v>
      </c>
      <c r="J100" s="288">
        <v>45590.0</v>
      </c>
      <c r="K100" s="294"/>
      <c r="L100" s="294"/>
      <c r="M100" s="290" t="s">
        <v>9427</v>
      </c>
      <c r="N100" s="299" t="s">
        <v>497</v>
      </c>
      <c r="O100" s="322" t="s">
        <v>2554</v>
      </c>
      <c r="P100" s="300">
        <v>42468.8</v>
      </c>
      <c r="Q100" s="299">
        <f t="shared" si="1"/>
        <v>43</v>
      </c>
      <c r="R100" s="424" t="s">
        <v>9198</v>
      </c>
      <c r="S100" s="366" t="s">
        <v>9171</v>
      </c>
      <c r="T100" s="198"/>
      <c r="U100" s="198"/>
      <c r="V100" s="198"/>
      <c r="W100" s="198"/>
      <c r="X100" s="198"/>
      <c r="Y100" s="198"/>
      <c r="Z100" s="198"/>
    </row>
    <row r="101" ht="91.5" customHeight="1">
      <c r="A101" s="370">
        <v>39121.0</v>
      </c>
      <c r="B101" s="299" t="s">
        <v>715</v>
      </c>
      <c r="C101" s="285">
        <v>1306.0</v>
      </c>
      <c r="D101" s="285" t="s">
        <v>9428</v>
      </c>
      <c r="E101" s="287" t="s">
        <v>9429</v>
      </c>
      <c r="F101" s="288">
        <v>45587.0</v>
      </c>
      <c r="G101" s="288">
        <v>45582.0</v>
      </c>
      <c r="H101" s="288">
        <v>45582.0</v>
      </c>
      <c r="I101" s="288">
        <v>45594.0</v>
      </c>
      <c r="J101" s="288">
        <v>45594.0</v>
      </c>
      <c r="K101" s="294"/>
      <c r="L101" s="294"/>
      <c r="M101" s="290" t="s">
        <v>9430</v>
      </c>
      <c r="N101" s="299" t="s">
        <v>497</v>
      </c>
      <c r="O101" s="322" t="s">
        <v>2554</v>
      </c>
      <c r="P101" s="300">
        <v>44795.8</v>
      </c>
      <c r="Q101" s="299">
        <f t="shared" si="1"/>
        <v>43</v>
      </c>
      <c r="R101" s="424" t="s">
        <v>9198</v>
      </c>
      <c r="S101" s="366" t="s">
        <v>9171</v>
      </c>
      <c r="T101" s="198"/>
      <c r="U101" s="198"/>
      <c r="V101" s="198"/>
      <c r="W101" s="198"/>
      <c r="X101" s="198"/>
      <c r="Y101" s="198"/>
      <c r="Z101" s="198"/>
    </row>
    <row r="102" ht="91.5" customHeight="1">
      <c r="A102" s="370">
        <v>39516.0</v>
      </c>
      <c r="B102" s="299" t="s">
        <v>25</v>
      </c>
      <c r="C102" s="285">
        <v>2413.0</v>
      </c>
      <c r="D102" s="285" t="s">
        <v>9431</v>
      </c>
      <c r="E102" s="287" t="s">
        <v>7476</v>
      </c>
      <c r="F102" s="288">
        <v>45586.0</v>
      </c>
      <c r="G102" s="288">
        <v>45581.0</v>
      </c>
      <c r="H102" s="288">
        <v>45581.0</v>
      </c>
      <c r="I102" s="288">
        <v>45593.0</v>
      </c>
      <c r="J102" s="288">
        <v>45593.0</v>
      </c>
      <c r="K102" s="294"/>
      <c r="L102" s="294"/>
      <c r="M102" s="290" t="s">
        <v>9432</v>
      </c>
      <c r="N102" s="299" t="s">
        <v>497</v>
      </c>
      <c r="O102" s="322" t="s">
        <v>2554</v>
      </c>
      <c r="P102" s="300">
        <v>42468.8</v>
      </c>
      <c r="Q102" s="299">
        <f t="shared" si="1"/>
        <v>43</v>
      </c>
      <c r="R102" s="424" t="s">
        <v>9198</v>
      </c>
      <c r="S102" s="366" t="s">
        <v>9171</v>
      </c>
      <c r="T102" s="198"/>
      <c r="U102" s="198"/>
      <c r="V102" s="198"/>
      <c r="W102" s="198"/>
      <c r="X102" s="198"/>
      <c r="Y102" s="198"/>
      <c r="Z102" s="198"/>
    </row>
    <row r="103" ht="91.5" customHeight="1">
      <c r="A103" s="370">
        <v>39486.0</v>
      </c>
      <c r="B103" s="299" t="s">
        <v>715</v>
      </c>
      <c r="C103" s="285">
        <v>1820.0</v>
      </c>
      <c r="D103" s="285" t="s">
        <v>9433</v>
      </c>
      <c r="E103" s="287" t="s">
        <v>9434</v>
      </c>
      <c r="F103" s="288">
        <v>45586.0</v>
      </c>
      <c r="G103" s="288">
        <v>45569.0</v>
      </c>
      <c r="H103" s="288">
        <v>45569.0</v>
      </c>
      <c r="I103" s="288">
        <v>45593.0</v>
      </c>
      <c r="J103" s="288">
        <v>45593.0</v>
      </c>
      <c r="K103" s="294"/>
      <c r="L103" s="294"/>
      <c r="M103" s="290" t="s">
        <v>9435</v>
      </c>
      <c r="N103" s="299" t="s">
        <v>497</v>
      </c>
      <c r="O103" s="322" t="s">
        <v>2554</v>
      </c>
      <c r="P103" s="300">
        <v>41693.5</v>
      </c>
      <c r="Q103" s="299">
        <f t="shared" si="1"/>
        <v>43</v>
      </c>
      <c r="R103" s="424" t="s">
        <v>9170</v>
      </c>
      <c r="S103" s="366" t="s">
        <v>9171</v>
      </c>
      <c r="T103" s="198"/>
      <c r="U103" s="198"/>
      <c r="V103" s="198"/>
      <c r="W103" s="198"/>
      <c r="X103" s="198"/>
      <c r="Y103" s="198"/>
      <c r="Z103" s="198"/>
    </row>
    <row r="104" ht="91.5" customHeight="1">
      <c r="A104" s="370">
        <v>39693.0</v>
      </c>
      <c r="B104" s="299" t="s">
        <v>25</v>
      </c>
      <c r="C104" s="285">
        <v>1745.0</v>
      </c>
      <c r="D104" s="285" t="s">
        <v>9436</v>
      </c>
      <c r="E104" s="287" t="s">
        <v>9309</v>
      </c>
      <c r="F104" s="288">
        <v>45585.0</v>
      </c>
      <c r="G104" s="288">
        <v>45580.0</v>
      </c>
      <c r="H104" s="288">
        <v>45580.0</v>
      </c>
      <c r="I104" s="288">
        <v>45588.0</v>
      </c>
      <c r="J104" s="288">
        <v>45222.0</v>
      </c>
      <c r="K104" s="294"/>
      <c r="L104" s="294"/>
      <c r="M104" s="290" t="s">
        <v>9437</v>
      </c>
      <c r="N104" s="299" t="s">
        <v>497</v>
      </c>
      <c r="O104" s="322" t="s">
        <v>2554</v>
      </c>
      <c r="P104" s="300">
        <v>40860.55</v>
      </c>
      <c r="Q104" s="299">
        <f t="shared" si="1"/>
        <v>43</v>
      </c>
      <c r="R104" s="424" t="s">
        <v>9170</v>
      </c>
      <c r="S104" s="366" t="s">
        <v>9171</v>
      </c>
      <c r="T104" s="198"/>
      <c r="U104" s="198"/>
      <c r="V104" s="198"/>
      <c r="W104" s="198"/>
      <c r="X104" s="198"/>
      <c r="Y104" s="198"/>
      <c r="Z104" s="198"/>
    </row>
    <row r="105" ht="91.5" customHeight="1">
      <c r="A105" s="370">
        <v>39206.0</v>
      </c>
      <c r="B105" s="299" t="s">
        <v>715</v>
      </c>
      <c r="C105" s="285">
        <v>1306.0</v>
      </c>
      <c r="D105" s="285" t="s">
        <v>9438</v>
      </c>
      <c r="E105" s="287" t="s">
        <v>9439</v>
      </c>
      <c r="F105" s="288">
        <v>45583.0</v>
      </c>
      <c r="G105" s="288">
        <v>45578.0</v>
      </c>
      <c r="H105" s="288">
        <v>45578.0</v>
      </c>
      <c r="I105" s="288">
        <v>45588.0</v>
      </c>
      <c r="J105" s="288">
        <v>45222.0</v>
      </c>
      <c r="K105" s="294"/>
      <c r="L105" s="294"/>
      <c r="M105" s="290" t="s">
        <v>9440</v>
      </c>
      <c r="N105" s="299" t="s">
        <v>497</v>
      </c>
      <c r="O105" s="322" t="s">
        <v>2554</v>
      </c>
      <c r="P105" s="300">
        <v>45417.1</v>
      </c>
      <c r="Q105" s="299">
        <f t="shared" si="1"/>
        <v>42</v>
      </c>
      <c r="R105" s="424" t="s">
        <v>9198</v>
      </c>
      <c r="S105" s="366" t="s">
        <v>9171</v>
      </c>
      <c r="T105" s="198"/>
      <c r="U105" s="198"/>
      <c r="V105" s="198"/>
      <c r="W105" s="198"/>
      <c r="X105" s="198"/>
      <c r="Y105" s="198"/>
      <c r="Z105" s="198"/>
    </row>
    <row r="106" ht="91.5" customHeight="1">
      <c r="A106" s="370">
        <v>39647.0</v>
      </c>
      <c r="B106" s="299" t="s">
        <v>715</v>
      </c>
      <c r="C106" s="285">
        <v>1990.0</v>
      </c>
      <c r="D106" s="285" t="s">
        <v>9441</v>
      </c>
      <c r="E106" s="287" t="s">
        <v>3812</v>
      </c>
      <c r="F106" s="288">
        <v>45582.0</v>
      </c>
      <c r="G106" s="288">
        <v>45578.0</v>
      </c>
      <c r="H106" s="288">
        <v>45578.0</v>
      </c>
      <c r="I106" s="288">
        <v>45588.0</v>
      </c>
      <c r="J106" s="288">
        <v>45588.0</v>
      </c>
      <c r="K106" s="294"/>
      <c r="L106" s="294"/>
      <c r="M106" s="290" t="s">
        <v>9442</v>
      </c>
      <c r="N106" s="299" t="s">
        <v>6366</v>
      </c>
      <c r="O106" s="322" t="s">
        <v>4662</v>
      </c>
      <c r="P106" s="300">
        <v>135982.0</v>
      </c>
      <c r="Q106" s="299">
        <f t="shared" si="1"/>
        <v>42</v>
      </c>
      <c r="R106" s="424"/>
      <c r="S106" s="366" t="s">
        <v>9166</v>
      </c>
      <c r="T106" s="198"/>
      <c r="U106" s="198"/>
      <c r="V106" s="198"/>
      <c r="W106" s="198"/>
      <c r="X106" s="198"/>
      <c r="Y106" s="198"/>
      <c r="Z106" s="198"/>
    </row>
    <row r="107" ht="91.5" customHeight="1">
      <c r="A107" s="370">
        <v>39529.0</v>
      </c>
      <c r="B107" s="285" t="s">
        <v>21</v>
      </c>
      <c r="C107" s="285">
        <v>4500.0</v>
      </c>
      <c r="D107" s="285" t="s">
        <v>9443</v>
      </c>
      <c r="E107" s="287" t="s">
        <v>7438</v>
      </c>
      <c r="F107" s="288">
        <v>45579.0</v>
      </c>
      <c r="G107" s="288">
        <v>45574.0</v>
      </c>
      <c r="H107" s="288">
        <v>45574.0</v>
      </c>
      <c r="I107" s="288">
        <v>45583.0</v>
      </c>
      <c r="J107" s="288">
        <v>45583.0</v>
      </c>
      <c r="K107" s="294" t="s">
        <v>4841</v>
      </c>
      <c r="L107" s="294"/>
      <c r="M107" s="290" t="s">
        <v>9444</v>
      </c>
      <c r="N107" s="299" t="s">
        <v>497</v>
      </c>
      <c r="O107" s="322" t="s">
        <v>2554</v>
      </c>
      <c r="P107" s="300">
        <v>33300.0</v>
      </c>
      <c r="Q107" s="299">
        <f t="shared" si="1"/>
        <v>42</v>
      </c>
      <c r="R107" s="424" t="s">
        <v>9170</v>
      </c>
      <c r="S107" s="366" t="s">
        <v>9171</v>
      </c>
      <c r="T107" s="198"/>
      <c r="U107" s="198"/>
      <c r="V107" s="198"/>
      <c r="W107" s="198"/>
      <c r="X107" s="198"/>
      <c r="Y107" s="198"/>
      <c r="Z107" s="198"/>
    </row>
    <row r="108" ht="91.5" customHeight="1">
      <c r="A108" s="370">
        <v>39462.0</v>
      </c>
      <c r="B108" s="285" t="s">
        <v>21</v>
      </c>
      <c r="C108" s="285">
        <v>4356.0</v>
      </c>
      <c r="D108" s="285" t="s">
        <v>9445</v>
      </c>
      <c r="E108" s="287" t="s">
        <v>4644</v>
      </c>
      <c r="F108" s="288">
        <v>45579.0</v>
      </c>
      <c r="G108" s="288">
        <v>45574.0</v>
      </c>
      <c r="H108" s="288">
        <v>45574.0</v>
      </c>
      <c r="I108" s="288">
        <v>45582.0</v>
      </c>
      <c r="J108" s="288">
        <v>45582.0</v>
      </c>
      <c r="K108" s="294" t="s">
        <v>4841</v>
      </c>
      <c r="L108" s="294"/>
      <c r="M108" s="290" t="s">
        <v>9446</v>
      </c>
      <c r="N108" s="299" t="s">
        <v>497</v>
      </c>
      <c r="O108" s="322" t="s">
        <v>2554</v>
      </c>
      <c r="P108" s="300">
        <v>30056.4</v>
      </c>
      <c r="Q108" s="299">
        <f t="shared" si="1"/>
        <v>42</v>
      </c>
      <c r="R108" s="424" t="s">
        <v>9198</v>
      </c>
      <c r="S108" s="366" t="s">
        <v>9171</v>
      </c>
      <c r="T108" s="198"/>
      <c r="U108" s="198"/>
      <c r="V108" s="198"/>
      <c r="W108" s="198"/>
      <c r="X108" s="198"/>
      <c r="Y108" s="198"/>
      <c r="Z108" s="198"/>
    </row>
    <row r="109" ht="91.5" customHeight="1">
      <c r="A109" s="370">
        <v>39531.0</v>
      </c>
      <c r="B109" s="285" t="s">
        <v>21</v>
      </c>
      <c r="C109" s="285">
        <v>4500.0</v>
      </c>
      <c r="D109" s="285" t="s">
        <v>9447</v>
      </c>
      <c r="E109" s="287" t="s">
        <v>4690</v>
      </c>
      <c r="F109" s="288">
        <v>45579.0</v>
      </c>
      <c r="G109" s="288">
        <v>45574.0</v>
      </c>
      <c r="H109" s="288">
        <v>45574.0</v>
      </c>
      <c r="I109" s="288">
        <v>45586.0</v>
      </c>
      <c r="J109" s="288">
        <v>45586.0</v>
      </c>
      <c r="K109" s="294" t="s">
        <v>4841</v>
      </c>
      <c r="L109" s="294"/>
      <c r="M109" s="290" t="s">
        <v>9448</v>
      </c>
      <c r="N109" s="299" t="s">
        <v>497</v>
      </c>
      <c r="O109" s="322" t="s">
        <v>2554</v>
      </c>
      <c r="P109" s="300">
        <v>32625.0</v>
      </c>
      <c r="Q109" s="299">
        <f t="shared" si="1"/>
        <v>42</v>
      </c>
      <c r="R109" s="424" t="s">
        <v>9170</v>
      </c>
      <c r="S109" s="366" t="s">
        <v>9171</v>
      </c>
      <c r="T109" s="198"/>
      <c r="U109" s="198"/>
      <c r="V109" s="198"/>
      <c r="W109" s="198"/>
      <c r="X109" s="198"/>
      <c r="Y109" s="198"/>
      <c r="Z109" s="198"/>
    </row>
    <row r="110" ht="91.5" customHeight="1">
      <c r="A110" s="370">
        <v>39527.0</v>
      </c>
      <c r="B110" s="285" t="s">
        <v>21</v>
      </c>
      <c r="C110" s="285">
        <v>4500.0</v>
      </c>
      <c r="D110" s="285" t="s">
        <v>9449</v>
      </c>
      <c r="E110" s="287" t="s">
        <v>7438</v>
      </c>
      <c r="F110" s="288">
        <v>45579.0</v>
      </c>
      <c r="G110" s="288">
        <v>45574.0</v>
      </c>
      <c r="H110" s="288">
        <v>45574.0</v>
      </c>
      <c r="I110" s="288">
        <v>45586.0</v>
      </c>
      <c r="J110" s="288">
        <v>45586.0</v>
      </c>
      <c r="K110" s="294" t="s">
        <v>4841</v>
      </c>
      <c r="L110" s="294"/>
      <c r="M110" s="290" t="s">
        <v>9450</v>
      </c>
      <c r="N110" s="299" t="s">
        <v>497</v>
      </c>
      <c r="O110" s="322" t="s">
        <v>2554</v>
      </c>
      <c r="P110" s="300">
        <v>33187.5</v>
      </c>
      <c r="Q110" s="299">
        <f t="shared" si="1"/>
        <v>42</v>
      </c>
      <c r="R110" s="424" t="s">
        <v>9170</v>
      </c>
      <c r="S110" s="366" t="s">
        <v>9171</v>
      </c>
      <c r="T110" s="198"/>
      <c r="U110" s="198"/>
      <c r="V110" s="198"/>
      <c r="W110" s="198"/>
      <c r="X110" s="198"/>
      <c r="Y110" s="198"/>
      <c r="Z110" s="198"/>
    </row>
    <row r="111" ht="91.5" customHeight="1">
      <c r="A111" s="370">
        <v>39064.0</v>
      </c>
      <c r="B111" s="285" t="s">
        <v>21</v>
      </c>
      <c r="C111" s="285">
        <v>1510.0</v>
      </c>
      <c r="D111" s="285" t="s">
        <v>9451</v>
      </c>
      <c r="E111" s="287" t="s">
        <v>2751</v>
      </c>
      <c r="F111" s="288">
        <v>45579.0</v>
      </c>
      <c r="G111" s="288">
        <v>45574.0</v>
      </c>
      <c r="H111" s="288">
        <v>45574.0</v>
      </c>
      <c r="I111" s="288">
        <v>45583.0</v>
      </c>
      <c r="J111" s="288">
        <v>45583.0</v>
      </c>
      <c r="K111" s="536" t="s">
        <v>4916</v>
      </c>
      <c r="L111" s="451"/>
      <c r="M111" s="290" t="s">
        <v>9452</v>
      </c>
      <c r="N111" s="299" t="s">
        <v>6366</v>
      </c>
      <c r="O111" s="322" t="s">
        <v>2621</v>
      </c>
      <c r="P111" s="300">
        <v>42425.6</v>
      </c>
      <c r="Q111" s="299">
        <f t="shared" si="1"/>
        <v>42</v>
      </c>
      <c r="R111" s="424"/>
      <c r="S111" s="366" t="s">
        <v>9166</v>
      </c>
      <c r="T111" s="198"/>
      <c r="U111" s="198"/>
      <c r="V111" s="198"/>
      <c r="W111" s="198"/>
      <c r="X111" s="198"/>
      <c r="Y111" s="198"/>
      <c r="Z111" s="198"/>
    </row>
    <row r="112" ht="91.5" customHeight="1">
      <c r="A112" s="370">
        <v>38926.0</v>
      </c>
      <c r="B112" s="299" t="s">
        <v>25</v>
      </c>
      <c r="C112" s="285" t="s">
        <v>9453</v>
      </c>
      <c r="D112" s="285" t="s">
        <v>9454</v>
      </c>
      <c r="E112" s="287" t="s">
        <v>6395</v>
      </c>
      <c r="F112" s="288">
        <v>45578.0</v>
      </c>
      <c r="G112" s="288">
        <v>45575.0</v>
      </c>
      <c r="H112" s="288">
        <v>45575.0</v>
      </c>
      <c r="I112" s="288">
        <v>45583.0</v>
      </c>
      <c r="J112" s="288">
        <v>45583.0</v>
      </c>
      <c r="K112" s="289" t="s">
        <v>9455</v>
      </c>
      <c r="L112" s="289" t="s">
        <v>9456</v>
      </c>
      <c r="M112" s="290" t="s">
        <v>9457</v>
      </c>
      <c r="N112" s="299" t="s">
        <v>4635</v>
      </c>
      <c r="O112" s="299" t="s">
        <v>4912</v>
      </c>
      <c r="P112" s="300">
        <v>88965.0</v>
      </c>
      <c r="Q112" s="299">
        <f t="shared" si="1"/>
        <v>42</v>
      </c>
      <c r="R112" s="424"/>
      <c r="S112" s="366" t="s">
        <v>9166</v>
      </c>
      <c r="T112" s="198"/>
      <c r="U112" s="198"/>
      <c r="V112" s="198"/>
      <c r="W112" s="198"/>
      <c r="X112" s="198"/>
      <c r="Y112" s="198"/>
      <c r="Z112" s="198"/>
    </row>
    <row r="113" ht="91.5" customHeight="1">
      <c r="A113" s="370">
        <v>39906.0</v>
      </c>
      <c r="B113" s="299" t="s">
        <v>715</v>
      </c>
      <c r="C113" s="285">
        <v>4960.0</v>
      </c>
      <c r="D113" s="285" t="s">
        <v>9458</v>
      </c>
      <c r="E113" s="287" t="s">
        <v>9459</v>
      </c>
      <c r="F113" s="288">
        <v>45577.0</v>
      </c>
      <c r="G113" s="288">
        <v>45571.0</v>
      </c>
      <c r="H113" s="288">
        <v>45571.0</v>
      </c>
      <c r="I113" s="288">
        <v>45583.0</v>
      </c>
      <c r="J113" s="288">
        <v>45583.0</v>
      </c>
      <c r="K113" s="294"/>
      <c r="L113" s="294"/>
      <c r="M113" s="290" t="s">
        <v>9460</v>
      </c>
      <c r="N113" s="299" t="s">
        <v>4635</v>
      </c>
      <c r="O113" s="322" t="s">
        <v>2621</v>
      </c>
      <c r="P113" s="300">
        <v>42300.22</v>
      </c>
      <c r="Q113" s="299">
        <f t="shared" si="1"/>
        <v>41</v>
      </c>
      <c r="R113" s="424"/>
      <c r="S113" s="366" t="s">
        <v>9166</v>
      </c>
      <c r="T113" s="198"/>
      <c r="U113" s="198"/>
      <c r="V113" s="198"/>
      <c r="W113" s="198"/>
      <c r="X113" s="198"/>
      <c r="Y113" s="198"/>
      <c r="Z113" s="198"/>
    </row>
    <row r="114" ht="91.5" customHeight="1">
      <c r="A114" s="370">
        <v>39317.0</v>
      </c>
      <c r="B114" s="299" t="s">
        <v>715</v>
      </c>
      <c r="C114" s="285">
        <v>4865.0</v>
      </c>
      <c r="D114" s="285" t="s">
        <v>9461</v>
      </c>
      <c r="E114" s="287" t="s">
        <v>9462</v>
      </c>
      <c r="F114" s="288">
        <v>45577.0</v>
      </c>
      <c r="G114" s="288">
        <v>45571.0</v>
      </c>
      <c r="H114" s="288">
        <v>45571.0</v>
      </c>
      <c r="I114" s="288">
        <v>45582.0</v>
      </c>
      <c r="J114" s="288">
        <v>45582.0</v>
      </c>
      <c r="K114" s="294"/>
      <c r="L114" s="294"/>
      <c r="M114" s="290" t="s">
        <v>9463</v>
      </c>
      <c r="N114" s="299" t="s">
        <v>4635</v>
      </c>
      <c r="O114" s="299" t="s">
        <v>2621</v>
      </c>
      <c r="P114" s="300">
        <v>47505.16</v>
      </c>
      <c r="Q114" s="299">
        <f t="shared" si="1"/>
        <v>41</v>
      </c>
      <c r="R114" s="424"/>
      <c r="S114" s="366" t="s">
        <v>9166</v>
      </c>
      <c r="T114" s="198"/>
      <c r="U114" s="198"/>
      <c r="V114" s="198"/>
      <c r="W114" s="198"/>
      <c r="X114" s="198"/>
      <c r="Y114" s="198"/>
      <c r="Z114" s="198"/>
    </row>
    <row r="115" ht="91.5" customHeight="1">
      <c r="A115" s="370">
        <v>39683.0</v>
      </c>
      <c r="B115" s="299" t="s">
        <v>715</v>
      </c>
      <c r="C115" s="285">
        <v>2060.0</v>
      </c>
      <c r="D115" s="285" t="s">
        <v>9464</v>
      </c>
      <c r="E115" s="287" t="s">
        <v>3740</v>
      </c>
      <c r="F115" s="288">
        <v>45577.0</v>
      </c>
      <c r="G115" s="288">
        <v>45574.0</v>
      </c>
      <c r="H115" s="288">
        <v>45574.0</v>
      </c>
      <c r="I115" s="288">
        <v>45581.0</v>
      </c>
      <c r="J115" s="288">
        <v>45581.0</v>
      </c>
      <c r="K115" s="294"/>
      <c r="L115" s="294"/>
      <c r="M115" s="290" t="s">
        <v>9465</v>
      </c>
      <c r="N115" s="299" t="s">
        <v>4745</v>
      </c>
      <c r="O115" s="322" t="s">
        <v>4711</v>
      </c>
      <c r="P115" s="300">
        <v>44078.39</v>
      </c>
      <c r="Q115" s="299">
        <f t="shared" si="1"/>
        <v>41</v>
      </c>
      <c r="R115" s="424"/>
      <c r="S115" s="366" t="s">
        <v>9166</v>
      </c>
      <c r="T115" s="198"/>
      <c r="U115" s="198"/>
      <c r="V115" s="198"/>
      <c r="W115" s="198"/>
      <c r="X115" s="198"/>
      <c r="Y115" s="198"/>
      <c r="Z115" s="198"/>
    </row>
    <row r="116" ht="91.5" customHeight="1">
      <c r="A116" s="370">
        <v>39343.0</v>
      </c>
      <c r="B116" s="299" t="s">
        <v>25</v>
      </c>
      <c r="C116" s="285">
        <v>460.0</v>
      </c>
      <c r="D116" s="285" t="s">
        <v>9466</v>
      </c>
      <c r="E116" s="287" t="s">
        <v>4641</v>
      </c>
      <c r="F116" s="288">
        <v>45576.0</v>
      </c>
      <c r="G116" s="288">
        <v>45578.0</v>
      </c>
      <c r="H116" s="288">
        <v>45578.0</v>
      </c>
      <c r="I116" s="288">
        <v>45582.0</v>
      </c>
      <c r="J116" s="288">
        <v>45582.0</v>
      </c>
      <c r="K116" s="294"/>
      <c r="L116" s="294"/>
      <c r="M116" s="290" t="s">
        <v>9467</v>
      </c>
      <c r="N116" s="299" t="s">
        <v>497</v>
      </c>
      <c r="O116" s="322" t="s">
        <v>2621</v>
      </c>
      <c r="P116" s="300">
        <v>35208.0</v>
      </c>
      <c r="Q116" s="299">
        <f t="shared" si="1"/>
        <v>41</v>
      </c>
      <c r="R116" s="424"/>
      <c r="S116" s="366" t="s">
        <v>9166</v>
      </c>
      <c r="T116" s="198"/>
      <c r="U116" s="198"/>
      <c r="V116" s="198"/>
      <c r="W116" s="198"/>
      <c r="X116" s="198"/>
      <c r="Y116" s="198"/>
      <c r="Z116" s="198"/>
    </row>
    <row r="117" ht="91.5" customHeight="1">
      <c r="A117" s="370">
        <v>39789.0</v>
      </c>
      <c r="B117" s="299" t="s">
        <v>25</v>
      </c>
      <c r="C117" s="285">
        <v>940.0</v>
      </c>
      <c r="D117" s="285" t="s">
        <v>9468</v>
      </c>
      <c r="E117" s="287" t="s">
        <v>9408</v>
      </c>
      <c r="F117" s="288">
        <v>45575.0</v>
      </c>
      <c r="G117" s="288">
        <v>45572.0</v>
      </c>
      <c r="H117" s="288">
        <v>45572.0</v>
      </c>
      <c r="I117" s="288">
        <v>45581.0</v>
      </c>
      <c r="J117" s="288">
        <v>45581.0</v>
      </c>
      <c r="K117" s="294"/>
      <c r="L117" s="294"/>
      <c r="M117" s="290" t="s">
        <v>9469</v>
      </c>
      <c r="N117" s="299" t="s">
        <v>4635</v>
      </c>
      <c r="O117" s="322" t="s">
        <v>2621</v>
      </c>
      <c r="P117" s="300">
        <v>39564.0</v>
      </c>
      <c r="Q117" s="299">
        <f t="shared" si="1"/>
        <v>41</v>
      </c>
      <c r="R117" s="424"/>
      <c r="S117" s="366" t="s">
        <v>8430</v>
      </c>
      <c r="T117" s="198"/>
      <c r="U117" s="198"/>
      <c r="V117" s="198"/>
      <c r="W117" s="198"/>
      <c r="X117" s="198"/>
      <c r="Y117" s="198"/>
      <c r="Z117" s="198"/>
    </row>
    <row r="118" ht="91.5" customHeight="1">
      <c r="A118" s="370">
        <v>39507.0</v>
      </c>
      <c r="B118" s="299" t="s">
        <v>715</v>
      </c>
      <c r="C118" s="285">
        <v>2413.0</v>
      </c>
      <c r="D118" s="285" t="s">
        <v>9470</v>
      </c>
      <c r="E118" s="287" t="s">
        <v>7448</v>
      </c>
      <c r="F118" s="288">
        <v>45574.0</v>
      </c>
      <c r="G118" s="288">
        <v>45567.0</v>
      </c>
      <c r="H118" s="288">
        <v>45567.0</v>
      </c>
      <c r="I118" s="288">
        <v>45580.0</v>
      </c>
      <c r="J118" s="288">
        <v>45580.0</v>
      </c>
      <c r="K118" s="294"/>
      <c r="L118" s="294"/>
      <c r="M118" s="290" t="s">
        <v>9471</v>
      </c>
      <c r="N118" s="299" t="s">
        <v>497</v>
      </c>
      <c r="O118" s="322" t="s">
        <v>2554</v>
      </c>
      <c r="P118" s="300">
        <v>42951.2</v>
      </c>
      <c r="Q118" s="299">
        <f t="shared" si="1"/>
        <v>41</v>
      </c>
      <c r="R118" s="424" t="s">
        <v>9198</v>
      </c>
      <c r="S118" s="366" t="s">
        <v>9171</v>
      </c>
      <c r="T118" s="198"/>
      <c r="U118" s="198"/>
      <c r="V118" s="198"/>
      <c r="W118" s="198"/>
      <c r="X118" s="198"/>
      <c r="Y118" s="198"/>
      <c r="Z118" s="198"/>
    </row>
    <row r="119" ht="91.5" customHeight="1">
      <c r="A119" s="370">
        <v>39532.0</v>
      </c>
      <c r="B119" s="285" t="s">
        <v>25</v>
      </c>
      <c r="C119" s="285">
        <v>1648.0</v>
      </c>
      <c r="D119" s="285" t="s">
        <v>9472</v>
      </c>
      <c r="E119" s="287" t="s">
        <v>9309</v>
      </c>
      <c r="F119" s="288">
        <v>45573.0</v>
      </c>
      <c r="G119" s="288">
        <v>45568.0</v>
      </c>
      <c r="H119" s="288">
        <v>45568.0</v>
      </c>
      <c r="I119" s="288">
        <v>45576.0</v>
      </c>
      <c r="J119" s="288">
        <v>45576.0</v>
      </c>
      <c r="K119" s="294"/>
      <c r="L119" s="294"/>
      <c r="M119" s="290" t="s">
        <v>9473</v>
      </c>
      <c r="N119" s="299" t="s">
        <v>497</v>
      </c>
      <c r="O119" s="322" t="s">
        <v>2554</v>
      </c>
      <c r="P119" s="300">
        <v>40229.84</v>
      </c>
      <c r="Q119" s="299">
        <f t="shared" si="1"/>
        <v>41</v>
      </c>
      <c r="R119" s="424" t="s">
        <v>9170</v>
      </c>
      <c r="S119" s="366" t="s">
        <v>9171</v>
      </c>
      <c r="T119" s="198"/>
      <c r="U119" s="198"/>
      <c r="V119" s="198"/>
      <c r="W119" s="198"/>
      <c r="X119" s="198"/>
      <c r="Y119" s="198"/>
      <c r="Z119" s="198"/>
    </row>
    <row r="120" ht="91.5" customHeight="1">
      <c r="A120" s="370">
        <v>39655.0</v>
      </c>
      <c r="B120" s="299" t="s">
        <v>715</v>
      </c>
      <c r="C120" s="285">
        <v>2110.0</v>
      </c>
      <c r="D120" s="285" t="s">
        <v>9474</v>
      </c>
      <c r="E120" s="287" t="s">
        <v>6582</v>
      </c>
      <c r="F120" s="288">
        <v>45569.0</v>
      </c>
      <c r="G120" s="288">
        <v>45566.0</v>
      </c>
      <c r="H120" s="288">
        <v>45566.0</v>
      </c>
      <c r="I120" s="288">
        <v>45576.0</v>
      </c>
      <c r="J120" s="288">
        <v>45576.0</v>
      </c>
      <c r="K120" s="294"/>
      <c r="L120" s="294"/>
      <c r="M120" s="290" t="s">
        <v>9475</v>
      </c>
      <c r="N120" s="299" t="s">
        <v>497</v>
      </c>
      <c r="O120" s="322" t="s">
        <v>2621</v>
      </c>
      <c r="P120" s="300">
        <v>29515.3</v>
      </c>
      <c r="Q120" s="299">
        <f t="shared" si="1"/>
        <v>40</v>
      </c>
      <c r="R120" s="424"/>
      <c r="S120" s="366" t="s">
        <v>9166</v>
      </c>
      <c r="T120" s="198"/>
      <c r="U120" s="198"/>
      <c r="V120" s="198"/>
      <c r="W120" s="198"/>
      <c r="X120" s="198"/>
      <c r="Y120" s="198"/>
      <c r="Z120" s="198"/>
    </row>
    <row r="121" ht="91.5" customHeight="1">
      <c r="A121" s="370">
        <v>39788.0</v>
      </c>
      <c r="B121" s="299" t="s">
        <v>25</v>
      </c>
      <c r="C121" s="285">
        <v>1260.0</v>
      </c>
      <c r="D121" s="285" t="s">
        <v>9476</v>
      </c>
      <c r="E121" s="287" t="s">
        <v>9477</v>
      </c>
      <c r="F121" s="288">
        <v>45569.0</v>
      </c>
      <c r="G121" s="288">
        <v>45572.0</v>
      </c>
      <c r="H121" s="288">
        <v>45572.0</v>
      </c>
      <c r="I121" s="288">
        <v>45573.0</v>
      </c>
      <c r="J121" s="288">
        <v>45573.0</v>
      </c>
      <c r="K121" s="294"/>
      <c r="L121" s="294"/>
      <c r="M121" s="290" t="s">
        <v>9478</v>
      </c>
      <c r="N121" s="299" t="s">
        <v>4635</v>
      </c>
      <c r="O121" s="322" t="s">
        <v>2621</v>
      </c>
      <c r="P121" s="300">
        <v>29478.6</v>
      </c>
      <c r="Q121" s="299">
        <f t="shared" si="1"/>
        <v>40</v>
      </c>
      <c r="R121" s="424"/>
      <c r="S121" s="366" t="s">
        <v>8430</v>
      </c>
      <c r="T121" s="198"/>
      <c r="U121" s="198"/>
      <c r="V121" s="198"/>
      <c r="W121" s="198"/>
      <c r="X121" s="198"/>
      <c r="Y121" s="198"/>
      <c r="Z121" s="198"/>
    </row>
    <row r="122" ht="91.5" customHeight="1">
      <c r="A122" s="370">
        <v>39338.0</v>
      </c>
      <c r="B122" s="299" t="s">
        <v>715</v>
      </c>
      <c r="C122" s="285">
        <v>940.0</v>
      </c>
      <c r="D122" s="285" t="s">
        <v>9479</v>
      </c>
      <c r="E122" s="287" t="s">
        <v>9408</v>
      </c>
      <c r="F122" s="288">
        <v>45569.0</v>
      </c>
      <c r="G122" s="288">
        <v>45593.0</v>
      </c>
      <c r="H122" s="288">
        <v>45574.0</v>
      </c>
      <c r="I122" s="288">
        <v>45574.0</v>
      </c>
      <c r="J122" s="288">
        <v>45574.0</v>
      </c>
      <c r="K122" s="294"/>
      <c r="L122" s="294"/>
      <c r="M122" s="290" t="s">
        <v>9480</v>
      </c>
      <c r="N122" s="299" t="s">
        <v>4635</v>
      </c>
      <c r="O122" s="322" t="s">
        <v>2621</v>
      </c>
      <c r="P122" s="300">
        <v>40745.8</v>
      </c>
      <c r="Q122" s="299">
        <f t="shared" si="1"/>
        <v>40</v>
      </c>
      <c r="R122" s="424"/>
      <c r="S122" s="366" t="s">
        <v>8430</v>
      </c>
      <c r="T122" s="198"/>
      <c r="U122" s="198"/>
      <c r="V122" s="198"/>
      <c r="W122" s="198"/>
      <c r="X122" s="198"/>
      <c r="Y122" s="198"/>
      <c r="Z122" s="198"/>
    </row>
    <row r="123" ht="91.5" customHeight="1">
      <c r="A123" s="370">
        <v>39524.0</v>
      </c>
      <c r="B123" s="285" t="s">
        <v>21</v>
      </c>
      <c r="C123" s="285">
        <v>4500.0</v>
      </c>
      <c r="D123" s="285" t="s">
        <v>9481</v>
      </c>
      <c r="E123" s="287" t="s">
        <v>7438</v>
      </c>
      <c r="F123" s="288">
        <v>45567.0</v>
      </c>
      <c r="G123" s="288">
        <v>45565.0</v>
      </c>
      <c r="H123" s="288">
        <v>45565.0</v>
      </c>
      <c r="I123" s="288">
        <v>45574.0</v>
      </c>
      <c r="J123" s="288">
        <v>45574.0</v>
      </c>
      <c r="K123" s="294" t="s">
        <v>4841</v>
      </c>
      <c r="L123" s="294"/>
      <c r="M123" s="290" t="s">
        <v>9482</v>
      </c>
      <c r="N123" s="299" t="s">
        <v>497</v>
      </c>
      <c r="O123" s="322" t="s">
        <v>2554</v>
      </c>
      <c r="P123" s="300">
        <v>33075.0</v>
      </c>
      <c r="Q123" s="299">
        <f t="shared" si="1"/>
        <v>40</v>
      </c>
      <c r="R123" s="424" t="s">
        <v>9170</v>
      </c>
      <c r="S123" s="366" t="s">
        <v>9171</v>
      </c>
      <c r="T123" s="198"/>
      <c r="U123" s="198"/>
      <c r="V123" s="198"/>
      <c r="W123" s="198"/>
      <c r="X123" s="198"/>
      <c r="Y123" s="198"/>
      <c r="Z123" s="198"/>
    </row>
    <row r="124" ht="91.5" customHeight="1">
      <c r="A124" s="370">
        <v>39838.0</v>
      </c>
      <c r="B124" s="285" t="s">
        <v>21</v>
      </c>
      <c r="C124" s="285">
        <v>2140.0</v>
      </c>
      <c r="D124" s="285" t="s">
        <v>9483</v>
      </c>
      <c r="E124" s="287" t="s">
        <v>6582</v>
      </c>
      <c r="F124" s="288">
        <v>45566.0</v>
      </c>
      <c r="G124" s="288">
        <v>45565.0</v>
      </c>
      <c r="H124" s="288">
        <v>45565.0</v>
      </c>
      <c r="I124" s="288">
        <v>45572.0</v>
      </c>
      <c r="J124" s="288">
        <v>45572.0</v>
      </c>
      <c r="K124" s="294" t="s">
        <v>4841</v>
      </c>
      <c r="L124" s="294"/>
      <c r="M124" s="290" t="s">
        <v>9484</v>
      </c>
      <c r="N124" s="299" t="s">
        <v>497</v>
      </c>
      <c r="O124" s="322" t="s">
        <v>2621</v>
      </c>
      <c r="P124" s="300">
        <v>32562.8</v>
      </c>
      <c r="Q124" s="299">
        <f t="shared" si="1"/>
        <v>40</v>
      </c>
      <c r="R124" s="424"/>
      <c r="S124" s="366" t="s">
        <v>9166</v>
      </c>
      <c r="T124" s="198"/>
      <c r="U124" s="198"/>
      <c r="V124" s="198"/>
      <c r="W124" s="198"/>
      <c r="X124" s="198"/>
      <c r="Y124" s="198"/>
      <c r="Z124" s="198"/>
    </row>
    <row r="125" ht="91.5" customHeight="1">
      <c r="A125" s="370">
        <v>39509.0</v>
      </c>
      <c r="B125" s="299" t="s">
        <v>715</v>
      </c>
      <c r="C125" s="285">
        <v>2413.0</v>
      </c>
      <c r="D125" s="285" t="s">
        <v>9485</v>
      </c>
      <c r="E125" s="287" t="s">
        <v>7448</v>
      </c>
      <c r="F125" s="288">
        <v>45562.0</v>
      </c>
      <c r="G125" s="288">
        <v>45559.0</v>
      </c>
      <c r="H125" s="288">
        <v>45559.0</v>
      </c>
      <c r="I125" s="288">
        <v>45572.0</v>
      </c>
      <c r="J125" s="288">
        <v>45572.0</v>
      </c>
      <c r="K125" s="294"/>
      <c r="L125" s="294"/>
      <c r="M125" s="290" t="s">
        <v>9486</v>
      </c>
      <c r="N125" s="299" t="s">
        <v>497</v>
      </c>
      <c r="O125" s="322" t="s">
        <v>2554</v>
      </c>
      <c r="P125" s="300">
        <v>42951.2</v>
      </c>
      <c r="Q125" s="299">
        <f t="shared" si="1"/>
        <v>39</v>
      </c>
      <c r="R125" s="424" t="s">
        <v>9198</v>
      </c>
      <c r="S125" s="366" t="s">
        <v>9171</v>
      </c>
      <c r="T125" s="198"/>
      <c r="U125" s="198"/>
      <c r="V125" s="198"/>
      <c r="W125" s="198"/>
      <c r="X125" s="198"/>
      <c r="Y125" s="198"/>
      <c r="Z125" s="198"/>
    </row>
    <row r="126" ht="91.5" customHeight="1">
      <c r="A126" s="370">
        <v>39508.0</v>
      </c>
      <c r="B126" s="299" t="s">
        <v>715</v>
      </c>
      <c r="C126" s="285">
        <v>2413.0</v>
      </c>
      <c r="D126" s="285" t="s">
        <v>9487</v>
      </c>
      <c r="E126" s="287" t="s">
        <v>7476</v>
      </c>
      <c r="F126" s="288">
        <v>45562.0</v>
      </c>
      <c r="G126" s="288">
        <v>45559.0</v>
      </c>
      <c r="H126" s="288">
        <v>45559.0</v>
      </c>
      <c r="I126" s="288">
        <v>45572.0</v>
      </c>
      <c r="J126" s="288">
        <v>45572.0</v>
      </c>
      <c r="K126" s="294"/>
      <c r="L126" s="294"/>
      <c r="M126" s="290" t="s">
        <v>9488</v>
      </c>
      <c r="N126" s="299" t="s">
        <v>497</v>
      </c>
      <c r="O126" s="322" t="s">
        <v>2554</v>
      </c>
      <c r="P126" s="300">
        <v>42468.8</v>
      </c>
      <c r="Q126" s="299">
        <f t="shared" si="1"/>
        <v>39</v>
      </c>
      <c r="R126" s="424" t="s">
        <v>9198</v>
      </c>
      <c r="S126" s="366" t="s">
        <v>9171</v>
      </c>
      <c r="T126" s="198"/>
      <c r="U126" s="198"/>
      <c r="V126" s="198"/>
      <c r="W126" s="198"/>
      <c r="X126" s="198"/>
      <c r="Y126" s="198"/>
      <c r="Z126" s="198"/>
    </row>
    <row r="127" ht="91.5" customHeight="1">
      <c r="A127" s="370">
        <v>39271.0</v>
      </c>
      <c r="B127" s="299" t="s">
        <v>715</v>
      </c>
      <c r="C127" s="285">
        <v>1250.0</v>
      </c>
      <c r="D127" s="285" t="s">
        <v>9489</v>
      </c>
      <c r="E127" s="287" t="s">
        <v>4637</v>
      </c>
      <c r="F127" s="288">
        <v>45562.0</v>
      </c>
      <c r="G127" s="288">
        <v>45559.0</v>
      </c>
      <c r="H127" s="288">
        <v>45559.0</v>
      </c>
      <c r="I127" s="288">
        <v>45569.0</v>
      </c>
      <c r="J127" s="288">
        <v>45569.0</v>
      </c>
      <c r="K127" s="294"/>
      <c r="L127" s="294"/>
      <c r="M127" s="290" t="s">
        <v>9490</v>
      </c>
      <c r="N127" s="299" t="s">
        <v>497</v>
      </c>
      <c r="O127" s="322" t="s">
        <v>2554</v>
      </c>
      <c r="P127" s="300">
        <v>36250.0</v>
      </c>
      <c r="Q127" s="299">
        <f t="shared" si="1"/>
        <v>39</v>
      </c>
      <c r="R127" s="424" t="s">
        <v>9170</v>
      </c>
      <c r="S127" s="366" t="s">
        <v>9171</v>
      </c>
      <c r="T127" s="198"/>
      <c r="U127" s="198"/>
      <c r="V127" s="198"/>
      <c r="W127" s="198"/>
      <c r="X127" s="198"/>
      <c r="Y127" s="198"/>
      <c r="Z127" s="198"/>
    </row>
    <row r="128" ht="91.5" customHeight="1">
      <c r="A128" s="370">
        <v>39265.0</v>
      </c>
      <c r="B128" s="299" t="s">
        <v>715</v>
      </c>
      <c r="C128" s="285">
        <v>1250.0</v>
      </c>
      <c r="D128" s="285" t="s">
        <v>9491</v>
      </c>
      <c r="E128" s="287" t="s">
        <v>4637</v>
      </c>
      <c r="F128" s="288">
        <v>45562.0</v>
      </c>
      <c r="G128" s="288">
        <v>45558.0</v>
      </c>
      <c r="H128" s="288">
        <v>45558.0</v>
      </c>
      <c r="I128" s="288">
        <v>45568.0</v>
      </c>
      <c r="J128" s="288">
        <v>45568.0</v>
      </c>
      <c r="K128" s="294"/>
      <c r="L128" s="294"/>
      <c r="M128" s="290" t="s">
        <v>9492</v>
      </c>
      <c r="N128" s="299" t="s">
        <v>497</v>
      </c>
      <c r="O128" s="322" t="s">
        <v>2554</v>
      </c>
      <c r="P128" s="300">
        <v>36250.0</v>
      </c>
      <c r="Q128" s="299">
        <f t="shared" si="1"/>
        <v>39</v>
      </c>
      <c r="R128" s="424" t="s">
        <v>9170</v>
      </c>
      <c r="S128" s="366" t="s">
        <v>9171</v>
      </c>
      <c r="T128" s="198"/>
      <c r="U128" s="198"/>
      <c r="V128" s="198"/>
      <c r="W128" s="198"/>
      <c r="X128" s="198"/>
      <c r="Y128" s="198"/>
      <c r="Z128" s="198"/>
    </row>
    <row r="129" ht="91.5" customHeight="1">
      <c r="A129" s="370">
        <v>39654.0</v>
      </c>
      <c r="B129" s="285" t="s">
        <v>21</v>
      </c>
      <c r="C129" s="285">
        <v>1840.0</v>
      </c>
      <c r="D129" s="285" t="s">
        <v>9493</v>
      </c>
      <c r="E129" s="287" t="s">
        <v>6582</v>
      </c>
      <c r="F129" s="288">
        <v>45562.0</v>
      </c>
      <c r="G129" s="288">
        <v>45558.0</v>
      </c>
      <c r="H129" s="288">
        <v>45558.0</v>
      </c>
      <c r="I129" s="288">
        <v>45567.0</v>
      </c>
      <c r="J129" s="288">
        <v>45567.0</v>
      </c>
      <c r="K129" s="294" t="s">
        <v>4841</v>
      </c>
      <c r="L129" s="294"/>
      <c r="M129" s="290" t="s">
        <v>9494</v>
      </c>
      <c r="N129" s="299" t="s">
        <v>4635</v>
      </c>
      <c r="O129" s="322" t="s">
        <v>2621</v>
      </c>
      <c r="P129" s="300">
        <v>29851.6</v>
      </c>
      <c r="Q129" s="299">
        <f t="shared" si="1"/>
        <v>39</v>
      </c>
      <c r="R129" s="424"/>
      <c r="S129" s="366" t="s">
        <v>9166</v>
      </c>
      <c r="T129" s="198"/>
      <c r="U129" s="198"/>
      <c r="V129" s="198"/>
      <c r="W129" s="198"/>
      <c r="X129" s="198"/>
      <c r="Y129" s="198"/>
      <c r="Z129" s="198"/>
    </row>
    <row r="130" ht="91.5" customHeight="1">
      <c r="A130" s="370">
        <v>39513.0</v>
      </c>
      <c r="B130" s="299" t="s">
        <v>25</v>
      </c>
      <c r="C130" s="285">
        <v>2413.0</v>
      </c>
      <c r="D130" s="285" t="s">
        <v>9495</v>
      </c>
      <c r="E130" s="287" t="s">
        <v>7448</v>
      </c>
      <c r="F130" s="288">
        <v>45561.0</v>
      </c>
      <c r="G130" s="288">
        <v>45558.0</v>
      </c>
      <c r="H130" s="288">
        <v>45558.0</v>
      </c>
      <c r="I130" s="288">
        <v>45569.0</v>
      </c>
      <c r="J130" s="288">
        <v>45569.0</v>
      </c>
      <c r="K130" s="294"/>
      <c r="L130" s="294"/>
      <c r="M130" s="290" t="s">
        <v>9496</v>
      </c>
      <c r="N130" s="299" t="s">
        <v>497</v>
      </c>
      <c r="O130" s="322" t="s">
        <v>2554</v>
      </c>
      <c r="P130" s="300">
        <v>42951.2</v>
      </c>
      <c r="Q130" s="299">
        <f t="shared" si="1"/>
        <v>39</v>
      </c>
      <c r="R130" s="424" t="s">
        <v>9198</v>
      </c>
      <c r="S130" s="366" t="s">
        <v>9171</v>
      </c>
      <c r="T130" s="198"/>
      <c r="U130" s="198"/>
      <c r="V130" s="198"/>
      <c r="W130" s="198"/>
      <c r="X130" s="198"/>
      <c r="Y130" s="198"/>
      <c r="Z130" s="198"/>
    </row>
    <row r="131" ht="91.5" customHeight="1">
      <c r="A131" s="370">
        <v>39556.0</v>
      </c>
      <c r="B131" s="285" t="s">
        <v>21</v>
      </c>
      <c r="C131" s="285">
        <v>2605.0</v>
      </c>
      <c r="D131" s="285" t="s">
        <v>9497</v>
      </c>
      <c r="E131" s="287" t="s">
        <v>9317</v>
      </c>
      <c r="F131" s="288">
        <v>45561.0</v>
      </c>
      <c r="G131" s="288">
        <v>45559.0</v>
      </c>
      <c r="H131" s="288">
        <v>45559.0</v>
      </c>
      <c r="I131" s="288">
        <v>45566.0</v>
      </c>
      <c r="J131" s="288">
        <v>45566.0</v>
      </c>
      <c r="K131" s="294" t="s">
        <v>4841</v>
      </c>
      <c r="L131" s="294"/>
      <c r="M131" s="290" t="s">
        <v>9498</v>
      </c>
      <c r="N131" s="299" t="s">
        <v>4635</v>
      </c>
      <c r="O131" s="322" t="s">
        <v>2621</v>
      </c>
      <c r="P131" s="300">
        <v>29305.6</v>
      </c>
      <c r="Q131" s="299">
        <f t="shared" si="1"/>
        <v>39</v>
      </c>
      <c r="R131" s="424"/>
      <c r="S131" s="366" t="s">
        <v>9166</v>
      </c>
      <c r="T131" s="198"/>
      <c r="U131" s="198"/>
      <c r="V131" s="198"/>
      <c r="W131" s="198"/>
      <c r="X131" s="198"/>
      <c r="Y131" s="198"/>
      <c r="Z131" s="198"/>
    </row>
    <row r="132" ht="91.5" customHeight="1">
      <c r="A132" s="370">
        <v>39616.0</v>
      </c>
      <c r="B132" s="299" t="s">
        <v>6501</v>
      </c>
      <c r="C132" s="285">
        <v>758.0</v>
      </c>
      <c r="D132" s="285" t="s">
        <v>9499</v>
      </c>
      <c r="E132" s="287" t="s">
        <v>9500</v>
      </c>
      <c r="F132" s="288">
        <v>45560.0</v>
      </c>
      <c r="G132" s="288">
        <v>45559.0</v>
      </c>
      <c r="H132" s="288">
        <v>45559.0</v>
      </c>
      <c r="I132" s="288">
        <v>45567.0</v>
      </c>
      <c r="J132" s="288">
        <v>45567.0</v>
      </c>
      <c r="K132" s="294"/>
      <c r="L132" s="294"/>
      <c r="M132" s="290" t="s">
        <v>9501</v>
      </c>
      <c r="N132" s="299" t="s">
        <v>4635</v>
      </c>
      <c r="O132" s="322" t="s">
        <v>2621</v>
      </c>
      <c r="P132" s="300">
        <v>41919.76</v>
      </c>
      <c r="Q132" s="299">
        <f t="shared" si="1"/>
        <v>39</v>
      </c>
      <c r="R132" s="424"/>
      <c r="S132" s="366" t="s">
        <v>9166</v>
      </c>
      <c r="T132" s="198"/>
      <c r="U132" s="198"/>
      <c r="V132" s="198"/>
      <c r="W132" s="198"/>
      <c r="X132" s="198"/>
      <c r="Y132" s="198"/>
      <c r="Z132" s="198"/>
    </row>
    <row r="133" ht="91.5" customHeight="1">
      <c r="A133" s="370">
        <v>39839.0</v>
      </c>
      <c r="B133" s="299" t="s">
        <v>25</v>
      </c>
      <c r="C133" s="285">
        <v>2260.0</v>
      </c>
      <c r="D133" s="285" t="s">
        <v>9502</v>
      </c>
      <c r="E133" s="287" t="s">
        <v>6582</v>
      </c>
      <c r="F133" s="288">
        <v>45559.0</v>
      </c>
      <c r="G133" s="288">
        <v>45559.0</v>
      </c>
      <c r="H133" s="288">
        <v>45559.0</v>
      </c>
      <c r="I133" s="288">
        <v>45568.0</v>
      </c>
      <c r="J133" s="288">
        <v>45568.0</v>
      </c>
      <c r="K133" s="294"/>
      <c r="L133" s="294"/>
      <c r="M133" s="290" t="s">
        <v>9503</v>
      </c>
      <c r="N133" s="299" t="s">
        <v>497</v>
      </c>
      <c r="O133" s="322" t="s">
        <v>2621</v>
      </c>
      <c r="P133" s="300">
        <v>32712.0</v>
      </c>
      <c r="Q133" s="299">
        <f t="shared" si="1"/>
        <v>39</v>
      </c>
      <c r="R133" s="424"/>
      <c r="S133" s="366" t="s">
        <v>9166</v>
      </c>
      <c r="T133" s="198"/>
      <c r="U133" s="198"/>
      <c r="V133" s="198"/>
      <c r="W133" s="198"/>
      <c r="X133" s="198"/>
      <c r="Y133" s="198"/>
      <c r="Z133" s="198"/>
    </row>
    <row r="134" ht="91.5" customHeight="1">
      <c r="A134" s="370">
        <v>39837.0</v>
      </c>
      <c r="B134" s="299" t="s">
        <v>25</v>
      </c>
      <c r="C134" s="285">
        <v>2170.0</v>
      </c>
      <c r="D134" s="285" t="s">
        <v>9504</v>
      </c>
      <c r="E134" s="287" t="s">
        <v>6582</v>
      </c>
      <c r="F134" s="288">
        <v>45559.0</v>
      </c>
      <c r="G134" s="288">
        <v>45559.0</v>
      </c>
      <c r="H134" s="288">
        <v>45559.0</v>
      </c>
      <c r="I134" s="288">
        <v>45569.0</v>
      </c>
      <c r="J134" s="288">
        <v>45569.0</v>
      </c>
      <c r="K134" s="294"/>
      <c r="L134" s="294"/>
      <c r="M134" s="290" t="s">
        <v>9505</v>
      </c>
      <c r="N134" s="299" t="s">
        <v>497</v>
      </c>
      <c r="O134" s="322" t="s">
        <v>2621</v>
      </c>
      <c r="P134" s="300">
        <v>29726.5</v>
      </c>
      <c r="Q134" s="299">
        <f t="shared" si="1"/>
        <v>39</v>
      </c>
      <c r="R134" s="424"/>
      <c r="S134" s="366" t="s">
        <v>9166</v>
      </c>
      <c r="T134" s="198"/>
      <c r="U134" s="198"/>
      <c r="V134" s="198"/>
      <c r="W134" s="198"/>
      <c r="X134" s="198"/>
      <c r="Y134" s="198"/>
      <c r="Z134" s="198"/>
    </row>
    <row r="135" ht="91.5" customHeight="1">
      <c r="A135" s="370">
        <v>39430.0</v>
      </c>
      <c r="B135" s="299" t="s">
        <v>715</v>
      </c>
      <c r="C135" s="285">
        <v>2413.0</v>
      </c>
      <c r="D135" s="285" t="s">
        <v>9506</v>
      </c>
      <c r="E135" s="287" t="s">
        <v>7476</v>
      </c>
      <c r="F135" s="288">
        <v>45559.0</v>
      </c>
      <c r="G135" s="288">
        <v>45552.0</v>
      </c>
      <c r="H135" s="288">
        <v>45552.0</v>
      </c>
      <c r="I135" s="288">
        <v>45566.0</v>
      </c>
      <c r="J135" s="288">
        <v>45566.0</v>
      </c>
      <c r="K135" s="294"/>
      <c r="L135" s="294"/>
      <c r="M135" s="290" t="s">
        <v>9507</v>
      </c>
      <c r="N135" s="299" t="s">
        <v>497</v>
      </c>
      <c r="O135" s="322" t="s">
        <v>2554</v>
      </c>
      <c r="P135" s="300">
        <v>42468.8</v>
      </c>
      <c r="Q135" s="299">
        <f t="shared" si="1"/>
        <v>39</v>
      </c>
      <c r="R135" s="424" t="s">
        <v>9198</v>
      </c>
      <c r="S135" s="366" t="s">
        <v>9171</v>
      </c>
      <c r="T135" s="198"/>
      <c r="U135" s="198"/>
      <c r="V135" s="198"/>
      <c r="W135" s="198"/>
      <c r="X135" s="198"/>
      <c r="Y135" s="198"/>
      <c r="Z135" s="198"/>
    </row>
    <row r="136" ht="91.5" customHeight="1">
      <c r="A136" s="370">
        <v>39264.0</v>
      </c>
      <c r="B136" s="299" t="s">
        <v>715</v>
      </c>
      <c r="C136" s="285">
        <v>1250.0</v>
      </c>
      <c r="D136" s="285" t="s">
        <v>9508</v>
      </c>
      <c r="E136" s="287" t="s">
        <v>4637</v>
      </c>
      <c r="F136" s="288">
        <v>45557.0</v>
      </c>
      <c r="G136" s="288">
        <v>45552.0</v>
      </c>
      <c r="H136" s="288">
        <v>45552.0</v>
      </c>
      <c r="I136" s="288">
        <v>45565.0</v>
      </c>
      <c r="J136" s="288">
        <v>45565.0</v>
      </c>
      <c r="K136" s="294"/>
      <c r="L136" s="294"/>
      <c r="M136" s="290" t="s">
        <v>9509</v>
      </c>
      <c r="N136" s="299" t="s">
        <v>497</v>
      </c>
      <c r="O136" s="322" t="s">
        <v>2554</v>
      </c>
      <c r="P136" s="300">
        <v>36250.0</v>
      </c>
      <c r="Q136" s="299">
        <f t="shared" si="1"/>
        <v>39</v>
      </c>
      <c r="R136" s="424" t="s">
        <v>9170</v>
      </c>
      <c r="S136" s="366" t="s">
        <v>9171</v>
      </c>
      <c r="T136" s="198"/>
      <c r="U136" s="198"/>
      <c r="V136" s="198"/>
      <c r="W136" s="198"/>
      <c r="X136" s="198"/>
      <c r="Y136" s="198"/>
      <c r="Z136" s="198"/>
    </row>
    <row r="137" ht="91.5" customHeight="1">
      <c r="A137" s="370">
        <v>39337.0</v>
      </c>
      <c r="B137" s="299" t="s">
        <v>715</v>
      </c>
      <c r="C137" s="285">
        <v>940.0</v>
      </c>
      <c r="D137" s="285" t="s">
        <v>9510</v>
      </c>
      <c r="E137" s="287" t="s">
        <v>9408</v>
      </c>
      <c r="F137" s="288">
        <v>45557.0</v>
      </c>
      <c r="G137" s="288">
        <v>45552.0</v>
      </c>
      <c r="H137" s="288">
        <v>45552.0</v>
      </c>
      <c r="I137" s="288">
        <v>45561.0</v>
      </c>
      <c r="J137" s="288">
        <v>45561.0</v>
      </c>
      <c r="K137" s="294"/>
      <c r="L137" s="294"/>
      <c r="M137" s="290" t="s">
        <v>9511</v>
      </c>
      <c r="N137" s="299" t="s">
        <v>4635</v>
      </c>
      <c r="O137" s="322" t="s">
        <v>2621</v>
      </c>
      <c r="P137" s="300">
        <v>41039.8</v>
      </c>
      <c r="Q137" s="299">
        <f t="shared" si="1"/>
        <v>39</v>
      </c>
      <c r="R137" s="424"/>
      <c r="S137" s="366" t="s">
        <v>8430</v>
      </c>
      <c r="T137" s="198"/>
      <c r="U137" s="198"/>
      <c r="V137" s="198"/>
      <c r="W137" s="198"/>
      <c r="X137" s="198"/>
      <c r="Y137" s="198"/>
      <c r="Z137" s="198"/>
    </row>
    <row r="138" ht="91.5" customHeight="1">
      <c r="A138" s="370">
        <v>39336.0</v>
      </c>
      <c r="B138" s="299" t="s">
        <v>715</v>
      </c>
      <c r="C138" s="285">
        <v>940.0</v>
      </c>
      <c r="D138" s="285" t="s">
        <v>9512</v>
      </c>
      <c r="E138" s="287" t="s">
        <v>9408</v>
      </c>
      <c r="F138" s="288">
        <v>45557.0</v>
      </c>
      <c r="G138" s="288">
        <v>45552.0</v>
      </c>
      <c r="H138" s="288">
        <v>45552.0</v>
      </c>
      <c r="I138" s="288">
        <v>45562.0</v>
      </c>
      <c r="J138" s="288">
        <v>45562.0</v>
      </c>
      <c r="K138" s="294"/>
      <c r="L138" s="294"/>
      <c r="M138" s="290" t="s">
        <v>9513</v>
      </c>
      <c r="N138" s="299" t="s">
        <v>4635</v>
      </c>
      <c r="O138" s="322" t="s">
        <v>2621</v>
      </c>
      <c r="P138" s="300">
        <v>41039.8</v>
      </c>
      <c r="Q138" s="299">
        <f t="shared" si="1"/>
        <v>39</v>
      </c>
      <c r="R138" s="424"/>
      <c r="S138" s="366" t="s">
        <v>8430</v>
      </c>
      <c r="T138" s="198"/>
      <c r="U138" s="198"/>
      <c r="V138" s="198"/>
      <c r="W138" s="198"/>
      <c r="X138" s="198"/>
      <c r="Y138" s="198"/>
      <c r="Z138" s="198"/>
    </row>
    <row r="139" ht="91.5" customHeight="1">
      <c r="A139" s="370">
        <v>39335.0</v>
      </c>
      <c r="B139" s="299" t="s">
        <v>715</v>
      </c>
      <c r="C139" s="285">
        <v>1250.0</v>
      </c>
      <c r="D139" s="285" t="s">
        <v>9514</v>
      </c>
      <c r="E139" s="287" t="s">
        <v>9515</v>
      </c>
      <c r="F139" s="288">
        <v>45557.0</v>
      </c>
      <c r="G139" s="288">
        <v>45552.0</v>
      </c>
      <c r="H139" s="288">
        <v>45552.0</v>
      </c>
      <c r="I139" s="288">
        <v>45561.0</v>
      </c>
      <c r="J139" s="288">
        <v>45561.0</v>
      </c>
      <c r="K139" s="294"/>
      <c r="L139" s="294"/>
      <c r="M139" s="290" t="s">
        <v>9516</v>
      </c>
      <c r="N139" s="299" t="s">
        <v>4635</v>
      </c>
      <c r="O139" s="299" t="s">
        <v>2621</v>
      </c>
      <c r="P139" s="300">
        <v>29507.0</v>
      </c>
      <c r="Q139" s="299">
        <f t="shared" si="1"/>
        <v>39</v>
      </c>
      <c r="R139" s="424"/>
      <c r="S139" s="366" t="s">
        <v>8430</v>
      </c>
      <c r="T139" s="198"/>
      <c r="U139" s="198"/>
      <c r="V139" s="198"/>
      <c r="W139" s="198"/>
      <c r="X139" s="198"/>
      <c r="Y139" s="198"/>
      <c r="Z139" s="198"/>
    </row>
    <row r="140" ht="91.5" customHeight="1">
      <c r="A140" s="370">
        <v>39439.0</v>
      </c>
      <c r="B140" s="285" t="s">
        <v>21</v>
      </c>
      <c r="C140" s="285">
        <v>1792.0</v>
      </c>
      <c r="D140" s="285" t="s">
        <v>9517</v>
      </c>
      <c r="E140" s="287" t="s">
        <v>3740</v>
      </c>
      <c r="F140" s="288">
        <v>45555.0</v>
      </c>
      <c r="G140" s="288">
        <v>45552.0</v>
      </c>
      <c r="H140" s="288">
        <v>45552.0</v>
      </c>
      <c r="I140" s="288">
        <v>45561.0</v>
      </c>
      <c r="J140" s="288">
        <v>45561.0</v>
      </c>
      <c r="K140" s="294" t="s">
        <v>4841</v>
      </c>
      <c r="L140" s="294"/>
      <c r="M140" s="290" t="s">
        <v>9518</v>
      </c>
      <c r="N140" s="299" t="s">
        <v>4745</v>
      </c>
      <c r="O140" s="322" t="s">
        <v>4711</v>
      </c>
      <c r="P140" s="300">
        <v>38000.08</v>
      </c>
      <c r="Q140" s="299">
        <f t="shared" si="1"/>
        <v>38</v>
      </c>
      <c r="R140" s="424"/>
      <c r="S140" s="366" t="s">
        <v>9166</v>
      </c>
      <c r="T140" s="198"/>
      <c r="U140" s="198"/>
      <c r="V140" s="198"/>
      <c r="W140" s="198"/>
      <c r="X140" s="198"/>
      <c r="Y140" s="198"/>
      <c r="Z140" s="198"/>
    </row>
    <row r="141" ht="91.5" customHeight="1">
      <c r="A141" s="370">
        <v>39769.0</v>
      </c>
      <c r="B141" s="299" t="s">
        <v>715</v>
      </c>
      <c r="C141" s="285">
        <v>1250.0</v>
      </c>
      <c r="D141" s="285" t="s">
        <v>9519</v>
      </c>
      <c r="E141" s="287" t="s">
        <v>9520</v>
      </c>
      <c r="F141" s="288">
        <v>45554.0</v>
      </c>
      <c r="G141" s="288">
        <v>45553.0</v>
      </c>
      <c r="H141" s="288">
        <v>45553.0</v>
      </c>
      <c r="I141" s="288">
        <v>45560.0</v>
      </c>
      <c r="J141" s="288">
        <v>45560.0</v>
      </c>
      <c r="K141" s="294"/>
      <c r="L141" s="294"/>
      <c r="M141" s="290" t="s">
        <v>9521</v>
      </c>
      <c r="N141" s="299" t="s">
        <v>4635</v>
      </c>
      <c r="O141" s="322" t="s">
        <v>2621</v>
      </c>
      <c r="P141" s="300">
        <v>29431.4</v>
      </c>
      <c r="Q141" s="299">
        <f t="shared" si="1"/>
        <v>38</v>
      </c>
      <c r="R141" s="424"/>
      <c r="S141" s="366" t="s">
        <v>8430</v>
      </c>
      <c r="T141" s="198"/>
      <c r="U141" s="198"/>
      <c r="V141" s="198"/>
      <c r="W141" s="198"/>
      <c r="X141" s="198"/>
      <c r="Y141" s="198"/>
      <c r="Z141" s="198"/>
    </row>
    <row r="142" ht="98.25" customHeight="1">
      <c r="A142" s="370">
        <v>39262.0</v>
      </c>
      <c r="B142" s="299" t="s">
        <v>715</v>
      </c>
      <c r="C142" s="285">
        <v>4500.0</v>
      </c>
      <c r="D142" s="285" t="s">
        <v>9522</v>
      </c>
      <c r="E142" s="287" t="s">
        <v>7438</v>
      </c>
      <c r="F142" s="288">
        <v>45553.0</v>
      </c>
      <c r="G142" s="288">
        <v>45546.0</v>
      </c>
      <c r="H142" s="288">
        <v>45546.0</v>
      </c>
      <c r="I142" s="288">
        <v>45559.0</v>
      </c>
      <c r="J142" s="288">
        <v>45559.0</v>
      </c>
      <c r="K142" s="294"/>
      <c r="L142" s="294"/>
      <c r="M142" s="290" t="s">
        <v>9523</v>
      </c>
      <c r="N142" s="299" t="s">
        <v>497</v>
      </c>
      <c r="O142" s="322" t="s">
        <v>2554</v>
      </c>
      <c r="P142" s="300">
        <v>33187.5</v>
      </c>
      <c r="Q142" s="299">
        <f t="shared" si="1"/>
        <v>38</v>
      </c>
      <c r="R142" s="424" t="s">
        <v>9170</v>
      </c>
      <c r="S142" s="366" t="s">
        <v>9171</v>
      </c>
      <c r="T142" s="198"/>
      <c r="U142" s="198"/>
      <c r="V142" s="198"/>
      <c r="W142" s="198"/>
      <c r="X142" s="198"/>
      <c r="Y142" s="198"/>
      <c r="Z142" s="198"/>
    </row>
    <row r="143" ht="96.75" customHeight="1">
      <c r="A143" s="370">
        <v>39440.0</v>
      </c>
      <c r="B143" s="299" t="s">
        <v>25</v>
      </c>
      <c r="C143" s="285">
        <v>1755.0</v>
      </c>
      <c r="D143" s="285" t="s">
        <v>9524</v>
      </c>
      <c r="E143" s="287" t="s">
        <v>3740</v>
      </c>
      <c r="F143" s="288">
        <v>45552.0</v>
      </c>
      <c r="G143" s="288">
        <v>45586.0</v>
      </c>
      <c r="H143" s="288">
        <v>45554.0</v>
      </c>
      <c r="I143" s="288">
        <v>45554.0</v>
      </c>
      <c r="J143" s="288">
        <v>45554.0</v>
      </c>
      <c r="K143" s="294"/>
      <c r="L143" s="294"/>
      <c r="M143" s="290" t="s">
        <v>9525</v>
      </c>
      <c r="N143" s="299" t="s">
        <v>4745</v>
      </c>
      <c r="O143" s="322" t="s">
        <v>4711</v>
      </c>
      <c r="P143" s="300">
        <v>37215.48</v>
      </c>
      <c r="Q143" s="299">
        <f t="shared" si="1"/>
        <v>38</v>
      </c>
      <c r="R143" s="424"/>
      <c r="S143" s="366" t="s">
        <v>9166</v>
      </c>
      <c r="T143" s="198"/>
      <c r="U143" s="198"/>
      <c r="V143" s="198"/>
      <c r="W143" s="198"/>
      <c r="X143" s="198"/>
      <c r="Y143" s="198"/>
      <c r="Z143" s="198"/>
    </row>
    <row r="144" ht="91.5" customHeight="1">
      <c r="A144" s="370">
        <v>39444.0</v>
      </c>
      <c r="B144" s="299" t="s">
        <v>6501</v>
      </c>
      <c r="C144" s="285">
        <v>2413.0</v>
      </c>
      <c r="D144" s="285" t="s">
        <v>9526</v>
      </c>
      <c r="E144" s="287" t="s">
        <v>9527</v>
      </c>
      <c r="F144" s="288">
        <v>45551.0</v>
      </c>
      <c r="G144" s="288">
        <v>45547.0</v>
      </c>
      <c r="H144" s="288">
        <v>45547.0</v>
      </c>
      <c r="I144" s="288">
        <v>45558.0</v>
      </c>
      <c r="J144" s="288">
        <v>45558.0</v>
      </c>
      <c r="K144" s="294"/>
      <c r="L144" s="294"/>
      <c r="M144" s="290" t="s">
        <v>9528</v>
      </c>
      <c r="N144" s="299" t="s">
        <v>497</v>
      </c>
      <c r="O144" s="322" t="s">
        <v>2554</v>
      </c>
      <c r="P144" s="300">
        <v>60083.7</v>
      </c>
      <c r="Q144" s="299">
        <f t="shared" si="1"/>
        <v>38</v>
      </c>
      <c r="R144" s="424" t="s">
        <v>9198</v>
      </c>
      <c r="S144" s="366" t="s">
        <v>9171</v>
      </c>
      <c r="T144" s="198"/>
      <c r="U144" s="198"/>
      <c r="V144" s="198"/>
      <c r="W144" s="198"/>
      <c r="X144" s="198"/>
      <c r="Y144" s="198"/>
      <c r="Z144" s="198"/>
    </row>
    <row r="145" ht="91.5" customHeight="1">
      <c r="A145" s="370">
        <v>39269.0</v>
      </c>
      <c r="B145" s="285" t="s">
        <v>21</v>
      </c>
      <c r="C145" s="285">
        <v>4230.0</v>
      </c>
      <c r="D145" s="285" t="s">
        <v>9529</v>
      </c>
      <c r="E145" s="287" t="s">
        <v>7438</v>
      </c>
      <c r="F145" s="288">
        <v>45550.0</v>
      </c>
      <c r="G145" s="288">
        <v>45547.0</v>
      </c>
      <c r="H145" s="288">
        <v>45547.0</v>
      </c>
      <c r="I145" s="288">
        <v>45558.0</v>
      </c>
      <c r="J145" s="288">
        <v>45558.0</v>
      </c>
      <c r="K145" s="294" t="s">
        <v>4841</v>
      </c>
      <c r="L145" s="294"/>
      <c r="M145" s="290" t="s">
        <v>9530</v>
      </c>
      <c r="N145" s="299" t="s">
        <v>497</v>
      </c>
      <c r="O145" s="322" t="s">
        <v>2554</v>
      </c>
      <c r="P145" s="300">
        <v>31020.0</v>
      </c>
      <c r="Q145" s="299">
        <f t="shared" si="1"/>
        <v>38</v>
      </c>
      <c r="R145" s="424" t="s">
        <v>9170</v>
      </c>
      <c r="S145" s="366" t="s">
        <v>9171</v>
      </c>
      <c r="T145" s="198"/>
      <c r="U145" s="198"/>
      <c r="V145" s="198"/>
      <c r="W145" s="198"/>
      <c r="X145" s="198"/>
      <c r="Y145" s="198"/>
      <c r="Z145" s="198"/>
    </row>
    <row r="146" ht="91.5" customHeight="1">
      <c r="A146" s="370">
        <v>39205.0</v>
      </c>
      <c r="B146" s="285" t="s">
        <v>21</v>
      </c>
      <c r="C146" s="285">
        <v>1306.0</v>
      </c>
      <c r="D146" s="285" t="s">
        <v>9531</v>
      </c>
      <c r="E146" s="287" t="s">
        <v>9283</v>
      </c>
      <c r="F146" s="288">
        <v>45550.0</v>
      </c>
      <c r="G146" s="288">
        <v>45547.0</v>
      </c>
      <c r="H146" s="288">
        <v>45547.0</v>
      </c>
      <c r="I146" s="288">
        <v>45558.0</v>
      </c>
      <c r="J146" s="288">
        <v>45558.0</v>
      </c>
      <c r="K146" s="294" t="s">
        <v>4841</v>
      </c>
      <c r="L146" s="294" t="s">
        <v>9532</v>
      </c>
      <c r="M146" s="290" t="s">
        <v>9533</v>
      </c>
      <c r="N146" s="299" t="s">
        <v>497</v>
      </c>
      <c r="O146" s="322" t="s">
        <v>2554</v>
      </c>
      <c r="P146" s="300">
        <v>44795.8</v>
      </c>
      <c r="Q146" s="299">
        <f t="shared" si="1"/>
        <v>38</v>
      </c>
      <c r="R146" s="424" t="s">
        <v>9198</v>
      </c>
      <c r="S146" s="366" t="s">
        <v>9171</v>
      </c>
      <c r="T146" s="198"/>
      <c r="U146" s="198"/>
      <c r="V146" s="198"/>
      <c r="W146" s="198"/>
      <c r="X146" s="198"/>
      <c r="Y146" s="198"/>
      <c r="Z146" s="198"/>
    </row>
    <row r="147" ht="91.5" customHeight="1">
      <c r="A147" s="370">
        <v>39307.0</v>
      </c>
      <c r="B147" s="299" t="s">
        <v>25</v>
      </c>
      <c r="C147" s="285">
        <v>994.0</v>
      </c>
      <c r="D147" s="285" t="s">
        <v>9534</v>
      </c>
      <c r="E147" s="287" t="s">
        <v>7768</v>
      </c>
      <c r="F147" s="288">
        <v>45550.0</v>
      </c>
      <c r="G147" s="288">
        <v>45546.0</v>
      </c>
      <c r="H147" s="288">
        <v>45546.0</v>
      </c>
      <c r="I147" s="288">
        <v>45559.0</v>
      </c>
      <c r="J147" s="288">
        <v>45559.0</v>
      </c>
      <c r="K147" s="294"/>
      <c r="L147" s="294"/>
      <c r="M147" s="290" t="s">
        <v>9535</v>
      </c>
      <c r="N147" s="285" t="s">
        <v>497</v>
      </c>
      <c r="O147" s="322" t="s">
        <v>4853</v>
      </c>
      <c r="P147" s="300">
        <v>34392.4</v>
      </c>
      <c r="Q147" s="299">
        <f t="shared" si="1"/>
        <v>38</v>
      </c>
      <c r="R147" s="424"/>
      <c r="S147" s="366" t="s">
        <v>9166</v>
      </c>
      <c r="T147" s="198"/>
      <c r="U147" s="198"/>
      <c r="V147" s="198"/>
      <c r="W147" s="198"/>
      <c r="X147" s="198"/>
      <c r="Y147" s="198"/>
      <c r="Z147" s="198"/>
    </row>
    <row r="148" ht="91.5" customHeight="1">
      <c r="A148" s="370">
        <v>39268.0</v>
      </c>
      <c r="B148" s="299" t="s">
        <v>715</v>
      </c>
      <c r="C148" s="285">
        <v>1250.0</v>
      </c>
      <c r="D148" s="285" t="s">
        <v>9536</v>
      </c>
      <c r="E148" s="287" t="s">
        <v>4637</v>
      </c>
      <c r="F148" s="288">
        <v>45549.0</v>
      </c>
      <c r="G148" s="288">
        <v>45546.0</v>
      </c>
      <c r="H148" s="288">
        <v>45546.0</v>
      </c>
      <c r="I148" s="288">
        <v>45554.0</v>
      </c>
      <c r="J148" s="288">
        <v>45554.0</v>
      </c>
      <c r="K148" s="294"/>
      <c r="L148" s="294"/>
      <c r="M148" s="290" t="s">
        <v>9537</v>
      </c>
      <c r="N148" s="299" t="s">
        <v>497</v>
      </c>
      <c r="O148" s="322" t="s">
        <v>2554</v>
      </c>
      <c r="P148" s="300">
        <v>36250.0</v>
      </c>
      <c r="Q148" s="299">
        <f t="shared" si="1"/>
        <v>37</v>
      </c>
      <c r="R148" s="424" t="s">
        <v>9170</v>
      </c>
      <c r="S148" s="366" t="s">
        <v>9171</v>
      </c>
      <c r="T148" s="198"/>
      <c r="U148" s="198"/>
      <c r="V148" s="198"/>
      <c r="W148" s="198"/>
      <c r="X148" s="198"/>
      <c r="Y148" s="198"/>
      <c r="Z148" s="198"/>
    </row>
    <row r="149" ht="91.5" customHeight="1">
      <c r="A149" s="370">
        <v>39267.0</v>
      </c>
      <c r="B149" s="299" t="s">
        <v>715</v>
      </c>
      <c r="C149" s="285">
        <v>1250.0</v>
      </c>
      <c r="D149" s="285" t="s">
        <v>9538</v>
      </c>
      <c r="E149" s="287" t="s">
        <v>4637</v>
      </c>
      <c r="F149" s="288">
        <v>45549.0</v>
      </c>
      <c r="G149" s="288">
        <v>45546.0</v>
      </c>
      <c r="H149" s="288">
        <v>45546.0</v>
      </c>
      <c r="I149" s="288">
        <v>45552.0</v>
      </c>
      <c r="J149" s="288">
        <v>45552.0</v>
      </c>
      <c r="K149" s="294"/>
      <c r="L149" s="294"/>
      <c r="M149" s="290" t="s">
        <v>9539</v>
      </c>
      <c r="N149" s="299" t="s">
        <v>497</v>
      </c>
      <c r="O149" s="322" t="s">
        <v>2554</v>
      </c>
      <c r="P149" s="300">
        <v>36250.0</v>
      </c>
      <c r="Q149" s="299">
        <f t="shared" si="1"/>
        <v>37</v>
      </c>
      <c r="R149" s="424" t="s">
        <v>9170</v>
      </c>
      <c r="S149" s="366" t="s">
        <v>9171</v>
      </c>
      <c r="T149" s="198"/>
      <c r="U149" s="198"/>
      <c r="V149" s="198"/>
      <c r="W149" s="198"/>
      <c r="X149" s="198"/>
      <c r="Y149" s="198"/>
      <c r="Z149" s="198"/>
    </row>
    <row r="150" ht="91.5" customHeight="1">
      <c r="A150" s="370">
        <v>39559.0</v>
      </c>
      <c r="B150" s="285" t="s">
        <v>21</v>
      </c>
      <c r="C150" s="285" t="s">
        <v>9540</v>
      </c>
      <c r="D150" s="285" t="s">
        <v>9541</v>
      </c>
      <c r="E150" s="287" t="s">
        <v>9542</v>
      </c>
      <c r="F150" s="288">
        <v>45546.0</v>
      </c>
      <c r="G150" s="288" t="s">
        <v>4841</v>
      </c>
      <c r="H150" s="288" t="s">
        <v>4841</v>
      </c>
      <c r="I150" s="288">
        <v>45552.0</v>
      </c>
      <c r="J150" s="288">
        <v>45552.0</v>
      </c>
      <c r="K150" s="294" t="s">
        <v>4841</v>
      </c>
      <c r="L150" s="294"/>
      <c r="M150" s="290" t="s">
        <v>9543</v>
      </c>
      <c r="N150" s="299" t="s">
        <v>497</v>
      </c>
      <c r="O150" s="322" t="s">
        <v>2538</v>
      </c>
      <c r="P150" s="300">
        <v>57240.0</v>
      </c>
      <c r="Q150" s="299">
        <f t="shared" si="1"/>
        <v>37</v>
      </c>
      <c r="R150" s="424"/>
      <c r="S150" s="366" t="s">
        <v>9166</v>
      </c>
      <c r="T150" s="198"/>
      <c r="U150" s="198"/>
      <c r="V150" s="198"/>
      <c r="W150" s="198"/>
      <c r="X150" s="198"/>
      <c r="Y150" s="198"/>
      <c r="Z150" s="198"/>
    </row>
    <row r="151" ht="91.5" customHeight="1">
      <c r="A151" s="370">
        <v>39555.0</v>
      </c>
      <c r="B151" s="299" t="s">
        <v>25</v>
      </c>
      <c r="C151" s="285">
        <v>2650.0</v>
      </c>
      <c r="D151" s="285" t="s">
        <v>9544</v>
      </c>
      <c r="E151" s="287" t="s">
        <v>9317</v>
      </c>
      <c r="F151" s="288">
        <v>45545.0</v>
      </c>
      <c r="G151" s="288">
        <v>45544.0</v>
      </c>
      <c r="H151" s="288">
        <v>45544.0</v>
      </c>
      <c r="I151" s="288">
        <v>45552.0</v>
      </c>
      <c r="J151" s="288">
        <v>45552.0</v>
      </c>
      <c r="K151" s="294"/>
      <c r="L151" s="294"/>
      <c r="M151" s="290" t="s">
        <v>9545</v>
      </c>
      <c r="N151" s="285" t="s">
        <v>497</v>
      </c>
      <c r="O151" s="322" t="s">
        <v>2621</v>
      </c>
      <c r="P151" s="300">
        <v>31212.0</v>
      </c>
      <c r="Q151" s="299">
        <f t="shared" si="1"/>
        <v>37</v>
      </c>
      <c r="R151" s="424"/>
      <c r="S151" s="366" t="s">
        <v>9166</v>
      </c>
      <c r="T151" s="198"/>
      <c r="U151" s="198"/>
      <c r="V151" s="198"/>
      <c r="W151" s="198"/>
      <c r="X151" s="198"/>
      <c r="Y151" s="198"/>
      <c r="Z151" s="198"/>
    </row>
    <row r="152" ht="91.5" customHeight="1">
      <c r="A152" s="370">
        <v>39381.0</v>
      </c>
      <c r="B152" s="299" t="s">
        <v>25</v>
      </c>
      <c r="C152" s="285">
        <v>2578.0</v>
      </c>
      <c r="D152" s="285" t="s">
        <v>9546</v>
      </c>
      <c r="E152" s="287" t="s">
        <v>9396</v>
      </c>
      <c r="F152" s="288">
        <v>45545.0</v>
      </c>
      <c r="G152" s="288">
        <v>45540.0</v>
      </c>
      <c r="H152" s="288">
        <v>45540.0</v>
      </c>
      <c r="I152" s="288">
        <v>45552.0</v>
      </c>
      <c r="J152" s="288">
        <v>45552.0</v>
      </c>
      <c r="K152" s="294"/>
      <c r="L152" s="294"/>
      <c r="M152" s="290" t="s">
        <v>9547</v>
      </c>
      <c r="N152" s="299" t="s">
        <v>497</v>
      </c>
      <c r="O152" s="322" t="s">
        <v>2554</v>
      </c>
      <c r="P152" s="300">
        <v>58353.03</v>
      </c>
      <c r="Q152" s="299">
        <f t="shared" si="1"/>
        <v>37</v>
      </c>
      <c r="R152" s="424" t="s">
        <v>9198</v>
      </c>
      <c r="S152" s="366" t="s">
        <v>9171</v>
      </c>
      <c r="T152" s="198"/>
      <c r="U152" s="198"/>
      <c r="V152" s="198"/>
      <c r="W152" s="198"/>
      <c r="X152" s="198"/>
      <c r="Y152" s="198"/>
      <c r="Z152" s="198"/>
    </row>
    <row r="153" ht="91.5" customHeight="1">
      <c r="A153" s="370">
        <v>39316.0</v>
      </c>
      <c r="B153" s="285" t="s">
        <v>21</v>
      </c>
      <c r="C153" s="285">
        <v>4870.0</v>
      </c>
      <c r="D153" s="285" t="s">
        <v>9548</v>
      </c>
      <c r="E153" s="287" t="s">
        <v>9549</v>
      </c>
      <c r="F153" s="288">
        <v>45544.0</v>
      </c>
      <c r="G153" s="288">
        <v>45539.0</v>
      </c>
      <c r="H153" s="288">
        <v>45539.0</v>
      </c>
      <c r="I153" s="288">
        <v>45547.0</v>
      </c>
      <c r="J153" s="288">
        <v>45547.0</v>
      </c>
      <c r="K153" s="536" t="s">
        <v>4916</v>
      </c>
      <c r="L153" s="451"/>
      <c r="M153" s="290" t="s">
        <v>9550</v>
      </c>
      <c r="N153" s="299" t="s">
        <v>4635</v>
      </c>
      <c r="O153" s="322" t="s">
        <v>2621</v>
      </c>
      <c r="P153" s="300">
        <v>44874.4</v>
      </c>
      <c r="Q153" s="299">
        <f t="shared" si="1"/>
        <v>37</v>
      </c>
      <c r="R153" s="424"/>
      <c r="S153" s="366" t="s">
        <v>9166</v>
      </c>
      <c r="T153" s="198"/>
      <c r="U153" s="198"/>
      <c r="V153" s="198"/>
      <c r="W153" s="198"/>
      <c r="X153" s="198"/>
      <c r="Y153" s="198"/>
      <c r="Z153" s="198"/>
    </row>
    <row r="154" ht="91.5" customHeight="1">
      <c r="A154" s="370">
        <v>39315.0</v>
      </c>
      <c r="B154" s="299" t="s">
        <v>715</v>
      </c>
      <c r="C154" s="285">
        <v>4810.0</v>
      </c>
      <c r="D154" s="285" t="s">
        <v>9551</v>
      </c>
      <c r="E154" s="287" t="s">
        <v>9552</v>
      </c>
      <c r="F154" s="288">
        <v>45542.0</v>
      </c>
      <c r="G154" s="288">
        <v>45537.0</v>
      </c>
      <c r="H154" s="288">
        <v>45537.0</v>
      </c>
      <c r="I154" s="288">
        <v>45547.0</v>
      </c>
      <c r="J154" s="288">
        <v>45547.0</v>
      </c>
      <c r="K154" s="294"/>
      <c r="L154" s="294"/>
      <c r="M154" s="290" t="s">
        <v>9553</v>
      </c>
      <c r="N154" s="299" t="s">
        <v>4635</v>
      </c>
      <c r="O154" s="322" t="s">
        <v>2621</v>
      </c>
      <c r="P154" s="300">
        <v>48739.72</v>
      </c>
      <c r="Q154" s="299">
        <f t="shared" si="1"/>
        <v>36</v>
      </c>
      <c r="R154" s="424"/>
      <c r="S154" s="366" t="s">
        <v>9166</v>
      </c>
      <c r="T154" s="198"/>
      <c r="U154" s="198"/>
      <c r="V154" s="198"/>
      <c r="W154" s="198"/>
      <c r="X154" s="198"/>
      <c r="Y154" s="198"/>
      <c r="Z154" s="198"/>
    </row>
    <row r="155" ht="91.5" customHeight="1">
      <c r="A155" s="370">
        <v>39334.0</v>
      </c>
      <c r="B155" s="299" t="s">
        <v>715</v>
      </c>
      <c r="C155" s="285">
        <v>940.0</v>
      </c>
      <c r="D155" s="285" t="s">
        <v>9554</v>
      </c>
      <c r="E155" s="287" t="s">
        <v>9408</v>
      </c>
      <c r="F155" s="288">
        <v>45542.0</v>
      </c>
      <c r="G155" s="288">
        <v>45538.0</v>
      </c>
      <c r="H155" s="288">
        <v>45538.0</v>
      </c>
      <c r="I155" s="288">
        <v>45548.0</v>
      </c>
      <c r="J155" s="288">
        <v>45548.0</v>
      </c>
      <c r="K155" s="294"/>
      <c r="L155" s="294"/>
      <c r="M155" s="290" t="s">
        <v>9555</v>
      </c>
      <c r="N155" s="299" t="s">
        <v>4635</v>
      </c>
      <c r="O155" s="322" t="s">
        <v>2621</v>
      </c>
      <c r="P155" s="300">
        <v>41039.8</v>
      </c>
      <c r="Q155" s="299">
        <f t="shared" si="1"/>
        <v>36</v>
      </c>
      <c r="R155" s="424"/>
      <c r="S155" s="366" t="s">
        <v>8430</v>
      </c>
      <c r="T155" s="198"/>
      <c r="U155" s="198"/>
      <c r="V155" s="198"/>
      <c r="W155" s="198"/>
      <c r="X155" s="198"/>
      <c r="Y155" s="198"/>
      <c r="Z155" s="198"/>
    </row>
    <row r="156" ht="91.5" customHeight="1">
      <c r="A156" s="370">
        <v>39378.0</v>
      </c>
      <c r="B156" s="299" t="s">
        <v>715</v>
      </c>
      <c r="C156" s="285">
        <v>2275.0</v>
      </c>
      <c r="D156" s="285" t="s">
        <v>9556</v>
      </c>
      <c r="E156" s="287" t="s">
        <v>4667</v>
      </c>
      <c r="F156" s="288">
        <v>45538.0</v>
      </c>
      <c r="G156" s="288">
        <v>45532.0</v>
      </c>
      <c r="H156" s="288">
        <v>45532.0</v>
      </c>
      <c r="I156" s="288">
        <v>45544.0</v>
      </c>
      <c r="J156" s="288">
        <v>45544.0</v>
      </c>
      <c r="K156" s="294"/>
      <c r="L156" s="294" t="s">
        <v>9532</v>
      </c>
      <c r="M156" s="290" t="s">
        <v>9557</v>
      </c>
      <c r="N156" s="299" t="s">
        <v>497</v>
      </c>
      <c r="O156" s="322" t="s">
        <v>2554</v>
      </c>
      <c r="P156" s="300">
        <v>35740.0</v>
      </c>
      <c r="Q156" s="299">
        <f t="shared" si="1"/>
        <v>36</v>
      </c>
      <c r="R156" s="424" t="s">
        <v>9198</v>
      </c>
      <c r="S156" s="366" t="s">
        <v>9171</v>
      </c>
      <c r="T156" s="198"/>
      <c r="U156" s="198"/>
      <c r="V156" s="198"/>
      <c r="W156" s="198"/>
      <c r="X156" s="198"/>
      <c r="Y156" s="198"/>
      <c r="Z156" s="198"/>
    </row>
    <row r="157" ht="91.5" customHeight="1">
      <c r="A157" s="370">
        <v>39263.0</v>
      </c>
      <c r="B157" s="299" t="s">
        <v>715</v>
      </c>
      <c r="C157" s="285">
        <v>1250.0</v>
      </c>
      <c r="D157" s="285" t="s">
        <v>9558</v>
      </c>
      <c r="E157" s="287" t="s">
        <v>4637</v>
      </c>
      <c r="F157" s="288">
        <v>45538.0</v>
      </c>
      <c r="G157" s="288">
        <v>45532.0</v>
      </c>
      <c r="H157" s="288">
        <v>45532.0</v>
      </c>
      <c r="I157" s="288">
        <v>45544.0</v>
      </c>
      <c r="J157" s="288">
        <v>45544.0</v>
      </c>
      <c r="K157" s="294"/>
      <c r="L157" s="294"/>
      <c r="M157" s="290" t="s">
        <v>9559</v>
      </c>
      <c r="N157" s="299" t="s">
        <v>497</v>
      </c>
      <c r="O157" s="322" t="s">
        <v>2554</v>
      </c>
      <c r="P157" s="300">
        <v>36250.0</v>
      </c>
      <c r="Q157" s="299">
        <f t="shared" si="1"/>
        <v>36</v>
      </c>
      <c r="R157" s="424" t="s">
        <v>9170</v>
      </c>
      <c r="S157" s="366" t="s">
        <v>9171</v>
      </c>
      <c r="T157" s="198"/>
      <c r="U157" s="198"/>
      <c r="V157" s="198"/>
      <c r="W157" s="198"/>
      <c r="X157" s="198"/>
      <c r="Y157" s="198"/>
      <c r="Z157" s="198"/>
    </row>
    <row r="158" ht="91.5" customHeight="1">
      <c r="A158" s="370">
        <v>39218.0</v>
      </c>
      <c r="B158" s="285" t="s">
        <v>21</v>
      </c>
      <c r="C158" s="285">
        <v>1040.0</v>
      </c>
      <c r="D158" s="285" t="s">
        <v>9560</v>
      </c>
      <c r="E158" s="287" t="s">
        <v>7575</v>
      </c>
      <c r="F158" s="288">
        <v>45536.0</v>
      </c>
      <c r="G158" s="288">
        <v>45532.0</v>
      </c>
      <c r="H158" s="288">
        <v>45532.0</v>
      </c>
      <c r="I158" s="288">
        <v>45545.0</v>
      </c>
      <c r="J158" s="288">
        <v>45545.0</v>
      </c>
      <c r="K158" s="536" t="s">
        <v>4916</v>
      </c>
      <c r="L158" s="451"/>
      <c r="M158" s="290" t="s">
        <v>9561</v>
      </c>
      <c r="N158" s="299" t="s">
        <v>497</v>
      </c>
      <c r="O158" s="322" t="s">
        <v>2604</v>
      </c>
      <c r="P158" s="300">
        <v>50834.7</v>
      </c>
      <c r="Q158" s="299">
        <f t="shared" si="1"/>
        <v>36</v>
      </c>
      <c r="R158" s="424"/>
      <c r="S158" s="366" t="s">
        <v>9166</v>
      </c>
      <c r="T158" s="198"/>
      <c r="U158" s="198"/>
      <c r="V158" s="198"/>
      <c r="W158" s="198"/>
      <c r="X158" s="198"/>
      <c r="Y158" s="198"/>
      <c r="Z158" s="198"/>
    </row>
    <row r="159" ht="91.5" customHeight="1">
      <c r="A159" s="370">
        <v>39345.0</v>
      </c>
      <c r="B159" s="299" t="s">
        <v>715</v>
      </c>
      <c r="C159" s="285">
        <v>1100.0</v>
      </c>
      <c r="D159" s="285" t="s">
        <v>9562</v>
      </c>
      <c r="E159" s="287" t="s">
        <v>9563</v>
      </c>
      <c r="F159" s="288">
        <v>45536.0</v>
      </c>
      <c r="G159" s="288">
        <v>45531.0</v>
      </c>
      <c r="H159" s="288">
        <v>45531.0</v>
      </c>
      <c r="I159" s="288">
        <v>45545.0</v>
      </c>
      <c r="J159" s="288">
        <v>45545.0</v>
      </c>
      <c r="K159" s="294"/>
      <c r="L159" s="294"/>
      <c r="M159" s="290" t="s">
        <v>9564</v>
      </c>
      <c r="N159" s="299" t="s">
        <v>4635</v>
      </c>
      <c r="O159" s="322" t="s">
        <v>2621</v>
      </c>
      <c r="P159" s="300">
        <v>79629.3</v>
      </c>
      <c r="Q159" s="299">
        <f t="shared" si="1"/>
        <v>36</v>
      </c>
      <c r="R159" s="424"/>
      <c r="S159" s="366" t="s">
        <v>9166</v>
      </c>
      <c r="T159" s="198"/>
      <c r="U159" s="198"/>
      <c r="V159" s="198"/>
      <c r="W159" s="198"/>
      <c r="X159" s="198"/>
      <c r="Y159" s="198"/>
      <c r="Z159" s="198"/>
    </row>
    <row r="160" ht="91.5" customHeight="1">
      <c r="A160" s="370">
        <v>39331.0</v>
      </c>
      <c r="B160" s="299" t="s">
        <v>715</v>
      </c>
      <c r="C160" s="285">
        <v>1250.0</v>
      </c>
      <c r="D160" s="285" t="s">
        <v>9565</v>
      </c>
      <c r="E160" s="287" t="s">
        <v>9515</v>
      </c>
      <c r="F160" s="288">
        <v>45535.0</v>
      </c>
      <c r="G160" s="288">
        <v>45530.0</v>
      </c>
      <c r="H160" s="288">
        <v>45530.0</v>
      </c>
      <c r="I160" s="288">
        <v>45539.0</v>
      </c>
      <c r="J160" s="288">
        <v>45539.0</v>
      </c>
      <c r="K160" s="294"/>
      <c r="L160" s="294"/>
      <c r="M160" s="290" t="s">
        <v>9566</v>
      </c>
      <c r="N160" s="299" t="s">
        <v>4635</v>
      </c>
      <c r="O160" s="322" t="s">
        <v>2621</v>
      </c>
      <c r="P160" s="300">
        <v>29313.0</v>
      </c>
      <c r="Q160" s="299">
        <f t="shared" si="1"/>
        <v>35</v>
      </c>
      <c r="R160" s="424"/>
      <c r="S160" s="366" t="s">
        <v>8430</v>
      </c>
      <c r="T160" s="198"/>
      <c r="U160" s="198"/>
      <c r="V160" s="198"/>
      <c r="W160" s="198"/>
      <c r="X160" s="198"/>
      <c r="Y160" s="198"/>
      <c r="Z160" s="198"/>
    </row>
    <row r="161" ht="91.5" customHeight="1">
      <c r="A161" s="370">
        <v>39260.0</v>
      </c>
      <c r="B161" s="285" t="s">
        <v>21</v>
      </c>
      <c r="C161" s="285">
        <v>4500.0</v>
      </c>
      <c r="D161" s="285" t="s">
        <v>9567</v>
      </c>
      <c r="E161" s="287" t="s">
        <v>4658</v>
      </c>
      <c r="F161" s="288">
        <v>45535.0</v>
      </c>
      <c r="G161" s="288">
        <v>45532.0</v>
      </c>
      <c r="H161" s="288">
        <v>45532.0</v>
      </c>
      <c r="I161" s="288">
        <v>45541.0</v>
      </c>
      <c r="J161" s="288">
        <v>45541.0</v>
      </c>
      <c r="K161" s="294" t="s">
        <v>4841</v>
      </c>
      <c r="L161" s="294"/>
      <c r="M161" s="290" t="s">
        <v>9568</v>
      </c>
      <c r="N161" s="299" t="s">
        <v>497</v>
      </c>
      <c r="O161" s="322" t="s">
        <v>2554</v>
      </c>
      <c r="P161" s="300">
        <v>33750.0</v>
      </c>
      <c r="Q161" s="299">
        <f t="shared" si="1"/>
        <v>35</v>
      </c>
      <c r="R161" s="424" t="s">
        <v>9170</v>
      </c>
      <c r="S161" s="366" t="s">
        <v>9171</v>
      </c>
      <c r="T161" s="198"/>
      <c r="U161" s="198"/>
      <c r="V161" s="198"/>
      <c r="W161" s="198"/>
      <c r="X161" s="198"/>
      <c r="Y161" s="198"/>
      <c r="Z161" s="198"/>
    </row>
    <row r="162" ht="91.5" customHeight="1">
      <c r="A162" s="370">
        <v>39499.0</v>
      </c>
      <c r="B162" s="299" t="s">
        <v>25</v>
      </c>
      <c r="C162" s="285">
        <v>2750.0</v>
      </c>
      <c r="D162" s="285" t="s">
        <v>9569</v>
      </c>
      <c r="E162" s="287" t="s">
        <v>9317</v>
      </c>
      <c r="F162" s="288">
        <v>45535.0</v>
      </c>
      <c r="G162" s="288">
        <v>45538.0</v>
      </c>
      <c r="H162" s="288">
        <v>45538.0</v>
      </c>
      <c r="I162" s="288">
        <v>45541.0</v>
      </c>
      <c r="J162" s="288">
        <v>45541.0</v>
      </c>
      <c r="K162" s="294"/>
      <c r="L162" s="294"/>
      <c r="M162" s="290" t="s">
        <v>9570</v>
      </c>
      <c r="N162" s="299" t="s">
        <v>4635</v>
      </c>
      <c r="O162" s="322" t="s">
        <v>2621</v>
      </c>
      <c r="P162" s="300">
        <v>36300.0</v>
      </c>
      <c r="Q162" s="299">
        <f t="shared" si="1"/>
        <v>35</v>
      </c>
      <c r="R162" s="424"/>
      <c r="S162" s="366" t="s">
        <v>9166</v>
      </c>
      <c r="T162" s="198"/>
      <c r="U162" s="198"/>
      <c r="V162" s="198"/>
      <c r="W162" s="198"/>
      <c r="X162" s="198"/>
      <c r="Y162" s="198"/>
      <c r="Z162" s="198"/>
    </row>
    <row r="163" ht="91.5" customHeight="1">
      <c r="A163" s="370">
        <v>39252.0</v>
      </c>
      <c r="B163" s="299" t="s">
        <v>715</v>
      </c>
      <c r="C163" s="285">
        <v>4230.0</v>
      </c>
      <c r="D163" s="285" t="s">
        <v>9571</v>
      </c>
      <c r="E163" s="287" t="s">
        <v>7438</v>
      </c>
      <c r="F163" s="288">
        <v>45535.0</v>
      </c>
      <c r="G163" s="288">
        <v>45530.0</v>
      </c>
      <c r="H163" s="288">
        <v>45530.0</v>
      </c>
      <c r="I163" s="288">
        <v>45541.0</v>
      </c>
      <c r="J163" s="288">
        <v>45541.0</v>
      </c>
      <c r="K163" s="294"/>
      <c r="L163" s="294"/>
      <c r="M163" s="290" t="s">
        <v>9572</v>
      </c>
      <c r="N163" s="299" t="s">
        <v>497</v>
      </c>
      <c r="O163" s="322" t="s">
        <v>2554</v>
      </c>
      <c r="P163" s="300">
        <v>31196.25</v>
      </c>
      <c r="Q163" s="299">
        <f t="shared" si="1"/>
        <v>35</v>
      </c>
      <c r="R163" s="424" t="s">
        <v>9170</v>
      </c>
      <c r="S163" s="366" t="s">
        <v>9171</v>
      </c>
      <c r="T163" s="198"/>
      <c r="U163" s="198"/>
      <c r="V163" s="198"/>
      <c r="W163" s="198"/>
      <c r="X163" s="198"/>
      <c r="Y163" s="198"/>
      <c r="Z163" s="198"/>
    </row>
    <row r="164" ht="91.5" customHeight="1">
      <c r="A164" s="370">
        <v>39249.0</v>
      </c>
      <c r="B164" s="299" t="s">
        <v>25</v>
      </c>
      <c r="C164" s="285">
        <v>1990.0</v>
      </c>
      <c r="D164" s="285" t="s">
        <v>9573</v>
      </c>
      <c r="E164" s="287" t="s">
        <v>3812</v>
      </c>
      <c r="F164" s="288">
        <v>45534.0</v>
      </c>
      <c r="G164" s="288">
        <v>45531.0</v>
      </c>
      <c r="H164" s="288">
        <v>45531.0</v>
      </c>
      <c r="I164" s="288">
        <v>45541.0</v>
      </c>
      <c r="J164" s="288">
        <v>45541.0</v>
      </c>
      <c r="K164" s="294"/>
      <c r="L164" s="294"/>
      <c r="M164" s="290" t="s">
        <v>9574</v>
      </c>
      <c r="N164" s="299" t="s">
        <v>6366</v>
      </c>
      <c r="O164" s="322" t="s">
        <v>4662</v>
      </c>
      <c r="P164" s="300">
        <v>138381.0</v>
      </c>
      <c r="Q164" s="299">
        <f t="shared" si="1"/>
        <v>35</v>
      </c>
      <c r="R164" s="424"/>
      <c r="S164" s="366" t="s">
        <v>9166</v>
      </c>
      <c r="T164" s="198"/>
      <c r="U164" s="198"/>
      <c r="V164" s="198"/>
      <c r="W164" s="198"/>
      <c r="X164" s="198"/>
      <c r="Y164" s="198"/>
      <c r="Z164" s="198"/>
    </row>
    <row r="165" ht="91.5" customHeight="1">
      <c r="A165" s="370">
        <v>39600.0</v>
      </c>
      <c r="B165" s="299" t="s">
        <v>25</v>
      </c>
      <c r="C165" s="285">
        <v>1837.0</v>
      </c>
      <c r="D165" s="285" t="s">
        <v>9575</v>
      </c>
      <c r="E165" s="287" t="s">
        <v>6582</v>
      </c>
      <c r="F165" s="288">
        <v>45532.0</v>
      </c>
      <c r="G165" s="288">
        <v>45527.0</v>
      </c>
      <c r="H165" s="288">
        <v>45527.0</v>
      </c>
      <c r="I165" s="288">
        <v>45539.0</v>
      </c>
      <c r="J165" s="288">
        <v>45539.0</v>
      </c>
      <c r="K165" s="294"/>
      <c r="L165" s="294"/>
      <c r="M165" s="290" t="s">
        <v>9576</v>
      </c>
      <c r="N165" s="299" t="s">
        <v>497</v>
      </c>
      <c r="O165" s="322" t="s">
        <v>2621</v>
      </c>
      <c r="P165" s="300">
        <v>29811.82</v>
      </c>
      <c r="Q165" s="299">
        <f t="shared" si="1"/>
        <v>35</v>
      </c>
      <c r="R165" s="424"/>
      <c r="S165" s="366" t="s">
        <v>9166</v>
      </c>
      <c r="T165" s="198"/>
      <c r="U165" s="198"/>
      <c r="V165" s="198"/>
      <c r="W165" s="198"/>
      <c r="X165" s="198"/>
      <c r="Y165" s="198"/>
      <c r="Z165" s="198"/>
    </row>
    <row r="166" ht="91.5" customHeight="1">
      <c r="A166" s="370">
        <v>39333.0</v>
      </c>
      <c r="B166" s="299" t="s">
        <v>715</v>
      </c>
      <c r="C166" s="285">
        <v>940.0</v>
      </c>
      <c r="D166" s="285" t="s">
        <v>9577</v>
      </c>
      <c r="E166" s="287" t="s">
        <v>9408</v>
      </c>
      <c r="F166" s="288">
        <v>45532.0</v>
      </c>
      <c r="G166" s="288">
        <v>45530.0</v>
      </c>
      <c r="H166" s="288">
        <v>45530.0</v>
      </c>
      <c r="I166" s="288">
        <v>45538.0</v>
      </c>
      <c r="J166" s="288">
        <v>45538.0</v>
      </c>
      <c r="K166" s="294"/>
      <c r="L166" s="294"/>
      <c r="M166" s="290" t="s">
        <v>9578</v>
      </c>
      <c r="N166" s="299" t="s">
        <v>4635</v>
      </c>
      <c r="O166" s="322" t="s">
        <v>2621</v>
      </c>
      <c r="P166" s="300">
        <v>41039.8</v>
      </c>
      <c r="Q166" s="299">
        <f t="shared" si="1"/>
        <v>35</v>
      </c>
      <c r="R166" s="424"/>
      <c r="S166" s="366" t="s">
        <v>8430</v>
      </c>
      <c r="T166" s="198"/>
      <c r="U166" s="198"/>
      <c r="V166" s="198"/>
      <c r="W166" s="198"/>
      <c r="X166" s="198"/>
      <c r="Y166" s="198"/>
      <c r="Z166" s="198"/>
    </row>
    <row r="167" ht="91.5" customHeight="1">
      <c r="A167" s="370">
        <v>38925.0</v>
      </c>
      <c r="B167" s="299" t="s">
        <v>25</v>
      </c>
      <c r="C167" s="285" t="s">
        <v>9579</v>
      </c>
      <c r="D167" s="285" t="s">
        <v>9580</v>
      </c>
      <c r="E167" s="287" t="s">
        <v>6395</v>
      </c>
      <c r="F167" s="288">
        <v>45527.0</v>
      </c>
      <c r="G167" s="288">
        <v>45538.0</v>
      </c>
      <c r="H167" s="288">
        <v>45538.0</v>
      </c>
      <c r="I167" s="288">
        <v>45538.0</v>
      </c>
      <c r="J167" s="288">
        <v>45538.0</v>
      </c>
      <c r="K167" s="294"/>
      <c r="L167" s="294"/>
      <c r="M167" s="290" t="s">
        <v>9581</v>
      </c>
      <c r="N167" s="299" t="s">
        <v>4635</v>
      </c>
      <c r="O167" s="299" t="s">
        <v>4912</v>
      </c>
      <c r="P167" s="300">
        <v>96885.0</v>
      </c>
      <c r="Q167" s="299">
        <f t="shared" si="1"/>
        <v>34</v>
      </c>
      <c r="R167" s="424"/>
      <c r="S167" s="366" t="s">
        <v>9166</v>
      </c>
      <c r="T167" s="198"/>
      <c r="U167" s="198"/>
      <c r="V167" s="198"/>
      <c r="W167" s="198"/>
      <c r="X167" s="198"/>
      <c r="Y167" s="198"/>
      <c r="Z167" s="198"/>
    </row>
    <row r="168" ht="91.5" customHeight="1">
      <c r="A168" s="370">
        <v>39204.0</v>
      </c>
      <c r="B168" s="285" t="s">
        <v>21</v>
      </c>
      <c r="C168" s="285">
        <v>4356.0</v>
      </c>
      <c r="D168" s="285" t="s">
        <v>9582</v>
      </c>
      <c r="E168" s="287" t="s">
        <v>7561</v>
      </c>
      <c r="F168" s="288">
        <v>45527.0</v>
      </c>
      <c r="G168" s="288">
        <v>45522.0</v>
      </c>
      <c r="H168" s="288">
        <v>45522.0</v>
      </c>
      <c r="I168" s="288">
        <v>45540.0</v>
      </c>
      <c r="J168" s="288">
        <v>45540.0</v>
      </c>
      <c r="K168" s="294" t="s">
        <v>4841</v>
      </c>
      <c r="L168" s="294"/>
      <c r="M168" s="290" t="s">
        <v>9583</v>
      </c>
      <c r="N168" s="299" t="s">
        <v>497</v>
      </c>
      <c r="O168" s="322" t="s">
        <v>2554</v>
      </c>
      <c r="P168" s="300">
        <v>31537.44</v>
      </c>
      <c r="Q168" s="299">
        <f t="shared" si="1"/>
        <v>34</v>
      </c>
      <c r="R168" s="424" t="s">
        <v>9198</v>
      </c>
      <c r="S168" s="366" t="s">
        <v>9171</v>
      </c>
      <c r="T168" s="198"/>
      <c r="U168" s="198"/>
      <c r="V168" s="198"/>
      <c r="W168" s="198"/>
      <c r="X168" s="198"/>
      <c r="Y168" s="198"/>
      <c r="Z168" s="198"/>
    </row>
    <row r="169" ht="91.5" customHeight="1">
      <c r="A169" s="370">
        <v>39330.0</v>
      </c>
      <c r="B169" s="299" t="s">
        <v>715</v>
      </c>
      <c r="C169" s="285">
        <v>1250.0</v>
      </c>
      <c r="D169" s="285" t="s">
        <v>9584</v>
      </c>
      <c r="E169" s="287" t="s">
        <v>9246</v>
      </c>
      <c r="F169" s="288">
        <v>45526.0</v>
      </c>
      <c r="G169" s="288">
        <v>45524.0</v>
      </c>
      <c r="H169" s="288">
        <v>45524.0</v>
      </c>
      <c r="I169" s="288">
        <v>45532.0</v>
      </c>
      <c r="J169" s="288">
        <v>45532.0</v>
      </c>
      <c r="K169" s="294"/>
      <c r="L169" s="294"/>
      <c r="M169" s="290" t="s">
        <v>9585</v>
      </c>
      <c r="N169" s="299" t="s">
        <v>4635</v>
      </c>
      <c r="O169" s="322" t="s">
        <v>2621</v>
      </c>
      <c r="P169" s="300">
        <v>29548.0</v>
      </c>
      <c r="Q169" s="299">
        <f t="shared" si="1"/>
        <v>34</v>
      </c>
      <c r="R169" s="424"/>
      <c r="S169" s="366" t="s">
        <v>8430</v>
      </c>
      <c r="T169" s="198"/>
      <c r="U169" s="198"/>
      <c r="V169" s="198"/>
      <c r="W169" s="198"/>
      <c r="X169" s="198"/>
      <c r="Y169" s="198"/>
      <c r="Z169" s="198"/>
    </row>
    <row r="170" ht="91.5" customHeight="1">
      <c r="A170" s="370">
        <v>39183.0</v>
      </c>
      <c r="B170" s="299" t="s">
        <v>715</v>
      </c>
      <c r="C170" s="285">
        <v>1306.0</v>
      </c>
      <c r="D170" s="285" t="s">
        <v>9586</v>
      </c>
      <c r="E170" s="287" t="s">
        <v>9587</v>
      </c>
      <c r="F170" s="288">
        <v>45525.0</v>
      </c>
      <c r="G170" s="288">
        <v>45518.0</v>
      </c>
      <c r="H170" s="288">
        <v>45518.0</v>
      </c>
      <c r="I170" s="288">
        <v>45531.0</v>
      </c>
      <c r="J170" s="288">
        <v>45531.0</v>
      </c>
      <c r="K170" s="294"/>
      <c r="L170" s="294" t="s">
        <v>9532</v>
      </c>
      <c r="M170" s="290" t="s">
        <v>9588</v>
      </c>
      <c r="N170" s="299" t="s">
        <v>497</v>
      </c>
      <c r="O170" s="322" t="s">
        <v>2554</v>
      </c>
      <c r="P170" s="300">
        <v>44795.8</v>
      </c>
      <c r="Q170" s="299">
        <f t="shared" si="1"/>
        <v>34</v>
      </c>
      <c r="R170" s="424" t="s">
        <v>9198</v>
      </c>
      <c r="S170" s="366" t="s">
        <v>9171</v>
      </c>
      <c r="T170" s="198"/>
      <c r="U170" s="198"/>
      <c r="V170" s="198"/>
      <c r="W170" s="198"/>
      <c r="X170" s="198"/>
      <c r="Y170" s="198"/>
      <c r="Z170" s="198"/>
    </row>
    <row r="171" ht="91.5" customHeight="1">
      <c r="A171" s="370">
        <v>39189.0</v>
      </c>
      <c r="B171" s="299" t="s">
        <v>715</v>
      </c>
      <c r="C171" s="285">
        <v>1306.0</v>
      </c>
      <c r="D171" s="285" t="s">
        <v>9589</v>
      </c>
      <c r="E171" s="287" t="s">
        <v>7323</v>
      </c>
      <c r="F171" s="288">
        <v>45525.0</v>
      </c>
      <c r="G171" s="288">
        <v>45518.0</v>
      </c>
      <c r="H171" s="288">
        <v>45518.0</v>
      </c>
      <c r="I171" s="288">
        <v>45531.0</v>
      </c>
      <c r="J171" s="288">
        <v>45531.0</v>
      </c>
      <c r="K171" s="294"/>
      <c r="L171" s="294" t="s">
        <v>9532</v>
      </c>
      <c r="M171" s="290" t="s">
        <v>9590</v>
      </c>
      <c r="N171" s="299" t="s">
        <v>497</v>
      </c>
      <c r="O171" s="322" t="s">
        <v>2554</v>
      </c>
      <c r="P171" s="300">
        <v>44795.8</v>
      </c>
      <c r="Q171" s="299">
        <f t="shared" si="1"/>
        <v>34</v>
      </c>
      <c r="R171" s="424" t="s">
        <v>9198</v>
      </c>
      <c r="S171" s="366" t="s">
        <v>9171</v>
      </c>
      <c r="T171" s="198"/>
      <c r="U171" s="198"/>
      <c r="V171" s="198"/>
      <c r="W171" s="198"/>
      <c r="X171" s="198"/>
      <c r="Y171" s="198"/>
      <c r="Z171" s="198"/>
    </row>
    <row r="172" ht="91.5" customHeight="1">
      <c r="A172" s="370">
        <v>39180.0</v>
      </c>
      <c r="B172" s="299" t="s">
        <v>715</v>
      </c>
      <c r="C172" s="285">
        <v>1306.0</v>
      </c>
      <c r="D172" s="285" t="s">
        <v>9591</v>
      </c>
      <c r="E172" s="287" t="s">
        <v>4713</v>
      </c>
      <c r="F172" s="288">
        <v>45525.0</v>
      </c>
      <c r="G172" s="288">
        <v>45518.0</v>
      </c>
      <c r="H172" s="288">
        <v>45518.0</v>
      </c>
      <c r="I172" s="288">
        <v>45530.0</v>
      </c>
      <c r="J172" s="288">
        <v>45530.0</v>
      </c>
      <c r="K172" s="294"/>
      <c r="L172" s="294" t="s">
        <v>9532</v>
      </c>
      <c r="M172" s="290" t="s">
        <v>9592</v>
      </c>
      <c r="N172" s="299" t="s">
        <v>497</v>
      </c>
      <c r="O172" s="322" t="s">
        <v>2554</v>
      </c>
      <c r="P172" s="300">
        <v>44795.8</v>
      </c>
      <c r="Q172" s="299">
        <f t="shared" si="1"/>
        <v>34</v>
      </c>
      <c r="R172" s="424" t="s">
        <v>9198</v>
      </c>
      <c r="S172" s="366" t="s">
        <v>9171</v>
      </c>
      <c r="T172" s="198"/>
      <c r="U172" s="198"/>
      <c r="V172" s="198"/>
      <c r="W172" s="198"/>
      <c r="X172" s="198"/>
      <c r="Y172" s="198"/>
      <c r="Z172" s="198"/>
    </row>
    <row r="173" ht="91.5" customHeight="1">
      <c r="A173" s="370">
        <v>39887.0</v>
      </c>
      <c r="B173" s="285" t="s">
        <v>21</v>
      </c>
      <c r="C173" s="285">
        <v>1475.0</v>
      </c>
      <c r="D173" s="285" t="s">
        <v>9593</v>
      </c>
      <c r="E173" s="287" t="s">
        <v>5198</v>
      </c>
      <c r="F173" s="288">
        <v>45525.0</v>
      </c>
      <c r="G173" s="288">
        <v>45520.0</v>
      </c>
      <c r="H173" s="288">
        <v>45520.0</v>
      </c>
      <c r="I173" s="288">
        <v>45531.0</v>
      </c>
      <c r="J173" s="288">
        <v>45531.0</v>
      </c>
      <c r="K173" s="294" t="s">
        <v>4841</v>
      </c>
      <c r="L173" s="294" t="s">
        <v>4841</v>
      </c>
      <c r="M173" s="290" t="s">
        <v>9594</v>
      </c>
      <c r="N173" s="299" t="s">
        <v>497</v>
      </c>
      <c r="O173" s="322" t="s">
        <v>2621</v>
      </c>
      <c r="P173" s="300">
        <v>48753.0</v>
      </c>
      <c r="Q173" s="299">
        <f t="shared" si="1"/>
        <v>34</v>
      </c>
      <c r="R173" s="424"/>
      <c r="S173" s="366" t="s">
        <v>9166</v>
      </c>
      <c r="T173" s="198"/>
      <c r="U173" s="198"/>
      <c r="V173" s="198"/>
      <c r="W173" s="198"/>
      <c r="X173" s="198"/>
      <c r="Y173" s="198"/>
      <c r="Z173" s="198"/>
    </row>
    <row r="174" ht="91.5" customHeight="1">
      <c r="A174" s="370">
        <v>39266.0</v>
      </c>
      <c r="B174" s="285" t="s">
        <v>21</v>
      </c>
      <c r="C174" s="285">
        <v>4500.0</v>
      </c>
      <c r="D174" s="285" t="s">
        <v>9595</v>
      </c>
      <c r="E174" s="287" t="s">
        <v>7438</v>
      </c>
      <c r="F174" s="288">
        <v>45522.0</v>
      </c>
      <c r="G174" s="288">
        <v>45517.0</v>
      </c>
      <c r="H174" s="288">
        <v>45517.0</v>
      </c>
      <c r="I174" s="288">
        <v>45527.0</v>
      </c>
      <c r="J174" s="288">
        <v>45527.0</v>
      </c>
      <c r="K174" s="294" t="s">
        <v>4841</v>
      </c>
      <c r="L174" s="294"/>
      <c r="M174" s="290" t="s">
        <v>9596</v>
      </c>
      <c r="N174" s="299" t="s">
        <v>497</v>
      </c>
      <c r="O174" s="322" t="s">
        <v>2554</v>
      </c>
      <c r="P174" s="300">
        <v>33187.5</v>
      </c>
      <c r="Q174" s="299">
        <f t="shared" si="1"/>
        <v>34</v>
      </c>
      <c r="R174" s="424" t="s">
        <v>9170</v>
      </c>
      <c r="S174" s="366" t="s">
        <v>9171</v>
      </c>
      <c r="T174" s="198"/>
      <c r="U174" s="198"/>
      <c r="V174" s="198"/>
      <c r="W174" s="198"/>
      <c r="X174" s="198"/>
      <c r="Y174" s="198"/>
      <c r="Z174" s="198"/>
    </row>
    <row r="175" ht="91.5" customHeight="1">
      <c r="A175" s="370">
        <v>39259.0</v>
      </c>
      <c r="B175" s="285" t="s">
        <v>21</v>
      </c>
      <c r="C175" s="285">
        <v>4500.0</v>
      </c>
      <c r="D175" s="285" t="s">
        <v>9597</v>
      </c>
      <c r="E175" s="287" t="s">
        <v>4690</v>
      </c>
      <c r="F175" s="288">
        <v>45522.0</v>
      </c>
      <c r="G175" s="288">
        <v>45517.0</v>
      </c>
      <c r="H175" s="288">
        <v>45517.0</v>
      </c>
      <c r="I175" s="288">
        <v>45526.0</v>
      </c>
      <c r="J175" s="288">
        <v>45526.0</v>
      </c>
      <c r="K175" s="294" t="s">
        <v>4841</v>
      </c>
      <c r="L175" s="294"/>
      <c r="M175" s="290" t="s">
        <v>9598</v>
      </c>
      <c r="N175" s="299" t="s">
        <v>497</v>
      </c>
      <c r="O175" s="322" t="s">
        <v>2554</v>
      </c>
      <c r="P175" s="300">
        <v>32625.0</v>
      </c>
      <c r="Q175" s="299">
        <f t="shared" si="1"/>
        <v>34</v>
      </c>
      <c r="R175" s="424" t="s">
        <v>9170</v>
      </c>
      <c r="S175" s="366" t="s">
        <v>9171</v>
      </c>
      <c r="T175" s="198"/>
      <c r="U175" s="198"/>
      <c r="V175" s="198"/>
      <c r="W175" s="198"/>
      <c r="X175" s="198"/>
      <c r="Y175" s="198"/>
      <c r="Z175" s="198"/>
    </row>
    <row r="176" ht="91.5" customHeight="1">
      <c r="A176" s="370">
        <v>39261.0</v>
      </c>
      <c r="B176" s="285" t="s">
        <v>21</v>
      </c>
      <c r="C176" s="285">
        <v>4500.0</v>
      </c>
      <c r="D176" s="285" t="s">
        <v>9599</v>
      </c>
      <c r="E176" s="287" t="s">
        <v>7438</v>
      </c>
      <c r="F176" s="288">
        <v>45522.0</v>
      </c>
      <c r="G176" s="288">
        <v>45517.0</v>
      </c>
      <c r="H176" s="288">
        <v>45517.0</v>
      </c>
      <c r="I176" s="288">
        <v>45527.0</v>
      </c>
      <c r="J176" s="288">
        <v>45527.0</v>
      </c>
      <c r="K176" s="294" t="s">
        <v>4841</v>
      </c>
      <c r="L176" s="294"/>
      <c r="M176" s="290" t="s">
        <v>9600</v>
      </c>
      <c r="N176" s="299" t="s">
        <v>497</v>
      </c>
      <c r="O176" s="322" t="s">
        <v>2554</v>
      </c>
      <c r="P176" s="300">
        <v>33187.5</v>
      </c>
      <c r="Q176" s="299">
        <f t="shared" si="1"/>
        <v>34</v>
      </c>
      <c r="R176" s="424" t="s">
        <v>9170</v>
      </c>
      <c r="S176" s="366" t="s">
        <v>9171</v>
      </c>
      <c r="T176" s="198"/>
      <c r="U176" s="198"/>
      <c r="V176" s="198"/>
      <c r="W176" s="198"/>
      <c r="X176" s="198"/>
      <c r="Y176" s="198"/>
      <c r="Z176" s="198"/>
    </row>
    <row r="177" ht="91.5" customHeight="1">
      <c r="A177" s="370">
        <v>39254.0</v>
      </c>
      <c r="B177" s="285" t="s">
        <v>21</v>
      </c>
      <c r="C177" s="285">
        <v>4500.0</v>
      </c>
      <c r="D177" s="285" t="s">
        <v>9601</v>
      </c>
      <c r="E177" s="287" t="s">
        <v>7438</v>
      </c>
      <c r="F177" s="288">
        <v>45521.0</v>
      </c>
      <c r="G177" s="288">
        <v>45516.0</v>
      </c>
      <c r="H177" s="288">
        <v>45516.0</v>
      </c>
      <c r="I177" s="288">
        <v>45524.0</v>
      </c>
      <c r="J177" s="288">
        <v>45524.0</v>
      </c>
      <c r="K177" s="294" t="s">
        <v>4841</v>
      </c>
      <c r="L177" s="294"/>
      <c r="M177" s="290" t="s">
        <v>9602</v>
      </c>
      <c r="N177" s="299" t="s">
        <v>497</v>
      </c>
      <c r="O177" s="322" t="s">
        <v>2554</v>
      </c>
      <c r="P177" s="300">
        <v>33187.5</v>
      </c>
      <c r="Q177" s="299">
        <f t="shared" si="1"/>
        <v>33</v>
      </c>
      <c r="R177" s="424" t="s">
        <v>9170</v>
      </c>
      <c r="S177" s="366" t="s">
        <v>9171</v>
      </c>
      <c r="T177" s="198"/>
      <c r="U177" s="198"/>
      <c r="V177" s="198"/>
      <c r="W177" s="198"/>
      <c r="X177" s="198"/>
      <c r="Y177" s="198"/>
      <c r="Z177" s="198"/>
    </row>
    <row r="178" ht="91.5" customHeight="1">
      <c r="A178" s="370">
        <v>39256.0</v>
      </c>
      <c r="B178" s="285" t="s">
        <v>21</v>
      </c>
      <c r="C178" s="285">
        <v>4500.0</v>
      </c>
      <c r="D178" s="285" t="s">
        <v>9603</v>
      </c>
      <c r="E178" s="287" t="s">
        <v>7438</v>
      </c>
      <c r="F178" s="288">
        <v>45521.0</v>
      </c>
      <c r="G178" s="288">
        <v>45516.0</v>
      </c>
      <c r="H178" s="288">
        <v>45516.0</v>
      </c>
      <c r="I178" s="288">
        <v>45526.0</v>
      </c>
      <c r="J178" s="288">
        <v>45526.0</v>
      </c>
      <c r="K178" s="294" t="s">
        <v>4841</v>
      </c>
      <c r="L178" s="294"/>
      <c r="M178" s="290" t="s">
        <v>9604</v>
      </c>
      <c r="N178" s="299" t="s">
        <v>497</v>
      </c>
      <c r="O178" s="322" t="s">
        <v>2554</v>
      </c>
      <c r="P178" s="300">
        <v>33187.5</v>
      </c>
      <c r="Q178" s="299">
        <f t="shared" si="1"/>
        <v>33</v>
      </c>
      <c r="R178" s="424" t="s">
        <v>9170</v>
      </c>
      <c r="S178" s="366" t="s">
        <v>9171</v>
      </c>
      <c r="T178" s="198"/>
      <c r="U178" s="198"/>
      <c r="V178" s="198"/>
      <c r="W178" s="198"/>
      <c r="X178" s="198"/>
      <c r="Y178" s="198"/>
      <c r="Z178" s="198"/>
    </row>
    <row r="179" ht="91.5" customHeight="1">
      <c r="A179" s="370">
        <v>39255.0</v>
      </c>
      <c r="B179" s="285" t="s">
        <v>21</v>
      </c>
      <c r="C179" s="285">
        <v>4500.0</v>
      </c>
      <c r="D179" s="285" t="s">
        <v>9605</v>
      </c>
      <c r="E179" s="287" t="s">
        <v>4658</v>
      </c>
      <c r="F179" s="288">
        <v>45521.0</v>
      </c>
      <c r="G179" s="288">
        <v>45516.0</v>
      </c>
      <c r="H179" s="288">
        <v>45516.0</v>
      </c>
      <c r="I179" s="288">
        <v>45525.0</v>
      </c>
      <c r="J179" s="288">
        <v>45525.0</v>
      </c>
      <c r="K179" s="294" t="s">
        <v>4841</v>
      </c>
      <c r="L179" s="294"/>
      <c r="M179" s="290" t="s">
        <v>9606</v>
      </c>
      <c r="N179" s="299" t="s">
        <v>497</v>
      </c>
      <c r="O179" s="322" t="s">
        <v>2554</v>
      </c>
      <c r="P179" s="300">
        <v>33750.0</v>
      </c>
      <c r="Q179" s="299">
        <f t="shared" si="1"/>
        <v>33</v>
      </c>
      <c r="R179" s="424" t="s">
        <v>9170</v>
      </c>
      <c r="S179" s="366" t="s">
        <v>9171</v>
      </c>
      <c r="T179" s="198"/>
      <c r="U179" s="198"/>
      <c r="V179" s="198"/>
      <c r="W179" s="198"/>
      <c r="X179" s="198"/>
      <c r="Y179" s="198"/>
      <c r="Z179" s="198"/>
    </row>
    <row r="180" ht="91.5" customHeight="1">
      <c r="A180" s="370">
        <v>39329.0</v>
      </c>
      <c r="B180" s="299" t="s">
        <v>715</v>
      </c>
      <c r="C180" s="285">
        <v>940.0</v>
      </c>
      <c r="D180" s="285" t="s">
        <v>9607</v>
      </c>
      <c r="E180" s="287" t="s">
        <v>9408</v>
      </c>
      <c r="F180" s="288">
        <v>45520.0</v>
      </c>
      <c r="G180" s="288">
        <v>45517.0</v>
      </c>
      <c r="H180" s="288">
        <v>45517.0</v>
      </c>
      <c r="I180" s="288">
        <v>45524.0</v>
      </c>
      <c r="J180" s="288">
        <v>45524.0</v>
      </c>
      <c r="K180" s="294"/>
      <c r="L180" s="294"/>
      <c r="M180" s="290" t="s">
        <v>9608</v>
      </c>
      <c r="N180" s="299" t="s">
        <v>4635</v>
      </c>
      <c r="O180" s="322" t="s">
        <v>2621</v>
      </c>
      <c r="P180" s="300">
        <v>40941.8</v>
      </c>
      <c r="Q180" s="299">
        <f t="shared" si="1"/>
        <v>33</v>
      </c>
      <c r="R180" s="424"/>
      <c r="S180" s="366" t="s">
        <v>8430</v>
      </c>
      <c r="T180" s="198"/>
      <c r="U180" s="198"/>
      <c r="V180" s="198"/>
      <c r="W180" s="198"/>
      <c r="X180" s="198"/>
      <c r="Y180" s="198"/>
      <c r="Z180" s="198"/>
    </row>
    <row r="181" ht="91.5" customHeight="1">
      <c r="A181" s="370">
        <v>39782.0</v>
      </c>
      <c r="B181" s="285" t="s">
        <v>21</v>
      </c>
      <c r="C181" s="285">
        <v>1220.0</v>
      </c>
      <c r="D181" s="285" t="s">
        <v>9609</v>
      </c>
      <c r="E181" s="287" t="s">
        <v>9610</v>
      </c>
      <c r="F181" s="288">
        <v>45518.0</v>
      </c>
      <c r="G181" s="288">
        <v>45513.0</v>
      </c>
      <c r="H181" s="288">
        <v>45513.0</v>
      </c>
      <c r="I181" s="288">
        <v>45524.0</v>
      </c>
      <c r="J181" s="288">
        <v>45524.0</v>
      </c>
      <c r="K181" s="536" t="s">
        <v>4916</v>
      </c>
      <c r="L181" s="451"/>
      <c r="M181" s="290" t="s">
        <v>9611</v>
      </c>
      <c r="N181" s="299" t="s">
        <v>4635</v>
      </c>
      <c r="O181" s="322" t="s">
        <v>2621</v>
      </c>
      <c r="P181" s="300">
        <v>44463.5</v>
      </c>
      <c r="Q181" s="299">
        <f t="shared" si="1"/>
        <v>33</v>
      </c>
      <c r="R181" s="424"/>
      <c r="S181" s="366" t="s">
        <v>8430</v>
      </c>
      <c r="T181" s="198"/>
      <c r="U181" s="198"/>
      <c r="V181" s="198"/>
      <c r="W181" s="198"/>
      <c r="X181" s="198"/>
      <c r="Y181" s="198"/>
      <c r="Z181" s="198"/>
    </row>
    <row r="182" ht="91.5" customHeight="1">
      <c r="A182" s="370">
        <v>39191.0</v>
      </c>
      <c r="B182" s="299" t="s">
        <v>715</v>
      </c>
      <c r="C182" s="285">
        <v>1306.0</v>
      </c>
      <c r="D182" s="285" t="s">
        <v>9612</v>
      </c>
      <c r="E182" s="287" t="s">
        <v>7418</v>
      </c>
      <c r="F182" s="288">
        <v>45517.0</v>
      </c>
      <c r="G182" s="288">
        <v>45508.0</v>
      </c>
      <c r="H182" s="288">
        <v>45508.0</v>
      </c>
      <c r="I182" s="288">
        <v>45519.0</v>
      </c>
      <c r="J182" s="288">
        <v>45519.0</v>
      </c>
      <c r="K182" s="294"/>
      <c r="L182" s="294"/>
      <c r="M182" s="290" t="s">
        <v>9613</v>
      </c>
      <c r="N182" s="299" t="s">
        <v>497</v>
      </c>
      <c r="O182" s="322" t="s">
        <v>2554</v>
      </c>
      <c r="P182" s="300">
        <v>44795.8</v>
      </c>
      <c r="Q182" s="299">
        <f t="shared" si="1"/>
        <v>33</v>
      </c>
      <c r="R182" s="424" t="s">
        <v>9198</v>
      </c>
      <c r="S182" s="366" t="s">
        <v>9171</v>
      </c>
      <c r="T182" s="198"/>
      <c r="U182" s="198"/>
      <c r="V182" s="198"/>
      <c r="W182" s="198"/>
      <c r="X182" s="198"/>
      <c r="Y182" s="198"/>
      <c r="Z182" s="198"/>
    </row>
    <row r="183" ht="91.5" customHeight="1">
      <c r="A183" s="370">
        <v>39248.0</v>
      </c>
      <c r="B183" s="299" t="s">
        <v>25</v>
      </c>
      <c r="C183" s="285">
        <v>1930.0</v>
      </c>
      <c r="D183" s="285" t="s">
        <v>9614</v>
      </c>
      <c r="E183" s="287" t="s">
        <v>3812</v>
      </c>
      <c r="F183" s="288">
        <v>45516.0</v>
      </c>
      <c r="G183" s="288">
        <v>45511.0</v>
      </c>
      <c r="H183" s="288">
        <v>45511.0</v>
      </c>
      <c r="I183" s="288">
        <v>45519.0</v>
      </c>
      <c r="J183" s="288">
        <v>45519.0</v>
      </c>
      <c r="K183" s="294"/>
      <c r="L183" s="294"/>
      <c r="M183" s="290" t="s">
        <v>9615</v>
      </c>
      <c r="N183" s="299" t="s">
        <v>6366</v>
      </c>
      <c r="O183" s="322" t="s">
        <v>4662</v>
      </c>
      <c r="P183" s="300">
        <v>136870.0</v>
      </c>
      <c r="Q183" s="299">
        <f t="shared" si="1"/>
        <v>33</v>
      </c>
      <c r="R183" s="424"/>
      <c r="S183" s="366" t="s">
        <v>9166</v>
      </c>
      <c r="T183" s="198"/>
      <c r="U183" s="198"/>
      <c r="V183" s="198"/>
      <c r="W183" s="198"/>
      <c r="X183" s="198"/>
      <c r="Y183" s="198"/>
      <c r="Z183" s="198"/>
    </row>
    <row r="184" ht="91.5" customHeight="1">
      <c r="A184" s="370">
        <v>39253.0</v>
      </c>
      <c r="B184" s="285" t="s">
        <v>21</v>
      </c>
      <c r="C184" s="285">
        <v>4500.0</v>
      </c>
      <c r="D184" s="285" t="s">
        <v>9616</v>
      </c>
      <c r="E184" s="287" t="s">
        <v>7438</v>
      </c>
      <c r="F184" s="288">
        <v>45516.0</v>
      </c>
      <c r="G184" s="288">
        <v>45511.0</v>
      </c>
      <c r="H184" s="288">
        <v>45511.0</v>
      </c>
      <c r="I184" s="288">
        <v>45520.0</v>
      </c>
      <c r="J184" s="288">
        <v>45520.0</v>
      </c>
      <c r="K184" s="294" t="s">
        <v>4841</v>
      </c>
      <c r="L184" s="294"/>
      <c r="M184" s="290" t="s">
        <v>9617</v>
      </c>
      <c r="N184" s="299" t="s">
        <v>497</v>
      </c>
      <c r="O184" s="322" t="s">
        <v>2554</v>
      </c>
      <c r="P184" s="300">
        <v>33187.5</v>
      </c>
      <c r="Q184" s="299">
        <f t="shared" si="1"/>
        <v>33</v>
      </c>
      <c r="R184" s="424" t="s">
        <v>9170</v>
      </c>
      <c r="S184" s="366" t="s">
        <v>9171</v>
      </c>
      <c r="T184" s="198"/>
      <c r="U184" s="198"/>
      <c r="V184" s="198"/>
      <c r="W184" s="198"/>
      <c r="X184" s="198"/>
      <c r="Y184" s="198"/>
      <c r="Z184" s="198"/>
    </row>
    <row r="185" ht="91.5" customHeight="1">
      <c r="A185" s="370">
        <v>39251.0</v>
      </c>
      <c r="B185" s="285" t="s">
        <v>21</v>
      </c>
      <c r="C185" s="285">
        <v>4230.0</v>
      </c>
      <c r="D185" s="285" t="s">
        <v>9618</v>
      </c>
      <c r="E185" s="287" t="s">
        <v>4690</v>
      </c>
      <c r="F185" s="288">
        <v>45516.0</v>
      </c>
      <c r="G185" s="288">
        <v>45511.0</v>
      </c>
      <c r="H185" s="288">
        <v>45511.0</v>
      </c>
      <c r="I185" s="288">
        <v>45519.0</v>
      </c>
      <c r="J185" s="288">
        <v>45519.0</v>
      </c>
      <c r="K185" s="294" t="s">
        <v>4841</v>
      </c>
      <c r="L185" s="294"/>
      <c r="M185" s="290" t="s">
        <v>9619</v>
      </c>
      <c r="N185" s="299" t="s">
        <v>497</v>
      </c>
      <c r="O185" s="322" t="s">
        <v>2554</v>
      </c>
      <c r="P185" s="300">
        <v>30667.5</v>
      </c>
      <c r="Q185" s="299">
        <f t="shared" si="1"/>
        <v>33</v>
      </c>
      <c r="R185" s="424" t="s">
        <v>9170</v>
      </c>
      <c r="S185" s="366" t="s">
        <v>9171</v>
      </c>
      <c r="T185" s="198"/>
      <c r="U185" s="198"/>
      <c r="V185" s="198"/>
      <c r="W185" s="198"/>
      <c r="X185" s="198"/>
      <c r="Y185" s="198"/>
      <c r="Z185" s="198"/>
    </row>
    <row r="186" ht="91.5" customHeight="1">
      <c r="A186" s="370">
        <v>39328.0</v>
      </c>
      <c r="B186" s="299" t="s">
        <v>715</v>
      </c>
      <c r="C186" s="285">
        <v>1250.0</v>
      </c>
      <c r="D186" s="285" t="s">
        <v>9620</v>
      </c>
      <c r="E186" s="287" t="s">
        <v>9621</v>
      </c>
      <c r="F186" s="288">
        <v>45515.0</v>
      </c>
      <c r="G186" s="288">
        <v>45513.0</v>
      </c>
      <c r="H186" s="288">
        <v>45513.0</v>
      </c>
      <c r="I186" s="288">
        <v>45518.0</v>
      </c>
      <c r="J186" s="288">
        <v>45518.0</v>
      </c>
      <c r="K186" s="294"/>
      <c r="L186" s="294"/>
      <c r="M186" s="290" t="s">
        <v>9622</v>
      </c>
      <c r="N186" s="299" t="s">
        <v>4635</v>
      </c>
      <c r="O186" s="322" t="s">
        <v>2621</v>
      </c>
      <c r="P186" s="300">
        <v>29888.8</v>
      </c>
      <c r="Q186" s="299">
        <f t="shared" si="1"/>
        <v>33</v>
      </c>
      <c r="R186" s="424"/>
      <c r="S186" s="366" t="s">
        <v>8430</v>
      </c>
      <c r="T186" s="198"/>
      <c r="U186" s="198"/>
      <c r="V186" s="198"/>
      <c r="W186" s="198"/>
      <c r="X186" s="198"/>
      <c r="Y186" s="198"/>
      <c r="Z186" s="198"/>
    </row>
    <row r="187" ht="91.5" customHeight="1">
      <c r="A187" s="370">
        <v>39780.0</v>
      </c>
      <c r="B187" s="285" t="s">
        <v>21</v>
      </c>
      <c r="C187" s="285">
        <v>1220.0</v>
      </c>
      <c r="D187" s="285" t="s">
        <v>9623</v>
      </c>
      <c r="E187" s="287" t="s">
        <v>9624</v>
      </c>
      <c r="F187" s="288">
        <v>45512.0</v>
      </c>
      <c r="G187" s="288">
        <v>45509.0</v>
      </c>
      <c r="H187" s="288">
        <v>45509.0</v>
      </c>
      <c r="I187" s="288">
        <v>45518.0</v>
      </c>
      <c r="J187" s="288">
        <v>45518.0</v>
      </c>
      <c r="K187" s="536" t="s">
        <v>4916</v>
      </c>
      <c r="L187" s="451"/>
      <c r="M187" s="290" t="s">
        <v>9625</v>
      </c>
      <c r="N187" s="299" t="s">
        <v>4635</v>
      </c>
      <c r="O187" s="322" t="s">
        <v>2621</v>
      </c>
      <c r="P187" s="300">
        <v>44448.1</v>
      </c>
      <c r="Q187" s="299">
        <f t="shared" si="1"/>
        <v>32</v>
      </c>
      <c r="R187" s="424"/>
      <c r="S187" s="366" t="s">
        <v>8430</v>
      </c>
      <c r="T187" s="198"/>
      <c r="U187" s="198"/>
      <c r="V187" s="198"/>
      <c r="W187" s="198"/>
      <c r="X187" s="198"/>
      <c r="Y187" s="198"/>
      <c r="Z187" s="198"/>
    </row>
    <row r="188" ht="91.5" customHeight="1">
      <c r="A188" s="370">
        <v>39324.0</v>
      </c>
      <c r="B188" s="285" t="s">
        <v>21</v>
      </c>
      <c r="C188" s="285">
        <v>1250.0</v>
      </c>
      <c r="D188" s="285" t="s">
        <v>9626</v>
      </c>
      <c r="E188" s="287" t="s">
        <v>9627</v>
      </c>
      <c r="F188" s="288">
        <v>45512.0</v>
      </c>
      <c r="G188" s="288">
        <v>45509.0</v>
      </c>
      <c r="H188" s="288">
        <v>45513.0</v>
      </c>
      <c r="I188" s="288">
        <v>45517.0</v>
      </c>
      <c r="J188" s="288">
        <v>45517.0</v>
      </c>
      <c r="K188" s="536" t="s">
        <v>4916</v>
      </c>
      <c r="L188" s="451"/>
      <c r="M188" s="290" t="s">
        <v>9628</v>
      </c>
      <c r="N188" s="299" t="s">
        <v>4635</v>
      </c>
      <c r="O188" s="322" t="s">
        <v>2621</v>
      </c>
      <c r="P188" s="300">
        <v>29269.6</v>
      </c>
      <c r="Q188" s="299">
        <f t="shared" si="1"/>
        <v>32</v>
      </c>
      <c r="R188" s="424"/>
      <c r="S188" s="366" t="s">
        <v>8430</v>
      </c>
      <c r="T188" s="198"/>
      <c r="U188" s="198"/>
      <c r="V188" s="198"/>
      <c r="W188" s="198"/>
      <c r="X188" s="198"/>
      <c r="Y188" s="198"/>
      <c r="Z188" s="198"/>
    </row>
    <row r="189" ht="91.5" customHeight="1">
      <c r="A189" s="370">
        <v>39203.0</v>
      </c>
      <c r="B189" s="299" t="s">
        <v>25</v>
      </c>
      <c r="C189" s="285">
        <v>1306.0</v>
      </c>
      <c r="D189" s="285" t="s">
        <v>9629</v>
      </c>
      <c r="E189" s="287" t="s">
        <v>9587</v>
      </c>
      <c r="F189" s="288">
        <v>45511.0</v>
      </c>
      <c r="G189" s="288">
        <v>45508.0</v>
      </c>
      <c r="H189" s="288">
        <v>45508.0</v>
      </c>
      <c r="I189" s="288">
        <v>45517.0</v>
      </c>
      <c r="J189" s="288">
        <v>45517.0</v>
      </c>
      <c r="K189" s="294"/>
      <c r="L189" s="294" t="s">
        <v>9532</v>
      </c>
      <c r="M189" s="290" t="s">
        <v>9630</v>
      </c>
      <c r="N189" s="299" t="s">
        <v>497</v>
      </c>
      <c r="O189" s="322" t="s">
        <v>2554</v>
      </c>
      <c r="P189" s="300">
        <v>44795.8</v>
      </c>
      <c r="Q189" s="299">
        <f t="shared" si="1"/>
        <v>32</v>
      </c>
      <c r="R189" s="424" t="s">
        <v>9198</v>
      </c>
      <c r="S189" s="366" t="s">
        <v>9171</v>
      </c>
      <c r="T189" s="198"/>
      <c r="U189" s="198"/>
      <c r="V189" s="198"/>
      <c r="W189" s="198"/>
      <c r="X189" s="198"/>
      <c r="Y189" s="198"/>
      <c r="Z189" s="198"/>
    </row>
    <row r="190" ht="91.5" customHeight="1">
      <c r="A190" s="370">
        <v>39063.0</v>
      </c>
      <c r="B190" s="299" t="s">
        <v>715</v>
      </c>
      <c r="C190" s="285">
        <v>1490.0</v>
      </c>
      <c r="D190" s="285" t="s">
        <v>9631</v>
      </c>
      <c r="E190" s="287" t="s">
        <v>2751</v>
      </c>
      <c r="F190" s="288">
        <v>45509.0</v>
      </c>
      <c r="G190" s="288">
        <v>45505.0</v>
      </c>
      <c r="H190" s="288">
        <v>45505.0</v>
      </c>
      <c r="I190" s="288">
        <v>45512.0</v>
      </c>
      <c r="J190" s="288">
        <v>45512.0</v>
      </c>
      <c r="K190" s="294"/>
      <c r="L190" s="294"/>
      <c r="M190" s="290" t="s">
        <v>9632</v>
      </c>
      <c r="N190" s="299" t="s">
        <v>6366</v>
      </c>
      <c r="O190" s="322" t="s">
        <v>2621</v>
      </c>
      <c r="P190" s="300">
        <v>42430.4</v>
      </c>
      <c r="Q190" s="299">
        <f t="shared" si="1"/>
        <v>32</v>
      </c>
      <c r="R190" s="424"/>
      <c r="S190" s="366" t="s">
        <v>9166</v>
      </c>
      <c r="T190" s="198"/>
      <c r="U190" s="198"/>
      <c r="V190" s="198"/>
      <c r="W190" s="198"/>
      <c r="X190" s="198"/>
      <c r="Y190" s="198"/>
      <c r="Z190" s="198"/>
    </row>
    <row r="191" ht="91.5" customHeight="1">
      <c r="A191" s="370">
        <v>39202.0</v>
      </c>
      <c r="B191" s="285" t="s">
        <v>21</v>
      </c>
      <c r="C191" s="285">
        <v>4356.0</v>
      </c>
      <c r="D191" s="285" t="s">
        <v>9633</v>
      </c>
      <c r="E191" s="287" t="s">
        <v>7561</v>
      </c>
      <c r="F191" s="288">
        <v>45506.0</v>
      </c>
      <c r="G191" s="288">
        <v>45501.0</v>
      </c>
      <c r="H191" s="288">
        <v>45501.0</v>
      </c>
      <c r="I191" s="288">
        <v>45511.0</v>
      </c>
      <c r="J191" s="288">
        <v>45511.0</v>
      </c>
      <c r="K191" s="294" t="s">
        <v>4841</v>
      </c>
      <c r="L191" s="294" t="s">
        <v>9532</v>
      </c>
      <c r="M191" s="290" t="s">
        <v>9634</v>
      </c>
      <c r="N191" s="299" t="s">
        <v>497</v>
      </c>
      <c r="O191" s="322" t="s">
        <v>2554</v>
      </c>
      <c r="P191" s="300">
        <v>31537.44</v>
      </c>
      <c r="Q191" s="299">
        <f t="shared" si="1"/>
        <v>31</v>
      </c>
      <c r="R191" s="424" t="s">
        <v>9198</v>
      </c>
      <c r="S191" s="366" t="s">
        <v>9171</v>
      </c>
      <c r="T191" s="198"/>
      <c r="U191" s="198"/>
      <c r="V191" s="198"/>
      <c r="W191" s="198"/>
      <c r="X191" s="198"/>
      <c r="Y191" s="198"/>
      <c r="Z191" s="198"/>
    </row>
    <row r="192" ht="91.5" customHeight="1">
      <c r="A192" s="370">
        <v>39201.0</v>
      </c>
      <c r="B192" s="285" t="s">
        <v>21</v>
      </c>
      <c r="C192" s="285">
        <v>1306.0</v>
      </c>
      <c r="D192" s="285" t="s">
        <v>9635</v>
      </c>
      <c r="E192" s="287" t="s">
        <v>9341</v>
      </c>
      <c r="F192" s="288">
        <v>45506.0</v>
      </c>
      <c r="G192" s="288">
        <v>45501.0</v>
      </c>
      <c r="H192" s="288">
        <v>45501.0</v>
      </c>
      <c r="I192" s="288">
        <v>45516.0</v>
      </c>
      <c r="J192" s="288">
        <v>45516.0</v>
      </c>
      <c r="K192" s="294" t="s">
        <v>4841</v>
      </c>
      <c r="L192" s="294" t="s">
        <v>9532</v>
      </c>
      <c r="M192" s="290" t="s">
        <v>9636</v>
      </c>
      <c r="N192" s="299" t="s">
        <v>497</v>
      </c>
      <c r="O192" s="322" t="s">
        <v>2554</v>
      </c>
      <c r="P192" s="300">
        <v>44795.8</v>
      </c>
      <c r="Q192" s="299">
        <f t="shared" si="1"/>
        <v>31</v>
      </c>
      <c r="R192" s="424" t="s">
        <v>9198</v>
      </c>
      <c r="S192" s="366" t="s">
        <v>9171</v>
      </c>
      <c r="T192" s="198"/>
      <c r="U192" s="198"/>
      <c r="V192" s="198"/>
      <c r="W192" s="198"/>
      <c r="X192" s="198"/>
      <c r="Y192" s="198"/>
      <c r="Z192" s="198"/>
    </row>
    <row r="193" ht="91.5" customHeight="1">
      <c r="A193" s="370">
        <v>39102.0</v>
      </c>
      <c r="B193" s="299" t="s">
        <v>25</v>
      </c>
      <c r="C193" s="285">
        <v>1390.0</v>
      </c>
      <c r="D193" s="285" t="s">
        <v>9637</v>
      </c>
      <c r="E193" s="287" t="s">
        <v>5211</v>
      </c>
      <c r="F193" s="288">
        <v>45504.0</v>
      </c>
      <c r="G193" s="288">
        <v>45501.0</v>
      </c>
      <c r="H193" s="288">
        <v>45501.0</v>
      </c>
      <c r="I193" s="288">
        <v>45510.0</v>
      </c>
      <c r="J193" s="288">
        <v>45510.0</v>
      </c>
      <c r="K193" s="294"/>
      <c r="L193" s="294"/>
      <c r="M193" s="290" t="s">
        <v>9638</v>
      </c>
      <c r="N193" s="299" t="s">
        <v>497</v>
      </c>
      <c r="O193" s="322" t="s">
        <v>2604</v>
      </c>
      <c r="P193" s="300">
        <v>20439.9</v>
      </c>
      <c r="Q193" s="299">
        <f t="shared" si="1"/>
        <v>31</v>
      </c>
      <c r="R193" s="424"/>
      <c r="S193" s="366" t="s">
        <v>9166</v>
      </c>
      <c r="T193" s="198"/>
      <c r="U193" s="198"/>
      <c r="V193" s="198"/>
      <c r="W193" s="198"/>
      <c r="X193" s="198"/>
      <c r="Y193" s="198"/>
      <c r="Z193" s="198"/>
    </row>
    <row r="194" ht="91.5" customHeight="1">
      <c r="A194" s="370">
        <v>39321.0</v>
      </c>
      <c r="B194" s="285" t="s">
        <v>21</v>
      </c>
      <c r="C194" s="285">
        <v>940.0</v>
      </c>
      <c r="D194" s="285" t="s">
        <v>9639</v>
      </c>
      <c r="E194" s="287" t="s">
        <v>9408</v>
      </c>
      <c r="F194" s="288">
        <v>45504.0</v>
      </c>
      <c r="G194" s="288">
        <v>45498.0</v>
      </c>
      <c r="H194" s="288">
        <v>45498.0</v>
      </c>
      <c r="I194" s="288">
        <v>45510.0</v>
      </c>
      <c r="J194" s="288">
        <v>45510.0</v>
      </c>
      <c r="K194" s="536" t="s">
        <v>4916</v>
      </c>
      <c r="L194" s="451"/>
      <c r="M194" s="290" t="s">
        <v>9640</v>
      </c>
      <c r="N194" s="299" t="s">
        <v>4635</v>
      </c>
      <c r="O194" s="322" t="s">
        <v>2621</v>
      </c>
      <c r="P194" s="300">
        <v>39368.0</v>
      </c>
      <c r="Q194" s="299">
        <f t="shared" si="1"/>
        <v>31</v>
      </c>
      <c r="R194" s="424"/>
      <c r="S194" s="366" t="s">
        <v>8430</v>
      </c>
      <c r="T194" s="198"/>
      <c r="U194" s="198"/>
      <c r="V194" s="198"/>
      <c r="W194" s="198"/>
      <c r="X194" s="198"/>
      <c r="Y194" s="198"/>
      <c r="Z194" s="198"/>
    </row>
    <row r="195" ht="91.5" customHeight="1">
      <c r="A195" s="370">
        <v>38959.0</v>
      </c>
      <c r="B195" s="299" t="s">
        <v>25</v>
      </c>
      <c r="C195" s="285">
        <v>2275.0</v>
      </c>
      <c r="D195" s="285" t="s">
        <v>9641</v>
      </c>
      <c r="E195" s="287" t="s">
        <v>4667</v>
      </c>
      <c r="F195" s="288">
        <v>45500.0</v>
      </c>
      <c r="G195" s="288">
        <v>45495.0</v>
      </c>
      <c r="H195" s="288">
        <v>45495.0</v>
      </c>
      <c r="I195" s="288">
        <v>45504.0</v>
      </c>
      <c r="J195" s="288">
        <v>45504.0</v>
      </c>
      <c r="K195" s="294"/>
      <c r="L195" s="294"/>
      <c r="M195" s="290" t="s">
        <v>9642</v>
      </c>
      <c r="N195" s="299" t="s">
        <v>497</v>
      </c>
      <c r="O195" s="322" t="s">
        <v>2554</v>
      </c>
      <c r="P195" s="300">
        <v>35890.0</v>
      </c>
      <c r="Q195" s="299">
        <f t="shared" si="1"/>
        <v>30</v>
      </c>
      <c r="R195" s="424" t="s">
        <v>9198</v>
      </c>
      <c r="S195" s="366" t="s">
        <v>9171</v>
      </c>
      <c r="T195" s="198"/>
      <c r="U195" s="198"/>
      <c r="V195" s="198"/>
      <c r="W195" s="198"/>
      <c r="X195" s="198"/>
      <c r="Y195" s="198"/>
      <c r="Z195" s="198"/>
    </row>
    <row r="196" ht="91.5" customHeight="1">
      <c r="A196" s="370">
        <v>38962.0</v>
      </c>
      <c r="B196" s="299" t="s">
        <v>25</v>
      </c>
      <c r="C196" s="285">
        <v>2275.0</v>
      </c>
      <c r="D196" s="285" t="s">
        <v>9643</v>
      </c>
      <c r="E196" s="287" t="s">
        <v>4667</v>
      </c>
      <c r="F196" s="288">
        <v>45500.0</v>
      </c>
      <c r="G196" s="288">
        <v>45495.0</v>
      </c>
      <c r="H196" s="288">
        <v>45495.0</v>
      </c>
      <c r="I196" s="288">
        <v>45505.0</v>
      </c>
      <c r="J196" s="288">
        <v>45505.0</v>
      </c>
      <c r="K196" s="294"/>
      <c r="L196" s="294" t="s">
        <v>9532</v>
      </c>
      <c r="M196" s="290" t="s">
        <v>9644</v>
      </c>
      <c r="N196" s="299" t="s">
        <v>497</v>
      </c>
      <c r="O196" s="322" t="s">
        <v>2554</v>
      </c>
      <c r="P196" s="300">
        <v>35740.0</v>
      </c>
      <c r="Q196" s="299">
        <f t="shared" si="1"/>
        <v>30</v>
      </c>
      <c r="R196" s="424" t="s">
        <v>9198</v>
      </c>
      <c r="S196" s="366" t="s">
        <v>9171</v>
      </c>
      <c r="T196" s="198"/>
      <c r="U196" s="198"/>
      <c r="V196" s="198"/>
      <c r="W196" s="198"/>
      <c r="X196" s="198"/>
      <c r="Y196" s="198"/>
      <c r="Z196" s="198"/>
    </row>
    <row r="197" ht="91.5" customHeight="1">
      <c r="A197" s="370">
        <v>39372.0</v>
      </c>
      <c r="B197" s="299" t="s">
        <v>9645</v>
      </c>
      <c r="C197" s="285" t="s">
        <v>9646</v>
      </c>
      <c r="D197" s="285" t="s">
        <v>9647</v>
      </c>
      <c r="E197" s="287" t="s">
        <v>9648</v>
      </c>
      <c r="F197" s="288">
        <v>45497.0</v>
      </c>
      <c r="G197" s="285" t="s">
        <v>4841</v>
      </c>
      <c r="H197" s="285" t="s">
        <v>4841</v>
      </c>
      <c r="I197" s="288">
        <v>45504.0</v>
      </c>
      <c r="J197" s="288">
        <v>45504.0</v>
      </c>
      <c r="K197" s="294"/>
      <c r="L197" s="294"/>
      <c r="M197" s="290" t="s">
        <v>9649</v>
      </c>
      <c r="N197" s="299" t="s">
        <v>497</v>
      </c>
      <c r="O197" s="322" t="s">
        <v>2538</v>
      </c>
      <c r="P197" s="300">
        <v>54480.0</v>
      </c>
      <c r="Q197" s="299">
        <f t="shared" si="1"/>
        <v>30</v>
      </c>
      <c r="R197" s="424"/>
      <c r="S197" s="366" t="s">
        <v>9166</v>
      </c>
      <c r="T197" s="198"/>
      <c r="U197" s="198"/>
      <c r="V197" s="198"/>
      <c r="W197" s="198"/>
      <c r="X197" s="198"/>
      <c r="Y197" s="198"/>
      <c r="Z197" s="198"/>
    </row>
    <row r="198" ht="91.5" customHeight="1">
      <c r="A198" s="370">
        <v>39344.0</v>
      </c>
      <c r="B198" s="299" t="s">
        <v>715</v>
      </c>
      <c r="C198" s="285">
        <v>1100.0</v>
      </c>
      <c r="D198" s="285" t="s">
        <v>9650</v>
      </c>
      <c r="E198" s="287" t="s">
        <v>9651</v>
      </c>
      <c r="F198" s="288">
        <v>45497.0</v>
      </c>
      <c r="G198" s="288">
        <v>45519.0</v>
      </c>
      <c r="H198" s="288">
        <v>45505.0</v>
      </c>
      <c r="I198" s="288">
        <v>45505.0</v>
      </c>
      <c r="J198" s="288">
        <v>45505.0</v>
      </c>
      <c r="K198" s="294"/>
      <c r="L198" s="294"/>
      <c r="M198" s="290" t="s">
        <v>9652</v>
      </c>
      <c r="N198" s="299" t="s">
        <v>4635</v>
      </c>
      <c r="O198" s="322" t="s">
        <v>2621</v>
      </c>
      <c r="P198" s="300">
        <v>81188.6</v>
      </c>
      <c r="Q198" s="299">
        <f t="shared" si="1"/>
        <v>30</v>
      </c>
      <c r="R198" s="424"/>
      <c r="S198" s="366" t="s">
        <v>9166</v>
      </c>
      <c r="T198" s="198"/>
      <c r="U198" s="198"/>
      <c r="V198" s="198"/>
      <c r="W198" s="198"/>
      <c r="X198" s="198"/>
      <c r="Y198" s="198"/>
      <c r="Z198" s="198"/>
    </row>
    <row r="199" ht="91.5" customHeight="1">
      <c r="A199" s="370">
        <v>39314.0</v>
      </c>
      <c r="B199" s="299" t="s">
        <v>25</v>
      </c>
      <c r="C199" s="285">
        <v>4810.0</v>
      </c>
      <c r="D199" s="285" t="s">
        <v>9653</v>
      </c>
      <c r="E199" s="287" t="s">
        <v>9654</v>
      </c>
      <c r="F199" s="288">
        <v>45497.0</v>
      </c>
      <c r="G199" s="288">
        <v>45494.0</v>
      </c>
      <c r="H199" s="288">
        <v>45494.0</v>
      </c>
      <c r="I199" s="288">
        <v>45499.0</v>
      </c>
      <c r="J199" s="288">
        <v>45499.0</v>
      </c>
      <c r="K199" s="294"/>
      <c r="L199" s="294"/>
      <c r="M199" s="290" t="s">
        <v>9655</v>
      </c>
      <c r="N199" s="299" t="s">
        <v>4635</v>
      </c>
      <c r="O199" s="322" t="s">
        <v>2621</v>
      </c>
      <c r="P199" s="300">
        <v>46568.96</v>
      </c>
      <c r="Q199" s="299">
        <f t="shared" si="1"/>
        <v>30</v>
      </c>
      <c r="R199" s="424"/>
      <c r="S199" s="366" t="s">
        <v>9166</v>
      </c>
      <c r="T199" s="198"/>
      <c r="U199" s="198"/>
      <c r="V199" s="198"/>
      <c r="W199" s="198"/>
      <c r="X199" s="198"/>
      <c r="Y199" s="198"/>
      <c r="Z199" s="198"/>
    </row>
    <row r="200" ht="91.5" customHeight="1">
      <c r="A200" s="370">
        <v>38912.0</v>
      </c>
      <c r="B200" s="299" t="s">
        <v>715</v>
      </c>
      <c r="C200" s="285">
        <v>1623.0</v>
      </c>
      <c r="D200" s="285" t="s">
        <v>9656</v>
      </c>
      <c r="E200" s="287" t="s">
        <v>9657</v>
      </c>
      <c r="F200" s="288">
        <v>45497.0</v>
      </c>
      <c r="G200" s="288">
        <v>45491.0</v>
      </c>
      <c r="H200" s="288">
        <v>45491.0</v>
      </c>
      <c r="I200" s="288">
        <v>45502.0</v>
      </c>
      <c r="J200" s="288">
        <v>45502.0</v>
      </c>
      <c r="K200" s="294"/>
      <c r="L200" s="294"/>
      <c r="M200" s="290" t="s">
        <v>9658</v>
      </c>
      <c r="N200" s="299" t="s">
        <v>497</v>
      </c>
      <c r="O200" s="322" t="s">
        <v>2604</v>
      </c>
      <c r="P200" s="300">
        <v>55235.25</v>
      </c>
      <c r="Q200" s="299">
        <f t="shared" si="1"/>
        <v>30</v>
      </c>
      <c r="R200" s="424"/>
      <c r="S200" s="366" t="s">
        <v>9166</v>
      </c>
      <c r="T200" s="198"/>
      <c r="U200" s="198"/>
      <c r="V200" s="198"/>
      <c r="W200" s="198"/>
      <c r="X200" s="198"/>
      <c r="Y200" s="198"/>
      <c r="Z200" s="198"/>
    </row>
    <row r="201" ht="91.5" customHeight="1">
      <c r="A201" s="370">
        <v>38960.0</v>
      </c>
      <c r="B201" s="299" t="s">
        <v>715</v>
      </c>
      <c r="C201" s="285">
        <v>2275.0</v>
      </c>
      <c r="D201" s="285" t="s">
        <v>9659</v>
      </c>
      <c r="E201" s="287" t="s">
        <v>4667</v>
      </c>
      <c r="F201" s="288">
        <v>45497.0</v>
      </c>
      <c r="G201" s="288">
        <v>45488.0</v>
      </c>
      <c r="H201" s="288">
        <v>45488.0</v>
      </c>
      <c r="I201" s="288">
        <v>45503.0</v>
      </c>
      <c r="J201" s="288">
        <v>45503.0</v>
      </c>
      <c r="K201" s="294"/>
      <c r="L201" s="294" t="s">
        <v>9532</v>
      </c>
      <c r="M201" s="290" t="s">
        <v>9660</v>
      </c>
      <c r="N201" s="299" t="s">
        <v>497</v>
      </c>
      <c r="O201" s="322" t="s">
        <v>2554</v>
      </c>
      <c r="P201" s="300">
        <v>34290.0</v>
      </c>
      <c r="Q201" s="299">
        <f t="shared" si="1"/>
        <v>30</v>
      </c>
      <c r="R201" s="424" t="s">
        <v>9198</v>
      </c>
      <c r="S201" s="366" t="s">
        <v>9171</v>
      </c>
      <c r="T201" s="198"/>
      <c r="U201" s="198"/>
      <c r="V201" s="198"/>
      <c r="W201" s="198"/>
      <c r="X201" s="198"/>
      <c r="Y201" s="198"/>
      <c r="Z201" s="198"/>
    </row>
    <row r="202" ht="91.5" customHeight="1">
      <c r="A202" s="370">
        <v>38970.0</v>
      </c>
      <c r="B202" s="299" t="s">
        <v>715</v>
      </c>
      <c r="C202" s="285">
        <v>2413.0</v>
      </c>
      <c r="D202" s="285" t="s">
        <v>9661</v>
      </c>
      <c r="E202" s="287" t="s">
        <v>7476</v>
      </c>
      <c r="F202" s="288">
        <v>45497.0</v>
      </c>
      <c r="G202" s="288">
        <v>45488.0</v>
      </c>
      <c r="H202" s="288">
        <v>45488.0</v>
      </c>
      <c r="I202" s="288">
        <v>45503.0</v>
      </c>
      <c r="J202" s="288">
        <v>45503.0</v>
      </c>
      <c r="K202" s="294"/>
      <c r="L202" s="294" t="s">
        <v>9532</v>
      </c>
      <c r="M202" s="290" t="s">
        <v>9662</v>
      </c>
      <c r="N202" s="299" t="s">
        <v>497</v>
      </c>
      <c r="O202" s="322" t="s">
        <v>2554</v>
      </c>
      <c r="P202" s="300">
        <v>42468.8</v>
      </c>
      <c r="Q202" s="299">
        <f t="shared" si="1"/>
        <v>30</v>
      </c>
      <c r="R202" s="424" t="s">
        <v>9198</v>
      </c>
      <c r="S202" s="366" t="s">
        <v>9171</v>
      </c>
      <c r="T202" s="198"/>
      <c r="U202" s="198"/>
      <c r="V202" s="198"/>
      <c r="W202" s="198"/>
      <c r="X202" s="198"/>
      <c r="Y202" s="198"/>
      <c r="Z202" s="198"/>
    </row>
    <row r="203" ht="91.5" customHeight="1">
      <c r="A203" s="370">
        <v>39243.0</v>
      </c>
      <c r="B203" s="299" t="s">
        <v>715</v>
      </c>
      <c r="C203" s="285">
        <v>905.0</v>
      </c>
      <c r="D203" s="285" t="s">
        <v>9663</v>
      </c>
      <c r="E203" s="287" t="s">
        <v>3740</v>
      </c>
      <c r="F203" s="288">
        <v>45496.0</v>
      </c>
      <c r="G203" s="288">
        <v>45490.0</v>
      </c>
      <c r="H203" s="288">
        <v>45490.0</v>
      </c>
      <c r="I203" s="288">
        <v>45502.0</v>
      </c>
      <c r="J203" s="288">
        <v>45502.0</v>
      </c>
      <c r="K203" s="294"/>
      <c r="L203" s="294"/>
      <c r="M203" s="290" t="s">
        <v>9664</v>
      </c>
      <c r="N203" s="299" t="s">
        <v>4745</v>
      </c>
      <c r="O203" s="322" t="s">
        <v>4711</v>
      </c>
      <c r="P203" s="300">
        <v>19081.87</v>
      </c>
      <c r="Q203" s="299">
        <f t="shared" si="1"/>
        <v>30</v>
      </c>
      <c r="R203" s="424"/>
      <c r="S203" s="366" t="s">
        <v>9166</v>
      </c>
      <c r="T203" s="198"/>
      <c r="U203" s="198"/>
      <c r="V203" s="198"/>
      <c r="W203" s="198"/>
      <c r="X203" s="198"/>
      <c r="Y203" s="198"/>
      <c r="Z203" s="198"/>
    </row>
    <row r="204" ht="91.5" customHeight="1">
      <c r="A204" s="370">
        <v>39282.0</v>
      </c>
      <c r="B204" s="299" t="s">
        <v>715</v>
      </c>
      <c r="C204" s="285">
        <v>940.0</v>
      </c>
      <c r="D204" s="285" t="s">
        <v>9665</v>
      </c>
      <c r="E204" s="287" t="s">
        <v>9666</v>
      </c>
      <c r="F204" s="288">
        <v>45495.0</v>
      </c>
      <c r="G204" s="288">
        <v>45492.0</v>
      </c>
      <c r="H204" s="288">
        <v>45492.0</v>
      </c>
      <c r="I204" s="288">
        <v>45502.0</v>
      </c>
      <c r="J204" s="288">
        <v>45502.0</v>
      </c>
      <c r="K204" s="294"/>
      <c r="L204" s="294"/>
      <c r="M204" s="290" t="s">
        <v>9667</v>
      </c>
      <c r="N204" s="299" t="s">
        <v>4635</v>
      </c>
      <c r="O204" s="322" t="s">
        <v>2621</v>
      </c>
      <c r="P204" s="300">
        <v>40304.8</v>
      </c>
      <c r="Q204" s="299">
        <f t="shared" si="1"/>
        <v>30</v>
      </c>
      <c r="R204" s="424"/>
      <c r="S204" s="366" t="s">
        <v>8430</v>
      </c>
      <c r="T204" s="198"/>
      <c r="U204" s="198"/>
      <c r="V204" s="198"/>
      <c r="W204" s="198"/>
      <c r="X204" s="198"/>
      <c r="Y204" s="198"/>
      <c r="Z204" s="198"/>
    </row>
    <row r="205" ht="91.5" customHeight="1">
      <c r="A205" s="370">
        <v>39320.0</v>
      </c>
      <c r="B205" s="285" t="s">
        <v>21</v>
      </c>
      <c r="C205" s="285">
        <v>1250.0</v>
      </c>
      <c r="D205" s="285" t="s">
        <v>9668</v>
      </c>
      <c r="E205" s="287" t="s">
        <v>9515</v>
      </c>
      <c r="F205" s="288">
        <v>45493.0</v>
      </c>
      <c r="G205" s="288">
        <v>45488.0</v>
      </c>
      <c r="H205" s="288">
        <v>45488.0</v>
      </c>
      <c r="I205" s="288">
        <v>45498.0</v>
      </c>
      <c r="J205" s="288">
        <v>45498.0</v>
      </c>
      <c r="K205" s="536" t="s">
        <v>4916</v>
      </c>
      <c r="L205" s="451"/>
      <c r="M205" s="290" t="s">
        <v>9669</v>
      </c>
      <c r="N205" s="299" t="s">
        <v>4635</v>
      </c>
      <c r="O205" s="322" t="s">
        <v>2621</v>
      </c>
      <c r="P205" s="300">
        <v>28703.0</v>
      </c>
      <c r="Q205" s="299">
        <f t="shared" si="1"/>
        <v>29</v>
      </c>
      <c r="R205" s="424"/>
      <c r="S205" s="366" t="s">
        <v>8430</v>
      </c>
      <c r="T205" s="198"/>
      <c r="U205" s="198"/>
      <c r="V205" s="198"/>
      <c r="W205" s="198"/>
      <c r="X205" s="198"/>
      <c r="Y205" s="198"/>
      <c r="Z205" s="198"/>
    </row>
    <row r="206" ht="91.5" customHeight="1">
      <c r="A206" s="370">
        <v>39327.0</v>
      </c>
      <c r="B206" s="299" t="s">
        <v>715</v>
      </c>
      <c r="C206" s="285">
        <v>1250.0</v>
      </c>
      <c r="D206" s="285" t="s">
        <v>9670</v>
      </c>
      <c r="E206" s="287" t="s">
        <v>9671</v>
      </c>
      <c r="F206" s="288">
        <v>45491.0</v>
      </c>
      <c r="G206" s="288">
        <v>45498.0</v>
      </c>
      <c r="H206" s="288">
        <v>45498.0</v>
      </c>
      <c r="I206" s="288">
        <v>45498.0</v>
      </c>
      <c r="J206" s="288">
        <v>45498.0</v>
      </c>
      <c r="K206" s="294"/>
      <c r="L206" s="294"/>
      <c r="M206" s="290" t="s">
        <v>9672</v>
      </c>
      <c r="N206" s="299" t="s">
        <v>4635</v>
      </c>
      <c r="O206" s="322" t="s">
        <v>2621</v>
      </c>
      <c r="P206" s="300">
        <v>29548.0</v>
      </c>
      <c r="Q206" s="299">
        <f t="shared" si="1"/>
        <v>29</v>
      </c>
      <c r="R206" s="424"/>
      <c r="S206" s="366" t="s">
        <v>8430</v>
      </c>
      <c r="T206" s="198"/>
      <c r="U206" s="198"/>
      <c r="V206" s="198"/>
      <c r="W206" s="198"/>
      <c r="X206" s="198"/>
      <c r="Y206" s="198"/>
      <c r="Z206" s="198"/>
    </row>
    <row r="207" ht="91.5" customHeight="1">
      <c r="A207" s="370">
        <v>38982.0</v>
      </c>
      <c r="B207" s="299" t="s">
        <v>715</v>
      </c>
      <c r="C207" s="285">
        <v>1250.0</v>
      </c>
      <c r="D207" s="285" t="s">
        <v>9673</v>
      </c>
      <c r="E207" s="287" t="s">
        <v>4637</v>
      </c>
      <c r="F207" s="288">
        <v>45490.0</v>
      </c>
      <c r="G207" s="288">
        <v>45484.0</v>
      </c>
      <c r="H207" s="288">
        <v>45484.0</v>
      </c>
      <c r="I207" s="288">
        <v>45497.0</v>
      </c>
      <c r="J207" s="288">
        <v>45497.0</v>
      </c>
      <c r="K207" s="294"/>
      <c r="L207" s="294"/>
      <c r="M207" s="290" t="s">
        <v>9674</v>
      </c>
      <c r="N207" s="299" t="s">
        <v>497</v>
      </c>
      <c r="O207" s="322" t="s">
        <v>2554</v>
      </c>
      <c r="P207" s="300">
        <v>36250.0</v>
      </c>
      <c r="Q207" s="299">
        <f t="shared" si="1"/>
        <v>29</v>
      </c>
      <c r="R207" s="424" t="s">
        <v>9170</v>
      </c>
      <c r="S207" s="366" t="s">
        <v>9171</v>
      </c>
      <c r="T207" s="198"/>
      <c r="U207" s="198"/>
      <c r="V207" s="198"/>
      <c r="W207" s="198"/>
      <c r="X207" s="198"/>
      <c r="Y207" s="198"/>
      <c r="Z207" s="198"/>
    </row>
    <row r="208" ht="91.5" customHeight="1">
      <c r="A208" s="370">
        <v>38981.0</v>
      </c>
      <c r="B208" s="299" t="s">
        <v>715</v>
      </c>
      <c r="C208" s="285">
        <v>1250.0</v>
      </c>
      <c r="D208" s="285" t="s">
        <v>9675</v>
      </c>
      <c r="E208" s="287" t="s">
        <v>4637</v>
      </c>
      <c r="F208" s="288">
        <v>45490.0</v>
      </c>
      <c r="G208" s="288">
        <v>45484.0</v>
      </c>
      <c r="H208" s="288">
        <v>45484.0</v>
      </c>
      <c r="I208" s="288">
        <v>45497.0</v>
      </c>
      <c r="J208" s="288">
        <v>45497.0</v>
      </c>
      <c r="K208" s="294"/>
      <c r="L208" s="294"/>
      <c r="M208" s="290" t="s">
        <v>9676</v>
      </c>
      <c r="N208" s="299" t="s">
        <v>497</v>
      </c>
      <c r="O208" s="322" t="s">
        <v>2554</v>
      </c>
      <c r="P208" s="300">
        <v>36250.0</v>
      </c>
      <c r="Q208" s="299">
        <f t="shared" si="1"/>
        <v>29</v>
      </c>
      <c r="R208" s="424" t="s">
        <v>9170</v>
      </c>
      <c r="S208" s="366" t="s">
        <v>9171</v>
      </c>
      <c r="T208" s="198"/>
      <c r="U208" s="198"/>
      <c r="V208" s="198"/>
      <c r="W208" s="198"/>
      <c r="X208" s="198"/>
      <c r="Y208" s="198"/>
      <c r="Z208" s="198"/>
    </row>
    <row r="209" ht="91.5" customHeight="1">
      <c r="A209" s="370">
        <v>38951.0</v>
      </c>
      <c r="B209" s="299" t="s">
        <v>715</v>
      </c>
      <c r="C209" s="285">
        <v>1825.0</v>
      </c>
      <c r="D209" s="285" t="s">
        <v>9677</v>
      </c>
      <c r="E209" s="287" t="s">
        <v>9678</v>
      </c>
      <c r="F209" s="288">
        <v>45490.0</v>
      </c>
      <c r="G209" s="288">
        <v>45483.0</v>
      </c>
      <c r="H209" s="288">
        <v>45483.0</v>
      </c>
      <c r="I209" s="288">
        <v>45496.0</v>
      </c>
      <c r="J209" s="288">
        <v>45130.0</v>
      </c>
      <c r="K209" s="294"/>
      <c r="L209" s="294"/>
      <c r="M209" s="290" t="s">
        <v>9679</v>
      </c>
      <c r="N209" s="299" t="s">
        <v>497</v>
      </c>
      <c r="O209" s="322" t="s">
        <v>2554</v>
      </c>
      <c r="P209" s="300">
        <v>26149.4</v>
      </c>
      <c r="Q209" s="299">
        <f t="shared" si="1"/>
        <v>29</v>
      </c>
      <c r="R209" s="424" t="s">
        <v>9198</v>
      </c>
      <c r="S209" s="366" t="s">
        <v>9171</v>
      </c>
      <c r="T209" s="198"/>
      <c r="U209" s="198"/>
      <c r="V209" s="198"/>
      <c r="W209" s="198"/>
      <c r="X209" s="198"/>
      <c r="Y209" s="198"/>
      <c r="Z209" s="198"/>
    </row>
    <row r="210" ht="91.5" customHeight="1">
      <c r="A210" s="370">
        <v>38979.0</v>
      </c>
      <c r="B210" s="299" t="s">
        <v>715</v>
      </c>
      <c r="C210" s="285">
        <v>1306.0</v>
      </c>
      <c r="D210" s="285" t="s">
        <v>9680</v>
      </c>
      <c r="E210" s="287" t="s">
        <v>7418</v>
      </c>
      <c r="F210" s="288">
        <v>45490.0</v>
      </c>
      <c r="G210" s="288">
        <v>45483.0</v>
      </c>
      <c r="H210" s="288">
        <v>45483.0</v>
      </c>
      <c r="I210" s="288">
        <v>45496.0</v>
      </c>
      <c r="J210" s="288">
        <v>45496.0</v>
      </c>
      <c r="K210" s="294"/>
      <c r="L210" s="294"/>
      <c r="M210" s="290" t="s">
        <v>9681</v>
      </c>
      <c r="N210" s="299" t="s">
        <v>497</v>
      </c>
      <c r="O210" s="322" t="s">
        <v>2554</v>
      </c>
      <c r="P210" s="300">
        <v>44795.8</v>
      </c>
      <c r="Q210" s="299">
        <f t="shared" si="1"/>
        <v>29</v>
      </c>
      <c r="R210" s="424" t="s">
        <v>9198</v>
      </c>
      <c r="S210" s="366" t="s">
        <v>9171</v>
      </c>
      <c r="T210" s="198"/>
      <c r="U210" s="198"/>
      <c r="V210" s="198"/>
      <c r="W210" s="198"/>
      <c r="X210" s="198"/>
      <c r="Y210" s="198"/>
      <c r="Z210" s="198"/>
    </row>
    <row r="211" ht="91.5" customHeight="1">
      <c r="A211" s="370">
        <v>38983.0</v>
      </c>
      <c r="B211" s="285" t="s">
        <v>21</v>
      </c>
      <c r="C211" s="285">
        <v>4230.0</v>
      </c>
      <c r="D211" s="285" t="s">
        <v>9682</v>
      </c>
      <c r="E211" s="287" t="s">
        <v>7438</v>
      </c>
      <c r="F211" s="288">
        <v>45489.0</v>
      </c>
      <c r="G211" s="288">
        <v>45484.0</v>
      </c>
      <c r="H211" s="288">
        <v>45484.0</v>
      </c>
      <c r="I211" s="288">
        <v>45495.0</v>
      </c>
      <c r="J211" s="288">
        <v>45495.0</v>
      </c>
      <c r="K211" s="294" t="s">
        <v>4841</v>
      </c>
      <c r="L211" s="294"/>
      <c r="M211" s="290" t="s">
        <v>9683</v>
      </c>
      <c r="N211" s="299" t="s">
        <v>497</v>
      </c>
      <c r="O211" s="322" t="s">
        <v>2554</v>
      </c>
      <c r="P211" s="300">
        <v>31196.25</v>
      </c>
      <c r="Q211" s="299">
        <f t="shared" si="1"/>
        <v>29</v>
      </c>
      <c r="R211" s="424" t="s">
        <v>9170</v>
      </c>
      <c r="S211" s="366" t="s">
        <v>9171</v>
      </c>
      <c r="T211" s="198"/>
      <c r="U211" s="198"/>
      <c r="V211" s="198"/>
      <c r="W211" s="198"/>
      <c r="X211" s="198"/>
      <c r="Y211" s="198"/>
      <c r="Z211" s="198"/>
    </row>
    <row r="212" ht="91.5" customHeight="1">
      <c r="A212" s="370">
        <v>39283.0</v>
      </c>
      <c r="B212" s="299" t="s">
        <v>715</v>
      </c>
      <c r="C212" s="285">
        <v>1250.0</v>
      </c>
      <c r="D212" s="285" t="s">
        <v>9684</v>
      </c>
      <c r="E212" s="287" t="s">
        <v>9515</v>
      </c>
      <c r="F212" s="288">
        <v>45488.0</v>
      </c>
      <c r="G212" s="288">
        <v>45482.0</v>
      </c>
      <c r="H212" s="288">
        <v>45482.0</v>
      </c>
      <c r="I212" s="288">
        <v>45496.0</v>
      </c>
      <c r="J212" s="288">
        <v>45130.0</v>
      </c>
      <c r="K212" s="294"/>
      <c r="L212" s="294"/>
      <c r="M212" s="290" t="s">
        <v>9685</v>
      </c>
      <c r="N212" s="286" t="s">
        <v>4635</v>
      </c>
      <c r="O212" s="315" t="s">
        <v>2621</v>
      </c>
      <c r="P212" s="300">
        <v>29491.0</v>
      </c>
      <c r="Q212" s="299">
        <f t="shared" si="1"/>
        <v>29</v>
      </c>
      <c r="R212" s="424"/>
      <c r="S212" s="366" t="s">
        <v>8430</v>
      </c>
      <c r="T212" s="198"/>
      <c r="U212" s="198"/>
      <c r="V212" s="198"/>
      <c r="W212" s="198"/>
      <c r="X212" s="198"/>
      <c r="Y212" s="198"/>
      <c r="Z212" s="198"/>
    </row>
    <row r="213" ht="91.5" customHeight="1">
      <c r="A213" s="370">
        <v>39313.0</v>
      </c>
      <c r="B213" s="299" t="s">
        <v>715</v>
      </c>
      <c r="C213" s="285">
        <v>4820.0</v>
      </c>
      <c r="D213" s="285" t="s">
        <v>9686</v>
      </c>
      <c r="E213" s="287" t="s">
        <v>9687</v>
      </c>
      <c r="F213" s="288">
        <v>45488.0</v>
      </c>
      <c r="G213" s="288">
        <v>45481.0</v>
      </c>
      <c r="H213" s="288">
        <v>45481.0</v>
      </c>
      <c r="I213" s="288">
        <v>45495.0</v>
      </c>
      <c r="J213" s="288">
        <v>45495.0</v>
      </c>
      <c r="K213" s="294"/>
      <c r="L213" s="294"/>
      <c r="M213" s="290" t="s">
        <v>9688</v>
      </c>
      <c r="N213" s="299" t="s">
        <v>4635</v>
      </c>
      <c r="O213" s="315" t="s">
        <v>2621</v>
      </c>
      <c r="P213" s="300">
        <v>47719.96</v>
      </c>
      <c r="Q213" s="299">
        <f t="shared" si="1"/>
        <v>29</v>
      </c>
      <c r="R213" s="424"/>
      <c r="S213" s="366" t="s">
        <v>9166</v>
      </c>
      <c r="T213" s="198"/>
      <c r="U213" s="198"/>
      <c r="V213" s="198"/>
      <c r="W213" s="198"/>
      <c r="X213" s="198"/>
      <c r="Y213" s="198"/>
      <c r="Z213" s="198"/>
    </row>
    <row r="214" ht="91.5" customHeight="1">
      <c r="A214" s="370">
        <v>39312.0</v>
      </c>
      <c r="B214" s="285" t="s">
        <v>21</v>
      </c>
      <c r="C214" s="285">
        <v>4928.0</v>
      </c>
      <c r="D214" s="285" t="s">
        <v>9689</v>
      </c>
      <c r="E214" s="287" t="s">
        <v>9690</v>
      </c>
      <c r="F214" s="288">
        <v>45487.0</v>
      </c>
      <c r="G214" s="288">
        <v>45482.0</v>
      </c>
      <c r="H214" s="288">
        <v>45482.0</v>
      </c>
      <c r="I214" s="288">
        <v>45491.0</v>
      </c>
      <c r="J214" s="288">
        <v>45491.0</v>
      </c>
      <c r="K214" s="536" t="s">
        <v>4916</v>
      </c>
      <c r="L214" s="451"/>
      <c r="M214" s="290" t="s">
        <v>9691</v>
      </c>
      <c r="N214" s="299" t="s">
        <v>4635</v>
      </c>
      <c r="O214" s="322" t="s">
        <v>2621</v>
      </c>
      <c r="P214" s="300">
        <v>38865.16</v>
      </c>
      <c r="Q214" s="299">
        <f t="shared" si="1"/>
        <v>29</v>
      </c>
      <c r="R214" s="424"/>
      <c r="S214" s="366" t="s">
        <v>9166</v>
      </c>
      <c r="T214" s="198"/>
      <c r="U214" s="198"/>
      <c r="V214" s="198"/>
      <c r="W214" s="198"/>
      <c r="X214" s="198"/>
      <c r="Y214" s="198"/>
      <c r="Z214" s="198"/>
    </row>
    <row r="215" ht="91.5" customHeight="1">
      <c r="A215" s="370">
        <v>39306.0</v>
      </c>
      <c r="B215" s="299" t="s">
        <v>25</v>
      </c>
      <c r="C215" s="285">
        <v>307.0</v>
      </c>
      <c r="D215" s="285" t="s">
        <v>9692</v>
      </c>
      <c r="E215" s="287" t="s">
        <v>4743</v>
      </c>
      <c r="F215" s="288">
        <v>45485.0</v>
      </c>
      <c r="G215" s="288">
        <v>45490.0</v>
      </c>
      <c r="H215" s="288">
        <v>45488.0</v>
      </c>
      <c r="I215" s="288">
        <v>45489.0</v>
      </c>
      <c r="J215" s="288">
        <v>45489.0</v>
      </c>
      <c r="K215" s="294"/>
      <c r="L215" s="294"/>
      <c r="M215" s="290" t="s">
        <v>9693</v>
      </c>
      <c r="N215" s="299" t="s">
        <v>4745</v>
      </c>
      <c r="O215" s="322" t="s">
        <v>4746</v>
      </c>
      <c r="P215" s="300">
        <v>40279.2</v>
      </c>
      <c r="Q215" s="299">
        <f t="shared" si="1"/>
        <v>28</v>
      </c>
      <c r="R215" s="424"/>
      <c r="S215" s="366" t="s">
        <v>9166</v>
      </c>
      <c r="T215" s="198"/>
      <c r="U215" s="198"/>
      <c r="V215" s="198"/>
      <c r="W215" s="198"/>
      <c r="X215" s="198"/>
      <c r="Y215" s="198"/>
      <c r="Z215" s="198"/>
    </row>
    <row r="216" ht="90.0" customHeight="1">
      <c r="A216" s="370">
        <v>39417.0</v>
      </c>
      <c r="B216" s="299" t="s">
        <v>715</v>
      </c>
      <c r="C216" s="285">
        <v>1880.0</v>
      </c>
      <c r="D216" s="285" t="s">
        <v>9694</v>
      </c>
      <c r="E216" s="287" t="s">
        <v>6582</v>
      </c>
      <c r="F216" s="288">
        <v>45485.0</v>
      </c>
      <c r="G216" s="288">
        <v>45482.0</v>
      </c>
      <c r="H216" s="288">
        <v>45482.0</v>
      </c>
      <c r="I216" s="288">
        <v>45491.0</v>
      </c>
      <c r="J216" s="288">
        <v>45491.0</v>
      </c>
      <c r="K216" s="294"/>
      <c r="L216" s="294"/>
      <c r="M216" s="290" t="s">
        <v>9695</v>
      </c>
      <c r="N216" s="299" t="s">
        <v>497</v>
      </c>
      <c r="O216" s="322" t="s">
        <v>2621</v>
      </c>
      <c r="P216" s="300">
        <v>30875.2</v>
      </c>
      <c r="Q216" s="299">
        <f t="shared" si="1"/>
        <v>28</v>
      </c>
      <c r="R216" s="424"/>
      <c r="S216" s="366" t="s">
        <v>9166</v>
      </c>
      <c r="T216" s="198"/>
      <c r="U216" s="198"/>
      <c r="V216" s="198"/>
      <c r="W216" s="198"/>
      <c r="X216" s="198"/>
      <c r="Y216" s="198"/>
      <c r="Z216" s="198"/>
    </row>
    <row r="217" ht="91.5" customHeight="1">
      <c r="A217" s="370">
        <v>38961.0</v>
      </c>
      <c r="B217" s="285" t="s">
        <v>21</v>
      </c>
      <c r="C217" s="285">
        <v>2275.0</v>
      </c>
      <c r="D217" s="285" t="s">
        <v>9696</v>
      </c>
      <c r="E217" s="287" t="s">
        <v>4667</v>
      </c>
      <c r="F217" s="288">
        <v>45482.0</v>
      </c>
      <c r="G217" s="288">
        <v>45476.0</v>
      </c>
      <c r="H217" s="288">
        <v>45476.0</v>
      </c>
      <c r="I217" s="288">
        <v>45488.0</v>
      </c>
      <c r="J217" s="288">
        <v>45488.0</v>
      </c>
      <c r="K217" s="294" t="s">
        <v>4841</v>
      </c>
      <c r="L217" s="294" t="s">
        <v>9532</v>
      </c>
      <c r="M217" s="290" t="s">
        <v>9697</v>
      </c>
      <c r="N217" s="299" t="s">
        <v>497</v>
      </c>
      <c r="O217" s="322" t="s">
        <v>2554</v>
      </c>
      <c r="P217" s="300">
        <v>35614.0</v>
      </c>
      <c r="Q217" s="299">
        <f t="shared" si="1"/>
        <v>28</v>
      </c>
      <c r="R217" s="424" t="s">
        <v>9198</v>
      </c>
      <c r="S217" s="366" t="s">
        <v>9171</v>
      </c>
      <c r="T217" s="198"/>
      <c r="U217" s="198"/>
      <c r="V217" s="198"/>
      <c r="W217" s="198"/>
      <c r="X217" s="198"/>
      <c r="Y217" s="198"/>
      <c r="Z217" s="198"/>
    </row>
    <row r="218" ht="91.5" customHeight="1">
      <c r="A218" s="370">
        <v>38975.0</v>
      </c>
      <c r="B218" s="285" t="s">
        <v>21</v>
      </c>
      <c r="C218" s="285">
        <v>1306.0</v>
      </c>
      <c r="D218" s="285" t="s">
        <v>9698</v>
      </c>
      <c r="E218" s="287" t="s">
        <v>9429</v>
      </c>
      <c r="F218" s="288">
        <v>45482.0</v>
      </c>
      <c r="G218" s="288">
        <v>45476.0</v>
      </c>
      <c r="H218" s="288">
        <v>45476.0</v>
      </c>
      <c r="I218" s="288">
        <v>45489.0</v>
      </c>
      <c r="J218" s="288">
        <v>45489.0</v>
      </c>
      <c r="K218" s="294" t="s">
        <v>4841</v>
      </c>
      <c r="L218" s="294" t="s">
        <v>9532</v>
      </c>
      <c r="M218" s="290" t="s">
        <v>9699</v>
      </c>
      <c r="N218" s="299" t="s">
        <v>497</v>
      </c>
      <c r="O218" s="322" t="s">
        <v>2554</v>
      </c>
      <c r="P218" s="300">
        <v>44795.8</v>
      </c>
      <c r="Q218" s="299">
        <f t="shared" si="1"/>
        <v>28</v>
      </c>
      <c r="R218" s="424" t="s">
        <v>9198</v>
      </c>
      <c r="S218" s="366" t="s">
        <v>9171</v>
      </c>
      <c r="T218" s="198"/>
      <c r="U218" s="198"/>
      <c r="V218" s="198"/>
      <c r="W218" s="198"/>
      <c r="X218" s="198"/>
      <c r="Y218" s="198"/>
      <c r="Z218" s="198"/>
    </row>
    <row r="219" ht="91.5" customHeight="1">
      <c r="A219" s="370">
        <v>39187.0</v>
      </c>
      <c r="B219" s="285" t="s">
        <v>21</v>
      </c>
      <c r="C219" s="285">
        <v>4356.0</v>
      </c>
      <c r="D219" s="285" t="s">
        <v>9700</v>
      </c>
      <c r="E219" s="287" t="s">
        <v>4644</v>
      </c>
      <c r="F219" s="288">
        <v>45482.0</v>
      </c>
      <c r="G219" s="288">
        <v>45476.0</v>
      </c>
      <c r="H219" s="288">
        <v>45476.0</v>
      </c>
      <c r="I219" s="288">
        <v>45488.0</v>
      </c>
      <c r="J219" s="288">
        <v>45488.0</v>
      </c>
      <c r="K219" s="294" t="s">
        <v>4841</v>
      </c>
      <c r="L219" s="294" t="s">
        <v>9532</v>
      </c>
      <c r="M219" s="290" t="s">
        <v>9701</v>
      </c>
      <c r="N219" s="299" t="s">
        <v>497</v>
      </c>
      <c r="O219" s="322" t="s">
        <v>2554</v>
      </c>
      <c r="P219" s="300">
        <v>30056.4</v>
      </c>
      <c r="Q219" s="299">
        <f t="shared" si="1"/>
        <v>28</v>
      </c>
      <c r="R219" s="424" t="s">
        <v>9198</v>
      </c>
      <c r="S219" s="366" t="s">
        <v>9171</v>
      </c>
      <c r="T219" s="198"/>
      <c r="U219" s="198"/>
      <c r="V219" s="198"/>
      <c r="W219" s="198"/>
      <c r="X219" s="198"/>
      <c r="Y219" s="198"/>
      <c r="Z219" s="198"/>
    </row>
    <row r="220" ht="91.5" customHeight="1">
      <c r="A220" s="370">
        <v>39319.0</v>
      </c>
      <c r="B220" s="285" t="s">
        <v>21</v>
      </c>
      <c r="C220" s="285">
        <v>1250.0</v>
      </c>
      <c r="D220" s="285" t="s">
        <v>9702</v>
      </c>
      <c r="E220" s="287" t="s">
        <v>9515</v>
      </c>
      <c r="F220" s="288">
        <v>45482.0</v>
      </c>
      <c r="G220" s="288">
        <v>45474.0</v>
      </c>
      <c r="H220" s="288">
        <v>45474.0</v>
      </c>
      <c r="I220" s="288">
        <v>45489.0</v>
      </c>
      <c r="J220" s="288">
        <v>45489.0</v>
      </c>
      <c r="K220" s="548" t="s">
        <v>4916</v>
      </c>
      <c r="L220" s="451"/>
      <c r="M220" s="290" t="s">
        <v>9703</v>
      </c>
      <c r="N220" s="299" t="s">
        <v>4635</v>
      </c>
      <c r="O220" s="322" t="s">
        <v>2621</v>
      </c>
      <c r="P220" s="300">
        <v>28549.0</v>
      </c>
      <c r="Q220" s="299">
        <f t="shared" si="1"/>
        <v>28</v>
      </c>
      <c r="R220" s="424"/>
      <c r="S220" s="366" t="s">
        <v>8430</v>
      </c>
      <c r="T220" s="198"/>
      <c r="U220" s="198"/>
      <c r="V220" s="198"/>
      <c r="W220" s="198"/>
      <c r="X220" s="198"/>
      <c r="Y220" s="198"/>
      <c r="Z220" s="198"/>
    </row>
    <row r="221" ht="91.5" customHeight="1">
      <c r="A221" s="370">
        <v>39418.0</v>
      </c>
      <c r="B221" s="299" t="s">
        <v>25</v>
      </c>
      <c r="C221" s="285">
        <v>1966.0</v>
      </c>
      <c r="D221" s="285" t="s">
        <v>9704</v>
      </c>
      <c r="E221" s="287" t="s">
        <v>6582</v>
      </c>
      <c r="F221" s="288">
        <v>45481.0</v>
      </c>
      <c r="G221" s="288">
        <v>45482.0</v>
      </c>
      <c r="H221" s="288">
        <v>45482.0</v>
      </c>
      <c r="I221" s="288">
        <v>45488.0</v>
      </c>
      <c r="J221" s="288">
        <v>45488.0</v>
      </c>
      <c r="K221" s="294"/>
      <c r="L221" s="294"/>
      <c r="M221" s="290" t="s">
        <v>9705</v>
      </c>
      <c r="N221" s="299" t="s">
        <v>497</v>
      </c>
      <c r="O221" s="322" t="s">
        <v>2621</v>
      </c>
      <c r="P221" s="300">
        <v>32193.94</v>
      </c>
      <c r="Q221" s="299">
        <f t="shared" si="1"/>
        <v>28</v>
      </c>
      <c r="R221" s="424"/>
      <c r="S221" s="366" t="s">
        <v>9166</v>
      </c>
      <c r="T221" s="198"/>
      <c r="U221" s="198"/>
      <c r="V221" s="198"/>
      <c r="W221" s="198"/>
      <c r="X221" s="198"/>
      <c r="Y221" s="198"/>
      <c r="Z221" s="198"/>
    </row>
    <row r="222" ht="91.5" customHeight="1">
      <c r="A222" s="370">
        <v>38974.0</v>
      </c>
      <c r="B222" s="299" t="s">
        <v>715</v>
      </c>
      <c r="C222" s="285">
        <v>2275.0</v>
      </c>
      <c r="D222" s="285" t="s">
        <v>9706</v>
      </c>
      <c r="E222" s="287" t="s">
        <v>4667</v>
      </c>
      <c r="F222" s="288">
        <v>45479.0</v>
      </c>
      <c r="G222" s="288">
        <v>45474.0</v>
      </c>
      <c r="H222" s="288">
        <v>45474.0</v>
      </c>
      <c r="I222" s="288">
        <v>45485.0</v>
      </c>
      <c r="J222" s="288">
        <v>45485.0</v>
      </c>
      <c r="K222" s="294"/>
      <c r="L222" s="294" t="s">
        <v>9532</v>
      </c>
      <c r="M222" s="290" t="s">
        <v>9707</v>
      </c>
      <c r="N222" s="299" t="s">
        <v>497</v>
      </c>
      <c r="O222" s="322" t="s">
        <v>2554</v>
      </c>
      <c r="P222" s="300">
        <v>30835.0</v>
      </c>
      <c r="Q222" s="299">
        <f t="shared" si="1"/>
        <v>27</v>
      </c>
      <c r="R222" s="424" t="s">
        <v>9198</v>
      </c>
      <c r="S222" s="366" t="s">
        <v>9171</v>
      </c>
      <c r="T222" s="198"/>
      <c r="U222" s="198"/>
      <c r="V222" s="198"/>
      <c r="W222" s="198"/>
      <c r="X222" s="198"/>
      <c r="Y222" s="198"/>
      <c r="Z222" s="198"/>
    </row>
    <row r="223" ht="91.5" customHeight="1">
      <c r="A223" s="370">
        <v>38783.0</v>
      </c>
      <c r="B223" s="299" t="s">
        <v>715</v>
      </c>
      <c r="C223" s="285">
        <v>2413.0</v>
      </c>
      <c r="D223" s="285" t="s">
        <v>9708</v>
      </c>
      <c r="E223" s="287" t="s">
        <v>7476</v>
      </c>
      <c r="F223" s="288">
        <v>45478.0</v>
      </c>
      <c r="G223" s="288">
        <v>45469.0</v>
      </c>
      <c r="H223" s="288">
        <v>45469.0</v>
      </c>
      <c r="I223" s="288">
        <v>45484.0</v>
      </c>
      <c r="J223" s="288">
        <v>45484.0</v>
      </c>
      <c r="K223" s="294"/>
      <c r="L223" s="294"/>
      <c r="M223" s="290" t="s">
        <v>9709</v>
      </c>
      <c r="N223" s="299" t="s">
        <v>497</v>
      </c>
      <c r="O223" s="322" t="s">
        <v>2554</v>
      </c>
      <c r="P223" s="300">
        <v>42468.8</v>
      </c>
      <c r="Q223" s="299">
        <f t="shared" si="1"/>
        <v>27</v>
      </c>
      <c r="R223" s="424" t="s">
        <v>9198</v>
      </c>
      <c r="S223" s="366" t="s">
        <v>9171</v>
      </c>
      <c r="T223" s="198"/>
      <c r="U223" s="198"/>
      <c r="V223" s="198"/>
      <c r="W223" s="198"/>
      <c r="X223" s="198"/>
      <c r="Y223" s="198"/>
      <c r="Z223" s="198"/>
    </row>
    <row r="224" ht="91.5" customHeight="1">
      <c r="A224" s="370">
        <v>39416.0</v>
      </c>
      <c r="B224" s="299" t="s">
        <v>25</v>
      </c>
      <c r="C224" s="285">
        <v>1970.0</v>
      </c>
      <c r="D224" s="285" t="s">
        <v>9710</v>
      </c>
      <c r="E224" s="287" t="s">
        <v>6582</v>
      </c>
      <c r="F224" s="288">
        <v>45476.0</v>
      </c>
      <c r="G224" s="288">
        <v>45475.0</v>
      </c>
      <c r="H224" s="288">
        <v>45475.0</v>
      </c>
      <c r="I224" s="288">
        <v>45485.0</v>
      </c>
      <c r="J224" s="288">
        <v>45485.0</v>
      </c>
      <c r="K224" s="294"/>
      <c r="L224" s="294"/>
      <c r="M224" s="290" t="s">
        <v>9711</v>
      </c>
      <c r="N224" s="299" t="s">
        <v>497</v>
      </c>
      <c r="O224" s="322" t="s">
        <v>2621</v>
      </c>
      <c r="P224" s="300">
        <v>32287.9</v>
      </c>
      <c r="Q224" s="299">
        <f t="shared" si="1"/>
        <v>27</v>
      </c>
      <c r="R224" s="424"/>
      <c r="S224" s="366" t="s">
        <v>9166</v>
      </c>
      <c r="T224" s="198"/>
      <c r="U224" s="198"/>
      <c r="V224" s="198"/>
      <c r="W224" s="198"/>
      <c r="X224" s="198"/>
      <c r="Y224" s="198"/>
      <c r="Z224" s="198"/>
    </row>
    <row r="225" ht="91.5" customHeight="1">
      <c r="A225" s="370">
        <v>39304.0</v>
      </c>
      <c r="B225" s="285" t="s">
        <v>21</v>
      </c>
      <c r="C225" s="285">
        <v>1152.0</v>
      </c>
      <c r="D225" s="285" t="s">
        <v>9712</v>
      </c>
      <c r="E225" s="287" t="s">
        <v>9713</v>
      </c>
      <c r="F225" s="288">
        <v>45476.0</v>
      </c>
      <c r="G225" s="288">
        <v>45474.0</v>
      </c>
      <c r="H225" s="288">
        <v>45476.0</v>
      </c>
      <c r="I225" s="288">
        <v>45483.0</v>
      </c>
      <c r="J225" s="288">
        <v>45483.0</v>
      </c>
      <c r="K225" s="294">
        <v>5575508.0</v>
      </c>
      <c r="L225" s="294" t="s">
        <v>9714</v>
      </c>
      <c r="M225" s="290" t="s">
        <v>9715</v>
      </c>
      <c r="N225" s="299" t="s">
        <v>497</v>
      </c>
      <c r="O225" s="322" t="s">
        <v>2628</v>
      </c>
      <c r="P225" s="300">
        <v>66120.0</v>
      </c>
      <c r="Q225" s="299">
        <f t="shared" si="1"/>
        <v>27</v>
      </c>
      <c r="R225" s="424"/>
      <c r="S225" s="366" t="s">
        <v>9166</v>
      </c>
      <c r="T225" s="198"/>
      <c r="U225" s="198"/>
      <c r="V225" s="198"/>
      <c r="W225" s="198"/>
      <c r="X225" s="198"/>
      <c r="Y225" s="198"/>
      <c r="Z225" s="198"/>
    </row>
    <row r="226" ht="91.5" customHeight="1">
      <c r="A226" s="370">
        <v>39234.0</v>
      </c>
      <c r="B226" s="285" t="s">
        <v>21</v>
      </c>
      <c r="C226" s="285">
        <v>772.0</v>
      </c>
      <c r="D226" s="285" t="s">
        <v>9716</v>
      </c>
      <c r="E226" s="287" t="s">
        <v>5016</v>
      </c>
      <c r="F226" s="288">
        <v>45476.0</v>
      </c>
      <c r="G226" s="288">
        <v>45474.0</v>
      </c>
      <c r="H226" s="288">
        <v>45474.0</v>
      </c>
      <c r="I226" s="288">
        <v>45481.0</v>
      </c>
      <c r="J226" s="288">
        <v>45481.0</v>
      </c>
      <c r="K226" s="294">
        <v>5575508.0</v>
      </c>
      <c r="L226" s="294" t="s">
        <v>9714</v>
      </c>
      <c r="M226" s="290" t="s">
        <v>9717</v>
      </c>
      <c r="N226" s="299" t="s">
        <v>497</v>
      </c>
      <c r="O226" s="322" t="s">
        <v>2628</v>
      </c>
      <c r="P226" s="300">
        <v>268156.0</v>
      </c>
      <c r="Q226" s="299">
        <f t="shared" si="1"/>
        <v>27</v>
      </c>
      <c r="R226" s="424"/>
      <c r="S226" s="366" t="s">
        <v>9166</v>
      </c>
      <c r="T226" s="198"/>
      <c r="U226" s="198"/>
      <c r="V226" s="198"/>
      <c r="W226" s="198"/>
      <c r="X226" s="198"/>
      <c r="Y226" s="198"/>
      <c r="Z226" s="198"/>
    </row>
    <row r="227" ht="91.5" customHeight="1">
      <c r="A227" s="370">
        <v>39276.0</v>
      </c>
      <c r="B227" s="285" t="s">
        <v>21</v>
      </c>
      <c r="C227" s="285">
        <v>2750.0</v>
      </c>
      <c r="D227" s="285" t="s">
        <v>9718</v>
      </c>
      <c r="E227" s="287" t="s">
        <v>9317</v>
      </c>
      <c r="F227" s="288">
        <v>45476.0</v>
      </c>
      <c r="G227" s="288">
        <v>45474.0</v>
      </c>
      <c r="H227" s="288">
        <v>45474.0</v>
      </c>
      <c r="I227" s="288">
        <v>45484.0</v>
      </c>
      <c r="J227" s="288">
        <v>45484.0</v>
      </c>
      <c r="K227" s="294" t="s">
        <v>4841</v>
      </c>
      <c r="L227" s="294"/>
      <c r="M227" s="290" t="s">
        <v>9719</v>
      </c>
      <c r="N227" s="299" t="s">
        <v>4635</v>
      </c>
      <c r="O227" s="322" t="s">
        <v>2621</v>
      </c>
      <c r="P227" s="300">
        <v>36300.0</v>
      </c>
      <c r="Q227" s="299">
        <f t="shared" si="1"/>
        <v>27</v>
      </c>
      <c r="R227" s="424"/>
      <c r="S227" s="366" t="s">
        <v>9166</v>
      </c>
      <c r="T227" s="198"/>
      <c r="U227" s="198"/>
      <c r="V227" s="198"/>
      <c r="W227" s="198"/>
      <c r="X227" s="198"/>
      <c r="Y227" s="198"/>
      <c r="Z227" s="198"/>
    </row>
    <row r="228" ht="91.5" customHeight="1">
      <c r="A228" s="370">
        <v>39233.0</v>
      </c>
      <c r="B228" s="285" t="s">
        <v>21</v>
      </c>
      <c r="C228" s="285">
        <v>961.0</v>
      </c>
      <c r="D228" s="285" t="s">
        <v>9720</v>
      </c>
      <c r="E228" s="287" t="s">
        <v>5016</v>
      </c>
      <c r="F228" s="288">
        <v>45476.0</v>
      </c>
      <c r="G228" s="288">
        <v>45473.0</v>
      </c>
      <c r="H228" s="288">
        <v>45473.0</v>
      </c>
      <c r="I228" s="288">
        <v>45484.0</v>
      </c>
      <c r="J228" s="288">
        <v>45484.0</v>
      </c>
      <c r="K228" s="294">
        <v>5575508.0</v>
      </c>
      <c r="L228" s="294" t="s">
        <v>9714</v>
      </c>
      <c r="M228" s="290" t="s">
        <v>9721</v>
      </c>
      <c r="N228" s="299" t="s">
        <v>497</v>
      </c>
      <c r="O228" s="322" t="s">
        <v>2628</v>
      </c>
      <c r="P228" s="300">
        <v>347291.0</v>
      </c>
      <c r="Q228" s="299">
        <f t="shared" si="1"/>
        <v>27</v>
      </c>
      <c r="R228" s="424"/>
      <c r="S228" s="366" t="s">
        <v>9166</v>
      </c>
      <c r="T228" s="198"/>
      <c r="U228" s="198"/>
      <c r="V228" s="198"/>
      <c r="W228" s="198"/>
      <c r="X228" s="198"/>
      <c r="Y228" s="198"/>
      <c r="Z228" s="198"/>
    </row>
    <row r="229" ht="91.5" customHeight="1">
      <c r="A229" s="370">
        <v>39232.0</v>
      </c>
      <c r="B229" s="285" t="s">
        <v>21</v>
      </c>
      <c r="C229" s="285">
        <v>956.0</v>
      </c>
      <c r="D229" s="285" t="s">
        <v>9722</v>
      </c>
      <c r="E229" s="287" t="s">
        <v>5016</v>
      </c>
      <c r="F229" s="288">
        <v>45476.0</v>
      </c>
      <c r="G229" s="288">
        <v>45473.0</v>
      </c>
      <c r="H229" s="288">
        <v>45475.0</v>
      </c>
      <c r="I229" s="288">
        <v>45483.0</v>
      </c>
      <c r="J229" s="288">
        <v>45483.0</v>
      </c>
      <c r="K229" s="294">
        <v>5575508.0</v>
      </c>
      <c r="L229" s="294" t="s">
        <v>9714</v>
      </c>
      <c r="M229" s="290" t="s">
        <v>9723</v>
      </c>
      <c r="N229" s="299" t="s">
        <v>497</v>
      </c>
      <c r="O229" s="322" t="s">
        <v>2628</v>
      </c>
      <c r="P229" s="300">
        <v>337187.0</v>
      </c>
      <c r="Q229" s="299">
        <f t="shared" si="1"/>
        <v>27</v>
      </c>
      <c r="R229" s="424"/>
      <c r="S229" s="366" t="s">
        <v>9166</v>
      </c>
      <c r="T229" s="198"/>
      <c r="U229" s="198"/>
      <c r="V229" s="198"/>
      <c r="W229" s="198"/>
      <c r="X229" s="198"/>
      <c r="Y229" s="198"/>
      <c r="Z229" s="198"/>
    </row>
    <row r="230" ht="77.25" customHeight="1">
      <c r="A230" s="370">
        <v>39454.0</v>
      </c>
      <c r="B230" s="285" t="s">
        <v>21</v>
      </c>
      <c r="C230" s="285" t="s">
        <v>9724</v>
      </c>
      <c r="D230" s="285" t="s">
        <v>9725</v>
      </c>
      <c r="E230" s="287" t="s">
        <v>9726</v>
      </c>
      <c r="F230" s="288">
        <v>45476.0</v>
      </c>
      <c r="G230" s="288">
        <v>45473.0</v>
      </c>
      <c r="H230" s="288">
        <v>45473.0</v>
      </c>
      <c r="I230" s="288">
        <v>45485.0</v>
      </c>
      <c r="J230" s="288">
        <v>45485.0</v>
      </c>
      <c r="K230" s="294" t="s">
        <v>4841</v>
      </c>
      <c r="L230" s="294"/>
      <c r="M230" s="290" t="s">
        <v>9727</v>
      </c>
      <c r="N230" s="299" t="s">
        <v>4635</v>
      </c>
      <c r="O230" s="322" t="s">
        <v>2621</v>
      </c>
      <c r="P230" s="300">
        <v>32679.16</v>
      </c>
      <c r="Q230" s="299">
        <f t="shared" si="1"/>
        <v>27</v>
      </c>
      <c r="R230" s="424"/>
      <c r="S230" s="366" t="s">
        <v>9166</v>
      </c>
      <c r="T230" s="198"/>
      <c r="U230" s="198"/>
      <c r="V230" s="198"/>
      <c r="W230" s="198"/>
      <c r="X230" s="198"/>
      <c r="Y230" s="198"/>
      <c r="Z230" s="198"/>
    </row>
    <row r="231" ht="91.5" customHeight="1">
      <c r="A231" s="370">
        <v>39311.0</v>
      </c>
      <c r="B231" s="285" t="s">
        <v>21</v>
      </c>
      <c r="C231" s="285">
        <v>4862.0</v>
      </c>
      <c r="D231" s="285" t="s">
        <v>9728</v>
      </c>
      <c r="E231" s="287" t="s">
        <v>9729</v>
      </c>
      <c r="F231" s="288">
        <v>45476.0</v>
      </c>
      <c r="G231" s="288">
        <v>45473.0</v>
      </c>
      <c r="H231" s="288">
        <v>45473.0</v>
      </c>
      <c r="I231" s="288">
        <v>45485.0</v>
      </c>
      <c r="J231" s="288">
        <v>45485.0</v>
      </c>
      <c r="K231" s="548" t="s">
        <v>4916</v>
      </c>
      <c r="L231" s="451"/>
      <c r="M231" s="290" t="s">
        <v>9730</v>
      </c>
      <c r="N231" s="299" t="s">
        <v>4635</v>
      </c>
      <c r="O231" s="322" t="s">
        <v>2621</v>
      </c>
      <c r="P231" s="300">
        <v>42522.76</v>
      </c>
      <c r="Q231" s="299">
        <f t="shared" si="1"/>
        <v>27</v>
      </c>
      <c r="R231" s="424"/>
      <c r="S231" s="366" t="s">
        <v>9166</v>
      </c>
      <c r="T231" s="198"/>
      <c r="U231" s="198"/>
      <c r="V231" s="198"/>
      <c r="W231" s="198"/>
      <c r="X231" s="198"/>
      <c r="Y231" s="198"/>
      <c r="Z231" s="198"/>
    </row>
    <row r="232" ht="91.5" customHeight="1">
      <c r="A232" s="370">
        <v>39289.0</v>
      </c>
      <c r="B232" s="299" t="s">
        <v>6501</v>
      </c>
      <c r="C232" s="285">
        <v>940.0</v>
      </c>
      <c r="D232" s="285" t="s">
        <v>9731</v>
      </c>
      <c r="E232" s="287" t="s">
        <v>9732</v>
      </c>
      <c r="F232" s="288">
        <v>45475.0</v>
      </c>
      <c r="G232" s="288">
        <v>45474.0</v>
      </c>
      <c r="H232" s="288">
        <v>45474.0</v>
      </c>
      <c r="I232" s="288">
        <v>45482.0</v>
      </c>
      <c r="J232" s="288">
        <v>45482.0</v>
      </c>
      <c r="K232" s="294"/>
      <c r="L232" s="294"/>
      <c r="M232" s="290" t="s">
        <v>9733</v>
      </c>
      <c r="N232" s="299" t="s">
        <v>4635</v>
      </c>
      <c r="O232" s="322" t="s">
        <v>2621</v>
      </c>
      <c r="P232" s="300">
        <v>43631.35</v>
      </c>
      <c r="Q232" s="299">
        <f t="shared" si="1"/>
        <v>27</v>
      </c>
      <c r="R232" s="424"/>
      <c r="S232" s="366" t="s">
        <v>8430</v>
      </c>
      <c r="T232" s="198"/>
      <c r="U232" s="198"/>
      <c r="V232" s="198"/>
      <c r="W232" s="198"/>
      <c r="X232" s="198"/>
      <c r="Y232" s="198"/>
      <c r="Z232" s="198"/>
    </row>
    <row r="233" ht="91.5" customHeight="1">
      <c r="A233" s="370">
        <v>39279.0</v>
      </c>
      <c r="B233" s="299" t="s">
        <v>715</v>
      </c>
      <c r="C233" s="285">
        <v>1250.0</v>
      </c>
      <c r="D233" s="285" t="s">
        <v>9734</v>
      </c>
      <c r="E233" s="287" t="s">
        <v>9735</v>
      </c>
      <c r="F233" s="288">
        <v>45475.0</v>
      </c>
      <c r="G233" s="288">
        <v>45468.0</v>
      </c>
      <c r="H233" s="288">
        <v>45468.0</v>
      </c>
      <c r="I233" s="288">
        <v>45484.0</v>
      </c>
      <c r="J233" s="288">
        <v>45484.0</v>
      </c>
      <c r="K233" s="294"/>
      <c r="L233" s="294"/>
      <c r="M233" s="290" t="s">
        <v>9736</v>
      </c>
      <c r="N233" s="299" t="s">
        <v>4635</v>
      </c>
      <c r="O233" s="322" t="s">
        <v>2621</v>
      </c>
      <c r="P233" s="300">
        <v>29561.0</v>
      </c>
      <c r="Q233" s="299">
        <f t="shared" si="1"/>
        <v>27</v>
      </c>
      <c r="R233" s="424"/>
      <c r="S233" s="366" t="s">
        <v>8430</v>
      </c>
      <c r="T233" s="198"/>
      <c r="U233" s="198"/>
      <c r="V233" s="198"/>
      <c r="W233" s="198"/>
      <c r="X233" s="198"/>
      <c r="Y233" s="198"/>
      <c r="Z233" s="198"/>
    </row>
    <row r="234" ht="91.5" customHeight="1">
      <c r="A234" s="370">
        <v>38951.0</v>
      </c>
      <c r="B234" s="299" t="s">
        <v>4924</v>
      </c>
      <c r="C234" s="285" t="s">
        <v>9737</v>
      </c>
      <c r="D234" s="285" t="s">
        <v>4925</v>
      </c>
      <c r="E234" s="287" t="s">
        <v>7760</v>
      </c>
      <c r="F234" s="288">
        <v>45474.0</v>
      </c>
      <c r="G234" s="288">
        <v>45474.0</v>
      </c>
      <c r="H234" s="288">
        <v>45474.0</v>
      </c>
      <c r="I234" s="288">
        <v>45476.0</v>
      </c>
      <c r="J234" s="288">
        <v>45476.0</v>
      </c>
      <c r="K234" s="294"/>
      <c r="L234" s="294"/>
      <c r="M234" s="290" t="s">
        <v>9738</v>
      </c>
      <c r="N234" s="299" t="s">
        <v>497</v>
      </c>
      <c r="O234" s="322" t="s">
        <v>2554</v>
      </c>
      <c r="P234" s="300">
        <v>7800.0</v>
      </c>
      <c r="Q234" s="299">
        <f t="shared" si="1"/>
        <v>27</v>
      </c>
      <c r="R234" s="424" t="s">
        <v>9198</v>
      </c>
      <c r="S234" s="366" t="s">
        <v>9171</v>
      </c>
      <c r="T234" s="198"/>
      <c r="U234" s="198"/>
      <c r="V234" s="198"/>
      <c r="W234" s="198"/>
      <c r="X234" s="198"/>
      <c r="Y234" s="198"/>
      <c r="Z234" s="198"/>
    </row>
    <row r="235" ht="91.5" customHeight="1">
      <c r="A235" s="370">
        <v>38613.0</v>
      </c>
      <c r="B235" s="285" t="s">
        <v>21</v>
      </c>
      <c r="C235" s="285">
        <v>4356.0</v>
      </c>
      <c r="D235" s="285" t="s">
        <v>9739</v>
      </c>
      <c r="E235" s="287" t="s">
        <v>7581</v>
      </c>
      <c r="F235" s="288">
        <v>45473.0</v>
      </c>
      <c r="G235" s="288">
        <v>45468.0</v>
      </c>
      <c r="H235" s="288">
        <v>45468.0</v>
      </c>
      <c r="I235" s="288">
        <v>45482.0</v>
      </c>
      <c r="J235" s="288">
        <v>45482.0</v>
      </c>
      <c r="K235" s="294" t="s">
        <v>4841</v>
      </c>
      <c r="L235" s="294" t="s">
        <v>9532</v>
      </c>
      <c r="M235" s="290" t="s">
        <v>9740</v>
      </c>
      <c r="N235" s="299" t="s">
        <v>497</v>
      </c>
      <c r="O235" s="322" t="s">
        <v>2554</v>
      </c>
      <c r="P235" s="300">
        <v>30056.4</v>
      </c>
      <c r="Q235" s="299">
        <f t="shared" si="1"/>
        <v>27</v>
      </c>
      <c r="R235" s="424" t="s">
        <v>9198</v>
      </c>
      <c r="S235" s="366" t="s">
        <v>9171</v>
      </c>
      <c r="T235" s="198"/>
      <c r="U235" s="198"/>
      <c r="V235" s="198"/>
      <c r="W235" s="198"/>
      <c r="X235" s="198"/>
      <c r="Y235" s="198"/>
      <c r="Z235" s="198"/>
    </row>
    <row r="236" ht="91.5" customHeight="1">
      <c r="A236" s="370">
        <v>38958.0</v>
      </c>
      <c r="B236" s="285" t="s">
        <v>21</v>
      </c>
      <c r="C236" s="285">
        <v>1306.0</v>
      </c>
      <c r="D236" s="285" t="s">
        <v>9741</v>
      </c>
      <c r="E236" s="287" t="s">
        <v>9439</v>
      </c>
      <c r="F236" s="288">
        <v>45473.0</v>
      </c>
      <c r="G236" s="288">
        <v>45468.0</v>
      </c>
      <c r="H236" s="288">
        <v>45468.0</v>
      </c>
      <c r="I236" s="288">
        <v>45484.0</v>
      </c>
      <c r="J236" s="288">
        <v>45484.0</v>
      </c>
      <c r="K236" s="294" t="s">
        <v>4841</v>
      </c>
      <c r="L236" s="294" t="s">
        <v>9532</v>
      </c>
      <c r="M236" s="290" t="s">
        <v>9742</v>
      </c>
      <c r="N236" s="299" t="s">
        <v>497</v>
      </c>
      <c r="O236" s="322" t="s">
        <v>2554</v>
      </c>
      <c r="P236" s="300">
        <v>46036.5</v>
      </c>
      <c r="Q236" s="299">
        <f t="shared" si="1"/>
        <v>27</v>
      </c>
      <c r="R236" s="424" t="s">
        <v>9198</v>
      </c>
      <c r="S236" s="366" t="s">
        <v>9171</v>
      </c>
      <c r="T236" s="198"/>
      <c r="U236" s="198"/>
      <c r="V236" s="198"/>
      <c r="W236" s="198"/>
      <c r="X236" s="198"/>
      <c r="Y236" s="198"/>
      <c r="Z236" s="198"/>
    </row>
    <row r="237" ht="91.5" customHeight="1">
      <c r="A237" s="370">
        <v>38973.0</v>
      </c>
      <c r="B237" s="285" t="s">
        <v>21</v>
      </c>
      <c r="C237" s="285">
        <v>2413.0</v>
      </c>
      <c r="D237" s="285" t="s">
        <v>9743</v>
      </c>
      <c r="E237" s="287" t="s">
        <v>7448</v>
      </c>
      <c r="F237" s="288">
        <v>45473.0</v>
      </c>
      <c r="G237" s="288">
        <v>45468.0</v>
      </c>
      <c r="H237" s="288">
        <v>45468.0</v>
      </c>
      <c r="I237" s="288">
        <v>45484.0</v>
      </c>
      <c r="J237" s="288">
        <v>45484.0</v>
      </c>
      <c r="K237" s="294" t="s">
        <v>4841</v>
      </c>
      <c r="L237" s="294" t="s">
        <v>9532</v>
      </c>
      <c r="M237" s="290" t="s">
        <v>9744</v>
      </c>
      <c r="N237" s="299" t="s">
        <v>497</v>
      </c>
      <c r="O237" s="322" t="s">
        <v>2554</v>
      </c>
      <c r="P237" s="300">
        <v>42951.2</v>
      </c>
      <c r="Q237" s="299">
        <f t="shared" si="1"/>
        <v>27</v>
      </c>
      <c r="R237" s="424" t="s">
        <v>9198</v>
      </c>
      <c r="S237" s="366" t="s">
        <v>9171</v>
      </c>
      <c r="T237" s="198"/>
      <c r="U237" s="198"/>
      <c r="V237" s="198"/>
      <c r="W237" s="198"/>
      <c r="X237" s="198"/>
      <c r="Y237" s="198"/>
      <c r="Z237" s="198"/>
    </row>
    <row r="238" ht="91.5" customHeight="1">
      <c r="A238" s="370">
        <v>38978.0</v>
      </c>
      <c r="B238" s="285" t="s">
        <v>21</v>
      </c>
      <c r="C238" s="285">
        <v>1306.0</v>
      </c>
      <c r="D238" s="285" t="s">
        <v>9745</v>
      </c>
      <c r="E238" s="287" t="s">
        <v>9378</v>
      </c>
      <c r="F238" s="288">
        <v>45473.0</v>
      </c>
      <c r="G238" s="288">
        <v>45468.0</v>
      </c>
      <c r="H238" s="288">
        <v>45468.0</v>
      </c>
      <c r="I238" s="288">
        <v>45482.0</v>
      </c>
      <c r="J238" s="288">
        <v>45482.0</v>
      </c>
      <c r="K238" s="294" t="s">
        <v>4841</v>
      </c>
      <c r="L238" s="294" t="s">
        <v>9532</v>
      </c>
      <c r="M238" s="290" t="s">
        <v>9746</v>
      </c>
      <c r="N238" s="299" t="s">
        <v>497</v>
      </c>
      <c r="O238" s="322" t="s">
        <v>2554</v>
      </c>
      <c r="P238" s="300">
        <v>44795.8</v>
      </c>
      <c r="Q238" s="299">
        <f t="shared" si="1"/>
        <v>27</v>
      </c>
      <c r="R238" s="424" t="s">
        <v>9198</v>
      </c>
      <c r="S238" s="366" t="s">
        <v>9171</v>
      </c>
      <c r="T238" s="198"/>
      <c r="U238" s="198"/>
      <c r="V238" s="198"/>
      <c r="W238" s="198"/>
      <c r="X238" s="198"/>
      <c r="Y238" s="198"/>
      <c r="Z238" s="198"/>
    </row>
    <row r="239" ht="91.5" customHeight="1">
      <c r="A239" s="370">
        <v>38893.0</v>
      </c>
      <c r="B239" s="299" t="s">
        <v>25</v>
      </c>
      <c r="C239" s="285" t="s">
        <v>9747</v>
      </c>
      <c r="D239" s="285" t="s">
        <v>9748</v>
      </c>
      <c r="E239" s="287" t="s">
        <v>9749</v>
      </c>
      <c r="F239" s="288">
        <v>45471.0</v>
      </c>
      <c r="G239" s="288">
        <v>45482.0</v>
      </c>
      <c r="H239" s="288">
        <v>45481.0</v>
      </c>
      <c r="I239" s="288">
        <v>45481.0</v>
      </c>
      <c r="J239" s="288">
        <v>45481.0</v>
      </c>
      <c r="K239" s="294"/>
      <c r="L239" s="294"/>
      <c r="M239" s="290" t="s">
        <v>9750</v>
      </c>
      <c r="N239" s="299" t="s">
        <v>4635</v>
      </c>
      <c r="O239" s="322" t="s">
        <v>4912</v>
      </c>
      <c r="P239" s="300">
        <v>61912.5</v>
      </c>
      <c r="Q239" s="299">
        <f t="shared" si="1"/>
        <v>26</v>
      </c>
      <c r="R239" s="424"/>
      <c r="S239" s="366" t="s">
        <v>9166</v>
      </c>
      <c r="T239" s="198"/>
      <c r="U239" s="198"/>
      <c r="V239" s="198"/>
      <c r="W239" s="198"/>
      <c r="X239" s="198"/>
      <c r="Y239" s="198"/>
      <c r="Z239" s="198"/>
    </row>
    <row r="240" ht="91.5" customHeight="1">
      <c r="A240" s="370">
        <v>39293.0</v>
      </c>
      <c r="B240" s="285" t="s">
        <v>21</v>
      </c>
      <c r="C240" s="285">
        <v>700.0</v>
      </c>
      <c r="D240" s="285" t="s">
        <v>9751</v>
      </c>
      <c r="E240" s="287" t="s">
        <v>3169</v>
      </c>
      <c r="F240" s="288">
        <v>45470.0</v>
      </c>
      <c r="G240" s="288">
        <v>45466.0</v>
      </c>
      <c r="H240" s="288">
        <v>45466.0</v>
      </c>
      <c r="I240" s="288">
        <v>45476.0</v>
      </c>
      <c r="J240" s="288">
        <v>45476.0</v>
      </c>
      <c r="K240" s="548" t="s">
        <v>4916</v>
      </c>
      <c r="L240" s="451"/>
      <c r="M240" s="290" t="s">
        <v>9752</v>
      </c>
      <c r="N240" s="299" t="s">
        <v>6366</v>
      </c>
      <c r="O240" s="322" t="s">
        <v>2621</v>
      </c>
      <c r="P240" s="300">
        <v>33176.0</v>
      </c>
      <c r="Q240" s="299">
        <f t="shared" si="1"/>
        <v>26</v>
      </c>
      <c r="R240" s="424"/>
      <c r="S240" s="366" t="s">
        <v>9166</v>
      </c>
      <c r="T240" s="198"/>
      <c r="U240" s="198"/>
      <c r="V240" s="198"/>
      <c r="W240" s="198"/>
      <c r="X240" s="198"/>
      <c r="Y240" s="198"/>
      <c r="Z240" s="198"/>
    </row>
    <row r="241" ht="91.5" customHeight="1">
      <c r="A241" s="370">
        <v>39280.0</v>
      </c>
      <c r="B241" s="299" t="s">
        <v>715</v>
      </c>
      <c r="C241" s="285">
        <v>1250.0</v>
      </c>
      <c r="D241" s="285" t="s">
        <v>9753</v>
      </c>
      <c r="E241" s="287" t="s">
        <v>9754</v>
      </c>
      <c r="F241" s="288">
        <v>45469.0</v>
      </c>
      <c r="G241" s="288">
        <v>45467.0</v>
      </c>
      <c r="H241" s="288">
        <v>45467.0</v>
      </c>
      <c r="I241" s="288">
        <v>45474.0</v>
      </c>
      <c r="J241" s="288">
        <v>45474.0</v>
      </c>
      <c r="K241" s="294"/>
      <c r="L241" s="294"/>
      <c r="M241" s="290" t="s">
        <v>9755</v>
      </c>
      <c r="N241" s="299" t="s">
        <v>4635</v>
      </c>
      <c r="O241" s="322" t="s">
        <v>2621</v>
      </c>
      <c r="P241" s="300">
        <v>29491.0</v>
      </c>
      <c r="Q241" s="299">
        <f t="shared" si="1"/>
        <v>26</v>
      </c>
      <c r="R241" s="424"/>
      <c r="S241" s="366" t="s">
        <v>8430</v>
      </c>
      <c r="T241" s="198"/>
      <c r="U241" s="198"/>
      <c r="V241" s="198"/>
      <c r="W241" s="198"/>
      <c r="X241" s="198"/>
      <c r="Y241" s="198"/>
      <c r="Z241" s="198"/>
    </row>
    <row r="242" ht="91.5" customHeight="1">
      <c r="A242" s="370" t="s">
        <v>9756</v>
      </c>
      <c r="B242" s="285" t="s">
        <v>21</v>
      </c>
      <c r="C242" s="285">
        <v>325.0</v>
      </c>
      <c r="D242" s="285" t="s">
        <v>9757</v>
      </c>
      <c r="E242" s="287" t="s">
        <v>9758</v>
      </c>
      <c r="F242" s="288">
        <v>45469.0</v>
      </c>
      <c r="G242" s="288">
        <v>45463.0</v>
      </c>
      <c r="H242" s="288">
        <v>45463.0</v>
      </c>
      <c r="I242" s="288">
        <v>45481.0</v>
      </c>
      <c r="J242" s="288">
        <v>45481.0</v>
      </c>
      <c r="K242" s="548" t="s">
        <v>4916</v>
      </c>
      <c r="L242" s="451"/>
      <c r="M242" s="290" t="s">
        <v>9759</v>
      </c>
      <c r="N242" s="299" t="s">
        <v>4745</v>
      </c>
      <c r="O242" s="322" t="s">
        <v>4746</v>
      </c>
      <c r="P242" s="300">
        <v>87336.0</v>
      </c>
      <c r="Q242" s="299">
        <f t="shared" si="1"/>
        <v>26</v>
      </c>
      <c r="R242" s="424"/>
      <c r="S242" s="366" t="s">
        <v>9166</v>
      </c>
      <c r="T242" s="198"/>
      <c r="U242" s="198"/>
      <c r="V242" s="198"/>
      <c r="W242" s="198"/>
      <c r="X242" s="198"/>
      <c r="Y242" s="198"/>
      <c r="Z242" s="198"/>
    </row>
    <row r="243" ht="91.5" customHeight="1">
      <c r="A243" s="370">
        <v>39318.0</v>
      </c>
      <c r="B243" s="285" t="s">
        <v>21</v>
      </c>
      <c r="C243" s="285">
        <v>1250.0</v>
      </c>
      <c r="D243" s="285" t="s">
        <v>9760</v>
      </c>
      <c r="E243" s="287" t="s">
        <v>9515</v>
      </c>
      <c r="F243" s="288">
        <v>45469.0</v>
      </c>
      <c r="G243" s="288">
        <v>45463.0</v>
      </c>
      <c r="H243" s="288">
        <v>45463.0</v>
      </c>
      <c r="I243" s="288">
        <v>45476.0</v>
      </c>
      <c r="J243" s="288">
        <v>45476.0</v>
      </c>
      <c r="K243" s="548" t="s">
        <v>4916</v>
      </c>
      <c r="L243" s="451"/>
      <c r="M243" s="290" t="s">
        <v>9761</v>
      </c>
      <c r="N243" s="299" t="s">
        <v>4635</v>
      </c>
      <c r="O243" s="322" t="s">
        <v>2621</v>
      </c>
      <c r="P243" s="300">
        <v>28549.0</v>
      </c>
      <c r="Q243" s="299">
        <f t="shared" si="1"/>
        <v>26</v>
      </c>
      <c r="R243" s="424"/>
      <c r="S243" s="366" t="s">
        <v>8430</v>
      </c>
      <c r="T243" s="198"/>
      <c r="U243" s="198"/>
      <c r="V243" s="198"/>
      <c r="W243" s="198"/>
      <c r="X243" s="198"/>
      <c r="Y243" s="198"/>
      <c r="Z243" s="198"/>
    </row>
    <row r="244" ht="91.5" customHeight="1">
      <c r="A244" s="370">
        <v>38972.0</v>
      </c>
      <c r="B244" s="299" t="s">
        <v>25</v>
      </c>
      <c r="C244" s="285">
        <v>2413.0</v>
      </c>
      <c r="D244" s="285" t="s">
        <v>9762</v>
      </c>
      <c r="E244" s="287" t="s">
        <v>7476</v>
      </c>
      <c r="F244" s="288">
        <v>45467.0</v>
      </c>
      <c r="G244" s="288">
        <v>45462.0</v>
      </c>
      <c r="H244" s="288">
        <v>45462.0</v>
      </c>
      <c r="I244" s="288">
        <v>45474.0</v>
      </c>
      <c r="J244" s="288">
        <v>45474.0</v>
      </c>
      <c r="K244" s="294"/>
      <c r="L244" s="294" t="s">
        <v>9532</v>
      </c>
      <c r="M244" s="290" t="s">
        <v>9763</v>
      </c>
      <c r="N244" s="299" t="s">
        <v>497</v>
      </c>
      <c r="O244" s="322" t="s">
        <v>2554</v>
      </c>
      <c r="P244" s="300">
        <v>42468.8</v>
      </c>
      <c r="Q244" s="299">
        <f t="shared" si="1"/>
        <v>26</v>
      </c>
      <c r="R244" s="424" t="s">
        <v>9198</v>
      </c>
      <c r="S244" s="366" t="s">
        <v>9171</v>
      </c>
      <c r="T244" s="198"/>
      <c r="U244" s="198"/>
      <c r="V244" s="198"/>
      <c r="W244" s="198"/>
      <c r="X244" s="198"/>
      <c r="Y244" s="198"/>
      <c r="Z244" s="198"/>
    </row>
    <row r="245" ht="91.5" customHeight="1">
      <c r="A245" s="370">
        <v>39146.0</v>
      </c>
      <c r="B245" s="299" t="s">
        <v>715</v>
      </c>
      <c r="C245" s="285">
        <v>993.0</v>
      </c>
      <c r="D245" s="285" t="s">
        <v>9764</v>
      </c>
      <c r="E245" s="287" t="s">
        <v>7415</v>
      </c>
      <c r="F245" s="288">
        <v>45463.0</v>
      </c>
      <c r="G245" s="288">
        <v>45460.0</v>
      </c>
      <c r="H245" s="288">
        <v>45461.0</v>
      </c>
      <c r="I245" s="288">
        <v>45468.0</v>
      </c>
      <c r="J245" s="288">
        <v>45468.0</v>
      </c>
      <c r="K245" s="294"/>
      <c r="L245" s="294"/>
      <c r="M245" s="290" t="s">
        <v>9765</v>
      </c>
      <c r="N245" s="299" t="s">
        <v>6366</v>
      </c>
      <c r="O245" s="322" t="s">
        <v>2628</v>
      </c>
      <c r="P245" s="300">
        <v>867480.0</v>
      </c>
      <c r="Q245" s="299">
        <f t="shared" si="1"/>
        <v>25</v>
      </c>
      <c r="R245" s="424"/>
      <c r="S245" s="366" t="s">
        <v>9166</v>
      </c>
      <c r="T245" s="198"/>
      <c r="U245" s="198"/>
      <c r="V245" s="198"/>
      <c r="W245" s="198"/>
      <c r="X245" s="198"/>
      <c r="Y245" s="198"/>
      <c r="Z245" s="198"/>
    </row>
    <row r="246" ht="91.5" customHeight="1">
      <c r="A246" s="370">
        <v>39062.0</v>
      </c>
      <c r="B246" s="285" t="s">
        <v>21</v>
      </c>
      <c r="C246" s="285">
        <v>1510.0</v>
      </c>
      <c r="D246" s="285" t="s">
        <v>9766</v>
      </c>
      <c r="E246" s="287" t="s">
        <v>2751</v>
      </c>
      <c r="F246" s="288">
        <v>45463.0</v>
      </c>
      <c r="G246" s="288">
        <v>45460.0</v>
      </c>
      <c r="H246" s="288">
        <v>45460.0</v>
      </c>
      <c r="I246" s="288">
        <v>45470.0</v>
      </c>
      <c r="J246" s="288">
        <v>45470.0</v>
      </c>
      <c r="K246" s="548" t="s">
        <v>4916</v>
      </c>
      <c r="L246" s="451"/>
      <c r="M246" s="290" t="s">
        <v>9767</v>
      </c>
      <c r="N246" s="299" t="s">
        <v>6366</v>
      </c>
      <c r="O246" s="322" t="s">
        <v>2621</v>
      </c>
      <c r="P246" s="300">
        <v>42425.6</v>
      </c>
      <c r="Q246" s="299">
        <f t="shared" si="1"/>
        <v>25</v>
      </c>
      <c r="R246" s="424"/>
      <c r="S246" s="366" t="s">
        <v>9166</v>
      </c>
      <c r="T246" s="198"/>
      <c r="U246" s="198"/>
      <c r="V246" s="198"/>
      <c r="W246" s="198"/>
      <c r="X246" s="198"/>
      <c r="Y246" s="198"/>
      <c r="Z246" s="198"/>
    </row>
    <row r="247" ht="83.25" customHeight="1">
      <c r="A247" s="370">
        <v>39091.0</v>
      </c>
      <c r="B247" s="299" t="s">
        <v>715</v>
      </c>
      <c r="C247" s="285">
        <v>2432.0</v>
      </c>
      <c r="D247" s="285" t="s">
        <v>9768</v>
      </c>
      <c r="E247" s="287" t="s">
        <v>9769</v>
      </c>
      <c r="F247" s="288">
        <v>45463.0</v>
      </c>
      <c r="G247" s="288">
        <v>45459.0</v>
      </c>
      <c r="H247" s="288">
        <v>45459.0</v>
      </c>
      <c r="I247" s="288">
        <v>45469.0</v>
      </c>
      <c r="J247" s="288">
        <v>45469.0</v>
      </c>
      <c r="K247" s="294"/>
      <c r="L247" s="294"/>
      <c r="M247" s="290" t="s">
        <v>9770</v>
      </c>
      <c r="N247" s="299" t="s">
        <v>497</v>
      </c>
      <c r="O247" s="322" t="s">
        <v>2604</v>
      </c>
      <c r="P247" s="300">
        <v>33984.0</v>
      </c>
      <c r="Q247" s="299">
        <f t="shared" si="1"/>
        <v>25</v>
      </c>
      <c r="R247" s="424"/>
      <c r="S247" s="366" t="s">
        <v>9166</v>
      </c>
      <c r="T247" s="198"/>
      <c r="U247" s="198"/>
      <c r="V247" s="198"/>
      <c r="W247" s="198"/>
      <c r="X247" s="198"/>
      <c r="Y247" s="198"/>
      <c r="Z247" s="198"/>
    </row>
    <row r="248" ht="81.75" customHeight="1">
      <c r="A248" s="370">
        <v>38954.0</v>
      </c>
      <c r="B248" s="299" t="s">
        <v>715</v>
      </c>
      <c r="C248" s="285">
        <v>1306.0</v>
      </c>
      <c r="D248" s="285" t="s">
        <v>9771</v>
      </c>
      <c r="E248" s="287" t="s">
        <v>9439</v>
      </c>
      <c r="F248" s="288">
        <v>45463.0</v>
      </c>
      <c r="G248" s="288">
        <v>45459.0</v>
      </c>
      <c r="H248" s="288">
        <v>45459.0</v>
      </c>
      <c r="I248" s="288">
        <v>45470.0</v>
      </c>
      <c r="J248" s="288">
        <v>45470.0</v>
      </c>
      <c r="K248" s="294"/>
      <c r="L248" s="294"/>
      <c r="M248" s="290" t="s">
        <v>9772</v>
      </c>
      <c r="N248" s="299" t="s">
        <v>497</v>
      </c>
      <c r="O248" s="322" t="s">
        <v>2554</v>
      </c>
      <c r="P248" s="300">
        <v>46036.5</v>
      </c>
      <c r="Q248" s="299">
        <f t="shared" si="1"/>
        <v>25</v>
      </c>
      <c r="R248" s="424" t="s">
        <v>9198</v>
      </c>
      <c r="S248" s="366" t="s">
        <v>9171</v>
      </c>
      <c r="T248" s="198"/>
      <c r="U248" s="198"/>
      <c r="V248" s="198"/>
      <c r="W248" s="198"/>
      <c r="X248" s="198"/>
      <c r="Y248" s="198"/>
      <c r="Z248" s="198"/>
    </row>
    <row r="249" ht="81.75" customHeight="1">
      <c r="A249" s="370">
        <v>39092.0</v>
      </c>
      <c r="B249" s="299" t="s">
        <v>25</v>
      </c>
      <c r="C249" s="285">
        <v>2430.0</v>
      </c>
      <c r="D249" s="285" t="s">
        <v>9773</v>
      </c>
      <c r="E249" s="287" t="s">
        <v>9769</v>
      </c>
      <c r="F249" s="288">
        <v>45463.0</v>
      </c>
      <c r="G249" s="288">
        <v>45459.0</v>
      </c>
      <c r="H249" s="288">
        <v>45459.0</v>
      </c>
      <c r="I249" s="288">
        <v>45469.0</v>
      </c>
      <c r="J249" s="288">
        <v>45469.0</v>
      </c>
      <c r="K249" s="294"/>
      <c r="L249" s="294"/>
      <c r="M249" s="290" t="s">
        <v>9774</v>
      </c>
      <c r="N249" s="299" t="s">
        <v>497</v>
      </c>
      <c r="O249" s="322" t="s">
        <v>2604</v>
      </c>
      <c r="P249" s="300">
        <v>41784.0</v>
      </c>
      <c r="Q249" s="299">
        <f t="shared" si="1"/>
        <v>25</v>
      </c>
      <c r="R249" s="424"/>
      <c r="S249" s="366" t="s">
        <v>9166</v>
      </c>
      <c r="T249" s="198"/>
      <c r="U249" s="198"/>
      <c r="V249" s="198"/>
      <c r="W249" s="198"/>
      <c r="X249" s="198"/>
      <c r="Y249" s="198"/>
      <c r="Z249" s="198"/>
    </row>
    <row r="250" ht="81.75" customHeight="1">
      <c r="A250" s="370">
        <v>38943.0</v>
      </c>
      <c r="B250" s="299" t="s">
        <v>715</v>
      </c>
      <c r="C250" s="285">
        <v>1600.0</v>
      </c>
      <c r="D250" s="285" t="s">
        <v>9775</v>
      </c>
      <c r="E250" s="287" t="s">
        <v>9776</v>
      </c>
      <c r="F250" s="288">
        <v>45460.0</v>
      </c>
      <c r="G250" s="288">
        <v>45454.0</v>
      </c>
      <c r="H250" s="288">
        <v>45454.0</v>
      </c>
      <c r="I250" s="288">
        <v>45467.0</v>
      </c>
      <c r="J250" s="288">
        <v>45467.0</v>
      </c>
      <c r="K250" s="294"/>
      <c r="L250" s="294"/>
      <c r="M250" s="290" t="s">
        <v>9777</v>
      </c>
      <c r="N250" s="299" t="s">
        <v>497</v>
      </c>
      <c r="O250" s="322" t="s">
        <v>2554</v>
      </c>
      <c r="P250" s="300">
        <v>38900.0</v>
      </c>
      <c r="Q250" s="299">
        <f t="shared" si="1"/>
        <v>25</v>
      </c>
      <c r="R250" s="424" t="s">
        <v>9170</v>
      </c>
      <c r="S250" s="366" t="s">
        <v>9171</v>
      </c>
      <c r="T250" s="198"/>
      <c r="U250" s="198"/>
      <c r="V250" s="198"/>
      <c r="W250" s="198"/>
      <c r="X250" s="198"/>
      <c r="Y250" s="198"/>
      <c r="Z250" s="198"/>
    </row>
    <row r="251" ht="81.75" customHeight="1">
      <c r="A251" s="370">
        <v>39159.0</v>
      </c>
      <c r="B251" s="299" t="s">
        <v>6501</v>
      </c>
      <c r="C251" s="285">
        <v>940.0</v>
      </c>
      <c r="D251" s="285" t="s">
        <v>9778</v>
      </c>
      <c r="E251" s="287" t="s">
        <v>9779</v>
      </c>
      <c r="F251" s="288">
        <v>45455.0</v>
      </c>
      <c r="G251" s="288">
        <v>45453.0</v>
      </c>
      <c r="H251" s="288">
        <v>45453.0</v>
      </c>
      <c r="I251" s="288">
        <v>45461.0</v>
      </c>
      <c r="J251" s="288">
        <v>45461.0</v>
      </c>
      <c r="K251" s="294"/>
      <c r="L251" s="294"/>
      <c r="M251" s="290" t="s">
        <v>9780</v>
      </c>
      <c r="N251" s="299" t="s">
        <v>4635</v>
      </c>
      <c r="O251" s="322" t="s">
        <v>2621</v>
      </c>
      <c r="P251" s="300">
        <v>40833.6</v>
      </c>
      <c r="Q251" s="299">
        <f t="shared" si="1"/>
        <v>24</v>
      </c>
      <c r="R251" s="424"/>
      <c r="S251" s="366" t="s">
        <v>8430</v>
      </c>
      <c r="T251" s="198"/>
      <c r="U251" s="198"/>
      <c r="V251" s="198"/>
      <c r="W251" s="198"/>
      <c r="X251" s="198"/>
      <c r="Y251" s="198"/>
      <c r="Z251" s="198"/>
    </row>
    <row r="252" ht="81.75" customHeight="1">
      <c r="A252" s="370">
        <v>39074.0</v>
      </c>
      <c r="B252" s="299" t="s">
        <v>715</v>
      </c>
      <c r="C252" s="285">
        <v>1252.0</v>
      </c>
      <c r="D252" s="285" t="s">
        <v>9781</v>
      </c>
      <c r="E252" s="287" t="s">
        <v>9782</v>
      </c>
      <c r="F252" s="288">
        <v>45449.0</v>
      </c>
      <c r="G252" s="288">
        <v>45443.0</v>
      </c>
      <c r="H252" s="288">
        <v>45443.0</v>
      </c>
      <c r="I252" s="288">
        <v>45455.0</v>
      </c>
      <c r="J252" s="288">
        <v>45455.0</v>
      </c>
      <c r="K252" s="294"/>
      <c r="L252" s="294"/>
      <c r="M252" s="290" t="s">
        <v>9783</v>
      </c>
      <c r="N252" s="299" t="s">
        <v>4635</v>
      </c>
      <c r="O252" s="322" t="s">
        <v>2621</v>
      </c>
      <c r="P252" s="300">
        <v>29740.76</v>
      </c>
      <c r="Q252" s="299">
        <f t="shared" si="1"/>
        <v>23</v>
      </c>
      <c r="R252" s="424"/>
      <c r="S252" s="366" t="s">
        <v>8430</v>
      </c>
      <c r="T252" s="198"/>
      <c r="U252" s="198"/>
      <c r="V252" s="198"/>
      <c r="W252" s="198"/>
      <c r="X252" s="198"/>
      <c r="Y252" s="198"/>
      <c r="Z252" s="198"/>
    </row>
    <row r="253" ht="81.75" customHeight="1">
      <c r="A253" s="370">
        <v>39015.0</v>
      </c>
      <c r="B253" s="299" t="s">
        <v>715</v>
      </c>
      <c r="C253" s="285">
        <v>4865.0</v>
      </c>
      <c r="D253" s="285" t="s">
        <v>9784</v>
      </c>
      <c r="E253" s="287" t="s">
        <v>9785</v>
      </c>
      <c r="F253" s="288">
        <v>45449.0</v>
      </c>
      <c r="G253" s="288">
        <v>45442.0</v>
      </c>
      <c r="H253" s="288">
        <v>45442.0</v>
      </c>
      <c r="I253" s="288">
        <v>45453.0</v>
      </c>
      <c r="J253" s="288">
        <v>45453.0</v>
      </c>
      <c r="K253" s="294"/>
      <c r="L253" s="294"/>
      <c r="M253" s="290" t="s">
        <v>9786</v>
      </c>
      <c r="N253" s="299" t="s">
        <v>4635</v>
      </c>
      <c r="O253" s="322" t="s">
        <v>2621</v>
      </c>
      <c r="P253" s="300">
        <v>46119.7</v>
      </c>
      <c r="Q253" s="299">
        <f t="shared" si="1"/>
        <v>23</v>
      </c>
      <c r="R253" s="424"/>
      <c r="S253" s="366" t="s">
        <v>9166</v>
      </c>
      <c r="T253" s="198"/>
      <c r="U253" s="198"/>
      <c r="V253" s="198"/>
      <c r="W253" s="198"/>
      <c r="X253" s="198"/>
      <c r="Y253" s="198"/>
      <c r="Z253" s="198"/>
    </row>
    <row r="254" ht="81.75" customHeight="1">
      <c r="A254" s="370">
        <v>39244.0</v>
      </c>
      <c r="B254" s="299" t="s">
        <v>25</v>
      </c>
      <c r="C254" s="285" t="s">
        <v>9787</v>
      </c>
      <c r="D254" s="285" t="s">
        <v>9788</v>
      </c>
      <c r="E254" s="287" t="s">
        <v>4641</v>
      </c>
      <c r="F254" s="288">
        <v>45446.0</v>
      </c>
      <c r="G254" s="288">
        <v>45442.0</v>
      </c>
      <c r="H254" s="288">
        <v>45442.0</v>
      </c>
      <c r="I254" s="288">
        <v>45454.0</v>
      </c>
      <c r="J254" s="288">
        <v>45454.0</v>
      </c>
      <c r="K254" s="294"/>
      <c r="L254" s="294"/>
      <c r="M254" s="290" t="s">
        <v>9789</v>
      </c>
      <c r="N254" s="299" t="s">
        <v>497</v>
      </c>
      <c r="O254" s="322" t="s">
        <v>2538</v>
      </c>
      <c r="P254" s="300">
        <v>35280.0</v>
      </c>
      <c r="Q254" s="299">
        <f t="shared" si="1"/>
        <v>23</v>
      </c>
      <c r="R254" s="424"/>
      <c r="S254" s="366" t="s">
        <v>9166</v>
      </c>
      <c r="T254" s="198"/>
      <c r="U254" s="198"/>
      <c r="V254" s="198"/>
      <c r="W254" s="198"/>
      <c r="X254" s="198"/>
      <c r="Y254" s="198"/>
      <c r="Z254" s="198"/>
    </row>
    <row r="255" ht="81.75" customHeight="1">
      <c r="A255" s="370">
        <v>38628.0</v>
      </c>
      <c r="B255" s="299" t="s">
        <v>715</v>
      </c>
      <c r="C255" s="285">
        <v>2578.0</v>
      </c>
      <c r="D255" s="285" t="s">
        <v>9790</v>
      </c>
      <c r="E255" s="287" t="s">
        <v>9381</v>
      </c>
      <c r="F255" s="288">
        <v>45446.0</v>
      </c>
      <c r="G255" s="288">
        <v>45441.0</v>
      </c>
      <c r="H255" s="288">
        <v>45441.0</v>
      </c>
      <c r="I255" s="288">
        <v>45449.0</v>
      </c>
      <c r="J255" s="288">
        <v>45449.0</v>
      </c>
      <c r="K255" s="294"/>
      <c r="L255" s="294"/>
      <c r="M255" s="290" t="s">
        <v>9791</v>
      </c>
      <c r="N255" s="299" t="s">
        <v>497</v>
      </c>
      <c r="O255" s="322" t="s">
        <v>2554</v>
      </c>
      <c r="P255" s="300">
        <v>57489.4</v>
      </c>
      <c r="Q255" s="299">
        <f t="shared" si="1"/>
        <v>23</v>
      </c>
      <c r="R255" s="424" t="s">
        <v>9170</v>
      </c>
      <c r="S255" s="366" t="s">
        <v>9171</v>
      </c>
      <c r="T255" s="198"/>
      <c r="U255" s="198"/>
      <c r="V255" s="198"/>
      <c r="W255" s="198"/>
      <c r="X255" s="198"/>
      <c r="Y255" s="198"/>
      <c r="Z255" s="198"/>
    </row>
    <row r="256" ht="81.75" customHeight="1">
      <c r="A256" s="370">
        <v>38626.0</v>
      </c>
      <c r="B256" s="299" t="s">
        <v>715</v>
      </c>
      <c r="C256" s="285">
        <v>1306.0</v>
      </c>
      <c r="D256" s="285" t="s">
        <v>9792</v>
      </c>
      <c r="E256" s="287" t="s">
        <v>7323</v>
      </c>
      <c r="F256" s="288">
        <v>45446.0</v>
      </c>
      <c r="G256" s="288">
        <v>45441.0</v>
      </c>
      <c r="H256" s="288">
        <v>45441.0</v>
      </c>
      <c r="I256" s="288">
        <v>45448.0</v>
      </c>
      <c r="J256" s="288">
        <v>45448.0</v>
      </c>
      <c r="K256" s="294"/>
      <c r="L256" s="294"/>
      <c r="M256" s="290" t="s">
        <v>9793</v>
      </c>
      <c r="N256" s="299" t="s">
        <v>497</v>
      </c>
      <c r="O256" s="322" t="s">
        <v>2554</v>
      </c>
      <c r="P256" s="300">
        <v>44795.8</v>
      </c>
      <c r="Q256" s="299">
        <f t="shared" si="1"/>
        <v>23</v>
      </c>
      <c r="R256" s="424" t="s">
        <v>9170</v>
      </c>
      <c r="S256" s="366" t="s">
        <v>9171</v>
      </c>
      <c r="T256" s="198"/>
      <c r="U256" s="198"/>
      <c r="V256" s="198"/>
      <c r="W256" s="198"/>
      <c r="X256" s="198"/>
      <c r="Y256" s="198"/>
      <c r="Z256" s="198"/>
    </row>
    <row r="257" ht="81.75" customHeight="1">
      <c r="A257" s="370">
        <v>38615.0</v>
      </c>
      <c r="B257" s="285" t="s">
        <v>21</v>
      </c>
      <c r="C257" s="285">
        <v>2578.0</v>
      </c>
      <c r="D257" s="285" t="s">
        <v>9794</v>
      </c>
      <c r="E257" s="287" t="s">
        <v>9223</v>
      </c>
      <c r="F257" s="288">
        <v>45444.0</v>
      </c>
      <c r="G257" s="288">
        <v>45439.0</v>
      </c>
      <c r="H257" s="288">
        <v>45439.0</v>
      </c>
      <c r="I257" s="288">
        <v>45449.0</v>
      </c>
      <c r="J257" s="288">
        <v>45449.0</v>
      </c>
      <c r="K257" s="294" t="s">
        <v>4841</v>
      </c>
      <c r="L257" s="294"/>
      <c r="M257" s="290" t="s">
        <v>9795</v>
      </c>
      <c r="N257" s="299" t="s">
        <v>497</v>
      </c>
      <c r="O257" s="322" t="s">
        <v>2554</v>
      </c>
      <c r="P257" s="300">
        <v>57891.4</v>
      </c>
      <c r="Q257" s="299">
        <f t="shared" si="1"/>
        <v>22</v>
      </c>
      <c r="R257" s="424" t="s">
        <v>9198</v>
      </c>
      <c r="S257" s="366" t="s">
        <v>9171</v>
      </c>
      <c r="T257" s="198"/>
      <c r="U257" s="198"/>
      <c r="V257" s="198"/>
      <c r="W257" s="198"/>
      <c r="X257" s="198"/>
      <c r="Y257" s="198"/>
      <c r="Z257" s="198"/>
    </row>
    <row r="258" ht="81.75" customHeight="1">
      <c r="A258" s="370">
        <v>38630.0</v>
      </c>
      <c r="B258" s="285" t="s">
        <v>21</v>
      </c>
      <c r="C258" s="285">
        <v>4356.0</v>
      </c>
      <c r="D258" s="285" t="s">
        <v>9796</v>
      </c>
      <c r="E258" s="287" t="s">
        <v>7581</v>
      </c>
      <c r="F258" s="288">
        <v>45444.0</v>
      </c>
      <c r="G258" s="288">
        <v>45439.0</v>
      </c>
      <c r="H258" s="288">
        <v>45439.0</v>
      </c>
      <c r="I258" s="288">
        <v>45448.0</v>
      </c>
      <c r="J258" s="288">
        <v>45448.0</v>
      </c>
      <c r="K258" s="294" t="s">
        <v>4841</v>
      </c>
      <c r="L258" s="294"/>
      <c r="M258" s="290" t="s">
        <v>9797</v>
      </c>
      <c r="N258" s="299" t="s">
        <v>497</v>
      </c>
      <c r="O258" s="322" t="s">
        <v>2554</v>
      </c>
      <c r="P258" s="300">
        <v>30056.4</v>
      </c>
      <c r="Q258" s="299">
        <f t="shared" si="1"/>
        <v>22</v>
      </c>
      <c r="R258" s="424" t="s">
        <v>9198</v>
      </c>
      <c r="S258" s="366" t="s">
        <v>9171</v>
      </c>
      <c r="T258" s="198"/>
      <c r="U258" s="198"/>
      <c r="V258" s="198"/>
      <c r="W258" s="198"/>
      <c r="X258" s="198"/>
      <c r="Y258" s="198"/>
      <c r="Z258" s="198"/>
    </row>
    <row r="259" ht="81.75" customHeight="1">
      <c r="A259" s="370">
        <v>39158.0</v>
      </c>
      <c r="B259" s="299" t="s">
        <v>6501</v>
      </c>
      <c r="C259" s="285">
        <v>785.0</v>
      </c>
      <c r="D259" s="285" t="s">
        <v>9798</v>
      </c>
      <c r="E259" s="287" t="s">
        <v>9799</v>
      </c>
      <c r="F259" s="288">
        <v>45444.0</v>
      </c>
      <c r="G259" s="288">
        <v>45439.0</v>
      </c>
      <c r="H259" s="288">
        <v>45439.0</v>
      </c>
      <c r="I259" s="288">
        <v>45448.0</v>
      </c>
      <c r="J259" s="288">
        <v>45448.0</v>
      </c>
      <c r="K259" s="294"/>
      <c r="L259" s="294"/>
      <c r="M259" s="290" t="s">
        <v>9800</v>
      </c>
      <c r="N259" s="299" t="s">
        <v>4635</v>
      </c>
      <c r="O259" s="322" t="s">
        <v>2621</v>
      </c>
      <c r="P259" s="300">
        <v>41023.6</v>
      </c>
      <c r="Q259" s="299">
        <f t="shared" si="1"/>
        <v>22</v>
      </c>
      <c r="R259" s="424"/>
      <c r="S259" s="366" t="s">
        <v>9166</v>
      </c>
      <c r="T259" s="198"/>
      <c r="U259" s="198"/>
      <c r="V259" s="198"/>
      <c r="W259" s="198"/>
      <c r="X259" s="198"/>
      <c r="Y259" s="198"/>
      <c r="Z259" s="198"/>
    </row>
    <row r="260" ht="81.75" customHeight="1">
      <c r="A260" s="370">
        <v>38945.0</v>
      </c>
      <c r="B260" s="299" t="s">
        <v>25</v>
      </c>
      <c r="C260" s="285">
        <v>1600.0</v>
      </c>
      <c r="D260" s="285" t="s">
        <v>9801</v>
      </c>
      <c r="E260" s="287" t="s">
        <v>9776</v>
      </c>
      <c r="F260" s="288">
        <v>45439.0</v>
      </c>
      <c r="G260" s="288">
        <v>45435.0</v>
      </c>
      <c r="H260" s="288">
        <v>45435.0</v>
      </c>
      <c r="I260" s="288">
        <v>45443.0</v>
      </c>
      <c r="J260" s="288">
        <v>45443.0</v>
      </c>
      <c r="K260" s="294"/>
      <c r="L260" s="294"/>
      <c r="M260" s="290" t="s">
        <v>9802</v>
      </c>
      <c r="N260" s="299" t="s">
        <v>497</v>
      </c>
      <c r="O260" s="322" t="s">
        <v>2554</v>
      </c>
      <c r="P260" s="300">
        <v>38900.0</v>
      </c>
      <c r="Q260" s="299">
        <f t="shared" si="1"/>
        <v>22</v>
      </c>
      <c r="R260" s="424" t="s">
        <v>9170</v>
      </c>
      <c r="S260" s="366" t="s">
        <v>9171</v>
      </c>
      <c r="T260" s="198"/>
      <c r="U260" s="198"/>
      <c r="V260" s="198"/>
      <c r="W260" s="198"/>
      <c r="X260" s="198"/>
      <c r="Y260" s="198"/>
      <c r="Z260" s="198"/>
    </row>
    <row r="261" ht="81.75" customHeight="1">
      <c r="A261" s="370">
        <v>39278.0</v>
      </c>
      <c r="B261" s="299" t="s">
        <v>715</v>
      </c>
      <c r="C261" s="285">
        <v>550.0</v>
      </c>
      <c r="D261" s="285" t="s">
        <v>9803</v>
      </c>
      <c r="E261" s="287" t="s">
        <v>3013</v>
      </c>
      <c r="F261" s="288">
        <v>45439.0</v>
      </c>
      <c r="G261" s="288">
        <v>45434.0</v>
      </c>
      <c r="H261" s="288">
        <v>45434.0</v>
      </c>
      <c r="I261" s="288">
        <v>45446.0</v>
      </c>
      <c r="J261" s="288">
        <v>45446.0</v>
      </c>
      <c r="K261" s="294"/>
      <c r="L261" s="294"/>
      <c r="M261" s="290" t="s">
        <v>9804</v>
      </c>
      <c r="N261" s="299" t="s">
        <v>4635</v>
      </c>
      <c r="O261" s="322" t="s">
        <v>2621</v>
      </c>
      <c r="P261" s="300">
        <v>56532.56</v>
      </c>
      <c r="Q261" s="299">
        <f t="shared" si="1"/>
        <v>22</v>
      </c>
      <c r="R261" s="424"/>
      <c r="S261" s="366" t="s">
        <v>9166</v>
      </c>
      <c r="T261" s="198"/>
      <c r="U261" s="198"/>
      <c r="V261" s="198"/>
      <c r="W261" s="198"/>
      <c r="X261" s="198"/>
      <c r="Y261" s="198"/>
      <c r="Z261" s="198"/>
    </row>
    <row r="262" ht="81.75" customHeight="1">
      <c r="A262" s="370">
        <v>39071.0</v>
      </c>
      <c r="B262" s="299" t="s">
        <v>715</v>
      </c>
      <c r="C262" s="285">
        <v>1240.0</v>
      </c>
      <c r="D262" s="285" t="s">
        <v>9805</v>
      </c>
      <c r="E262" s="287" t="s">
        <v>9806</v>
      </c>
      <c r="F262" s="288">
        <v>45436.0</v>
      </c>
      <c r="G262" s="288">
        <v>45435.0</v>
      </c>
      <c r="H262" s="288">
        <v>45435.0</v>
      </c>
      <c r="I262" s="288">
        <v>45443.0</v>
      </c>
      <c r="J262" s="288">
        <v>45443.0</v>
      </c>
      <c r="K262" s="294"/>
      <c r="L262" s="294"/>
      <c r="M262" s="290" t="s">
        <v>9807</v>
      </c>
      <c r="N262" s="299" t="s">
        <v>4635</v>
      </c>
      <c r="O262" s="322" t="s">
        <v>2621</v>
      </c>
      <c r="P262" s="300">
        <v>28887.9</v>
      </c>
      <c r="Q262" s="299">
        <f t="shared" si="1"/>
        <v>21</v>
      </c>
      <c r="R262" s="424"/>
      <c r="S262" s="366" t="s">
        <v>8430</v>
      </c>
      <c r="T262" s="198"/>
      <c r="U262" s="198"/>
      <c r="V262" s="198"/>
      <c r="W262" s="198"/>
      <c r="X262" s="198"/>
      <c r="Y262" s="198"/>
      <c r="Z262" s="198"/>
    </row>
    <row r="263" ht="81.75" customHeight="1">
      <c r="A263" s="370">
        <v>38980.0</v>
      </c>
      <c r="B263" s="285" t="s">
        <v>21</v>
      </c>
      <c r="C263" s="285">
        <v>4230.0</v>
      </c>
      <c r="D263" s="285" t="s">
        <v>9808</v>
      </c>
      <c r="E263" s="287" t="s">
        <v>7438</v>
      </c>
      <c r="F263" s="288">
        <v>45436.0</v>
      </c>
      <c r="G263" s="288">
        <v>45432.0</v>
      </c>
      <c r="H263" s="288">
        <v>45432.0</v>
      </c>
      <c r="I263" s="288">
        <v>45443.0</v>
      </c>
      <c r="J263" s="288">
        <v>45443.0</v>
      </c>
      <c r="K263" s="294" t="s">
        <v>4841</v>
      </c>
      <c r="L263" s="294"/>
      <c r="M263" s="290" t="s">
        <v>9809</v>
      </c>
      <c r="N263" s="299" t="s">
        <v>497</v>
      </c>
      <c r="O263" s="322" t="s">
        <v>2554</v>
      </c>
      <c r="P263" s="300">
        <v>31196.25</v>
      </c>
      <c r="Q263" s="299">
        <f t="shared" si="1"/>
        <v>21</v>
      </c>
      <c r="R263" s="424" t="s">
        <v>9170</v>
      </c>
      <c r="S263" s="366" t="s">
        <v>9171</v>
      </c>
      <c r="T263" s="198"/>
      <c r="U263" s="198"/>
      <c r="V263" s="198"/>
      <c r="W263" s="198"/>
      <c r="X263" s="198"/>
      <c r="Y263" s="198"/>
      <c r="Z263" s="198"/>
    </row>
    <row r="264" ht="77.25" customHeight="1">
      <c r="A264" s="370">
        <v>38610.0</v>
      </c>
      <c r="B264" s="299" t="s">
        <v>715</v>
      </c>
      <c r="C264" s="285">
        <v>2413.0</v>
      </c>
      <c r="D264" s="285" t="s">
        <v>9810</v>
      </c>
      <c r="E264" s="287" t="s">
        <v>7476</v>
      </c>
      <c r="F264" s="288">
        <v>45436.0</v>
      </c>
      <c r="G264" s="288">
        <v>45432.0</v>
      </c>
      <c r="H264" s="288">
        <v>45432.0</v>
      </c>
      <c r="I264" s="288">
        <v>45442.0</v>
      </c>
      <c r="J264" s="288">
        <v>45076.0</v>
      </c>
      <c r="K264" s="294"/>
      <c r="L264" s="294"/>
      <c r="M264" s="290" t="s">
        <v>9811</v>
      </c>
      <c r="N264" s="299" t="s">
        <v>497</v>
      </c>
      <c r="O264" s="322" t="s">
        <v>2554</v>
      </c>
      <c r="P264" s="300">
        <v>42468.8</v>
      </c>
      <c r="Q264" s="299">
        <f t="shared" si="1"/>
        <v>21</v>
      </c>
      <c r="R264" s="424" t="s">
        <v>9198</v>
      </c>
      <c r="S264" s="366" t="s">
        <v>9171</v>
      </c>
      <c r="T264" s="198"/>
      <c r="U264" s="198"/>
      <c r="V264" s="198"/>
      <c r="W264" s="198"/>
      <c r="X264" s="198"/>
      <c r="Y264" s="198"/>
      <c r="Z264" s="198"/>
    </row>
    <row r="265" ht="81.75" customHeight="1">
      <c r="A265" s="370">
        <v>38629.0</v>
      </c>
      <c r="B265" s="299" t="s">
        <v>715</v>
      </c>
      <c r="C265" s="285">
        <v>2275.0</v>
      </c>
      <c r="D265" s="285" t="s">
        <v>9812</v>
      </c>
      <c r="E265" s="287" t="s">
        <v>4667</v>
      </c>
      <c r="F265" s="288">
        <v>45436.0</v>
      </c>
      <c r="G265" s="288">
        <v>45432.0</v>
      </c>
      <c r="H265" s="288">
        <v>45432.0</v>
      </c>
      <c r="I265" s="288">
        <v>45442.0</v>
      </c>
      <c r="J265" s="288">
        <v>45076.0</v>
      </c>
      <c r="K265" s="294"/>
      <c r="L265" s="294"/>
      <c r="M265" s="290" t="s">
        <v>9813</v>
      </c>
      <c r="N265" s="299" t="s">
        <v>497</v>
      </c>
      <c r="O265" s="322" t="s">
        <v>2554</v>
      </c>
      <c r="P265" s="300">
        <v>31535.0</v>
      </c>
      <c r="Q265" s="299">
        <f t="shared" si="1"/>
        <v>21</v>
      </c>
      <c r="R265" s="424" t="s">
        <v>9198</v>
      </c>
      <c r="S265" s="366" t="s">
        <v>9171</v>
      </c>
      <c r="T265" s="198"/>
      <c r="U265" s="198"/>
      <c r="V265" s="198"/>
      <c r="W265" s="198"/>
      <c r="X265" s="198"/>
      <c r="Y265" s="198"/>
      <c r="Z265" s="198"/>
    </row>
    <row r="266" ht="81.75" customHeight="1">
      <c r="A266" s="370">
        <v>39073.0</v>
      </c>
      <c r="B266" s="299" t="s">
        <v>25</v>
      </c>
      <c r="C266" s="285">
        <v>1020.0</v>
      </c>
      <c r="D266" s="285" t="s">
        <v>9814</v>
      </c>
      <c r="E266" s="287" t="s">
        <v>9815</v>
      </c>
      <c r="F266" s="288">
        <v>45433.0</v>
      </c>
      <c r="G266" s="288">
        <v>45432.0</v>
      </c>
      <c r="H266" s="288">
        <v>45432.0</v>
      </c>
      <c r="I266" s="288">
        <v>45442.0</v>
      </c>
      <c r="J266" s="288">
        <v>45442.0</v>
      </c>
      <c r="K266" s="294"/>
      <c r="L266" s="294"/>
      <c r="M266" s="290" t="s">
        <v>9816</v>
      </c>
      <c r="N266" s="299" t="s">
        <v>4635</v>
      </c>
      <c r="O266" s="322" t="s">
        <v>2621</v>
      </c>
      <c r="P266" s="300">
        <v>37074.9</v>
      </c>
      <c r="Q266" s="299">
        <f t="shared" si="1"/>
        <v>21</v>
      </c>
      <c r="R266" s="424"/>
      <c r="S266" s="366" t="s">
        <v>8430</v>
      </c>
      <c r="T266" s="198"/>
      <c r="U266" s="198"/>
      <c r="V266" s="198"/>
      <c r="W266" s="198"/>
      <c r="X266" s="198"/>
      <c r="Y266" s="198"/>
      <c r="Z266" s="198"/>
    </row>
    <row r="267" ht="81.75" customHeight="1">
      <c r="A267" s="370">
        <v>38944.0</v>
      </c>
      <c r="B267" s="285" t="s">
        <v>21</v>
      </c>
      <c r="C267" s="285">
        <v>1600.0</v>
      </c>
      <c r="D267" s="285" t="s">
        <v>9817</v>
      </c>
      <c r="E267" s="287" t="s">
        <v>9776</v>
      </c>
      <c r="F267" s="288">
        <v>45431.0</v>
      </c>
      <c r="G267" s="288">
        <v>45425.0</v>
      </c>
      <c r="H267" s="288">
        <v>45425.0</v>
      </c>
      <c r="I267" s="288">
        <v>45435.0</v>
      </c>
      <c r="J267" s="288">
        <v>45435.0</v>
      </c>
      <c r="K267" s="294" t="s">
        <v>4841</v>
      </c>
      <c r="L267" s="294"/>
      <c r="M267" s="290" t="s">
        <v>9818</v>
      </c>
      <c r="N267" s="299" t="s">
        <v>497</v>
      </c>
      <c r="O267" s="322" t="s">
        <v>2554</v>
      </c>
      <c r="P267" s="300">
        <v>38900.0</v>
      </c>
      <c r="Q267" s="299">
        <f t="shared" si="1"/>
        <v>21</v>
      </c>
      <c r="R267" s="424" t="s">
        <v>9170</v>
      </c>
      <c r="S267" s="366" t="s">
        <v>9171</v>
      </c>
      <c r="T267" s="198"/>
      <c r="U267" s="198"/>
      <c r="V267" s="198"/>
      <c r="W267" s="198"/>
      <c r="X267" s="198"/>
      <c r="Y267" s="198"/>
      <c r="Z267" s="198"/>
    </row>
    <row r="268" ht="81.75" customHeight="1">
      <c r="A268" s="370">
        <v>39174.0</v>
      </c>
      <c r="B268" s="299" t="s">
        <v>715</v>
      </c>
      <c r="C268" s="285">
        <v>2115.0</v>
      </c>
      <c r="D268" s="285" t="s">
        <v>9819</v>
      </c>
      <c r="E268" s="287" t="s">
        <v>6582</v>
      </c>
      <c r="F268" s="288">
        <v>45430.0</v>
      </c>
      <c r="G268" s="288">
        <v>45433.0</v>
      </c>
      <c r="H268" s="288">
        <v>45433.0</v>
      </c>
      <c r="I268" s="288">
        <v>45436.0</v>
      </c>
      <c r="J268" s="288">
        <v>45436.0</v>
      </c>
      <c r="K268" s="294"/>
      <c r="L268" s="294"/>
      <c r="M268" s="290" t="s">
        <v>9820</v>
      </c>
      <c r="N268" s="299" t="s">
        <v>497</v>
      </c>
      <c r="O268" s="322" t="s">
        <v>2621</v>
      </c>
      <c r="P268" s="300">
        <v>33333.6</v>
      </c>
      <c r="Q268" s="299">
        <f t="shared" si="1"/>
        <v>20</v>
      </c>
      <c r="R268" s="424"/>
      <c r="S268" s="366" t="s">
        <v>9166</v>
      </c>
      <c r="T268" s="198"/>
      <c r="U268" s="198"/>
      <c r="V268" s="198"/>
      <c r="W268" s="198"/>
      <c r="X268" s="198"/>
      <c r="Y268" s="198"/>
      <c r="Z268" s="198"/>
    </row>
    <row r="269" ht="81.75" customHeight="1">
      <c r="A269" s="370">
        <v>39115.0</v>
      </c>
      <c r="B269" s="299" t="s">
        <v>715</v>
      </c>
      <c r="C269" s="285">
        <v>658.0</v>
      </c>
      <c r="D269" s="285" t="s">
        <v>9821</v>
      </c>
      <c r="E269" s="287" t="s">
        <v>4743</v>
      </c>
      <c r="F269" s="288">
        <v>45430.0</v>
      </c>
      <c r="G269" s="288">
        <v>45425.0</v>
      </c>
      <c r="H269" s="288">
        <v>45425.0</v>
      </c>
      <c r="I269" s="288">
        <v>45435.0</v>
      </c>
      <c r="J269" s="288">
        <v>45069.0</v>
      </c>
      <c r="K269" s="294"/>
      <c r="L269" s="294"/>
      <c r="M269" s="290" t="s">
        <v>9822</v>
      </c>
      <c r="N269" s="299" t="s">
        <v>4745</v>
      </c>
      <c r="O269" s="322" t="s">
        <v>4746</v>
      </c>
      <c r="P269" s="300">
        <v>87604.8</v>
      </c>
      <c r="Q269" s="299">
        <f t="shared" si="1"/>
        <v>20</v>
      </c>
      <c r="R269" s="424"/>
      <c r="S269" s="366" t="s">
        <v>9166</v>
      </c>
      <c r="T269" s="198"/>
      <c r="U269" s="198"/>
      <c r="V269" s="198"/>
      <c r="W269" s="198"/>
      <c r="X269" s="198"/>
      <c r="Y269" s="198"/>
      <c r="Z269" s="198"/>
    </row>
    <row r="270" ht="81.75" customHeight="1">
      <c r="A270" s="370">
        <v>38946.0</v>
      </c>
      <c r="B270" s="299" t="s">
        <v>715</v>
      </c>
      <c r="C270" s="285">
        <v>4230.0</v>
      </c>
      <c r="D270" s="285" t="s">
        <v>9823</v>
      </c>
      <c r="E270" s="287" t="s">
        <v>7438</v>
      </c>
      <c r="F270" s="288">
        <v>45429.0</v>
      </c>
      <c r="G270" s="288">
        <v>45426.0</v>
      </c>
      <c r="H270" s="288">
        <v>45426.0</v>
      </c>
      <c r="I270" s="288">
        <v>45435.0</v>
      </c>
      <c r="J270" s="288">
        <v>45435.0</v>
      </c>
      <c r="K270" s="294"/>
      <c r="L270" s="294"/>
      <c r="M270" s="290" t="s">
        <v>9824</v>
      </c>
      <c r="N270" s="299" t="s">
        <v>497</v>
      </c>
      <c r="O270" s="322" t="s">
        <v>2554</v>
      </c>
      <c r="P270" s="300">
        <v>31196.25</v>
      </c>
      <c r="Q270" s="299">
        <f t="shared" si="1"/>
        <v>20</v>
      </c>
      <c r="R270" s="424" t="s">
        <v>9170</v>
      </c>
      <c r="S270" s="366" t="s">
        <v>9171</v>
      </c>
      <c r="T270" s="198"/>
      <c r="U270" s="198"/>
      <c r="V270" s="198"/>
      <c r="W270" s="198"/>
      <c r="X270" s="198"/>
      <c r="Y270" s="198"/>
      <c r="Z270" s="198"/>
    </row>
    <row r="271" ht="81.75" customHeight="1">
      <c r="A271" s="370">
        <v>39072.0</v>
      </c>
      <c r="B271" s="285" t="s">
        <v>21</v>
      </c>
      <c r="C271" s="285">
        <v>1190.0</v>
      </c>
      <c r="D271" s="285" t="s">
        <v>9825</v>
      </c>
      <c r="E271" s="287" t="s">
        <v>9826</v>
      </c>
      <c r="F271" s="288">
        <v>45428.0</v>
      </c>
      <c r="G271" s="288">
        <v>45425.0</v>
      </c>
      <c r="H271" s="288">
        <v>45425.0</v>
      </c>
      <c r="I271" s="288">
        <v>45447.0</v>
      </c>
      <c r="J271" s="288">
        <v>45447.0</v>
      </c>
      <c r="K271" s="548" t="s">
        <v>4916</v>
      </c>
      <c r="L271" s="451"/>
      <c r="M271" s="290" t="s">
        <v>9827</v>
      </c>
      <c r="N271" s="299" t="s">
        <v>4635</v>
      </c>
      <c r="O271" s="322" t="s">
        <v>2621</v>
      </c>
      <c r="P271" s="300">
        <v>29595.5</v>
      </c>
      <c r="Q271" s="299">
        <f t="shared" si="1"/>
        <v>20</v>
      </c>
      <c r="R271" s="424"/>
      <c r="S271" s="366" t="s">
        <v>8430</v>
      </c>
      <c r="T271" s="198"/>
      <c r="U271" s="198"/>
      <c r="V271" s="198"/>
      <c r="W271" s="198"/>
      <c r="X271" s="198"/>
      <c r="Y271" s="198"/>
      <c r="Z271" s="198"/>
    </row>
    <row r="272" ht="81.75" customHeight="1">
      <c r="A272" s="370">
        <v>39160.0</v>
      </c>
      <c r="B272" s="299" t="s">
        <v>4960</v>
      </c>
      <c r="C272" s="285" t="s">
        <v>9828</v>
      </c>
      <c r="D272" s="285" t="s">
        <v>4925</v>
      </c>
      <c r="E272" s="287" t="s">
        <v>4667</v>
      </c>
      <c r="F272" s="288">
        <v>45426.0</v>
      </c>
      <c r="G272" s="288">
        <v>45426.0</v>
      </c>
      <c r="H272" s="288">
        <v>45426.0</v>
      </c>
      <c r="I272" s="288">
        <v>45428.0</v>
      </c>
      <c r="J272" s="288">
        <v>45428.0</v>
      </c>
      <c r="K272" s="294"/>
      <c r="L272" s="294"/>
      <c r="M272" s="290" t="s">
        <v>9829</v>
      </c>
      <c r="N272" s="299" t="s">
        <v>4635</v>
      </c>
      <c r="O272" s="322" t="s">
        <v>2554</v>
      </c>
      <c r="P272" s="300">
        <v>4763.0</v>
      </c>
      <c r="Q272" s="299">
        <f t="shared" si="1"/>
        <v>20</v>
      </c>
      <c r="R272" s="424" t="s">
        <v>9198</v>
      </c>
      <c r="S272" s="366" t="s">
        <v>9171</v>
      </c>
      <c r="T272" s="198"/>
      <c r="U272" s="198"/>
      <c r="V272" s="198"/>
      <c r="W272" s="198"/>
      <c r="X272" s="198"/>
      <c r="Y272" s="198"/>
      <c r="Z272" s="198"/>
    </row>
    <row r="273" ht="81.75" customHeight="1">
      <c r="A273" s="370">
        <v>38363.0</v>
      </c>
      <c r="B273" s="299" t="s">
        <v>715</v>
      </c>
      <c r="C273" s="285">
        <v>1306.0</v>
      </c>
      <c r="D273" s="285" t="s">
        <v>9830</v>
      </c>
      <c r="E273" s="287" t="s">
        <v>7911</v>
      </c>
      <c r="F273" s="288">
        <v>45426.0</v>
      </c>
      <c r="G273" s="288">
        <v>45420.0</v>
      </c>
      <c r="H273" s="288">
        <v>45420.0</v>
      </c>
      <c r="I273" s="288">
        <v>45432.0</v>
      </c>
      <c r="J273" s="288">
        <v>45432.0</v>
      </c>
      <c r="K273" s="294"/>
      <c r="L273" s="294"/>
      <c r="M273" s="290" t="s">
        <v>9831</v>
      </c>
      <c r="N273" s="299" t="s">
        <v>497</v>
      </c>
      <c r="O273" s="322" t="s">
        <v>2554</v>
      </c>
      <c r="P273" s="300">
        <v>46036.5</v>
      </c>
      <c r="Q273" s="299">
        <f t="shared" si="1"/>
        <v>20</v>
      </c>
      <c r="R273" s="424" t="s">
        <v>9198</v>
      </c>
      <c r="S273" s="366" t="s">
        <v>9171</v>
      </c>
      <c r="T273" s="198"/>
      <c r="U273" s="198"/>
      <c r="V273" s="198"/>
      <c r="W273" s="198"/>
      <c r="X273" s="198"/>
      <c r="Y273" s="198"/>
      <c r="Z273" s="198"/>
    </row>
    <row r="274" ht="81.75" customHeight="1">
      <c r="A274" s="370">
        <v>38631.0</v>
      </c>
      <c r="B274" s="299" t="s">
        <v>25</v>
      </c>
      <c r="C274" s="285">
        <v>2413.0</v>
      </c>
      <c r="D274" s="285" t="s">
        <v>9832</v>
      </c>
      <c r="E274" s="287" t="s">
        <v>7476</v>
      </c>
      <c r="F274" s="288">
        <v>45425.0</v>
      </c>
      <c r="G274" s="288">
        <v>45420.0</v>
      </c>
      <c r="H274" s="288">
        <v>45420.0</v>
      </c>
      <c r="I274" s="288">
        <v>45433.0</v>
      </c>
      <c r="J274" s="288">
        <v>45433.0</v>
      </c>
      <c r="K274" s="294"/>
      <c r="L274" s="294"/>
      <c r="M274" s="290" t="s">
        <v>9833</v>
      </c>
      <c r="N274" s="299" t="s">
        <v>497</v>
      </c>
      <c r="O274" s="322" t="s">
        <v>2554</v>
      </c>
      <c r="P274" s="300">
        <v>42468.8</v>
      </c>
      <c r="Q274" s="299">
        <f t="shared" si="1"/>
        <v>20</v>
      </c>
      <c r="R274" s="424" t="s">
        <v>9198</v>
      </c>
      <c r="S274" s="366" t="s">
        <v>9171</v>
      </c>
      <c r="T274" s="198"/>
      <c r="U274" s="198"/>
      <c r="V274" s="198"/>
      <c r="W274" s="198"/>
      <c r="X274" s="198"/>
      <c r="Y274" s="198"/>
      <c r="Z274" s="198"/>
    </row>
    <row r="275" ht="84.0" customHeight="1">
      <c r="A275" s="370">
        <v>39031.0</v>
      </c>
      <c r="B275" s="299" t="s">
        <v>715</v>
      </c>
      <c r="C275" s="285">
        <v>940.0</v>
      </c>
      <c r="D275" s="285" t="s">
        <v>9834</v>
      </c>
      <c r="E275" s="287" t="s">
        <v>9835</v>
      </c>
      <c r="F275" s="288">
        <v>45424.0</v>
      </c>
      <c r="G275" s="288">
        <v>45436.0</v>
      </c>
      <c r="H275" s="288">
        <v>45429.0</v>
      </c>
      <c r="I275" s="288">
        <v>45429.0</v>
      </c>
      <c r="J275" s="288">
        <v>45429.0</v>
      </c>
      <c r="K275" s="294"/>
      <c r="L275" s="294"/>
      <c r="M275" s="290" t="s">
        <v>9836</v>
      </c>
      <c r="N275" s="299" t="s">
        <v>4635</v>
      </c>
      <c r="O275" s="322" t="s">
        <v>2621</v>
      </c>
      <c r="P275" s="300">
        <v>40549.8</v>
      </c>
      <c r="Q275" s="299">
        <f t="shared" si="1"/>
        <v>20</v>
      </c>
      <c r="R275" s="424"/>
      <c r="S275" s="366" t="s">
        <v>8430</v>
      </c>
      <c r="T275" s="198"/>
      <c r="U275" s="198"/>
      <c r="V275" s="198"/>
      <c r="W275" s="198"/>
      <c r="X275" s="198"/>
      <c r="Y275" s="198"/>
      <c r="Z275" s="198"/>
    </row>
    <row r="276" ht="87.0" customHeight="1">
      <c r="A276" s="370">
        <v>38895.0</v>
      </c>
      <c r="B276" s="299" t="s">
        <v>715</v>
      </c>
      <c r="C276" s="285">
        <v>940.0</v>
      </c>
      <c r="D276" s="285" t="s">
        <v>9837</v>
      </c>
      <c r="E276" s="287" t="s">
        <v>9838</v>
      </c>
      <c r="F276" s="288">
        <v>45424.0</v>
      </c>
      <c r="G276" s="288">
        <v>45435.0</v>
      </c>
      <c r="H276" s="288">
        <v>45433.0</v>
      </c>
      <c r="I276" s="288">
        <v>45433.0</v>
      </c>
      <c r="J276" s="288">
        <v>45433.0</v>
      </c>
      <c r="K276" s="294"/>
      <c r="L276" s="294"/>
      <c r="M276" s="290" t="s">
        <v>9839</v>
      </c>
      <c r="N276" s="299" t="s">
        <v>4635</v>
      </c>
      <c r="O276" s="322" t="s">
        <v>2621</v>
      </c>
      <c r="P276" s="300">
        <v>43291.2</v>
      </c>
      <c r="Q276" s="299">
        <f t="shared" si="1"/>
        <v>20</v>
      </c>
      <c r="R276" s="424"/>
      <c r="S276" s="366" t="s">
        <v>8430</v>
      </c>
      <c r="T276" s="198"/>
      <c r="U276" s="198"/>
      <c r="V276" s="198"/>
      <c r="W276" s="198"/>
      <c r="X276" s="198"/>
      <c r="Y276" s="198"/>
      <c r="Z276" s="198"/>
    </row>
    <row r="277" ht="96.75" customHeight="1">
      <c r="A277" s="370">
        <v>38627.0</v>
      </c>
      <c r="B277" s="285" t="s">
        <v>21</v>
      </c>
      <c r="C277" s="285">
        <v>4356.0</v>
      </c>
      <c r="D277" s="285" t="s">
        <v>9840</v>
      </c>
      <c r="E277" s="287" t="s">
        <v>7581</v>
      </c>
      <c r="F277" s="288">
        <v>45424.0</v>
      </c>
      <c r="G277" s="288">
        <v>45420.0</v>
      </c>
      <c r="H277" s="288">
        <v>45420.0</v>
      </c>
      <c r="I277" s="288">
        <v>45429.0</v>
      </c>
      <c r="J277" s="288">
        <v>45429.0</v>
      </c>
      <c r="K277" s="294" t="s">
        <v>4841</v>
      </c>
      <c r="L277" s="294"/>
      <c r="M277" s="290" t="s">
        <v>9841</v>
      </c>
      <c r="N277" s="299" t="s">
        <v>497</v>
      </c>
      <c r="O277" s="322" t="s">
        <v>2554</v>
      </c>
      <c r="P277" s="300">
        <v>30056.4</v>
      </c>
      <c r="Q277" s="299">
        <f t="shared" si="1"/>
        <v>20</v>
      </c>
      <c r="R277" s="424" t="s">
        <v>9198</v>
      </c>
      <c r="S277" s="366" t="s">
        <v>9171</v>
      </c>
      <c r="T277" s="198"/>
      <c r="U277" s="198"/>
      <c r="V277" s="198"/>
      <c r="W277" s="198"/>
      <c r="X277" s="198"/>
      <c r="Y277" s="198"/>
      <c r="Z277" s="198"/>
    </row>
    <row r="278" ht="80.25" customHeight="1">
      <c r="A278" s="370">
        <v>38829.0</v>
      </c>
      <c r="B278" s="299" t="s">
        <v>715</v>
      </c>
      <c r="C278" s="285">
        <v>1150.0</v>
      </c>
      <c r="D278" s="285" t="s">
        <v>9842</v>
      </c>
      <c r="E278" s="287" t="s">
        <v>9843</v>
      </c>
      <c r="F278" s="288">
        <v>45422.0</v>
      </c>
      <c r="G278" s="288">
        <v>45454.0</v>
      </c>
      <c r="H278" s="288">
        <v>45434.0</v>
      </c>
      <c r="I278" s="288">
        <v>45434.0</v>
      </c>
      <c r="J278" s="288">
        <v>45434.0</v>
      </c>
      <c r="K278" s="294"/>
      <c r="L278" s="294"/>
      <c r="M278" s="290" t="s">
        <v>9844</v>
      </c>
      <c r="N278" s="299" t="s">
        <v>4635</v>
      </c>
      <c r="O278" s="322" t="s">
        <v>2621</v>
      </c>
      <c r="P278" s="300">
        <v>85825.0</v>
      </c>
      <c r="Q278" s="299">
        <f t="shared" si="1"/>
        <v>19</v>
      </c>
      <c r="R278" s="424"/>
      <c r="S278" s="366" t="s">
        <v>9166</v>
      </c>
      <c r="T278" s="198"/>
      <c r="U278" s="198"/>
      <c r="V278" s="198"/>
      <c r="W278" s="198"/>
      <c r="X278" s="198"/>
      <c r="Y278" s="198"/>
      <c r="Z278" s="198"/>
    </row>
    <row r="279" ht="80.25" customHeight="1">
      <c r="A279" s="370">
        <v>39033.0</v>
      </c>
      <c r="B279" s="299" t="s">
        <v>25</v>
      </c>
      <c r="C279" s="285">
        <v>940.0</v>
      </c>
      <c r="D279" s="285" t="s">
        <v>9845</v>
      </c>
      <c r="E279" s="287" t="s">
        <v>9846</v>
      </c>
      <c r="F279" s="288">
        <v>45421.0</v>
      </c>
      <c r="G279" s="288">
        <v>45422.0</v>
      </c>
      <c r="H279" s="288">
        <v>45422.0</v>
      </c>
      <c r="I279" s="288">
        <v>45426.0</v>
      </c>
      <c r="J279" s="288">
        <v>45426.0</v>
      </c>
      <c r="K279" s="294"/>
      <c r="L279" s="294"/>
      <c r="M279" s="290" t="s">
        <v>9847</v>
      </c>
      <c r="N279" s="299" t="s">
        <v>4635</v>
      </c>
      <c r="O279" s="322" t="s">
        <v>2621</v>
      </c>
      <c r="P279" s="300">
        <v>39809.0</v>
      </c>
      <c r="Q279" s="299">
        <f t="shared" si="1"/>
        <v>19</v>
      </c>
      <c r="R279" s="424"/>
      <c r="S279" s="366" t="s">
        <v>8430</v>
      </c>
      <c r="T279" s="198"/>
      <c r="U279" s="198"/>
      <c r="V279" s="198"/>
      <c r="W279" s="198"/>
      <c r="X279" s="198"/>
      <c r="Y279" s="198"/>
      <c r="Z279" s="198"/>
    </row>
    <row r="280" ht="80.25" customHeight="1">
      <c r="A280" s="370">
        <v>39161.0</v>
      </c>
      <c r="B280" s="299" t="s">
        <v>6204</v>
      </c>
      <c r="C280" s="285" t="s">
        <v>9848</v>
      </c>
      <c r="D280" s="285" t="s">
        <v>4925</v>
      </c>
      <c r="E280" s="287" t="s">
        <v>9849</v>
      </c>
      <c r="F280" s="288">
        <v>45419.0</v>
      </c>
      <c r="G280" s="288">
        <v>45419.0</v>
      </c>
      <c r="H280" s="288">
        <v>45419.0</v>
      </c>
      <c r="I280" s="288">
        <v>45421.0</v>
      </c>
      <c r="J280" s="288">
        <v>45421.0</v>
      </c>
      <c r="K280" s="294"/>
      <c r="L280" s="294"/>
      <c r="M280" s="290" t="s">
        <v>9850</v>
      </c>
      <c r="N280" s="299" t="s">
        <v>497</v>
      </c>
      <c r="O280" s="322" t="s">
        <v>2554</v>
      </c>
      <c r="P280" s="300">
        <v>5836.0</v>
      </c>
      <c r="Q280" s="299">
        <f t="shared" si="1"/>
        <v>19</v>
      </c>
      <c r="R280" s="424" t="s">
        <v>9198</v>
      </c>
      <c r="S280" s="366" t="s">
        <v>9171</v>
      </c>
      <c r="T280" s="198"/>
      <c r="U280" s="198"/>
      <c r="V280" s="198"/>
      <c r="W280" s="198"/>
      <c r="X280" s="198"/>
      <c r="Y280" s="198"/>
      <c r="Z280" s="198"/>
    </row>
    <row r="281" ht="80.25" customHeight="1">
      <c r="A281" s="370">
        <v>39173.0</v>
      </c>
      <c r="B281" s="285" t="s">
        <v>21</v>
      </c>
      <c r="C281" s="285">
        <v>2225.0</v>
      </c>
      <c r="D281" s="285" t="s">
        <v>9851</v>
      </c>
      <c r="E281" s="287" t="s">
        <v>6582</v>
      </c>
      <c r="F281" s="288">
        <v>45419.0</v>
      </c>
      <c r="G281" s="288">
        <v>45419.0</v>
      </c>
      <c r="H281" s="288">
        <v>45419.0</v>
      </c>
      <c r="I281" s="288">
        <v>45425.0</v>
      </c>
      <c r="J281" s="288">
        <v>45425.0</v>
      </c>
      <c r="K281" s="294" t="s">
        <v>4841</v>
      </c>
      <c r="L281" s="294"/>
      <c r="M281" s="290" t="s">
        <v>9852</v>
      </c>
      <c r="N281" s="299" t="s">
        <v>497</v>
      </c>
      <c r="O281" s="322" t="s">
        <v>2621</v>
      </c>
      <c r="P281" s="300">
        <v>32063.9</v>
      </c>
      <c r="Q281" s="299">
        <f t="shared" si="1"/>
        <v>19</v>
      </c>
      <c r="R281" s="424"/>
      <c r="S281" s="366" t="s">
        <v>9166</v>
      </c>
      <c r="T281" s="198"/>
      <c r="U281" s="198"/>
      <c r="V281" s="198"/>
      <c r="W281" s="198"/>
      <c r="X281" s="198"/>
      <c r="Y281" s="198"/>
      <c r="Z281" s="198"/>
    </row>
    <row r="282" ht="81.75" customHeight="1">
      <c r="A282" s="370">
        <v>39014.0</v>
      </c>
      <c r="B282" s="285" t="s">
        <v>21</v>
      </c>
      <c r="C282" s="285">
        <v>4820.0</v>
      </c>
      <c r="D282" s="285" t="s">
        <v>9853</v>
      </c>
      <c r="E282" s="287" t="s">
        <v>9854</v>
      </c>
      <c r="F282" s="288">
        <v>45419.0</v>
      </c>
      <c r="G282" s="288">
        <v>45414.0</v>
      </c>
      <c r="H282" s="288">
        <v>45414.0</v>
      </c>
      <c r="I282" s="288">
        <v>45426.0</v>
      </c>
      <c r="J282" s="288">
        <v>45426.0</v>
      </c>
      <c r="K282" s="294">
        <v>5574551.0</v>
      </c>
      <c r="L282" s="294" t="s">
        <v>9855</v>
      </c>
      <c r="M282" s="290" t="s">
        <v>9856</v>
      </c>
      <c r="N282" s="299" t="s">
        <v>4635</v>
      </c>
      <c r="O282" s="322" t="s">
        <v>2621</v>
      </c>
      <c r="P282" s="300">
        <v>46998.4</v>
      </c>
      <c r="Q282" s="299">
        <f t="shared" si="1"/>
        <v>19</v>
      </c>
      <c r="R282" s="424"/>
      <c r="S282" s="366" t="s">
        <v>9166</v>
      </c>
      <c r="T282" s="198"/>
      <c r="U282" s="198"/>
      <c r="V282" s="198"/>
      <c r="W282" s="198"/>
      <c r="X282" s="198"/>
      <c r="Y282" s="198"/>
      <c r="Z282" s="198"/>
    </row>
    <row r="283" ht="81.75" customHeight="1">
      <c r="A283" s="370">
        <v>39030.0</v>
      </c>
      <c r="B283" s="299" t="s">
        <v>715</v>
      </c>
      <c r="C283" s="285">
        <v>940.0</v>
      </c>
      <c r="D283" s="285" t="s">
        <v>9857</v>
      </c>
      <c r="E283" s="287" t="s">
        <v>9666</v>
      </c>
      <c r="F283" s="288">
        <v>45417.0</v>
      </c>
      <c r="G283" s="288">
        <v>45434.0</v>
      </c>
      <c r="H283" s="288">
        <v>45422.0</v>
      </c>
      <c r="I283" s="288">
        <v>45422.0</v>
      </c>
      <c r="J283" s="288">
        <v>45422.0</v>
      </c>
      <c r="K283" s="294"/>
      <c r="L283" s="294"/>
      <c r="M283" s="290" t="s">
        <v>9858</v>
      </c>
      <c r="N283" s="299" t="s">
        <v>4635</v>
      </c>
      <c r="O283" s="322" t="s">
        <v>2621</v>
      </c>
      <c r="P283" s="300">
        <v>39569.8</v>
      </c>
      <c r="Q283" s="299">
        <f t="shared" si="1"/>
        <v>19</v>
      </c>
      <c r="R283" s="424"/>
      <c r="S283" s="366" t="s">
        <v>8430</v>
      </c>
      <c r="T283" s="198"/>
      <c r="U283" s="198"/>
      <c r="V283" s="198"/>
      <c r="W283" s="198"/>
      <c r="X283" s="198"/>
      <c r="Y283" s="198"/>
      <c r="Z283" s="198"/>
    </row>
    <row r="284" ht="90.75" customHeight="1">
      <c r="A284" s="370">
        <v>38947.0</v>
      </c>
      <c r="B284" s="285" t="s">
        <v>21</v>
      </c>
      <c r="C284" s="285">
        <v>4230.0</v>
      </c>
      <c r="D284" s="285" t="s">
        <v>9859</v>
      </c>
      <c r="E284" s="287" t="s">
        <v>7438</v>
      </c>
      <c r="F284" s="288">
        <v>45417.0</v>
      </c>
      <c r="G284" s="288">
        <v>45413.0</v>
      </c>
      <c r="H284" s="288">
        <v>45413.0</v>
      </c>
      <c r="I284" s="288">
        <v>45421.0</v>
      </c>
      <c r="J284" s="288">
        <v>45421.0</v>
      </c>
      <c r="K284" s="294" t="s">
        <v>4841</v>
      </c>
      <c r="L284" s="294"/>
      <c r="M284" s="290" t="s">
        <v>9860</v>
      </c>
      <c r="N284" s="299" t="s">
        <v>497</v>
      </c>
      <c r="O284" s="322" t="s">
        <v>2554</v>
      </c>
      <c r="P284" s="300">
        <v>31196.25</v>
      </c>
      <c r="Q284" s="299">
        <f t="shared" si="1"/>
        <v>19</v>
      </c>
      <c r="R284" s="424" t="s">
        <v>9170</v>
      </c>
      <c r="S284" s="366" t="s">
        <v>9171</v>
      </c>
      <c r="T284" s="198"/>
      <c r="U284" s="198"/>
      <c r="V284" s="198"/>
      <c r="W284" s="198"/>
      <c r="X284" s="198"/>
      <c r="Y284" s="198"/>
      <c r="Z284" s="198"/>
    </row>
    <row r="285" ht="81.75" customHeight="1">
      <c r="A285" s="370">
        <v>38816.0</v>
      </c>
      <c r="B285" s="285" t="s">
        <v>21</v>
      </c>
      <c r="C285" s="285">
        <v>4230.0</v>
      </c>
      <c r="D285" s="285" t="s">
        <v>9861</v>
      </c>
      <c r="E285" s="287" t="s">
        <v>7438</v>
      </c>
      <c r="F285" s="288">
        <v>45417.0</v>
      </c>
      <c r="G285" s="288">
        <v>45413.0</v>
      </c>
      <c r="H285" s="288">
        <v>45413.0</v>
      </c>
      <c r="I285" s="288">
        <v>45421.0</v>
      </c>
      <c r="J285" s="288">
        <v>45421.0</v>
      </c>
      <c r="K285" s="294" t="s">
        <v>4841</v>
      </c>
      <c r="L285" s="294"/>
      <c r="M285" s="290" t="s">
        <v>9862</v>
      </c>
      <c r="N285" s="299" t="s">
        <v>497</v>
      </c>
      <c r="O285" s="322" t="s">
        <v>2554</v>
      </c>
      <c r="P285" s="300">
        <v>31196.25</v>
      </c>
      <c r="Q285" s="299">
        <f t="shared" si="1"/>
        <v>19</v>
      </c>
      <c r="R285" s="424" t="s">
        <v>9170</v>
      </c>
      <c r="S285" s="366" t="s">
        <v>9171</v>
      </c>
      <c r="T285" s="198"/>
      <c r="U285" s="198"/>
      <c r="V285" s="198"/>
      <c r="W285" s="198"/>
      <c r="X285" s="198"/>
      <c r="Y285" s="198"/>
      <c r="Z285" s="198"/>
    </row>
    <row r="286" ht="81.75" customHeight="1">
      <c r="A286" s="370">
        <v>38814.0</v>
      </c>
      <c r="B286" s="285" t="s">
        <v>21</v>
      </c>
      <c r="C286" s="285">
        <v>4230.0</v>
      </c>
      <c r="D286" s="285" t="s">
        <v>9863</v>
      </c>
      <c r="E286" s="287" t="s">
        <v>7438</v>
      </c>
      <c r="F286" s="288">
        <v>45417.0</v>
      </c>
      <c r="G286" s="288">
        <v>45413.0</v>
      </c>
      <c r="H286" s="288">
        <v>45413.0</v>
      </c>
      <c r="I286" s="288">
        <v>45420.0</v>
      </c>
      <c r="J286" s="288">
        <v>45420.0</v>
      </c>
      <c r="K286" s="294" t="s">
        <v>4841</v>
      </c>
      <c r="L286" s="294"/>
      <c r="M286" s="290" t="s">
        <v>9864</v>
      </c>
      <c r="N286" s="299" t="s">
        <v>497</v>
      </c>
      <c r="O286" s="322" t="s">
        <v>2554</v>
      </c>
      <c r="P286" s="300">
        <v>31196.25</v>
      </c>
      <c r="Q286" s="299">
        <f t="shared" si="1"/>
        <v>19</v>
      </c>
      <c r="R286" s="424" t="s">
        <v>9170</v>
      </c>
      <c r="S286" s="366" t="s">
        <v>9171</v>
      </c>
      <c r="T286" s="198"/>
      <c r="U286" s="198"/>
      <c r="V286" s="198"/>
      <c r="W286" s="198"/>
      <c r="X286" s="198"/>
      <c r="Y286" s="198"/>
      <c r="Z286" s="198"/>
    </row>
    <row r="287" ht="81.75" customHeight="1">
      <c r="A287" s="370">
        <v>38812.0</v>
      </c>
      <c r="B287" s="285" t="s">
        <v>21</v>
      </c>
      <c r="C287" s="285">
        <v>4230.0</v>
      </c>
      <c r="D287" s="285" t="s">
        <v>9865</v>
      </c>
      <c r="E287" s="287" t="s">
        <v>7438</v>
      </c>
      <c r="F287" s="288">
        <v>45417.0</v>
      </c>
      <c r="G287" s="288">
        <v>45413.0</v>
      </c>
      <c r="H287" s="288">
        <v>45413.0</v>
      </c>
      <c r="I287" s="288">
        <v>45419.0</v>
      </c>
      <c r="J287" s="288">
        <v>45419.0</v>
      </c>
      <c r="K287" s="294" t="s">
        <v>4841</v>
      </c>
      <c r="L287" s="294"/>
      <c r="M287" s="290" t="s">
        <v>9866</v>
      </c>
      <c r="N287" s="299" t="s">
        <v>497</v>
      </c>
      <c r="O287" s="322" t="s">
        <v>2554</v>
      </c>
      <c r="P287" s="300">
        <v>31196.25</v>
      </c>
      <c r="Q287" s="299">
        <f t="shared" si="1"/>
        <v>19</v>
      </c>
      <c r="R287" s="424" t="s">
        <v>9170</v>
      </c>
      <c r="S287" s="366" t="s">
        <v>9171</v>
      </c>
      <c r="T287" s="198"/>
      <c r="U287" s="198"/>
      <c r="V287" s="198"/>
      <c r="W287" s="198"/>
      <c r="X287" s="198"/>
      <c r="Y287" s="198"/>
      <c r="Z287" s="198"/>
    </row>
    <row r="288" ht="81.75" customHeight="1">
      <c r="A288" s="370">
        <v>38911.0</v>
      </c>
      <c r="B288" s="285" t="s">
        <v>21</v>
      </c>
      <c r="C288" s="285">
        <v>1041.0</v>
      </c>
      <c r="D288" s="285" t="s">
        <v>9867</v>
      </c>
      <c r="E288" s="287" t="s">
        <v>7575</v>
      </c>
      <c r="F288" s="288">
        <v>45417.0</v>
      </c>
      <c r="G288" s="288">
        <v>45413.0</v>
      </c>
      <c r="H288" s="288">
        <v>45413.0</v>
      </c>
      <c r="I288" s="288">
        <v>45420.0</v>
      </c>
      <c r="J288" s="288">
        <v>45420.0</v>
      </c>
      <c r="K288" s="548" t="s">
        <v>4916</v>
      </c>
      <c r="L288" s="451"/>
      <c r="M288" s="290" t="s">
        <v>9868</v>
      </c>
      <c r="N288" s="299" t="s">
        <v>497</v>
      </c>
      <c r="O288" s="322" t="s">
        <v>2604</v>
      </c>
      <c r="P288" s="300">
        <v>50883.03</v>
      </c>
      <c r="Q288" s="299">
        <f t="shared" si="1"/>
        <v>19</v>
      </c>
      <c r="R288" s="424"/>
      <c r="S288" s="366" t="s">
        <v>9166</v>
      </c>
      <c r="T288" s="198"/>
      <c r="U288" s="198"/>
      <c r="V288" s="198"/>
      <c r="W288" s="198"/>
      <c r="X288" s="198"/>
      <c r="Y288" s="198"/>
      <c r="Z288" s="198"/>
    </row>
    <row r="289" ht="81.75" customHeight="1">
      <c r="A289" s="370">
        <v>39175.0</v>
      </c>
      <c r="B289" s="299" t="s">
        <v>25</v>
      </c>
      <c r="C289" s="285">
        <v>2034.0</v>
      </c>
      <c r="D289" s="285" t="s">
        <v>9869</v>
      </c>
      <c r="E289" s="287" t="s">
        <v>6582</v>
      </c>
      <c r="F289" s="288">
        <v>45412.0</v>
      </c>
      <c r="G289" s="288">
        <v>45410.0</v>
      </c>
      <c r="H289" s="288">
        <v>45410.0</v>
      </c>
      <c r="I289" s="288">
        <v>45418.0</v>
      </c>
      <c r="J289" s="288">
        <v>45418.0</v>
      </c>
      <c r="K289" s="294"/>
      <c r="L289" s="294"/>
      <c r="M289" s="290" t="s">
        <v>9870</v>
      </c>
      <c r="N289" s="299" t="s">
        <v>497</v>
      </c>
      <c r="O289" s="322" t="s">
        <v>2621</v>
      </c>
      <c r="P289" s="300">
        <v>32469.97</v>
      </c>
      <c r="Q289" s="299">
        <f t="shared" si="1"/>
        <v>18</v>
      </c>
      <c r="R289" s="424"/>
      <c r="S289" s="366" t="s">
        <v>9166</v>
      </c>
      <c r="T289" s="198"/>
      <c r="U289" s="198"/>
      <c r="V289" s="198"/>
      <c r="W289" s="198"/>
      <c r="X289" s="198"/>
      <c r="Y289" s="198"/>
      <c r="Z289" s="198"/>
    </row>
    <row r="290" ht="92.25" customHeight="1">
      <c r="A290" s="370">
        <v>38614.0</v>
      </c>
      <c r="B290" s="285" t="s">
        <v>21</v>
      </c>
      <c r="C290" s="285">
        <v>1306.0</v>
      </c>
      <c r="D290" s="285" t="s">
        <v>9871</v>
      </c>
      <c r="E290" s="287" t="s">
        <v>9872</v>
      </c>
      <c r="F290" s="288">
        <v>45410.0</v>
      </c>
      <c r="G290" s="288">
        <v>45405.0</v>
      </c>
      <c r="H290" s="288">
        <v>45405.0</v>
      </c>
      <c r="I290" s="288">
        <v>45419.0</v>
      </c>
      <c r="J290" s="288">
        <v>45419.0</v>
      </c>
      <c r="K290" s="294" t="s">
        <v>4841</v>
      </c>
      <c r="L290" s="294"/>
      <c r="M290" s="290" t="s">
        <v>9873</v>
      </c>
      <c r="N290" s="299" t="s">
        <v>497</v>
      </c>
      <c r="O290" s="322" t="s">
        <v>2554</v>
      </c>
      <c r="P290" s="300">
        <v>44795.8</v>
      </c>
      <c r="Q290" s="299">
        <f t="shared" si="1"/>
        <v>18</v>
      </c>
      <c r="R290" s="424" t="s">
        <v>9198</v>
      </c>
      <c r="S290" s="366" t="s">
        <v>9171</v>
      </c>
      <c r="T290" s="198"/>
      <c r="U290" s="198"/>
      <c r="V290" s="198"/>
      <c r="W290" s="198"/>
      <c r="X290" s="198"/>
      <c r="Y290" s="198"/>
      <c r="Z290" s="198"/>
    </row>
    <row r="291" ht="76.5" customHeight="1">
      <c r="A291" s="370">
        <v>38727.0</v>
      </c>
      <c r="B291" s="299" t="s">
        <v>715</v>
      </c>
      <c r="C291" s="285">
        <v>1474.0</v>
      </c>
      <c r="D291" s="285" t="s">
        <v>9874</v>
      </c>
      <c r="E291" s="287" t="s">
        <v>9875</v>
      </c>
      <c r="F291" s="288">
        <v>45408.0</v>
      </c>
      <c r="G291" s="288">
        <v>45407.0</v>
      </c>
      <c r="H291" s="288">
        <v>45407.0</v>
      </c>
      <c r="I291" s="288">
        <v>45414.0</v>
      </c>
      <c r="J291" s="288">
        <v>45414.0</v>
      </c>
      <c r="K291" s="294"/>
      <c r="L291" s="294"/>
      <c r="M291" s="290" t="s">
        <v>9876</v>
      </c>
      <c r="N291" s="299" t="s">
        <v>4635</v>
      </c>
      <c r="O291" s="322" t="s">
        <v>9877</v>
      </c>
      <c r="P291" s="300">
        <v>99240.21</v>
      </c>
      <c r="Q291" s="299">
        <f t="shared" si="1"/>
        <v>17</v>
      </c>
      <c r="R291" s="424"/>
      <c r="S291" s="366" t="s">
        <v>9166</v>
      </c>
      <c r="T291" s="198"/>
      <c r="U291" s="198"/>
      <c r="V291" s="198"/>
      <c r="W291" s="198"/>
      <c r="X291" s="198"/>
      <c r="Y291" s="198"/>
      <c r="Z291" s="198"/>
    </row>
    <row r="292" ht="76.5" customHeight="1">
      <c r="A292" s="370">
        <v>38894.0</v>
      </c>
      <c r="B292" s="299" t="s">
        <v>25</v>
      </c>
      <c r="C292" s="285">
        <v>940.0</v>
      </c>
      <c r="D292" s="285" t="s">
        <v>9878</v>
      </c>
      <c r="E292" s="287" t="s">
        <v>9838</v>
      </c>
      <c r="F292" s="288">
        <v>45407.0</v>
      </c>
      <c r="G292" s="288">
        <v>45404.0</v>
      </c>
      <c r="H292" s="288">
        <v>45404.0</v>
      </c>
      <c r="I292" s="288">
        <v>45411.0</v>
      </c>
      <c r="J292" s="288">
        <v>45411.0</v>
      </c>
      <c r="K292" s="294"/>
      <c r="L292" s="294"/>
      <c r="M292" s="290" t="s">
        <v>9879</v>
      </c>
      <c r="N292" s="299" t="s">
        <v>4635</v>
      </c>
      <c r="O292" s="322" t="s">
        <v>2621</v>
      </c>
      <c r="P292" s="300">
        <v>43224.8</v>
      </c>
      <c r="Q292" s="299">
        <f t="shared" si="1"/>
        <v>17</v>
      </c>
      <c r="R292" s="424"/>
      <c r="S292" s="366" t="s">
        <v>8430</v>
      </c>
      <c r="T292" s="198"/>
      <c r="U292" s="198"/>
      <c r="V292" s="198"/>
      <c r="W292" s="198"/>
      <c r="X292" s="198"/>
      <c r="Y292" s="198"/>
      <c r="Z292" s="198"/>
    </row>
    <row r="293" ht="78.75" customHeight="1">
      <c r="A293" s="370">
        <v>38586.0</v>
      </c>
      <c r="B293" s="299" t="s">
        <v>715</v>
      </c>
      <c r="C293" s="285">
        <v>1250.0</v>
      </c>
      <c r="D293" s="285" t="s">
        <v>9880</v>
      </c>
      <c r="E293" s="287" t="s">
        <v>4637</v>
      </c>
      <c r="F293" s="288">
        <v>45406.0</v>
      </c>
      <c r="G293" s="288">
        <v>45399.0</v>
      </c>
      <c r="H293" s="288">
        <v>45399.0</v>
      </c>
      <c r="I293" s="288">
        <v>45411.0</v>
      </c>
      <c r="J293" s="288">
        <v>45411.0</v>
      </c>
      <c r="K293" s="294"/>
      <c r="L293" s="294"/>
      <c r="M293" s="290" t="s">
        <v>9881</v>
      </c>
      <c r="N293" s="299" t="s">
        <v>497</v>
      </c>
      <c r="O293" s="322" t="s">
        <v>2554</v>
      </c>
      <c r="P293" s="300">
        <v>36250.0</v>
      </c>
      <c r="Q293" s="299">
        <f t="shared" si="1"/>
        <v>17</v>
      </c>
      <c r="R293" s="424" t="s">
        <v>9170</v>
      </c>
      <c r="S293" s="366" t="s">
        <v>9171</v>
      </c>
      <c r="T293" s="198"/>
      <c r="U293" s="198"/>
      <c r="V293" s="198"/>
      <c r="W293" s="198"/>
      <c r="X293" s="198"/>
      <c r="Y293" s="198"/>
      <c r="Z293" s="198"/>
    </row>
    <row r="294" ht="103.5" customHeight="1">
      <c r="A294" s="370">
        <v>38782.0</v>
      </c>
      <c r="B294" s="299" t="s">
        <v>715</v>
      </c>
      <c r="C294" s="285">
        <v>2413.0</v>
      </c>
      <c r="D294" s="285" t="s">
        <v>9882</v>
      </c>
      <c r="E294" s="287" t="s">
        <v>7448</v>
      </c>
      <c r="F294" s="288">
        <v>45406.0</v>
      </c>
      <c r="G294" s="288">
        <v>45399.0</v>
      </c>
      <c r="H294" s="288">
        <v>45399.0</v>
      </c>
      <c r="I294" s="288">
        <v>45412.0</v>
      </c>
      <c r="J294" s="288">
        <v>45412.0</v>
      </c>
      <c r="K294" s="294"/>
      <c r="L294" s="294"/>
      <c r="M294" s="290" t="s">
        <v>9883</v>
      </c>
      <c r="N294" s="299" t="s">
        <v>497</v>
      </c>
      <c r="O294" s="322" t="s">
        <v>2554</v>
      </c>
      <c r="P294" s="300">
        <v>42948.8</v>
      </c>
      <c r="Q294" s="299">
        <f t="shared" si="1"/>
        <v>17</v>
      </c>
      <c r="R294" s="424" t="s">
        <v>9198</v>
      </c>
      <c r="S294" s="366" t="s">
        <v>9171</v>
      </c>
      <c r="T294" s="198"/>
      <c r="U294" s="198"/>
      <c r="V294" s="198"/>
      <c r="W294" s="198"/>
      <c r="X294" s="198"/>
      <c r="Y294" s="198"/>
      <c r="Z294" s="198"/>
    </row>
    <row r="295" ht="90.0" customHeight="1">
      <c r="A295" s="370">
        <v>39016.0</v>
      </c>
      <c r="B295" s="299" t="s">
        <v>715</v>
      </c>
      <c r="C295" s="285">
        <v>1260.0</v>
      </c>
      <c r="D295" s="285" t="s">
        <v>9884</v>
      </c>
      <c r="E295" s="287" t="s">
        <v>9885</v>
      </c>
      <c r="F295" s="288">
        <v>45405.0</v>
      </c>
      <c r="G295" s="288">
        <v>45411.0</v>
      </c>
      <c r="H295" s="288">
        <v>45407.0</v>
      </c>
      <c r="I295" s="288">
        <v>45407.0</v>
      </c>
      <c r="J295" s="288">
        <v>45407.0</v>
      </c>
      <c r="K295" s="294"/>
      <c r="L295" s="294"/>
      <c r="M295" s="290" t="s">
        <v>9886</v>
      </c>
      <c r="N295" s="299" t="s">
        <v>4635</v>
      </c>
      <c r="O295" s="322" t="s">
        <v>2621</v>
      </c>
      <c r="P295" s="300">
        <v>29220.4</v>
      </c>
      <c r="Q295" s="299">
        <f t="shared" si="1"/>
        <v>17</v>
      </c>
      <c r="R295" s="424"/>
      <c r="S295" s="366" t="s">
        <v>8430</v>
      </c>
      <c r="T295" s="198"/>
      <c r="U295" s="198"/>
      <c r="V295" s="198"/>
      <c r="W295" s="198"/>
      <c r="X295" s="198"/>
      <c r="Y295" s="198"/>
      <c r="Z295" s="198"/>
    </row>
    <row r="296" ht="90.0" customHeight="1">
      <c r="A296" s="370">
        <v>39090.0</v>
      </c>
      <c r="B296" s="299" t="s">
        <v>9645</v>
      </c>
      <c r="C296" s="285" t="s">
        <v>9887</v>
      </c>
      <c r="D296" s="285" t="s">
        <v>9888</v>
      </c>
      <c r="E296" s="287" t="s">
        <v>9889</v>
      </c>
      <c r="F296" s="288">
        <v>45404.0</v>
      </c>
      <c r="G296" s="285" t="s">
        <v>4841</v>
      </c>
      <c r="H296" s="285" t="s">
        <v>4841</v>
      </c>
      <c r="I296" s="288">
        <v>45413.0</v>
      </c>
      <c r="J296" s="288">
        <v>45413.0</v>
      </c>
      <c r="K296" s="294"/>
      <c r="L296" s="294"/>
      <c r="M296" s="290" t="s">
        <v>9890</v>
      </c>
      <c r="N296" s="299" t="s">
        <v>497</v>
      </c>
      <c r="O296" s="322" t="s">
        <v>2538</v>
      </c>
      <c r="P296" s="300">
        <v>51840.0</v>
      </c>
      <c r="Q296" s="299">
        <f t="shared" si="1"/>
        <v>17</v>
      </c>
      <c r="R296" s="424"/>
      <c r="S296" s="366" t="s">
        <v>9166</v>
      </c>
      <c r="T296" s="198"/>
      <c r="U296" s="198"/>
      <c r="V296" s="198"/>
      <c r="W296" s="198"/>
      <c r="X296" s="198"/>
      <c r="Y296" s="198"/>
      <c r="Z296" s="198"/>
    </row>
    <row r="297" ht="79.5" customHeight="1">
      <c r="A297" s="370">
        <v>38952.0</v>
      </c>
      <c r="B297" s="299" t="s">
        <v>25</v>
      </c>
      <c r="C297" s="285">
        <v>1306.0</v>
      </c>
      <c r="D297" s="285" t="s">
        <v>9891</v>
      </c>
      <c r="E297" s="287" t="s">
        <v>9439</v>
      </c>
      <c r="F297" s="288">
        <v>45404.0</v>
      </c>
      <c r="G297" s="288">
        <v>45399.0</v>
      </c>
      <c r="H297" s="288">
        <v>45399.0</v>
      </c>
      <c r="I297" s="288">
        <v>45413.0</v>
      </c>
      <c r="J297" s="288">
        <v>45413.0</v>
      </c>
      <c r="K297" s="294"/>
      <c r="L297" s="294"/>
      <c r="M297" s="290" t="s">
        <v>9892</v>
      </c>
      <c r="N297" s="299" t="s">
        <v>497</v>
      </c>
      <c r="O297" s="322" t="s">
        <v>2554</v>
      </c>
      <c r="P297" s="300">
        <v>46036.5</v>
      </c>
      <c r="Q297" s="299">
        <f t="shared" si="1"/>
        <v>17</v>
      </c>
      <c r="R297" s="424" t="s">
        <v>9198</v>
      </c>
      <c r="S297" s="366" t="s">
        <v>9171</v>
      </c>
      <c r="T297" s="198"/>
      <c r="U297" s="198"/>
      <c r="V297" s="198"/>
      <c r="W297" s="198"/>
      <c r="X297" s="198"/>
      <c r="Y297" s="198"/>
      <c r="Z297" s="198"/>
    </row>
    <row r="298" ht="79.5" customHeight="1">
      <c r="A298" s="370">
        <v>38815.0</v>
      </c>
      <c r="B298" s="299" t="s">
        <v>25</v>
      </c>
      <c r="C298" s="285">
        <v>4230.0</v>
      </c>
      <c r="D298" s="285" t="s">
        <v>9893</v>
      </c>
      <c r="E298" s="287" t="s">
        <v>7438</v>
      </c>
      <c r="F298" s="288">
        <v>45404.0</v>
      </c>
      <c r="G298" s="288">
        <v>45399.0</v>
      </c>
      <c r="H298" s="288">
        <v>45399.0</v>
      </c>
      <c r="I298" s="288">
        <v>45413.0</v>
      </c>
      <c r="J298" s="288">
        <v>45413.0</v>
      </c>
      <c r="K298" s="294"/>
      <c r="L298" s="294"/>
      <c r="M298" s="290" t="s">
        <v>9894</v>
      </c>
      <c r="N298" s="299" t="s">
        <v>497</v>
      </c>
      <c r="O298" s="322" t="s">
        <v>2554</v>
      </c>
      <c r="P298" s="300">
        <v>31196.25</v>
      </c>
      <c r="Q298" s="299">
        <f t="shared" si="1"/>
        <v>17</v>
      </c>
      <c r="R298" s="424" t="s">
        <v>9170</v>
      </c>
      <c r="S298" s="366" t="s">
        <v>9171</v>
      </c>
      <c r="T298" s="198"/>
      <c r="U298" s="198"/>
      <c r="V298" s="198"/>
      <c r="W298" s="198"/>
      <c r="X298" s="198"/>
      <c r="Y298" s="198"/>
      <c r="Z298" s="198"/>
    </row>
    <row r="299" ht="75.75" customHeight="1">
      <c r="A299" s="370">
        <v>39032.0</v>
      </c>
      <c r="B299" s="299" t="s">
        <v>25</v>
      </c>
      <c r="C299" s="285">
        <v>940.0</v>
      </c>
      <c r="D299" s="285" t="s">
        <v>9895</v>
      </c>
      <c r="E299" s="287" t="s">
        <v>9896</v>
      </c>
      <c r="F299" s="288">
        <v>45403.0</v>
      </c>
      <c r="G299" s="288">
        <v>45401.0</v>
      </c>
      <c r="H299" s="288">
        <v>45401.0</v>
      </c>
      <c r="I299" s="288">
        <v>45408.0</v>
      </c>
      <c r="J299" s="288">
        <v>45408.0</v>
      </c>
      <c r="K299" s="294"/>
      <c r="L299" s="294"/>
      <c r="M299" s="290" t="s">
        <v>9897</v>
      </c>
      <c r="N299" s="299" t="s">
        <v>4635</v>
      </c>
      <c r="O299" s="322" t="s">
        <v>2621</v>
      </c>
      <c r="P299" s="300">
        <v>39809.0</v>
      </c>
      <c r="Q299" s="299">
        <f t="shared" si="1"/>
        <v>17</v>
      </c>
      <c r="R299" s="424"/>
      <c r="S299" s="366" t="s">
        <v>8430</v>
      </c>
      <c r="T299" s="198"/>
      <c r="U299" s="198"/>
      <c r="V299" s="198"/>
      <c r="W299" s="198"/>
      <c r="X299" s="198"/>
      <c r="Y299" s="198"/>
      <c r="Z299" s="198"/>
    </row>
    <row r="300" ht="81.75" customHeight="1">
      <c r="A300" s="370">
        <v>38828.0</v>
      </c>
      <c r="B300" s="285" t="s">
        <v>21</v>
      </c>
      <c r="C300" s="285">
        <v>1100.0</v>
      </c>
      <c r="D300" s="285" t="s">
        <v>9898</v>
      </c>
      <c r="E300" s="287" t="s">
        <v>9899</v>
      </c>
      <c r="F300" s="288">
        <v>45403.0</v>
      </c>
      <c r="G300" s="288">
        <v>45397.0</v>
      </c>
      <c r="H300" s="288">
        <v>45397.0</v>
      </c>
      <c r="I300" s="288">
        <v>45408.0</v>
      </c>
      <c r="J300" s="288">
        <v>45408.0</v>
      </c>
      <c r="K300" s="548" t="s">
        <v>4916</v>
      </c>
      <c r="L300" s="451"/>
      <c r="M300" s="290" t="s">
        <v>9900</v>
      </c>
      <c r="N300" s="299" t="s">
        <v>4635</v>
      </c>
      <c r="O300" s="322" t="s">
        <v>2621</v>
      </c>
      <c r="P300" s="300">
        <v>77633.5</v>
      </c>
      <c r="Q300" s="299">
        <f t="shared" si="1"/>
        <v>17</v>
      </c>
      <c r="R300" s="424"/>
      <c r="S300" s="366" t="s">
        <v>9166</v>
      </c>
      <c r="T300" s="198"/>
      <c r="U300" s="198"/>
      <c r="V300" s="198"/>
      <c r="W300" s="198"/>
      <c r="X300" s="198"/>
      <c r="Y300" s="198"/>
      <c r="Z300" s="198"/>
    </row>
    <row r="301" ht="93.0" customHeight="1">
      <c r="A301" s="370">
        <v>38323.0</v>
      </c>
      <c r="B301" s="299" t="s">
        <v>6501</v>
      </c>
      <c r="C301" s="285">
        <v>2595.0</v>
      </c>
      <c r="D301" s="285" t="s">
        <v>9901</v>
      </c>
      <c r="E301" s="287" t="s">
        <v>9902</v>
      </c>
      <c r="F301" s="288">
        <v>45401.0</v>
      </c>
      <c r="G301" s="288">
        <v>45397.0</v>
      </c>
      <c r="H301" s="288">
        <v>45397.0</v>
      </c>
      <c r="I301" s="288">
        <v>45406.0</v>
      </c>
      <c r="J301" s="288">
        <v>45406.0</v>
      </c>
      <c r="K301" s="294"/>
      <c r="L301" s="294"/>
      <c r="M301" s="290" t="s">
        <v>9903</v>
      </c>
      <c r="N301" s="299" t="s">
        <v>497</v>
      </c>
      <c r="O301" s="322" t="s">
        <v>2554</v>
      </c>
      <c r="P301" s="300">
        <v>47358.5</v>
      </c>
      <c r="Q301" s="299">
        <f t="shared" si="1"/>
        <v>16</v>
      </c>
      <c r="R301" s="424" t="s">
        <v>9170</v>
      </c>
      <c r="S301" s="366" t="s">
        <v>9171</v>
      </c>
      <c r="T301" s="198"/>
      <c r="U301" s="198"/>
      <c r="V301" s="198"/>
      <c r="W301" s="198"/>
      <c r="X301" s="198"/>
      <c r="Y301" s="198"/>
      <c r="Z301" s="198"/>
    </row>
    <row r="302" ht="81.75" customHeight="1">
      <c r="A302" s="370">
        <v>38811.0</v>
      </c>
      <c r="B302" s="299" t="s">
        <v>715</v>
      </c>
      <c r="C302" s="285">
        <v>1250.0</v>
      </c>
      <c r="D302" s="285" t="s">
        <v>9904</v>
      </c>
      <c r="E302" s="287" t="s">
        <v>4637</v>
      </c>
      <c r="F302" s="288">
        <v>45400.0</v>
      </c>
      <c r="G302" s="288">
        <v>45397.0</v>
      </c>
      <c r="H302" s="288">
        <v>45397.0</v>
      </c>
      <c r="I302" s="288">
        <v>45404.0</v>
      </c>
      <c r="J302" s="288">
        <v>45404.0</v>
      </c>
      <c r="K302" s="294"/>
      <c r="L302" s="294"/>
      <c r="M302" s="290" t="s">
        <v>9905</v>
      </c>
      <c r="N302" s="299" t="s">
        <v>497</v>
      </c>
      <c r="O302" s="322" t="s">
        <v>2554</v>
      </c>
      <c r="P302" s="300">
        <v>36250.0</v>
      </c>
      <c r="Q302" s="299">
        <f t="shared" si="1"/>
        <v>16</v>
      </c>
      <c r="R302" s="424" t="s">
        <v>9170</v>
      </c>
      <c r="S302" s="366" t="s">
        <v>9171</v>
      </c>
      <c r="T302" s="198"/>
      <c r="U302" s="198"/>
      <c r="V302" s="198"/>
      <c r="W302" s="198"/>
      <c r="X302" s="198"/>
      <c r="Y302" s="198"/>
      <c r="Z302" s="198"/>
    </row>
    <row r="303" ht="81.75" customHeight="1">
      <c r="A303" s="370">
        <v>38803.0</v>
      </c>
      <c r="B303" s="299" t="s">
        <v>715</v>
      </c>
      <c r="C303" s="285">
        <v>1250.0</v>
      </c>
      <c r="D303" s="285" t="s">
        <v>9906</v>
      </c>
      <c r="E303" s="287" t="s">
        <v>4637</v>
      </c>
      <c r="F303" s="288">
        <v>45400.0</v>
      </c>
      <c r="G303" s="288">
        <v>45397.0</v>
      </c>
      <c r="H303" s="288">
        <v>45397.0</v>
      </c>
      <c r="I303" s="288">
        <v>45405.0</v>
      </c>
      <c r="J303" s="288">
        <v>45405.0</v>
      </c>
      <c r="K303" s="294"/>
      <c r="L303" s="294"/>
      <c r="M303" s="290" t="s">
        <v>9907</v>
      </c>
      <c r="N303" s="299" t="s">
        <v>497</v>
      </c>
      <c r="O303" s="322" t="s">
        <v>2554</v>
      </c>
      <c r="P303" s="300">
        <v>36250.0</v>
      </c>
      <c r="Q303" s="299">
        <f t="shared" si="1"/>
        <v>16</v>
      </c>
      <c r="R303" s="424" t="s">
        <v>9170</v>
      </c>
      <c r="S303" s="366" t="s">
        <v>9171</v>
      </c>
      <c r="T303" s="198"/>
      <c r="U303" s="198"/>
      <c r="V303" s="198"/>
      <c r="W303" s="198"/>
      <c r="X303" s="198"/>
      <c r="Y303" s="198"/>
      <c r="Z303" s="198"/>
    </row>
    <row r="304" ht="81.75" customHeight="1">
      <c r="A304" s="370">
        <v>38616.0</v>
      </c>
      <c r="B304" s="285" t="s">
        <v>21</v>
      </c>
      <c r="C304" s="285">
        <v>4356.0</v>
      </c>
      <c r="D304" s="285" t="s">
        <v>9908</v>
      </c>
      <c r="E304" s="287" t="s">
        <v>7403</v>
      </c>
      <c r="F304" s="288">
        <v>45400.0</v>
      </c>
      <c r="G304" s="288">
        <v>45396.0</v>
      </c>
      <c r="H304" s="288">
        <v>45396.0</v>
      </c>
      <c r="I304" s="288">
        <v>45406.0</v>
      </c>
      <c r="J304" s="288">
        <v>45406.0</v>
      </c>
      <c r="K304" s="294" t="s">
        <v>4841</v>
      </c>
      <c r="L304" s="294"/>
      <c r="M304" s="290" t="s">
        <v>9909</v>
      </c>
      <c r="N304" s="299" t="s">
        <v>497</v>
      </c>
      <c r="O304" s="322" t="s">
        <v>2554</v>
      </c>
      <c r="P304" s="300">
        <v>30056.4</v>
      </c>
      <c r="Q304" s="299">
        <f t="shared" si="1"/>
        <v>16</v>
      </c>
      <c r="R304" s="424" t="s">
        <v>9198</v>
      </c>
      <c r="S304" s="366" t="s">
        <v>9171</v>
      </c>
      <c r="T304" s="198"/>
      <c r="U304" s="198"/>
      <c r="V304" s="198"/>
      <c r="W304" s="198"/>
      <c r="X304" s="198"/>
      <c r="Y304" s="198"/>
      <c r="Z304" s="198"/>
    </row>
    <row r="305" ht="86.25" customHeight="1">
      <c r="A305" s="370">
        <v>38624.0</v>
      </c>
      <c r="B305" s="299" t="s">
        <v>715</v>
      </c>
      <c r="C305" s="285">
        <v>2578.0</v>
      </c>
      <c r="D305" s="285" t="s">
        <v>9910</v>
      </c>
      <c r="E305" s="287" t="s">
        <v>7773</v>
      </c>
      <c r="F305" s="288">
        <v>45400.0</v>
      </c>
      <c r="G305" s="288">
        <v>45392.0</v>
      </c>
      <c r="H305" s="288">
        <v>45392.0</v>
      </c>
      <c r="I305" s="288">
        <v>45404.0</v>
      </c>
      <c r="J305" s="288">
        <v>45404.0</v>
      </c>
      <c r="K305" s="294"/>
      <c r="L305" s="294"/>
      <c r="M305" s="290" t="s">
        <v>9911</v>
      </c>
      <c r="N305" s="299" t="s">
        <v>497</v>
      </c>
      <c r="O305" s="322" t="s">
        <v>2554</v>
      </c>
      <c r="P305" s="300">
        <v>57489.4</v>
      </c>
      <c r="Q305" s="299">
        <f t="shared" si="1"/>
        <v>16</v>
      </c>
      <c r="R305" s="424" t="s">
        <v>9198</v>
      </c>
      <c r="S305" s="366" t="s">
        <v>9171</v>
      </c>
      <c r="T305" s="198"/>
      <c r="U305" s="198"/>
      <c r="V305" s="198"/>
      <c r="W305" s="198"/>
      <c r="X305" s="198"/>
      <c r="Y305" s="198"/>
      <c r="Z305" s="198"/>
    </row>
    <row r="306" ht="86.25" customHeight="1">
      <c r="A306" s="370">
        <v>38834.0</v>
      </c>
      <c r="B306" s="299" t="s">
        <v>25</v>
      </c>
      <c r="C306" s="285">
        <v>940.0</v>
      </c>
      <c r="D306" s="285" t="s">
        <v>9912</v>
      </c>
      <c r="E306" s="287" t="s">
        <v>4160</v>
      </c>
      <c r="F306" s="288">
        <v>45399.0</v>
      </c>
      <c r="G306" s="288">
        <v>45411.0</v>
      </c>
      <c r="H306" s="288">
        <v>45406.0</v>
      </c>
      <c r="I306" s="288">
        <v>45406.0</v>
      </c>
      <c r="J306" s="288">
        <v>45406.0</v>
      </c>
      <c r="K306" s="294"/>
      <c r="L306" s="294"/>
      <c r="M306" s="290" t="s">
        <v>9913</v>
      </c>
      <c r="N306" s="299" t="s">
        <v>4635</v>
      </c>
      <c r="O306" s="322" t="s">
        <v>2621</v>
      </c>
      <c r="P306" s="300">
        <v>39809.0</v>
      </c>
      <c r="Q306" s="299">
        <f t="shared" si="1"/>
        <v>16</v>
      </c>
      <c r="R306" s="424"/>
      <c r="S306" s="366" t="s">
        <v>8430</v>
      </c>
      <c r="T306" s="198"/>
      <c r="U306" s="198"/>
      <c r="V306" s="198"/>
      <c r="W306" s="198"/>
      <c r="X306" s="198"/>
      <c r="Y306" s="198"/>
      <c r="Z306" s="198"/>
    </row>
    <row r="307" ht="109.5" customHeight="1">
      <c r="A307" s="370">
        <v>38784.0</v>
      </c>
      <c r="B307" s="299" t="s">
        <v>25</v>
      </c>
      <c r="C307" s="285">
        <v>2275.0</v>
      </c>
      <c r="D307" s="285" t="s">
        <v>9914</v>
      </c>
      <c r="E307" s="287" t="s">
        <v>4667</v>
      </c>
      <c r="F307" s="288">
        <v>45399.0</v>
      </c>
      <c r="G307" s="288">
        <v>45396.0</v>
      </c>
      <c r="H307" s="288">
        <v>45396.0</v>
      </c>
      <c r="I307" s="288">
        <v>45404.0</v>
      </c>
      <c r="J307" s="288">
        <v>45404.0</v>
      </c>
      <c r="K307" s="294"/>
      <c r="L307" s="294"/>
      <c r="M307" s="290" t="s">
        <v>9915</v>
      </c>
      <c r="N307" s="299" t="s">
        <v>497</v>
      </c>
      <c r="O307" s="322" t="s">
        <v>2554</v>
      </c>
      <c r="P307" s="300">
        <v>30835.0</v>
      </c>
      <c r="Q307" s="299">
        <f t="shared" si="1"/>
        <v>16</v>
      </c>
      <c r="R307" s="424" t="s">
        <v>9198</v>
      </c>
      <c r="S307" s="366" t="s">
        <v>9171</v>
      </c>
      <c r="T307" s="198"/>
      <c r="U307" s="198"/>
      <c r="V307" s="198"/>
      <c r="W307" s="198"/>
      <c r="X307" s="198"/>
      <c r="Y307" s="198"/>
      <c r="Z307" s="198"/>
    </row>
    <row r="308" ht="81.75" customHeight="1">
      <c r="A308" s="370">
        <v>38809.0</v>
      </c>
      <c r="B308" s="285" t="s">
        <v>21</v>
      </c>
      <c r="C308" s="285">
        <v>1250.0</v>
      </c>
      <c r="D308" s="285" t="s">
        <v>9916</v>
      </c>
      <c r="E308" s="287" t="s">
        <v>4637</v>
      </c>
      <c r="F308" s="288">
        <v>45397.0</v>
      </c>
      <c r="G308" s="288">
        <v>45394.0</v>
      </c>
      <c r="H308" s="288">
        <v>45394.0</v>
      </c>
      <c r="I308" s="288">
        <v>45404.0</v>
      </c>
      <c r="J308" s="288">
        <v>45404.0</v>
      </c>
      <c r="K308" s="294" t="s">
        <v>4841</v>
      </c>
      <c r="L308" s="294"/>
      <c r="M308" s="290" t="s">
        <v>9917</v>
      </c>
      <c r="N308" s="299" t="s">
        <v>497</v>
      </c>
      <c r="O308" s="322" t="s">
        <v>2554</v>
      </c>
      <c r="P308" s="300">
        <v>36250.0</v>
      </c>
      <c r="Q308" s="299">
        <f t="shared" si="1"/>
        <v>16</v>
      </c>
      <c r="R308" s="424" t="s">
        <v>9170</v>
      </c>
      <c r="S308" s="366" t="s">
        <v>9171</v>
      </c>
      <c r="T308" s="198"/>
      <c r="U308" s="198"/>
      <c r="V308" s="198"/>
      <c r="W308" s="198"/>
      <c r="X308" s="198"/>
      <c r="Y308" s="198"/>
      <c r="Z308" s="198"/>
    </row>
    <row r="309" ht="81.75" customHeight="1">
      <c r="A309" s="370">
        <v>38808.0</v>
      </c>
      <c r="B309" s="285" t="s">
        <v>21</v>
      </c>
      <c r="C309" s="285">
        <v>4230.0</v>
      </c>
      <c r="D309" s="285" t="s">
        <v>9918</v>
      </c>
      <c r="E309" s="287" t="s">
        <v>4690</v>
      </c>
      <c r="F309" s="288">
        <v>45397.0</v>
      </c>
      <c r="G309" s="288">
        <v>45394.0</v>
      </c>
      <c r="H309" s="288">
        <v>45394.0</v>
      </c>
      <c r="I309" s="288">
        <v>45404.0</v>
      </c>
      <c r="J309" s="288">
        <v>45404.0</v>
      </c>
      <c r="K309" s="294" t="s">
        <v>4841</v>
      </c>
      <c r="L309" s="294"/>
      <c r="M309" s="290" t="s">
        <v>9919</v>
      </c>
      <c r="N309" s="299" t="s">
        <v>497</v>
      </c>
      <c r="O309" s="322" t="s">
        <v>2554</v>
      </c>
      <c r="P309" s="300">
        <v>30667.5</v>
      </c>
      <c r="Q309" s="299">
        <f t="shared" si="1"/>
        <v>16</v>
      </c>
      <c r="R309" s="424" t="s">
        <v>9170</v>
      </c>
      <c r="S309" s="366" t="s">
        <v>9171</v>
      </c>
      <c r="T309" s="198"/>
      <c r="U309" s="198"/>
      <c r="V309" s="198"/>
      <c r="W309" s="198"/>
      <c r="X309" s="198"/>
      <c r="Y309" s="198"/>
      <c r="Z309" s="198"/>
    </row>
    <row r="310" ht="81.75" customHeight="1">
      <c r="A310" s="370">
        <v>38617.0</v>
      </c>
      <c r="B310" s="299" t="s">
        <v>715</v>
      </c>
      <c r="C310" s="285">
        <v>1306.0</v>
      </c>
      <c r="D310" s="285" t="s">
        <v>9920</v>
      </c>
      <c r="E310" s="287" t="s">
        <v>9921</v>
      </c>
      <c r="F310" s="288">
        <v>45395.0</v>
      </c>
      <c r="G310" s="288">
        <v>45389.0</v>
      </c>
      <c r="H310" s="288">
        <v>45389.0</v>
      </c>
      <c r="I310" s="288">
        <v>45400.0</v>
      </c>
      <c r="J310" s="288">
        <v>45400.0</v>
      </c>
      <c r="K310" s="294"/>
      <c r="L310" s="294"/>
      <c r="M310" s="290" t="s">
        <v>9922</v>
      </c>
      <c r="N310" s="299" t="s">
        <v>497</v>
      </c>
      <c r="O310" s="322" t="s">
        <v>2554</v>
      </c>
      <c r="P310" s="300">
        <v>44795.8</v>
      </c>
      <c r="Q310" s="299">
        <f t="shared" si="1"/>
        <v>15</v>
      </c>
      <c r="R310" s="424" t="s">
        <v>9198</v>
      </c>
      <c r="S310" s="366" t="s">
        <v>9171</v>
      </c>
      <c r="T310" s="198"/>
      <c r="U310" s="198"/>
      <c r="V310" s="198"/>
      <c r="W310" s="198"/>
      <c r="X310" s="198"/>
      <c r="Y310" s="198"/>
      <c r="Z310" s="198"/>
    </row>
    <row r="311" ht="83.25" customHeight="1">
      <c r="A311" s="370">
        <v>38480.0</v>
      </c>
      <c r="B311" s="299" t="s">
        <v>715</v>
      </c>
      <c r="C311" s="285">
        <v>2413.0</v>
      </c>
      <c r="D311" s="285" t="s">
        <v>9923</v>
      </c>
      <c r="E311" s="287" t="s">
        <v>7448</v>
      </c>
      <c r="F311" s="288">
        <v>45395.0</v>
      </c>
      <c r="G311" s="288">
        <v>45389.0</v>
      </c>
      <c r="H311" s="288">
        <v>45389.0</v>
      </c>
      <c r="I311" s="288">
        <v>45398.0</v>
      </c>
      <c r="J311" s="288">
        <v>45398.0</v>
      </c>
      <c r="K311" s="294"/>
      <c r="L311" s="294"/>
      <c r="M311" s="290" t="s">
        <v>9924</v>
      </c>
      <c r="N311" s="299" t="s">
        <v>497</v>
      </c>
      <c r="O311" s="322" t="s">
        <v>2554</v>
      </c>
      <c r="P311" s="300">
        <v>42951.2</v>
      </c>
      <c r="Q311" s="299">
        <f t="shared" si="1"/>
        <v>15</v>
      </c>
      <c r="R311" s="424" t="s">
        <v>9198</v>
      </c>
      <c r="S311" s="366" t="s">
        <v>9171</v>
      </c>
      <c r="T311" s="198"/>
      <c r="U311" s="198"/>
      <c r="V311" s="198"/>
      <c r="W311" s="198"/>
      <c r="X311" s="198"/>
      <c r="Y311" s="198"/>
      <c r="Z311" s="198"/>
    </row>
    <row r="312" ht="93.0" customHeight="1">
      <c r="A312" s="370">
        <v>39013.0</v>
      </c>
      <c r="B312" s="299" t="s">
        <v>715</v>
      </c>
      <c r="C312" s="285">
        <v>4669.0</v>
      </c>
      <c r="D312" s="285" t="s">
        <v>9925</v>
      </c>
      <c r="E312" s="287" t="s">
        <v>9926</v>
      </c>
      <c r="F312" s="288">
        <v>45394.0</v>
      </c>
      <c r="G312" s="288">
        <v>45389.0</v>
      </c>
      <c r="H312" s="288">
        <v>45389.0</v>
      </c>
      <c r="I312" s="288">
        <v>45399.0</v>
      </c>
      <c r="J312" s="288">
        <v>45399.0</v>
      </c>
      <c r="K312" s="294"/>
      <c r="L312" s="294"/>
      <c r="M312" s="290" t="s">
        <v>9927</v>
      </c>
      <c r="N312" s="299" t="s">
        <v>4635</v>
      </c>
      <c r="O312" s="322" t="s">
        <v>2621</v>
      </c>
      <c r="P312" s="300">
        <v>47126.26</v>
      </c>
      <c r="Q312" s="299">
        <f t="shared" si="1"/>
        <v>15</v>
      </c>
      <c r="R312" s="424"/>
      <c r="S312" s="366" t="s">
        <v>9166</v>
      </c>
      <c r="T312" s="198"/>
      <c r="U312" s="198"/>
      <c r="V312" s="198"/>
      <c r="W312" s="198"/>
      <c r="X312" s="198"/>
      <c r="Y312" s="198"/>
      <c r="Z312" s="198"/>
    </row>
    <row r="313" ht="81.75" customHeight="1">
      <c r="A313" s="370">
        <v>38813.0</v>
      </c>
      <c r="B313" s="299" t="s">
        <v>25</v>
      </c>
      <c r="C313" s="285">
        <v>1250.0</v>
      </c>
      <c r="D313" s="285" t="s">
        <v>9928</v>
      </c>
      <c r="E313" s="287" t="s">
        <v>4637</v>
      </c>
      <c r="F313" s="288">
        <v>45393.0</v>
      </c>
      <c r="G313" s="288">
        <v>45390.0</v>
      </c>
      <c r="H313" s="288">
        <v>45390.0</v>
      </c>
      <c r="I313" s="288">
        <v>45398.0</v>
      </c>
      <c r="J313" s="288">
        <v>45398.0</v>
      </c>
      <c r="K313" s="294"/>
      <c r="L313" s="294"/>
      <c r="M313" s="290" t="s">
        <v>9929</v>
      </c>
      <c r="N313" s="299" t="s">
        <v>497</v>
      </c>
      <c r="O313" s="322" t="s">
        <v>2554</v>
      </c>
      <c r="P313" s="300">
        <v>36250.0</v>
      </c>
      <c r="Q313" s="299">
        <f t="shared" si="1"/>
        <v>15</v>
      </c>
      <c r="R313" s="424" t="s">
        <v>9170</v>
      </c>
      <c r="S313" s="366" t="s">
        <v>9171</v>
      </c>
      <c r="T313" s="198"/>
      <c r="U313" s="198"/>
      <c r="V313" s="198"/>
      <c r="W313" s="198"/>
      <c r="X313" s="198"/>
      <c r="Y313" s="198"/>
      <c r="Z313" s="198"/>
    </row>
    <row r="314" ht="95.25" customHeight="1">
      <c r="A314" s="370">
        <v>39007.0</v>
      </c>
      <c r="B314" s="299" t="s">
        <v>25</v>
      </c>
      <c r="C314" s="285">
        <v>1046.0</v>
      </c>
      <c r="D314" s="285" t="s">
        <v>9930</v>
      </c>
      <c r="E314" s="287" t="s">
        <v>9931</v>
      </c>
      <c r="F314" s="288">
        <v>45391.0</v>
      </c>
      <c r="G314" s="288">
        <v>45399.0</v>
      </c>
      <c r="H314" s="288">
        <v>45397.0</v>
      </c>
      <c r="I314" s="288">
        <v>45397.0</v>
      </c>
      <c r="J314" s="288">
        <v>45397.0</v>
      </c>
      <c r="K314" s="294"/>
      <c r="L314" s="294"/>
      <c r="M314" s="290" t="s">
        <v>9932</v>
      </c>
      <c r="N314" s="299" t="s">
        <v>4635</v>
      </c>
      <c r="O314" s="322" t="s">
        <v>2621</v>
      </c>
      <c r="P314" s="300">
        <v>36561.1</v>
      </c>
      <c r="Q314" s="299">
        <f t="shared" si="1"/>
        <v>15</v>
      </c>
      <c r="R314" s="424"/>
      <c r="S314" s="366" t="s">
        <v>8430</v>
      </c>
      <c r="T314" s="198"/>
      <c r="U314" s="198"/>
      <c r="V314" s="198"/>
      <c r="W314" s="198"/>
      <c r="X314" s="198"/>
      <c r="Y314" s="198"/>
      <c r="Z314" s="198"/>
    </row>
    <row r="315" ht="81.75" customHeight="1">
      <c r="A315" s="370">
        <v>38797.0</v>
      </c>
      <c r="B315" s="299" t="s">
        <v>715</v>
      </c>
      <c r="C315" s="285">
        <v>940.0</v>
      </c>
      <c r="D315" s="285" t="s">
        <v>9933</v>
      </c>
      <c r="E315" s="287" t="s">
        <v>4160</v>
      </c>
      <c r="F315" s="288">
        <v>45389.0</v>
      </c>
      <c r="G315" s="288">
        <v>45387.0</v>
      </c>
      <c r="H315" s="288">
        <v>45387.0</v>
      </c>
      <c r="I315" s="288">
        <v>45393.0</v>
      </c>
      <c r="J315" s="288">
        <v>45393.0</v>
      </c>
      <c r="K315" s="294"/>
      <c r="L315" s="294"/>
      <c r="M315" s="290" t="s">
        <v>9934</v>
      </c>
      <c r="N315" s="299" t="s">
        <v>4635</v>
      </c>
      <c r="O315" s="322" t="s">
        <v>2621</v>
      </c>
      <c r="P315" s="300">
        <v>41284.8</v>
      </c>
      <c r="Q315" s="299">
        <f t="shared" si="1"/>
        <v>15</v>
      </c>
      <c r="R315" s="424"/>
      <c r="S315" s="366" t="s">
        <v>8430</v>
      </c>
      <c r="T315" s="198"/>
      <c r="U315" s="198"/>
      <c r="V315" s="198"/>
      <c r="W315" s="198"/>
      <c r="X315" s="198"/>
      <c r="Y315" s="198"/>
      <c r="Z315" s="198"/>
    </row>
    <row r="316" ht="81.75" customHeight="1">
      <c r="A316" s="370">
        <v>38590.0</v>
      </c>
      <c r="B316" s="299" t="s">
        <v>715</v>
      </c>
      <c r="C316" s="285">
        <v>2400.0</v>
      </c>
      <c r="D316" s="285" t="s">
        <v>9935</v>
      </c>
      <c r="E316" s="287" t="s">
        <v>6435</v>
      </c>
      <c r="F316" s="288">
        <v>45389.0</v>
      </c>
      <c r="G316" s="288">
        <v>45385.0</v>
      </c>
      <c r="H316" s="288">
        <v>45385.0</v>
      </c>
      <c r="I316" s="288">
        <v>45392.0</v>
      </c>
      <c r="J316" s="288">
        <v>45392.0</v>
      </c>
      <c r="K316" s="294"/>
      <c r="L316" s="294"/>
      <c r="M316" s="290" t="s">
        <v>9936</v>
      </c>
      <c r="N316" s="299" t="s">
        <v>497</v>
      </c>
      <c r="O316" s="322" t="s">
        <v>2554</v>
      </c>
      <c r="P316" s="300">
        <v>39600.0</v>
      </c>
      <c r="Q316" s="299">
        <f t="shared" si="1"/>
        <v>15</v>
      </c>
      <c r="R316" s="424" t="s">
        <v>9170</v>
      </c>
      <c r="S316" s="366" t="s">
        <v>9171</v>
      </c>
      <c r="T316" s="198"/>
      <c r="U316" s="198"/>
      <c r="V316" s="198"/>
      <c r="W316" s="198"/>
      <c r="X316" s="198"/>
      <c r="Y316" s="198"/>
      <c r="Z316" s="198"/>
    </row>
    <row r="317" ht="81.75" customHeight="1">
      <c r="A317" s="370">
        <v>38833.0</v>
      </c>
      <c r="B317" s="299" t="s">
        <v>6501</v>
      </c>
      <c r="C317" s="285">
        <v>757.0</v>
      </c>
      <c r="D317" s="285" t="s">
        <v>9937</v>
      </c>
      <c r="E317" s="287" t="s">
        <v>9938</v>
      </c>
      <c r="F317" s="288">
        <v>45389.0</v>
      </c>
      <c r="G317" s="288">
        <v>45384.0</v>
      </c>
      <c r="H317" s="288">
        <v>45384.0</v>
      </c>
      <c r="I317" s="288">
        <v>45393.0</v>
      </c>
      <c r="J317" s="288">
        <v>45393.0</v>
      </c>
      <c r="K317" s="294"/>
      <c r="L317" s="294"/>
      <c r="M317" s="290" t="s">
        <v>9939</v>
      </c>
      <c r="N317" s="299" t="s">
        <v>4635</v>
      </c>
      <c r="O317" s="322" t="s">
        <v>2621</v>
      </c>
      <c r="P317" s="300">
        <v>43693.4</v>
      </c>
      <c r="Q317" s="299">
        <f t="shared" si="1"/>
        <v>15</v>
      </c>
      <c r="R317" s="424"/>
      <c r="S317" s="366" t="s">
        <v>9166</v>
      </c>
      <c r="T317" s="198"/>
      <c r="U317" s="198"/>
      <c r="V317" s="198"/>
      <c r="W317" s="198"/>
      <c r="X317" s="198"/>
      <c r="Y317" s="198"/>
      <c r="Z317" s="198"/>
    </row>
    <row r="318" ht="81.75" customHeight="1">
      <c r="A318" s="370">
        <v>38611.0</v>
      </c>
      <c r="B318" s="299" t="s">
        <v>715</v>
      </c>
      <c r="C318" s="285">
        <v>2413.0</v>
      </c>
      <c r="D318" s="285" t="s">
        <v>9940</v>
      </c>
      <c r="E318" s="287" t="s">
        <v>7957</v>
      </c>
      <c r="F318" s="288">
        <v>45387.0</v>
      </c>
      <c r="G318" s="288">
        <v>45378.0</v>
      </c>
      <c r="H318" s="288">
        <v>45378.0</v>
      </c>
      <c r="I318" s="288">
        <v>45391.0</v>
      </c>
      <c r="J318" s="288">
        <v>45391.0</v>
      </c>
      <c r="K318" s="294"/>
      <c r="L318" s="294"/>
      <c r="M318" s="290" t="s">
        <v>9941</v>
      </c>
      <c r="N318" s="299" t="s">
        <v>497</v>
      </c>
      <c r="O318" s="322" t="s">
        <v>2554</v>
      </c>
      <c r="P318" s="300">
        <v>43434.0</v>
      </c>
      <c r="Q318" s="299">
        <f t="shared" si="1"/>
        <v>14</v>
      </c>
      <c r="R318" s="424" t="s">
        <v>9198</v>
      </c>
      <c r="S318" s="366" t="s">
        <v>9171</v>
      </c>
      <c r="T318" s="198"/>
      <c r="U318" s="198"/>
      <c r="V318" s="198"/>
      <c r="W318" s="198"/>
      <c r="X318" s="198"/>
      <c r="Y318" s="198"/>
      <c r="Z318" s="198"/>
    </row>
    <row r="319" ht="90.0" customHeight="1">
      <c r="A319" s="370">
        <v>38728.0</v>
      </c>
      <c r="B319" s="299" t="s">
        <v>25</v>
      </c>
      <c r="C319" s="285">
        <v>1474.0</v>
      </c>
      <c r="D319" s="285" t="s">
        <v>9942</v>
      </c>
      <c r="E319" s="287" t="s">
        <v>9943</v>
      </c>
      <c r="F319" s="288">
        <v>45385.0</v>
      </c>
      <c r="G319" s="288">
        <v>45422.0</v>
      </c>
      <c r="H319" s="288">
        <v>45386.0</v>
      </c>
      <c r="I319" s="288">
        <v>45386.0</v>
      </c>
      <c r="J319" s="288">
        <v>45386.0</v>
      </c>
      <c r="K319" s="294"/>
      <c r="L319" s="294"/>
      <c r="M319" s="290" t="s">
        <v>9944</v>
      </c>
      <c r="N319" s="299" t="s">
        <v>4635</v>
      </c>
      <c r="O319" s="322" t="s">
        <v>9877</v>
      </c>
      <c r="P319" s="300">
        <v>99240.0</v>
      </c>
      <c r="Q319" s="299">
        <f t="shared" si="1"/>
        <v>14</v>
      </c>
      <c r="R319" s="424"/>
      <c r="S319" s="366" t="s">
        <v>9166</v>
      </c>
      <c r="T319" s="198"/>
      <c r="U319" s="198"/>
      <c r="V319" s="198"/>
      <c r="W319" s="198"/>
      <c r="X319" s="198"/>
      <c r="Y319" s="198"/>
      <c r="Z319" s="198"/>
    </row>
    <row r="320" ht="81.75" customHeight="1">
      <c r="A320" s="370">
        <v>38805.0</v>
      </c>
      <c r="B320" s="299" t="s">
        <v>715</v>
      </c>
      <c r="C320" s="285">
        <v>940.0</v>
      </c>
      <c r="D320" s="285" t="s">
        <v>9945</v>
      </c>
      <c r="E320" s="287" t="s">
        <v>4160</v>
      </c>
      <c r="F320" s="288">
        <v>45385.0</v>
      </c>
      <c r="G320" s="288">
        <v>45379.0</v>
      </c>
      <c r="H320" s="288">
        <v>45379.0</v>
      </c>
      <c r="I320" s="288">
        <v>45390.0</v>
      </c>
      <c r="J320" s="288">
        <v>45390.0</v>
      </c>
      <c r="K320" s="294"/>
      <c r="L320" s="294"/>
      <c r="M320" s="290" t="s">
        <v>9946</v>
      </c>
      <c r="N320" s="299" t="s">
        <v>4635</v>
      </c>
      <c r="O320" s="322" t="s">
        <v>2621</v>
      </c>
      <c r="P320" s="300">
        <v>41284.8</v>
      </c>
      <c r="Q320" s="299">
        <f t="shared" si="1"/>
        <v>14</v>
      </c>
      <c r="R320" s="424"/>
      <c r="S320" s="366" t="s">
        <v>8430</v>
      </c>
      <c r="T320" s="198"/>
      <c r="U320" s="198"/>
      <c r="V320" s="198"/>
      <c r="W320" s="198"/>
      <c r="X320" s="198"/>
      <c r="Y320" s="198"/>
      <c r="Z320" s="198"/>
    </row>
    <row r="321" ht="81.75" customHeight="1">
      <c r="A321" s="370">
        <v>38801.0</v>
      </c>
      <c r="B321" s="299" t="s">
        <v>715</v>
      </c>
      <c r="C321" s="285">
        <v>1250.0</v>
      </c>
      <c r="D321" s="285" t="s">
        <v>9947</v>
      </c>
      <c r="E321" s="287" t="s">
        <v>4637</v>
      </c>
      <c r="F321" s="288">
        <v>45383.0</v>
      </c>
      <c r="G321" s="288">
        <v>45371.0</v>
      </c>
      <c r="H321" s="288">
        <v>45371.0</v>
      </c>
      <c r="I321" s="288">
        <v>45386.0</v>
      </c>
      <c r="J321" s="288">
        <v>45386.0</v>
      </c>
      <c r="K321" s="294"/>
      <c r="L321" s="294"/>
      <c r="M321" s="290" t="s">
        <v>9948</v>
      </c>
      <c r="N321" s="299" t="s">
        <v>497</v>
      </c>
      <c r="O321" s="322" t="s">
        <v>2554</v>
      </c>
      <c r="P321" s="300">
        <v>36250.0</v>
      </c>
      <c r="Q321" s="299">
        <f t="shared" si="1"/>
        <v>14</v>
      </c>
      <c r="R321" s="424" t="s">
        <v>9170</v>
      </c>
      <c r="S321" s="366" t="s">
        <v>9171</v>
      </c>
      <c r="T321" s="198"/>
      <c r="U321" s="198"/>
      <c r="V321" s="198"/>
      <c r="W321" s="198"/>
      <c r="X321" s="198"/>
      <c r="Y321" s="198"/>
      <c r="Z321" s="198"/>
    </row>
    <row r="322" ht="81.75" customHeight="1">
      <c r="A322" s="370">
        <v>38807.0</v>
      </c>
      <c r="B322" s="299" t="s">
        <v>25</v>
      </c>
      <c r="C322" s="285">
        <v>940.0</v>
      </c>
      <c r="D322" s="285" t="s">
        <v>9949</v>
      </c>
      <c r="E322" s="287" t="s">
        <v>6378</v>
      </c>
      <c r="F322" s="288">
        <v>45382.0</v>
      </c>
      <c r="G322" s="288">
        <v>45404.0</v>
      </c>
      <c r="H322" s="288">
        <v>45384.0</v>
      </c>
      <c r="I322" s="288">
        <v>45384.0</v>
      </c>
      <c r="J322" s="288">
        <v>45384.0</v>
      </c>
      <c r="K322" s="294"/>
      <c r="L322" s="294"/>
      <c r="M322" s="290" t="s">
        <v>9950</v>
      </c>
      <c r="N322" s="299" t="s">
        <v>4635</v>
      </c>
      <c r="O322" s="322" t="s">
        <v>2621</v>
      </c>
      <c r="P322" s="300">
        <v>37506.0</v>
      </c>
      <c r="Q322" s="299">
        <f t="shared" si="1"/>
        <v>14</v>
      </c>
      <c r="R322" s="424"/>
      <c r="S322" s="366" t="s">
        <v>8430</v>
      </c>
      <c r="T322" s="198"/>
      <c r="U322" s="198"/>
      <c r="V322" s="198"/>
      <c r="W322" s="198"/>
      <c r="X322" s="198"/>
      <c r="Y322" s="198"/>
      <c r="Z322" s="198"/>
    </row>
    <row r="323" ht="81.75" customHeight="1">
      <c r="A323" s="370">
        <v>38802.0</v>
      </c>
      <c r="B323" s="285" t="s">
        <v>21</v>
      </c>
      <c r="C323" s="285">
        <v>4230.0</v>
      </c>
      <c r="D323" s="285" t="s">
        <v>9951</v>
      </c>
      <c r="E323" s="287" t="s">
        <v>4690</v>
      </c>
      <c r="F323" s="288">
        <v>45381.0</v>
      </c>
      <c r="G323" s="288">
        <v>45376.0</v>
      </c>
      <c r="H323" s="288">
        <v>45376.0</v>
      </c>
      <c r="I323" s="288">
        <v>45387.0</v>
      </c>
      <c r="J323" s="288">
        <v>45387.0</v>
      </c>
      <c r="K323" s="294">
        <v>5563194.0</v>
      </c>
      <c r="L323" s="294" t="s">
        <v>9952</v>
      </c>
      <c r="M323" s="290" t="s">
        <v>9953</v>
      </c>
      <c r="N323" s="299" t="s">
        <v>497</v>
      </c>
      <c r="O323" s="322" t="s">
        <v>2554</v>
      </c>
      <c r="P323" s="300">
        <v>30667.5</v>
      </c>
      <c r="Q323" s="299">
        <f t="shared" si="1"/>
        <v>13</v>
      </c>
      <c r="R323" s="424" t="s">
        <v>9170</v>
      </c>
      <c r="S323" s="366" t="s">
        <v>9171</v>
      </c>
      <c r="T323" s="198"/>
      <c r="U323" s="198"/>
      <c r="V323" s="198"/>
      <c r="W323" s="198"/>
      <c r="X323" s="198"/>
      <c r="Y323" s="198"/>
      <c r="Z323" s="198"/>
    </row>
    <row r="324" ht="81.75" customHeight="1">
      <c r="A324" s="370">
        <v>38625.0</v>
      </c>
      <c r="B324" s="285" t="s">
        <v>21</v>
      </c>
      <c r="C324" s="285">
        <v>4356.0</v>
      </c>
      <c r="D324" s="285" t="s">
        <v>9954</v>
      </c>
      <c r="E324" s="287" t="s">
        <v>7479</v>
      </c>
      <c r="F324" s="288">
        <v>45381.0</v>
      </c>
      <c r="G324" s="288">
        <v>45376.0</v>
      </c>
      <c r="H324" s="288">
        <v>45376.0</v>
      </c>
      <c r="I324" s="288">
        <v>45386.0</v>
      </c>
      <c r="J324" s="288">
        <v>45386.0</v>
      </c>
      <c r="K324" s="294">
        <v>5563194.0</v>
      </c>
      <c r="L324" s="294" t="s">
        <v>9952</v>
      </c>
      <c r="M324" s="290" t="s">
        <v>9955</v>
      </c>
      <c r="N324" s="299" t="s">
        <v>497</v>
      </c>
      <c r="O324" s="322" t="s">
        <v>2554</v>
      </c>
      <c r="P324" s="300">
        <v>32504.4</v>
      </c>
      <c r="Q324" s="299">
        <f t="shared" si="1"/>
        <v>13</v>
      </c>
      <c r="R324" s="424" t="s">
        <v>9198</v>
      </c>
      <c r="S324" s="366" t="s">
        <v>9171</v>
      </c>
      <c r="T324" s="198"/>
      <c r="U324" s="198"/>
      <c r="V324" s="198"/>
      <c r="W324" s="198"/>
      <c r="X324" s="198"/>
      <c r="Y324" s="198"/>
      <c r="Z324" s="198"/>
    </row>
    <row r="325" ht="81.75" customHeight="1">
      <c r="A325" s="370">
        <v>38618.0</v>
      </c>
      <c r="B325" s="285" t="s">
        <v>21</v>
      </c>
      <c r="C325" s="285">
        <v>4356.0</v>
      </c>
      <c r="D325" s="285" t="s">
        <v>9956</v>
      </c>
      <c r="E325" s="287" t="s">
        <v>4644</v>
      </c>
      <c r="F325" s="288">
        <v>45381.0</v>
      </c>
      <c r="G325" s="288">
        <v>45375.0</v>
      </c>
      <c r="H325" s="288">
        <v>45375.0</v>
      </c>
      <c r="I325" s="288">
        <v>45393.0</v>
      </c>
      <c r="J325" s="288">
        <v>45393.0</v>
      </c>
      <c r="K325" s="294">
        <v>5563194.0</v>
      </c>
      <c r="L325" s="294" t="s">
        <v>9952</v>
      </c>
      <c r="M325" s="290" t="s">
        <v>9957</v>
      </c>
      <c r="N325" s="299" t="s">
        <v>497</v>
      </c>
      <c r="O325" s="322" t="s">
        <v>2554</v>
      </c>
      <c r="P325" s="300">
        <v>30056.4</v>
      </c>
      <c r="Q325" s="299">
        <f t="shared" si="1"/>
        <v>13</v>
      </c>
      <c r="R325" s="424" t="s">
        <v>9198</v>
      </c>
      <c r="S325" s="366" t="s">
        <v>9171</v>
      </c>
      <c r="T325" s="198"/>
      <c r="U325" s="198"/>
      <c r="V325" s="198"/>
      <c r="W325" s="198"/>
      <c r="X325" s="198"/>
      <c r="Y325" s="198"/>
      <c r="Z325" s="198"/>
    </row>
    <row r="326" ht="81.75" customHeight="1">
      <c r="A326" s="370">
        <v>38806.0</v>
      </c>
      <c r="B326" s="299" t="s">
        <v>715</v>
      </c>
      <c r="C326" s="285">
        <v>940.0</v>
      </c>
      <c r="D326" s="285" t="s">
        <v>9958</v>
      </c>
      <c r="E326" s="287" t="s">
        <v>9959</v>
      </c>
      <c r="F326" s="288">
        <v>45380.0</v>
      </c>
      <c r="G326" s="288">
        <v>45376.0</v>
      </c>
      <c r="H326" s="288">
        <v>45376.0</v>
      </c>
      <c r="I326" s="288">
        <v>45384.0</v>
      </c>
      <c r="J326" s="288">
        <v>45384.0</v>
      </c>
      <c r="K326" s="294"/>
      <c r="L326" s="294"/>
      <c r="M326" s="290" t="s">
        <v>9960</v>
      </c>
      <c r="N326" s="299" t="s">
        <v>4635</v>
      </c>
      <c r="O326" s="322" t="s">
        <v>2621</v>
      </c>
      <c r="P326" s="300">
        <v>41284.8</v>
      </c>
      <c r="Q326" s="299">
        <f t="shared" si="1"/>
        <v>13</v>
      </c>
      <c r="R326" s="424"/>
      <c r="S326" s="366" t="s">
        <v>8430</v>
      </c>
      <c r="T326" s="198"/>
      <c r="U326" s="198"/>
      <c r="V326" s="198"/>
      <c r="W326" s="198"/>
      <c r="X326" s="198"/>
      <c r="Y326" s="198"/>
      <c r="Z326" s="198"/>
    </row>
    <row r="327" ht="78.75" customHeight="1">
      <c r="A327" s="370">
        <v>38984.0</v>
      </c>
      <c r="B327" s="299" t="s">
        <v>9645</v>
      </c>
      <c r="C327" s="285" t="s">
        <v>9887</v>
      </c>
      <c r="D327" s="285" t="s">
        <v>9961</v>
      </c>
      <c r="E327" s="287" t="s">
        <v>9962</v>
      </c>
      <c r="F327" s="288">
        <v>45376.0</v>
      </c>
      <c r="G327" s="285" t="s">
        <v>4841</v>
      </c>
      <c r="H327" s="285" t="s">
        <v>4841</v>
      </c>
      <c r="I327" s="288">
        <v>45383.0</v>
      </c>
      <c r="J327" s="288">
        <v>45383.0</v>
      </c>
      <c r="K327" s="294"/>
      <c r="L327" s="294"/>
      <c r="M327" s="290" t="s">
        <v>9963</v>
      </c>
      <c r="N327" s="299" t="s">
        <v>497</v>
      </c>
      <c r="O327" s="322" t="s">
        <v>2538</v>
      </c>
      <c r="P327" s="300">
        <v>38400.0</v>
      </c>
      <c r="Q327" s="299">
        <f t="shared" si="1"/>
        <v>13</v>
      </c>
      <c r="R327" s="424"/>
      <c r="S327" s="366" t="s">
        <v>9166</v>
      </c>
      <c r="T327" s="198"/>
      <c r="U327" s="198"/>
      <c r="V327" s="198"/>
      <c r="W327" s="198"/>
      <c r="X327" s="198"/>
      <c r="Y327" s="198"/>
      <c r="Z327" s="198"/>
    </row>
    <row r="328" ht="81.75" customHeight="1">
      <c r="A328" s="370">
        <v>38722.0</v>
      </c>
      <c r="B328" s="299" t="s">
        <v>25</v>
      </c>
      <c r="C328" s="285">
        <v>1738.0</v>
      </c>
      <c r="D328" s="285" t="s">
        <v>9964</v>
      </c>
      <c r="E328" s="287" t="s">
        <v>2751</v>
      </c>
      <c r="F328" s="288">
        <v>45376.0</v>
      </c>
      <c r="G328" s="288">
        <v>45369.0</v>
      </c>
      <c r="H328" s="288">
        <v>45369.0</v>
      </c>
      <c r="I328" s="288">
        <v>45379.0</v>
      </c>
      <c r="J328" s="288">
        <v>45379.0</v>
      </c>
      <c r="K328" s="294"/>
      <c r="L328" s="294"/>
      <c r="M328" s="290" t="s">
        <v>9965</v>
      </c>
      <c r="N328" s="299" t="s">
        <v>6366</v>
      </c>
      <c r="O328" s="322" t="s">
        <v>2621</v>
      </c>
      <c r="P328" s="300">
        <v>48298.88</v>
      </c>
      <c r="Q328" s="299">
        <f t="shared" si="1"/>
        <v>13</v>
      </c>
      <c r="R328" s="424"/>
      <c r="S328" s="366" t="s">
        <v>9166</v>
      </c>
      <c r="T328" s="198"/>
      <c r="U328" s="198"/>
      <c r="V328" s="198"/>
      <c r="W328" s="198"/>
      <c r="X328" s="198"/>
      <c r="Y328" s="198"/>
      <c r="Z328" s="198"/>
    </row>
    <row r="329" ht="81.75" customHeight="1">
      <c r="A329" s="370">
        <v>38762.0</v>
      </c>
      <c r="B329" s="299" t="s">
        <v>715</v>
      </c>
      <c r="C329" s="285">
        <v>4983.0</v>
      </c>
      <c r="D329" s="285" t="s">
        <v>9966</v>
      </c>
      <c r="E329" s="287" t="s">
        <v>9967</v>
      </c>
      <c r="F329" s="288">
        <v>45374.0</v>
      </c>
      <c r="G329" s="288">
        <v>45369.0</v>
      </c>
      <c r="H329" s="288">
        <v>45369.0</v>
      </c>
      <c r="I329" s="288">
        <v>45377.0</v>
      </c>
      <c r="J329" s="288">
        <v>45377.0</v>
      </c>
      <c r="K329" s="294"/>
      <c r="L329" s="294"/>
      <c r="M329" s="290" t="s">
        <v>9968</v>
      </c>
      <c r="N329" s="299" t="s">
        <v>4635</v>
      </c>
      <c r="O329" s="322" t="s">
        <v>2621</v>
      </c>
      <c r="P329" s="300">
        <v>41722.32</v>
      </c>
      <c r="Q329" s="299">
        <f t="shared" si="1"/>
        <v>12</v>
      </c>
      <c r="R329" s="424"/>
      <c r="S329" s="366" t="s">
        <v>9166</v>
      </c>
      <c r="T329" s="198"/>
      <c r="U329" s="198"/>
      <c r="V329" s="198"/>
      <c r="W329" s="198"/>
      <c r="X329" s="198"/>
      <c r="Y329" s="198"/>
      <c r="Z329" s="198"/>
    </row>
    <row r="330" ht="75.75" customHeight="1">
      <c r="A330" s="370">
        <v>38723.0</v>
      </c>
      <c r="B330" s="299" t="s">
        <v>715</v>
      </c>
      <c r="C330" s="285">
        <v>1510.0</v>
      </c>
      <c r="D330" s="285" t="s">
        <v>9969</v>
      </c>
      <c r="E330" s="287" t="s">
        <v>2751</v>
      </c>
      <c r="F330" s="288">
        <v>45369.0</v>
      </c>
      <c r="G330" s="288">
        <v>45364.0</v>
      </c>
      <c r="H330" s="288">
        <v>45364.0</v>
      </c>
      <c r="I330" s="288">
        <v>45373.0</v>
      </c>
      <c r="J330" s="288">
        <v>45373.0</v>
      </c>
      <c r="K330" s="294"/>
      <c r="L330" s="294"/>
      <c r="M330" s="290" t="s">
        <v>9970</v>
      </c>
      <c r="N330" s="299" t="s">
        <v>6366</v>
      </c>
      <c r="O330" s="322" t="s">
        <v>2621</v>
      </c>
      <c r="P330" s="300">
        <v>42425.6</v>
      </c>
      <c r="Q330" s="299">
        <f t="shared" si="1"/>
        <v>12</v>
      </c>
      <c r="R330" s="424"/>
      <c r="S330" s="366" t="s">
        <v>9166</v>
      </c>
      <c r="T330" s="198"/>
      <c r="U330" s="198"/>
      <c r="V330" s="198"/>
      <c r="W330" s="198"/>
      <c r="X330" s="198"/>
      <c r="Y330" s="198"/>
      <c r="Z330" s="198"/>
    </row>
    <row r="331" ht="81.75" customHeight="1">
      <c r="A331" s="370">
        <v>38923.0</v>
      </c>
      <c r="B331" s="285" t="s">
        <v>21</v>
      </c>
      <c r="C331" s="285">
        <v>1025.0</v>
      </c>
      <c r="D331" s="285" t="s">
        <v>9971</v>
      </c>
      <c r="E331" s="287" t="s">
        <v>9364</v>
      </c>
      <c r="F331" s="288">
        <v>45368.0</v>
      </c>
      <c r="G331" s="288">
        <v>45363.0</v>
      </c>
      <c r="H331" s="288">
        <v>45363.0</v>
      </c>
      <c r="I331" s="288">
        <v>45383.0</v>
      </c>
      <c r="J331" s="288">
        <v>45383.0</v>
      </c>
      <c r="K331" s="294">
        <v>5563194.0</v>
      </c>
      <c r="L331" s="294" t="s">
        <v>9972</v>
      </c>
      <c r="M331" s="290" t="s">
        <v>9973</v>
      </c>
      <c r="N331" s="299" t="s">
        <v>4635</v>
      </c>
      <c r="O331" s="322" t="s">
        <v>2621</v>
      </c>
      <c r="P331" s="300">
        <v>103183.25</v>
      </c>
      <c r="Q331" s="299">
        <f t="shared" si="1"/>
        <v>12</v>
      </c>
      <c r="R331" s="424"/>
      <c r="S331" s="366" t="s">
        <v>9166</v>
      </c>
      <c r="T331" s="198"/>
      <c r="U331" s="198"/>
      <c r="V331" s="198"/>
      <c r="W331" s="198"/>
      <c r="X331" s="198"/>
      <c r="Y331" s="198"/>
      <c r="Z331" s="198"/>
    </row>
    <row r="332" ht="72.75" customHeight="1">
      <c r="A332" s="370">
        <v>38619.0</v>
      </c>
      <c r="B332" s="285" t="s">
        <v>21</v>
      </c>
      <c r="C332" s="285">
        <v>4356.0</v>
      </c>
      <c r="D332" s="285" t="s">
        <v>9974</v>
      </c>
      <c r="E332" s="287" t="s">
        <v>9975</v>
      </c>
      <c r="F332" s="288">
        <v>45367.0</v>
      </c>
      <c r="G332" s="288">
        <v>45363.0</v>
      </c>
      <c r="H332" s="288">
        <v>45363.0</v>
      </c>
      <c r="I332" s="288">
        <v>45371.0</v>
      </c>
      <c r="J332" s="288">
        <v>45371.0</v>
      </c>
      <c r="K332" s="294">
        <v>5563194.0</v>
      </c>
      <c r="L332" s="294" t="s">
        <v>9952</v>
      </c>
      <c r="M332" s="290" t="s">
        <v>9976</v>
      </c>
      <c r="N332" s="299" t="s">
        <v>497</v>
      </c>
      <c r="O332" s="322" t="s">
        <v>2554</v>
      </c>
      <c r="P332" s="300">
        <v>30056.4</v>
      </c>
      <c r="Q332" s="299">
        <f t="shared" si="1"/>
        <v>11</v>
      </c>
      <c r="R332" s="424" t="s">
        <v>9198</v>
      </c>
      <c r="S332" s="366" t="s">
        <v>9171</v>
      </c>
      <c r="T332" s="198"/>
      <c r="U332" s="198"/>
      <c r="V332" s="198"/>
      <c r="W332" s="198"/>
      <c r="X332" s="198"/>
      <c r="Y332" s="198"/>
      <c r="Z332" s="198"/>
    </row>
    <row r="333" ht="69.75" customHeight="1">
      <c r="A333" s="370">
        <v>38623.0</v>
      </c>
      <c r="B333" s="285" t="s">
        <v>21</v>
      </c>
      <c r="C333" s="285">
        <v>1306.0</v>
      </c>
      <c r="D333" s="285" t="s">
        <v>9977</v>
      </c>
      <c r="E333" s="287" t="s">
        <v>9978</v>
      </c>
      <c r="F333" s="288">
        <v>45367.0</v>
      </c>
      <c r="G333" s="288">
        <v>45363.0</v>
      </c>
      <c r="H333" s="288">
        <v>45363.0</v>
      </c>
      <c r="I333" s="288">
        <v>45372.0</v>
      </c>
      <c r="J333" s="288">
        <v>45372.0</v>
      </c>
      <c r="K333" s="294">
        <v>5563194.0</v>
      </c>
      <c r="L333" s="294" t="s">
        <v>9952</v>
      </c>
      <c r="M333" s="290" t="s">
        <v>9979</v>
      </c>
      <c r="N333" s="299" t="s">
        <v>497</v>
      </c>
      <c r="O333" s="322" t="s">
        <v>2554</v>
      </c>
      <c r="P333" s="300">
        <v>44795.8</v>
      </c>
      <c r="Q333" s="299">
        <f t="shared" si="1"/>
        <v>11</v>
      </c>
      <c r="R333" s="424" t="s">
        <v>9198</v>
      </c>
      <c r="S333" s="366" t="s">
        <v>9171</v>
      </c>
      <c r="T333" s="198"/>
      <c r="U333" s="198"/>
      <c r="V333" s="198"/>
      <c r="W333" s="198"/>
      <c r="X333" s="198"/>
      <c r="Y333" s="198"/>
      <c r="Z333" s="198"/>
    </row>
    <row r="334" ht="69.75" customHeight="1">
      <c r="A334" s="370">
        <v>38585.0</v>
      </c>
      <c r="B334" s="299" t="s">
        <v>715</v>
      </c>
      <c r="C334" s="285">
        <v>4230.0</v>
      </c>
      <c r="D334" s="285" t="s">
        <v>9980</v>
      </c>
      <c r="E334" s="287" t="s">
        <v>4658</v>
      </c>
      <c r="F334" s="288">
        <v>45367.0</v>
      </c>
      <c r="G334" s="288">
        <v>45362.0</v>
      </c>
      <c r="H334" s="288">
        <v>45362.0</v>
      </c>
      <c r="I334" s="288">
        <v>45372.0</v>
      </c>
      <c r="J334" s="288">
        <v>45372.0</v>
      </c>
      <c r="K334" s="294"/>
      <c r="L334" s="294"/>
      <c r="M334" s="290" t="s">
        <v>9981</v>
      </c>
      <c r="N334" s="299" t="s">
        <v>497</v>
      </c>
      <c r="O334" s="322" t="s">
        <v>2554</v>
      </c>
      <c r="P334" s="300">
        <v>31725.0</v>
      </c>
      <c r="Q334" s="299">
        <f t="shared" si="1"/>
        <v>11</v>
      </c>
      <c r="R334" s="424" t="s">
        <v>9170</v>
      </c>
      <c r="S334" s="366" t="s">
        <v>9171</v>
      </c>
      <c r="T334" s="198"/>
      <c r="U334" s="198"/>
      <c r="V334" s="198"/>
      <c r="W334" s="198"/>
      <c r="X334" s="198"/>
      <c r="Y334" s="198"/>
      <c r="Z334" s="198"/>
    </row>
    <row r="335" ht="67.5" customHeight="1">
      <c r="A335" s="370">
        <v>38582.0</v>
      </c>
      <c r="B335" s="299" t="s">
        <v>715</v>
      </c>
      <c r="C335" s="285">
        <v>1250.0</v>
      </c>
      <c r="D335" s="285" t="s">
        <v>9982</v>
      </c>
      <c r="E335" s="287" t="s">
        <v>4637</v>
      </c>
      <c r="F335" s="288">
        <v>45367.0</v>
      </c>
      <c r="G335" s="288">
        <v>45362.0</v>
      </c>
      <c r="H335" s="288">
        <v>45362.0</v>
      </c>
      <c r="I335" s="288">
        <v>45371.0</v>
      </c>
      <c r="J335" s="288">
        <v>45371.0</v>
      </c>
      <c r="K335" s="294"/>
      <c r="L335" s="294"/>
      <c r="M335" s="290" t="s">
        <v>9983</v>
      </c>
      <c r="N335" s="299" t="s">
        <v>497</v>
      </c>
      <c r="O335" s="322" t="s">
        <v>2554</v>
      </c>
      <c r="P335" s="300">
        <v>36250.0</v>
      </c>
      <c r="Q335" s="299">
        <f t="shared" si="1"/>
        <v>11</v>
      </c>
      <c r="R335" s="424" t="s">
        <v>9170</v>
      </c>
      <c r="S335" s="366" t="s">
        <v>9171</v>
      </c>
      <c r="T335" s="198"/>
      <c r="U335" s="198"/>
      <c r="V335" s="198"/>
      <c r="W335" s="198"/>
      <c r="X335" s="198"/>
      <c r="Y335" s="198"/>
      <c r="Z335" s="198"/>
    </row>
    <row r="336" ht="71.25" customHeight="1">
      <c r="A336" s="370">
        <v>38357.0</v>
      </c>
      <c r="B336" s="299" t="s">
        <v>715</v>
      </c>
      <c r="C336" s="285">
        <v>1306.0</v>
      </c>
      <c r="D336" s="285" t="s">
        <v>9984</v>
      </c>
      <c r="E336" s="287" t="s">
        <v>7323</v>
      </c>
      <c r="F336" s="288">
        <v>45367.0</v>
      </c>
      <c r="G336" s="288">
        <v>45360.0</v>
      </c>
      <c r="H336" s="288">
        <v>45360.0</v>
      </c>
      <c r="I336" s="288">
        <v>45370.0</v>
      </c>
      <c r="J336" s="288">
        <v>45370.0</v>
      </c>
      <c r="K336" s="294"/>
      <c r="L336" s="294"/>
      <c r="M336" s="290" t="s">
        <v>9985</v>
      </c>
      <c r="N336" s="299" t="s">
        <v>497</v>
      </c>
      <c r="O336" s="322" t="s">
        <v>2554</v>
      </c>
      <c r="P336" s="300">
        <v>44795.8</v>
      </c>
      <c r="Q336" s="299">
        <f t="shared" si="1"/>
        <v>11</v>
      </c>
      <c r="R336" s="424" t="s">
        <v>9198</v>
      </c>
      <c r="S336" s="366" t="s">
        <v>9171</v>
      </c>
      <c r="T336" s="198"/>
      <c r="U336" s="198"/>
      <c r="V336" s="198"/>
      <c r="W336" s="198"/>
      <c r="X336" s="198"/>
      <c r="Y336" s="198"/>
      <c r="Z336" s="198"/>
    </row>
    <row r="337" ht="71.25" customHeight="1">
      <c r="A337" s="370">
        <v>38362.0</v>
      </c>
      <c r="B337" s="299" t="s">
        <v>715</v>
      </c>
      <c r="C337" s="285">
        <v>1306.0</v>
      </c>
      <c r="D337" s="285" t="s">
        <v>9986</v>
      </c>
      <c r="E337" s="287" t="s">
        <v>7566</v>
      </c>
      <c r="F337" s="288">
        <v>45366.0</v>
      </c>
      <c r="G337" s="288">
        <v>45357.0</v>
      </c>
      <c r="H337" s="288">
        <v>45357.0</v>
      </c>
      <c r="I337" s="288">
        <v>45371.0</v>
      </c>
      <c r="J337" s="288">
        <v>45371.0</v>
      </c>
      <c r="K337" s="294"/>
      <c r="L337" s="294"/>
      <c r="M337" s="290" t="s">
        <v>9987</v>
      </c>
      <c r="N337" s="299" t="s">
        <v>497</v>
      </c>
      <c r="O337" s="322" t="s">
        <v>2554</v>
      </c>
      <c r="P337" s="300">
        <v>44795.8</v>
      </c>
      <c r="Q337" s="299">
        <f t="shared" si="1"/>
        <v>11</v>
      </c>
      <c r="R337" s="424" t="s">
        <v>9198</v>
      </c>
      <c r="S337" s="366" t="s">
        <v>9171</v>
      </c>
      <c r="T337" s="198"/>
      <c r="U337" s="198"/>
      <c r="V337" s="198"/>
      <c r="W337" s="198"/>
      <c r="X337" s="198"/>
      <c r="Y337" s="198"/>
      <c r="Z337" s="198"/>
    </row>
    <row r="338" ht="71.25" customHeight="1">
      <c r="A338" s="370">
        <v>38699.0</v>
      </c>
      <c r="B338" s="285" t="s">
        <v>21</v>
      </c>
      <c r="C338" s="285">
        <v>1800.0</v>
      </c>
      <c r="D338" s="285" t="s">
        <v>9988</v>
      </c>
      <c r="E338" s="287" t="s">
        <v>3740</v>
      </c>
      <c r="F338" s="288">
        <v>45365.0</v>
      </c>
      <c r="G338" s="288">
        <v>45360.0</v>
      </c>
      <c r="H338" s="288">
        <v>45360.0</v>
      </c>
      <c r="I338" s="288">
        <v>45371.0</v>
      </c>
      <c r="J338" s="288">
        <v>45342.0</v>
      </c>
      <c r="K338" s="294">
        <v>5563194.0</v>
      </c>
      <c r="L338" s="294" t="s">
        <v>9989</v>
      </c>
      <c r="M338" s="290" t="s">
        <v>9990</v>
      </c>
      <c r="N338" s="299" t="s">
        <v>4745</v>
      </c>
      <c r="O338" s="322" t="s">
        <v>4711</v>
      </c>
      <c r="P338" s="300">
        <v>38169.72</v>
      </c>
      <c r="Q338" s="299">
        <f t="shared" si="1"/>
        <v>11</v>
      </c>
      <c r="R338" s="424"/>
      <c r="S338" s="366" t="s">
        <v>9166</v>
      </c>
      <c r="T338" s="198"/>
      <c r="U338" s="198"/>
      <c r="V338" s="198"/>
      <c r="W338" s="198"/>
      <c r="X338" s="198"/>
      <c r="Y338" s="198"/>
      <c r="Z338" s="198"/>
    </row>
    <row r="339" ht="71.25" customHeight="1">
      <c r="A339" s="370">
        <v>38621.0</v>
      </c>
      <c r="B339" s="299" t="s">
        <v>25</v>
      </c>
      <c r="C339" s="285">
        <v>4356.0</v>
      </c>
      <c r="D339" s="285" t="s">
        <v>9991</v>
      </c>
      <c r="E339" s="287" t="s">
        <v>7403</v>
      </c>
      <c r="F339" s="288">
        <v>45363.0</v>
      </c>
      <c r="G339" s="288">
        <v>45358.0</v>
      </c>
      <c r="H339" s="288">
        <v>45358.0</v>
      </c>
      <c r="I339" s="288">
        <v>45372.0</v>
      </c>
      <c r="J339" s="288">
        <v>45372.0</v>
      </c>
      <c r="K339" s="294"/>
      <c r="L339" s="294"/>
      <c r="M339" s="290" t="s">
        <v>9992</v>
      </c>
      <c r="N339" s="299" t="s">
        <v>497</v>
      </c>
      <c r="O339" s="322" t="s">
        <v>2554</v>
      </c>
      <c r="P339" s="300">
        <v>30056.4</v>
      </c>
      <c r="Q339" s="299">
        <f t="shared" si="1"/>
        <v>11</v>
      </c>
      <c r="R339" s="424" t="s">
        <v>9198</v>
      </c>
      <c r="S339" s="366" t="s">
        <v>9171</v>
      </c>
      <c r="T339" s="198"/>
      <c r="U339" s="198"/>
      <c r="V339" s="198"/>
      <c r="W339" s="198"/>
      <c r="X339" s="198"/>
      <c r="Y339" s="198"/>
      <c r="Z339" s="198"/>
    </row>
    <row r="340" ht="71.25" customHeight="1">
      <c r="A340" s="370">
        <v>38622.0</v>
      </c>
      <c r="B340" s="299" t="s">
        <v>25</v>
      </c>
      <c r="C340" s="285">
        <v>1306.0</v>
      </c>
      <c r="D340" s="285" t="s">
        <v>9993</v>
      </c>
      <c r="E340" s="287" t="s">
        <v>9921</v>
      </c>
      <c r="F340" s="288">
        <v>45363.0</v>
      </c>
      <c r="G340" s="288">
        <v>45358.0</v>
      </c>
      <c r="H340" s="288">
        <v>45358.0</v>
      </c>
      <c r="I340" s="288">
        <v>45366.0</v>
      </c>
      <c r="J340" s="288">
        <v>45366.0</v>
      </c>
      <c r="K340" s="294"/>
      <c r="L340" s="294"/>
      <c r="M340" s="290" t="s">
        <v>9994</v>
      </c>
      <c r="N340" s="299" t="s">
        <v>497</v>
      </c>
      <c r="O340" s="322" t="s">
        <v>2554</v>
      </c>
      <c r="P340" s="300">
        <v>44795.8</v>
      </c>
      <c r="Q340" s="299">
        <f t="shared" si="1"/>
        <v>11</v>
      </c>
      <c r="R340" s="424" t="s">
        <v>9198</v>
      </c>
      <c r="S340" s="366" t="s">
        <v>9171</v>
      </c>
      <c r="T340" s="198"/>
      <c r="U340" s="198"/>
      <c r="V340" s="198"/>
      <c r="W340" s="198"/>
      <c r="X340" s="198"/>
      <c r="Y340" s="198"/>
      <c r="Z340" s="198"/>
    </row>
    <row r="341" ht="71.25" customHeight="1">
      <c r="A341" s="370">
        <v>38700.0</v>
      </c>
      <c r="B341" s="299" t="s">
        <v>25</v>
      </c>
      <c r="C341" s="285">
        <v>900.0</v>
      </c>
      <c r="D341" s="285" t="s">
        <v>9995</v>
      </c>
      <c r="E341" s="287" t="s">
        <v>3740</v>
      </c>
      <c r="F341" s="288">
        <v>45361.0</v>
      </c>
      <c r="G341" s="288">
        <v>45356.0</v>
      </c>
      <c r="H341" s="288">
        <v>45356.0</v>
      </c>
      <c r="I341" s="288">
        <v>45363.0</v>
      </c>
      <c r="J341" s="288">
        <v>45363.0</v>
      </c>
      <c r="K341" s="294"/>
      <c r="L341" s="294"/>
      <c r="M341" s="290" t="s">
        <v>9996</v>
      </c>
      <c r="N341" s="299" t="s">
        <v>4745</v>
      </c>
      <c r="O341" s="322" t="s">
        <v>4711</v>
      </c>
      <c r="P341" s="300">
        <v>19084.86</v>
      </c>
      <c r="Q341" s="299">
        <f t="shared" si="1"/>
        <v>11</v>
      </c>
      <c r="R341" s="424"/>
      <c r="S341" s="366" t="s">
        <v>9166</v>
      </c>
      <c r="T341" s="198"/>
      <c r="U341" s="198"/>
      <c r="V341" s="198"/>
      <c r="W341" s="198"/>
      <c r="X341" s="198"/>
      <c r="Y341" s="198"/>
      <c r="Z341" s="198"/>
    </row>
    <row r="342" ht="82.5" customHeight="1">
      <c r="A342" s="370">
        <v>38890.0</v>
      </c>
      <c r="B342" s="299" t="s">
        <v>715</v>
      </c>
      <c r="C342" s="285">
        <v>2720.0</v>
      </c>
      <c r="D342" s="285" t="s">
        <v>9997</v>
      </c>
      <c r="E342" s="287" t="s">
        <v>9998</v>
      </c>
      <c r="F342" s="288">
        <v>45360.0</v>
      </c>
      <c r="G342" s="288">
        <v>45363.0</v>
      </c>
      <c r="H342" s="288">
        <v>45363.0</v>
      </c>
      <c r="I342" s="288">
        <v>45366.0</v>
      </c>
      <c r="J342" s="288">
        <v>45366.0</v>
      </c>
      <c r="K342" s="294"/>
      <c r="L342" s="294"/>
      <c r="M342" s="290" t="s">
        <v>9999</v>
      </c>
      <c r="N342" s="299" t="s">
        <v>497</v>
      </c>
      <c r="O342" s="322" t="s">
        <v>2621</v>
      </c>
      <c r="P342" s="300">
        <v>35904.0</v>
      </c>
      <c r="Q342" s="299">
        <f t="shared" si="1"/>
        <v>10</v>
      </c>
      <c r="R342" s="424"/>
      <c r="S342" s="366" t="s">
        <v>9166</v>
      </c>
      <c r="T342" s="198"/>
      <c r="U342" s="198"/>
      <c r="V342" s="198"/>
      <c r="W342" s="198"/>
      <c r="X342" s="198"/>
      <c r="Y342" s="198"/>
      <c r="Z342" s="198"/>
    </row>
    <row r="343" ht="71.25" customHeight="1">
      <c r="A343" s="370">
        <v>38800.0</v>
      </c>
      <c r="B343" s="299" t="s">
        <v>25</v>
      </c>
      <c r="C343" s="285">
        <v>714.0</v>
      </c>
      <c r="D343" s="285" t="s">
        <v>10000</v>
      </c>
      <c r="E343" s="287" t="s">
        <v>4743</v>
      </c>
      <c r="F343" s="288">
        <v>45355.0</v>
      </c>
      <c r="G343" s="288">
        <v>45351.0</v>
      </c>
      <c r="H343" s="288">
        <v>45351.0</v>
      </c>
      <c r="I343" s="288">
        <v>45358.0</v>
      </c>
      <c r="J343" s="288">
        <v>45358.0</v>
      </c>
      <c r="K343" s="294"/>
      <c r="L343" s="294"/>
      <c r="M343" s="290" t="s">
        <v>10001</v>
      </c>
      <c r="N343" s="299" t="s">
        <v>4745</v>
      </c>
      <c r="O343" s="322" t="s">
        <v>4746</v>
      </c>
      <c r="P343" s="300">
        <v>85654.8</v>
      </c>
      <c r="Q343" s="299">
        <f t="shared" si="1"/>
        <v>10</v>
      </c>
      <c r="R343" s="424"/>
      <c r="S343" s="366" t="s">
        <v>9166</v>
      </c>
      <c r="T343" s="198"/>
      <c r="U343" s="198"/>
      <c r="V343" s="198"/>
      <c r="W343" s="198"/>
      <c r="X343" s="198"/>
      <c r="Y343" s="198"/>
      <c r="Z343" s="198"/>
    </row>
    <row r="344" ht="71.25" customHeight="1">
      <c r="A344" s="370">
        <v>38587.0</v>
      </c>
      <c r="B344" s="285" t="s">
        <v>21</v>
      </c>
      <c r="C344" s="285">
        <v>4230.0</v>
      </c>
      <c r="D344" s="285" t="s">
        <v>10002</v>
      </c>
      <c r="E344" s="287" t="s">
        <v>7438</v>
      </c>
      <c r="F344" s="288">
        <v>45355.0</v>
      </c>
      <c r="G344" s="288">
        <v>45350.0</v>
      </c>
      <c r="H344" s="288">
        <v>45350.0</v>
      </c>
      <c r="I344" s="288">
        <v>45359.0</v>
      </c>
      <c r="J344" s="288">
        <v>45359.0</v>
      </c>
      <c r="K344" s="294">
        <v>5561193.0</v>
      </c>
      <c r="L344" s="294" t="s">
        <v>10003</v>
      </c>
      <c r="M344" s="290" t="s">
        <v>10004</v>
      </c>
      <c r="N344" s="299" t="s">
        <v>497</v>
      </c>
      <c r="O344" s="322" t="s">
        <v>2554</v>
      </c>
      <c r="P344" s="300">
        <v>31196.25</v>
      </c>
      <c r="Q344" s="299">
        <f t="shared" si="1"/>
        <v>10</v>
      </c>
      <c r="R344" s="424" t="s">
        <v>9170</v>
      </c>
      <c r="S344" s="366" t="s">
        <v>9171</v>
      </c>
      <c r="T344" s="198"/>
      <c r="U344" s="198"/>
      <c r="V344" s="198"/>
      <c r="W344" s="198"/>
      <c r="X344" s="198"/>
      <c r="Y344" s="198"/>
      <c r="Z344" s="198"/>
    </row>
    <row r="345" ht="71.25" customHeight="1">
      <c r="A345" s="370">
        <v>38804.0</v>
      </c>
      <c r="B345" s="299" t="s">
        <v>715</v>
      </c>
      <c r="C345" s="285">
        <v>1260.0</v>
      </c>
      <c r="D345" s="285" t="s">
        <v>10005</v>
      </c>
      <c r="E345" s="287" t="s">
        <v>10006</v>
      </c>
      <c r="F345" s="288">
        <v>45354.0</v>
      </c>
      <c r="G345" s="288">
        <v>45350.0</v>
      </c>
      <c r="H345" s="288">
        <v>45350.0</v>
      </c>
      <c r="I345" s="288">
        <v>45357.0</v>
      </c>
      <c r="J345" s="288">
        <v>45357.0</v>
      </c>
      <c r="K345" s="294"/>
      <c r="L345" s="294"/>
      <c r="M345" s="290" t="s">
        <v>10007</v>
      </c>
      <c r="N345" s="299" t="s">
        <v>4635</v>
      </c>
      <c r="O345" s="322" t="s">
        <v>2621</v>
      </c>
      <c r="P345" s="300">
        <v>30046.4</v>
      </c>
      <c r="Q345" s="299">
        <f t="shared" si="1"/>
        <v>10</v>
      </c>
      <c r="R345" s="424"/>
      <c r="S345" s="366" t="s">
        <v>8430</v>
      </c>
      <c r="T345" s="198"/>
      <c r="U345" s="198"/>
      <c r="V345" s="198"/>
      <c r="W345" s="198"/>
      <c r="X345" s="198"/>
      <c r="Y345" s="198"/>
      <c r="Z345" s="198"/>
    </row>
    <row r="346" ht="71.25" customHeight="1">
      <c r="A346" s="370">
        <v>38796.0</v>
      </c>
      <c r="B346" s="299" t="s">
        <v>715</v>
      </c>
      <c r="C346" s="285">
        <v>940.0</v>
      </c>
      <c r="D346" s="285" t="s">
        <v>10008</v>
      </c>
      <c r="E346" s="287" t="s">
        <v>4295</v>
      </c>
      <c r="F346" s="288">
        <v>45350.0</v>
      </c>
      <c r="G346" s="288">
        <v>45343.0</v>
      </c>
      <c r="H346" s="288">
        <v>45343.0</v>
      </c>
      <c r="I346" s="288">
        <v>45355.0</v>
      </c>
      <c r="J346" s="288">
        <v>45355.0</v>
      </c>
      <c r="K346" s="294"/>
      <c r="L346" s="294"/>
      <c r="M346" s="290" t="s">
        <v>10009</v>
      </c>
      <c r="N346" s="299" t="s">
        <v>4635</v>
      </c>
      <c r="O346" s="322" t="s">
        <v>2621</v>
      </c>
      <c r="P346" s="300">
        <v>41284.8</v>
      </c>
      <c r="Q346" s="299">
        <f t="shared" si="1"/>
        <v>9</v>
      </c>
      <c r="R346" s="424"/>
      <c r="S346" s="366" t="s">
        <v>8430</v>
      </c>
      <c r="T346" s="198"/>
      <c r="U346" s="198"/>
      <c r="V346" s="198"/>
      <c r="W346" s="198"/>
      <c r="X346" s="198"/>
      <c r="Y346" s="198"/>
      <c r="Z346" s="198"/>
    </row>
    <row r="347" ht="71.25" customHeight="1">
      <c r="A347" s="370">
        <v>38479.0</v>
      </c>
      <c r="B347" s="299" t="s">
        <v>715</v>
      </c>
      <c r="C347" s="285">
        <v>2413.0</v>
      </c>
      <c r="D347" s="285" t="s">
        <v>10010</v>
      </c>
      <c r="E347" s="287" t="s">
        <v>7448</v>
      </c>
      <c r="F347" s="288">
        <v>45349.0</v>
      </c>
      <c r="G347" s="288">
        <v>45343.0</v>
      </c>
      <c r="H347" s="288">
        <v>45343.0</v>
      </c>
      <c r="I347" s="288">
        <v>45356.0</v>
      </c>
      <c r="J347" s="288">
        <v>45356.0</v>
      </c>
      <c r="K347" s="294"/>
      <c r="L347" s="294"/>
      <c r="M347" s="290" t="s">
        <v>10011</v>
      </c>
      <c r="N347" s="299" t="s">
        <v>497</v>
      </c>
      <c r="O347" s="322" t="s">
        <v>2554</v>
      </c>
      <c r="P347" s="300">
        <v>42951.2</v>
      </c>
      <c r="Q347" s="299">
        <f t="shared" si="1"/>
        <v>9</v>
      </c>
      <c r="R347" s="424" t="s">
        <v>9198</v>
      </c>
      <c r="S347" s="366" t="s">
        <v>9171</v>
      </c>
      <c r="T347" s="198"/>
      <c r="U347" s="198"/>
      <c r="V347" s="198"/>
      <c r="W347" s="198"/>
      <c r="X347" s="198"/>
      <c r="Y347" s="198"/>
      <c r="Z347" s="198"/>
    </row>
    <row r="348" ht="71.25" customHeight="1">
      <c r="A348" s="370">
        <v>38584.0</v>
      </c>
      <c r="B348" s="285" t="s">
        <v>21</v>
      </c>
      <c r="C348" s="285">
        <v>4230.0</v>
      </c>
      <c r="D348" s="285" t="s">
        <v>10012</v>
      </c>
      <c r="E348" s="287" t="s">
        <v>7438</v>
      </c>
      <c r="F348" s="288">
        <v>45347.0</v>
      </c>
      <c r="G348" s="288">
        <v>45342.0</v>
      </c>
      <c r="H348" s="288">
        <v>45342.0</v>
      </c>
      <c r="I348" s="288">
        <v>45352.0</v>
      </c>
      <c r="J348" s="288">
        <v>45352.0</v>
      </c>
      <c r="K348" s="294">
        <v>5556276.0</v>
      </c>
      <c r="L348" s="294" t="s">
        <v>10013</v>
      </c>
      <c r="M348" s="290" t="s">
        <v>10014</v>
      </c>
      <c r="N348" s="299" t="s">
        <v>497</v>
      </c>
      <c r="O348" s="322" t="s">
        <v>2554</v>
      </c>
      <c r="P348" s="300">
        <v>31196.25</v>
      </c>
      <c r="Q348" s="299">
        <f t="shared" si="1"/>
        <v>9</v>
      </c>
      <c r="R348" s="424" t="s">
        <v>9170</v>
      </c>
      <c r="S348" s="366" t="s">
        <v>9171</v>
      </c>
      <c r="T348" s="198"/>
      <c r="U348" s="198"/>
      <c r="V348" s="198"/>
      <c r="W348" s="198"/>
      <c r="X348" s="198"/>
      <c r="Y348" s="198"/>
      <c r="Z348" s="198"/>
    </row>
    <row r="349" ht="71.25" customHeight="1">
      <c r="A349" s="370">
        <v>38580.0</v>
      </c>
      <c r="B349" s="285" t="s">
        <v>21</v>
      </c>
      <c r="C349" s="285">
        <v>4230.0</v>
      </c>
      <c r="D349" s="285" t="s">
        <v>10015</v>
      </c>
      <c r="E349" s="287" t="s">
        <v>7438</v>
      </c>
      <c r="F349" s="288">
        <v>45347.0</v>
      </c>
      <c r="G349" s="288">
        <v>45342.0</v>
      </c>
      <c r="H349" s="288">
        <v>45342.0</v>
      </c>
      <c r="I349" s="288">
        <v>45349.0</v>
      </c>
      <c r="J349" s="288">
        <v>45349.0</v>
      </c>
      <c r="K349" s="294">
        <v>5556276.0</v>
      </c>
      <c r="L349" s="294" t="s">
        <v>10016</v>
      </c>
      <c r="M349" s="290" t="s">
        <v>10017</v>
      </c>
      <c r="N349" s="299" t="s">
        <v>497</v>
      </c>
      <c r="O349" s="322" t="s">
        <v>2554</v>
      </c>
      <c r="P349" s="300">
        <v>31196.25</v>
      </c>
      <c r="Q349" s="299">
        <f t="shared" si="1"/>
        <v>9</v>
      </c>
      <c r="R349" s="424" t="s">
        <v>9170</v>
      </c>
      <c r="S349" s="366" t="s">
        <v>9171</v>
      </c>
      <c r="T349" s="198"/>
      <c r="U349" s="198"/>
      <c r="V349" s="198"/>
      <c r="W349" s="198"/>
      <c r="X349" s="198"/>
      <c r="Y349" s="198"/>
      <c r="Z349" s="198"/>
    </row>
    <row r="350" ht="71.25" customHeight="1">
      <c r="A350" s="370">
        <v>38583.0</v>
      </c>
      <c r="B350" s="285" t="s">
        <v>21</v>
      </c>
      <c r="C350" s="285">
        <v>1250.0</v>
      </c>
      <c r="D350" s="285" t="s">
        <v>10018</v>
      </c>
      <c r="E350" s="287" t="s">
        <v>4637</v>
      </c>
      <c r="F350" s="288">
        <v>45347.0</v>
      </c>
      <c r="G350" s="288">
        <v>45342.0</v>
      </c>
      <c r="H350" s="288">
        <v>45342.0</v>
      </c>
      <c r="I350" s="288">
        <v>45352.0</v>
      </c>
      <c r="J350" s="288">
        <v>45352.0</v>
      </c>
      <c r="K350" s="294">
        <v>5556276.0</v>
      </c>
      <c r="L350" s="294" t="s">
        <v>10016</v>
      </c>
      <c r="M350" s="290" t="s">
        <v>10019</v>
      </c>
      <c r="N350" s="299" t="s">
        <v>497</v>
      </c>
      <c r="O350" s="322" t="s">
        <v>2554</v>
      </c>
      <c r="P350" s="300">
        <v>36250.0</v>
      </c>
      <c r="Q350" s="299">
        <f t="shared" si="1"/>
        <v>9</v>
      </c>
      <c r="R350" s="424" t="s">
        <v>9170</v>
      </c>
      <c r="S350" s="366" t="s">
        <v>9171</v>
      </c>
      <c r="T350" s="198"/>
      <c r="U350" s="198"/>
      <c r="V350" s="198"/>
      <c r="W350" s="198"/>
      <c r="X350" s="198"/>
      <c r="Y350" s="198"/>
      <c r="Z350" s="198"/>
    </row>
    <row r="351" ht="71.25" customHeight="1">
      <c r="A351" s="370">
        <v>38356.0</v>
      </c>
      <c r="B351" s="285" t="s">
        <v>21</v>
      </c>
      <c r="C351" s="285">
        <v>4356.0</v>
      </c>
      <c r="D351" s="285" t="s">
        <v>10020</v>
      </c>
      <c r="E351" s="287" t="s">
        <v>7403</v>
      </c>
      <c r="F351" s="288">
        <v>45347.0</v>
      </c>
      <c r="G351" s="288">
        <v>45342.0</v>
      </c>
      <c r="H351" s="288">
        <v>45342.0</v>
      </c>
      <c r="I351" s="288">
        <v>45351.0</v>
      </c>
      <c r="J351" s="288">
        <v>45351.0</v>
      </c>
      <c r="K351" s="294">
        <v>5556276.0</v>
      </c>
      <c r="L351" s="294" t="s">
        <v>10013</v>
      </c>
      <c r="M351" s="290" t="s">
        <v>10021</v>
      </c>
      <c r="N351" s="299" t="s">
        <v>497</v>
      </c>
      <c r="O351" s="322" t="s">
        <v>2554</v>
      </c>
      <c r="P351" s="300">
        <v>30056.4</v>
      </c>
      <c r="Q351" s="299">
        <f t="shared" si="1"/>
        <v>9</v>
      </c>
      <c r="R351" s="424" t="s">
        <v>9198</v>
      </c>
      <c r="S351" s="366" t="s">
        <v>9171</v>
      </c>
      <c r="T351" s="198"/>
      <c r="U351" s="198"/>
      <c r="V351" s="198"/>
      <c r="W351" s="198"/>
      <c r="X351" s="198"/>
      <c r="Y351" s="198"/>
      <c r="Z351" s="198"/>
    </row>
    <row r="352" ht="71.25" customHeight="1">
      <c r="A352" s="370">
        <v>38444.0</v>
      </c>
      <c r="B352" s="285" t="s">
        <v>21</v>
      </c>
      <c r="C352" s="285">
        <v>4356.0</v>
      </c>
      <c r="D352" s="285" t="s">
        <v>10022</v>
      </c>
      <c r="E352" s="287" t="s">
        <v>7403</v>
      </c>
      <c r="F352" s="288">
        <v>45347.0</v>
      </c>
      <c r="G352" s="288">
        <v>45342.0</v>
      </c>
      <c r="H352" s="288">
        <v>45342.0</v>
      </c>
      <c r="I352" s="288">
        <v>45350.0</v>
      </c>
      <c r="J352" s="288">
        <v>45350.0</v>
      </c>
      <c r="K352" s="294">
        <v>5556276.0</v>
      </c>
      <c r="L352" s="294" t="s">
        <v>10016</v>
      </c>
      <c r="M352" s="290" t="s">
        <v>10023</v>
      </c>
      <c r="N352" s="299" t="s">
        <v>497</v>
      </c>
      <c r="O352" s="322" t="s">
        <v>2554</v>
      </c>
      <c r="P352" s="300">
        <v>30056.4</v>
      </c>
      <c r="Q352" s="299">
        <f t="shared" si="1"/>
        <v>9</v>
      </c>
      <c r="R352" s="424" t="s">
        <v>9198</v>
      </c>
      <c r="S352" s="366" t="s">
        <v>9171</v>
      </c>
      <c r="T352" s="198"/>
      <c r="U352" s="198"/>
      <c r="V352" s="198"/>
      <c r="W352" s="198"/>
      <c r="X352" s="198"/>
      <c r="Y352" s="198"/>
      <c r="Z352" s="198"/>
    </row>
    <row r="353" ht="71.25" customHeight="1">
      <c r="A353" s="370">
        <v>38359.0</v>
      </c>
      <c r="B353" s="285" t="s">
        <v>21</v>
      </c>
      <c r="C353" s="285">
        <v>1306.0</v>
      </c>
      <c r="D353" s="285" t="s">
        <v>10024</v>
      </c>
      <c r="E353" s="287" t="s">
        <v>9921</v>
      </c>
      <c r="F353" s="288">
        <v>45347.0</v>
      </c>
      <c r="G353" s="288">
        <v>45342.0</v>
      </c>
      <c r="H353" s="288">
        <v>45342.0</v>
      </c>
      <c r="I353" s="288">
        <v>45350.0</v>
      </c>
      <c r="J353" s="288">
        <v>45350.0</v>
      </c>
      <c r="K353" s="294">
        <v>5556276.0</v>
      </c>
      <c r="L353" s="294" t="s">
        <v>10016</v>
      </c>
      <c r="M353" s="290" t="s">
        <v>10025</v>
      </c>
      <c r="N353" s="299" t="s">
        <v>497</v>
      </c>
      <c r="O353" s="322" t="s">
        <v>2554</v>
      </c>
      <c r="P353" s="300">
        <v>44795.8</v>
      </c>
      <c r="Q353" s="299">
        <f t="shared" si="1"/>
        <v>9</v>
      </c>
      <c r="R353" s="424" t="s">
        <v>9198</v>
      </c>
      <c r="S353" s="366" t="s">
        <v>9171</v>
      </c>
      <c r="T353" s="198"/>
      <c r="U353" s="198"/>
      <c r="V353" s="198"/>
      <c r="W353" s="198"/>
      <c r="X353" s="198"/>
      <c r="Y353" s="198"/>
      <c r="Z353" s="198"/>
    </row>
    <row r="354" ht="71.25" customHeight="1">
      <c r="A354" s="370">
        <v>38795.0</v>
      </c>
      <c r="B354" s="299" t="s">
        <v>715</v>
      </c>
      <c r="C354" s="285">
        <v>1260.0</v>
      </c>
      <c r="D354" s="285" t="s">
        <v>10026</v>
      </c>
      <c r="E354" s="287" t="s">
        <v>10027</v>
      </c>
      <c r="F354" s="288">
        <v>45346.0</v>
      </c>
      <c r="G354" s="288">
        <v>45343.0</v>
      </c>
      <c r="H354" s="288">
        <v>45343.0</v>
      </c>
      <c r="I354" s="288">
        <v>45352.0</v>
      </c>
      <c r="J354" s="288">
        <v>45352.0</v>
      </c>
      <c r="K354" s="294"/>
      <c r="L354" s="294"/>
      <c r="M354" s="290" t="s">
        <v>10028</v>
      </c>
      <c r="N354" s="299" t="s">
        <v>4635</v>
      </c>
      <c r="O354" s="322" t="s">
        <v>2621</v>
      </c>
      <c r="P354" s="300">
        <v>29467.4</v>
      </c>
      <c r="Q354" s="299">
        <f t="shared" si="1"/>
        <v>8</v>
      </c>
      <c r="R354" s="424"/>
      <c r="S354" s="366" t="s">
        <v>8430</v>
      </c>
      <c r="T354" s="198"/>
      <c r="U354" s="198"/>
      <c r="V354" s="198"/>
      <c r="W354" s="198"/>
      <c r="X354" s="198"/>
      <c r="Y354" s="198"/>
      <c r="Z354" s="198"/>
    </row>
    <row r="355" ht="71.25" customHeight="1">
      <c r="A355" s="370">
        <v>38693.0</v>
      </c>
      <c r="B355" s="285" t="s">
        <v>21</v>
      </c>
      <c r="C355" s="285">
        <v>1100.0</v>
      </c>
      <c r="D355" s="285" t="s">
        <v>10029</v>
      </c>
      <c r="E355" s="287" t="s">
        <v>7179</v>
      </c>
      <c r="F355" s="288">
        <v>45345.0</v>
      </c>
      <c r="G355" s="288">
        <v>45345.0</v>
      </c>
      <c r="H355" s="288">
        <v>45345.0</v>
      </c>
      <c r="I355" s="288">
        <v>45359.0</v>
      </c>
      <c r="J355" s="288">
        <v>45359.0</v>
      </c>
      <c r="K355" s="294">
        <v>5556276.0</v>
      </c>
      <c r="L355" s="294" t="s">
        <v>10030</v>
      </c>
      <c r="M355" s="290" t="s">
        <v>10031</v>
      </c>
      <c r="N355" s="299" t="s">
        <v>4635</v>
      </c>
      <c r="O355" s="322" t="s">
        <v>2621</v>
      </c>
      <c r="P355" s="300">
        <v>81080.0</v>
      </c>
      <c r="Q355" s="299">
        <f t="shared" si="1"/>
        <v>8</v>
      </c>
      <c r="R355" s="424"/>
      <c r="S355" s="366" t="s">
        <v>9166</v>
      </c>
      <c r="T355" s="198"/>
      <c r="U355" s="198"/>
      <c r="V355" s="198"/>
      <c r="W355" s="198"/>
      <c r="X355" s="198"/>
      <c r="Y355" s="198"/>
      <c r="Z355" s="198"/>
    </row>
    <row r="356" ht="71.25" customHeight="1">
      <c r="A356" s="370">
        <v>38788.0</v>
      </c>
      <c r="B356" s="285" t="s">
        <v>21</v>
      </c>
      <c r="C356" s="285">
        <v>885.0</v>
      </c>
      <c r="D356" s="285" t="s">
        <v>10032</v>
      </c>
      <c r="E356" s="287" t="s">
        <v>10033</v>
      </c>
      <c r="F356" s="288">
        <v>45345.0</v>
      </c>
      <c r="G356" s="288">
        <v>45334.0</v>
      </c>
      <c r="H356" s="288">
        <v>45334.0</v>
      </c>
      <c r="I356" s="288">
        <v>45351.0</v>
      </c>
      <c r="J356" s="288">
        <v>45351.0</v>
      </c>
      <c r="K356" s="294" t="s">
        <v>10034</v>
      </c>
      <c r="L356" s="294" t="s">
        <v>10035</v>
      </c>
      <c r="M356" s="290" t="s">
        <v>10036</v>
      </c>
      <c r="N356" s="299" t="s">
        <v>4635</v>
      </c>
      <c r="O356" s="322" t="s">
        <v>2621</v>
      </c>
      <c r="P356" s="300">
        <v>69123.5</v>
      </c>
      <c r="Q356" s="299">
        <f t="shared" si="1"/>
        <v>8</v>
      </c>
      <c r="R356" s="424"/>
      <c r="S356" s="366" t="s">
        <v>8430</v>
      </c>
      <c r="T356" s="198"/>
      <c r="U356" s="198"/>
      <c r="V356" s="198"/>
      <c r="W356" s="198"/>
      <c r="X356" s="198"/>
      <c r="Y356" s="198"/>
      <c r="Z356" s="198"/>
    </row>
    <row r="357" ht="78.75" customHeight="1">
      <c r="A357" s="370">
        <v>38854.0</v>
      </c>
      <c r="B357" s="285" t="s">
        <v>715</v>
      </c>
      <c r="C357" s="285">
        <v>2325.0</v>
      </c>
      <c r="D357" s="285" t="s">
        <v>10037</v>
      </c>
      <c r="E357" s="287" t="s">
        <v>10038</v>
      </c>
      <c r="F357" s="288">
        <v>45344.0</v>
      </c>
      <c r="G357" s="288">
        <v>45345.0</v>
      </c>
      <c r="H357" s="288">
        <v>45345.0</v>
      </c>
      <c r="I357" s="288">
        <v>45351.0</v>
      </c>
      <c r="J357" s="288">
        <v>45351.0</v>
      </c>
      <c r="K357" s="294"/>
      <c r="L357" s="294"/>
      <c r="M357" s="290" t="s">
        <v>10039</v>
      </c>
      <c r="N357" s="299" t="s">
        <v>497</v>
      </c>
      <c r="O357" s="322" t="s">
        <v>2621</v>
      </c>
      <c r="P357" s="300">
        <v>19604.0</v>
      </c>
      <c r="Q357" s="299">
        <f t="shared" si="1"/>
        <v>8</v>
      </c>
      <c r="R357" s="424"/>
      <c r="S357" s="366" t="s">
        <v>9166</v>
      </c>
      <c r="T357" s="198"/>
      <c r="U357" s="198"/>
      <c r="V357" s="198"/>
      <c r="W357" s="198"/>
      <c r="X357" s="198"/>
      <c r="Y357" s="198"/>
      <c r="Z357" s="198"/>
    </row>
    <row r="358" ht="71.25" customHeight="1">
      <c r="A358" s="370">
        <v>38678.0</v>
      </c>
      <c r="B358" s="299" t="s">
        <v>6501</v>
      </c>
      <c r="C358" s="285">
        <v>940.0</v>
      </c>
      <c r="D358" s="285" t="s">
        <v>10040</v>
      </c>
      <c r="E358" s="287" t="s">
        <v>10041</v>
      </c>
      <c r="F358" s="288">
        <v>45344.0</v>
      </c>
      <c r="G358" s="288">
        <v>45342.0</v>
      </c>
      <c r="H358" s="288">
        <v>45342.0</v>
      </c>
      <c r="I358" s="288">
        <v>45351.0</v>
      </c>
      <c r="J358" s="288">
        <v>45351.0</v>
      </c>
      <c r="K358" s="294"/>
      <c r="L358" s="294"/>
      <c r="M358" s="290" t="s">
        <v>10042</v>
      </c>
      <c r="N358" s="299" t="s">
        <v>4635</v>
      </c>
      <c r="O358" s="322" t="s">
        <v>2621</v>
      </c>
      <c r="P358" s="300">
        <v>43888.65</v>
      </c>
      <c r="Q358" s="299">
        <f t="shared" si="1"/>
        <v>8</v>
      </c>
      <c r="R358" s="424"/>
      <c r="S358" s="366" t="s">
        <v>8430</v>
      </c>
      <c r="T358" s="198"/>
      <c r="U358" s="198"/>
      <c r="V358" s="198"/>
      <c r="W358" s="198"/>
      <c r="X358" s="198"/>
      <c r="Y358" s="198"/>
      <c r="Z358" s="198"/>
    </row>
    <row r="359" ht="71.25" customHeight="1">
      <c r="A359" s="370">
        <v>38790.0</v>
      </c>
      <c r="B359" s="299" t="s">
        <v>715</v>
      </c>
      <c r="C359" s="285">
        <v>940.0</v>
      </c>
      <c r="D359" s="285" t="s">
        <v>10043</v>
      </c>
      <c r="E359" s="287" t="s">
        <v>4295</v>
      </c>
      <c r="F359" s="288">
        <v>45344.0</v>
      </c>
      <c r="G359" s="288">
        <v>45342.0</v>
      </c>
      <c r="H359" s="288">
        <v>45342.0</v>
      </c>
      <c r="I359" s="288">
        <v>45350.0</v>
      </c>
      <c r="J359" s="288">
        <v>45350.0</v>
      </c>
      <c r="K359" s="294"/>
      <c r="L359" s="294"/>
      <c r="M359" s="290" t="s">
        <v>10044</v>
      </c>
      <c r="N359" s="299" t="s">
        <v>4635</v>
      </c>
      <c r="O359" s="322" t="s">
        <v>2621</v>
      </c>
      <c r="P359" s="300">
        <v>41284.8</v>
      </c>
      <c r="Q359" s="299">
        <f t="shared" si="1"/>
        <v>8</v>
      </c>
      <c r="R359" s="424"/>
      <c r="S359" s="366" t="s">
        <v>8430</v>
      </c>
      <c r="T359" s="198"/>
      <c r="U359" s="198"/>
      <c r="V359" s="198"/>
      <c r="W359" s="198"/>
      <c r="X359" s="198"/>
      <c r="Y359" s="198"/>
      <c r="Z359" s="198"/>
    </row>
    <row r="360" ht="71.25" customHeight="1">
      <c r="A360" s="370">
        <v>38701.0</v>
      </c>
      <c r="B360" s="299" t="s">
        <v>715</v>
      </c>
      <c r="C360" s="285">
        <v>900.0</v>
      </c>
      <c r="D360" s="285" t="s">
        <v>10045</v>
      </c>
      <c r="E360" s="287" t="s">
        <v>3740</v>
      </c>
      <c r="F360" s="288">
        <v>45344.0</v>
      </c>
      <c r="G360" s="288">
        <v>45337.0</v>
      </c>
      <c r="H360" s="288">
        <v>45337.0</v>
      </c>
      <c r="I360" s="288">
        <v>45345.0</v>
      </c>
      <c r="J360" s="288">
        <v>45345.0</v>
      </c>
      <c r="K360" s="294"/>
      <c r="L360" s="294"/>
      <c r="M360" s="290" t="s">
        <v>10046</v>
      </c>
      <c r="N360" s="299" t="s">
        <v>4745</v>
      </c>
      <c r="O360" s="322" t="s">
        <v>4711</v>
      </c>
      <c r="P360" s="300">
        <v>19084.86</v>
      </c>
      <c r="Q360" s="299">
        <f t="shared" si="1"/>
        <v>8</v>
      </c>
      <c r="R360" s="424"/>
      <c r="S360" s="366" t="s">
        <v>9166</v>
      </c>
      <c r="T360" s="198"/>
      <c r="U360" s="198"/>
      <c r="V360" s="198"/>
      <c r="W360" s="198"/>
      <c r="X360" s="198"/>
      <c r="Y360" s="198"/>
      <c r="Z360" s="198"/>
    </row>
    <row r="361" ht="71.25" customHeight="1">
      <c r="A361" s="370">
        <v>38735.0</v>
      </c>
      <c r="B361" s="299" t="s">
        <v>715</v>
      </c>
      <c r="C361" s="285">
        <v>1230.0</v>
      </c>
      <c r="D361" s="285" t="s">
        <v>10047</v>
      </c>
      <c r="E361" s="287" t="s">
        <v>3169</v>
      </c>
      <c r="F361" s="288">
        <v>45344.0</v>
      </c>
      <c r="G361" s="288">
        <v>45336.0</v>
      </c>
      <c r="H361" s="288">
        <v>45336.0</v>
      </c>
      <c r="I361" s="288">
        <v>45348.0</v>
      </c>
      <c r="J361" s="288">
        <v>45348.0</v>
      </c>
      <c r="K361" s="294"/>
      <c r="L361" s="294"/>
      <c r="M361" s="290" t="s">
        <v>10048</v>
      </c>
      <c r="N361" s="299" t="s">
        <v>6366</v>
      </c>
      <c r="O361" s="322" t="s">
        <v>2621</v>
      </c>
      <c r="P361" s="300">
        <v>54487.0</v>
      </c>
      <c r="Q361" s="299">
        <f t="shared" si="1"/>
        <v>8</v>
      </c>
      <c r="R361" s="424"/>
      <c r="S361" s="366" t="s">
        <v>9166</v>
      </c>
      <c r="T361" s="198"/>
      <c r="U361" s="198"/>
      <c r="V361" s="198"/>
      <c r="W361" s="198"/>
      <c r="X361" s="198"/>
      <c r="Y361" s="198"/>
      <c r="Z361" s="198"/>
    </row>
    <row r="362" ht="71.25" customHeight="1">
      <c r="A362" s="370">
        <v>38683.0</v>
      </c>
      <c r="B362" s="299" t="s">
        <v>715</v>
      </c>
      <c r="C362" s="285">
        <v>950.0</v>
      </c>
      <c r="D362" s="285" t="s">
        <v>10049</v>
      </c>
      <c r="E362" s="287" t="s">
        <v>2751</v>
      </c>
      <c r="F362" s="288">
        <v>45344.0</v>
      </c>
      <c r="G362" s="288">
        <v>45336.0</v>
      </c>
      <c r="H362" s="288">
        <v>45336.0</v>
      </c>
      <c r="I362" s="288">
        <v>45352.0</v>
      </c>
      <c r="J362" s="288">
        <v>45352.0</v>
      </c>
      <c r="K362" s="294"/>
      <c r="L362" s="294"/>
      <c r="M362" s="290" t="s">
        <v>10050</v>
      </c>
      <c r="N362" s="299" t="s">
        <v>6366</v>
      </c>
      <c r="O362" s="322" t="s">
        <v>2621</v>
      </c>
      <c r="P362" s="300">
        <v>39497.0</v>
      </c>
      <c r="Q362" s="299">
        <f t="shared" si="1"/>
        <v>8</v>
      </c>
      <c r="R362" s="424"/>
      <c r="S362" s="366" t="s">
        <v>9166</v>
      </c>
      <c r="T362" s="198"/>
      <c r="U362" s="198"/>
      <c r="V362" s="198"/>
      <c r="W362" s="198"/>
      <c r="X362" s="198"/>
      <c r="Y362" s="198"/>
      <c r="Z362" s="198"/>
    </row>
    <row r="363" ht="71.25" customHeight="1">
      <c r="A363" s="370">
        <v>38581.0</v>
      </c>
      <c r="B363" s="299" t="s">
        <v>25</v>
      </c>
      <c r="C363" s="285">
        <v>1250.0</v>
      </c>
      <c r="D363" s="285" t="s">
        <v>10051</v>
      </c>
      <c r="E363" s="287" t="s">
        <v>4637</v>
      </c>
      <c r="F363" s="288">
        <v>45342.0</v>
      </c>
      <c r="G363" s="288">
        <v>45337.0</v>
      </c>
      <c r="H363" s="288">
        <v>45337.0</v>
      </c>
      <c r="I363" s="288">
        <v>45349.0</v>
      </c>
      <c r="J363" s="288">
        <v>45349.0</v>
      </c>
      <c r="K363" s="294"/>
      <c r="L363" s="294"/>
      <c r="M363" s="290" t="s">
        <v>10052</v>
      </c>
      <c r="N363" s="299" t="s">
        <v>497</v>
      </c>
      <c r="O363" s="322" t="s">
        <v>2554</v>
      </c>
      <c r="P363" s="300">
        <v>36250.0</v>
      </c>
      <c r="Q363" s="299">
        <f t="shared" si="1"/>
        <v>8</v>
      </c>
      <c r="R363" s="424" t="s">
        <v>9170</v>
      </c>
      <c r="S363" s="366" t="s">
        <v>9171</v>
      </c>
      <c r="T363" s="198"/>
      <c r="U363" s="198"/>
      <c r="V363" s="198"/>
      <c r="W363" s="198"/>
      <c r="X363" s="198"/>
      <c r="Y363" s="198"/>
      <c r="Z363" s="198"/>
    </row>
    <row r="364" ht="71.25" customHeight="1">
      <c r="A364" s="370">
        <v>38798.0</v>
      </c>
      <c r="B364" s="299" t="s">
        <v>715</v>
      </c>
      <c r="C364" s="285">
        <v>940.0</v>
      </c>
      <c r="D364" s="285" t="s">
        <v>10053</v>
      </c>
      <c r="E364" s="287" t="s">
        <v>10054</v>
      </c>
      <c r="F364" s="288">
        <v>45339.0</v>
      </c>
      <c r="G364" s="288">
        <v>45337.0</v>
      </c>
      <c r="H364" s="288">
        <v>45337.0</v>
      </c>
      <c r="I364" s="288">
        <v>45344.0</v>
      </c>
      <c r="J364" s="288">
        <v>45344.0</v>
      </c>
      <c r="K364" s="294"/>
      <c r="L364" s="294"/>
      <c r="M364" s="290" t="s">
        <v>10055</v>
      </c>
      <c r="N364" s="299" t="s">
        <v>4635</v>
      </c>
      <c r="O364" s="322" t="s">
        <v>2621</v>
      </c>
      <c r="P364" s="300">
        <v>39198.0</v>
      </c>
      <c r="Q364" s="299">
        <f t="shared" si="1"/>
        <v>7</v>
      </c>
      <c r="R364" s="424"/>
      <c r="S364" s="366" t="s">
        <v>8430</v>
      </c>
      <c r="T364" s="198"/>
      <c r="U364" s="198"/>
      <c r="V364" s="198"/>
      <c r="W364" s="198"/>
      <c r="X364" s="198"/>
      <c r="Y364" s="198"/>
      <c r="Z364" s="198"/>
    </row>
    <row r="365" ht="71.25" customHeight="1">
      <c r="A365" s="370">
        <v>38684.0</v>
      </c>
      <c r="B365" s="299" t="s">
        <v>25</v>
      </c>
      <c r="C365" s="285">
        <v>920.0</v>
      </c>
      <c r="D365" s="285" t="s">
        <v>10056</v>
      </c>
      <c r="E365" s="287" t="s">
        <v>2751</v>
      </c>
      <c r="F365" s="288">
        <v>45337.0</v>
      </c>
      <c r="G365" s="288">
        <v>45334.0</v>
      </c>
      <c r="H365" s="288">
        <v>45334.0</v>
      </c>
      <c r="I365" s="288">
        <v>45345.0</v>
      </c>
      <c r="J365" s="288">
        <v>45345.0</v>
      </c>
      <c r="K365" s="294"/>
      <c r="L365" s="294"/>
      <c r="M365" s="290" t="s">
        <v>10057</v>
      </c>
      <c r="N365" s="299" t="s">
        <v>6366</v>
      </c>
      <c r="O365" s="322" t="s">
        <v>2621</v>
      </c>
      <c r="P365" s="300">
        <v>38871.2</v>
      </c>
      <c r="Q365" s="299">
        <f t="shared" si="1"/>
        <v>7</v>
      </c>
      <c r="R365" s="424"/>
      <c r="S365" s="366" t="s">
        <v>9166</v>
      </c>
      <c r="T365" s="198"/>
      <c r="U365" s="198"/>
      <c r="V365" s="198"/>
      <c r="W365" s="198"/>
      <c r="X365" s="198"/>
      <c r="Y365" s="198"/>
      <c r="Z365" s="198"/>
    </row>
    <row r="366" ht="71.25" customHeight="1">
      <c r="A366" s="370">
        <v>38760.0</v>
      </c>
      <c r="B366" s="285" t="s">
        <v>21</v>
      </c>
      <c r="C366" s="285">
        <v>4998.0</v>
      </c>
      <c r="D366" s="285" t="s">
        <v>10058</v>
      </c>
      <c r="E366" s="287" t="s">
        <v>10059</v>
      </c>
      <c r="F366" s="288">
        <v>45336.0</v>
      </c>
      <c r="G366" s="288">
        <v>45330.0</v>
      </c>
      <c r="H366" s="288">
        <v>45330.0</v>
      </c>
      <c r="I366" s="288">
        <v>45344.0</v>
      </c>
      <c r="J366" s="288">
        <v>45344.0</v>
      </c>
      <c r="K366" s="294">
        <v>5556276.0</v>
      </c>
      <c r="L366" s="294" t="s">
        <v>10060</v>
      </c>
      <c r="M366" s="290" t="s">
        <v>10061</v>
      </c>
      <c r="N366" s="299" t="s">
        <v>4635</v>
      </c>
      <c r="O366" s="322" t="s">
        <v>2621</v>
      </c>
      <c r="P366" s="300">
        <v>40055.0</v>
      </c>
      <c r="Q366" s="299">
        <f t="shared" si="1"/>
        <v>7</v>
      </c>
      <c r="R366" s="424"/>
      <c r="S366" s="366" t="s">
        <v>9166</v>
      </c>
      <c r="T366" s="198"/>
      <c r="U366" s="198"/>
      <c r="V366" s="198"/>
      <c r="W366" s="198"/>
      <c r="X366" s="198"/>
      <c r="Y366" s="198"/>
      <c r="Z366" s="198"/>
    </row>
    <row r="367" ht="71.25" customHeight="1">
      <c r="A367" s="370">
        <v>38360.0</v>
      </c>
      <c r="B367" s="299" t="s">
        <v>715</v>
      </c>
      <c r="C367" s="285">
        <v>4356.0</v>
      </c>
      <c r="D367" s="285" t="s">
        <v>10062</v>
      </c>
      <c r="E367" s="287" t="s">
        <v>7561</v>
      </c>
      <c r="F367" s="288">
        <v>45334.0</v>
      </c>
      <c r="G367" s="288">
        <v>45329.0</v>
      </c>
      <c r="H367" s="288">
        <v>45329.0</v>
      </c>
      <c r="I367" s="288">
        <v>45342.0</v>
      </c>
      <c r="J367" s="288">
        <v>45342.0</v>
      </c>
      <c r="K367" s="294"/>
      <c r="L367" s="294"/>
      <c r="M367" s="290" t="s">
        <v>10063</v>
      </c>
      <c r="N367" s="299" t="s">
        <v>497</v>
      </c>
      <c r="O367" s="322" t="s">
        <v>2554</v>
      </c>
      <c r="P367" s="300">
        <v>33018.48</v>
      </c>
      <c r="Q367" s="299">
        <f t="shared" si="1"/>
        <v>7</v>
      </c>
      <c r="R367" s="424" t="s">
        <v>9198</v>
      </c>
      <c r="S367" s="366" t="s">
        <v>9171</v>
      </c>
      <c r="T367" s="198"/>
      <c r="U367" s="198"/>
      <c r="V367" s="198"/>
      <c r="W367" s="198"/>
      <c r="X367" s="198"/>
      <c r="Y367" s="198"/>
      <c r="Z367" s="198"/>
    </row>
    <row r="368" ht="71.25" customHeight="1">
      <c r="A368" s="370">
        <v>38355.0</v>
      </c>
      <c r="B368" s="299" t="s">
        <v>715</v>
      </c>
      <c r="C368" s="285">
        <v>1306.0</v>
      </c>
      <c r="D368" s="285" t="s">
        <v>10064</v>
      </c>
      <c r="E368" s="287" t="s">
        <v>4681</v>
      </c>
      <c r="F368" s="288">
        <v>45334.0</v>
      </c>
      <c r="G368" s="288">
        <v>45329.0</v>
      </c>
      <c r="H368" s="288">
        <v>45329.0</v>
      </c>
      <c r="I368" s="288">
        <v>45342.0</v>
      </c>
      <c r="J368" s="288">
        <v>45342.0</v>
      </c>
      <c r="K368" s="294"/>
      <c r="L368" s="294"/>
      <c r="M368" s="290" t="s">
        <v>10065</v>
      </c>
      <c r="N368" s="299" t="s">
        <v>497</v>
      </c>
      <c r="O368" s="299" t="s">
        <v>2554</v>
      </c>
      <c r="P368" s="300">
        <v>19604.0</v>
      </c>
      <c r="Q368" s="299">
        <f t="shared" si="1"/>
        <v>7</v>
      </c>
      <c r="R368" s="424" t="s">
        <v>9198</v>
      </c>
      <c r="S368" s="366" t="s">
        <v>9171</v>
      </c>
      <c r="T368" s="198"/>
      <c r="U368" s="198"/>
      <c r="V368" s="198"/>
      <c r="W368" s="198"/>
      <c r="X368" s="198"/>
      <c r="Y368" s="198"/>
      <c r="Z368" s="198"/>
    </row>
    <row r="369" ht="71.25" customHeight="1">
      <c r="A369" s="370">
        <v>38853.0</v>
      </c>
      <c r="B369" s="285" t="s">
        <v>21</v>
      </c>
      <c r="C369" s="285">
        <v>1323.0</v>
      </c>
      <c r="D369" s="285" t="s">
        <v>10066</v>
      </c>
      <c r="E369" s="287" t="s">
        <v>10038</v>
      </c>
      <c r="F369" s="288">
        <v>45330.0</v>
      </c>
      <c r="G369" s="288">
        <v>45327.0</v>
      </c>
      <c r="H369" s="288">
        <v>45327.0</v>
      </c>
      <c r="I369" s="288">
        <v>45345.0</v>
      </c>
      <c r="J369" s="288">
        <v>45345.0</v>
      </c>
      <c r="K369" s="294" t="s">
        <v>4841</v>
      </c>
      <c r="L369" s="294" t="s">
        <v>4841</v>
      </c>
      <c r="M369" s="290" t="s">
        <v>10067</v>
      </c>
      <c r="N369" s="299" t="s">
        <v>497</v>
      </c>
      <c r="O369" s="322" t="s">
        <v>2621</v>
      </c>
      <c r="P369" s="300">
        <v>11145.55</v>
      </c>
      <c r="Q369" s="299">
        <f t="shared" si="1"/>
        <v>6</v>
      </c>
      <c r="R369" s="424"/>
      <c r="S369" s="366" t="s">
        <v>9166</v>
      </c>
      <c r="T369" s="198"/>
      <c r="U369" s="198"/>
      <c r="V369" s="198"/>
      <c r="W369" s="198"/>
      <c r="X369" s="198"/>
      <c r="Y369" s="198"/>
      <c r="Z369" s="198"/>
    </row>
    <row r="370" ht="71.25" customHeight="1">
      <c r="A370" s="370">
        <v>38787.0</v>
      </c>
      <c r="B370" s="299" t="s">
        <v>715</v>
      </c>
      <c r="C370" s="285">
        <v>940.0</v>
      </c>
      <c r="D370" s="285" t="s">
        <v>10068</v>
      </c>
      <c r="E370" s="287" t="s">
        <v>3743</v>
      </c>
      <c r="F370" s="288">
        <v>45329.0</v>
      </c>
      <c r="G370" s="288">
        <v>45327.0</v>
      </c>
      <c r="H370" s="288">
        <v>45327.0</v>
      </c>
      <c r="I370" s="288">
        <v>45336.0</v>
      </c>
      <c r="J370" s="288">
        <v>45336.0</v>
      </c>
      <c r="K370" s="294"/>
      <c r="L370" s="294"/>
      <c r="M370" s="290" t="s">
        <v>10069</v>
      </c>
      <c r="N370" s="285" t="s">
        <v>4635</v>
      </c>
      <c r="O370" s="322" t="s">
        <v>2621</v>
      </c>
      <c r="P370" s="300">
        <v>41284.8</v>
      </c>
      <c r="Q370" s="299">
        <f t="shared" si="1"/>
        <v>6</v>
      </c>
      <c r="R370" s="424"/>
      <c r="S370" s="366" t="s">
        <v>8430</v>
      </c>
      <c r="T370" s="198"/>
      <c r="U370" s="198"/>
      <c r="V370" s="198"/>
      <c r="W370" s="198"/>
      <c r="X370" s="198"/>
      <c r="Y370" s="198"/>
      <c r="Z370" s="198"/>
    </row>
    <row r="371" ht="71.25" customHeight="1">
      <c r="A371" s="370">
        <v>38577.0</v>
      </c>
      <c r="B371" s="299" t="s">
        <v>715</v>
      </c>
      <c r="C371" s="285">
        <v>1250.0</v>
      </c>
      <c r="D371" s="285" t="s">
        <v>10070</v>
      </c>
      <c r="E371" s="287" t="s">
        <v>4637</v>
      </c>
      <c r="F371" s="288">
        <v>45329.0</v>
      </c>
      <c r="G371" s="288">
        <v>45323.0</v>
      </c>
      <c r="H371" s="288">
        <v>45323.0</v>
      </c>
      <c r="I371" s="288">
        <v>45334.0</v>
      </c>
      <c r="J371" s="288">
        <v>45334.0</v>
      </c>
      <c r="K371" s="294"/>
      <c r="L371" s="294"/>
      <c r="M371" s="290" t="s">
        <v>10071</v>
      </c>
      <c r="N371" s="299" t="s">
        <v>497</v>
      </c>
      <c r="O371" s="322" t="s">
        <v>2554</v>
      </c>
      <c r="P371" s="300">
        <v>36250.0</v>
      </c>
      <c r="Q371" s="299">
        <f t="shared" si="1"/>
        <v>6</v>
      </c>
      <c r="R371" s="424" t="s">
        <v>9170</v>
      </c>
      <c r="S371" s="366" t="s">
        <v>9171</v>
      </c>
      <c r="T371" s="198"/>
      <c r="U371" s="198"/>
      <c r="V371" s="198"/>
      <c r="W371" s="198"/>
      <c r="X371" s="198"/>
      <c r="Y371" s="198"/>
      <c r="Z371" s="198"/>
    </row>
    <row r="372" ht="71.25" customHeight="1">
      <c r="A372" s="370">
        <v>38579.0</v>
      </c>
      <c r="B372" s="299" t="s">
        <v>715</v>
      </c>
      <c r="C372" s="285">
        <v>2400.0</v>
      </c>
      <c r="D372" s="285" t="s">
        <v>10072</v>
      </c>
      <c r="E372" s="287" t="s">
        <v>6435</v>
      </c>
      <c r="F372" s="288">
        <v>45329.0</v>
      </c>
      <c r="G372" s="288">
        <v>45323.0</v>
      </c>
      <c r="H372" s="288">
        <v>45323.0</v>
      </c>
      <c r="I372" s="288">
        <v>45331.0</v>
      </c>
      <c r="J372" s="288">
        <v>45331.0</v>
      </c>
      <c r="K372" s="294"/>
      <c r="L372" s="294"/>
      <c r="M372" s="290" t="s">
        <v>10073</v>
      </c>
      <c r="N372" s="299" t="s">
        <v>497</v>
      </c>
      <c r="O372" s="322" t="s">
        <v>2554</v>
      </c>
      <c r="P372" s="300">
        <v>39600.0</v>
      </c>
      <c r="Q372" s="299">
        <f t="shared" si="1"/>
        <v>6</v>
      </c>
      <c r="R372" s="424" t="s">
        <v>9170</v>
      </c>
      <c r="S372" s="366" t="s">
        <v>9171</v>
      </c>
      <c r="T372" s="198"/>
      <c r="U372" s="198"/>
      <c r="V372" s="198"/>
      <c r="W372" s="198"/>
      <c r="X372" s="198"/>
      <c r="Y372" s="198"/>
      <c r="Z372" s="198"/>
    </row>
    <row r="373" ht="71.25" customHeight="1">
      <c r="A373" s="370">
        <v>38682.0</v>
      </c>
      <c r="B373" s="285" t="s">
        <v>21</v>
      </c>
      <c r="C373" s="285">
        <v>950.0</v>
      </c>
      <c r="D373" s="285" t="s">
        <v>10074</v>
      </c>
      <c r="E373" s="287" t="s">
        <v>2751</v>
      </c>
      <c r="F373" s="288">
        <v>45326.0</v>
      </c>
      <c r="G373" s="288">
        <v>45319.0</v>
      </c>
      <c r="H373" s="288">
        <v>45319.0</v>
      </c>
      <c r="I373" s="288">
        <v>45331.0</v>
      </c>
      <c r="J373" s="288">
        <v>45331.0</v>
      </c>
      <c r="K373" s="294">
        <v>5556276.0</v>
      </c>
      <c r="L373" s="294" t="s">
        <v>10016</v>
      </c>
      <c r="M373" s="290" t="s">
        <v>10075</v>
      </c>
      <c r="N373" s="299" t="s">
        <v>6366</v>
      </c>
      <c r="O373" s="322" t="s">
        <v>2621</v>
      </c>
      <c r="P373" s="300">
        <v>39497.0</v>
      </c>
      <c r="Q373" s="299">
        <f t="shared" si="1"/>
        <v>6</v>
      </c>
      <c r="R373" s="424"/>
      <c r="S373" s="366" t="s">
        <v>9166</v>
      </c>
      <c r="T373" s="198"/>
      <c r="U373" s="198"/>
      <c r="V373" s="198"/>
      <c r="W373" s="198"/>
      <c r="X373" s="198"/>
      <c r="Y373" s="198"/>
      <c r="Z373" s="198"/>
    </row>
    <row r="374" ht="71.25" customHeight="1">
      <c r="A374" s="370">
        <v>38519.0</v>
      </c>
      <c r="B374" s="299" t="s">
        <v>25</v>
      </c>
      <c r="C374" s="285">
        <v>900.0</v>
      </c>
      <c r="D374" s="285" t="s">
        <v>10076</v>
      </c>
      <c r="E374" s="287" t="s">
        <v>3740</v>
      </c>
      <c r="F374" s="288">
        <v>45325.0</v>
      </c>
      <c r="G374" s="288">
        <v>45322.0</v>
      </c>
      <c r="H374" s="288">
        <v>45322.0</v>
      </c>
      <c r="I374" s="288">
        <v>45328.0</v>
      </c>
      <c r="J374" s="288">
        <v>45328.0</v>
      </c>
      <c r="K374" s="294"/>
      <c r="L374" s="294"/>
      <c r="M374" s="290" t="s">
        <v>10077</v>
      </c>
      <c r="N374" s="299" t="s">
        <v>497</v>
      </c>
      <c r="O374" s="322" t="s">
        <v>4711</v>
      </c>
      <c r="P374" s="300">
        <v>19084.86</v>
      </c>
      <c r="Q374" s="299">
        <f t="shared" si="1"/>
        <v>5</v>
      </c>
      <c r="R374" s="424"/>
      <c r="S374" s="366" t="s">
        <v>9166</v>
      </c>
      <c r="T374" s="198"/>
      <c r="U374" s="198"/>
      <c r="V374" s="198"/>
      <c r="W374" s="198"/>
      <c r="X374" s="198"/>
      <c r="Y374" s="198"/>
      <c r="Z374" s="198"/>
    </row>
    <row r="375" ht="71.25" customHeight="1">
      <c r="A375" s="370">
        <v>38677.0</v>
      </c>
      <c r="B375" s="299" t="s">
        <v>6501</v>
      </c>
      <c r="C375" s="285">
        <v>940.0</v>
      </c>
      <c r="D375" s="285" t="s">
        <v>10078</v>
      </c>
      <c r="E375" s="287" t="s">
        <v>10079</v>
      </c>
      <c r="F375" s="288">
        <v>45324.0</v>
      </c>
      <c r="G375" s="288">
        <v>45320.0</v>
      </c>
      <c r="H375" s="288">
        <v>45320.0</v>
      </c>
      <c r="I375" s="288">
        <v>45330.0</v>
      </c>
      <c r="J375" s="288">
        <v>45330.0</v>
      </c>
      <c r="K375" s="294"/>
      <c r="L375" s="294"/>
      <c r="M375" s="290" t="s">
        <v>10080</v>
      </c>
      <c r="N375" s="299" t="s">
        <v>4635</v>
      </c>
      <c r="O375" s="322" t="s">
        <v>2621</v>
      </c>
      <c r="P375" s="300">
        <v>47009.4</v>
      </c>
      <c r="Q375" s="299">
        <f t="shared" si="1"/>
        <v>5</v>
      </c>
      <c r="R375" s="424"/>
      <c r="S375" s="366" t="s">
        <v>8430</v>
      </c>
      <c r="T375" s="198"/>
      <c r="U375" s="198"/>
      <c r="V375" s="198"/>
      <c r="W375" s="198"/>
      <c r="X375" s="198"/>
      <c r="Y375" s="198"/>
      <c r="Z375" s="198"/>
    </row>
    <row r="376" ht="71.25" customHeight="1">
      <c r="A376" s="370">
        <v>38349.0</v>
      </c>
      <c r="B376" s="299" t="s">
        <v>715</v>
      </c>
      <c r="C376" s="285">
        <v>2275.0</v>
      </c>
      <c r="D376" s="285" t="s">
        <v>10081</v>
      </c>
      <c r="E376" s="287" t="s">
        <v>4667</v>
      </c>
      <c r="F376" s="288">
        <v>45322.0</v>
      </c>
      <c r="G376" s="288">
        <v>45315.0</v>
      </c>
      <c r="H376" s="288">
        <v>45315.0</v>
      </c>
      <c r="I376" s="288">
        <v>45328.0</v>
      </c>
      <c r="J376" s="288">
        <v>45328.0</v>
      </c>
      <c r="K376" s="294"/>
      <c r="L376" s="294"/>
      <c r="M376" s="290" t="s">
        <v>10082</v>
      </c>
      <c r="N376" s="299" t="s">
        <v>497</v>
      </c>
      <c r="O376" s="322" t="s">
        <v>2554</v>
      </c>
      <c r="P376" s="300">
        <v>31280.9</v>
      </c>
      <c r="Q376" s="299">
        <f t="shared" si="1"/>
        <v>5</v>
      </c>
      <c r="R376" s="424" t="s">
        <v>9170</v>
      </c>
      <c r="S376" s="366" t="s">
        <v>9171</v>
      </c>
      <c r="T376" s="198"/>
      <c r="U376" s="198"/>
      <c r="V376" s="198"/>
      <c r="W376" s="198"/>
      <c r="X376" s="198"/>
      <c r="Y376" s="198"/>
      <c r="Z376" s="198"/>
    </row>
    <row r="377" ht="71.25" customHeight="1">
      <c r="A377" s="370">
        <v>38692.0</v>
      </c>
      <c r="B377" s="299" t="s">
        <v>715</v>
      </c>
      <c r="C377" s="285">
        <v>1100.0</v>
      </c>
      <c r="D377" s="285" t="s">
        <v>10083</v>
      </c>
      <c r="E377" s="287" t="s">
        <v>9215</v>
      </c>
      <c r="F377" s="288">
        <v>45317.0</v>
      </c>
      <c r="G377" s="288">
        <v>45314.0</v>
      </c>
      <c r="H377" s="288">
        <v>45314.0</v>
      </c>
      <c r="I377" s="288">
        <v>45324.0</v>
      </c>
      <c r="J377" s="288">
        <v>45324.0</v>
      </c>
      <c r="K377" s="294"/>
      <c r="L377" s="294"/>
      <c r="M377" s="290" t="s">
        <v>10084</v>
      </c>
      <c r="N377" s="285" t="s">
        <v>4635</v>
      </c>
      <c r="O377" s="322" t="s">
        <v>2621</v>
      </c>
      <c r="P377" s="300">
        <v>79184.0</v>
      </c>
      <c r="Q377" s="299">
        <f t="shared" si="1"/>
        <v>4</v>
      </c>
      <c r="R377" s="424"/>
      <c r="S377" s="366" t="s">
        <v>9166</v>
      </c>
      <c r="T377" s="198"/>
      <c r="U377" s="198"/>
      <c r="V377" s="198"/>
      <c r="W377" s="198"/>
      <c r="X377" s="198"/>
      <c r="Y377" s="198"/>
      <c r="Z377" s="198"/>
    </row>
    <row r="378" ht="71.25" customHeight="1">
      <c r="A378" s="370">
        <v>38578.0</v>
      </c>
      <c r="B378" s="299" t="s">
        <v>25</v>
      </c>
      <c r="C378" s="285">
        <v>1250.0</v>
      </c>
      <c r="D378" s="285" t="s">
        <v>10085</v>
      </c>
      <c r="E378" s="287" t="s">
        <v>4637</v>
      </c>
      <c r="F378" s="288">
        <v>45314.0</v>
      </c>
      <c r="G378" s="288">
        <v>45308.0</v>
      </c>
      <c r="H378" s="288">
        <v>45308.0</v>
      </c>
      <c r="I378" s="288">
        <v>45321.0</v>
      </c>
      <c r="J378" s="288">
        <v>45321.0</v>
      </c>
      <c r="K378" s="294"/>
      <c r="L378" s="294"/>
      <c r="M378" s="290" t="s">
        <v>10086</v>
      </c>
      <c r="N378" s="299" t="s">
        <v>497</v>
      </c>
      <c r="O378" s="322" t="s">
        <v>2554</v>
      </c>
      <c r="P378" s="300">
        <v>36250.0</v>
      </c>
      <c r="Q378" s="299">
        <f t="shared" si="1"/>
        <v>4</v>
      </c>
      <c r="R378" s="424" t="s">
        <v>9170</v>
      </c>
      <c r="S378" s="366" t="s">
        <v>9171</v>
      </c>
      <c r="T378" s="198"/>
      <c r="U378" s="198"/>
      <c r="V378" s="198"/>
      <c r="W378" s="198"/>
      <c r="X378" s="198"/>
      <c r="Y378" s="198"/>
      <c r="Z378" s="198"/>
    </row>
    <row r="379" ht="71.25" customHeight="1">
      <c r="A379" s="370">
        <v>38612.0</v>
      </c>
      <c r="B379" s="299" t="s">
        <v>25</v>
      </c>
      <c r="C379" s="285">
        <v>2413.0</v>
      </c>
      <c r="D379" s="285" t="s">
        <v>10087</v>
      </c>
      <c r="E379" s="287" t="s">
        <v>7448</v>
      </c>
      <c r="F379" s="288">
        <v>45314.0</v>
      </c>
      <c r="G379" s="288">
        <v>45308.0</v>
      </c>
      <c r="H379" s="288">
        <v>45308.0</v>
      </c>
      <c r="I379" s="288">
        <v>45322.0</v>
      </c>
      <c r="J379" s="288">
        <v>45322.0</v>
      </c>
      <c r="K379" s="294"/>
      <c r="L379" s="294"/>
      <c r="M379" s="290" t="s">
        <v>10088</v>
      </c>
      <c r="N379" s="299" t="s">
        <v>497</v>
      </c>
      <c r="O379" s="322" t="s">
        <v>2554</v>
      </c>
      <c r="P379" s="300">
        <v>42868.8</v>
      </c>
      <c r="Q379" s="299">
        <f t="shared" si="1"/>
        <v>4</v>
      </c>
      <c r="R379" s="424" t="s">
        <v>9170</v>
      </c>
      <c r="S379" s="366" t="s">
        <v>9171</v>
      </c>
      <c r="T379" s="198"/>
      <c r="U379" s="198"/>
      <c r="V379" s="198"/>
      <c r="W379" s="198"/>
      <c r="X379" s="198"/>
      <c r="Y379" s="198"/>
      <c r="Z379" s="198"/>
    </row>
    <row r="380" ht="71.25" customHeight="1">
      <c r="A380" s="370">
        <v>38672.0</v>
      </c>
      <c r="B380" s="285" t="s">
        <v>21</v>
      </c>
      <c r="C380" s="285">
        <v>960.0</v>
      </c>
      <c r="D380" s="285" t="s">
        <v>10089</v>
      </c>
      <c r="E380" s="287" t="s">
        <v>2751</v>
      </c>
      <c r="F380" s="288">
        <v>45314.0</v>
      </c>
      <c r="G380" s="288">
        <v>45306.0</v>
      </c>
      <c r="H380" s="288">
        <v>45306.0</v>
      </c>
      <c r="I380" s="288">
        <v>45320.0</v>
      </c>
      <c r="J380" s="288">
        <v>45320.0</v>
      </c>
      <c r="K380" s="294">
        <v>5553392.0</v>
      </c>
      <c r="L380" s="294" t="s">
        <v>10090</v>
      </c>
      <c r="M380" s="290" t="s">
        <v>10091</v>
      </c>
      <c r="N380" s="299" t="s">
        <v>6366</v>
      </c>
      <c r="O380" s="322" t="s">
        <v>2621</v>
      </c>
      <c r="P380" s="300">
        <v>39361.2</v>
      </c>
      <c r="Q380" s="299">
        <f t="shared" si="1"/>
        <v>4</v>
      </c>
      <c r="R380" s="424"/>
      <c r="S380" s="366" t="s">
        <v>9166</v>
      </c>
      <c r="T380" s="198"/>
      <c r="U380" s="198"/>
      <c r="V380" s="198"/>
      <c r="W380" s="198"/>
      <c r="X380" s="198"/>
      <c r="Y380" s="198"/>
      <c r="Z380" s="198"/>
    </row>
    <row r="381" ht="71.25" customHeight="1">
      <c r="A381" s="370">
        <v>38786.0</v>
      </c>
      <c r="B381" s="299" t="s">
        <v>715</v>
      </c>
      <c r="C381" s="285">
        <v>940.0</v>
      </c>
      <c r="D381" s="285" t="s">
        <v>10092</v>
      </c>
      <c r="E381" s="287" t="s">
        <v>4295</v>
      </c>
      <c r="F381" s="288">
        <v>45313.0</v>
      </c>
      <c r="G381" s="288">
        <v>45307.0</v>
      </c>
      <c r="H381" s="288">
        <v>45307.0</v>
      </c>
      <c r="I381" s="288">
        <v>45321.0</v>
      </c>
      <c r="J381" s="288">
        <v>45321.0</v>
      </c>
      <c r="K381" s="294"/>
      <c r="L381" s="294"/>
      <c r="M381" s="290" t="s">
        <v>10093</v>
      </c>
      <c r="N381" s="299" t="s">
        <v>4635</v>
      </c>
      <c r="O381" s="322" t="s">
        <v>2621</v>
      </c>
      <c r="P381" s="300">
        <v>41284.8</v>
      </c>
      <c r="Q381" s="299">
        <f t="shared" si="1"/>
        <v>4</v>
      </c>
      <c r="R381" s="424"/>
      <c r="S381" s="366" t="s">
        <v>8430</v>
      </c>
      <c r="T381" s="198"/>
      <c r="U381" s="198"/>
      <c r="V381" s="198"/>
      <c r="W381" s="198"/>
      <c r="X381" s="198"/>
      <c r="Y381" s="198"/>
      <c r="Z381" s="198"/>
    </row>
    <row r="382" ht="71.25" customHeight="1">
      <c r="A382" s="370">
        <v>38794.0</v>
      </c>
      <c r="B382" s="299" t="s">
        <v>25</v>
      </c>
      <c r="C382" s="285">
        <v>1260.0</v>
      </c>
      <c r="D382" s="285" t="s">
        <v>10094</v>
      </c>
      <c r="E382" s="287" t="s">
        <v>10095</v>
      </c>
      <c r="F382" s="288">
        <v>45312.0</v>
      </c>
      <c r="G382" s="288">
        <v>45308.0</v>
      </c>
      <c r="H382" s="288">
        <v>45308.0</v>
      </c>
      <c r="I382" s="288">
        <v>45320.0</v>
      </c>
      <c r="J382" s="288">
        <v>45320.0</v>
      </c>
      <c r="K382" s="294"/>
      <c r="L382" s="294"/>
      <c r="M382" s="290" t="s">
        <v>10096</v>
      </c>
      <c r="N382" s="299" t="s">
        <v>4635</v>
      </c>
      <c r="O382" s="322" t="s">
        <v>2621</v>
      </c>
      <c r="P382" s="300">
        <v>29380.8</v>
      </c>
      <c r="Q382" s="299">
        <f t="shared" si="1"/>
        <v>4</v>
      </c>
      <c r="R382" s="424"/>
      <c r="S382" s="366" t="s">
        <v>8430</v>
      </c>
      <c r="T382" s="198"/>
      <c r="U382" s="198"/>
      <c r="V382" s="198"/>
      <c r="W382" s="198"/>
      <c r="X382" s="198"/>
      <c r="Y382" s="198"/>
      <c r="Z382" s="198"/>
    </row>
    <row r="383" ht="78.0" customHeight="1">
      <c r="A383" s="370">
        <v>38574.0</v>
      </c>
      <c r="B383" s="299" t="s">
        <v>715</v>
      </c>
      <c r="C383" s="285">
        <v>4230.0</v>
      </c>
      <c r="D383" s="285" t="s">
        <v>10097</v>
      </c>
      <c r="E383" s="287" t="s">
        <v>4690</v>
      </c>
      <c r="F383" s="288">
        <v>45311.0</v>
      </c>
      <c r="G383" s="288">
        <v>45307.0</v>
      </c>
      <c r="H383" s="288">
        <v>45307.0</v>
      </c>
      <c r="I383" s="288">
        <v>45317.0</v>
      </c>
      <c r="J383" s="288">
        <v>45317.0</v>
      </c>
      <c r="K383" s="294"/>
      <c r="L383" s="294"/>
      <c r="M383" s="290" t="s">
        <v>10098</v>
      </c>
      <c r="N383" s="299" t="s">
        <v>497</v>
      </c>
      <c r="O383" s="322" t="s">
        <v>2554</v>
      </c>
      <c r="P383" s="300">
        <v>30667.5</v>
      </c>
      <c r="Q383" s="299">
        <f t="shared" si="1"/>
        <v>3</v>
      </c>
      <c r="R383" s="424" t="s">
        <v>9170</v>
      </c>
      <c r="S383" s="366" t="s">
        <v>9171</v>
      </c>
      <c r="T383" s="198"/>
      <c r="U383" s="198"/>
      <c r="V383" s="198"/>
      <c r="W383" s="198"/>
      <c r="X383" s="198"/>
      <c r="Y383" s="198"/>
      <c r="Z383" s="198"/>
    </row>
    <row r="384" ht="79.5" customHeight="1">
      <c r="A384" s="370">
        <v>38855.0</v>
      </c>
      <c r="B384" s="285" t="s">
        <v>25</v>
      </c>
      <c r="C384" s="285">
        <v>2325.0</v>
      </c>
      <c r="D384" s="285" t="s">
        <v>10099</v>
      </c>
      <c r="E384" s="287" t="s">
        <v>10038</v>
      </c>
      <c r="F384" s="288">
        <v>45308.0</v>
      </c>
      <c r="G384" s="288">
        <v>45327.0</v>
      </c>
      <c r="H384" s="288">
        <v>45314.0</v>
      </c>
      <c r="I384" s="288">
        <v>45314.0</v>
      </c>
      <c r="J384" s="288">
        <v>45314.0</v>
      </c>
      <c r="K384" s="294"/>
      <c r="L384" s="294"/>
      <c r="M384" s="290" t="s">
        <v>10100</v>
      </c>
      <c r="N384" s="299" t="s">
        <v>497</v>
      </c>
      <c r="O384" s="322" t="s">
        <v>2621</v>
      </c>
      <c r="P384" s="300">
        <v>19604.0</v>
      </c>
      <c r="Q384" s="299">
        <f t="shared" si="1"/>
        <v>3</v>
      </c>
      <c r="R384" s="424"/>
      <c r="S384" s="366" t="s">
        <v>9166</v>
      </c>
      <c r="T384" s="198"/>
      <c r="U384" s="198"/>
      <c r="V384" s="198"/>
      <c r="W384" s="198"/>
      <c r="X384" s="198"/>
      <c r="Y384" s="198"/>
      <c r="Z384" s="198"/>
    </row>
    <row r="385" ht="82.5" customHeight="1">
      <c r="A385" s="370">
        <v>38755.0</v>
      </c>
      <c r="B385" s="299" t="s">
        <v>715</v>
      </c>
      <c r="C385" s="285">
        <v>940.0</v>
      </c>
      <c r="D385" s="285" t="s">
        <v>10101</v>
      </c>
      <c r="E385" s="287" t="s">
        <v>10102</v>
      </c>
      <c r="F385" s="288">
        <v>45308.0</v>
      </c>
      <c r="G385" s="288">
        <v>45322.0</v>
      </c>
      <c r="H385" s="288">
        <v>45315.0</v>
      </c>
      <c r="I385" s="288">
        <v>45315.0</v>
      </c>
      <c r="J385" s="288">
        <v>45315.0</v>
      </c>
      <c r="K385" s="294"/>
      <c r="L385" s="294"/>
      <c r="M385" s="290" t="s">
        <v>10103</v>
      </c>
      <c r="N385" s="299" t="s">
        <v>4635</v>
      </c>
      <c r="O385" s="322" t="s">
        <v>2621</v>
      </c>
      <c r="P385" s="300">
        <v>46323.2</v>
      </c>
      <c r="Q385" s="299">
        <f t="shared" si="1"/>
        <v>3</v>
      </c>
      <c r="R385" s="424"/>
      <c r="S385" s="366" t="s">
        <v>8430</v>
      </c>
      <c r="T385" s="198"/>
      <c r="U385" s="198"/>
      <c r="V385" s="198"/>
      <c r="W385" s="198"/>
      <c r="X385" s="198"/>
      <c r="Y385" s="198"/>
      <c r="Z385" s="198"/>
    </row>
    <row r="386" ht="71.25" customHeight="1">
      <c r="A386" s="370">
        <v>38789.0</v>
      </c>
      <c r="B386" s="285" t="s">
        <v>21</v>
      </c>
      <c r="C386" s="285">
        <v>1185.0</v>
      </c>
      <c r="D386" s="285" t="s">
        <v>10104</v>
      </c>
      <c r="E386" s="287" t="s">
        <v>10105</v>
      </c>
      <c r="F386" s="288">
        <v>45308.0</v>
      </c>
      <c r="G386" s="288">
        <v>45307.0</v>
      </c>
      <c r="H386" s="288">
        <v>45307.0</v>
      </c>
      <c r="I386" s="288">
        <v>45321.0</v>
      </c>
      <c r="J386" s="288">
        <v>45321.0</v>
      </c>
      <c r="K386" s="294">
        <v>5553392.0</v>
      </c>
      <c r="L386" s="294" t="s">
        <v>10035</v>
      </c>
      <c r="M386" s="290" t="s">
        <v>10106</v>
      </c>
      <c r="N386" s="299" t="s">
        <v>4635</v>
      </c>
      <c r="O386" s="322" t="s">
        <v>2621</v>
      </c>
      <c r="P386" s="300">
        <v>62521.2</v>
      </c>
      <c r="Q386" s="299">
        <f t="shared" si="1"/>
        <v>3</v>
      </c>
      <c r="R386" s="424"/>
      <c r="S386" s="366" t="s">
        <v>8430</v>
      </c>
      <c r="T386" s="198"/>
      <c r="U386" s="198"/>
      <c r="V386" s="198"/>
      <c r="W386" s="198"/>
      <c r="X386" s="198"/>
      <c r="Y386" s="198"/>
      <c r="Z386" s="198"/>
    </row>
    <row r="387" ht="71.25" customHeight="1">
      <c r="A387" s="370">
        <v>38671.0</v>
      </c>
      <c r="B387" s="299" t="s">
        <v>715</v>
      </c>
      <c r="C387" s="285">
        <v>960.0</v>
      </c>
      <c r="D387" s="285" t="s">
        <v>10107</v>
      </c>
      <c r="E387" s="287" t="s">
        <v>2751</v>
      </c>
      <c r="F387" s="288">
        <v>45308.0</v>
      </c>
      <c r="G387" s="288">
        <v>45302.0</v>
      </c>
      <c r="H387" s="288">
        <v>45302.0</v>
      </c>
      <c r="I387" s="288">
        <v>45316.0</v>
      </c>
      <c r="J387" s="288">
        <v>45316.0</v>
      </c>
      <c r="K387" s="294"/>
      <c r="L387" s="294"/>
      <c r="M387" s="290" t="s">
        <v>10108</v>
      </c>
      <c r="N387" s="299" t="s">
        <v>6366</v>
      </c>
      <c r="O387" s="299" t="s">
        <v>2621</v>
      </c>
      <c r="P387" s="300">
        <v>39582.6</v>
      </c>
      <c r="Q387" s="299">
        <f t="shared" si="1"/>
        <v>3</v>
      </c>
      <c r="R387" s="424"/>
      <c r="S387" s="366" t="s">
        <v>9166</v>
      </c>
      <c r="T387" s="198"/>
      <c r="U387" s="198"/>
      <c r="V387" s="198"/>
      <c r="W387" s="198"/>
      <c r="X387" s="198"/>
      <c r="Y387" s="198"/>
      <c r="Z387" s="198"/>
    </row>
    <row r="388" ht="71.25" customHeight="1">
      <c r="A388" s="370">
        <v>38576.0</v>
      </c>
      <c r="B388" s="285" t="s">
        <v>21</v>
      </c>
      <c r="C388" s="285">
        <v>1250.0</v>
      </c>
      <c r="D388" s="285" t="s">
        <v>10109</v>
      </c>
      <c r="E388" s="287" t="s">
        <v>4637</v>
      </c>
      <c r="F388" s="288">
        <v>45307.0</v>
      </c>
      <c r="G388" s="288">
        <v>45302.0</v>
      </c>
      <c r="H388" s="288">
        <v>45302.0</v>
      </c>
      <c r="I388" s="288">
        <v>45313.0</v>
      </c>
      <c r="J388" s="288">
        <v>45313.0</v>
      </c>
      <c r="K388" s="294">
        <v>5553392.0</v>
      </c>
      <c r="L388" s="294" t="s">
        <v>10090</v>
      </c>
      <c r="M388" s="290" t="s">
        <v>10110</v>
      </c>
      <c r="N388" s="299" t="s">
        <v>497</v>
      </c>
      <c r="O388" s="322" t="s">
        <v>2554</v>
      </c>
      <c r="P388" s="300">
        <v>36250.0</v>
      </c>
      <c r="Q388" s="299">
        <f t="shared" si="1"/>
        <v>3</v>
      </c>
      <c r="R388" s="424" t="s">
        <v>9170</v>
      </c>
      <c r="S388" s="366" t="s">
        <v>9171</v>
      </c>
      <c r="T388" s="198"/>
      <c r="U388" s="198"/>
      <c r="V388" s="198"/>
      <c r="W388" s="198"/>
      <c r="X388" s="198"/>
      <c r="Y388" s="198"/>
      <c r="Z388" s="198"/>
    </row>
    <row r="389" ht="81.75" customHeight="1">
      <c r="A389" s="370">
        <v>38785.0</v>
      </c>
      <c r="B389" s="285" t="s">
        <v>21</v>
      </c>
      <c r="C389" s="285">
        <v>1186.0</v>
      </c>
      <c r="D389" s="285" t="s">
        <v>10111</v>
      </c>
      <c r="E389" s="287" t="s">
        <v>10112</v>
      </c>
      <c r="F389" s="288">
        <v>45299.0</v>
      </c>
      <c r="G389" s="288" t="s">
        <v>10113</v>
      </c>
      <c r="H389" s="288">
        <v>45296.0</v>
      </c>
      <c r="I389" s="288">
        <v>45310.0</v>
      </c>
      <c r="J389" s="288">
        <v>45310.0</v>
      </c>
      <c r="K389" s="294">
        <v>5553392.0</v>
      </c>
      <c r="L389" s="294" t="s">
        <v>10035</v>
      </c>
      <c r="M389" s="290" t="s">
        <v>10114</v>
      </c>
      <c r="N389" s="299" t="s">
        <v>4635</v>
      </c>
      <c r="O389" s="299" t="s">
        <v>2621</v>
      </c>
      <c r="P389" s="300">
        <v>51932.96</v>
      </c>
      <c r="Q389" s="299">
        <f t="shared" si="1"/>
        <v>2</v>
      </c>
      <c r="R389" s="424"/>
      <c r="S389" s="366" t="s">
        <v>8430</v>
      </c>
      <c r="T389" s="198"/>
      <c r="U389" s="198"/>
      <c r="V389" s="198"/>
      <c r="W389" s="198"/>
      <c r="X389" s="198"/>
      <c r="Y389" s="198"/>
      <c r="Z389" s="198"/>
    </row>
    <row r="390" ht="79.5" customHeight="1">
      <c r="A390" s="370">
        <v>38350.0</v>
      </c>
      <c r="B390" s="285" t="s">
        <v>21</v>
      </c>
      <c r="C390" s="285">
        <v>1306.0</v>
      </c>
      <c r="D390" s="285" t="s">
        <v>10115</v>
      </c>
      <c r="E390" s="287" t="s">
        <v>6568</v>
      </c>
      <c r="F390" s="288">
        <v>45298.0</v>
      </c>
      <c r="G390" s="288">
        <v>45293.0</v>
      </c>
      <c r="H390" s="288">
        <v>45293.0</v>
      </c>
      <c r="I390" s="288">
        <v>45302.0</v>
      </c>
      <c r="J390" s="288">
        <v>45302.0</v>
      </c>
      <c r="K390" s="294">
        <v>5553392.0</v>
      </c>
      <c r="L390" s="294" t="s">
        <v>10090</v>
      </c>
      <c r="M390" s="290" t="s">
        <v>10116</v>
      </c>
      <c r="N390" s="285" t="s">
        <v>497</v>
      </c>
      <c r="O390" s="322" t="s">
        <v>2554</v>
      </c>
      <c r="P390" s="300">
        <v>44795.8</v>
      </c>
      <c r="Q390" s="299">
        <f t="shared" si="1"/>
        <v>2</v>
      </c>
      <c r="R390" s="424" t="s">
        <v>9198</v>
      </c>
      <c r="S390" s="366" t="s">
        <v>9171</v>
      </c>
      <c r="T390" s="198"/>
      <c r="U390" s="198"/>
      <c r="V390" s="198"/>
      <c r="W390" s="198"/>
      <c r="X390" s="198"/>
      <c r="Y390" s="198"/>
      <c r="Z390" s="198"/>
    </row>
    <row r="391" ht="71.25" customHeight="1">
      <c r="A391" s="370">
        <v>38464.0</v>
      </c>
      <c r="B391" s="299" t="s">
        <v>715</v>
      </c>
      <c r="C391" s="285">
        <v>960.0</v>
      </c>
      <c r="D391" s="285" t="s">
        <v>10117</v>
      </c>
      <c r="E391" s="287" t="s">
        <v>2751</v>
      </c>
      <c r="F391" s="288">
        <v>45297.0</v>
      </c>
      <c r="G391" s="288">
        <v>45292.0</v>
      </c>
      <c r="H391" s="288">
        <v>45292.0</v>
      </c>
      <c r="I391" s="288">
        <v>45303.0</v>
      </c>
      <c r="J391" s="288">
        <v>45303.0</v>
      </c>
      <c r="K391" s="294"/>
      <c r="L391" s="294"/>
      <c r="M391" s="290" t="s">
        <v>10118</v>
      </c>
      <c r="N391" s="299" t="s">
        <v>6366</v>
      </c>
      <c r="O391" s="322" t="s">
        <v>2621</v>
      </c>
      <c r="P391" s="300">
        <v>39361.2</v>
      </c>
      <c r="Q391" s="299">
        <f t="shared" si="1"/>
        <v>1</v>
      </c>
      <c r="R391" s="424"/>
      <c r="S391" s="366" t="s">
        <v>9166</v>
      </c>
      <c r="T391" s="198"/>
      <c r="U391" s="198"/>
      <c r="V391" s="198"/>
      <c r="W391" s="198"/>
      <c r="X391" s="198"/>
      <c r="Y391" s="198"/>
      <c r="Z391" s="198"/>
    </row>
    <row r="392" ht="71.25" customHeight="1">
      <c r="A392" s="370">
        <v>38679.0</v>
      </c>
      <c r="B392" s="299" t="s">
        <v>715</v>
      </c>
      <c r="C392" s="285">
        <v>1110.0</v>
      </c>
      <c r="D392" s="285" t="s">
        <v>10119</v>
      </c>
      <c r="E392" s="287" t="s">
        <v>10120</v>
      </c>
      <c r="F392" s="288">
        <v>45296.0</v>
      </c>
      <c r="G392" s="288">
        <v>45295.0</v>
      </c>
      <c r="H392" s="288">
        <v>45295.0</v>
      </c>
      <c r="I392" s="288">
        <v>45303.0</v>
      </c>
      <c r="J392" s="288">
        <v>45303.0</v>
      </c>
      <c r="K392" s="294"/>
      <c r="L392" s="294"/>
      <c r="M392" s="290" t="s">
        <v>10121</v>
      </c>
      <c r="N392" s="285" t="s">
        <v>4635</v>
      </c>
      <c r="O392" s="322" t="s">
        <v>2621</v>
      </c>
      <c r="P392" s="300">
        <v>85578.8</v>
      </c>
      <c r="Q392" s="299">
        <f t="shared" si="1"/>
        <v>1</v>
      </c>
      <c r="R392" s="424"/>
      <c r="S392" s="366" t="s">
        <v>9166</v>
      </c>
      <c r="T392" s="198"/>
      <c r="U392" s="198"/>
      <c r="V392" s="198"/>
      <c r="W392" s="198"/>
      <c r="X392" s="198"/>
      <c r="Y392" s="198"/>
      <c r="Z392" s="198"/>
    </row>
    <row r="393" ht="82.5" customHeight="1">
      <c r="A393" s="370">
        <v>38756.0</v>
      </c>
      <c r="B393" s="299" t="s">
        <v>25</v>
      </c>
      <c r="C393" s="285">
        <v>940.0</v>
      </c>
      <c r="D393" s="285" t="s">
        <v>10122</v>
      </c>
      <c r="E393" s="287" t="s">
        <v>10123</v>
      </c>
      <c r="F393" s="288">
        <v>45295.0</v>
      </c>
      <c r="G393" s="288">
        <v>45301.0</v>
      </c>
      <c r="H393" s="288">
        <v>45296.0</v>
      </c>
      <c r="I393" s="288">
        <v>45296.0</v>
      </c>
      <c r="J393" s="288">
        <v>45296.0</v>
      </c>
      <c r="K393" s="294"/>
      <c r="L393" s="294"/>
      <c r="M393" s="290" t="s">
        <v>10124</v>
      </c>
      <c r="N393" s="299" t="s">
        <v>4635</v>
      </c>
      <c r="O393" s="322" t="s">
        <v>2621</v>
      </c>
      <c r="P393" s="300">
        <v>44668.8</v>
      </c>
      <c r="Q393" s="299">
        <f t="shared" si="1"/>
        <v>1</v>
      </c>
      <c r="R393" s="424"/>
      <c r="S393" s="366" t="s">
        <v>8430</v>
      </c>
      <c r="T393" s="198"/>
      <c r="U393" s="198"/>
      <c r="V393" s="198"/>
      <c r="W393" s="198"/>
      <c r="X393" s="198"/>
      <c r="Y393" s="198"/>
      <c r="Z393" s="198"/>
    </row>
    <row r="394" ht="71.25" customHeight="1">
      <c r="A394" s="370">
        <v>38572.0</v>
      </c>
      <c r="B394" s="299" t="s">
        <v>715</v>
      </c>
      <c r="C394" s="285">
        <v>2400.0</v>
      </c>
      <c r="D394" s="285" t="s">
        <v>10125</v>
      </c>
      <c r="E394" s="287" t="s">
        <v>6435</v>
      </c>
      <c r="F394" s="288">
        <v>45295.0</v>
      </c>
      <c r="G394" s="288">
        <v>45288.0</v>
      </c>
      <c r="H394" s="288">
        <v>45288.0</v>
      </c>
      <c r="I394" s="288">
        <v>45302.0</v>
      </c>
      <c r="J394" s="288">
        <v>44937.0</v>
      </c>
      <c r="K394" s="294"/>
      <c r="L394" s="294"/>
      <c r="M394" s="290" t="s">
        <v>10126</v>
      </c>
      <c r="N394" s="285" t="s">
        <v>497</v>
      </c>
      <c r="O394" s="322" t="s">
        <v>2554</v>
      </c>
      <c r="P394" s="300">
        <v>39600.0</v>
      </c>
      <c r="Q394" s="299">
        <f t="shared" si="1"/>
        <v>1</v>
      </c>
      <c r="R394" s="424" t="s">
        <v>9170</v>
      </c>
      <c r="S394" s="366" t="s">
        <v>9171</v>
      </c>
      <c r="T394" s="198"/>
      <c r="U394" s="198"/>
      <c r="V394" s="198"/>
      <c r="W394" s="198"/>
      <c r="X394" s="198"/>
      <c r="Y394" s="198"/>
      <c r="Z394" s="198"/>
    </row>
    <row r="395" ht="71.25" customHeight="1">
      <c r="A395" s="370">
        <v>38561.0</v>
      </c>
      <c r="B395" s="299" t="s">
        <v>715</v>
      </c>
      <c r="C395" s="285">
        <v>5008.0</v>
      </c>
      <c r="D395" s="285" t="s">
        <v>10127</v>
      </c>
      <c r="E395" s="287" t="s">
        <v>10128</v>
      </c>
      <c r="F395" s="288">
        <v>45294.0</v>
      </c>
      <c r="G395" s="288">
        <v>45288.0</v>
      </c>
      <c r="H395" s="288">
        <v>45288.0</v>
      </c>
      <c r="I395" s="288">
        <v>45301.0</v>
      </c>
      <c r="J395" s="288">
        <v>45301.0</v>
      </c>
      <c r="K395" s="294"/>
      <c r="L395" s="294"/>
      <c r="M395" s="290" t="s">
        <v>10129</v>
      </c>
      <c r="N395" s="285" t="s">
        <v>4635</v>
      </c>
      <c r="O395" s="322" t="s">
        <v>2621</v>
      </c>
      <c r="P395" s="300">
        <v>45211.28</v>
      </c>
      <c r="Q395" s="299">
        <f t="shared" si="1"/>
        <v>1</v>
      </c>
      <c r="R395" s="424"/>
      <c r="S395" s="366" t="s">
        <v>9166</v>
      </c>
      <c r="T395" s="198"/>
      <c r="U395" s="198"/>
      <c r="V395" s="198"/>
      <c r="W395" s="198"/>
      <c r="X395" s="198"/>
      <c r="Y395" s="198"/>
      <c r="Z395" s="198"/>
    </row>
    <row r="396" ht="69.75" customHeight="1">
      <c r="A396" s="370">
        <v>38575.0</v>
      </c>
      <c r="B396" s="299" t="s">
        <v>25</v>
      </c>
      <c r="C396" s="285">
        <v>4230.0</v>
      </c>
      <c r="D396" s="285" t="s">
        <v>10130</v>
      </c>
      <c r="E396" s="287" t="s">
        <v>7438</v>
      </c>
      <c r="F396" s="288">
        <v>45293.0</v>
      </c>
      <c r="G396" s="288">
        <v>45288.0</v>
      </c>
      <c r="H396" s="288">
        <v>45288.0</v>
      </c>
      <c r="I396" s="288">
        <v>45300.0</v>
      </c>
      <c r="J396" s="288">
        <v>45300.0</v>
      </c>
      <c r="K396" s="294"/>
      <c r="L396" s="294"/>
      <c r="M396" s="290" t="s">
        <v>10131</v>
      </c>
      <c r="N396" s="299" t="s">
        <v>497</v>
      </c>
      <c r="O396" s="299" t="s">
        <v>2554</v>
      </c>
      <c r="P396" s="300">
        <v>31196.25</v>
      </c>
      <c r="Q396" s="299">
        <f t="shared" si="1"/>
        <v>1</v>
      </c>
      <c r="R396" s="424" t="s">
        <v>9170</v>
      </c>
      <c r="S396" s="366" t="s">
        <v>9171</v>
      </c>
      <c r="T396" s="198"/>
      <c r="U396" s="198"/>
      <c r="V396" s="198"/>
      <c r="W396" s="198"/>
      <c r="X396" s="198"/>
      <c r="Y396" s="198"/>
      <c r="Z396" s="198"/>
    </row>
    <row r="397" ht="63.0" customHeight="1">
      <c r="A397" s="299"/>
      <c r="B397" s="285"/>
      <c r="C397" s="285"/>
      <c r="D397" s="285"/>
      <c r="E397" s="287"/>
      <c r="F397" s="288"/>
      <c r="G397" s="301"/>
      <c r="H397" s="301"/>
      <c r="I397" s="285"/>
      <c r="J397" s="377"/>
      <c r="K397" s="294"/>
      <c r="L397" s="294"/>
      <c r="M397" s="290"/>
      <c r="N397" s="285"/>
      <c r="O397" s="299"/>
      <c r="P397" s="300"/>
      <c r="Q397" s="299">
        <f t="shared" si="1"/>
        <v>52</v>
      </c>
      <c r="R397" s="424"/>
      <c r="S397" s="198"/>
      <c r="T397" s="198"/>
      <c r="U397" s="198"/>
      <c r="V397" s="198"/>
      <c r="W397" s="198"/>
      <c r="X397" s="198"/>
      <c r="Y397" s="198"/>
      <c r="Z397" s="198"/>
    </row>
    <row r="398" ht="61.5" customHeight="1">
      <c r="A398" s="285"/>
      <c r="B398" s="299"/>
      <c r="C398" s="285"/>
      <c r="D398" s="367"/>
      <c r="E398" s="287"/>
      <c r="F398" s="288"/>
      <c r="G398" s="367"/>
      <c r="H398" s="301"/>
      <c r="I398" s="285"/>
      <c r="J398" s="377"/>
      <c r="K398" s="294"/>
      <c r="L398" s="294"/>
      <c r="M398" s="290"/>
      <c r="N398" s="285"/>
      <c r="O398" s="299"/>
      <c r="P398" s="300"/>
      <c r="Q398" s="299">
        <f t="shared" si="1"/>
        <v>52</v>
      </c>
      <c r="R398" s="424"/>
      <c r="S398" s="198"/>
      <c r="T398" s="198"/>
      <c r="U398" s="198"/>
      <c r="V398" s="198"/>
      <c r="W398" s="198"/>
      <c r="X398" s="198"/>
      <c r="Y398" s="198"/>
      <c r="Z398" s="198"/>
    </row>
    <row r="399" ht="69.75" customHeight="1">
      <c r="A399" s="285"/>
      <c r="B399" s="299"/>
      <c r="C399" s="285"/>
      <c r="D399" s="367"/>
      <c r="E399" s="287"/>
      <c r="F399" s="288"/>
      <c r="G399" s="367"/>
      <c r="H399" s="301"/>
      <c r="I399" s="285"/>
      <c r="J399" s="377"/>
      <c r="K399" s="294"/>
      <c r="L399" s="294"/>
      <c r="M399" s="290"/>
      <c r="N399" s="285"/>
      <c r="O399" s="299"/>
      <c r="P399" s="300"/>
      <c r="Q399" s="299">
        <f t="shared" si="1"/>
        <v>52</v>
      </c>
      <c r="R399" s="424"/>
      <c r="S399" s="198"/>
      <c r="T399" s="198"/>
      <c r="U399" s="198"/>
      <c r="V399" s="198"/>
      <c r="W399" s="198"/>
      <c r="X399" s="198"/>
      <c r="Y399" s="198"/>
      <c r="Z399" s="198"/>
    </row>
    <row r="400" ht="70.5" customHeight="1">
      <c r="A400" s="299"/>
      <c r="B400" s="285"/>
      <c r="C400" s="285"/>
      <c r="D400" s="285"/>
      <c r="E400" s="287"/>
      <c r="F400" s="288"/>
      <c r="G400" s="301"/>
      <c r="H400" s="301"/>
      <c r="I400" s="285"/>
      <c r="J400" s="377"/>
      <c r="K400" s="294"/>
      <c r="L400" s="294"/>
      <c r="M400" s="290"/>
      <c r="N400" s="285"/>
      <c r="O400" s="299"/>
      <c r="P400" s="300"/>
      <c r="Q400" s="299">
        <f t="shared" si="1"/>
        <v>52</v>
      </c>
      <c r="R400" s="424"/>
      <c r="S400" s="198"/>
      <c r="T400" s="198"/>
      <c r="U400" s="198"/>
      <c r="V400" s="198"/>
      <c r="W400" s="198"/>
      <c r="X400" s="198"/>
      <c r="Y400" s="198"/>
      <c r="Z400" s="198"/>
    </row>
    <row r="401" ht="61.5" customHeight="1">
      <c r="A401" s="285"/>
      <c r="B401" s="299"/>
      <c r="C401" s="285"/>
      <c r="D401" s="367"/>
      <c r="E401" s="287"/>
      <c r="F401" s="288"/>
      <c r="G401" s="367"/>
      <c r="H401" s="301"/>
      <c r="I401" s="285"/>
      <c r="J401" s="377"/>
      <c r="K401" s="294"/>
      <c r="L401" s="294"/>
      <c r="M401" s="290"/>
      <c r="N401" s="285"/>
      <c r="O401" s="299"/>
      <c r="P401" s="300"/>
      <c r="Q401" s="299">
        <f t="shared" si="1"/>
        <v>52</v>
      </c>
      <c r="R401" s="424"/>
      <c r="S401" s="198"/>
      <c r="T401" s="198"/>
      <c r="U401" s="198"/>
      <c r="V401" s="198"/>
      <c r="W401" s="198"/>
      <c r="X401" s="198"/>
      <c r="Y401" s="198"/>
      <c r="Z401" s="198"/>
    </row>
    <row r="402" ht="57.75" customHeight="1">
      <c r="A402" s="285"/>
      <c r="B402" s="299"/>
      <c r="C402" s="285"/>
      <c r="D402" s="367"/>
      <c r="E402" s="287"/>
      <c r="F402" s="288"/>
      <c r="G402" s="367"/>
      <c r="H402" s="301"/>
      <c r="I402" s="285"/>
      <c r="J402" s="377"/>
      <c r="K402" s="294"/>
      <c r="L402" s="294"/>
      <c r="M402" s="290"/>
      <c r="N402" s="285"/>
      <c r="O402" s="299"/>
      <c r="P402" s="300"/>
      <c r="Q402" s="299">
        <f t="shared" si="1"/>
        <v>52</v>
      </c>
      <c r="R402" s="424"/>
      <c r="S402" s="198"/>
      <c r="T402" s="198"/>
      <c r="U402" s="198"/>
      <c r="V402" s="198"/>
      <c r="W402" s="198"/>
      <c r="X402" s="198"/>
      <c r="Y402" s="198"/>
      <c r="Z402" s="198"/>
    </row>
    <row r="403" ht="57.75" customHeight="1">
      <c r="A403" s="299"/>
      <c r="B403" s="285"/>
      <c r="C403" s="285"/>
      <c r="D403" s="285"/>
      <c r="E403" s="287"/>
      <c r="F403" s="288"/>
      <c r="G403" s="301"/>
      <c r="H403" s="301"/>
      <c r="I403" s="285"/>
      <c r="J403" s="377"/>
      <c r="K403" s="294"/>
      <c r="L403" s="294"/>
      <c r="M403" s="290"/>
      <c r="N403" s="285"/>
      <c r="O403" s="299"/>
      <c r="P403" s="300"/>
      <c r="Q403" s="299">
        <f t="shared" si="1"/>
        <v>52</v>
      </c>
      <c r="R403" s="424"/>
      <c r="S403" s="198"/>
      <c r="T403" s="198"/>
      <c r="U403" s="198"/>
      <c r="V403" s="198"/>
      <c r="W403" s="198"/>
      <c r="X403" s="198"/>
      <c r="Y403" s="198"/>
      <c r="Z403" s="198"/>
    </row>
    <row r="404" ht="57.75" customHeight="1">
      <c r="A404" s="285"/>
      <c r="B404" s="299"/>
      <c r="C404" s="285"/>
      <c r="D404" s="367"/>
      <c r="E404" s="287"/>
      <c r="F404" s="288"/>
      <c r="G404" s="367"/>
      <c r="H404" s="301"/>
      <c r="I404" s="285"/>
      <c r="J404" s="377"/>
      <c r="K404" s="294"/>
      <c r="L404" s="294"/>
      <c r="M404" s="290"/>
      <c r="N404" s="285"/>
      <c r="O404" s="299"/>
      <c r="P404" s="300"/>
      <c r="Q404" s="299">
        <f t="shared" si="1"/>
        <v>52</v>
      </c>
      <c r="R404" s="424"/>
      <c r="S404" s="198"/>
      <c r="T404" s="198"/>
      <c r="U404" s="198"/>
      <c r="V404" s="198"/>
      <c r="W404" s="198"/>
      <c r="X404" s="198"/>
      <c r="Y404" s="198"/>
      <c r="Z404" s="198"/>
    </row>
    <row r="405" ht="57.75" customHeight="1">
      <c r="A405" s="285"/>
      <c r="B405" s="299"/>
      <c r="C405" s="285"/>
      <c r="D405" s="367"/>
      <c r="E405" s="287"/>
      <c r="F405" s="288"/>
      <c r="G405" s="367"/>
      <c r="H405" s="301"/>
      <c r="I405" s="285"/>
      <c r="J405" s="377"/>
      <c r="K405" s="294"/>
      <c r="L405" s="294"/>
      <c r="M405" s="290"/>
      <c r="N405" s="285"/>
      <c r="O405" s="299"/>
      <c r="P405" s="300"/>
      <c r="Q405" s="299">
        <f t="shared" si="1"/>
        <v>52</v>
      </c>
      <c r="R405" s="424"/>
      <c r="S405" s="198"/>
      <c r="T405" s="198"/>
      <c r="U405" s="198"/>
      <c r="V405" s="198"/>
      <c r="W405" s="198"/>
      <c r="X405" s="198"/>
      <c r="Y405" s="198"/>
      <c r="Z405" s="198"/>
    </row>
    <row r="406" ht="57.75" customHeight="1">
      <c r="A406" s="299"/>
      <c r="B406" s="285"/>
      <c r="C406" s="285"/>
      <c r="D406" s="285"/>
      <c r="E406" s="287"/>
      <c r="F406" s="288"/>
      <c r="G406" s="301"/>
      <c r="H406" s="301"/>
      <c r="I406" s="285"/>
      <c r="J406" s="377"/>
      <c r="K406" s="294"/>
      <c r="L406" s="294"/>
      <c r="M406" s="290"/>
      <c r="N406" s="285"/>
      <c r="O406" s="299"/>
      <c r="P406" s="300"/>
      <c r="Q406" s="299">
        <f t="shared" si="1"/>
        <v>52</v>
      </c>
      <c r="R406" s="424"/>
      <c r="S406" s="198"/>
      <c r="T406" s="198"/>
      <c r="U406" s="198"/>
      <c r="V406" s="198"/>
      <c r="W406" s="198"/>
      <c r="X406" s="198"/>
      <c r="Y406" s="198"/>
      <c r="Z406" s="198"/>
    </row>
    <row r="407" ht="57.75" customHeight="1">
      <c r="A407" s="285"/>
      <c r="B407" s="299"/>
      <c r="C407" s="285"/>
      <c r="D407" s="367"/>
      <c r="E407" s="287"/>
      <c r="F407" s="288"/>
      <c r="G407" s="367"/>
      <c r="H407" s="301"/>
      <c r="I407" s="285"/>
      <c r="J407" s="377"/>
      <c r="K407" s="294"/>
      <c r="L407" s="294"/>
      <c r="M407" s="290"/>
      <c r="N407" s="285"/>
      <c r="O407" s="299"/>
      <c r="P407" s="300"/>
      <c r="Q407" s="299">
        <f t="shared" si="1"/>
        <v>52</v>
      </c>
      <c r="R407" s="424"/>
      <c r="S407" s="198"/>
      <c r="T407" s="198"/>
      <c r="U407" s="198"/>
      <c r="V407" s="198"/>
      <c r="W407" s="198"/>
      <c r="X407" s="198"/>
      <c r="Y407" s="198"/>
      <c r="Z407" s="198"/>
    </row>
    <row r="408" ht="57.75" customHeight="1">
      <c r="A408" s="285"/>
      <c r="B408" s="299"/>
      <c r="C408" s="285"/>
      <c r="D408" s="367"/>
      <c r="E408" s="287"/>
      <c r="F408" s="288"/>
      <c r="G408" s="367"/>
      <c r="H408" s="301"/>
      <c r="I408" s="285"/>
      <c r="J408" s="377"/>
      <c r="K408" s="294"/>
      <c r="L408" s="294"/>
      <c r="M408" s="290"/>
      <c r="N408" s="285"/>
      <c r="O408" s="299"/>
      <c r="P408" s="300"/>
      <c r="Q408" s="299">
        <f t="shared" si="1"/>
        <v>52</v>
      </c>
      <c r="R408" s="424"/>
      <c r="S408" s="198"/>
      <c r="T408" s="198"/>
      <c r="U408" s="198"/>
      <c r="V408" s="198"/>
      <c r="W408" s="198"/>
      <c r="X408" s="198"/>
      <c r="Y408" s="198"/>
      <c r="Z408" s="198"/>
    </row>
    <row r="409" ht="57.75" customHeight="1">
      <c r="A409" s="299"/>
      <c r="B409" s="285"/>
      <c r="C409" s="285"/>
      <c r="D409" s="285"/>
      <c r="E409" s="287"/>
      <c r="F409" s="288"/>
      <c r="G409" s="301"/>
      <c r="H409" s="301"/>
      <c r="I409" s="285"/>
      <c r="J409" s="377"/>
      <c r="K409" s="294"/>
      <c r="L409" s="294"/>
      <c r="M409" s="290"/>
      <c r="N409" s="285"/>
      <c r="O409" s="299"/>
      <c r="P409" s="300"/>
      <c r="Q409" s="299">
        <f t="shared" si="1"/>
        <v>52</v>
      </c>
      <c r="R409" s="424"/>
      <c r="S409" s="198"/>
      <c r="T409" s="198"/>
      <c r="U409" s="198"/>
      <c r="V409" s="198"/>
      <c r="W409" s="198"/>
      <c r="X409" s="198"/>
      <c r="Y409" s="198"/>
      <c r="Z409" s="198"/>
    </row>
    <row r="410" ht="69.75" customHeight="1">
      <c r="A410" s="285"/>
      <c r="B410" s="299"/>
      <c r="C410" s="285"/>
      <c r="D410" s="367"/>
      <c r="E410" s="287"/>
      <c r="F410" s="288"/>
      <c r="G410" s="367"/>
      <c r="H410" s="301"/>
      <c r="I410" s="285"/>
      <c r="J410" s="377"/>
      <c r="K410" s="294"/>
      <c r="L410" s="294"/>
      <c r="M410" s="290"/>
      <c r="N410" s="285"/>
      <c r="O410" s="299"/>
      <c r="P410" s="300"/>
      <c r="Q410" s="299">
        <f t="shared" si="1"/>
        <v>52</v>
      </c>
      <c r="R410" s="424"/>
      <c r="S410" s="198"/>
      <c r="T410" s="198"/>
      <c r="U410" s="198"/>
      <c r="V410" s="198"/>
      <c r="W410" s="198"/>
      <c r="X410" s="198"/>
      <c r="Y410" s="198"/>
      <c r="Z410" s="198"/>
    </row>
    <row r="411" ht="57.75" customHeight="1">
      <c r="A411" s="285"/>
      <c r="B411" s="299"/>
      <c r="C411" s="285"/>
      <c r="D411" s="367"/>
      <c r="E411" s="287"/>
      <c r="F411" s="288"/>
      <c r="G411" s="367"/>
      <c r="H411" s="301"/>
      <c r="I411" s="285"/>
      <c r="J411" s="377"/>
      <c r="K411" s="294"/>
      <c r="L411" s="294"/>
      <c r="M411" s="290"/>
      <c r="N411" s="285"/>
      <c r="O411" s="299"/>
      <c r="P411" s="300"/>
      <c r="Q411" s="299">
        <f t="shared" si="1"/>
        <v>52</v>
      </c>
      <c r="R411" s="424"/>
      <c r="S411" s="198"/>
      <c r="T411" s="198"/>
      <c r="U411" s="198"/>
      <c r="V411" s="198"/>
      <c r="W411" s="198"/>
      <c r="X411" s="198"/>
      <c r="Y411" s="198"/>
      <c r="Z411" s="198"/>
    </row>
    <row r="412" ht="57.75" customHeight="1">
      <c r="A412" s="299"/>
      <c r="B412" s="285"/>
      <c r="C412" s="285"/>
      <c r="D412" s="285"/>
      <c r="E412" s="287"/>
      <c r="F412" s="288"/>
      <c r="G412" s="301"/>
      <c r="H412" s="301"/>
      <c r="I412" s="285"/>
      <c r="J412" s="377"/>
      <c r="K412" s="294"/>
      <c r="L412" s="294"/>
      <c r="M412" s="290"/>
      <c r="N412" s="285"/>
      <c r="O412" s="299"/>
      <c r="P412" s="300"/>
      <c r="Q412" s="299">
        <f t="shared" si="1"/>
        <v>52</v>
      </c>
      <c r="R412" s="424"/>
      <c r="S412" s="198"/>
      <c r="T412" s="198"/>
      <c r="U412" s="198"/>
      <c r="V412" s="198"/>
      <c r="W412" s="198"/>
      <c r="X412" s="198"/>
      <c r="Y412" s="198"/>
      <c r="Z412" s="198"/>
    </row>
    <row r="413" ht="57.75" customHeight="1">
      <c r="A413" s="285"/>
      <c r="B413" s="299"/>
      <c r="C413" s="285"/>
      <c r="D413" s="367"/>
      <c r="E413" s="287"/>
      <c r="F413" s="288"/>
      <c r="G413" s="367"/>
      <c r="H413" s="301"/>
      <c r="I413" s="285"/>
      <c r="J413" s="377"/>
      <c r="K413" s="294"/>
      <c r="L413" s="294"/>
      <c r="M413" s="290"/>
      <c r="N413" s="285"/>
      <c r="O413" s="299"/>
      <c r="P413" s="300"/>
      <c r="Q413" s="299">
        <f t="shared" si="1"/>
        <v>52</v>
      </c>
      <c r="R413" s="424"/>
      <c r="S413" s="198"/>
      <c r="T413" s="198"/>
      <c r="U413" s="198"/>
      <c r="V413" s="198"/>
      <c r="W413" s="198"/>
      <c r="X413" s="198"/>
      <c r="Y413" s="198"/>
      <c r="Z413" s="198"/>
    </row>
    <row r="414" ht="72.75" customHeight="1">
      <c r="A414" s="285"/>
      <c r="B414" s="299"/>
      <c r="C414" s="285"/>
      <c r="D414" s="367"/>
      <c r="E414" s="287"/>
      <c r="F414" s="288"/>
      <c r="G414" s="367"/>
      <c r="H414" s="301"/>
      <c r="I414" s="285"/>
      <c r="J414" s="377"/>
      <c r="K414" s="294"/>
      <c r="L414" s="294"/>
      <c r="M414" s="290"/>
      <c r="N414" s="285"/>
      <c r="O414" s="299"/>
      <c r="P414" s="300"/>
      <c r="Q414" s="299">
        <f t="shared" si="1"/>
        <v>52</v>
      </c>
      <c r="R414" s="424"/>
      <c r="S414" s="198"/>
      <c r="T414" s="198"/>
      <c r="U414" s="198"/>
      <c r="V414" s="198"/>
      <c r="W414" s="198"/>
      <c r="X414" s="198"/>
      <c r="Y414" s="198"/>
      <c r="Z414" s="198"/>
    </row>
    <row r="415" ht="57.75" customHeight="1">
      <c r="A415" s="299"/>
      <c r="B415" s="285"/>
      <c r="C415" s="285"/>
      <c r="D415" s="285"/>
      <c r="E415" s="287"/>
      <c r="F415" s="288"/>
      <c r="G415" s="301"/>
      <c r="H415" s="301"/>
      <c r="I415" s="285"/>
      <c r="J415" s="377"/>
      <c r="K415" s="294"/>
      <c r="L415" s="294"/>
      <c r="M415" s="290"/>
      <c r="N415" s="285"/>
      <c r="O415" s="299"/>
      <c r="P415" s="300"/>
      <c r="Q415" s="299">
        <f t="shared" si="1"/>
        <v>52</v>
      </c>
      <c r="R415" s="424"/>
      <c r="S415" s="198"/>
      <c r="T415" s="198"/>
      <c r="U415" s="198"/>
      <c r="V415" s="198"/>
      <c r="W415" s="198"/>
      <c r="X415" s="198"/>
      <c r="Y415" s="198"/>
      <c r="Z415" s="198"/>
    </row>
    <row r="416" ht="57.75" customHeight="1">
      <c r="A416" s="285"/>
      <c r="B416" s="299"/>
      <c r="C416" s="285"/>
      <c r="D416" s="367"/>
      <c r="E416" s="287"/>
      <c r="F416" s="288"/>
      <c r="G416" s="367"/>
      <c r="H416" s="301"/>
      <c r="I416" s="285"/>
      <c r="J416" s="377"/>
      <c r="K416" s="294"/>
      <c r="L416" s="294"/>
      <c r="M416" s="290"/>
      <c r="N416" s="285"/>
      <c r="O416" s="299"/>
      <c r="P416" s="300"/>
      <c r="Q416" s="299">
        <f t="shared" si="1"/>
        <v>52</v>
      </c>
      <c r="R416" s="424"/>
      <c r="S416" s="198"/>
      <c r="T416" s="198"/>
      <c r="U416" s="198"/>
      <c r="V416" s="198"/>
      <c r="W416" s="198"/>
      <c r="X416" s="198"/>
      <c r="Y416" s="198"/>
      <c r="Z416" s="198"/>
    </row>
    <row r="417" ht="57.75" customHeight="1">
      <c r="A417" s="285"/>
      <c r="B417" s="299"/>
      <c r="C417" s="285"/>
      <c r="D417" s="367"/>
      <c r="E417" s="287"/>
      <c r="F417" s="288"/>
      <c r="G417" s="367"/>
      <c r="H417" s="301"/>
      <c r="I417" s="285"/>
      <c r="J417" s="377"/>
      <c r="K417" s="294"/>
      <c r="L417" s="294"/>
      <c r="M417" s="290"/>
      <c r="N417" s="285"/>
      <c r="O417" s="299"/>
      <c r="P417" s="300"/>
      <c r="Q417" s="299">
        <f t="shared" si="1"/>
        <v>52</v>
      </c>
      <c r="R417" s="424"/>
      <c r="S417" s="198"/>
      <c r="T417" s="198"/>
      <c r="U417" s="198"/>
      <c r="V417" s="198"/>
      <c r="W417" s="198"/>
      <c r="X417" s="198"/>
      <c r="Y417" s="198"/>
      <c r="Z417" s="198"/>
    </row>
    <row r="418" ht="72.0" customHeight="1">
      <c r="A418" s="299"/>
      <c r="B418" s="285"/>
      <c r="C418" s="285"/>
      <c r="D418" s="285"/>
      <c r="E418" s="287"/>
      <c r="F418" s="288"/>
      <c r="G418" s="301"/>
      <c r="H418" s="301"/>
      <c r="I418" s="285"/>
      <c r="J418" s="377"/>
      <c r="K418" s="294"/>
      <c r="L418" s="294"/>
      <c r="M418" s="290"/>
      <c r="N418" s="285"/>
      <c r="O418" s="299"/>
      <c r="P418" s="300"/>
      <c r="Q418" s="299">
        <f t="shared" si="1"/>
        <v>52</v>
      </c>
      <c r="R418" s="424"/>
      <c r="S418" s="198"/>
      <c r="T418" s="198"/>
      <c r="U418" s="198"/>
      <c r="V418" s="198"/>
      <c r="W418" s="198"/>
      <c r="X418" s="198"/>
      <c r="Y418" s="198"/>
      <c r="Z418" s="198"/>
    </row>
    <row r="419" ht="57.75" customHeight="1">
      <c r="A419" s="285"/>
      <c r="B419" s="299"/>
      <c r="C419" s="285"/>
      <c r="D419" s="367"/>
      <c r="E419" s="287"/>
      <c r="F419" s="288"/>
      <c r="G419" s="367"/>
      <c r="H419" s="301"/>
      <c r="I419" s="285"/>
      <c r="J419" s="377"/>
      <c r="K419" s="294"/>
      <c r="L419" s="294"/>
      <c r="M419" s="290"/>
      <c r="N419" s="285"/>
      <c r="O419" s="299"/>
      <c r="P419" s="300"/>
      <c r="Q419" s="299">
        <f t="shared" si="1"/>
        <v>52</v>
      </c>
      <c r="R419" s="424"/>
      <c r="S419" s="198"/>
      <c r="T419" s="198"/>
      <c r="U419" s="198"/>
      <c r="V419" s="198"/>
      <c r="W419" s="198"/>
      <c r="X419" s="198"/>
      <c r="Y419" s="198"/>
      <c r="Z419" s="198"/>
    </row>
    <row r="420" ht="59.25" customHeight="1">
      <c r="A420" s="285"/>
      <c r="B420" s="299"/>
      <c r="C420" s="285"/>
      <c r="D420" s="367"/>
      <c r="E420" s="287"/>
      <c r="F420" s="288"/>
      <c r="G420" s="367"/>
      <c r="H420" s="301"/>
      <c r="I420" s="285"/>
      <c r="J420" s="377"/>
      <c r="K420" s="294"/>
      <c r="L420" s="294"/>
      <c r="M420" s="290"/>
      <c r="N420" s="285"/>
      <c r="O420" s="299"/>
      <c r="P420" s="300"/>
      <c r="Q420" s="299">
        <f t="shared" si="1"/>
        <v>52</v>
      </c>
      <c r="R420" s="424"/>
      <c r="S420" s="198"/>
      <c r="T420" s="198"/>
      <c r="U420" s="198"/>
      <c r="V420" s="198"/>
      <c r="W420" s="198"/>
      <c r="X420" s="198"/>
      <c r="Y420" s="198"/>
      <c r="Z420" s="198"/>
    </row>
    <row r="421" ht="55.5" customHeight="1">
      <c r="A421" s="299"/>
      <c r="B421" s="285"/>
      <c r="C421" s="285"/>
      <c r="D421" s="285"/>
      <c r="E421" s="287"/>
      <c r="F421" s="288"/>
      <c r="G421" s="301"/>
      <c r="H421" s="301"/>
      <c r="I421" s="285"/>
      <c r="J421" s="377"/>
      <c r="K421" s="294"/>
      <c r="L421" s="294"/>
      <c r="M421" s="290"/>
      <c r="N421" s="285"/>
      <c r="O421" s="299"/>
      <c r="P421" s="300"/>
      <c r="Q421" s="299">
        <f t="shared" si="1"/>
        <v>52</v>
      </c>
      <c r="R421" s="424"/>
      <c r="S421" s="198"/>
      <c r="T421" s="198"/>
      <c r="U421" s="198"/>
      <c r="V421" s="198"/>
      <c r="W421" s="198"/>
      <c r="X421" s="198"/>
      <c r="Y421" s="198"/>
      <c r="Z421" s="198"/>
    </row>
    <row r="422" ht="62.25" customHeight="1">
      <c r="A422" s="285"/>
      <c r="B422" s="299"/>
      <c r="C422" s="285"/>
      <c r="D422" s="367"/>
      <c r="E422" s="287"/>
      <c r="F422" s="288"/>
      <c r="G422" s="367"/>
      <c r="H422" s="301"/>
      <c r="I422" s="285"/>
      <c r="J422" s="377"/>
      <c r="K422" s="294"/>
      <c r="L422" s="294"/>
      <c r="M422" s="290"/>
      <c r="N422" s="285"/>
      <c r="O422" s="299"/>
      <c r="P422" s="300"/>
      <c r="Q422" s="299">
        <f t="shared" si="1"/>
        <v>52</v>
      </c>
      <c r="R422" s="424"/>
      <c r="S422" s="198"/>
      <c r="T422" s="198"/>
      <c r="U422" s="198"/>
      <c r="V422" s="198"/>
      <c r="W422" s="198"/>
      <c r="X422" s="198"/>
      <c r="Y422" s="198"/>
      <c r="Z422" s="198"/>
    </row>
    <row r="423" ht="63.75" customHeight="1">
      <c r="A423" s="285"/>
      <c r="B423" s="299"/>
      <c r="C423" s="285"/>
      <c r="D423" s="367"/>
      <c r="E423" s="287"/>
      <c r="F423" s="288"/>
      <c r="G423" s="367"/>
      <c r="H423" s="301"/>
      <c r="I423" s="285"/>
      <c r="J423" s="377"/>
      <c r="K423" s="294"/>
      <c r="L423" s="294"/>
      <c r="M423" s="290"/>
      <c r="N423" s="285"/>
      <c r="O423" s="299"/>
      <c r="P423" s="300"/>
      <c r="Q423" s="299">
        <f t="shared" si="1"/>
        <v>52</v>
      </c>
      <c r="R423" s="424"/>
      <c r="S423" s="198"/>
      <c r="T423" s="198"/>
      <c r="U423" s="198"/>
      <c r="V423" s="198"/>
      <c r="W423" s="198"/>
      <c r="X423" s="198"/>
      <c r="Y423" s="198"/>
      <c r="Z423" s="198"/>
    </row>
    <row r="424" ht="60.75" customHeight="1">
      <c r="A424" s="299"/>
      <c r="B424" s="285"/>
      <c r="C424" s="285"/>
      <c r="D424" s="285"/>
      <c r="E424" s="287"/>
      <c r="F424" s="288"/>
      <c r="G424" s="301"/>
      <c r="H424" s="301"/>
      <c r="I424" s="285"/>
      <c r="J424" s="377"/>
      <c r="K424" s="294"/>
      <c r="L424" s="294"/>
      <c r="M424" s="290"/>
      <c r="N424" s="285"/>
      <c r="O424" s="299"/>
      <c r="P424" s="300"/>
      <c r="Q424" s="299">
        <f t="shared" si="1"/>
        <v>52</v>
      </c>
      <c r="R424" s="424"/>
      <c r="S424" s="198"/>
      <c r="T424" s="198"/>
      <c r="U424" s="198"/>
      <c r="V424" s="198"/>
      <c r="W424" s="198"/>
      <c r="X424" s="198"/>
      <c r="Y424" s="198"/>
      <c r="Z424" s="198"/>
    </row>
    <row r="425" ht="72.0" customHeight="1">
      <c r="A425" s="285"/>
      <c r="B425" s="299"/>
      <c r="C425" s="285"/>
      <c r="D425" s="367"/>
      <c r="E425" s="287"/>
      <c r="F425" s="288"/>
      <c r="G425" s="367"/>
      <c r="H425" s="301"/>
      <c r="I425" s="285"/>
      <c r="J425" s="377"/>
      <c r="K425" s="294"/>
      <c r="L425" s="294"/>
      <c r="M425" s="290"/>
      <c r="N425" s="285"/>
      <c r="O425" s="299"/>
      <c r="P425" s="300"/>
      <c r="Q425" s="299">
        <f t="shared" si="1"/>
        <v>52</v>
      </c>
      <c r="R425" s="424"/>
      <c r="S425" s="198"/>
      <c r="T425" s="198"/>
      <c r="U425" s="198"/>
      <c r="V425" s="198"/>
      <c r="W425" s="198"/>
      <c r="X425" s="198"/>
      <c r="Y425" s="198"/>
      <c r="Z425" s="198"/>
    </row>
    <row r="426" ht="57.75" customHeight="1">
      <c r="A426" s="285"/>
      <c r="B426" s="299"/>
      <c r="C426" s="285"/>
      <c r="D426" s="367"/>
      <c r="E426" s="287"/>
      <c r="F426" s="288"/>
      <c r="G426" s="367"/>
      <c r="H426" s="301"/>
      <c r="I426" s="285"/>
      <c r="J426" s="377"/>
      <c r="K426" s="294"/>
      <c r="L426" s="294"/>
      <c r="M426" s="290"/>
      <c r="N426" s="285"/>
      <c r="O426" s="299"/>
      <c r="P426" s="300"/>
      <c r="Q426" s="299">
        <f t="shared" si="1"/>
        <v>52</v>
      </c>
      <c r="R426" s="424"/>
      <c r="S426" s="198"/>
      <c r="T426" s="198"/>
      <c r="U426" s="198"/>
      <c r="V426" s="198"/>
      <c r="W426" s="198"/>
      <c r="X426" s="198"/>
      <c r="Y426" s="198"/>
      <c r="Z426" s="198"/>
    </row>
    <row r="427" ht="57.75" customHeight="1">
      <c r="A427" s="299"/>
      <c r="B427" s="285"/>
      <c r="C427" s="285"/>
      <c r="D427" s="285"/>
      <c r="E427" s="287"/>
      <c r="F427" s="288"/>
      <c r="G427" s="301"/>
      <c r="H427" s="301"/>
      <c r="I427" s="285"/>
      <c r="J427" s="377"/>
      <c r="K427" s="294"/>
      <c r="L427" s="294"/>
      <c r="M427" s="290"/>
      <c r="N427" s="285"/>
      <c r="O427" s="299"/>
      <c r="P427" s="300"/>
      <c r="Q427" s="299">
        <f t="shared" si="1"/>
        <v>52</v>
      </c>
      <c r="R427" s="424"/>
      <c r="S427" s="198"/>
      <c r="T427" s="198"/>
      <c r="U427" s="198"/>
      <c r="V427" s="198"/>
      <c r="W427" s="198"/>
      <c r="X427" s="198"/>
      <c r="Y427" s="198"/>
      <c r="Z427" s="198"/>
    </row>
    <row r="428" ht="63.0" customHeight="1">
      <c r="A428" s="285"/>
      <c r="B428" s="299"/>
      <c r="C428" s="285"/>
      <c r="D428" s="367"/>
      <c r="E428" s="287"/>
      <c r="F428" s="288"/>
      <c r="G428" s="367"/>
      <c r="H428" s="301"/>
      <c r="I428" s="285"/>
      <c r="J428" s="377"/>
      <c r="K428" s="294"/>
      <c r="L428" s="294"/>
      <c r="M428" s="290"/>
      <c r="N428" s="285"/>
      <c r="O428" s="299"/>
      <c r="P428" s="300"/>
      <c r="Q428" s="299">
        <f t="shared" si="1"/>
        <v>52</v>
      </c>
      <c r="R428" s="424"/>
      <c r="S428" s="198"/>
      <c r="T428" s="198"/>
      <c r="U428" s="198"/>
      <c r="V428" s="198"/>
      <c r="W428" s="198"/>
      <c r="X428" s="198"/>
      <c r="Y428" s="198"/>
      <c r="Z428" s="198"/>
    </row>
    <row r="429" ht="69.0" customHeight="1">
      <c r="A429" s="285"/>
      <c r="B429" s="299"/>
      <c r="C429" s="285"/>
      <c r="D429" s="367"/>
      <c r="E429" s="287"/>
      <c r="F429" s="288"/>
      <c r="G429" s="367"/>
      <c r="H429" s="301"/>
      <c r="I429" s="285"/>
      <c r="J429" s="377"/>
      <c r="K429" s="294"/>
      <c r="L429" s="294"/>
      <c r="M429" s="290"/>
      <c r="N429" s="285"/>
      <c r="O429" s="299"/>
      <c r="P429" s="300"/>
      <c r="Q429" s="299">
        <f t="shared" si="1"/>
        <v>52</v>
      </c>
      <c r="R429" s="424"/>
      <c r="S429" s="198"/>
      <c r="T429" s="198"/>
      <c r="U429" s="198"/>
      <c r="V429" s="198"/>
      <c r="W429" s="198"/>
      <c r="X429" s="198"/>
      <c r="Y429" s="198"/>
      <c r="Z429" s="198"/>
    </row>
    <row r="430" ht="61.5" customHeight="1">
      <c r="A430" s="299"/>
      <c r="B430" s="285"/>
      <c r="C430" s="285"/>
      <c r="D430" s="285"/>
      <c r="E430" s="287"/>
      <c r="F430" s="288"/>
      <c r="G430" s="301"/>
      <c r="H430" s="301"/>
      <c r="I430" s="285"/>
      <c r="J430" s="377"/>
      <c r="K430" s="294"/>
      <c r="L430" s="294"/>
      <c r="M430" s="290"/>
      <c r="N430" s="285"/>
      <c r="O430" s="299"/>
      <c r="P430" s="300"/>
      <c r="Q430" s="299">
        <f t="shared" si="1"/>
        <v>52</v>
      </c>
      <c r="R430" s="424"/>
      <c r="S430" s="198"/>
      <c r="T430" s="198"/>
      <c r="U430" s="198"/>
      <c r="V430" s="198"/>
      <c r="W430" s="198"/>
      <c r="X430" s="198"/>
      <c r="Y430" s="198"/>
      <c r="Z430" s="198"/>
    </row>
    <row r="431" ht="57.75" customHeight="1">
      <c r="A431" s="285"/>
      <c r="B431" s="299"/>
      <c r="C431" s="285"/>
      <c r="D431" s="367"/>
      <c r="E431" s="287"/>
      <c r="F431" s="288"/>
      <c r="G431" s="367"/>
      <c r="H431" s="301"/>
      <c r="I431" s="285"/>
      <c r="J431" s="377"/>
      <c r="K431" s="294"/>
      <c r="L431" s="294"/>
      <c r="M431" s="290"/>
      <c r="N431" s="285"/>
      <c r="O431" s="299"/>
      <c r="P431" s="300"/>
      <c r="Q431" s="299">
        <f t="shared" si="1"/>
        <v>52</v>
      </c>
      <c r="R431" s="424"/>
      <c r="S431" s="198"/>
      <c r="T431" s="198"/>
      <c r="U431" s="198"/>
      <c r="V431" s="198"/>
      <c r="W431" s="198"/>
      <c r="X431" s="198"/>
      <c r="Y431" s="198"/>
      <c r="Z431" s="198"/>
    </row>
    <row r="432" ht="62.25" customHeight="1">
      <c r="A432" s="285"/>
      <c r="B432" s="299"/>
      <c r="C432" s="285"/>
      <c r="D432" s="367"/>
      <c r="E432" s="287"/>
      <c r="F432" s="288"/>
      <c r="G432" s="367"/>
      <c r="H432" s="301"/>
      <c r="I432" s="285"/>
      <c r="J432" s="377"/>
      <c r="K432" s="294"/>
      <c r="L432" s="294"/>
      <c r="M432" s="290"/>
      <c r="N432" s="285"/>
      <c r="O432" s="299"/>
      <c r="P432" s="300"/>
      <c r="Q432" s="299">
        <f t="shared" si="1"/>
        <v>52</v>
      </c>
      <c r="R432" s="424"/>
      <c r="S432" s="198"/>
      <c r="T432" s="198"/>
      <c r="U432" s="198"/>
      <c r="V432" s="198"/>
      <c r="W432" s="198"/>
      <c r="X432" s="198"/>
      <c r="Y432" s="198"/>
      <c r="Z432" s="198"/>
    </row>
    <row r="433" ht="69.0" customHeight="1">
      <c r="A433" s="299"/>
      <c r="B433" s="285"/>
      <c r="C433" s="285"/>
      <c r="D433" s="285"/>
      <c r="E433" s="287"/>
      <c r="F433" s="288"/>
      <c r="G433" s="301"/>
      <c r="H433" s="301"/>
      <c r="I433" s="285"/>
      <c r="J433" s="377"/>
      <c r="K433" s="294"/>
      <c r="L433" s="294"/>
      <c r="M433" s="290"/>
      <c r="N433" s="285"/>
      <c r="O433" s="299"/>
      <c r="P433" s="300"/>
      <c r="Q433" s="299">
        <f t="shared" si="1"/>
        <v>52</v>
      </c>
      <c r="R433" s="424"/>
      <c r="S433" s="198"/>
      <c r="T433" s="198"/>
      <c r="U433" s="198"/>
      <c r="V433" s="198"/>
      <c r="W433" s="198"/>
      <c r="X433" s="198"/>
      <c r="Y433" s="198"/>
      <c r="Z433" s="198"/>
    </row>
    <row r="434" ht="63.0" customHeight="1">
      <c r="A434" s="285"/>
      <c r="B434" s="299"/>
      <c r="C434" s="285"/>
      <c r="D434" s="367"/>
      <c r="E434" s="287"/>
      <c r="F434" s="288"/>
      <c r="G434" s="367"/>
      <c r="H434" s="301"/>
      <c r="I434" s="285"/>
      <c r="J434" s="377"/>
      <c r="K434" s="294"/>
      <c r="L434" s="294"/>
      <c r="M434" s="290"/>
      <c r="N434" s="285"/>
      <c r="O434" s="299"/>
      <c r="P434" s="300"/>
      <c r="Q434" s="299">
        <f t="shared" si="1"/>
        <v>52</v>
      </c>
      <c r="R434" s="424"/>
      <c r="S434" s="198"/>
      <c r="T434" s="198"/>
      <c r="U434" s="198"/>
      <c r="V434" s="198"/>
      <c r="W434" s="198"/>
      <c r="X434" s="198"/>
      <c r="Y434" s="198"/>
      <c r="Z434" s="198"/>
    </row>
    <row r="435" ht="57.75" customHeight="1">
      <c r="A435" s="285"/>
      <c r="B435" s="299"/>
      <c r="C435" s="285"/>
      <c r="D435" s="367"/>
      <c r="E435" s="287"/>
      <c r="F435" s="288"/>
      <c r="G435" s="367"/>
      <c r="H435" s="301"/>
      <c r="I435" s="285"/>
      <c r="J435" s="377"/>
      <c r="K435" s="294"/>
      <c r="L435" s="294"/>
      <c r="M435" s="290"/>
      <c r="N435" s="285"/>
      <c r="O435" s="299"/>
      <c r="P435" s="300"/>
      <c r="Q435" s="299">
        <f t="shared" si="1"/>
        <v>52</v>
      </c>
      <c r="R435" s="424"/>
      <c r="S435" s="198"/>
      <c r="T435" s="198"/>
      <c r="U435" s="198"/>
      <c r="V435" s="198"/>
      <c r="W435" s="198"/>
      <c r="X435" s="198"/>
      <c r="Y435" s="198"/>
      <c r="Z435" s="198"/>
    </row>
    <row r="436" ht="61.5" customHeight="1">
      <c r="A436" s="299"/>
      <c r="B436" s="285"/>
      <c r="C436" s="285"/>
      <c r="D436" s="285"/>
      <c r="E436" s="287"/>
      <c r="F436" s="288"/>
      <c r="G436" s="301"/>
      <c r="H436" s="301"/>
      <c r="I436" s="285"/>
      <c r="J436" s="377"/>
      <c r="K436" s="294"/>
      <c r="L436" s="294"/>
      <c r="M436" s="290"/>
      <c r="N436" s="285"/>
      <c r="O436" s="299"/>
      <c r="P436" s="300"/>
      <c r="Q436" s="299">
        <f t="shared" si="1"/>
        <v>52</v>
      </c>
      <c r="R436" s="424"/>
      <c r="S436" s="198"/>
      <c r="T436" s="198"/>
      <c r="U436" s="198"/>
      <c r="V436" s="198"/>
      <c r="W436" s="198"/>
      <c r="X436" s="198"/>
      <c r="Y436" s="198"/>
      <c r="Z436" s="198"/>
    </row>
    <row r="437" ht="66.75" customHeight="1">
      <c r="A437" s="285"/>
      <c r="B437" s="299"/>
      <c r="C437" s="285"/>
      <c r="D437" s="367"/>
      <c r="E437" s="287"/>
      <c r="F437" s="288"/>
      <c r="G437" s="367"/>
      <c r="H437" s="301"/>
      <c r="I437" s="285"/>
      <c r="J437" s="377"/>
      <c r="K437" s="294"/>
      <c r="L437" s="294"/>
      <c r="M437" s="290"/>
      <c r="N437" s="285"/>
      <c r="O437" s="299"/>
      <c r="P437" s="300"/>
      <c r="Q437" s="299">
        <f t="shared" si="1"/>
        <v>52</v>
      </c>
      <c r="R437" s="424"/>
      <c r="S437" s="198"/>
      <c r="T437" s="198"/>
      <c r="U437" s="198"/>
      <c r="V437" s="198"/>
      <c r="W437" s="198"/>
      <c r="X437" s="198"/>
      <c r="Y437" s="198"/>
      <c r="Z437" s="198"/>
    </row>
    <row r="438" ht="57.75" customHeight="1">
      <c r="A438" s="285"/>
      <c r="B438" s="299"/>
      <c r="C438" s="285"/>
      <c r="D438" s="367"/>
      <c r="E438" s="287"/>
      <c r="F438" s="288"/>
      <c r="G438" s="367"/>
      <c r="H438" s="301"/>
      <c r="I438" s="285"/>
      <c r="J438" s="377"/>
      <c r="K438" s="294"/>
      <c r="L438" s="294"/>
      <c r="M438" s="290"/>
      <c r="N438" s="285"/>
      <c r="O438" s="299"/>
      <c r="P438" s="300"/>
      <c r="Q438" s="299">
        <f t="shared" si="1"/>
        <v>52</v>
      </c>
      <c r="R438" s="424"/>
      <c r="S438" s="198"/>
      <c r="T438" s="198"/>
      <c r="U438" s="198"/>
      <c r="V438" s="198"/>
      <c r="W438" s="198"/>
      <c r="X438" s="198"/>
      <c r="Y438" s="198"/>
      <c r="Z438" s="198"/>
    </row>
    <row r="439" ht="57.75" customHeight="1">
      <c r="A439" s="299"/>
      <c r="B439" s="285"/>
      <c r="C439" s="285"/>
      <c r="D439" s="285"/>
      <c r="E439" s="287"/>
      <c r="F439" s="288"/>
      <c r="G439" s="301"/>
      <c r="H439" s="301"/>
      <c r="I439" s="285"/>
      <c r="J439" s="377"/>
      <c r="K439" s="294"/>
      <c r="L439" s="294"/>
      <c r="M439" s="290"/>
      <c r="N439" s="285"/>
      <c r="O439" s="299"/>
      <c r="P439" s="300"/>
      <c r="Q439" s="299">
        <f t="shared" si="1"/>
        <v>52</v>
      </c>
      <c r="R439" s="424"/>
      <c r="S439" s="198"/>
      <c r="T439" s="198"/>
      <c r="U439" s="198"/>
      <c r="V439" s="198"/>
      <c r="W439" s="198"/>
      <c r="X439" s="198"/>
      <c r="Y439" s="198"/>
      <c r="Z439" s="198"/>
    </row>
    <row r="440" ht="57.75" customHeight="1">
      <c r="A440" s="285"/>
      <c r="B440" s="299"/>
      <c r="C440" s="285"/>
      <c r="D440" s="367"/>
      <c r="E440" s="287"/>
      <c r="F440" s="288"/>
      <c r="G440" s="367"/>
      <c r="H440" s="301"/>
      <c r="I440" s="285"/>
      <c r="J440" s="377"/>
      <c r="K440" s="294"/>
      <c r="L440" s="294"/>
      <c r="M440" s="290"/>
      <c r="N440" s="285"/>
      <c r="O440" s="299"/>
      <c r="P440" s="300"/>
      <c r="Q440" s="299">
        <f t="shared" si="1"/>
        <v>52</v>
      </c>
      <c r="R440" s="424"/>
      <c r="S440" s="198"/>
      <c r="T440" s="198"/>
      <c r="U440" s="198"/>
      <c r="V440" s="198"/>
      <c r="W440" s="198"/>
      <c r="X440" s="198"/>
      <c r="Y440" s="198"/>
      <c r="Z440" s="198"/>
    </row>
    <row r="441" ht="57.75" customHeight="1">
      <c r="A441" s="285"/>
      <c r="B441" s="299"/>
      <c r="C441" s="285"/>
      <c r="D441" s="367"/>
      <c r="E441" s="287"/>
      <c r="F441" s="288"/>
      <c r="G441" s="367"/>
      <c r="H441" s="301"/>
      <c r="I441" s="285"/>
      <c r="J441" s="377"/>
      <c r="K441" s="294"/>
      <c r="L441" s="294"/>
      <c r="M441" s="290"/>
      <c r="N441" s="285"/>
      <c r="O441" s="299"/>
      <c r="P441" s="300"/>
      <c r="Q441" s="299">
        <f t="shared" si="1"/>
        <v>52</v>
      </c>
      <c r="R441" s="424"/>
      <c r="S441" s="198"/>
      <c r="T441" s="198"/>
      <c r="U441" s="198"/>
      <c r="V441" s="198"/>
      <c r="W441" s="198"/>
      <c r="X441" s="198"/>
      <c r="Y441" s="198"/>
      <c r="Z441" s="198"/>
    </row>
    <row r="442" ht="62.25" customHeight="1">
      <c r="A442" s="299"/>
      <c r="B442" s="285"/>
      <c r="C442" s="285"/>
      <c r="D442" s="285"/>
      <c r="E442" s="287"/>
      <c r="F442" s="288"/>
      <c r="G442" s="301"/>
      <c r="H442" s="301"/>
      <c r="I442" s="285"/>
      <c r="J442" s="377"/>
      <c r="K442" s="294"/>
      <c r="L442" s="294"/>
      <c r="M442" s="290"/>
      <c r="N442" s="285"/>
      <c r="O442" s="299"/>
      <c r="P442" s="300"/>
      <c r="Q442" s="299">
        <f t="shared" si="1"/>
        <v>52</v>
      </c>
      <c r="R442" s="424"/>
      <c r="S442" s="198"/>
      <c r="T442" s="198"/>
      <c r="U442" s="198"/>
      <c r="V442" s="198"/>
      <c r="W442" s="198"/>
      <c r="X442" s="198"/>
      <c r="Y442" s="198"/>
      <c r="Z442" s="198"/>
    </row>
    <row r="443" ht="57.75" customHeight="1">
      <c r="A443" s="285"/>
      <c r="B443" s="299"/>
      <c r="C443" s="285"/>
      <c r="D443" s="367"/>
      <c r="E443" s="287"/>
      <c r="F443" s="288"/>
      <c r="G443" s="367"/>
      <c r="H443" s="301"/>
      <c r="I443" s="285"/>
      <c r="J443" s="377"/>
      <c r="K443" s="294"/>
      <c r="L443" s="294"/>
      <c r="M443" s="290"/>
      <c r="N443" s="285"/>
      <c r="O443" s="299"/>
      <c r="P443" s="300"/>
      <c r="Q443" s="299">
        <f t="shared" si="1"/>
        <v>52</v>
      </c>
      <c r="R443" s="424"/>
      <c r="S443" s="198"/>
      <c r="T443" s="198"/>
      <c r="U443" s="198"/>
      <c r="V443" s="198"/>
      <c r="W443" s="198"/>
      <c r="X443" s="198"/>
      <c r="Y443" s="198"/>
      <c r="Z443" s="198"/>
    </row>
    <row r="444" ht="57.75" customHeight="1">
      <c r="A444" s="285"/>
      <c r="B444" s="299"/>
      <c r="C444" s="285"/>
      <c r="D444" s="367"/>
      <c r="E444" s="287"/>
      <c r="F444" s="288"/>
      <c r="G444" s="367"/>
      <c r="H444" s="301"/>
      <c r="I444" s="285"/>
      <c r="J444" s="377"/>
      <c r="K444" s="294"/>
      <c r="L444" s="294"/>
      <c r="M444" s="290"/>
      <c r="N444" s="285"/>
      <c r="O444" s="299"/>
      <c r="P444" s="300"/>
      <c r="Q444" s="299">
        <f t="shared" si="1"/>
        <v>52</v>
      </c>
      <c r="R444" s="424"/>
      <c r="S444" s="198"/>
      <c r="T444" s="198"/>
      <c r="U444" s="198"/>
      <c r="V444" s="198"/>
      <c r="W444" s="198"/>
      <c r="X444" s="198"/>
      <c r="Y444" s="198"/>
      <c r="Z444" s="198"/>
    </row>
    <row r="445" ht="84.0" customHeight="1">
      <c r="A445" s="299"/>
      <c r="B445" s="285"/>
      <c r="C445" s="285"/>
      <c r="D445" s="285"/>
      <c r="E445" s="287"/>
      <c r="F445" s="288"/>
      <c r="G445" s="301"/>
      <c r="H445" s="301"/>
      <c r="I445" s="285"/>
      <c r="J445" s="377"/>
      <c r="K445" s="294"/>
      <c r="L445" s="294"/>
      <c r="M445" s="290"/>
      <c r="N445" s="285"/>
      <c r="O445" s="299"/>
      <c r="P445" s="300"/>
      <c r="Q445" s="299">
        <f t="shared" si="1"/>
        <v>52</v>
      </c>
      <c r="R445" s="424"/>
      <c r="S445" s="198"/>
      <c r="T445" s="198"/>
      <c r="U445" s="198"/>
      <c r="V445" s="198"/>
      <c r="W445" s="198"/>
      <c r="X445" s="198"/>
      <c r="Y445" s="198"/>
      <c r="Z445" s="198"/>
    </row>
    <row r="446" ht="68.25" customHeight="1">
      <c r="A446" s="285"/>
      <c r="B446" s="299"/>
      <c r="C446" s="285"/>
      <c r="D446" s="367"/>
      <c r="E446" s="287"/>
      <c r="F446" s="288"/>
      <c r="G446" s="367"/>
      <c r="H446" s="301"/>
      <c r="I446" s="285"/>
      <c r="J446" s="377"/>
      <c r="K446" s="294"/>
      <c r="L446" s="294"/>
      <c r="M446" s="290"/>
      <c r="N446" s="285"/>
      <c r="O446" s="299"/>
      <c r="P446" s="300"/>
      <c r="Q446" s="299">
        <f t="shared" si="1"/>
        <v>52</v>
      </c>
      <c r="R446" s="424"/>
      <c r="S446" s="198"/>
      <c r="T446" s="198"/>
      <c r="U446" s="198"/>
      <c r="V446" s="198"/>
      <c r="W446" s="198"/>
      <c r="X446" s="198"/>
      <c r="Y446" s="198"/>
      <c r="Z446" s="198"/>
    </row>
    <row r="447" ht="72.75" customHeight="1">
      <c r="A447" s="285"/>
      <c r="B447" s="299"/>
      <c r="C447" s="285"/>
      <c r="D447" s="367"/>
      <c r="E447" s="287"/>
      <c r="F447" s="288"/>
      <c r="G447" s="367"/>
      <c r="H447" s="301"/>
      <c r="I447" s="285"/>
      <c r="J447" s="377"/>
      <c r="K447" s="294"/>
      <c r="L447" s="294"/>
      <c r="M447" s="290"/>
      <c r="N447" s="285"/>
      <c r="O447" s="299"/>
      <c r="P447" s="300"/>
      <c r="Q447" s="299">
        <f t="shared" si="1"/>
        <v>52</v>
      </c>
      <c r="R447" s="424"/>
      <c r="S447" s="198"/>
      <c r="T447" s="198"/>
      <c r="U447" s="198"/>
      <c r="V447" s="198"/>
      <c r="W447" s="198"/>
      <c r="X447" s="198"/>
      <c r="Y447" s="198"/>
      <c r="Z447" s="198"/>
    </row>
    <row r="448" ht="64.5" customHeight="1">
      <c r="A448" s="299"/>
      <c r="B448" s="285"/>
      <c r="C448" s="285"/>
      <c r="D448" s="285"/>
      <c r="E448" s="287"/>
      <c r="F448" s="288"/>
      <c r="G448" s="301"/>
      <c r="H448" s="301"/>
      <c r="I448" s="285"/>
      <c r="J448" s="377"/>
      <c r="K448" s="294"/>
      <c r="L448" s="294"/>
      <c r="M448" s="290"/>
      <c r="N448" s="285"/>
      <c r="O448" s="299"/>
      <c r="P448" s="300"/>
      <c r="Q448" s="299">
        <f t="shared" si="1"/>
        <v>52</v>
      </c>
      <c r="R448" s="424"/>
      <c r="S448" s="198"/>
      <c r="T448" s="198"/>
      <c r="U448" s="198"/>
      <c r="V448" s="198"/>
      <c r="W448" s="198"/>
      <c r="X448" s="198"/>
      <c r="Y448" s="198"/>
      <c r="Z448" s="198"/>
    </row>
    <row r="449" ht="69.0" customHeight="1">
      <c r="A449" s="285"/>
      <c r="B449" s="299"/>
      <c r="C449" s="285"/>
      <c r="D449" s="367"/>
      <c r="E449" s="287"/>
      <c r="F449" s="288"/>
      <c r="G449" s="367"/>
      <c r="H449" s="301"/>
      <c r="I449" s="285"/>
      <c r="J449" s="377"/>
      <c r="K449" s="294"/>
      <c r="L449" s="294"/>
      <c r="M449" s="290"/>
      <c r="N449" s="285"/>
      <c r="O449" s="299"/>
      <c r="P449" s="300"/>
      <c r="Q449" s="299">
        <f t="shared" si="1"/>
        <v>52</v>
      </c>
      <c r="R449" s="424"/>
      <c r="S449" s="198"/>
      <c r="T449" s="198"/>
      <c r="U449" s="198"/>
      <c r="V449" s="198"/>
      <c r="W449" s="198"/>
      <c r="X449" s="198"/>
      <c r="Y449" s="198"/>
      <c r="Z449" s="198"/>
    </row>
    <row r="450" ht="71.25" customHeight="1">
      <c r="A450" s="285"/>
      <c r="B450" s="299"/>
      <c r="C450" s="285"/>
      <c r="D450" s="367"/>
      <c r="E450" s="287"/>
      <c r="F450" s="288"/>
      <c r="G450" s="367"/>
      <c r="H450" s="301"/>
      <c r="I450" s="285"/>
      <c r="J450" s="377"/>
      <c r="K450" s="294"/>
      <c r="L450" s="294"/>
      <c r="M450" s="290"/>
      <c r="N450" s="285"/>
      <c r="O450" s="299"/>
      <c r="P450" s="300"/>
      <c r="Q450" s="299">
        <f t="shared" si="1"/>
        <v>52</v>
      </c>
      <c r="R450" s="424"/>
      <c r="S450" s="198"/>
      <c r="T450" s="198"/>
      <c r="U450" s="198"/>
      <c r="V450" s="198"/>
      <c r="W450" s="198"/>
      <c r="X450" s="198"/>
      <c r="Y450" s="198"/>
      <c r="Z450" s="198"/>
    </row>
    <row r="451" ht="66.75" customHeight="1">
      <c r="A451" s="299"/>
      <c r="B451" s="285"/>
      <c r="C451" s="285"/>
      <c r="D451" s="285"/>
      <c r="E451" s="287"/>
      <c r="F451" s="288"/>
      <c r="G451" s="301"/>
      <c r="H451" s="301"/>
      <c r="I451" s="285"/>
      <c r="J451" s="377"/>
      <c r="K451" s="294"/>
      <c r="L451" s="294"/>
      <c r="M451" s="290"/>
      <c r="N451" s="285"/>
      <c r="O451" s="299"/>
      <c r="P451" s="300"/>
      <c r="Q451" s="299">
        <f t="shared" si="1"/>
        <v>52</v>
      </c>
      <c r="R451" s="424"/>
      <c r="S451" s="198"/>
      <c r="T451" s="198"/>
      <c r="U451" s="198"/>
      <c r="V451" s="198"/>
      <c r="W451" s="198"/>
      <c r="X451" s="198"/>
      <c r="Y451" s="198"/>
      <c r="Z451" s="198"/>
    </row>
    <row r="452" ht="65.25" customHeight="1">
      <c r="A452" s="285"/>
      <c r="B452" s="299"/>
      <c r="C452" s="285"/>
      <c r="D452" s="367"/>
      <c r="E452" s="287"/>
      <c r="F452" s="288"/>
      <c r="G452" s="367"/>
      <c r="H452" s="301"/>
      <c r="I452" s="285"/>
      <c r="J452" s="377"/>
      <c r="K452" s="294"/>
      <c r="L452" s="294"/>
      <c r="M452" s="290"/>
      <c r="N452" s="285"/>
      <c r="O452" s="299"/>
      <c r="P452" s="300"/>
      <c r="Q452" s="299">
        <f t="shared" si="1"/>
        <v>52</v>
      </c>
      <c r="R452" s="424"/>
      <c r="S452" s="198"/>
      <c r="T452" s="198"/>
      <c r="U452" s="198"/>
      <c r="V452" s="198"/>
      <c r="W452" s="198"/>
      <c r="X452" s="198"/>
      <c r="Y452" s="198"/>
      <c r="Z452" s="198"/>
    </row>
    <row r="453" ht="69.75" customHeight="1">
      <c r="A453" s="285"/>
      <c r="B453" s="299"/>
      <c r="C453" s="285"/>
      <c r="D453" s="367"/>
      <c r="E453" s="287"/>
      <c r="F453" s="288"/>
      <c r="G453" s="367"/>
      <c r="H453" s="301"/>
      <c r="I453" s="285"/>
      <c r="J453" s="377"/>
      <c r="K453" s="294"/>
      <c r="L453" s="294"/>
      <c r="M453" s="290"/>
      <c r="N453" s="285"/>
      <c r="O453" s="299"/>
      <c r="P453" s="300"/>
      <c r="Q453" s="299">
        <f t="shared" si="1"/>
        <v>52</v>
      </c>
      <c r="R453" s="424"/>
      <c r="S453" s="198"/>
      <c r="T453" s="198"/>
      <c r="U453" s="198"/>
      <c r="V453" s="198"/>
      <c r="W453" s="198"/>
      <c r="X453" s="198"/>
      <c r="Y453" s="198"/>
      <c r="Z453" s="198"/>
    </row>
    <row r="454" ht="70.5" customHeight="1">
      <c r="A454" s="299"/>
      <c r="B454" s="285"/>
      <c r="C454" s="285"/>
      <c r="D454" s="285"/>
      <c r="E454" s="287"/>
      <c r="F454" s="288"/>
      <c r="G454" s="301"/>
      <c r="H454" s="301"/>
      <c r="I454" s="285"/>
      <c r="J454" s="377"/>
      <c r="K454" s="294"/>
      <c r="L454" s="294"/>
      <c r="M454" s="290"/>
      <c r="N454" s="285"/>
      <c r="O454" s="299"/>
      <c r="P454" s="300"/>
      <c r="Q454" s="299">
        <f t="shared" si="1"/>
        <v>52</v>
      </c>
      <c r="R454" s="424"/>
      <c r="S454" s="198"/>
      <c r="T454" s="198"/>
      <c r="U454" s="198"/>
      <c r="V454" s="198"/>
      <c r="W454" s="198"/>
      <c r="X454" s="198"/>
      <c r="Y454" s="198"/>
      <c r="Z454" s="198"/>
    </row>
    <row r="455" ht="69.75" customHeight="1">
      <c r="A455" s="285"/>
      <c r="B455" s="299"/>
      <c r="C455" s="285"/>
      <c r="D455" s="367"/>
      <c r="E455" s="287"/>
      <c r="F455" s="288"/>
      <c r="G455" s="367"/>
      <c r="H455" s="301"/>
      <c r="I455" s="285"/>
      <c r="J455" s="377"/>
      <c r="K455" s="294"/>
      <c r="L455" s="294"/>
      <c r="M455" s="290"/>
      <c r="N455" s="285"/>
      <c r="O455" s="299"/>
      <c r="P455" s="300"/>
      <c r="Q455" s="299">
        <f t="shared" si="1"/>
        <v>52</v>
      </c>
      <c r="R455" s="424"/>
      <c r="S455" s="198"/>
      <c r="T455" s="198"/>
      <c r="U455" s="198"/>
      <c r="V455" s="198"/>
      <c r="W455" s="198"/>
      <c r="X455" s="198"/>
      <c r="Y455" s="198"/>
      <c r="Z455" s="198"/>
    </row>
    <row r="456" ht="68.25" customHeight="1">
      <c r="A456" s="285"/>
      <c r="B456" s="299"/>
      <c r="C456" s="285"/>
      <c r="D456" s="367"/>
      <c r="E456" s="287"/>
      <c r="F456" s="288"/>
      <c r="G456" s="367"/>
      <c r="H456" s="301"/>
      <c r="I456" s="285"/>
      <c r="J456" s="377"/>
      <c r="K456" s="294"/>
      <c r="L456" s="294"/>
      <c r="M456" s="290"/>
      <c r="N456" s="285"/>
      <c r="O456" s="299"/>
      <c r="P456" s="300"/>
      <c r="Q456" s="299">
        <f t="shared" si="1"/>
        <v>52</v>
      </c>
      <c r="R456" s="424"/>
      <c r="S456" s="198"/>
      <c r="T456" s="198"/>
      <c r="U456" s="198"/>
      <c r="V456" s="198"/>
      <c r="W456" s="198"/>
      <c r="X456" s="198"/>
      <c r="Y456" s="198"/>
      <c r="Z456" s="198"/>
    </row>
    <row r="457" ht="57.75" customHeight="1">
      <c r="A457" s="299"/>
      <c r="B457" s="285"/>
      <c r="C457" s="285"/>
      <c r="D457" s="285"/>
      <c r="E457" s="287"/>
      <c r="F457" s="288"/>
      <c r="G457" s="301"/>
      <c r="H457" s="301"/>
      <c r="I457" s="285"/>
      <c r="J457" s="377"/>
      <c r="K457" s="294"/>
      <c r="L457" s="294"/>
      <c r="M457" s="290"/>
      <c r="N457" s="285"/>
      <c r="O457" s="299"/>
      <c r="P457" s="300"/>
      <c r="Q457" s="299">
        <f t="shared" si="1"/>
        <v>52</v>
      </c>
      <c r="R457" s="424"/>
      <c r="S457" s="198"/>
      <c r="T457" s="198"/>
      <c r="U457" s="198"/>
      <c r="V457" s="198"/>
      <c r="W457" s="198"/>
      <c r="X457" s="198"/>
      <c r="Y457" s="198"/>
      <c r="Z457" s="198"/>
    </row>
    <row r="458" ht="67.5" customHeight="1">
      <c r="A458" s="285"/>
      <c r="B458" s="299"/>
      <c r="C458" s="285"/>
      <c r="D458" s="367"/>
      <c r="E458" s="287"/>
      <c r="F458" s="288"/>
      <c r="G458" s="367"/>
      <c r="H458" s="301"/>
      <c r="I458" s="285"/>
      <c r="J458" s="377"/>
      <c r="K458" s="294"/>
      <c r="L458" s="294"/>
      <c r="M458" s="290"/>
      <c r="N458" s="285"/>
      <c r="O458" s="299"/>
      <c r="P458" s="300"/>
      <c r="Q458" s="299">
        <f t="shared" si="1"/>
        <v>52</v>
      </c>
      <c r="R458" s="424"/>
      <c r="S458" s="198"/>
      <c r="T458" s="198"/>
      <c r="U458" s="198"/>
      <c r="V458" s="198"/>
      <c r="W458" s="198"/>
      <c r="X458" s="198"/>
      <c r="Y458" s="198"/>
      <c r="Z458" s="198"/>
    </row>
    <row r="459" ht="68.25" customHeight="1">
      <c r="A459" s="285"/>
      <c r="B459" s="299"/>
      <c r="C459" s="285"/>
      <c r="D459" s="367"/>
      <c r="E459" s="287"/>
      <c r="F459" s="288"/>
      <c r="G459" s="367"/>
      <c r="H459" s="301"/>
      <c r="I459" s="285"/>
      <c r="J459" s="377"/>
      <c r="K459" s="294"/>
      <c r="L459" s="294"/>
      <c r="M459" s="290"/>
      <c r="N459" s="285"/>
      <c r="O459" s="299"/>
      <c r="P459" s="300"/>
      <c r="Q459" s="299">
        <f t="shared" si="1"/>
        <v>52</v>
      </c>
      <c r="R459" s="424"/>
      <c r="S459" s="198"/>
      <c r="T459" s="198"/>
      <c r="U459" s="198"/>
      <c r="V459" s="198"/>
      <c r="W459" s="198"/>
      <c r="X459" s="198"/>
      <c r="Y459" s="198"/>
      <c r="Z459" s="198"/>
    </row>
    <row r="460" ht="72.0" customHeight="1">
      <c r="A460" s="299"/>
      <c r="B460" s="285"/>
      <c r="C460" s="285"/>
      <c r="D460" s="285"/>
      <c r="E460" s="287"/>
      <c r="F460" s="288"/>
      <c r="G460" s="301"/>
      <c r="H460" s="301"/>
      <c r="I460" s="285"/>
      <c r="J460" s="377"/>
      <c r="K460" s="294"/>
      <c r="L460" s="294"/>
      <c r="M460" s="290"/>
      <c r="N460" s="285"/>
      <c r="O460" s="299"/>
      <c r="P460" s="300"/>
      <c r="Q460" s="299">
        <f t="shared" si="1"/>
        <v>52</v>
      </c>
      <c r="R460" s="424"/>
      <c r="S460" s="198"/>
      <c r="T460" s="198"/>
      <c r="U460" s="198"/>
      <c r="V460" s="198"/>
      <c r="W460" s="198"/>
      <c r="X460" s="198"/>
      <c r="Y460" s="198"/>
      <c r="Z460" s="198"/>
    </row>
    <row r="461" ht="63.75" customHeight="1">
      <c r="A461" s="285"/>
      <c r="B461" s="299"/>
      <c r="C461" s="285"/>
      <c r="D461" s="367"/>
      <c r="E461" s="287"/>
      <c r="F461" s="288"/>
      <c r="G461" s="367"/>
      <c r="H461" s="301"/>
      <c r="I461" s="285"/>
      <c r="J461" s="377"/>
      <c r="K461" s="294"/>
      <c r="L461" s="294"/>
      <c r="M461" s="290"/>
      <c r="N461" s="285"/>
      <c r="O461" s="299"/>
      <c r="P461" s="300"/>
      <c r="Q461" s="299">
        <f t="shared" si="1"/>
        <v>52</v>
      </c>
      <c r="R461" s="424"/>
      <c r="S461" s="198"/>
      <c r="T461" s="198"/>
      <c r="U461" s="198"/>
      <c r="V461" s="198"/>
      <c r="W461" s="198"/>
      <c r="X461" s="198"/>
      <c r="Y461" s="198"/>
      <c r="Z461" s="198"/>
    </row>
    <row r="462" ht="63.75" customHeight="1">
      <c r="A462" s="285"/>
      <c r="B462" s="299"/>
      <c r="C462" s="285"/>
      <c r="D462" s="367"/>
      <c r="E462" s="287"/>
      <c r="F462" s="288"/>
      <c r="G462" s="367"/>
      <c r="H462" s="301"/>
      <c r="I462" s="285"/>
      <c r="J462" s="377"/>
      <c r="K462" s="294"/>
      <c r="L462" s="294"/>
      <c r="M462" s="290"/>
      <c r="N462" s="285"/>
      <c r="O462" s="299"/>
      <c r="P462" s="300"/>
      <c r="Q462" s="299">
        <f t="shared" si="1"/>
        <v>52</v>
      </c>
      <c r="R462" s="424"/>
      <c r="S462" s="198"/>
      <c r="T462" s="198"/>
      <c r="U462" s="198"/>
      <c r="V462" s="198"/>
      <c r="W462" s="198"/>
      <c r="X462" s="198"/>
      <c r="Y462" s="198"/>
      <c r="Z462" s="198"/>
    </row>
    <row r="463" ht="63.75" customHeight="1">
      <c r="A463" s="299"/>
      <c r="B463" s="285"/>
      <c r="C463" s="285"/>
      <c r="D463" s="285"/>
      <c r="E463" s="287"/>
      <c r="F463" s="288"/>
      <c r="G463" s="301"/>
      <c r="H463" s="301"/>
      <c r="I463" s="285"/>
      <c r="J463" s="377"/>
      <c r="K463" s="294"/>
      <c r="L463" s="294"/>
      <c r="M463" s="290"/>
      <c r="N463" s="285"/>
      <c r="O463" s="299"/>
      <c r="P463" s="300"/>
      <c r="Q463" s="299">
        <f t="shared" si="1"/>
        <v>52</v>
      </c>
      <c r="R463" s="424"/>
      <c r="S463" s="198"/>
      <c r="T463" s="198"/>
      <c r="U463" s="198"/>
      <c r="V463" s="198"/>
      <c r="W463" s="198"/>
      <c r="X463" s="198"/>
      <c r="Y463" s="198"/>
      <c r="Z463" s="198"/>
    </row>
    <row r="464" ht="63.75" customHeight="1">
      <c r="A464" s="285"/>
      <c r="B464" s="299"/>
      <c r="C464" s="285"/>
      <c r="D464" s="367"/>
      <c r="E464" s="287"/>
      <c r="F464" s="288"/>
      <c r="G464" s="367"/>
      <c r="H464" s="301"/>
      <c r="I464" s="285"/>
      <c r="J464" s="377"/>
      <c r="K464" s="294"/>
      <c r="L464" s="294"/>
      <c r="M464" s="290"/>
      <c r="N464" s="285"/>
      <c r="O464" s="299"/>
      <c r="P464" s="300"/>
      <c r="Q464" s="299">
        <f t="shared" si="1"/>
        <v>52</v>
      </c>
      <c r="R464" s="424"/>
      <c r="S464" s="198"/>
      <c r="T464" s="198"/>
      <c r="U464" s="198"/>
      <c r="V464" s="198"/>
      <c r="W464" s="198"/>
      <c r="X464" s="198"/>
      <c r="Y464" s="198"/>
      <c r="Z464" s="198"/>
    </row>
    <row r="465" ht="63.75" customHeight="1">
      <c r="A465" s="285"/>
      <c r="B465" s="299"/>
      <c r="C465" s="285"/>
      <c r="D465" s="367"/>
      <c r="E465" s="287"/>
      <c r="F465" s="288"/>
      <c r="G465" s="367"/>
      <c r="H465" s="301"/>
      <c r="I465" s="285"/>
      <c r="J465" s="377"/>
      <c r="K465" s="294"/>
      <c r="L465" s="294"/>
      <c r="M465" s="290"/>
      <c r="N465" s="285"/>
      <c r="O465" s="299"/>
      <c r="P465" s="300"/>
      <c r="Q465" s="299">
        <f t="shared" si="1"/>
        <v>52</v>
      </c>
      <c r="R465" s="424"/>
      <c r="S465" s="198"/>
      <c r="T465" s="198"/>
      <c r="U465" s="198"/>
      <c r="V465" s="198"/>
      <c r="W465" s="198"/>
      <c r="X465" s="198"/>
      <c r="Y465" s="198"/>
      <c r="Z465" s="198"/>
    </row>
    <row r="466" ht="69.75" customHeight="1">
      <c r="A466" s="299"/>
      <c r="B466" s="285"/>
      <c r="C466" s="285"/>
      <c r="D466" s="285"/>
      <c r="E466" s="287"/>
      <c r="F466" s="288"/>
      <c r="G466" s="301"/>
      <c r="H466" s="301"/>
      <c r="I466" s="285"/>
      <c r="J466" s="377"/>
      <c r="K466" s="294"/>
      <c r="L466" s="294"/>
      <c r="M466" s="290"/>
      <c r="N466" s="285"/>
      <c r="O466" s="299"/>
      <c r="P466" s="300"/>
      <c r="Q466" s="299">
        <f t="shared" si="1"/>
        <v>52</v>
      </c>
      <c r="R466" s="424"/>
      <c r="S466" s="198"/>
      <c r="T466" s="198"/>
      <c r="U466" s="198"/>
      <c r="V466" s="198"/>
      <c r="W466" s="198"/>
      <c r="X466" s="198"/>
      <c r="Y466" s="198"/>
      <c r="Z466" s="198"/>
    </row>
    <row r="467" ht="72.0" customHeight="1">
      <c r="A467" s="285"/>
      <c r="B467" s="299"/>
      <c r="C467" s="285"/>
      <c r="D467" s="367"/>
      <c r="E467" s="287"/>
      <c r="F467" s="288"/>
      <c r="G467" s="367"/>
      <c r="H467" s="301"/>
      <c r="I467" s="285"/>
      <c r="J467" s="377"/>
      <c r="K467" s="294"/>
      <c r="L467" s="294"/>
      <c r="M467" s="290"/>
      <c r="N467" s="285"/>
      <c r="O467" s="299"/>
      <c r="P467" s="300"/>
      <c r="Q467" s="299">
        <f t="shared" si="1"/>
        <v>52</v>
      </c>
      <c r="R467" s="424"/>
      <c r="S467" s="198"/>
      <c r="T467" s="198"/>
      <c r="U467" s="198"/>
      <c r="V467" s="198"/>
      <c r="W467" s="198"/>
      <c r="X467" s="198"/>
      <c r="Y467" s="198"/>
      <c r="Z467" s="198"/>
    </row>
    <row r="468" ht="76.5" customHeight="1">
      <c r="A468" s="285"/>
      <c r="B468" s="299"/>
      <c r="C468" s="285"/>
      <c r="D468" s="367"/>
      <c r="E468" s="287"/>
      <c r="F468" s="288"/>
      <c r="G468" s="367"/>
      <c r="H468" s="301"/>
      <c r="I468" s="285"/>
      <c r="J468" s="377"/>
      <c r="K468" s="294"/>
      <c r="L468" s="294"/>
      <c r="M468" s="290"/>
      <c r="N468" s="285"/>
      <c r="O468" s="299"/>
      <c r="P468" s="300"/>
      <c r="Q468" s="299">
        <f t="shared" si="1"/>
        <v>52</v>
      </c>
      <c r="R468" s="424"/>
      <c r="S468" s="198"/>
      <c r="T468" s="198"/>
      <c r="U468" s="198"/>
      <c r="V468" s="198"/>
      <c r="W468" s="198"/>
      <c r="X468" s="198"/>
      <c r="Y468" s="198"/>
      <c r="Z468" s="198"/>
    </row>
    <row r="469" ht="72.75" customHeight="1">
      <c r="A469" s="299"/>
      <c r="B469" s="285"/>
      <c r="C469" s="285"/>
      <c r="D469" s="285"/>
      <c r="E469" s="287"/>
      <c r="F469" s="288"/>
      <c r="G469" s="301"/>
      <c r="H469" s="301"/>
      <c r="I469" s="285"/>
      <c r="J469" s="377"/>
      <c r="K469" s="294"/>
      <c r="L469" s="294"/>
      <c r="M469" s="290"/>
      <c r="N469" s="285"/>
      <c r="O469" s="299"/>
      <c r="P469" s="300"/>
      <c r="Q469" s="299">
        <f t="shared" si="1"/>
        <v>52</v>
      </c>
      <c r="R469" s="424"/>
      <c r="S469" s="198"/>
      <c r="T469" s="198"/>
      <c r="U469" s="198"/>
      <c r="V469" s="198"/>
      <c r="W469" s="198"/>
      <c r="X469" s="198"/>
      <c r="Y469" s="198"/>
      <c r="Z469" s="198"/>
    </row>
    <row r="470" ht="71.25" customHeight="1">
      <c r="A470" s="285"/>
      <c r="B470" s="299"/>
      <c r="C470" s="285"/>
      <c r="D470" s="367"/>
      <c r="E470" s="287"/>
      <c r="F470" s="288"/>
      <c r="G470" s="367"/>
      <c r="H470" s="301"/>
      <c r="I470" s="285"/>
      <c r="J470" s="377"/>
      <c r="K470" s="294"/>
      <c r="L470" s="294"/>
      <c r="M470" s="290"/>
      <c r="N470" s="285"/>
      <c r="O470" s="299"/>
      <c r="P470" s="300"/>
      <c r="Q470" s="299">
        <f t="shared" si="1"/>
        <v>52</v>
      </c>
      <c r="R470" s="424"/>
      <c r="S470" s="198"/>
      <c r="T470" s="198"/>
      <c r="U470" s="198"/>
      <c r="V470" s="198"/>
      <c r="W470" s="198"/>
      <c r="X470" s="198"/>
      <c r="Y470" s="198"/>
      <c r="Z470" s="198"/>
    </row>
    <row r="471" ht="76.5" customHeight="1">
      <c r="A471" s="285"/>
      <c r="B471" s="299"/>
      <c r="C471" s="285"/>
      <c r="D471" s="367"/>
      <c r="E471" s="287"/>
      <c r="F471" s="288"/>
      <c r="G471" s="367"/>
      <c r="H471" s="301"/>
      <c r="I471" s="285"/>
      <c r="J471" s="377"/>
      <c r="K471" s="294"/>
      <c r="L471" s="294"/>
      <c r="M471" s="290"/>
      <c r="N471" s="285"/>
      <c r="O471" s="299"/>
      <c r="P471" s="300"/>
      <c r="Q471" s="299">
        <f t="shared" si="1"/>
        <v>52</v>
      </c>
      <c r="R471" s="424"/>
      <c r="S471" s="198"/>
      <c r="T471" s="198"/>
      <c r="U471" s="198"/>
      <c r="V471" s="198"/>
      <c r="W471" s="198"/>
      <c r="X471" s="198"/>
      <c r="Y471" s="198"/>
      <c r="Z471" s="198"/>
    </row>
    <row r="472" ht="72.75" customHeight="1">
      <c r="A472" s="299"/>
      <c r="B472" s="285"/>
      <c r="C472" s="285"/>
      <c r="D472" s="285"/>
      <c r="E472" s="287"/>
      <c r="F472" s="288"/>
      <c r="G472" s="301"/>
      <c r="H472" s="301"/>
      <c r="I472" s="285"/>
      <c r="J472" s="377"/>
      <c r="K472" s="294"/>
      <c r="L472" s="294"/>
      <c r="M472" s="290"/>
      <c r="N472" s="285"/>
      <c r="O472" s="299"/>
      <c r="P472" s="300"/>
      <c r="Q472" s="299">
        <f t="shared" si="1"/>
        <v>52</v>
      </c>
      <c r="R472" s="424"/>
      <c r="S472" s="198"/>
      <c r="T472" s="198"/>
      <c r="U472" s="198"/>
      <c r="V472" s="198"/>
      <c r="W472" s="198"/>
      <c r="X472" s="198"/>
      <c r="Y472" s="198"/>
      <c r="Z472" s="198"/>
    </row>
    <row r="473" ht="66.0" customHeight="1">
      <c r="A473" s="285"/>
      <c r="B473" s="299"/>
      <c r="C473" s="285"/>
      <c r="D473" s="367"/>
      <c r="E473" s="287"/>
      <c r="F473" s="288"/>
      <c r="G473" s="367"/>
      <c r="H473" s="301"/>
      <c r="I473" s="285"/>
      <c r="J473" s="377"/>
      <c r="K473" s="294"/>
      <c r="L473" s="294"/>
      <c r="M473" s="290"/>
      <c r="N473" s="285"/>
      <c r="O473" s="299"/>
      <c r="P473" s="300"/>
      <c r="Q473" s="299">
        <f t="shared" si="1"/>
        <v>52</v>
      </c>
      <c r="R473" s="424"/>
      <c r="S473" s="198"/>
      <c r="T473" s="198"/>
      <c r="U473" s="198"/>
      <c r="V473" s="198"/>
      <c r="W473" s="198"/>
      <c r="X473" s="198"/>
      <c r="Y473" s="198"/>
      <c r="Z473" s="198"/>
    </row>
    <row r="474" ht="70.5" customHeight="1">
      <c r="A474" s="285"/>
      <c r="B474" s="299"/>
      <c r="C474" s="285"/>
      <c r="D474" s="367"/>
      <c r="E474" s="287"/>
      <c r="F474" s="288"/>
      <c r="G474" s="367"/>
      <c r="H474" s="301"/>
      <c r="I474" s="285"/>
      <c r="J474" s="377"/>
      <c r="K474" s="294"/>
      <c r="L474" s="294"/>
      <c r="M474" s="290"/>
      <c r="N474" s="285"/>
      <c r="O474" s="299"/>
      <c r="P474" s="300"/>
      <c r="Q474" s="299">
        <f t="shared" si="1"/>
        <v>52</v>
      </c>
      <c r="R474" s="424"/>
      <c r="S474" s="198"/>
      <c r="T474" s="198"/>
      <c r="U474" s="198"/>
      <c r="V474" s="198"/>
      <c r="W474" s="198"/>
      <c r="X474" s="198"/>
      <c r="Y474" s="198"/>
      <c r="Z474" s="198"/>
    </row>
    <row r="475" ht="70.5" customHeight="1">
      <c r="A475" s="299"/>
      <c r="B475" s="285"/>
      <c r="C475" s="285"/>
      <c r="D475" s="285"/>
      <c r="E475" s="287"/>
      <c r="F475" s="288"/>
      <c r="G475" s="301"/>
      <c r="H475" s="301"/>
      <c r="I475" s="285"/>
      <c r="J475" s="377"/>
      <c r="K475" s="294"/>
      <c r="L475" s="294"/>
      <c r="M475" s="290"/>
      <c r="N475" s="285"/>
      <c r="O475" s="299"/>
      <c r="P475" s="300"/>
      <c r="Q475" s="299">
        <f t="shared" si="1"/>
        <v>52</v>
      </c>
      <c r="R475" s="424"/>
      <c r="S475" s="198"/>
      <c r="T475" s="198"/>
      <c r="U475" s="198"/>
      <c r="V475" s="198"/>
      <c r="W475" s="198"/>
      <c r="X475" s="198"/>
      <c r="Y475" s="198"/>
      <c r="Z475" s="198"/>
    </row>
    <row r="476" ht="72.75" customHeight="1">
      <c r="A476" s="285"/>
      <c r="B476" s="299"/>
      <c r="C476" s="285"/>
      <c r="D476" s="367"/>
      <c r="E476" s="287"/>
      <c r="F476" s="288"/>
      <c r="G476" s="367"/>
      <c r="H476" s="301"/>
      <c r="I476" s="285"/>
      <c r="J476" s="377"/>
      <c r="K476" s="294"/>
      <c r="L476" s="294"/>
      <c r="M476" s="290"/>
      <c r="N476" s="285"/>
      <c r="O476" s="299"/>
      <c r="P476" s="300"/>
      <c r="Q476" s="299">
        <f t="shared" si="1"/>
        <v>52</v>
      </c>
      <c r="R476" s="424"/>
      <c r="S476" s="198"/>
      <c r="T476" s="198"/>
      <c r="U476" s="198"/>
      <c r="V476" s="198"/>
      <c r="W476" s="198"/>
      <c r="X476" s="198"/>
      <c r="Y476" s="198"/>
      <c r="Z476" s="198"/>
    </row>
    <row r="477" ht="69.75" customHeight="1">
      <c r="A477" s="285"/>
      <c r="B477" s="299"/>
      <c r="C477" s="285"/>
      <c r="D477" s="367"/>
      <c r="E477" s="287"/>
      <c r="F477" s="288"/>
      <c r="G477" s="367"/>
      <c r="H477" s="301"/>
      <c r="I477" s="285"/>
      <c r="J477" s="377"/>
      <c r="K477" s="294"/>
      <c r="L477" s="294"/>
      <c r="M477" s="290"/>
      <c r="N477" s="285"/>
      <c r="O477" s="299"/>
      <c r="P477" s="300"/>
      <c r="Q477" s="299">
        <f t="shared" si="1"/>
        <v>52</v>
      </c>
      <c r="R477" s="424"/>
      <c r="S477" s="198"/>
      <c r="T477" s="198"/>
      <c r="U477" s="198"/>
      <c r="V477" s="198"/>
      <c r="W477" s="198"/>
      <c r="X477" s="198"/>
      <c r="Y477" s="198"/>
      <c r="Z477" s="198"/>
    </row>
    <row r="478" ht="63.75" customHeight="1">
      <c r="A478" s="299"/>
      <c r="B478" s="285"/>
      <c r="C478" s="285"/>
      <c r="D478" s="285"/>
      <c r="E478" s="287"/>
      <c r="F478" s="288"/>
      <c r="G478" s="301"/>
      <c r="H478" s="301"/>
      <c r="I478" s="285"/>
      <c r="J478" s="377"/>
      <c r="K478" s="294"/>
      <c r="L478" s="294"/>
      <c r="M478" s="290"/>
      <c r="N478" s="285"/>
      <c r="O478" s="299"/>
      <c r="P478" s="300"/>
      <c r="Q478" s="299">
        <f t="shared" si="1"/>
        <v>52</v>
      </c>
      <c r="R478" s="424"/>
      <c r="S478" s="198"/>
      <c r="T478" s="198"/>
      <c r="U478" s="198"/>
      <c r="V478" s="198"/>
      <c r="W478" s="198"/>
      <c r="X478" s="198"/>
      <c r="Y478" s="198"/>
      <c r="Z478" s="198"/>
    </row>
    <row r="479" ht="63.75" customHeight="1">
      <c r="A479" s="285"/>
      <c r="B479" s="299"/>
      <c r="C479" s="285"/>
      <c r="D479" s="367"/>
      <c r="E479" s="287"/>
      <c r="F479" s="288"/>
      <c r="G479" s="367"/>
      <c r="H479" s="301"/>
      <c r="I479" s="285"/>
      <c r="J479" s="377"/>
      <c r="K479" s="294"/>
      <c r="L479" s="294"/>
      <c r="M479" s="290"/>
      <c r="N479" s="285"/>
      <c r="O479" s="299"/>
      <c r="P479" s="300"/>
      <c r="Q479" s="299">
        <f t="shared" si="1"/>
        <v>52</v>
      </c>
      <c r="R479" s="424"/>
      <c r="S479" s="198"/>
      <c r="T479" s="198"/>
      <c r="U479" s="198"/>
      <c r="V479" s="198"/>
      <c r="W479" s="198"/>
      <c r="X479" s="198"/>
      <c r="Y479" s="198"/>
      <c r="Z479" s="198"/>
    </row>
    <row r="480" ht="69.75" customHeight="1">
      <c r="A480" s="285"/>
      <c r="B480" s="299"/>
      <c r="C480" s="285"/>
      <c r="D480" s="367"/>
      <c r="E480" s="287"/>
      <c r="F480" s="288"/>
      <c r="G480" s="367"/>
      <c r="H480" s="301"/>
      <c r="I480" s="285"/>
      <c r="J480" s="377"/>
      <c r="K480" s="294"/>
      <c r="L480" s="294"/>
      <c r="M480" s="290"/>
      <c r="N480" s="285"/>
      <c r="O480" s="299"/>
      <c r="P480" s="300"/>
      <c r="Q480" s="299">
        <f t="shared" si="1"/>
        <v>52</v>
      </c>
      <c r="R480" s="424"/>
      <c r="S480" s="198"/>
      <c r="T480" s="198"/>
      <c r="U480" s="198"/>
      <c r="V480" s="198"/>
      <c r="W480" s="198"/>
      <c r="X480" s="198"/>
      <c r="Y480" s="198"/>
      <c r="Z480" s="198"/>
    </row>
    <row r="481" ht="66.75" customHeight="1">
      <c r="A481" s="299"/>
      <c r="B481" s="285"/>
      <c r="C481" s="285"/>
      <c r="D481" s="285"/>
      <c r="E481" s="287"/>
      <c r="F481" s="288"/>
      <c r="G481" s="301"/>
      <c r="H481" s="301"/>
      <c r="I481" s="285"/>
      <c r="J481" s="377"/>
      <c r="K481" s="294"/>
      <c r="L481" s="294"/>
      <c r="M481" s="290"/>
      <c r="N481" s="285"/>
      <c r="O481" s="299"/>
      <c r="P481" s="300"/>
      <c r="Q481" s="299">
        <f t="shared" si="1"/>
        <v>52</v>
      </c>
      <c r="R481" s="424"/>
      <c r="S481" s="198"/>
      <c r="T481" s="198"/>
      <c r="U481" s="198"/>
      <c r="V481" s="198"/>
      <c r="W481" s="198"/>
      <c r="X481" s="198"/>
      <c r="Y481" s="198"/>
      <c r="Z481" s="198"/>
    </row>
    <row r="482" ht="68.25" customHeight="1">
      <c r="A482" s="285"/>
      <c r="B482" s="299"/>
      <c r="C482" s="285"/>
      <c r="D482" s="367"/>
      <c r="E482" s="287"/>
      <c r="F482" s="288"/>
      <c r="G482" s="367"/>
      <c r="H482" s="301"/>
      <c r="I482" s="285"/>
      <c r="J482" s="377"/>
      <c r="K482" s="294"/>
      <c r="L482" s="294"/>
      <c r="M482" s="290"/>
      <c r="N482" s="285"/>
      <c r="O482" s="299"/>
      <c r="P482" s="300"/>
      <c r="Q482" s="299">
        <f t="shared" si="1"/>
        <v>52</v>
      </c>
      <c r="R482" s="424"/>
      <c r="S482" s="198"/>
      <c r="T482" s="198"/>
      <c r="U482" s="198"/>
      <c r="V482" s="198"/>
      <c r="W482" s="198"/>
      <c r="X482" s="198"/>
      <c r="Y482" s="198"/>
      <c r="Z482" s="198"/>
    </row>
    <row r="483" ht="62.25" customHeight="1">
      <c r="A483" s="285"/>
      <c r="B483" s="299"/>
      <c r="C483" s="285"/>
      <c r="D483" s="367"/>
      <c r="E483" s="287"/>
      <c r="F483" s="288"/>
      <c r="G483" s="367"/>
      <c r="H483" s="301"/>
      <c r="I483" s="285"/>
      <c r="J483" s="377"/>
      <c r="K483" s="294"/>
      <c r="L483" s="294"/>
      <c r="M483" s="290"/>
      <c r="N483" s="285"/>
      <c r="O483" s="299"/>
      <c r="P483" s="300"/>
      <c r="Q483" s="299">
        <f t="shared" si="1"/>
        <v>52</v>
      </c>
      <c r="R483" s="424"/>
      <c r="S483" s="198"/>
      <c r="T483" s="198"/>
      <c r="U483" s="198"/>
      <c r="V483" s="198"/>
      <c r="W483" s="198"/>
      <c r="X483" s="198"/>
      <c r="Y483" s="198"/>
      <c r="Z483" s="198"/>
    </row>
    <row r="484" ht="77.25" customHeight="1">
      <c r="A484" s="299"/>
      <c r="B484" s="285"/>
      <c r="C484" s="285"/>
      <c r="D484" s="285"/>
      <c r="E484" s="287"/>
      <c r="F484" s="288"/>
      <c r="G484" s="301"/>
      <c r="H484" s="301"/>
      <c r="I484" s="285"/>
      <c r="J484" s="377"/>
      <c r="K484" s="294"/>
      <c r="L484" s="294"/>
      <c r="M484" s="290"/>
      <c r="N484" s="285"/>
      <c r="O484" s="299"/>
      <c r="P484" s="300"/>
      <c r="Q484" s="299">
        <f t="shared" si="1"/>
        <v>52</v>
      </c>
      <c r="R484" s="424"/>
      <c r="S484" s="198"/>
      <c r="T484" s="198"/>
      <c r="U484" s="198"/>
      <c r="V484" s="198"/>
      <c r="W484" s="198"/>
      <c r="X484" s="198"/>
      <c r="Y484" s="198"/>
      <c r="Z484" s="198"/>
    </row>
    <row r="485" ht="67.5" customHeight="1">
      <c r="A485" s="285"/>
      <c r="B485" s="299"/>
      <c r="C485" s="285"/>
      <c r="D485" s="367"/>
      <c r="E485" s="287"/>
      <c r="F485" s="288"/>
      <c r="G485" s="367"/>
      <c r="H485" s="301"/>
      <c r="I485" s="285"/>
      <c r="J485" s="377"/>
      <c r="K485" s="294"/>
      <c r="L485" s="294"/>
      <c r="M485" s="290"/>
      <c r="N485" s="285"/>
      <c r="O485" s="299"/>
      <c r="P485" s="300"/>
      <c r="Q485" s="299">
        <f t="shared" si="1"/>
        <v>52</v>
      </c>
      <c r="R485" s="424"/>
      <c r="S485" s="198"/>
      <c r="T485" s="198"/>
      <c r="U485" s="198"/>
      <c r="V485" s="198"/>
      <c r="W485" s="198"/>
      <c r="X485" s="198"/>
      <c r="Y485" s="198"/>
      <c r="Z485" s="198"/>
    </row>
    <row r="486" ht="65.25" customHeight="1">
      <c r="A486" s="285"/>
      <c r="B486" s="299"/>
      <c r="C486" s="285"/>
      <c r="D486" s="367"/>
      <c r="E486" s="287"/>
      <c r="F486" s="288"/>
      <c r="G486" s="367"/>
      <c r="H486" s="301"/>
      <c r="I486" s="285"/>
      <c r="J486" s="377"/>
      <c r="K486" s="294"/>
      <c r="L486" s="294"/>
      <c r="M486" s="290"/>
      <c r="N486" s="285"/>
      <c r="O486" s="299"/>
      <c r="P486" s="300"/>
      <c r="Q486" s="299">
        <f t="shared" si="1"/>
        <v>52</v>
      </c>
      <c r="R486" s="424"/>
      <c r="S486" s="198"/>
      <c r="T486" s="198"/>
      <c r="U486" s="198"/>
      <c r="V486" s="198"/>
      <c r="W486" s="198"/>
      <c r="X486" s="198"/>
      <c r="Y486" s="198"/>
      <c r="Z486" s="198"/>
    </row>
    <row r="487" ht="68.25" customHeight="1">
      <c r="A487" s="299"/>
      <c r="B487" s="285"/>
      <c r="C487" s="285"/>
      <c r="D487" s="285"/>
      <c r="E487" s="287"/>
      <c r="F487" s="288"/>
      <c r="G487" s="301"/>
      <c r="H487" s="301"/>
      <c r="I487" s="285"/>
      <c r="J487" s="377"/>
      <c r="K487" s="294"/>
      <c r="L487" s="294"/>
      <c r="M487" s="290"/>
      <c r="N487" s="285"/>
      <c r="O487" s="299"/>
      <c r="P487" s="300"/>
      <c r="Q487" s="299">
        <f t="shared" si="1"/>
        <v>52</v>
      </c>
      <c r="R487" s="424"/>
      <c r="S487" s="198"/>
      <c r="T487" s="198"/>
      <c r="U487" s="198"/>
      <c r="V487" s="198"/>
      <c r="W487" s="198"/>
      <c r="X487" s="198"/>
      <c r="Y487" s="198"/>
      <c r="Z487" s="198"/>
    </row>
    <row r="488" ht="74.25" customHeight="1">
      <c r="A488" s="285"/>
      <c r="B488" s="299"/>
      <c r="C488" s="285"/>
      <c r="D488" s="367"/>
      <c r="E488" s="287"/>
      <c r="F488" s="288"/>
      <c r="G488" s="367"/>
      <c r="H488" s="301"/>
      <c r="I488" s="285"/>
      <c r="J488" s="377"/>
      <c r="K488" s="294"/>
      <c r="L488" s="294"/>
      <c r="M488" s="290"/>
      <c r="N488" s="285"/>
      <c r="O488" s="299"/>
      <c r="P488" s="300"/>
      <c r="Q488" s="299">
        <f t="shared" si="1"/>
        <v>52</v>
      </c>
      <c r="R488" s="424"/>
      <c r="S488" s="198"/>
      <c r="T488" s="198"/>
      <c r="U488" s="198"/>
      <c r="V488" s="198"/>
      <c r="W488" s="198"/>
      <c r="X488" s="198"/>
      <c r="Y488" s="198"/>
      <c r="Z488" s="198"/>
    </row>
    <row r="489" ht="75.75" customHeight="1">
      <c r="A489" s="285"/>
      <c r="B489" s="299"/>
      <c r="C489" s="285"/>
      <c r="D489" s="367"/>
      <c r="E489" s="287"/>
      <c r="F489" s="288"/>
      <c r="G489" s="367"/>
      <c r="H489" s="301"/>
      <c r="I489" s="285"/>
      <c r="J489" s="377"/>
      <c r="K489" s="294"/>
      <c r="L489" s="294"/>
      <c r="M489" s="290"/>
      <c r="N489" s="285"/>
      <c r="O489" s="299"/>
      <c r="P489" s="300"/>
      <c r="Q489" s="299">
        <f t="shared" si="1"/>
        <v>52</v>
      </c>
      <c r="R489" s="424"/>
      <c r="S489" s="198"/>
      <c r="T489" s="198"/>
      <c r="U489" s="198"/>
      <c r="V489" s="198"/>
      <c r="W489" s="198"/>
      <c r="X489" s="198"/>
      <c r="Y489" s="198"/>
      <c r="Z489" s="198"/>
    </row>
    <row r="490" ht="72.0" customHeight="1">
      <c r="A490" s="299"/>
      <c r="B490" s="285"/>
      <c r="C490" s="285"/>
      <c r="D490" s="285"/>
      <c r="E490" s="287"/>
      <c r="F490" s="288"/>
      <c r="G490" s="301"/>
      <c r="H490" s="301"/>
      <c r="I490" s="285"/>
      <c r="J490" s="377"/>
      <c r="K490" s="294"/>
      <c r="L490" s="294"/>
      <c r="M490" s="290"/>
      <c r="N490" s="285"/>
      <c r="O490" s="299"/>
      <c r="P490" s="300"/>
      <c r="Q490" s="299">
        <f t="shared" si="1"/>
        <v>52</v>
      </c>
      <c r="R490" s="424"/>
      <c r="S490" s="198"/>
      <c r="T490" s="198"/>
      <c r="U490" s="198"/>
      <c r="V490" s="198"/>
      <c r="W490" s="198"/>
      <c r="X490" s="198"/>
      <c r="Y490" s="198"/>
      <c r="Z490" s="198"/>
    </row>
    <row r="491" ht="65.25" customHeight="1">
      <c r="A491" s="285"/>
      <c r="B491" s="299"/>
      <c r="C491" s="285"/>
      <c r="D491" s="367"/>
      <c r="E491" s="287"/>
      <c r="F491" s="288"/>
      <c r="G491" s="367"/>
      <c r="H491" s="301"/>
      <c r="I491" s="285"/>
      <c r="J491" s="377"/>
      <c r="K491" s="294"/>
      <c r="L491" s="294"/>
      <c r="M491" s="290"/>
      <c r="N491" s="285"/>
      <c r="O491" s="299"/>
      <c r="P491" s="300"/>
      <c r="Q491" s="299">
        <f t="shared" si="1"/>
        <v>52</v>
      </c>
      <c r="R491" s="424"/>
      <c r="S491" s="198"/>
      <c r="T491" s="198"/>
      <c r="U491" s="198"/>
      <c r="V491" s="198"/>
      <c r="W491" s="198"/>
      <c r="X491" s="198"/>
      <c r="Y491" s="198"/>
      <c r="Z491" s="198"/>
    </row>
    <row r="492" ht="61.5" customHeight="1">
      <c r="A492" s="285"/>
      <c r="B492" s="299"/>
      <c r="C492" s="285"/>
      <c r="D492" s="367"/>
      <c r="E492" s="287"/>
      <c r="F492" s="288"/>
      <c r="G492" s="367"/>
      <c r="H492" s="301"/>
      <c r="I492" s="285"/>
      <c r="J492" s="377"/>
      <c r="K492" s="294"/>
      <c r="L492" s="294"/>
      <c r="M492" s="290"/>
      <c r="N492" s="285"/>
      <c r="O492" s="299"/>
      <c r="P492" s="300"/>
      <c r="Q492" s="299">
        <f t="shared" si="1"/>
        <v>52</v>
      </c>
      <c r="R492" s="424"/>
      <c r="S492" s="198"/>
      <c r="T492" s="198"/>
      <c r="U492" s="198"/>
      <c r="V492" s="198"/>
      <c r="W492" s="198"/>
      <c r="X492" s="198"/>
      <c r="Y492" s="198"/>
      <c r="Z492" s="198"/>
    </row>
    <row r="493" ht="65.25" customHeight="1">
      <c r="A493" s="299"/>
      <c r="B493" s="285"/>
      <c r="C493" s="285"/>
      <c r="D493" s="285"/>
      <c r="E493" s="287"/>
      <c r="F493" s="288"/>
      <c r="G493" s="301"/>
      <c r="H493" s="301"/>
      <c r="I493" s="285"/>
      <c r="J493" s="377"/>
      <c r="K493" s="294"/>
      <c r="L493" s="294"/>
      <c r="M493" s="290"/>
      <c r="N493" s="285"/>
      <c r="O493" s="299"/>
      <c r="P493" s="300"/>
      <c r="Q493" s="299">
        <f t="shared" si="1"/>
        <v>52</v>
      </c>
      <c r="R493" s="424"/>
      <c r="S493" s="198"/>
      <c r="T493" s="198"/>
      <c r="U493" s="198"/>
      <c r="V493" s="198"/>
      <c r="W493" s="198"/>
      <c r="X493" s="198"/>
      <c r="Y493" s="198"/>
      <c r="Z493" s="198"/>
    </row>
    <row r="494" ht="71.25" customHeight="1">
      <c r="A494" s="285"/>
      <c r="B494" s="299"/>
      <c r="C494" s="285"/>
      <c r="D494" s="367"/>
      <c r="E494" s="287"/>
      <c r="F494" s="288"/>
      <c r="G494" s="367"/>
      <c r="H494" s="301"/>
      <c r="I494" s="285"/>
      <c r="J494" s="377"/>
      <c r="K494" s="294"/>
      <c r="L494" s="294"/>
      <c r="M494" s="290"/>
      <c r="N494" s="285"/>
      <c r="O494" s="299"/>
      <c r="P494" s="300"/>
      <c r="Q494" s="299">
        <f t="shared" si="1"/>
        <v>52</v>
      </c>
      <c r="R494" s="424"/>
      <c r="S494" s="198"/>
      <c r="T494" s="198"/>
      <c r="U494" s="198"/>
      <c r="V494" s="198"/>
      <c r="W494" s="198"/>
      <c r="X494" s="198"/>
      <c r="Y494" s="198"/>
      <c r="Z494" s="198"/>
    </row>
    <row r="495" ht="68.25" customHeight="1">
      <c r="A495" s="285"/>
      <c r="B495" s="299"/>
      <c r="C495" s="285"/>
      <c r="D495" s="367"/>
      <c r="E495" s="287"/>
      <c r="F495" s="288"/>
      <c r="G495" s="367"/>
      <c r="H495" s="301"/>
      <c r="I495" s="285"/>
      <c r="J495" s="377"/>
      <c r="K495" s="294"/>
      <c r="L495" s="294"/>
      <c r="M495" s="290"/>
      <c r="N495" s="285"/>
      <c r="O495" s="299"/>
      <c r="P495" s="300"/>
      <c r="Q495" s="299">
        <f t="shared" si="1"/>
        <v>52</v>
      </c>
      <c r="R495" s="424"/>
      <c r="S495" s="198"/>
      <c r="T495" s="198"/>
      <c r="U495" s="198"/>
      <c r="V495" s="198"/>
      <c r="W495" s="198"/>
      <c r="X495" s="198"/>
      <c r="Y495" s="198"/>
      <c r="Z495" s="198"/>
    </row>
    <row r="496" ht="75.75" customHeight="1">
      <c r="A496" s="299"/>
      <c r="B496" s="285"/>
      <c r="C496" s="285"/>
      <c r="D496" s="285"/>
      <c r="E496" s="287"/>
      <c r="F496" s="288"/>
      <c r="G496" s="301"/>
      <c r="H496" s="301"/>
      <c r="I496" s="285"/>
      <c r="J496" s="377"/>
      <c r="K496" s="294"/>
      <c r="L496" s="294"/>
      <c r="M496" s="290"/>
      <c r="N496" s="285"/>
      <c r="O496" s="299"/>
      <c r="P496" s="300"/>
      <c r="Q496" s="299">
        <f t="shared" si="1"/>
        <v>52</v>
      </c>
      <c r="R496" s="424"/>
      <c r="S496" s="198"/>
      <c r="T496" s="198"/>
      <c r="U496" s="198"/>
      <c r="V496" s="198"/>
      <c r="W496" s="198"/>
      <c r="X496" s="198"/>
      <c r="Y496" s="198"/>
      <c r="Z496" s="198"/>
    </row>
    <row r="497" ht="71.25" customHeight="1">
      <c r="A497" s="285"/>
      <c r="B497" s="299"/>
      <c r="C497" s="285"/>
      <c r="D497" s="367"/>
      <c r="E497" s="287"/>
      <c r="F497" s="288"/>
      <c r="G497" s="367"/>
      <c r="H497" s="301"/>
      <c r="I497" s="285"/>
      <c r="J497" s="377"/>
      <c r="K497" s="294"/>
      <c r="L497" s="294"/>
      <c r="M497" s="290"/>
      <c r="N497" s="285"/>
      <c r="O497" s="299"/>
      <c r="P497" s="300"/>
      <c r="Q497" s="299">
        <f t="shared" si="1"/>
        <v>52</v>
      </c>
      <c r="R497" s="424"/>
      <c r="S497" s="198"/>
      <c r="T497" s="198"/>
      <c r="U497" s="198"/>
      <c r="V497" s="198"/>
      <c r="W497" s="198"/>
      <c r="X497" s="198"/>
      <c r="Y497" s="198"/>
      <c r="Z497" s="198"/>
    </row>
    <row r="498" ht="72.75" customHeight="1">
      <c r="A498" s="285"/>
      <c r="B498" s="299"/>
      <c r="C498" s="285"/>
      <c r="D498" s="367"/>
      <c r="E498" s="287"/>
      <c r="F498" s="288"/>
      <c r="G498" s="367"/>
      <c r="H498" s="301"/>
      <c r="I498" s="285"/>
      <c r="J498" s="377"/>
      <c r="K498" s="294"/>
      <c r="L498" s="294"/>
      <c r="M498" s="290"/>
      <c r="N498" s="285"/>
      <c r="O498" s="299"/>
      <c r="P498" s="300"/>
      <c r="Q498" s="299">
        <f t="shared" si="1"/>
        <v>52</v>
      </c>
      <c r="R498" s="424"/>
      <c r="S498" s="198"/>
      <c r="T498" s="198"/>
      <c r="U498" s="198"/>
      <c r="V498" s="198"/>
      <c r="W498" s="198"/>
      <c r="X498" s="198"/>
      <c r="Y498" s="198"/>
      <c r="Z498" s="198"/>
    </row>
    <row r="499" ht="74.25" customHeight="1">
      <c r="A499" s="299"/>
      <c r="B499" s="285"/>
      <c r="C499" s="285"/>
      <c r="D499" s="285"/>
      <c r="E499" s="287"/>
      <c r="F499" s="288"/>
      <c r="G499" s="301"/>
      <c r="H499" s="301"/>
      <c r="I499" s="285"/>
      <c r="J499" s="377"/>
      <c r="K499" s="294"/>
      <c r="L499" s="294"/>
      <c r="M499" s="290"/>
      <c r="N499" s="285"/>
      <c r="O499" s="299"/>
      <c r="P499" s="300"/>
      <c r="Q499" s="299">
        <f t="shared" si="1"/>
        <v>52</v>
      </c>
      <c r="R499" s="424"/>
      <c r="S499" s="198"/>
      <c r="T499" s="198"/>
      <c r="U499" s="198"/>
      <c r="V499" s="198"/>
      <c r="W499" s="198"/>
      <c r="X499" s="198"/>
      <c r="Y499" s="198"/>
      <c r="Z499" s="198"/>
    </row>
    <row r="500" ht="78.0" customHeight="1">
      <c r="A500" s="285"/>
      <c r="B500" s="299"/>
      <c r="C500" s="285"/>
      <c r="D500" s="367"/>
      <c r="E500" s="287"/>
      <c r="F500" s="288"/>
      <c r="G500" s="367"/>
      <c r="H500" s="301"/>
      <c r="I500" s="285"/>
      <c r="J500" s="377"/>
      <c r="K500" s="294"/>
      <c r="L500" s="294"/>
      <c r="M500" s="290"/>
      <c r="N500" s="285"/>
      <c r="O500" s="299"/>
      <c r="P500" s="300"/>
      <c r="Q500" s="299">
        <f t="shared" si="1"/>
        <v>52</v>
      </c>
      <c r="R500" s="424"/>
      <c r="S500" s="198"/>
      <c r="T500" s="198"/>
      <c r="U500" s="198"/>
      <c r="V500" s="198"/>
      <c r="W500" s="198"/>
      <c r="X500" s="198"/>
      <c r="Y500" s="198"/>
      <c r="Z500" s="198"/>
    </row>
    <row r="501" ht="66.75" customHeight="1">
      <c r="A501" s="285"/>
      <c r="B501" s="299"/>
      <c r="C501" s="285"/>
      <c r="D501" s="367"/>
      <c r="E501" s="287"/>
      <c r="F501" s="288"/>
      <c r="G501" s="367"/>
      <c r="H501" s="301"/>
      <c r="I501" s="285"/>
      <c r="J501" s="377"/>
      <c r="K501" s="294"/>
      <c r="L501" s="294"/>
      <c r="M501" s="290"/>
      <c r="N501" s="285"/>
      <c r="O501" s="299"/>
      <c r="P501" s="300"/>
      <c r="Q501" s="299">
        <f t="shared" si="1"/>
        <v>52</v>
      </c>
      <c r="R501" s="424"/>
      <c r="S501" s="198"/>
      <c r="T501" s="198"/>
      <c r="U501" s="198"/>
      <c r="V501" s="198"/>
      <c r="W501" s="198"/>
      <c r="X501" s="198"/>
      <c r="Y501" s="198"/>
      <c r="Z501" s="198"/>
    </row>
    <row r="502" ht="65.25" customHeight="1">
      <c r="A502" s="299"/>
      <c r="B502" s="285"/>
      <c r="C502" s="285"/>
      <c r="D502" s="285"/>
      <c r="E502" s="287"/>
      <c r="F502" s="288"/>
      <c r="G502" s="301"/>
      <c r="H502" s="301"/>
      <c r="I502" s="285"/>
      <c r="J502" s="377"/>
      <c r="K502" s="294"/>
      <c r="L502" s="294"/>
      <c r="M502" s="290"/>
      <c r="N502" s="285"/>
      <c r="O502" s="299"/>
      <c r="P502" s="300"/>
      <c r="Q502" s="299">
        <f t="shared" si="1"/>
        <v>52</v>
      </c>
      <c r="R502" s="424"/>
      <c r="S502" s="198"/>
      <c r="T502" s="198"/>
      <c r="U502" s="198"/>
      <c r="V502" s="198"/>
      <c r="W502" s="198"/>
      <c r="X502" s="198"/>
      <c r="Y502" s="198"/>
      <c r="Z502" s="198"/>
    </row>
    <row r="503" ht="73.5" customHeight="1">
      <c r="A503" s="285"/>
      <c r="B503" s="299"/>
      <c r="C503" s="285"/>
      <c r="D503" s="367"/>
      <c r="E503" s="287"/>
      <c r="F503" s="288"/>
      <c r="G503" s="367"/>
      <c r="H503" s="301"/>
      <c r="I503" s="285"/>
      <c r="J503" s="377"/>
      <c r="K503" s="294"/>
      <c r="L503" s="294"/>
      <c r="M503" s="290"/>
      <c r="N503" s="285"/>
      <c r="O503" s="299"/>
      <c r="P503" s="300"/>
      <c r="Q503" s="299">
        <f t="shared" si="1"/>
        <v>52</v>
      </c>
      <c r="R503" s="424"/>
      <c r="S503" s="198"/>
      <c r="T503" s="198"/>
      <c r="U503" s="198"/>
      <c r="V503" s="198"/>
      <c r="W503" s="198"/>
      <c r="X503" s="198"/>
      <c r="Y503" s="198"/>
      <c r="Z503" s="198"/>
    </row>
    <row r="504" ht="77.25" customHeight="1">
      <c r="A504" s="285"/>
      <c r="B504" s="299"/>
      <c r="C504" s="285"/>
      <c r="D504" s="367"/>
      <c r="E504" s="287"/>
      <c r="F504" s="288"/>
      <c r="G504" s="367"/>
      <c r="H504" s="301"/>
      <c r="I504" s="285"/>
      <c r="J504" s="377"/>
      <c r="K504" s="294"/>
      <c r="L504" s="294"/>
      <c r="M504" s="290"/>
      <c r="N504" s="285"/>
      <c r="O504" s="299"/>
      <c r="P504" s="300"/>
      <c r="Q504" s="299">
        <f t="shared" si="1"/>
        <v>52</v>
      </c>
      <c r="R504" s="424"/>
      <c r="S504" s="198"/>
      <c r="T504" s="198"/>
      <c r="U504" s="198"/>
      <c r="V504" s="198"/>
      <c r="W504" s="198"/>
      <c r="X504" s="198"/>
      <c r="Y504" s="198"/>
      <c r="Z504" s="198"/>
    </row>
    <row r="505" ht="71.25" customHeight="1">
      <c r="A505" s="299"/>
      <c r="B505" s="285"/>
      <c r="C505" s="285"/>
      <c r="D505" s="285"/>
      <c r="E505" s="287"/>
      <c r="F505" s="288"/>
      <c r="G505" s="301"/>
      <c r="H505" s="301"/>
      <c r="I505" s="285"/>
      <c r="J505" s="377"/>
      <c r="K505" s="294"/>
      <c r="L505" s="294"/>
      <c r="M505" s="290"/>
      <c r="N505" s="285"/>
      <c r="O505" s="299"/>
      <c r="P505" s="300"/>
      <c r="Q505" s="299">
        <f t="shared" si="1"/>
        <v>52</v>
      </c>
      <c r="R505" s="424"/>
      <c r="S505" s="198"/>
      <c r="T505" s="198"/>
      <c r="U505" s="198"/>
      <c r="V505" s="198"/>
      <c r="W505" s="198"/>
      <c r="X505" s="198"/>
      <c r="Y505" s="198"/>
      <c r="Z505" s="198"/>
    </row>
    <row r="506" ht="74.25" customHeight="1">
      <c r="A506" s="285"/>
      <c r="B506" s="299"/>
      <c r="C506" s="285"/>
      <c r="D506" s="367"/>
      <c r="E506" s="287"/>
      <c r="F506" s="288"/>
      <c r="G506" s="367"/>
      <c r="H506" s="301"/>
      <c r="I506" s="285"/>
      <c r="J506" s="377"/>
      <c r="K506" s="294"/>
      <c r="L506" s="294"/>
      <c r="M506" s="290"/>
      <c r="N506" s="285"/>
      <c r="O506" s="299"/>
      <c r="P506" s="300"/>
      <c r="Q506" s="299">
        <f t="shared" si="1"/>
        <v>52</v>
      </c>
      <c r="R506" s="424"/>
      <c r="S506" s="198"/>
      <c r="T506" s="198"/>
      <c r="U506" s="198"/>
      <c r="V506" s="198"/>
      <c r="W506" s="198"/>
      <c r="X506" s="198"/>
      <c r="Y506" s="198"/>
      <c r="Z506" s="198"/>
    </row>
    <row r="507" ht="72.0" customHeight="1">
      <c r="A507" s="285"/>
      <c r="B507" s="299"/>
      <c r="C507" s="285"/>
      <c r="D507" s="367"/>
      <c r="E507" s="287"/>
      <c r="F507" s="288"/>
      <c r="G507" s="367"/>
      <c r="H507" s="301"/>
      <c r="I507" s="285"/>
      <c r="J507" s="377"/>
      <c r="K507" s="294"/>
      <c r="L507" s="294"/>
      <c r="M507" s="290"/>
      <c r="N507" s="285"/>
      <c r="O507" s="299"/>
      <c r="P507" s="300"/>
      <c r="Q507" s="299">
        <f t="shared" si="1"/>
        <v>52</v>
      </c>
      <c r="R507" s="424"/>
      <c r="S507" s="198"/>
      <c r="T507" s="198"/>
      <c r="U507" s="198"/>
      <c r="V507" s="198"/>
      <c r="W507" s="198"/>
      <c r="X507" s="198"/>
      <c r="Y507" s="198"/>
      <c r="Z507" s="198"/>
    </row>
    <row r="508" ht="66.0" customHeight="1">
      <c r="A508" s="299"/>
      <c r="B508" s="285"/>
      <c r="C508" s="285"/>
      <c r="D508" s="285"/>
      <c r="E508" s="287"/>
      <c r="F508" s="288"/>
      <c r="G508" s="301"/>
      <c r="H508" s="301"/>
      <c r="I508" s="285"/>
      <c r="J508" s="377"/>
      <c r="K508" s="294"/>
      <c r="L508" s="294"/>
      <c r="M508" s="290"/>
      <c r="N508" s="285"/>
      <c r="O508" s="299"/>
      <c r="P508" s="300"/>
      <c r="Q508" s="299">
        <f t="shared" si="1"/>
        <v>52</v>
      </c>
      <c r="R508" s="424"/>
      <c r="S508" s="198"/>
      <c r="T508" s="198"/>
      <c r="U508" s="198"/>
      <c r="V508" s="198"/>
      <c r="W508" s="198"/>
      <c r="X508" s="198"/>
      <c r="Y508" s="198"/>
      <c r="Z508" s="198"/>
    </row>
    <row r="509" ht="60.75" customHeight="1">
      <c r="A509" s="285"/>
      <c r="B509" s="299"/>
      <c r="C509" s="285"/>
      <c r="D509" s="367"/>
      <c r="E509" s="287"/>
      <c r="F509" s="288"/>
      <c r="G509" s="367"/>
      <c r="H509" s="301"/>
      <c r="I509" s="285"/>
      <c r="J509" s="377"/>
      <c r="K509" s="294"/>
      <c r="L509" s="294"/>
      <c r="M509" s="290"/>
      <c r="N509" s="285"/>
      <c r="O509" s="299"/>
      <c r="P509" s="300"/>
      <c r="Q509" s="299">
        <f t="shared" si="1"/>
        <v>52</v>
      </c>
      <c r="R509" s="424"/>
      <c r="S509" s="198"/>
      <c r="T509" s="198"/>
      <c r="U509" s="198"/>
      <c r="V509" s="198"/>
      <c r="W509" s="198"/>
      <c r="X509" s="198"/>
      <c r="Y509" s="198"/>
      <c r="Z509" s="198"/>
    </row>
    <row r="510" ht="64.5" customHeight="1">
      <c r="A510" s="285"/>
      <c r="B510" s="299"/>
      <c r="C510" s="285"/>
      <c r="D510" s="367"/>
      <c r="E510" s="287"/>
      <c r="F510" s="288"/>
      <c r="G510" s="367"/>
      <c r="H510" s="301"/>
      <c r="I510" s="285"/>
      <c r="J510" s="377"/>
      <c r="K510" s="294"/>
      <c r="L510" s="294"/>
      <c r="M510" s="290"/>
      <c r="N510" s="285"/>
      <c r="O510" s="299"/>
      <c r="P510" s="300"/>
      <c r="Q510" s="299">
        <f t="shared" si="1"/>
        <v>52</v>
      </c>
      <c r="R510" s="424"/>
      <c r="S510" s="198"/>
      <c r="T510" s="198"/>
      <c r="U510" s="198"/>
      <c r="V510" s="198"/>
      <c r="W510" s="198"/>
      <c r="X510" s="198"/>
      <c r="Y510" s="198"/>
      <c r="Z510" s="198"/>
    </row>
    <row r="511" ht="72.75" customHeight="1">
      <c r="A511" s="299"/>
      <c r="B511" s="285"/>
      <c r="C511" s="285"/>
      <c r="D511" s="285"/>
      <c r="E511" s="287"/>
      <c r="F511" s="288"/>
      <c r="G511" s="301"/>
      <c r="H511" s="301"/>
      <c r="I511" s="285"/>
      <c r="J511" s="377"/>
      <c r="K511" s="294"/>
      <c r="L511" s="294"/>
      <c r="M511" s="290"/>
      <c r="N511" s="285"/>
      <c r="O511" s="299"/>
      <c r="P511" s="300"/>
      <c r="Q511" s="299">
        <f t="shared" si="1"/>
        <v>52</v>
      </c>
      <c r="R511" s="424"/>
      <c r="S511" s="198"/>
      <c r="T511" s="198"/>
      <c r="U511" s="198"/>
      <c r="V511" s="198"/>
      <c r="W511" s="198"/>
      <c r="X511" s="198"/>
      <c r="Y511" s="198"/>
      <c r="Z511" s="198"/>
    </row>
    <row r="512" ht="67.5" customHeight="1">
      <c r="A512" s="285"/>
      <c r="B512" s="299"/>
      <c r="C512" s="285"/>
      <c r="D512" s="367"/>
      <c r="E512" s="287"/>
      <c r="F512" s="288"/>
      <c r="G512" s="367"/>
      <c r="H512" s="301"/>
      <c r="I512" s="285"/>
      <c r="J512" s="377"/>
      <c r="K512" s="294"/>
      <c r="L512" s="294"/>
      <c r="M512" s="290"/>
      <c r="N512" s="285"/>
      <c r="O512" s="299"/>
      <c r="P512" s="300"/>
      <c r="Q512" s="299">
        <f t="shared" si="1"/>
        <v>52</v>
      </c>
      <c r="R512" s="424"/>
      <c r="S512" s="198"/>
      <c r="T512" s="198"/>
      <c r="U512" s="198"/>
      <c r="V512" s="198"/>
      <c r="W512" s="198"/>
      <c r="X512" s="198"/>
      <c r="Y512" s="198"/>
      <c r="Z512" s="198"/>
    </row>
    <row r="513" ht="64.5" customHeight="1">
      <c r="A513" s="285"/>
      <c r="B513" s="299"/>
      <c r="C513" s="285"/>
      <c r="D513" s="367"/>
      <c r="E513" s="287"/>
      <c r="F513" s="288"/>
      <c r="G513" s="367"/>
      <c r="H513" s="301"/>
      <c r="I513" s="285"/>
      <c r="J513" s="377"/>
      <c r="K513" s="294"/>
      <c r="L513" s="294"/>
      <c r="M513" s="290"/>
      <c r="N513" s="285"/>
      <c r="O513" s="299"/>
      <c r="P513" s="300"/>
      <c r="Q513" s="299">
        <f t="shared" si="1"/>
        <v>52</v>
      </c>
      <c r="R513" s="424"/>
      <c r="S513" s="198"/>
      <c r="T513" s="198"/>
      <c r="U513" s="198"/>
      <c r="V513" s="198"/>
      <c r="W513" s="198"/>
      <c r="X513" s="198"/>
      <c r="Y513" s="198"/>
      <c r="Z513" s="198"/>
    </row>
    <row r="514" ht="72.75" customHeight="1">
      <c r="A514" s="299"/>
      <c r="B514" s="285"/>
      <c r="C514" s="285"/>
      <c r="D514" s="285"/>
      <c r="E514" s="287"/>
      <c r="F514" s="288"/>
      <c r="G514" s="301"/>
      <c r="H514" s="301"/>
      <c r="I514" s="285"/>
      <c r="J514" s="377"/>
      <c r="K514" s="294"/>
      <c r="L514" s="294"/>
      <c r="M514" s="290"/>
      <c r="N514" s="285"/>
      <c r="O514" s="299"/>
      <c r="P514" s="300"/>
      <c r="Q514" s="299">
        <f t="shared" si="1"/>
        <v>52</v>
      </c>
      <c r="R514" s="424"/>
      <c r="S514" s="198"/>
      <c r="T514" s="198"/>
      <c r="U514" s="198"/>
      <c r="V514" s="198"/>
      <c r="W514" s="198"/>
      <c r="X514" s="198"/>
      <c r="Y514" s="198"/>
      <c r="Z514" s="198"/>
    </row>
    <row r="515" ht="69.0" customHeight="1">
      <c r="A515" s="285"/>
      <c r="B515" s="299"/>
      <c r="C515" s="285"/>
      <c r="D515" s="367"/>
      <c r="E515" s="287"/>
      <c r="F515" s="288"/>
      <c r="G515" s="367"/>
      <c r="H515" s="301"/>
      <c r="I515" s="285"/>
      <c r="J515" s="377"/>
      <c r="K515" s="294"/>
      <c r="L515" s="294"/>
      <c r="M515" s="290"/>
      <c r="N515" s="285"/>
      <c r="O515" s="299"/>
      <c r="P515" s="300"/>
      <c r="Q515" s="299">
        <f t="shared" si="1"/>
        <v>52</v>
      </c>
      <c r="R515" s="424"/>
      <c r="S515" s="198"/>
      <c r="T515" s="198"/>
      <c r="U515" s="198"/>
      <c r="V515" s="198"/>
      <c r="W515" s="198"/>
      <c r="X515" s="198"/>
      <c r="Y515" s="198"/>
      <c r="Z515" s="198"/>
    </row>
    <row r="516" ht="66.75" customHeight="1">
      <c r="A516" s="285"/>
      <c r="B516" s="299"/>
      <c r="C516" s="285"/>
      <c r="D516" s="367"/>
      <c r="E516" s="287"/>
      <c r="F516" s="288"/>
      <c r="G516" s="367"/>
      <c r="H516" s="301"/>
      <c r="I516" s="285"/>
      <c r="J516" s="377"/>
      <c r="K516" s="294"/>
      <c r="L516" s="294"/>
      <c r="M516" s="290"/>
      <c r="N516" s="285"/>
      <c r="O516" s="299"/>
      <c r="P516" s="300"/>
      <c r="Q516" s="299">
        <f t="shared" si="1"/>
        <v>52</v>
      </c>
      <c r="R516" s="424"/>
      <c r="S516" s="198"/>
      <c r="T516" s="198"/>
      <c r="U516" s="198"/>
      <c r="V516" s="198"/>
      <c r="W516" s="198"/>
      <c r="X516" s="198"/>
      <c r="Y516" s="198"/>
      <c r="Z516" s="198"/>
    </row>
    <row r="517" ht="63.0" customHeight="1">
      <c r="A517" s="299"/>
      <c r="B517" s="285"/>
      <c r="C517" s="285"/>
      <c r="D517" s="285"/>
      <c r="E517" s="287"/>
      <c r="F517" s="288"/>
      <c r="G517" s="301"/>
      <c r="H517" s="301"/>
      <c r="I517" s="285"/>
      <c r="J517" s="377"/>
      <c r="K517" s="294"/>
      <c r="L517" s="294"/>
      <c r="M517" s="290"/>
      <c r="N517" s="285"/>
      <c r="O517" s="299"/>
      <c r="P517" s="300"/>
      <c r="Q517" s="299">
        <f t="shared" si="1"/>
        <v>52</v>
      </c>
      <c r="R517" s="424"/>
      <c r="S517" s="198"/>
      <c r="T517" s="198"/>
      <c r="U517" s="198"/>
      <c r="V517" s="198"/>
      <c r="W517" s="198"/>
      <c r="X517" s="198"/>
      <c r="Y517" s="198"/>
      <c r="Z517" s="198"/>
    </row>
    <row r="518" ht="64.5" customHeight="1">
      <c r="A518" s="285"/>
      <c r="B518" s="299"/>
      <c r="C518" s="285"/>
      <c r="D518" s="367"/>
      <c r="E518" s="287"/>
      <c r="F518" s="288"/>
      <c r="G518" s="367"/>
      <c r="H518" s="301"/>
      <c r="I518" s="285"/>
      <c r="J518" s="377"/>
      <c r="K518" s="294"/>
      <c r="L518" s="294"/>
      <c r="M518" s="290"/>
      <c r="N518" s="285"/>
      <c r="O518" s="299"/>
      <c r="P518" s="300"/>
      <c r="Q518" s="299">
        <f t="shared" si="1"/>
        <v>52</v>
      </c>
      <c r="R518" s="424"/>
      <c r="S518" s="198"/>
      <c r="T518" s="198"/>
      <c r="U518" s="198"/>
      <c r="V518" s="198"/>
      <c r="W518" s="198"/>
      <c r="X518" s="198"/>
      <c r="Y518" s="198"/>
      <c r="Z518" s="198"/>
    </row>
    <row r="519" ht="67.5" customHeight="1">
      <c r="A519" s="285"/>
      <c r="B519" s="299"/>
      <c r="C519" s="285"/>
      <c r="D519" s="367"/>
      <c r="E519" s="287"/>
      <c r="F519" s="288"/>
      <c r="G519" s="367"/>
      <c r="H519" s="301"/>
      <c r="I519" s="285"/>
      <c r="J519" s="377"/>
      <c r="K519" s="294"/>
      <c r="L519" s="294"/>
      <c r="M519" s="290"/>
      <c r="N519" s="285"/>
      <c r="O519" s="299"/>
      <c r="P519" s="300"/>
      <c r="Q519" s="299">
        <f t="shared" si="1"/>
        <v>52</v>
      </c>
      <c r="R519" s="424"/>
      <c r="S519" s="198"/>
      <c r="T519" s="198"/>
      <c r="U519" s="198"/>
      <c r="V519" s="198"/>
      <c r="W519" s="198"/>
      <c r="X519" s="198"/>
      <c r="Y519" s="198"/>
      <c r="Z519" s="198"/>
    </row>
    <row r="520" ht="66.0" customHeight="1">
      <c r="A520" s="299"/>
      <c r="B520" s="285"/>
      <c r="C520" s="285"/>
      <c r="D520" s="285"/>
      <c r="E520" s="287"/>
      <c r="F520" s="288"/>
      <c r="G520" s="301"/>
      <c r="H520" s="301"/>
      <c r="I520" s="285"/>
      <c r="J520" s="377"/>
      <c r="K520" s="294"/>
      <c r="L520" s="294"/>
      <c r="M520" s="290"/>
      <c r="N520" s="285"/>
      <c r="O520" s="299"/>
      <c r="P520" s="300"/>
      <c r="Q520" s="299">
        <f t="shared" si="1"/>
        <v>52</v>
      </c>
      <c r="R520" s="424"/>
      <c r="S520" s="198"/>
      <c r="T520" s="198"/>
      <c r="U520" s="198"/>
      <c r="V520" s="198"/>
      <c r="W520" s="198"/>
      <c r="X520" s="198"/>
      <c r="Y520" s="198"/>
      <c r="Z520" s="198"/>
    </row>
    <row r="521" ht="63.0" customHeight="1">
      <c r="A521" s="285"/>
      <c r="B521" s="299"/>
      <c r="C521" s="285"/>
      <c r="D521" s="367"/>
      <c r="E521" s="287"/>
      <c r="F521" s="288"/>
      <c r="G521" s="367"/>
      <c r="H521" s="301"/>
      <c r="I521" s="285"/>
      <c r="J521" s="377"/>
      <c r="K521" s="294"/>
      <c r="L521" s="294"/>
      <c r="M521" s="290"/>
      <c r="N521" s="285"/>
      <c r="O521" s="299"/>
      <c r="P521" s="300"/>
      <c r="Q521" s="299">
        <f t="shared" si="1"/>
        <v>52</v>
      </c>
      <c r="R521" s="424"/>
      <c r="S521" s="198"/>
      <c r="T521" s="198"/>
      <c r="U521" s="198"/>
      <c r="V521" s="198"/>
      <c r="W521" s="198"/>
      <c r="X521" s="198"/>
      <c r="Y521" s="198"/>
      <c r="Z521" s="198"/>
    </row>
    <row r="522" ht="57.75" customHeight="1">
      <c r="A522" s="285"/>
      <c r="B522" s="299"/>
      <c r="C522" s="285"/>
      <c r="D522" s="367"/>
      <c r="E522" s="287"/>
      <c r="F522" s="288"/>
      <c r="G522" s="367"/>
      <c r="H522" s="301"/>
      <c r="I522" s="285"/>
      <c r="J522" s="377"/>
      <c r="K522" s="294"/>
      <c r="L522" s="294"/>
      <c r="M522" s="290"/>
      <c r="N522" s="285"/>
      <c r="O522" s="299"/>
      <c r="P522" s="300"/>
      <c r="Q522" s="299">
        <f t="shared" si="1"/>
        <v>52</v>
      </c>
      <c r="R522" s="424"/>
      <c r="S522" s="198"/>
      <c r="T522" s="198"/>
      <c r="U522" s="198"/>
      <c r="V522" s="198"/>
      <c r="W522" s="198"/>
      <c r="X522" s="198"/>
      <c r="Y522" s="198"/>
      <c r="Z522" s="198"/>
    </row>
    <row r="523" ht="61.5" customHeight="1">
      <c r="A523" s="299"/>
      <c r="B523" s="285"/>
      <c r="C523" s="285"/>
      <c r="D523" s="285"/>
      <c r="E523" s="287"/>
      <c r="F523" s="288"/>
      <c r="G523" s="301"/>
      <c r="H523" s="301"/>
      <c r="I523" s="285"/>
      <c r="J523" s="377"/>
      <c r="K523" s="294"/>
      <c r="L523" s="294"/>
      <c r="M523" s="290"/>
      <c r="N523" s="285"/>
      <c r="O523" s="299"/>
      <c r="P523" s="300"/>
      <c r="Q523" s="299">
        <f t="shared" si="1"/>
        <v>52</v>
      </c>
      <c r="R523" s="424"/>
      <c r="S523" s="198"/>
      <c r="T523" s="198"/>
      <c r="U523" s="198"/>
      <c r="V523" s="198"/>
      <c r="W523" s="198"/>
      <c r="X523" s="198"/>
      <c r="Y523" s="198"/>
      <c r="Z523" s="198"/>
    </row>
    <row r="524" ht="63.0" customHeight="1">
      <c r="A524" s="285"/>
      <c r="B524" s="299"/>
      <c r="C524" s="285"/>
      <c r="D524" s="367"/>
      <c r="E524" s="287"/>
      <c r="F524" s="288"/>
      <c r="G524" s="367"/>
      <c r="H524" s="301"/>
      <c r="I524" s="285"/>
      <c r="J524" s="377"/>
      <c r="K524" s="294"/>
      <c r="L524" s="294"/>
      <c r="M524" s="290"/>
      <c r="N524" s="285"/>
      <c r="O524" s="299"/>
      <c r="P524" s="300"/>
      <c r="Q524" s="299">
        <f t="shared" si="1"/>
        <v>52</v>
      </c>
      <c r="R524" s="424"/>
      <c r="S524" s="198"/>
      <c r="T524" s="198"/>
      <c r="U524" s="198"/>
      <c r="V524" s="198"/>
      <c r="W524" s="198"/>
      <c r="X524" s="198"/>
      <c r="Y524" s="198"/>
      <c r="Z524" s="198"/>
    </row>
    <row r="525" ht="63.0" customHeight="1">
      <c r="A525" s="285"/>
      <c r="B525" s="299"/>
      <c r="C525" s="285"/>
      <c r="D525" s="367"/>
      <c r="E525" s="287"/>
      <c r="F525" s="288"/>
      <c r="G525" s="367"/>
      <c r="H525" s="301"/>
      <c r="I525" s="285"/>
      <c r="J525" s="377"/>
      <c r="K525" s="294"/>
      <c r="L525" s="294"/>
      <c r="M525" s="290"/>
      <c r="N525" s="285"/>
      <c r="O525" s="299"/>
      <c r="P525" s="300"/>
      <c r="Q525" s="299">
        <f t="shared" si="1"/>
        <v>52</v>
      </c>
      <c r="R525" s="424"/>
      <c r="S525" s="198"/>
      <c r="T525" s="198"/>
      <c r="U525" s="198"/>
      <c r="V525" s="198"/>
      <c r="W525" s="198"/>
      <c r="X525" s="198"/>
      <c r="Y525" s="198"/>
      <c r="Z525" s="198"/>
    </row>
    <row r="526" ht="66.0" customHeight="1">
      <c r="A526" s="299"/>
      <c r="B526" s="285"/>
      <c r="C526" s="285"/>
      <c r="D526" s="285"/>
      <c r="E526" s="287"/>
      <c r="F526" s="288"/>
      <c r="G526" s="301"/>
      <c r="H526" s="301"/>
      <c r="I526" s="285"/>
      <c r="J526" s="377"/>
      <c r="K526" s="294"/>
      <c r="L526" s="294"/>
      <c r="M526" s="290"/>
      <c r="N526" s="285"/>
      <c r="O526" s="299"/>
      <c r="P526" s="300"/>
      <c r="Q526" s="299">
        <f t="shared" si="1"/>
        <v>52</v>
      </c>
      <c r="R526" s="424"/>
      <c r="S526" s="198"/>
      <c r="T526" s="198"/>
      <c r="U526" s="198"/>
      <c r="V526" s="198"/>
      <c r="W526" s="198"/>
      <c r="X526" s="198"/>
      <c r="Y526" s="198"/>
      <c r="Z526" s="198"/>
    </row>
    <row r="527" ht="70.5" customHeight="1">
      <c r="A527" s="285"/>
      <c r="B527" s="299"/>
      <c r="C527" s="285"/>
      <c r="D527" s="367"/>
      <c r="E527" s="287"/>
      <c r="F527" s="288"/>
      <c r="G527" s="367"/>
      <c r="H527" s="301"/>
      <c r="I527" s="285"/>
      <c r="J527" s="377"/>
      <c r="K527" s="294"/>
      <c r="L527" s="294"/>
      <c r="M527" s="290"/>
      <c r="N527" s="285"/>
      <c r="O527" s="299"/>
      <c r="P527" s="300"/>
      <c r="Q527" s="299">
        <f t="shared" si="1"/>
        <v>52</v>
      </c>
      <c r="R527" s="424"/>
      <c r="S527" s="198"/>
      <c r="T527" s="198"/>
      <c r="U527" s="198"/>
      <c r="V527" s="198"/>
      <c r="W527" s="198"/>
      <c r="X527" s="198"/>
      <c r="Y527" s="198"/>
      <c r="Z527" s="198"/>
    </row>
    <row r="528" ht="71.25" customHeight="1">
      <c r="A528" s="285"/>
      <c r="B528" s="299"/>
      <c r="C528" s="285"/>
      <c r="D528" s="367"/>
      <c r="E528" s="287"/>
      <c r="F528" s="288"/>
      <c r="G528" s="367"/>
      <c r="H528" s="301"/>
      <c r="I528" s="285"/>
      <c r="J528" s="377"/>
      <c r="K528" s="294"/>
      <c r="L528" s="294"/>
      <c r="M528" s="290"/>
      <c r="N528" s="285"/>
      <c r="O528" s="299"/>
      <c r="P528" s="300"/>
      <c r="Q528" s="299">
        <f t="shared" si="1"/>
        <v>52</v>
      </c>
      <c r="R528" s="424"/>
      <c r="S528" s="198"/>
      <c r="T528" s="198"/>
      <c r="U528" s="198"/>
      <c r="V528" s="198"/>
      <c r="W528" s="198"/>
      <c r="X528" s="198"/>
      <c r="Y528" s="198"/>
      <c r="Z528" s="198"/>
    </row>
    <row r="529" ht="68.25" customHeight="1">
      <c r="A529" s="299"/>
      <c r="B529" s="285"/>
      <c r="C529" s="285"/>
      <c r="D529" s="285"/>
      <c r="E529" s="287"/>
      <c r="F529" s="288"/>
      <c r="G529" s="301"/>
      <c r="H529" s="301"/>
      <c r="I529" s="285"/>
      <c r="J529" s="377"/>
      <c r="K529" s="294"/>
      <c r="L529" s="294"/>
      <c r="M529" s="290"/>
      <c r="N529" s="285"/>
      <c r="O529" s="299"/>
      <c r="P529" s="300"/>
      <c r="Q529" s="299">
        <f t="shared" si="1"/>
        <v>52</v>
      </c>
      <c r="R529" s="424"/>
      <c r="S529" s="198"/>
      <c r="T529" s="198"/>
      <c r="U529" s="198"/>
      <c r="V529" s="198"/>
      <c r="W529" s="198"/>
      <c r="X529" s="198"/>
      <c r="Y529" s="198"/>
      <c r="Z529" s="198"/>
    </row>
    <row r="530" ht="64.5" customHeight="1">
      <c r="A530" s="285"/>
      <c r="B530" s="299"/>
      <c r="C530" s="285"/>
      <c r="D530" s="367"/>
      <c r="E530" s="287"/>
      <c r="F530" s="288"/>
      <c r="G530" s="367"/>
      <c r="H530" s="301"/>
      <c r="I530" s="285"/>
      <c r="J530" s="377"/>
      <c r="K530" s="294"/>
      <c r="L530" s="294"/>
      <c r="M530" s="290"/>
      <c r="N530" s="285"/>
      <c r="O530" s="299"/>
      <c r="P530" s="300"/>
      <c r="Q530" s="299">
        <f t="shared" si="1"/>
        <v>52</v>
      </c>
      <c r="R530" s="424"/>
      <c r="S530" s="198"/>
      <c r="T530" s="198"/>
      <c r="U530" s="198"/>
      <c r="V530" s="198"/>
      <c r="W530" s="198"/>
      <c r="X530" s="198"/>
      <c r="Y530" s="198"/>
      <c r="Z530" s="198"/>
    </row>
    <row r="531" ht="69.0" customHeight="1">
      <c r="A531" s="285"/>
      <c r="B531" s="299"/>
      <c r="C531" s="285"/>
      <c r="D531" s="367"/>
      <c r="E531" s="287"/>
      <c r="F531" s="288"/>
      <c r="G531" s="367"/>
      <c r="H531" s="301"/>
      <c r="I531" s="285"/>
      <c r="J531" s="377"/>
      <c r="K531" s="294"/>
      <c r="L531" s="294"/>
      <c r="M531" s="290"/>
      <c r="N531" s="285"/>
      <c r="O531" s="299"/>
      <c r="P531" s="300"/>
      <c r="Q531" s="299">
        <f t="shared" si="1"/>
        <v>52</v>
      </c>
      <c r="R531" s="424"/>
      <c r="S531" s="198"/>
      <c r="T531" s="198"/>
      <c r="U531" s="198"/>
      <c r="V531" s="198"/>
      <c r="W531" s="198"/>
      <c r="X531" s="198"/>
      <c r="Y531" s="198"/>
      <c r="Z531" s="198"/>
    </row>
    <row r="532" ht="64.5" customHeight="1">
      <c r="A532" s="299"/>
      <c r="B532" s="285"/>
      <c r="C532" s="285"/>
      <c r="D532" s="285"/>
      <c r="E532" s="287"/>
      <c r="F532" s="288"/>
      <c r="G532" s="301"/>
      <c r="H532" s="301"/>
      <c r="I532" s="285"/>
      <c r="J532" s="377"/>
      <c r="K532" s="294"/>
      <c r="L532" s="294"/>
      <c r="M532" s="290"/>
      <c r="N532" s="285"/>
      <c r="O532" s="299"/>
      <c r="P532" s="300"/>
      <c r="Q532" s="299">
        <f t="shared" si="1"/>
        <v>52</v>
      </c>
      <c r="R532" s="424"/>
      <c r="S532" s="198"/>
      <c r="T532" s="198"/>
      <c r="U532" s="198"/>
      <c r="V532" s="198"/>
      <c r="W532" s="198"/>
      <c r="X532" s="198"/>
      <c r="Y532" s="198"/>
      <c r="Z532" s="198"/>
    </row>
    <row r="533" ht="64.5" customHeight="1">
      <c r="A533" s="285"/>
      <c r="B533" s="299"/>
      <c r="C533" s="285"/>
      <c r="D533" s="367"/>
      <c r="E533" s="287"/>
      <c r="F533" s="288"/>
      <c r="G533" s="367"/>
      <c r="H533" s="301"/>
      <c r="I533" s="285"/>
      <c r="J533" s="377"/>
      <c r="K533" s="294"/>
      <c r="L533" s="294"/>
      <c r="M533" s="290"/>
      <c r="N533" s="285"/>
      <c r="O533" s="299"/>
      <c r="P533" s="300"/>
      <c r="Q533" s="299">
        <f t="shared" si="1"/>
        <v>52</v>
      </c>
      <c r="R533" s="424"/>
      <c r="S533" s="198"/>
      <c r="T533" s="198"/>
      <c r="U533" s="198"/>
      <c r="V533" s="198"/>
      <c r="W533" s="198"/>
      <c r="X533" s="198"/>
      <c r="Y533" s="198"/>
      <c r="Z533" s="198"/>
    </row>
    <row r="534" ht="60.75" customHeight="1">
      <c r="A534" s="285"/>
      <c r="B534" s="299"/>
      <c r="C534" s="285"/>
      <c r="D534" s="367"/>
      <c r="E534" s="287"/>
      <c r="F534" s="288"/>
      <c r="G534" s="367"/>
      <c r="H534" s="301"/>
      <c r="I534" s="285"/>
      <c r="J534" s="377"/>
      <c r="K534" s="294"/>
      <c r="L534" s="294"/>
      <c r="M534" s="290"/>
      <c r="N534" s="285"/>
      <c r="O534" s="299"/>
      <c r="P534" s="300"/>
      <c r="Q534" s="299">
        <f t="shared" si="1"/>
        <v>52</v>
      </c>
      <c r="R534" s="424"/>
      <c r="S534" s="198"/>
      <c r="T534" s="198"/>
      <c r="U534" s="198"/>
      <c r="V534" s="198"/>
      <c r="W534" s="198"/>
      <c r="X534" s="198"/>
      <c r="Y534" s="198"/>
      <c r="Z534" s="198"/>
    </row>
    <row r="535" ht="62.25" customHeight="1">
      <c r="A535" s="299"/>
      <c r="B535" s="285"/>
      <c r="C535" s="285"/>
      <c r="D535" s="285"/>
      <c r="E535" s="287"/>
      <c r="F535" s="288"/>
      <c r="G535" s="301"/>
      <c r="H535" s="301"/>
      <c r="I535" s="285"/>
      <c r="J535" s="377"/>
      <c r="K535" s="294"/>
      <c r="L535" s="294"/>
      <c r="M535" s="290"/>
      <c r="N535" s="285"/>
      <c r="O535" s="299"/>
      <c r="P535" s="300"/>
      <c r="Q535" s="299">
        <f t="shared" si="1"/>
        <v>52</v>
      </c>
      <c r="R535" s="424"/>
      <c r="S535" s="198"/>
      <c r="T535" s="198"/>
      <c r="U535" s="198"/>
      <c r="V535" s="198"/>
      <c r="W535" s="198"/>
      <c r="X535" s="198"/>
      <c r="Y535" s="198"/>
      <c r="Z535" s="198"/>
    </row>
    <row r="536" ht="57.75" customHeight="1">
      <c r="A536" s="285"/>
      <c r="B536" s="299"/>
      <c r="C536" s="285"/>
      <c r="D536" s="367"/>
      <c r="E536" s="287"/>
      <c r="F536" s="288"/>
      <c r="G536" s="367"/>
      <c r="H536" s="301"/>
      <c r="I536" s="285"/>
      <c r="J536" s="377"/>
      <c r="K536" s="294"/>
      <c r="L536" s="294"/>
      <c r="M536" s="290"/>
      <c r="N536" s="285"/>
      <c r="O536" s="299"/>
      <c r="P536" s="300"/>
      <c r="Q536" s="299">
        <f t="shared" si="1"/>
        <v>52</v>
      </c>
      <c r="R536" s="424"/>
      <c r="S536" s="198"/>
      <c r="T536" s="198"/>
      <c r="U536" s="198"/>
      <c r="V536" s="198"/>
      <c r="W536" s="198"/>
      <c r="X536" s="198"/>
      <c r="Y536" s="198"/>
      <c r="Z536" s="198"/>
    </row>
    <row r="537" ht="57.75" customHeight="1">
      <c r="A537" s="285"/>
      <c r="B537" s="299"/>
      <c r="C537" s="285"/>
      <c r="D537" s="367"/>
      <c r="E537" s="287"/>
      <c r="F537" s="288"/>
      <c r="G537" s="367"/>
      <c r="H537" s="301"/>
      <c r="I537" s="285"/>
      <c r="J537" s="377"/>
      <c r="K537" s="294"/>
      <c r="L537" s="294"/>
      <c r="M537" s="290"/>
      <c r="N537" s="285"/>
      <c r="O537" s="299"/>
      <c r="P537" s="300"/>
      <c r="Q537" s="299">
        <f t="shared" si="1"/>
        <v>52</v>
      </c>
      <c r="R537" s="424"/>
      <c r="S537" s="198"/>
      <c r="T537" s="198"/>
      <c r="U537" s="198"/>
      <c r="V537" s="198"/>
      <c r="W537" s="198"/>
      <c r="X537" s="198"/>
      <c r="Y537" s="198"/>
      <c r="Z537" s="198"/>
    </row>
    <row r="538" ht="57.75" customHeight="1">
      <c r="A538" s="299"/>
      <c r="B538" s="285"/>
      <c r="C538" s="285"/>
      <c r="D538" s="285"/>
      <c r="E538" s="287"/>
      <c r="F538" s="288"/>
      <c r="G538" s="301"/>
      <c r="H538" s="301"/>
      <c r="I538" s="285"/>
      <c r="J538" s="377"/>
      <c r="K538" s="294"/>
      <c r="L538" s="294"/>
      <c r="M538" s="290"/>
      <c r="N538" s="285"/>
      <c r="O538" s="299"/>
      <c r="P538" s="300"/>
      <c r="Q538" s="299">
        <f t="shared" si="1"/>
        <v>52</v>
      </c>
      <c r="R538" s="424"/>
      <c r="S538" s="198"/>
      <c r="T538" s="198"/>
      <c r="U538" s="198"/>
      <c r="V538" s="198"/>
      <c r="W538" s="198"/>
      <c r="X538" s="198"/>
      <c r="Y538" s="198"/>
      <c r="Z538" s="198"/>
    </row>
    <row r="539" ht="57.75" customHeight="1">
      <c r="A539" s="285"/>
      <c r="B539" s="299"/>
      <c r="C539" s="285"/>
      <c r="D539" s="367"/>
      <c r="E539" s="287"/>
      <c r="F539" s="288"/>
      <c r="G539" s="367"/>
      <c r="H539" s="301"/>
      <c r="I539" s="285"/>
      <c r="J539" s="377"/>
      <c r="K539" s="294"/>
      <c r="L539" s="294"/>
      <c r="M539" s="290"/>
      <c r="N539" s="285"/>
      <c r="O539" s="299"/>
      <c r="P539" s="300"/>
      <c r="Q539" s="299">
        <f t="shared" si="1"/>
        <v>52</v>
      </c>
      <c r="R539" s="424"/>
      <c r="S539" s="198"/>
      <c r="T539" s="198"/>
      <c r="U539" s="198"/>
      <c r="V539" s="198"/>
      <c r="W539" s="198"/>
      <c r="X539" s="198"/>
      <c r="Y539" s="198"/>
      <c r="Z539" s="198"/>
    </row>
    <row r="540" ht="57.75" customHeight="1">
      <c r="A540" s="285"/>
      <c r="B540" s="299"/>
      <c r="C540" s="285"/>
      <c r="D540" s="367"/>
      <c r="E540" s="287"/>
      <c r="F540" s="288"/>
      <c r="G540" s="367"/>
      <c r="H540" s="301"/>
      <c r="I540" s="285"/>
      <c r="J540" s="377"/>
      <c r="K540" s="294"/>
      <c r="L540" s="294"/>
      <c r="M540" s="290"/>
      <c r="N540" s="285"/>
      <c r="O540" s="299"/>
      <c r="P540" s="300"/>
      <c r="Q540" s="299">
        <f t="shared" si="1"/>
        <v>52</v>
      </c>
      <c r="R540" s="424"/>
      <c r="S540" s="198"/>
      <c r="T540" s="198"/>
      <c r="U540" s="198"/>
      <c r="V540" s="198"/>
      <c r="W540" s="198"/>
      <c r="X540" s="198"/>
      <c r="Y540" s="198"/>
      <c r="Z540" s="198"/>
    </row>
    <row r="541" ht="57.75" customHeight="1">
      <c r="A541" s="285"/>
      <c r="B541" s="299"/>
      <c r="C541" s="285"/>
      <c r="D541" s="367"/>
      <c r="E541" s="287"/>
      <c r="F541" s="288"/>
      <c r="G541" s="367"/>
      <c r="H541" s="301"/>
      <c r="I541" s="285"/>
      <c r="J541" s="377"/>
      <c r="K541" s="294"/>
      <c r="L541" s="294"/>
      <c r="M541" s="290"/>
      <c r="N541" s="285"/>
      <c r="O541" s="299"/>
      <c r="P541" s="300"/>
      <c r="Q541" s="299">
        <f t="shared" si="1"/>
        <v>52</v>
      </c>
      <c r="R541" s="424"/>
      <c r="S541" s="198"/>
      <c r="T541" s="198"/>
      <c r="U541" s="198"/>
      <c r="V541" s="198"/>
      <c r="W541" s="198"/>
      <c r="X541" s="198"/>
      <c r="Y541" s="198"/>
      <c r="Z541" s="198"/>
    </row>
    <row r="542" ht="57.75" customHeight="1">
      <c r="A542" s="299"/>
      <c r="B542" s="285"/>
      <c r="C542" s="285"/>
      <c r="D542" s="285"/>
      <c r="E542" s="287"/>
      <c r="F542" s="288"/>
      <c r="G542" s="301"/>
      <c r="H542" s="301"/>
      <c r="I542" s="285"/>
      <c r="J542" s="377"/>
      <c r="K542" s="294"/>
      <c r="L542" s="294"/>
      <c r="M542" s="290"/>
      <c r="N542" s="285"/>
      <c r="O542" s="299"/>
      <c r="P542" s="300"/>
      <c r="Q542" s="299">
        <f t="shared" si="1"/>
        <v>52</v>
      </c>
      <c r="R542" s="424"/>
      <c r="S542" s="198"/>
      <c r="T542" s="198"/>
      <c r="U542" s="198"/>
      <c r="V542" s="198"/>
      <c r="W542" s="198"/>
      <c r="X542" s="198"/>
      <c r="Y542" s="198"/>
      <c r="Z542" s="198"/>
    </row>
    <row r="543" ht="57.75" customHeight="1">
      <c r="A543" s="285"/>
      <c r="B543" s="299"/>
      <c r="C543" s="285"/>
      <c r="D543" s="367"/>
      <c r="E543" s="287"/>
      <c r="F543" s="288"/>
      <c r="G543" s="367"/>
      <c r="H543" s="301"/>
      <c r="I543" s="285"/>
      <c r="J543" s="377"/>
      <c r="K543" s="294"/>
      <c r="L543" s="294"/>
      <c r="M543" s="290"/>
      <c r="N543" s="285"/>
      <c r="O543" s="299"/>
      <c r="P543" s="300"/>
      <c r="Q543" s="299">
        <f t="shared" si="1"/>
        <v>52</v>
      </c>
      <c r="R543" s="424"/>
      <c r="S543" s="198"/>
      <c r="T543" s="198"/>
      <c r="U543" s="198"/>
      <c r="V543" s="198"/>
      <c r="W543" s="198"/>
      <c r="X543" s="198"/>
      <c r="Y543" s="198"/>
      <c r="Z543" s="198"/>
    </row>
    <row r="544" ht="57.75" customHeight="1">
      <c r="A544" s="285"/>
      <c r="B544" s="299"/>
      <c r="C544" s="285"/>
      <c r="D544" s="367"/>
      <c r="E544" s="287"/>
      <c r="F544" s="288"/>
      <c r="G544" s="367"/>
      <c r="H544" s="301"/>
      <c r="I544" s="285"/>
      <c r="J544" s="377"/>
      <c r="K544" s="294"/>
      <c r="L544" s="294"/>
      <c r="M544" s="290"/>
      <c r="N544" s="285"/>
      <c r="O544" s="299"/>
      <c r="P544" s="300"/>
      <c r="Q544" s="299">
        <f t="shared" si="1"/>
        <v>52</v>
      </c>
      <c r="R544" s="424"/>
      <c r="S544" s="198"/>
      <c r="T544" s="198"/>
      <c r="U544" s="198"/>
      <c r="V544" s="198"/>
      <c r="W544" s="198"/>
      <c r="X544" s="198"/>
      <c r="Y544" s="198"/>
      <c r="Z544" s="198"/>
    </row>
    <row r="545" ht="57.75" customHeight="1">
      <c r="A545" s="299"/>
      <c r="B545" s="285"/>
      <c r="C545" s="285"/>
      <c r="D545" s="285"/>
      <c r="E545" s="287"/>
      <c r="F545" s="288"/>
      <c r="G545" s="301"/>
      <c r="H545" s="301"/>
      <c r="I545" s="285"/>
      <c r="J545" s="377"/>
      <c r="K545" s="294"/>
      <c r="L545" s="294"/>
      <c r="M545" s="290"/>
      <c r="N545" s="285"/>
      <c r="O545" s="299"/>
      <c r="P545" s="300"/>
      <c r="Q545" s="299">
        <f t="shared" si="1"/>
        <v>52</v>
      </c>
      <c r="R545" s="424"/>
      <c r="S545" s="198"/>
      <c r="T545" s="198"/>
      <c r="U545" s="198"/>
      <c r="V545" s="198"/>
      <c r="W545" s="198"/>
      <c r="X545" s="198"/>
      <c r="Y545" s="198"/>
      <c r="Z545" s="198"/>
    </row>
    <row r="546" ht="57.75" customHeight="1">
      <c r="A546" s="285"/>
      <c r="B546" s="299"/>
      <c r="C546" s="285"/>
      <c r="D546" s="367"/>
      <c r="E546" s="287"/>
      <c r="F546" s="288"/>
      <c r="G546" s="367"/>
      <c r="H546" s="301"/>
      <c r="I546" s="285"/>
      <c r="J546" s="377"/>
      <c r="K546" s="294"/>
      <c r="L546" s="294"/>
      <c r="M546" s="290"/>
      <c r="N546" s="285"/>
      <c r="O546" s="299"/>
      <c r="P546" s="300"/>
      <c r="Q546" s="299">
        <f t="shared" si="1"/>
        <v>52</v>
      </c>
      <c r="R546" s="424"/>
      <c r="S546" s="198"/>
      <c r="T546" s="198"/>
      <c r="U546" s="198"/>
      <c r="V546" s="198"/>
      <c r="W546" s="198"/>
      <c r="X546" s="198"/>
      <c r="Y546" s="198"/>
      <c r="Z546" s="198"/>
    </row>
    <row r="547" ht="57.75" customHeight="1">
      <c r="A547" s="285"/>
      <c r="B547" s="299"/>
      <c r="C547" s="285"/>
      <c r="D547" s="367"/>
      <c r="E547" s="287"/>
      <c r="F547" s="288"/>
      <c r="G547" s="367"/>
      <c r="H547" s="301"/>
      <c r="I547" s="285"/>
      <c r="J547" s="377"/>
      <c r="K547" s="294"/>
      <c r="L547" s="294"/>
      <c r="M547" s="290"/>
      <c r="N547" s="285"/>
      <c r="O547" s="299"/>
      <c r="P547" s="300"/>
      <c r="Q547" s="299">
        <f t="shared" si="1"/>
        <v>52</v>
      </c>
      <c r="R547" s="424"/>
      <c r="S547" s="198"/>
      <c r="T547" s="198"/>
      <c r="U547" s="198"/>
      <c r="V547" s="198"/>
      <c r="W547" s="198"/>
      <c r="X547" s="198"/>
      <c r="Y547" s="198"/>
      <c r="Z547" s="198"/>
    </row>
    <row r="548" ht="57.75" customHeight="1">
      <c r="A548" s="299"/>
      <c r="B548" s="285"/>
      <c r="C548" s="285"/>
      <c r="D548" s="285"/>
      <c r="E548" s="287"/>
      <c r="F548" s="288"/>
      <c r="G548" s="301"/>
      <c r="H548" s="301"/>
      <c r="I548" s="285"/>
      <c r="J548" s="377"/>
      <c r="K548" s="294"/>
      <c r="L548" s="294"/>
      <c r="M548" s="290"/>
      <c r="N548" s="285"/>
      <c r="O548" s="299"/>
      <c r="P548" s="300"/>
      <c r="Q548" s="299">
        <f t="shared" si="1"/>
        <v>52</v>
      </c>
      <c r="R548" s="424"/>
      <c r="S548" s="198"/>
      <c r="T548" s="198"/>
      <c r="U548" s="198"/>
      <c r="V548" s="198"/>
      <c r="W548" s="198"/>
      <c r="X548" s="198"/>
      <c r="Y548" s="198"/>
      <c r="Z548" s="198"/>
    </row>
    <row r="549" ht="62.25" customHeight="1">
      <c r="A549" s="285"/>
      <c r="B549" s="299"/>
      <c r="C549" s="285"/>
      <c r="D549" s="367"/>
      <c r="E549" s="287"/>
      <c r="F549" s="288"/>
      <c r="G549" s="367"/>
      <c r="H549" s="301"/>
      <c r="I549" s="285"/>
      <c r="J549" s="377"/>
      <c r="K549" s="294"/>
      <c r="L549" s="294"/>
      <c r="M549" s="290"/>
      <c r="N549" s="285"/>
      <c r="O549" s="299"/>
      <c r="P549" s="300"/>
      <c r="Q549" s="424"/>
      <c r="R549" s="424"/>
      <c r="S549" s="198"/>
      <c r="T549" s="198"/>
      <c r="U549" s="198"/>
      <c r="V549" s="198"/>
      <c r="W549" s="198"/>
      <c r="X549" s="198"/>
      <c r="Y549" s="198"/>
      <c r="Z549" s="198"/>
    </row>
    <row r="550" ht="57.75" customHeight="1">
      <c r="A550" s="285"/>
      <c r="B550" s="299"/>
      <c r="C550" s="285"/>
      <c r="D550" s="367"/>
      <c r="E550" s="287"/>
      <c r="F550" s="288"/>
      <c r="G550" s="367"/>
      <c r="H550" s="301"/>
      <c r="I550" s="285"/>
      <c r="J550" s="377"/>
      <c r="K550" s="294"/>
      <c r="L550" s="294"/>
      <c r="M550" s="290"/>
      <c r="N550" s="285"/>
      <c r="O550" s="299"/>
      <c r="P550" s="300"/>
      <c r="Q550" s="424"/>
      <c r="R550" s="424"/>
      <c r="S550" s="198"/>
      <c r="T550" s="198"/>
      <c r="U550" s="198"/>
      <c r="V550" s="198"/>
      <c r="W550" s="198"/>
      <c r="X550" s="198"/>
      <c r="Y550" s="198"/>
      <c r="Z550" s="198"/>
    </row>
    <row r="551" ht="57.75" customHeight="1">
      <c r="A551" s="299"/>
      <c r="B551" s="285"/>
      <c r="C551" s="285"/>
      <c r="D551" s="285"/>
      <c r="E551" s="287"/>
      <c r="F551" s="288"/>
      <c r="G551" s="301"/>
      <c r="H551" s="301"/>
      <c r="I551" s="285"/>
      <c r="J551" s="377"/>
      <c r="K551" s="294"/>
      <c r="L551" s="294"/>
      <c r="M551" s="290"/>
      <c r="N551" s="285"/>
      <c r="O551" s="299"/>
      <c r="P551" s="300"/>
      <c r="Q551" s="424"/>
      <c r="R551" s="424"/>
      <c r="S551" s="198"/>
      <c r="T551" s="198"/>
      <c r="U551" s="198"/>
      <c r="V551" s="198"/>
      <c r="W551" s="198"/>
      <c r="X551" s="198"/>
      <c r="Y551" s="198"/>
      <c r="Z551" s="198"/>
    </row>
    <row r="552" ht="63.0" customHeight="1">
      <c r="A552" s="285"/>
      <c r="B552" s="299"/>
      <c r="C552" s="285"/>
      <c r="D552" s="367"/>
      <c r="E552" s="287"/>
      <c r="F552" s="288"/>
      <c r="G552" s="367"/>
      <c r="H552" s="301"/>
      <c r="I552" s="285"/>
      <c r="J552" s="377"/>
      <c r="K552" s="294"/>
      <c r="L552" s="294"/>
      <c r="M552" s="290"/>
      <c r="N552" s="285"/>
      <c r="O552" s="299"/>
      <c r="P552" s="300"/>
      <c r="Q552" s="424"/>
      <c r="R552" s="424"/>
      <c r="S552" s="198"/>
      <c r="T552" s="198"/>
      <c r="U552" s="198"/>
      <c r="V552" s="198"/>
      <c r="W552" s="198"/>
      <c r="X552" s="198"/>
      <c r="Y552" s="198"/>
      <c r="Z552" s="198"/>
    </row>
    <row r="553" ht="57.75" customHeight="1">
      <c r="A553" s="285"/>
      <c r="B553" s="299"/>
      <c r="C553" s="285"/>
      <c r="D553" s="367"/>
      <c r="E553" s="287"/>
      <c r="F553" s="288"/>
      <c r="G553" s="367"/>
      <c r="H553" s="301"/>
      <c r="I553" s="285"/>
      <c r="J553" s="377"/>
      <c r="K553" s="294"/>
      <c r="L553" s="294"/>
      <c r="M553" s="290"/>
      <c r="N553" s="285"/>
      <c r="O553" s="299"/>
      <c r="P553" s="300"/>
      <c r="Q553" s="424"/>
      <c r="R553" s="424"/>
      <c r="S553" s="198"/>
      <c r="T553" s="198"/>
      <c r="U553" s="198"/>
      <c r="V553" s="198"/>
      <c r="W553" s="198"/>
      <c r="X553" s="198"/>
      <c r="Y553" s="198"/>
      <c r="Z553" s="198"/>
    </row>
    <row r="554" ht="57.75" customHeight="1">
      <c r="A554" s="299"/>
      <c r="B554" s="285"/>
      <c r="C554" s="285"/>
      <c r="D554" s="285"/>
      <c r="E554" s="287"/>
      <c r="F554" s="288"/>
      <c r="G554" s="301"/>
      <c r="H554" s="301"/>
      <c r="I554" s="285"/>
      <c r="J554" s="377"/>
      <c r="K554" s="294"/>
      <c r="L554" s="294"/>
      <c r="M554" s="290"/>
      <c r="N554" s="285"/>
      <c r="O554" s="299"/>
      <c r="P554" s="300"/>
      <c r="Q554" s="424"/>
      <c r="R554" s="424"/>
      <c r="S554" s="198"/>
      <c r="T554" s="198"/>
      <c r="U554" s="198"/>
      <c r="V554" s="198"/>
      <c r="W554" s="198"/>
      <c r="X554" s="198"/>
      <c r="Y554" s="198"/>
      <c r="Z554" s="198"/>
    </row>
    <row r="555" ht="57.75" customHeight="1">
      <c r="A555" s="285"/>
      <c r="B555" s="299"/>
      <c r="C555" s="285"/>
      <c r="D555" s="367"/>
      <c r="E555" s="287"/>
      <c r="F555" s="288"/>
      <c r="G555" s="367"/>
      <c r="H555" s="301"/>
      <c r="I555" s="285"/>
      <c r="J555" s="377"/>
      <c r="K555" s="294"/>
      <c r="L555" s="294"/>
      <c r="M555" s="290"/>
      <c r="N555" s="285"/>
      <c r="O555" s="299"/>
      <c r="P555" s="300"/>
      <c r="Q555" s="424"/>
      <c r="R555" s="424"/>
      <c r="S555" s="198"/>
      <c r="T555" s="198"/>
      <c r="U555" s="198"/>
      <c r="V555" s="198"/>
      <c r="W555" s="198"/>
      <c r="X555" s="198"/>
      <c r="Y555" s="198"/>
      <c r="Z555" s="198"/>
    </row>
    <row r="556" ht="57.75" customHeight="1">
      <c r="A556" s="285"/>
      <c r="B556" s="299"/>
      <c r="C556" s="285"/>
      <c r="D556" s="367"/>
      <c r="E556" s="287"/>
      <c r="F556" s="288"/>
      <c r="G556" s="367"/>
      <c r="H556" s="301"/>
      <c r="I556" s="285"/>
      <c r="J556" s="377"/>
      <c r="K556" s="294"/>
      <c r="L556" s="294"/>
      <c r="M556" s="290"/>
      <c r="N556" s="285"/>
      <c r="O556" s="299"/>
      <c r="P556" s="300"/>
      <c r="Q556" s="424"/>
      <c r="R556" s="424"/>
      <c r="S556" s="198"/>
      <c r="T556" s="198"/>
      <c r="U556" s="198"/>
      <c r="V556" s="198"/>
      <c r="W556" s="198"/>
      <c r="X556" s="198"/>
      <c r="Y556" s="198"/>
      <c r="Z556" s="198"/>
    </row>
    <row r="557" ht="57.75" customHeight="1">
      <c r="A557" s="299"/>
      <c r="B557" s="285"/>
      <c r="C557" s="285"/>
      <c r="D557" s="285"/>
      <c r="E557" s="287"/>
      <c r="F557" s="288"/>
      <c r="G557" s="301"/>
      <c r="H557" s="301"/>
      <c r="I557" s="285"/>
      <c r="J557" s="377"/>
      <c r="K557" s="294"/>
      <c r="L557" s="294"/>
      <c r="M557" s="290"/>
      <c r="N557" s="285"/>
      <c r="O557" s="299"/>
      <c r="P557" s="300"/>
      <c r="Q557" s="424"/>
      <c r="R557" s="424"/>
      <c r="S557" s="198"/>
      <c r="T557" s="198"/>
      <c r="U557" s="198"/>
      <c r="V557" s="198"/>
      <c r="W557" s="198"/>
      <c r="X557" s="198"/>
      <c r="Y557" s="198"/>
      <c r="Z557" s="198"/>
    </row>
    <row r="558" ht="57.75" customHeight="1">
      <c r="A558" s="285"/>
      <c r="B558" s="299"/>
      <c r="C558" s="285"/>
      <c r="D558" s="367"/>
      <c r="E558" s="287"/>
      <c r="F558" s="288"/>
      <c r="G558" s="367"/>
      <c r="H558" s="301"/>
      <c r="I558" s="285"/>
      <c r="J558" s="377"/>
      <c r="K558" s="294"/>
      <c r="L558" s="294"/>
      <c r="M558" s="290"/>
      <c r="N558" s="285"/>
      <c r="O558" s="299"/>
      <c r="P558" s="300"/>
      <c r="Q558" s="424"/>
      <c r="R558" s="424"/>
      <c r="S558" s="198"/>
      <c r="T558" s="198"/>
      <c r="U558" s="198"/>
      <c r="V558" s="198"/>
      <c r="W558" s="198"/>
      <c r="X558" s="198"/>
      <c r="Y558" s="198"/>
      <c r="Z558" s="198"/>
    </row>
    <row r="559" ht="57.75" customHeight="1">
      <c r="A559" s="285"/>
      <c r="B559" s="299"/>
      <c r="C559" s="285"/>
      <c r="D559" s="367"/>
      <c r="E559" s="287"/>
      <c r="F559" s="288"/>
      <c r="G559" s="367"/>
      <c r="H559" s="301"/>
      <c r="I559" s="285"/>
      <c r="J559" s="377"/>
      <c r="K559" s="294"/>
      <c r="L559" s="294"/>
      <c r="M559" s="290"/>
      <c r="N559" s="285"/>
      <c r="O559" s="299"/>
      <c r="P559" s="300"/>
      <c r="Q559" s="424"/>
      <c r="R559" s="424"/>
      <c r="S559" s="198"/>
      <c r="T559" s="198"/>
      <c r="U559" s="198"/>
      <c r="V559" s="198"/>
      <c r="W559" s="198"/>
      <c r="X559" s="198"/>
      <c r="Y559" s="198"/>
      <c r="Z559" s="198"/>
    </row>
    <row r="560" ht="63.0" customHeight="1">
      <c r="A560" s="299"/>
      <c r="B560" s="285"/>
      <c r="C560" s="285"/>
      <c r="D560" s="285"/>
      <c r="E560" s="287"/>
      <c r="F560" s="288"/>
      <c r="G560" s="301"/>
      <c r="H560" s="301"/>
      <c r="I560" s="285"/>
      <c r="J560" s="377"/>
      <c r="K560" s="294"/>
      <c r="L560" s="294"/>
      <c r="M560" s="290"/>
      <c r="N560" s="285"/>
      <c r="O560" s="299"/>
      <c r="P560" s="300"/>
      <c r="Q560" s="424"/>
      <c r="R560" s="424"/>
      <c r="S560" s="198"/>
      <c r="T560" s="198"/>
      <c r="U560" s="198"/>
      <c r="V560" s="198"/>
      <c r="W560" s="198"/>
      <c r="X560" s="198"/>
      <c r="Y560" s="198"/>
      <c r="Z560" s="198"/>
    </row>
    <row r="561" ht="63.75" customHeight="1">
      <c r="A561" s="285"/>
      <c r="B561" s="299"/>
      <c r="C561" s="285"/>
      <c r="D561" s="367"/>
      <c r="E561" s="287"/>
      <c r="F561" s="288"/>
      <c r="G561" s="367"/>
      <c r="H561" s="301"/>
      <c r="I561" s="285"/>
      <c r="J561" s="377"/>
      <c r="K561" s="294"/>
      <c r="L561" s="294"/>
      <c r="M561" s="290"/>
      <c r="N561" s="285"/>
      <c r="O561" s="299"/>
      <c r="P561" s="300"/>
      <c r="Q561" s="424"/>
      <c r="R561" s="424"/>
      <c r="S561" s="198"/>
      <c r="T561" s="198"/>
      <c r="U561" s="198"/>
      <c r="V561" s="198"/>
      <c r="W561" s="198"/>
      <c r="X561" s="198"/>
      <c r="Y561" s="198"/>
      <c r="Z561" s="198"/>
    </row>
    <row r="562" ht="57.75" customHeight="1">
      <c r="A562" s="285"/>
      <c r="B562" s="299"/>
      <c r="C562" s="285"/>
      <c r="D562" s="367"/>
      <c r="E562" s="287"/>
      <c r="F562" s="288"/>
      <c r="G562" s="367"/>
      <c r="H562" s="301"/>
      <c r="I562" s="285"/>
      <c r="J562" s="377"/>
      <c r="K562" s="294"/>
      <c r="L562" s="294"/>
      <c r="M562" s="290"/>
      <c r="N562" s="285"/>
      <c r="O562" s="299"/>
      <c r="P562" s="300"/>
      <c r="Q562" s="424"/>
      <c r="R562" s="424"/>
      <c r="S562" s="198"/>
      <c r="T562" s="198"/>
      <c r="U562" s="198"/>
      <c r="V562" s="198"/>
      <c r="W562" s="198"/>
      <c r="X562" s="198"/>
      <c r="Y562" s="198"/>
      <c r="Z562" s="198"/>
    </row>
    <row r="563" ht="57.75" customHeight="1">
      <c r="A563" s="299"/>
      <c r="B563" s="285"/>
      <c r="C563" s="285"/>
      <c r="D563" s="285"/>
      <c r="E563" s="287"/>
      <c r="F563" s="288"/>
      <c r="G563" s="301"/>
      <c r="H563" s="301"/>
      <c r="I563" s="285"/>
      <c r="J563" s="377"/>
      <c r="K563" s="294"/>
      <c r="L563" s="294"/>
      <c r="M563" s="290"/>
      <c r="N563" s="285"/>
      <c r="O563" s="299"/>
      <c r="P563" s="300"/>
      <c r="Q563" s="424"/>
      <c r="R563" s="424"/>
      <c r="S563" s="198"/>
      <c r="T563" s="198"/>
      <c r="U563" s="198"/>
      <c r="V563" s="198"/>
      <c r="W563" s="198"/>
      <c r="X563" s="198"/>
      <c r="Y563" s="198"/>
      <c r="Z563" s="198"/>
    </row>
    <row r="564" ht="57.75" customHeight="1">
      <c r="A564" s="285"/>
      <c r="B564" s="299"/>
      <c r="C564" s="285"/>
      <c r="D564" s="367"/>
      <c r="E564" s="287"/>
      <c r="F564" s="288"/>
      <c r="G564" s="367"/>
      <c r="H564" s="301"/>
      <c r="I564" s="285"/>
      <c r="J564" s="377"/>
      <c r="K564" s="294"/>
      <c r="L564" s="294"/>
      <c r="M564" s="290"/>
      <c r="N564" s="285"/>
      <c r="O564" s="299"/>
      <c r="P564" s="300"/>
      <c r="Q564" s="424"/>
      <c r="R564" s="424"/>
      <c r="S564" s="198"/>
      <c r="T564" s="198"/>
      <c r="U564" s="198"/>
      <c r="V564" s="198"/>
      <c r="W564" s="198"/>
      <c r="X564" s="198"/>
      <c r="Y564" s="198"/>
      <c r="Z564" s="198"/>
    </row>
    <row r="565" ht="57.75" customHeight="1">
      <c r="A565" s="285"/>
      <c r="B565" s="299"/>
      <c r="C565" s="285"/>
      <c r="D565" s="367"/>
      <c r="E565" s="287"/>
      <c r="F565" s="288"/>
      <c r="G565" s="367"/>
      <c r="H565" s="301"/>
      <c r="I565" s="285"/>
      <c r="J565" s="377"/>
      <c r="K565" s="294"/>
      <c r="L565" s="294"/>
      <c r="M565" s="290"/>
      <c r="N565" s="285"/>
      <c r="O565" s="299"/>
      <c r="P565" s="300"/>
      <c r="Q565" s="424"/>
      <c r="R565" s="424"/>
      <c r="S565" s="198"/>
      <c r="T565" s="198"/>
      <c r="U565" s="198"/>
      <c r="V565" s="198"/>
      <c r="W565" s="198"/>
      <c r="X565" s="198"/>
      <c r="Y565" s="198"/>
      <c r="Z565" s="198"/>
    </row>
    <row r="566" ht="57.75" customHeight="1">
      <c r="A566" s="299"/>
      <c r="B566" s="285"/>
      <c r="C566" s="285"/>
      <c r="D566" s="285"/>
      <c r="E566" s="287"/>
      <c r="F566" s="288"/>
      <c r="G566" s="301"/>
      <c r="H566" s="301"/>
      <c r="I566" s="285"/>
      <c r="J566" s="377"/>
      <c r="K566" s="294"/>
      <c r="L566" s="294"/>
      <c r="M566" s="290"/>
      <c r="N566" s="285"/>
      <c r="O566" s="299"/>
      <c r="P566" s="300"/>
      <c r="Q566" s="424"/>
      <c r="R566" s="424"/>
      <c r="S566" s="198"/>
      <c r="T566" s="198"/>
      <c r="U566" s="198"/>
      <c r="V566" s="198"/>
      <c r="W566" s="198"/>
      <c r="X566" s="198"/>
      <c r="Y566" s="198"/>
      <c r="Z566" s="198"/>
    </row>
    <row r="567" ht="57.75" customHeight="1">
      <c r="A567" s="285"/>
      <c r="B567" s="299"/>
      <c r="C567" s="285"/>
      <c r="D567" s="367"/>
      <c r="E567" s="287"/>
      <c r="F567" s="288"/>
      <c r="G567" s="367"/>
      <c r="H567" s="301"/>
      <c r="I567" s="285"/>
      <c r="J567" s="377"/>
      <c r="K567" s="294"/>
      <c r="L567" s="294"/>
      <c r="M567" s="290"/>
      <c r="N567" s="285"/>
      <c r="O567" s="299"/>
      <c r="P567" s="300"/>
      <c r="Q567" s="424"/>
      <c r="R567" s="424"/>
      <c r="S567" s="198"/>
      <c r="T567" s="198"/>
      <c r="U567" s="198"/>
      <c r="V567" s="198"/>
      <c r="W567" s="198"/>
      <c r="X567" s="198"/>
      <c r="Y567" s="198"/>
      <c r="Z567" s="198"/>
    </row>
    <row r="568" ht="57.75" customHeight="1">
      <c r="A568" s="285"/>
      <c r="B568" s="299"/>
      <c r="C568" s="285"/>
      <c r="D568" s="367"/>
      <c r="E568" s="287"/>
      <c r="F568" s="288"/>
      <c r="G568" s="367"/>
      <c r="H568" s="301"/>
      <c r="I568" s="285"/>
      <c r="J568" s="377"/>
      <c r="K568" s="294"/>
      <c r="L568" s="294"/>
      <c r="M568" s="290"/>
      <c r="N568" s="285"/>
      <c r="O568" s="299"/>
      <c r="P568" s="300"/>
      <c r="Q568" s="424"/>
      <c r="R568" s="424"/>
      <c r="S568" s="198"/>
      <c r="T568" s="198"/>
      <c r="U568" s="198"/>
      <c r="V568" s="198"/>
      <c r="W568" s="198"/>
      <c r="X568" s="198"/>
      <c r="Y568" s="198"/>
      <c r="Z568" s="198"/>
    </row>
    <row r="569" ht="57.75" customHeight="1">
      <c r="A569" s="299"/>
      <c r="B569" s="285"/>
      <c r="C569" s="285"/>
      <c r="D569" s="285"/>
      <c r="E569" s="287"/>
      <c r="F569" s="288"/>
      <c r="G569" s="301"/>
      <c r="H569" s="301"/>
      <c r="I569" s="285"/>
      <c r="J569" s="377"/>
      <c r="K569" s="294"/>
      <c r="L569" s="294"/>
      <c r="M569" s="290"/>
      <c r="N569" s="285"/>
      <c r="O569" s="299"/>
      <c r="P569" s="300"/>
      <c r="Q569" s="424"/>
      <c r="R569" s="424"/>
      <c r="S569" s="198"/>
      <c r="T569" s="198"/>
      <c r="U569" s="198"/>
      <c r="V569" s="198"/>
      <c r="W569" s="198"/>
      <c r="X569" s="198"/>
      <c r="Y569" s="198"/>
      <c r="Z569" s="198"/>
    </row>
    <row r="570" ht="57.75" customHeight="1">
      <c r="A570" s="285"/>
      <c r="B570" s="299"/>
      <c r="C570" s="285"/>
      <c r="D570" s="367"/>
      <c r="E570" s="287"/>
      <c r="F570" s="288"/>
      <c r="G570" s="367"/>
      <c r="H570" s="301"/>
      <c r="I570" s="285"/>
      <c r="J570" s="377"/>
      <c r="K570" s="294"/>
      <c r="L570" s="294"/>
      <c r="M570" s="290"/>
      <c r="N570" s="285"/>
      <c r="O570" s="299"/>
      <c r="P570" s="300"/>
      <c r="Q570" s="424"/>
      <c r="R570" s="424"/>
      <c r="S570" s="198"/>
      <c r="T570" s="198"/>
      <c r="U570" s="198"/>
      <c r="V570" s="198"/>
      <c r="W570" s="198"/>
      <c r="X570" s="198"/>
      <c r="Y570" s="198"/>
      <c r="Z570" s="198"/>
    </row>
    <row r="571" ht="61.5" customHeight="1">
      <c r="A571" s="285"/>
      <c r="B571" s="299"/>
      <c r="C571" s="285"/>
      <c r="D571" s="367"/>
      <c r="E571" s="287"/>
      <c r="F571" s="288"/>
      <c r="G571" s="367"/>
      <c r="H571" s="301"/>
      <c r="I571" s="285"/>
      <c r="J571" s="377"/>
      <c r="K571" s="294"/>
      <c r="L571" s="294"/>
      <c r="M571" s="290"/>
      <c r="N571" s="285"/>
      <c r="O571" s="299"/>
      <c r="P571" s="300"/>
      <c r="Q571" s="424"/>
      <c r="R571" s="424"/>
      <c r="S571" s="198"/>
      <c r="T571" s="198"/>
      <c r="U571" s="198"/>
      <c r="V571" s="198"/>
      <c r="W571" s="198"/>
      <c r="X571" s="198"/>
      <c r="Y571" s="198"/>
      <c r="Z571" s="198"/>
    </row>
    <row r="572" ht="60.75" customHeight="1">
      <c r="A572" s="299"/>
      <c r="B572" s="285"/>
      <c r="C572" s="285"/>
      <c r="D572" s="285"/>
      <c r="E572" s="287"/>
      <c r="F572" s="288"/>
      <c r="G572" s="301"/>
      <c r="H572" s="301"/>
      <c r="I572" s="285"/>
      <c r="J572" s="377"/>
      <c r="K572" s="294"/>
      <c r="L572" s="294"/>
      <c r="M572" s="290"/>
      <c r="N572" s="285"/>
      <c r="O572" s="299"/>
      <c r="P572" s="300"/>
      <c r="Q572" s="424"/>
      <c r="R572" s="424"/>
      <c r="S572" s="198"/>
      <c r="T572" s="198"/>
      <c r="U572" s="198"/>
      <c r="V572" s="198"/>
      <c r="W572" s="198"/>
      <c r="X572" s="198"/>
      <c r="Y572" s="198"/>
      <c r="Z572" s="198"/>
    </row>
    <row r="573" ht="65.25" customHeight="1">
      <c r="A573" s="285"/>
      <c r="B573" s="299"/>
      <c r="C573" s="285"/>
      <c r="D573" s="367"/>
      <c r="E573" s="287"/>
      <c r="F573" s="288"/>
      <c r="G573" s="367"/>
      <c r="H573" s="301"/>
      <c r="I573" s="285"/>
      <c r="J573" s="377"/>
      <c r="K573" s="294"/>
      <c r="L573" s="294"/>
      <c r="M573" s="290"/>
      <c r="N573" s="285"/>
      <c r="O573" s="299"/>
      <c r="P573" s="300"/>
      <c r="Q573" s="424"/>
      <c r="R573" s="424"/>
      <c r="S573" s="198"/>
      <c r="T573" s="198"/>
      <c r="U573" s="198"/>
      <c r="V573" s="198"/>
      <c r="W573" s="198"/>
      <c r="X573" s="198"/>
      <c r="Y573" s="198"/>
      <c r="Z573" s="198"/>
    </row>
    <row r="574" ht="70.5" customHeight="1">
      <c r="A574" s="285"/>
      <c r="B574" s="299"/>
      <c r="C574" s="285"/>
      <c r="D574" s="367"/>
      <c r="E574" s="287"/>
      <c r="F574" s="288"/>
      <c r="G574" s="367"/>
      <c r="H574" s="301"/>
      <c r="I574" s="285"/>
      <c r="J574" s="377"/>
      <c r="K574" s="294"/>
      <c r="L574" s="294"/>
      <c r="M574" s="290"/>
      <c r="N574" s="285"/>
      <c r="O574" s="299"/>
      <c r="P574" s="300"/>
      <c r="Q574" s="424"/>
      <c r="R574" s="424"/>
      <c r="S574" s="198"/>
      <c r="T574" s="198"/>
      <c r="U574" s="198"/>
      <c r="V574" s="198"/>
      <c r="W574" s="198"/>
      <c r="X574" s="198"/>
      <c r="Y574" s="198"/>
      <c r="Z574" s="198"/>
    </row>
    <row r="575" ht="63.0" customHeight="1">
      <c r="A575" s="299"/>
      <c r="B575" s="285"/>
      <c r="C575" s="285"/>
      <c r="D575" s="285"/>
      <c r="E575" s="287"/>
      <c r="F575" s="288"/>
      <c r="G575" s="301"/>
      <c r="H575" s="301"/>
      <c r="I575" s="285"/>
      <c r="J575" s="377"/>
      <c r="K575" s="294"/>
      <c r="L575" s="294"/>
      <c r="M575" s="290"/>
      <c r="N575" s="285"/>
      <c r="O575" s="299"/>
      <c r="P575" s="300"/>
      <c r="Q575" s="424"/>
      <c r="R575" s="424"/>
      <c r="S575" s="198"/>
      <c r="T575" s="198"/>
      <c r="U575" s="198"/>
      <c r="V575" s="198"/>
      <c r="W575" s="198"/>
      <c r="X575" s="198"/>
      <c r="Y575" s="198"/>
      <c r="Z575" s="198"/>
    </row>
    <row r="576" ht="57.75" customHeight="1">
      <c r="A576" s="285"/>
      <c r="B576" s="299"/>
      <c r="C576" s="285"/>
      <c r="D576" s="367"/>
      <c r="E576" s="287"/>
      <c r="F576" s="288"/>
      <c r="G576" s="367"/>
      <c r="H576" s="301"/>
      <c r="I576" s="285"/>
      <c r="J576" s="377"/>
      <c r="K576" s="294"/>
      <c r="L576" s="294"/>
      <c r="M576" s="290"/>
      <c r="N576" s="285"/>
      <c r="O576" s="299"/>
      <c r="P576" s="300"/>
      <c r="Q576" s="424"/>
      <c r="R576" s="424"/>
      <c r="S576" s="198"/>
      <c r="T576" s="198"/>
      <c r="U576" s="198"/>
      <c r="V576" s="198"/>
      <c r="W576" s="198"/>
      <c r="X576" s="198"/>
      <c r="Y576" s="198"/>
      <c r="Z576" s="198"/>
    </row>
    <row r="577" ht="57.75" customHeight="1">
      <c r="A577" s="285"/>
      <c r="B577" s="299"/>
      <c r="C577" s="285"/>
      <c r="D577" s="367"/>
      <c r="E577" s="287"/>
      <c r="F577" s="288"/>
      <c r="G577" s="367"/>
      <c r="H577" s="301"/>
      <c r="I577" s="285"/>
      <c r="J577" s="377"/>
      <c r="K577" s="294"/>
      <c r="L577" s="294"/>
      <c r="M577" s="290"/>
      <c r="N577" s="285"/>
      <c r="O577" s="299"/>
      <c r="P577" s="300"/>
      <c r="Q577" s="424"/>
      <c r="R577" s="424"/>
      <c r="S577" s="198"/>
      <c r="T577" s="198"/>
      <c r="U577" s="198"/>
      <c r="V577" s="198"/>
      <c r="W577" s="198"/>
      <c r="X577" s="198"/>
      <c r="Y577" s="198"/>
      <c r="Z577" s="198"/>
    </row>
    <row r="578" ht="57.75" customHeight="1">
      <c r="A578" s="299"/>
      <c r="B578" s="285"/>
      <c r="C578" s="285"/>
      <c r="D578" s="285"/>
      <c r="E578" s="287"/>
      <c r="F578" s="288"/>
      <c r="G578" s="301"/>
      <c r="H578" s="301"/>
      <c r="I578" s="285"/>
      <c r="J578" s="377"/>
      <c r="K578" s="294"/>
      <c r="L578" s="294"/>
      <c r="M578" s="290"/>
      <c r="N578" s="285"/>
      <c r="O578" s="299"/>
      <c r="P578" s="300"/>
      <c r="Q578" s="424"/>
      <c r="R578" s="424"/>
      <c r="S578" s="198"/>
      <c r="T578" s="198"/>
      <c r="U578" s="198"/>
      <c r="V578" s="198"/>
      <c r="W578" s="198"/>
      <c r="X578" s="198"/>
      <c r="Y578" s="198"/>
      <c r="Z578" s="198"/>
    </row>
    <row r="579" ht="57.75" customHeight="1">
      <c r="A579" s="285"/>
      <c r="B579" s="299"/>
      <c r="C579" s="285"/>
      <c r="D579" s="367"/>
      <c r="E579" s="287"/>
      <c r="F579" s="288"/>
      <c r="G579" s="367"/>
      <c r="H579" s="301"/>
      <c r="I579" s="285"/>
      <c r="J579" s="377"/>
      <c r="K579" s="294"/>
      <c r="L579" s="294"/>
      <c r="M579" s="290"/>
      <c r="N579" s="285"/>
      <c r="O579" s="299"/>
      <c r="P579" s="300"/>
      <c r="Q579" s="424"/>
      <c r="R579" s="424"/>
      <c r="S579" s="198"/>
      <c r="T579" s="198"/>
      <c r="U579" s="198"/>
      <c r="V579" s="198"/>
      <c r="W579" s="198"/>
      <c r="X579" s="198"/>
      <c r="Y579" s="198"/>
      <c r="Z579" s="198"/>
    </row>
    <row r="580" ht="60.75" customHeight="1">
      <c r="A580" s="285"/>
      <c r="B580" s="299"/>
      <c r="C580" s="285"/>
      <c r="D580" s="367"/>
      <c r="E580" s="287"/>
      <c r="F580" s="288"/>
      <c r="G580" s="367"/>
      <c r="H580" s="301"/>
      <c r="I580" s="285"/>
      <c r="J580" s="377"/>
      <c r="K580" s="294"/>
      <c r="L580" s="294"/>
      <c r="M580" s="290"/>
      <c r="N580" s="285"/>
      <c r="O580" s="299"/>
      <c r="P580" s="300"/>
      <c r="Q580" s="424"/>
      <c r="R580" s="424"/>
      <c r="S580" s="198"/>
      <c r="T580" s="198"/>
      <c r="U580" s="198"/>
      <c r="V580" s="198"/>
      <c r="W580" s="198"/>
      <c r="X580" s="198"/>
      <c r="Y580" s="198"/>
      <c r="Z580" s="198"/>
    </row>
    <row r="581" ht="57.75" customHeight="1">
      <c r="A581" s="299"/>
      <c r="B581" s="285"/>
      <c r="C581" s="285"/>
      <c r="D581" s="285"/>
      <c r="E581" s="287"/>
      <c r="F581" s="288"/>
      <c r="G581" s="301"/>
      <c r="H581" s="301"/>
      <c r="I581" s="285"/>
      <c r="J581" s="377"/>
      <c r="K581" s="294"/>
      <c r="L581" s="294"/>
      <c r="M581" s="290"/>
      <c r="N581" s="285"/>
      <c r="O581" s="299"/>
      <c r="P581" s="300"/>
      <c r="Q581" s="424"/>
      <c r="R581" s="424"/>
      <c r="S581" s="198"/>
      <c r="T581" s="198"/>
      <c r="U581" s="198"/>
      <c r="V581" s="198"/>
      <c r="W581" s="198"/>
      <c r="X581" s="198"/>
      <c r="Y581" s="198"/>
      <c r="Z581" s="198"/>
    </row>
    <row r="582" ht="65.25" customHeight="1">
      <c r="A582" s="285"/>
      <c r="B582" s="299"/>
      <c r="C582" s="285"/>
      <c r="D582" s="367"/>
      <c r="E582" s="287"/>
      <c r="F582" s="288"/>
      <c r="G582" s="367"/>
      <c r="H582" s="301"/>
      <c r="I582" s="285"/>
      <c r="J582" s="377"/>
      <c r="K582" s="294"/>
      <c r="L582" s="294"/>
      <c r="M582" s="290"/>
      <c r="N582" s="285"/>
      <c r="O582" s="299"/>
      <c r="P582" s="300"/>
      <c r="Q582" s="424"/>
      <c r="R582" s="424"/>
      <c r="S582" s="198"/>
      <c r="T582" s="198"/>
      <c r="U582" s="198"/>
      <c r="V582" s="198"/>
      <c r="W582" s="198"/>
      <c r="X582" s="198"/>
      <c r="Y582" s="198"/>
      <c r="Z582" s="198"/>
    </row>
    <row r="583" ht="57.75" customHeight="1">
      <c r="A583" s="285"/>
      <c r="B583" s="299"/>
      <c r="C583" s="285"/>
      <c r="D583" s="367"/>
      <c r="E583" s="287"/>
      <c r="F583" s="288"/>
      <c r="G583" s="367"/>
      <c r="H583" s="301"/>
      <c r="I583" s="285"/>
      <c r="J583" s="377"/>
      <c r="K583" s="294"/>
      <c r="L583" s="294"/>
      <c r="M583" s="290"/>
      <c r="N583" s="285"/>
      <c r="O583" s="299"/>
      <c r="P583" s="300"/>
      <c r="Q583" s="424"/>
      <c r="R583" s="424"/>
      <c r="S583" s="198"/>
      <c r="T583" s="198"/>
      <c r="U583" s="198"/>
      <c r="V583" s="198"/>
      <c r="W583" s="198"/>
      <c r="X583" s="198"/>
      <c r="Y583" s="198"/>
      <c r="Z583" s="198"/>
    </row>
    <row r="584" ht="57.75" customHeight="1">
      <c r="A584" s="299"/>
      <c r="B584" s="285"/>
      <c r="C584" s="285"/>
      <c r="D584" s="285"/>
      <c r="E584" s="287"/>
      <c r="F584" s="288"/>
      <c r="G584" s="301"/>
      <c r="H584" s="301"/>
      <c r="I584" s="285"/>
      <c r="J584" s="377"/>
      <c r="K584" s="294"/>
      <c r="L584" s="294"/>
      <c r="M584" s="290"/>
      <c r="N584" s="285"/>
      <c r="O584" s="299"/>
      <c r="P584" s="300"/>
      <c r="Q584" s="424"/>
      <c r="R584" s="424"/>
      <c r="S584" s="198"/>
      <c r="T584" s="198"/>
      <c r="U584" s="198"/>
      <c r="V584" s="198"/>
      <c r="W584" s="198"/>
      <c r="X584" s="198"/>
      <c r="Y584" s="198"/>
      <c r="Z584" s="198"/>
    </row>
    <row r="585" ht="69.0" customHeight="1">
      <c r="A585" s="285"/>
      <c r="B585" s="299"/>
      <c r="C585" s="285"/>
      <c r="D585" s="367"/>
      <c r="E585" s="287"/>
      <c r="F585" s="288"/>
      <c r="G585" s="367"/>
      <c r="H585" s="301"/>
      <c r="I585" s="285"/>
      <c r="J585" s="377"/>
      <c r="K585" s="294"/>
      <c r="L585" s="294"/>
      <c r="M585" s="290"/>
      <c r="N585" s="285"/>
      <c r="O585" s="299"/>
      <c r="P585" s="300"/>
      <c r="Q585" s="424"/>
      <c r="R585" s="424"/>
      <c r="S585" s="198"/>
      <c r="T585" s="198"/>
      <c r="U585" s="198"/>
      <c r="V585" s="198"/>
      <c r="W585" s="198"/>
      <c r="X585" s="198"/>
      <c r="Y585" s="198"/>
      <c r="Z585" s="198"/>
    </row>
    <row r="586" ht="57.75" customHeight="1">
      <c r="A586" s="285"/>
      <c r="B586" s="299"/>
      <c r="C586" s="285"/>
      <c r="D586" s="367"/>
      <c r="E586" s="287"/>
      <c r="F586" s="288"/>
      <c r="G586" s="367"/>
      <c r="H586" s="301"/>
      <c r="I586" s="285"/>
      <c r="J586" s="377"/>
      <c r="K586" s="294"/>
      <c r="L586" s="294"/>
      <c r="M586" s="290"/>
      <c r="N586" s="285"/>
      <c r="O586" s="299"/>
      <c r="P586" s="300"/>
      <c r="Q586" s="424"/>
      <c r="R586" s="424"/>
      <c r="S586" s="198"/>
      <c r="T586" s="198"/>
      <c r="U586" s="198"/>
      <c r="V586" s="198"/>
      <c r="W586" s="198"/>
      <c r="X586" s="198"/>
      <c r="Y586" s="198"/>
      <c r="Z586" s="198"/>
    </row>
    <row r="587" ht="68.25" customHeight="1">
      <c r="A587" s="299"/>
      <c r="B587" s="285"/>
      <c r="C587" s="285"/>
      <c r="D587" s="285"/>
      <c r="E587" s="287"/>
      <c r="F587" s="288"/>
      <c r="G587" s="301"/>
      <c r="H587" s="301"/>
      <c r="I587" s="285"/>
      <c r="J587" s="377"/>
      <c r="K587" s="294"/>
      <c r="L587" s="294"/>
      <c r="M587" s="290"/>
      <c r="N587" s="285"/>
      <c r="O587" s="299"/>
      <c r="P587" s="300"/>
      <c r="Q587" s="424"/>
      <c r="R587" s="424"/>
      <c r="S587" s="198"/>
      <c r="T587" s="198"/>
      <c r="U587" s="198"/>
      <c r="V587" s="198"/>
      <c r="W587" s="198"/>
      <c r="X587" s="198"/>
      <c r="Y587" s="198"/>
      <c r="Z587" s="198"/>
    </row>
    <row r="588" ht="68.25" customHeight="1">
      <c r="A588" s="285"/>
      <c r="B588" s="299"/>
      <c r="C588" s="285"/>
      <c r="D588" s="367"/>
      <c r="E588" s="287"/>
      <c r="F588" s="288"/>
      <c r="G588" s="367"/>
      <c r="H588" s="301"/>
      <c r="I588" s="285"/>
      <c r="J588" s="377"/>
      <c r="K588" s="294"/>
      <c r="L588" s="294"/>
      <c r="M588" s="290"/>
      <c r="N588" s="285"/>
      <c r="O588" s="299"/>
      <c r="P588" s="300"/>
      <c r="Q588" s="424"/>
      <c r="R588" s="424"/>
      <c r="S588" s="198"/>
      <c r="T588" s="198"/>
      <c r="U588" s="198"/>
      <c r="V588" s="198"/>
      <c r="W588" s="198"/>
      <c r="X588" s="198"/>
      <c r="Y588" s="198"/>
      <c r="Z588" s="198"/>
    </row>
    <row r="589" ht="66.0" customHeight="1">
      <c r="A589" s="285"/>
      <c r="B589" s="299"/>
      <c r="C589" s="285"/>
      <c r="D589" s="367"/>
      <c r="E589" s="287"/>
      <c r="F589" s="288"/>
      <c r="G589" s="367"/>
      <c r="H589" s="301"/>
      <c r="I589" s="285"/>
      <c r="J589" s="377"/>
      <c r="K589" s="294"/>
      <c r="L589" s="294"/>
      <c r="M589" s="290"/>
      <c r="N589" s="285"/>
      <c r="O589" s="299"/>
      <c r="P589" s="300"/>
      <c r="Q589" s="424"/>
      <c r="R589" s="424"/>
      <c r="S589" s="198"/>
      <c r="T589" s="198"/>
      <c r="U589" s="198"/>
      <c r="V589" s="198"/>
      <c r="W589" s="198"/>
      <c r="X589" s="198"/>
      <c r="Y589" s="198"/>
      <c r="Z589" s="198"/>
    </row>
    <row r="590" ht="63.75" customHeight="1">
      <c r="A590" s="299"/>
      <c r="B590" s="285"/>
      <c r="C590" s="285"/>
      <c r="D590" s="285"/>
      <c r="E590" s="287"/>
      <c r="F590" s="288"/>
      <c r="G590" s="301"/>
      <c r="H590" s="301"/>
      <c r="I590" s="285"/>
      <c r="J590" s="377"/>
      <c r="K590" s="294"/>
      <c r="L590" s="294"/>
      <c r="M590" s="290"/>
      <c r="N590" s="285"/>
      <c r="O590" s="299"/>
      <c r="P590" s="300"/>
      <c r="Q590" s="424"/>
      <c r="R590" s="424"/>
      <c r="S590" s="198"/>
      <c r="T590" s="198"/>
      <c r="U590" s="198"/>
      <c r="V590" s="198"/>
      <c r="W590" s="198"/>
      <c r="X590" s="198"/>
      <c r="Y590" s="198"/>
      <c r="Z590" s="198"/>
    </row>
    <row r="591" ht="57.0" customHeight="1">
      <c r="A591" s="285"/>
      <c r="B591" s="299"/>
      <c r="C591" s="285"/>
      <c r="D591" s="367"/>
      <c r="E591" s="287"/>
      <c r="F591" s="288"/>
      <c r="G591" s="367"/>
      <c r="H591" s="301"/>
      <c r="I591" s="285"/>
      <c r="J591" s="377"/>
      <c r="K591" s="294"/>
      <c r="L591" s="294"/>
      <c r="M591" s="290"/>
      <c r="N591" s="285"/>
      <c r="O591" s="299"/>
      <c r="P591" s="300"/>
      <c r="Q591" s="424"/>
      <c r="R591" s="424"/>
      <c r="S591" s="198"/>
      <c r="T591" s="198"/>
      <c r="U591" s="198"/>
      <c r="V591" s="198"/>
      <c r="W591" s="198"/>
      <c r="X591" s="198"/>
      <c r="Y591" s="198"/>
      <c r="Z591" s="198"/>
    </row>
    <row r="592" ht="63.75" customHeight="1">
      <c r="A592" s="285"/>
      <c r="B592" s="299"/>
      <c r="C592" s="285"/>
      <c r="D592" s="367"/>
      <c r="E592" s="287"/>
      <c r="F592" s="288"/>
      <c r="G592" s="367"/>
      <c r="H592" s="301"/>
      <c r="I592" s="285"/>
      <c r="J592" s="377"/>
      <c r="K592" s="294"/>
      <c r="L592" s="294"/>
      <c r="M592" s="290"/>
      <c r="N592" s="285"/>
      <c r="O592" s="299"/>
      <c r="P592" s="300"/>
      <c r="Q592" s="424"/>
      <c r="R592" s="424"/>
      <c r="S592" s="198"/>
      <c r="T592" s="198"/>
      <c r="U592" s="198"/>
      <c r="V592" s="198"/>
      <c r="W592" s="198"/>
      <c r="X592" s="198"/>
      <c r="Y592" s="198"/>
      <c r="Z592" s="198"/>
    </row>
    <row r="593" ht="62.25" customHeight="1">
      <c r="A593" s="299"/>
      <c r="B593" s="285"/>
      <c r="C593" s="285"/>
      <c r="D593" s="285"/>
      <c r="E593" s="287"/>
      <c r="F593" s="288"/>
      <c r="G593" s="301"/>
      <c r="H593" s="301"/>
      <c r="I593" s="285"/>
      <c r="J593" s="377"/>
      <c r="K593" s="294"/>
      <c r="L593" s="294"/>
      <c r="M593" s="290"/>
      <c r="N593" s="285"/>
      <c r="O593" s="299"/>
      <c r="P593" s="300"/>
      <c r="Q593" s="424"/>
      <c r="R593" s="424"/>
      <c r="S593" s="198"/>
      <c r="T593" s="198"/>
      <c r="U593" s="198"/>
      <c r="V593" s="198"/>
      <c r="W593" s="198"/>
      <c r="X593" s="198"/>
      <c r="Y593" s="198"/>
      <c r="Z593" s="198"/>
    </row>
    <row r="594" ht="60.0" customHeight="1">
      <c r="A594" s="285"/>
      <c r="B594" s="299"/>
      <c r="C594" s="285"/>
      <c r="D594" s="367"/>
      <c r="E594" s="287"/>
      <c r="F594" s="288"/>
      <c r="G594" s="367"/>
      <c r="H594" s="301"/>
      <c r="I594" s="285"/>
      <c r="J594" s="377"/>
      <c r="K594" s="294"/>
      <c r="L594" s="294"/>
      <c r="M594" s="290"/>
      <c r="N594" s="285"/>
      <c r="O594" s="299"/>
      <c r="P594" s="300"/>
      <c r="Q594" s="424"/>
      <c r="R594" s="424"/>
      <c r="S594" s="198"/>
      <c r="T594" s="198"/>
      <c r="U594" s="198"/>
      <c r="V594" s="198"/>
      <c r="W594" s="198"/>
      <c r="X594" s="198"/>
      <c r="Y594" s="198"/>
      <c r="Z594" s="198"/>
    </row>
    <row r="595" ht="62.25" customHeight="1">
      <c r="A595" s="285"/>
      <c r="B595" s="299"/>
      <c r="C595" s="285"/>
      <c r="D595" s="367"/>
      <c r="E595" s="287"/>
      <c r="F595" s="288"/>
      <c r="G595" s="367"/>
      <c r="H595" s="301"/>
      <c r="I595" s="285"/>
      <c r="J595" s="377"/>
      <c r="K595" s="294"/>
      <c r="L595" s="294"/>
      <c r="M595" s="290"/>
      <c r="N595" s="285"/>
      <c r="O595" s="299"/>
      <c r="P595" s="300"/>
      <c r="Q595" s="424"/>
      <c r="R595" s="424"/>
      <c r="S595" s="198"/>
      <c r="T595" s="198"/>
      <c r="U595" s="198"/>
      <c r="V595" s="198"/>
      <c r="W595" s="198"/>
      <c r="X595" s="198"/>
      <c r="Y595" s="198"/>
      <c r="Z595" s="198"/>
    </row>
    <row r="596" ht="57.0" customHeight="1">
      <c r="A596" s="299"/>
      <c r="B596" s="285"/>
      <c r="C596" s="285"/>
      <c r="D596" s="285"/>
      <c r="E596" s="287"/>
      <c r="F596" s="288"/>
      <c r="G596" s="301"/>
      <c r="H596" s="301"/>
      <c r="I596" s="285"/>
      <c r="J596" s="377"/>
      <c r="K596" s="294"/>
      <c r="L596" s="294"/>
      <c r="M596" s="290"/>
      <c r="N596" s="285"/>
      <c r="O596" s="299"/>
      <c r="P596" s="300"/>
      <c r="Q596" s="424"/>
      <c r="R596" s="424"/>
      <c r="S596" s="198"/>
      <c r="T596" s="198"/>
      <c r="U596" s="198"/>
      <c r="V596" s="198"/>
      <c r="W596" s="198"/>
      <c r="X596" s="198"/>
      <c r="Y596" s="198"/>
      <c r="Z596" s="198"/>
    </row>
    <row r="597" ht="57.0" customHeight="1">
      <c r="A597" s="285"/>
      <c r="B597" s="299"/>
      <c r="C597" s="285"/>
      <c r="D597" s="367"/>
      <c r="E597" s="287"/>
      <c r="F597" s="288"/>
      <c r="G597" s="367"/>
      <c r="H597" s="301"/>
      <c r="I597" s="285"/>
      <c r="J597" s="377"/>
      <c r="K597" s="294"/>
      <c r="L597" s="294"/>
      <c r="M597" s="290"/>
      <c r="N597" s="285"/>
      <c r="O597" s="299"/>
      <c r="P597" s="300"/>
      <c r="Q597" s="424"/>
      <c r="R597" s="424"/>
      <c r="S597" s="198"/>
      <c r="T597" s="198"/>
      <c r="U597" s="198"/>
      <c r="V597" s="198"/>
      <c r="W597" s="198"/>
      <c r="X597" s="198"/>
      <c r="Y597" s="198"/>
      <c r="Z597" s="198"/>
    </row>
    <row r="598" ht="57.0" customHeight="1">
      <c r="A598" s="285"/>
      <c r="B598" s="299"/>
      <c r="C598" s="285"/>
      <c r="D598" s="367"/>
      <c r="E598" s="287"/>
      <c r="F598" s="288"/>
      <c r="G598" s="367"/>
      <c r="H598" s="301"/>
      <c r="I598" s="285"/>
      <c r="J598" s="377"/>
      <c r="K598" s="294"/>
      <c r="L598" s="294"/>
      <c r="M598" s="290"/>
      <c r="N598" s="285"/>
      <c r="O598" s="299"/>
      <c r="P598" s="300"/>
      <c r="Q598" s="424"/>
      <c r="R598" s="424"/>
      <c r="S598" s="198"/>
      <c r="T598" s="198"/>
      <c r="U598" s="198"/>
      <c r="V598" s="198"/>
      <c r="W598" s="198"/>
      <c r="X598" s="198"/>
      <c r="Y598" s="198"/>
      <c r="Z598" s="198"/>
    </row>
    <row r="599" ht="57.75" customHeight="1">
      <c r="A599" s="299"/>
      <c r="B599" s="285"/>
      <c r="C599" s="285"/>
      <c r="D599" s="285"/>
      <c r="E599" s="287"/>
      <c r="F599" s="288"/>
      <c r="G599" s="301"/>
      <c r="H599" s="301"/>
      <c r="I599" s="285"/>
      <c r="J599" s="377"/>
      <c r="K599" s="294"/>
      <c r="L599" s="294"/>
      <c r="M599" s="290"/>
      <c r="N599" s="285"/>
      <c r="O599" s="299"/>
      <c r="P599" s="300"/>
      <c r="Q599" s="424"/>
      <c r="R599" s="424"/>
      <c r="S599" s="198"/>
      <c r="T599" s="198"/>
      <c r="U599" s="198"/>
      <c r="V599" s="198"/>
      <c r="W599" s="198"/>
      <c r="X599" s="198"/>
      <c r="Y599" s="198"/>
      <c r="Z599" s="198"/>
    </row>
    <row r="600" ht="58.5" customHeight="1">
      <c r="A600" s="285"/>
      <c r="B600" s="299"/>
      <c r="C600" s="285"/>
      <c r="D600" s="367"/>
      <c r="E600" s="287"/>
      <c r="F600" s="288"/>
      <c r="G600" s="367"/>
      <c r="H600" s="301"/>
      <c r="I600" s="285"/>
      <c r="J600" s="377"/>
      <c r="K600" s="294"/>
      <c r="L600" s="294"/>
      <c r="M600" s="290"/>
      <c r="N600" s="285"/>
      <c r="O600" s="299"/>
      <c r="P600" s="300"/>
      <c r="Q600" s="424"/>
      <c r="R600" s="424"/>
      <c r="S600" s="198"/>
      <c r="T600" s="198"/>
      <c r="U600" s="198"/>
      <c r="V600" s="198"/>
      <c r="W600" s="198"/>
      <c r="X600" s="198"/>
      <c r="Y600" s="198"/>
      <c r="Z600" s="198"/>
    </row>
    <row r="601" ht="57.0" customHeight="1">
      <c r="A601" s="285"/>
      <c r="B601" s="299"/>
      <c r="C601" s="285"/>
      <c r="D601" s="367"/>
      <c r="E601" s="287"/>
      <c r="F601" s="288"/>
      <c r="G601" s="367"/>
      <c r="H601" s="301"/>
      <c r="I601" s="285"/>
      <c r="J601" s="377"/>
      <c r="K601" s="294"/>
      <c r="L601" s="294"/>
      <c r="M601" s="290"/>
      <c r="N601" s="285"/>
      <c r="O601" s="299"/>
      <c r="P601" s="300"/>
      <c r="Q601" s="424"/>
      <c r="R601" s="424"/>
      <c r="S601" s="198"/>
      <c r="T601" s="198"/>
      <c r="U601" s="198"/>
      <c r="V601" s="198"/>
      <c r="W601" s="198"/>
      <c r="X601" s="198"/>
      <c r="Y601" s="198"/>
      <c r="Z601" s="198"/>
    </row>
    <row r="602" ht="58.5" customHeight="1">
      <c r="A602" s="299"/>
      <c r="B602" s="285"/>
      <c r="C602" s="285"/>
      <c r="D602" s="285"/>
      <c r="E602" s="287"/>
      <c r="F602" s="288"/>
      <c r="G602" s="301"/>
      <c r="H602" s="301"/>
      <c r="I602" s="285"/>
      <c r="J602" s="377"/>
      <c r="K602" s="294"/>
      <c r="L602" s="294"/>
      <c r="M602" s="290"/>
      <c r="N602" s="285"/>
      <c r="O602" s="299"/>
      <c r="P602" s="300"/>
      <c r="Q602" s="424"/>
      <c r="R602" s="424"/>
      <c r="S602" s="198"/>
      <c r="T602" s="198"/>
      <c r="U602" s="198"/>
      <c r="V602" s="198"/>
      <c r="W602" s="198"/>
      <c r="X602" s="198"/>
      <c r="Y602" s="198"/>
      <c r="Z602" s="198"/>
    </row>
    <row r="603" ht="58.5" customHeight="1">
      <c r="A603" s="285"/>
      <c r="B603" s="299"/>
      <c r="C603" s="285"/>
      <c r="D603" s="367"/>
      <c r="E603" s="287"/>
      <c r="F603" s="288"/>
      <c r="G603" s="367"/>
      <c r="H603" s="301"/>
      <c r="I603" s="285"/>
      <c r="J603" s="377"/>
      <c r="K603" s="294"/>
      <c r="L603" s="294"/>
      <c r="M603" s="290"/>
      <c r="N603" s="285"/>
      <c r="O603" s="299"/>
      <c r="P603" s="300"/>
      <c r="Q603" s="424"/>
      <c r="R603" s="424"/>
      <c r="S603" s="198"/>
      <c r="T603" s="198"/>
      <c r="U603" s="198"/>
      <c r="V603" s="198"/>
      <c r="W603" s="198"/>
      <c r="X603" s="198"/>
      <c r="Y603" s="198"/>
      <c r="Z603" s="198"/>
    </row>
    <row r="604" ht="58.5" customHeight="1">
      <c r="A604" s="285"/>
      <c r="B604" s="299"/>
      <c r="C604" s="285"/>
      <c r="D604" s="367"/>
      <c r="E604" s="287"/>
      <c r="F604" s="288"/>
      <c r="G604" s="367"/>
      <c r="H604" s="301"/>
      <c r="I604" s="285"/>
      <c r="J604" s="377"/>
      <c r="K604" s="294"/>
      <c r="L604" s="294"/>
      <c r="M604" s="290"/>
      <c r="N604" s="285"/>
      <c r="O604" s="299"/>
      <c r="P604" s="300"/>
      <c r="Q604" s="424"/>
      <c r="R604" s="424"/>
      <c r="S604" s="198"/>
      <c r="T604" s="198"/>
      <c r="U604" s="198"/>
      <c r="V604" s="198"/>
      <c r="W604" s="198"/>
      <c r="X604" s="198"/>
      <c r="Y604" s="198"/>
      <c r="Z604" s="198"/>
    </row>
    <row r="605" ht="58.5" customHeight="1">
      <c r="A605" s="299"/>
      <c r="B605" s="285"/>
      <c r="C605" s="285"/>
      <c r="D605" s="285"/>
      <c r="E605" s="287"/>
      <c r="F605" s="288"/>
      <c r="G605" s="301"/>
      <c r="H605" s="301"/>
      <c r="I605" s="285"/>
      <c r="J605" s="377"/>
      <c r="K605" s="294"/>
      <c r="L605" s="294"/>
      <c r="M605" s="290"/>
      <c r="N605" s="285"/>
      <c r="O605" s="299"/>
      <c r="P605" s="300"/>
      <c r="Q605" s="424"/>
      <c r="R605" s="424"/>
      <c r="S605" s="198"/>
      <c r="T605" s="198"/>
      <c r="U605" s="198"/>
      <c r="V605" s="198"/>
      <c r="W605" s="198"/>
      <c r="X605" s="198"/>
      <c r="Y605" s="198"/>
      <c r="Z605" s="198"/>
    </row>
    <row r="606" ht="58.5" customHeight="1">
      <c r="A606" s="285"/>
      <c r="B606" s="299"/>
      <c r="C606" s="285"/>
      <c r="D606" s="367"/>
      <c r="E606" s="287"/>
      <c r="F606" s="288"/>
      <c r="G606" s="367"/>
      <c r="H606" s="301"/>
      <c r="I606" s="285"/>
      <c r="J606" s="377"/>
      <c r="K606" s="294"/>
      <c r="L606" s="294"/>
      <c r="M606" s="290"/>
      <c r="N606" s="285"/>
      <c r="O606" s="299"/>
      <c r="P606" s="300"/>
      <c r="Q606" s="424"/>
      <c r="R606" s="424"/>
      <c r="S606" s="198"/>
      <c r="T606" s="198"/>
      <c r="U606" s="198"/>
      <c r="V606" s="198"/>
      <c r="W606" s="198"/>
      <c r="X606" s="198"/>
      <c r="Y606" s="198"/>
      <c r="Z606" s="198"/>
    </row>
    <row r="607" ht="58.5" customHeight="1">
      <c r="A607" s="285"/>
      <c r="B607" s="299"/>
      <c r="C607" s="285"/>
      <c r="D607" s="367"/>
      <c r="E607" s="287"/>
      <c r="F607" s="288"/>
      <c r="G607" s="367"/>
      <c r="H607" s="301"/>
      <c r="I607" s="285"/>
      <c r="J607" s="377"/>
      <c r="K607" s="294"/>
      <c r="L607" s="294"/>
      <c r="M607" s="290"/>
      <c r="N607" s="285"/>
      <c r="O607" s="299"/>
      <c r="P607" s="300"/>
      <c r="Q607" s="424"/>
      <c r="R607" s="424"/>
      <c r="S607" s="198"/>
      <c r="T607" s="198"/>
      <c r="U607" s="198"/>
      <c r="V607" s="198"/>
      <c r="W607" s="198"/>
      <c r="X607" s="198"/>
      <c r="Y607" s="198"/>
      <c r="Z607" s="198"/>
    </row>
    <row r="608" ht="57.0" customHeight="1">
      <c r="A608" s="299"/>
      <c r="B608" s="285"/>
      <c r="C608" s="285"/>
      <c r="D608" s="285"/>
      <c r="E608" s="287"/>
      <c r="F608" s="288"/>
      <c r="G608" s="301"/>
      <c r="H608" s="301"/>
      <c r="I608" s="285"/>
      <c r="J608" s="377"/>
      <c r="K608" s="294"/>
      <c r="L608" s="294"/>
      <c r="M608" s="290"/>
      <c r="N608" s="285"/>
      <c r="O608" s="299"/>
      <c r="P608" s="300"/>
      <c r="Q608" s="424"/>
      <c r="R608" s="424"/>
      <c r="S608" s="198"/>
      <c r="T608" s="198"/>
      <c r="U608" s="198"/>
      <c r="V608" s="198"/>
      <c r="W608" s="198"/>
      <c r="X608" s="198"/>
      <c r="Y608" s="198"/>
      <c r="Z608" s="198"/>
    </row>
    <row r="609" ht="58.5" customHeight="1">
      <c r="A609" s="285"/>
      <c r="B609" s="299"/>
      <c r="C609" s="285"/>
      <c r="D609" s="367"/>
      <c r="E609" s="287"/>
      <c r="F609" s="288"/>
      <c r="G609" s="367"/>
      <c r="H609" s="301"/>
      <c r="I609" s="285"/>
      <c r="J609" s="377"/>
      <c r="K609" s="294"/>
      <c r="L609" s="294"/>
      <c r="M609" s="290"/>
      <c r="N609" s="285"/>
      <c r="O609" s="299"/>
      <c r="P609" s="300"/>
      <c r="Q609" s="424"/>
      <c r="R609" s="424"/>
      <c r="S609" s="198"/>
      <c r="T609" s="198"/>
      <c r="U609" s="198"/>
      <c r="V609" s="198"/>
      <c r="W609" s="198"/>
      <c r="X609" s="198"/>
      <c r="Y609" s="198"/>
      <c r="Z609" s="198"/>
    </row>
    <row r="610" ht="61.5" customHeight="1">
      <c r="A610" s="285"/>
      <c r="B610" s="299"/>
      <c r="C610" s="285"/>
      <c r="D610" s="367"/>
      <c r="E610" s="287"/>
      <c r="F610" s="288"/>
      <c r="G610" s="367"/>
      <c r="H610" s="301"/>
      <c r="I610" s="285"/>
      <c r="J610" s="377"/>
      <c r="K610" s="294"/>
      <c r="L610" s="294"/>
      <c r="M610" s="290"/>
      <c r="N610" s="285"/>
      <c r="O610" s="299"/>
      <c r="P610" s="300"/>
      <c r="Q610" s="424"/>
      <c r="R610" s="424"/>
      <c r="S610" s="198"/>
      <c r="T610" s="198"/>
      <c r="U610" s="198"/>
      <c r="V610" s="198"/>
      <c r="W610" s="198"/>
      <c r="X610" s="198"/>
      <c r="Y610" s="198"/>
      <c r="Z610" s="198"/>
    </row>
    <row r="611" ht="67.5" customHeight="1">
      <c r="A611" s="299"/>
      <c r="B611" s="285"/>
      <c r="C611" s="285"/>
      <c r="D611" s="285"/>
      <c r="E611" s="287"/>
      <c r="F611" s="288"/>
      <c r="G611" s="301"/>
      <c r="H611" s="301"/>
      <c r="I611" s="285"/>
      <c r="J611" s="377"/>
      <c r="K611" s="294"/>
      <c r="L611" s="294"/>
      <c r="M611" s="290"/>
      <c r="N611" s="285"/>
      <c r="O611" s="299"/>
      <c r="P611" s="300"/>
      <c r="Q611" s="424"/>
      <c r="R611" s="424"/>
      <c r="S611" s="198"/>
      <c r="T611" s="198"/>
      <c r="U611" s="198"/>
      <c r="V611" s="198"/>
      <c r="W611" s="198"/>
      <c r="X611" s="198"/>
      <c r="Y611" s="198"/>
      <c r="Z611" s="198"/>
    </row>
    <row r="612" ht="65.25" customHeight="1">
      <c r="A612" s="285"/>
      <c r="B612" s="299"/>
      <c r="C612" s="285"/>
      <c r="D612" s="367"/>
      <c r="E612" s="287"/>
      <c r="F612" s="288"/>
      <c r="G612" s="367"/>
      <c r="H612" s="301"/>
      <c r="I612" s="285"/>
      <c r="J612" s="377"/>
      <c r="K612" s="294"/>
      <c r="L612" s="294"/>
      <c r="M612" s="290"/>
      <c r="N612" s="285"/>
      <c r="O612" s="299"/>
      <c r="P612" s="300"/>
      <c r="Q612" s="424"/>
      <c r="R612" s="424"/>
      <c r="S612" s="198"/>
      <c r="T612" s="198"/>
      <c r="U612" s="198"/>
      <c r="V612" s="198"/>
      <c r="W612" s="198"/>
      <c r="X612" s="198"/>
      <c r="Y612" s="198"/>
      <c r="Z612" s="198"/>
    </row>
    <row r="613" ht="60.75" customHeight="1">
      <c r="A613" s="285"/>
      <c r="B613" s="299"/>
      <c r="C613" s="285"/>
      <c r="D613" s="367"/>
      <c r="E613" s="287"/>
      <c r="F613" s="288"/>
      <c r="G613" s="367"/>
      <c r="H613" s="301"/>
      <c r="I613" s="285"/>
      <c r="J613" s="377"/>
      <c r="K613" s="294"/>
      <c r="L613" s="294"/>
      <c r="M613" s="290"/>
      <c r="N613" s="285"/>
      <c r="O613" s="299"/>
      <c r="P613" s="300"/>
      <c r="Q613" s="424"/>
      <c r="R613" s="424"/>
      <c r="S613" s="198"/>
      <c r="T613" s="198"/>
      <c r="U613" s="198"/>
      <c r="V613" s="198"/>
      <c r="W613" s="198"/>
      <c r="X613" s="198"/>
      <c r="Y613" s="198"/>
      <c r="Z613" s="198"/>
    </row>
    <row r="614" ht="69.0" customHeight="1">
      <c r="A614" s="299"/>
      <c r="B614" s="285"/>
      <c r="C614" s="285"/>
      <c r="D614" s="285"/>
      <c r="E614" s="287"/>
      <c r="F614" s="288"/>
      <c r="G614" s="301"/>
      <c r="H614" s="301"/>
      <c r="I614" s="285"/>
      <c r="J614" s="377"/>
      <c r="K614" s="294"/>
      <c r="L614" s="294"/>
      <c r="M614" s="290"/>
      <c r="N614" s="285"/>
      <c r="O614" s="299"/>
      <c r="P614" s="300"/>
      <c r="Q614" s="424"/>
      <c r="R614" s="424"/>
      <c r="S614" s="198"/>
      <c r="T614" s="198"/>
      <c r="U614" s="198"/>
      <c r="V614" s="198"/>
      <c r="W614" s="198"/>
      <c r="X614" s="198"/>
      <c r="Y614" s="198"/>
      <c r="Z614" s="198"/>
    </row>
    <row r="615" ht="69.0" customHeight="1">
      <c r="A615" s="285"/>
      <c r="B615" s="299"/>
      <c r="C615" s="285"/>
      <c r="D615" s="367"/>
      <c r="E615" s="287"/>
      <c r="F615" s="288"/>
      <c r="G615" s="367"/>
      <c r="H615" s="301"/>
      <c r="I615" s="285"/>
      <c r="J615" s="377"/>
      <c r="K615" s="294"/>
      <c r="L615" s="294"/>
      <c r="M615" s="290"/>
      <c r="N615" s="285"/>
      <c r="O615" s="299"/>
      <c r="P615" s="300"/>
      <c r="Q615" s="424"/>
      <c r="R615" s="424"/>
      <c r="S615" s="198"/>
      <c r="T615" s="198"/>
      <c r="U615" s="198"/>
      <c r="V615" s="198"/>
      <c r="W615" s="198"/>
      <c r="X615" s="198"/>
      <c r="Y615" s="198"/>
      <c r="Z615" s="198"/>
    </row>
    <row r="616" ht="65.25" customHeight="1">
      <c r="A616" s="285"/>
      <c r="B616" s="299"/>
      <c r="C616" s="285"/>
      <c r="D616" s="367"/>
      <c r="E616" s="287"/>
      <c r="F616" s="288"/>
      <c r="G616" s="367"/>
      <c r="H616" s="301"/>
      <c r="I616" s="285"/>
      <c r="J616" s="377"/>
      <c r="K616" s="294"/>
      <c r="L616" s="294"/>
      <c r="M616" s="290"/>
      <c r="N616" s="285"/>
      <c r="O616" s="299"/>
      <c r="P616" s="300"/>
      <c r="Q616" s="424"/>
      <c r="R616" s="424"/>
      <c r="S616" s="198"/>
      <c r="T616" s="198"/>
      <c r="U616" s="198"/>
      <c r="V616" s="198"/>
      <c r="W616" s="198"/>
      <c r="X616" s="198"/>
      <c r="Y616" s="198"/>
      <c r="Z616" s="198"/>
    </row>
    <row r="617" ht="60.0" customHeight="1">
      <c r="A617" s="299"/>
      <c r="B617" s="285"/>
      <c r="C617" s="285"/>
      <c r="D617" s="285"/>
      <c r="E617" s="287"/>
      <c r="F617" s="288"/>
      <c r="G617" s="301"/>
      <c r="H617" s="301"/>
      <c r="I617" s="285"/>
      <c r="J617" s="377"/>
      <c r="K617" s="294"/>
      <c r="L617" s="294"/>
      <c r="M617" s="290"/>
      <c r="N617" s="285"/>
      <c r="O617" s="299"/>
      <c r="P617" s="300"/>
      <c r="Q617" s="424"/>
      <c r="R617" s="424"/>
      <c r="S617" s="198"/>
      <c r="T617" s="198"/>
      <c r="U617" s="198"/>
      <c r="V617" s="198"/>
      <c r="W617" s="198"/>
      <c r="X617" s="198"/>
      <c r="Y617" s="198"/>
      <c r="Z617" s="198"/>
    </row>
    <row r="618" ht="60.0" customHeight="1">
      <c r="A618" s="285"/>
      <c r="B618" s="299"/>
      <c r="C618" s="285"/>
      <c r="D618" s="367"/>
      <c r="E618" s="287"/>
      <c r="F618" s="288"/>
      <c r="G618" s="367"/>
      <c r="H618" s="301"/>
      <c r="I618" s="285"/>
      <c r="J618" s="377"/>
      <c r="K618" s="294"/>
      <c r="L618" s="294"/>
      <c r="M618" s="290"/>
      <c r="N618" s="285"/>
      <c r="O618" s="299"/>
      <c r="P618" s="300"/>
      <c r="Q618" s="424"/>
      <c r="R618" s="424"/>
      <c r="S618" s="198"/>
      <c r="T618" s="198"/>
      <c r="U618" s="198"/>
      <c r="V618" s="198"/>
      <c r="W618" s="198"/>
      <c r="X618" s="198"/>
      <c r="Y618" s="198"/>
      <c r="Z618" s="198"/>
    </row>
    <row r="619" ht="65.25" customHeight="1">
      <c r="A619" s="285"/>
      <c r="B619" s="299"/>
      <c r="C619" s="285"/>
      <c r="D619" s="367"/>
      <c r="E619" s="287"/>
      <c r="F619" s="288"/>
      <c r="G619" s="367"/>
      <c r="H619" s="301"/>
      <c r="I619" s="285"/>
      <c r="J619" s="377"/>
      <c r="K619" s="294"/>
      <c r="L619" s="294"/>
      <c r="M619" s="290"/>
      <c r="N619" s="285"/>
      <c r="O619" s="299"/>
      <c r="P619" s="300"/>
      <c r="Q619" s="424"/>
      <c r="R619" s="424"/>
      <c r="S619" s="198"/>
      <c r="T619" s="198"/>
      <c r="U619" s="198"/>
      <c r="V619" s="198"/>
      <c r="W619" s="198"/>
      <c r="X619" s="198"/>
      <c r="Y619" s="198"/>
      <c r="Z619" s="198"/>
    </row>
    <row r="620" ht="61.5" customHeight="1">
      <c r="A620" s="299"/>
      <c r="B620" s="285"/>
      <c r="C620" s="285"/>
      <c r="D620" s="285"/>
      <c r="E620" s="287"/>
      <c r="F620" s="288"/>
      <c r="G620" s="301"/>
      <c r="H620" s="301"/>
      <c r="I620" s="285"/>
      <c r="J620" s="377"/>
      <c r="K620" s="294"/>
      <c r="L620" s="294"/>
      <c r="M620" s="290"/>
      <c r="N620" s="285"/>
      <c r="O620" s="299"/>
      <c r="P620" s="300"/>
      <c r="Q620" s="424"/>
      <c r="R620" s="424"/>
      <c r="S620" s="198"/>
      <c r="T620" s="198"/>
      <c r="U620" s="198"/>
      <c r="V620" s="198"/>
      <c r="W620" s="198"/>
      <c r="X620" s="198"/>
      <c r="Y620" s="198"/>
      <c r="Z620" s="198"/>
    </row>
    <row r="621" ht="61.5" customHeight="1">
      <c r="A621" s="284"/>
      <c r="B621" s="285"/>
      <c r="C621" s="285"/>
      <c r="D621" s="285"/>
      <c r="E621" s="287"/>
      <c r="F621" s="288"/>
      <c r="G621" s="288"/>
      <c r="H621" s="288"/>
      <c r="I621" s="285"/>
      <c r="J621" s="288"/>
      <c r="K621" s="294"/>
      <c r="L621" s="294"/>
      <c r="M621" s="290"/>
      <c r="N621" s="285"/>
      <c r="O621" s="299"/>
      <c r="P621" s="300"/>
      <c r="Q621" s="551"/>
      <c r="R621" s="424"/>
      <c r="S621" s="198"/>
      <c r="T621" s="198"/>
      <c r="U621" s="198"/>
      <c r="V621" s="198"/>
      <c r="W621" s="198"/>
      <c r="X621" s="198"/>
      <c r="Y621" s="198"/>
      <c r="Z621" s="198"/>
    </row>
    <row r="622" ht="61.5" customHeight="1">
      <c r="A622" s="284"/>
      <c r="B622" s="285"/>
      <c r="C622" s="285"/>
      <c r="D622" s="285"/>
      <c r="E622" s="287"/>
      <c r="F622" s="288"/>
      <c r="G622" s="288"/>
      <c r="H622" s="288"/>
      <c r="I622" s="285"/>
      <c r="J622" s="288"/>
      <c r="K622" s="294"/>
      <c r="L622" s="294"/>
      <c r="M622" s="290"/>
      <c r="N622" s="285"/>
      <c r="O622" s="299"/>
      <c r="P622" s="300"/>
      <c r="Q622" s="551"/>
      <c r="R622" s="424"/>
      <c r="S622" s="198"/>
      <c r="T622" s="198"/>
      <c r="U622" s="198"/>
      <c r="V622" s="198"/>
      <c r="W622" s="198"/>
      <c r="X622" s="198"/>
      <c r="Y622" s="198"/>
      <c r="Z622" s="198"/>
    </row>
    <row r="623" ht="58.5" customHeight="1">
      <c r="A623" s="284"/>
      <c r="B623" s="285"/>
      <c r="C623" s="285"/>
      <c r="D623" s="285"/>
      <c r="E623" s="287"/>
      <c r="F623" s="288"/>
      <c r="G623" s="288"/>
      <c r="H623" s="288"/>
      <c r="I623" s="285"/>
      <c r="J623" s="288"/>
      <c r="K623" s="294"/>
      <c r="L623" s="294"/>
      <c r="M623" s="290"/>
      <c r="N623" s="285"/>
      <c r="O623" s="299"/>
      <c r="P623" s="300"/>
      <c r="Q623" s="551"/>
      <c r="R623" s="424"/>
      <c r="S623" s="198"/>
      <c r="T623" s="198"/>
      <c r="U623" s="198"/>
      <c r="V623" s="198"/>
      <c r="W623" s="198"/>
      <c r="X623" s="198"/>
      <c r="Y623" s="198"/>
      <c r="Z623" s="198"/>
    </row>
    <row r="624" ht="57.0" customHeight="1">
      <c r="A624" s="284"/>
      <c r="B624" s="285"/>
      <c r="C624" s="285"/>
      <c r="D624" s="285"/>
      <c r="E624" s="287"/>
      <c r="F624" s="288"/>
      <c r="G624" s="288"/>
      <c r="H624" s="288"/>
      <c r="I624" s="285"/>
      <c r="J624" s="288"/>
      <c r="K624" s="294"/>
      <c r="L624" s="294"/>
      <c r="M624" s="290"/>
      <c r="N624" s="285"/>
      <c r="O624" s="299"/>
      <c r="P624" s="300"/>
      <c r="Q624" s="551"/>
      <c r="R624" s="424"/>
      <c r="S624" s="198"/>
      <c r="T624" s="198"/>
      <c r="U624" s="198"/>
      <c r="V624" s="198"/>
      <c r="W624" s="198"/>
      <c r="X624" s="198"/>
      <c r="Y624" s="198"/>
      <c r="Z624" s="198"/>
    </row>
    <row r="625" ht="58.5" customHeight="1">
      <c r="A625" s="284"/>
      <c r="B625" s="285"/>
      <c r="C625" s="285"/>
      <c r="D625" s="285"/>
      <c r="E625" s="287"/>
      <c r="F625" s="288"/>
      <c r="G625" s="288"/>
      <c r="H625" s="288"/>
      <c r="I625" s="285"/>
      <c r="J625" s="288"/>
      <c r="K625" s="294"/>
      <c r="L625" s="294"/>
      <c r="M625" s="290"/>
      <c r="N625" s="285"/>
      <c r="O625" s="299"/>
      <c r="P625" s="300"/>
      <c r="Q625" s="551"/>
      <c r="R625" s="424"/>
      <c r="S625" s="198"/>
      <c r="T625" s="198"/>
      <c r="U625" s="198"/>
      <c r="V625" s="198"/>
      <c r="W625" s="198"/>
      <c r="X625" s="198"/>
      <c r="Y625" s="198"/>
      <c r="Z625" s="198"/>
    </row>
    <row r="626" ht="57.0" customHeight="1">
      <c r="A626" s="284"/>
      <c r="B626" s="285"/>
      <c r="C626" s="285"/>
      <c r="D626" s="285"/>
      <c r="E626" s="287"/>
      <c r="F626" s="288"/>
      <c r="G626" s="288"/>
      <c r="H626" s="288"/>
      <c r="I626" s="285"/>
      <c r="J626" s="288"/>
      <c r="K626" s="294"/>
      <c r="L626" s="294"/>
      <c r="M626" s="290"/>
      <c r="N626" s="285"/>
      <c r="O626" s="299"/>
      <c r="P626" s="300"/>
      <c r="Q626" s="551"/>
      <c r="R626" s="424"/>
      <c r="S626" s="198"/>
      <c r="T626" s="198"/>
      <c r="U626" s="198"/>
      <c r="V626" s="198"/>
      <c r="W626" s="198"/>
      <c r="X626" s="198"/>
      <c r="Y626" s="198"/>
      <c r="Z626" s="198"/>
    </row>
    <row r="627" ht="59.25" customHeight="1">
      <c r="A627" s="284"/>
      <c r="B627" s="285"/>
      <c r="C627" s="285"/>
      <c r="D627" s="285"/>
      <c r="E627" s="287"/>
      <c r="F627" s="288"/>
      <c r="G627" s="288"/>
      <c r="H627" s="288"/>
      <c r="I627" s="285"/>
      <c r="J627" s="288"/>
      <c r="K627" s="294"/>
      <c r="L627" s="294"/>
      <c r="M627" s="290"/>
      <c r="N627" s="285"/>
      <c r="O627" s="299"/>
      <c r="P627" s="300"/>
      <c r="Q627" s="424"/>
      <c r="R627" s="424"/>
      <c r="S627" s="198"/>
      <c r="T627" s="198"/>
      <c r="U627" s="198"/>
      <c r="V627" s="198"/>
      <c r="W627" s="198"/>
      <c r="X627" s="198"/>
      <c r="Y627" s="198"/>
      <c r="Z627" s="198"/>
    </row>
    <row r="628" ht="63.75" customHeight="1">
      <c r="A628" s="284"/>
      <c r="B628" s="299"/>
      <c r="C628" s="285"/>
      <c r="D628" s="285"/>
      <c r="E628" s="287"/>
      <c r="F628" s="288"/>
      <c r="G628" s="288"/>
      <c r="H628" s="288"/>
      <c r="I628" s="285"/>
      <c r="J628" s="372"/>
      <c r="K628" s="294"/>
      <c r="L628" s="294"/>
      <c r="M628" s="290"/>
      <c r="N628" s="285"/>
      <c r="O628" s="299"/>
      <c r="P628" s="300"/>
      <c r="Q628" s="424"/>
      <c r="R628" s="424"/>
      <c r="S628" s="198"/>
      <c r="T628" s="198"/>
      <c r="U628" s="198"/>
      <c r="V628" s="198"/>
      <c r="W628" s="198"/>
      <c r="X628" s="198"/>
      <c r="Y628" s="198"/>
      <c r="Z628" s="198"/>
    </row>
    <row r="629" ht="59.25" customHeight="1">
      <c r="A629" s="284"/>
      <c r="B629" s="285"/>
      <c r="C629" s="285"/>
      <c r="D629" s="285"/>
      <c r="E629" s="287"/>
      <c r="F629" s="288"/>
      <c r="G629" s="288"/>
      <c r="H629" s="288"/>
      <c r="I629" s="285"/>
      <c r="J629" s="288"/>
      <c r="K629" s="376"/>
      <c r="L629" s="294"/>
      <c r="M629" s="290"/>
      <c r="N629" s="285"/>
      <c r="O629" s="299"/>
      <c r="P629" s="300"/>
      <c r="Q629" s="424"/>
      <c r="R629" s="424"/>
      <c r="S629" s="198"/>
      <c r="T629" s="198"/>
      <c r="U629" s="198"/>
      <c r="V629" s="198"/>
      <c r="W629" s="198"/>
      <c r="X629" s="198"/>
      <c r="Y629" s="198"/>
      <c r="Z629" s="198"/>
    </row>
    <row r="630" ht="56.25" customHeight="1">
      <c r="A630" s="284"/>
      <c r="B630" s="285"/>
      <c r="C630" s="285"/>
      <c r="D630" s="285"/>
      <c r="E630" s="287"/>
      <c r="F630" s="288"/>
      <c r="G630" s="288"/>
      <c r="H630" s="288"/>
      <c r="I630" s="285"/>
      <c r="J630" s="288"/>
      <c r="K630" s="294"/>
      <c r="L630" s="294"/>
      <c r="M630" s="290"/>
      <c r="N630" s="285"/>
      <c r="O630" s="299"/>
      <c r="P630" s="300"/>
      <c r="Q630" s="424"/>
      <c r="R630" s="424"/>
      <c r="S630" s="198"/>
      <c r="T630" s="198"/>
      <c r="U630" s="198"/>
      <c r="V630" s="198"/>
      <c r="W630" s="198"/>
      <c r="X630" s="198"/>
      <c r="Y630" s="198"/>
      <c r="Z630" s="198"/>
    </row>
    <row r="631" ht="58.5" customHeight="1">
      <c r="A631" s="284"/>
      <c r="B631" s="299"/>
      <c r="C631" s="285"/>
      <c r="D631" s="285"/>
      <c r="E631" s="287"/>
      <c r="F631" s="288"/>
      <c r="G631" s="288"/>
      <c r="H631" s="288"/>
      <c r="I631" s="285"/>
      <c r="J631" s="285"/>
      <c r="K631" s="294"/>
      <c r="L631" s="294"/>
      <c r="M631" s="290"/>
      <c r="N631" s="285"/>
      <c r="O631" s="299"/>
      <c r="P631" s="300"/>
      <c r="Q631" s="424"/>
      <c r="R631" s="424"/>
      <c r="S631" s="198"/>
      <c r="T631" s="198"/>
      <c r="U631" s="198"/>
      <c r="V631" s="198"/>
      <c r="W631" s="198"/>
      <c r="X631" s="198"/>
      <c r="Y631" s="198"/>
      <c r="Z631" s="198"/>
    </row>
    <row r="632" ht="61.5" customHeight="1">
      <c r="A632" s="284"/>
      <c r="B632" s="285"/>
      <c r="C632" s="285"/>
      <c r="D632" s="285"/>
      <c r="E632" s="287"/>
      <c r="F632" s="288"/>
      <c r="G632" s="288"/>
      <c r="H632" s="288"/>
      <c r="I632" s="285"/>
      <c r="J632" s="285"/>
      <c r="K632" s="294"/>
      <c r="L632" s="294"/>
      <c r="M632" s="290"/>
      <c r="N632" s="285"/>
      <c r="O632" s="299"/>
      <c r="P632" s="300"/>
      <c r="Q632" s="551"/>
      <c r="R632" s="424"/>
      <c r="S632" s="198"/>
      <c r="T632" s="198"/>
      <c r="U632" s="198"/>
      <c r="V632" s="198"/>
      <c r="W632" s="198"/>
      <c r="X632" s="198"/>
      <c r="Y632" s="198"/>
      <c r="Z632" s="198"/>
    </row>
    <row r="633" ht="58.5" customHeight="1">
      <c r="A633" s="284"/>
      <c r="B633" s="285"/>
      <c r="C633" s="285"/>
      <c r="D633" s="285"/>
      <c r="E633" s="287"/>
      <c r="F633" s="288"/>
      <c r="G633" s="288"/>
      <c r="H633" s="288"/>
      <c r="I633" s="285"/>
      <c r="J633" s="288"/>
      <c r="K633" s="294"/>
      <c r="L633" s="294"/>
      <c r="M633" s="290"/>
      <c r="N633" s="285"/>
      <c r="O633" s="299"/>
      <c r="P633" s="300"/>
      <c r="Q633" s="551"/>
      <c r="R633" s="424"/>
      <c r="S633" s="198"/>
      <c r="T633" s="198"/>
      <c r="U633" s="198"/>
      <c r="V633" s="198"/>
      <c r="W633" s="198"/>
      <c r="X633" s="198"/>
      <c r="Y633" s="198"/>
      <c r="Z633" s="198"/>
    </row>
    <row r="634" ht="57.0" customHeight="1">
      <c r="A634" s="284"/>
      <c r="B634" s="285"/>
      <c r="C634" s="285"/>
      <c r="D634" s="285"/>
      <c r="E634" s="287"/>
      <c r="F634" s="288"/>
      <c r="G634" s="288"/>
      <c r="H634" s="288"/>
      <c r="I634" s="285"/>
      <c r="J634" s="288"/>
      <c r="K634" s="294"/>
      <c r="L634" s="294"/>
      <c r="M634" s="290"/>
      <c r="N634" s="285"/>
      <c r="O634" s="299"/>
      <c r="P634" s="300"/>
      <c r="Q634" s="551"/>
      <c r="R634" s="424"/>
      <c r="S634" s="198"/>
      <c r="T634" s="198"/>
      <c r="U634" s="198"/>
      <c r="V634" s="198"/>
      <c r="W634" s="198"/>
      <c r="X634" s="198"/>
      <c r="Y634" s="198"/>
      <c r="Z634" s="198"/>
    </row>
    <row r="635" ht="57.0" customHeight="1">
      <c r="A635" s="284"/>
      <c r="B635" s="285"/>
      <c r="C635" s="285"/>
      <c r="D635" s="285"/>
      <c r="E635" s="287"/>
      <c r="F635" s="288"/>
      <c r="G635" s="288"/>
      <c r="H635" s="288"/>
      <c r="I635" s="285"/>
      <c r="J635" s="288"/>
      <c r="K635" s="294"/>
      <c r="L635" s="294"/>
      <c r="M635" s="290"/>
      <c r="N635" s="285"/>
      <c r="O635" s="299"/>
      <c r="P635" s="300"/>
      <c r="Q635" s="551"/>
      <c r="R635" s="424"/>
      <c r="S635" s="198"/>
      <c r="T635" s="198"/>
      <c r="U635" s="198"/>
      <c r="V635" s="198"/>
      <c r="W635" s="198"/>
      <c r="X635" s="198"/>
      <c r="Y635" s="198"/>
      <c r="Z635" s="198"/>
    </row>
    <row r="636" ht="57.0" customHeight="1">
      <c r="A636" s="284"/>
      <c r="B636" s="285"/>
      <c r="C636" s="285"/>
      <c r="D636" s="285"/>
      <c r="E636" s="287"/>
      <c r="F636" s="288"/>
      <c r="G636" s="288"/>
      <c r="H636" s="288"/>
      <c r="I636" s="285"/>
      <c r="J636" s="288"/>
      <c r="K636" s="294"/>
      <c r="L636" s="294"/>
      <c r="M636" s="290"/>
      <c r="N636" s="285"/>
      <c r="O636" s="299"/>
      <c r="P636" s="300"/>
      <c r="Q636" s="551"/>
      <c r="R636" s="424"/>
      <c r="S636" s="198"/>
      <c r="T636" s="198"/>
      <c r="U636" s="198"/>
      <c r="V636" s="198"/>
      <c r="W636" s="198"/>
      <c r="X636" s="198"/>
      <c r="Y636" s="198"/>
      <c r="Z636" s="198"/>
    </row>
    <row r="637" ht="57.75" customHeight="1">
      <c r="A637" s="284"/>
      <c r="B637" s="285"/>
      <c r="C637" s="285"/>
      <c r="D637" s="285"/>
      <c r="E637" s="287"/>
      <c r="F637" s="288"/>
      <c r="G637" s="288"/>
      <c r="H637" s="288"/>
      <c r="I637" s="285"/>
      <c r="J637" s="285"/>
      <c r="K637" s="294"/>
      <c r="L637" s="294"/>
      <c r="M637" s="290"/>
      <c r="N637" s="285"/>
      <c r="O637" s="299"/>
      <c r="P637" s="300"/>
      <c r="Q637" s="551"/>
      <c r="R637" s="424"/>
      <c r="S637" s="198"/>
      <c r="T637" s="198"/>
      <c r="U637" s="198"/>
      <c r="V637" s="198"/>
      <c r="W637" s="198"/>
      <c r="X637" s="198"/>
      <c r="Y637" s="198"/>
      <c r="Z637" s="198"/>
    </row>
    <row r="638" ht="55.5" customHeight="1">
      <c r="A638" s="284"/>
      <c r="B638" s="285"/>
      <c r="C638" s="285"/>
      <c r="D638" s="285"/>
      <c r="E638" s="287"/>
      <c r="F638" s="288"/>
      <c r="G638" s="288"/>
      <c r="H638" s="288"/>
      <c r="I638" s="285"/>
      <c r="J638" s="288"/>
      <c r="K638" s="294"/>
      <c r="L638" s="294"/>
      <c r="M638" s="290"/>
      <c r="N638" s="285"/>
      <c r="O638" s="299"/>
      <c r="P638" s="300"/>
      <c r="Q638" s="424"/>
      <c r="R638" s="424"/>
      <c r="S638" s="198"/>
      <c r="T638" s="198"/>
      <c r="U638" s="198"/>
      <c r="V638" s="198"/>
      <c r="W638" s="198"/>
      <c r="X638" s="198"/>
      <c r="Y638" s="198"/>
      <c r="Z638" s="198"/>
    </row>
    <row r="639" ht="57.0" customHeight="1">
      <c r="A639" s="284"/>
      <c r="B639" s="299"/>
      <c r="C639" s="285"/>
      <c r="D639" s="285"/>
      <c r="E639" s="287"/>
      <c r="F639" s="288"/>
      <c r="G639" s="288"/>
      <c r="H639" s="288"/>
      <c r="I639" s="285"/>
      <c r="J639" s="285"/>
      <c r="K639" s="294"/>
      <c r="L639" s="294"/>
      <c r="M639" s="290"/>
      <c r="N639" s="285"/>
      <c r="O639" s="299"/>
      <c r="P639" s="300"/>
      <c r="Q639" s="424"/>
      <c r="R639" s="424"/>
      <c r="S639" s="198"/>
      <c r="T639" s="198"/>
      <c r="U639" s="198"/>
      <c r="V639" s="198"/>
      <c r="W639" s="198"/>
      <c r="X639" s="198"/>
      <c r="Y639" s="198"/>
      <c r="Z639" s="198"/>
    </row>
    <row r="640" ht="56.25" customHeight="1">
      <c r="A640" s="284"/>
      <c r="B640" s="285"/>
      <c r="C640" s="285"/>
      <c r="D640" s="285"/>
      <c r="E640" s="287"/>
      <c r="F640" s="288"/>
      <c r="G640" s="288"/>
      <c r="H640" s="288"/>
      <c r="I640" s="285"/>
      <c r="J640" s="372"/>
      <c r="K640" s="294"/>
      <c r="L640" s="294"/>
      <c r="M640" s="290"/>
      <c r="N640" s="285"/>
      <c r="O640" s="299"/>
      <c r="P640" s="300"/>
      <c r="Q640" s="424"/>
      <c r="R640" s="424"/>
      <c r="S640" s="198"/>
      <c r="T640" s="198"/>
      <c r="U640" s="198"/>
      <c r="V640" s="198"/>
      <c r="W640" s="198"/>
      <c r="X640" s="198"/>
      <c r="Y640" s="198"/>
      <c r="Z640" s="198"/>
    </row>
    <row r="641" ht="73.5" customHeight="1">
      <c r="A641" s="284"/>
      <c r="B641" s="285"/>
      <c r="C641" s="299"/>
      <c r="D641" s="285"/>
      <c r="E641" s="287"/>
      <c r="F641" s="288"/>
      <c r="G641" s="288"/>
      <c r="H641" s="288"/>
      <c r="I641" s="285"/>
      <c r="J641" s="288"/>
      <c r="K641" s="285"/>
      <c r="L641" s="294"/>
      <c r="M641" s="290"/>
      <c r="N641" s="285"/>
      <c r="O641" s="299"/>
      <c r="P641" s="300"/>
      <c r="Q641" s="424"/>
      <c r="R641" s="424"/>
      <c r="S641" s="198"/>
      <c r="T641" s="198"/>
      <c r="U641" s="198"/>
      <c r="V641" s="198"/>
      <c r="W641" s="198"/>
      <c r="X641" s="198"/>
      <c r="Y641" s="198"/>
      <c r="Z641" s="198"/>
    </row>
    <row r="642" ht="61.5" customHeight="1">
      <c r="A642" s="284"/>
      <c r="B642" s="299"/>
      <c r="C642" s="285"/>
      <c r="D642" s="285"/>
      <c r="E642" s="287"/>
      <c r="F642" s="288"/>
      <c r="G642" s="288"/>
      <c r="H642" s="288"/>
      <c r="I642" s="285"/>
      <c r="J642" s="288"/>
      <c r="K642" s="294"/>
      <c r="L642" s="294"/>
      <c r="M642" s="290"/>
      <c r="N642" s="285"/>
      <c r="O642" s="299"/>
      <c r="P642" s="300"/>
      <c r="Q642" s="424"/>
      <c r="R642" s="424"/>
      <c r="S642" s="198"/>
      <c r="T642" s="198"/>
      <c r="U642" s="198"/>
      <c r="V642" s="198"/>
      <c r="W642" s="198"/>
      <c r="X642" s="198"/>
      <c r="Y642" s="198"/>
      <c r="Z642" s="198"/>
    </row>
    <row r="643" ht="54.75" customHeight="1">
      <c r="A643" s="284"/>
      <c r="B643" s="285"/>
      <c r="C643" s="285"/>
      <c r="D643" s="285"/>
      <c r="E643" s="287"/>
      <c r="F643" s="288"/>
      <c r="G643" s="288"/>
      <c r="H643" s="288"/>
      <c r="I643" s="285"/>
      <c r="J643" s="288"/>
      <c r="K643" s="294"/>
      <c r="L643" s="294"/>
      <c r="M643" s="290"/>
      <c r="N643" s="285"/>
      <c r="O643" s="299"/>
      <c r="P643" s="300"/>
      <c r="Q643" s="424"/>
      <c r="R643" s="424"/>
      <c r="S643" s="198"/>
      <c r="T643" s="198"/>
      <c r="U643" s="198"/>
      <c r="V643" s="198"/>
      <c r="W643" s="198"/>
      <c r="X643" s="198"/>
      <c r="Y643" s="198"/>
      <c r="Z643" s="198"/>
    </row>
    <row r="644" ht="56.25" customHeight="1">
      <c r="A644" s="284"/>
      <c r="B644" s="299"/>
      <c r="C644" s="285"/>
      <c r="D644" s="285"/>
      <c r="E644" s="287"/>
      <c r="F644" s="288"/>
      <c r="G644" s="288"/>
      <c r="H644" s="288"/>
      <c r="I644" s="285"/>
      <c r="J644" s="288"/>
      <c r="K644" s="294"/>
      <c r="L644" s="294"/>
      <c r="M644" s="290"/>
      <c r="N644" s="285"/>
      <c r="O644" s="299"/>
      <c r="P644" s="300"/>
      <c r="Q644" s="424"/>
      <c r="R644" s="424"/>
      <c r="S644" s="198"/>
      <c r="T644" s="198"/>
      <c r="U644" s="198"/>
      <c r="V644" s="198"/>
      <c r="W644" s="198"/>
      <c r="X644" s="198"/>
      <c r="Y644" s="198"/>
      <c r="Z644" s="198"/>
    </row>
    <row r="645" ht="59.25" customHeight="1">
      <c r="A645" s="284"/>
      <c r="B645" s="285"/>
      <c r="C645" s="285"/>
      <c r="D645" s="285"/>
      <c r="E645" s="287"/>
      <c r="F645" s="288"/>
      <c r="G645" s="288"/>
      <c r="H645" s="288"/>
      <c r="I645" s="285"/>
      <c r="J645" s="288"/>
      <c r="K645" s="294"/>
      <c r="L645" s="294"/>
      <c r="M645" s="290"/>
      <c r="N645" s="285"/>
      <c r="O645" s="299"/>
      <c r="P645" s="300"/>
      <c r="Q645" s="424"/>
      <c r="R645" s="424"/>
      <c r="S645" s="198"/>
      <c r="T645" s="198"/>
      <c r="U645" s="198"/>
      <c r="V645" s="198"/>
      <c r="W645" s="198"/>
      <c r="X645" s="198"/>
      <c r="Y645" s="198"/>
      <c r="Z645" s="198"/>
    </row>
    <row r="646" ht="59.25" customHeight="1">
      <c r="A646" s="284"/>
      <c r="B646" s="285"/>
      <c r="C646" s="285"/>
      <c r="D646" s="285"/>
      <c r="E646" s="287"/>
      <c r="F646" s="288"/>
      <c r="G646" s="288"/>
      <c r="H646" s="288"/>
      <c r="I646" s="285"/>
      <c r="J646" s="288"/>
      <c r="K646" s="294"/>
      <c r="L646" s="294"/>
      <c r="M646" s="290"/>
      <c r="N646" s="285"/>
      <c r="O646" s="299"/>
      <c r="P646" s="300"/>
      <c r="Q646" s="424"/>
      <c r="R646" s="424"/>
      <c r="S646" s="198"/>
      <c r="T646" s="198"/>
      <c r="U646" s="198"/>
      <c r="V646" s="198"/>
      <c r="W646" s="198"/>
      <c r="X646" s="198"/>
      <c r="Y646" s="198"/>
      <c r="Z646" s="198"/>
    </row>
    <row r="647" ht="56.25" customHeight="1">
      <c r="A647" s="284"/>
      <c r="B647" s="299"/>
      <c r="C647" s="285"/>
      <c r="D647" s="285"/>
      <c r="E647" s="287"/>
      <c r="F647" s="288"/>
      <c r="G647" s="288"/>
      <c r="H647" s="288"/>
      <c r="I647" s="285"/>
      <c r="J647" s="288"/>
      <c r="K647" s="294"/>
      <c r="L647" s="294"/>
      <c r="M647" s="290"/>
      <c r="N647" s="285"/>
      <c r="O647" s="299"/>
      <c r="P647" s="300"/>
      <c r="Q647" s="424"/>
      <c r="R647" s="424"/>
      <c r="S647" s="198"/>
      <c r="T647" s="198"/>
      <c r="U647" s="198"/>
      <c r="V647" s="198"/>
      <c r="W647" s="198"/>
      <c r="X647" s="198"/>
      <c r="Y647" s="198"/>
      <c r="Z647" s="198"/>
    </row>
    <row r="648" ht="57.75" customHeight="1">
      <c r="A648" s="284"/>
      <c r="B648" s="285"/>
      <c r="C648" s="285"/>
      <c r="D648" s="285"/>
      <c r="E648" s="287"/>
      <c r="F648" s="288"/>
      <c r="G648" s="288"/>
      <c r="H648" s="288"/>
      <c r="I648" s="285"/>
      <c r="J648" s="288"/>
      <c r="K648" s="294"/>
      <c r="L648" s="294"/>
      <c r="M648" s="290"/>
      <c r="N648" s="285"/>
      <c r="O648" s="299"/>
      <c r="P648" s="300"/>
      <c r="Q648" s="424"/>
      <c r="R648" s="424"/>
      <c r="S648" s="198"/>
      <c r="T648" s="198"/>
      <c r="U648" s="198"/>
      <c r="V648" s="198"/>
      <c r="W648" s="198"/>
      <c r="X648" s="198"/>
      <c r="Y648" s="198"/>
      <c r="Z648" s="198"/>
    </row>
    <row r="649" ht="58.5" customHeight="1">
      <c r="A649" s="284"/>
      <c r="B649" s="285"/>
      <c r="C649" s="285"/>
      <c r="D649" s="285"/>
      <c r="E649" s="287"/>
      <c r="F649" s="288"/>
      <c r="G649" s="288"/>
      <c r="H649" s="288"/>
      <c r="I649" s="285"/>
      <c r="J649" s="285"/>
      <c r="K649" s="294"/>
      <c r="L649" s="294"/>
      <c r="M649" s="290"/>
      <c r="N649" s="285"/>
      <c r="O649" s="299"/>
      <c r="P649" s="300"/>
      <c r="Q649" s="424"/>
      <c r="R649" s="424"/>
      <c r="S649" s="198"/>
      <c r="T649" s="198"/>
      <c r="U649" s="198"/>
      <c r="V649" s="198"/>
      <c r="W649" s="198"/>
      <c r="X649" s="198"/>
      <c r="Y649" s="198"/>
      <c r="Z649" s="198"/>
    </row>
    <row r="650" ht="59.25" customHeight="1">
      <c r="A650" s="284"/>
      <c r="B650" s="285"/>
      <c r="C650" s="285"/>
      <c r="D650" s="285"/>
      <c r="E650" s="287"/>
      <c r="F650" s="288"/>
      <c r="G650" s="288"/>
      <c r="H650" s="288"/>
      <c r="I650" s="285"/>
      <c r="J650" s="288"/>
      <c r="K650" s="294"/>
      <c r="L650" s="294"/>
      <c r="M650" s="290"/>
      <c r="N650" s="285"/>
      <c r="O650" s="299"/>
      <c r="P650" s="300"/>
      <c r="Q650" s="424"/>
      <c r="R650" s="424"/>
      <c r="S650" s="198"/>
      <c r="T650" s="198"/>
      <c r="U650" s="198"/>
      <c r="V650" s="198"/>
      <c r="W650" s="198"/>
      <c r="X650" s="198"/>
      <c r="Y650" s="198"/>
      <c r="Z650" s="198"/>
    </row>
    <row r="651" ht="60.0" customHeight="1">
      <c r="A651" s="284"/>
      <c r="B651" s="285"/>
      <c r="C651" s="285"/>
      <c r="D651" s="285"/>
      <c r="E651" s="287"/>
      <c r="F651" s="288"/>
      <c r="G651" s="288"/>
      <c r="H651" s="288"/>
      <c r="I651" s="285"/>
      <c r="J651" s="285"/>
      <c r="K651" s="294"/>
      <c r="L651" s="294"/>
      <c r="M651" s="290"/>
      <c r="N651" s="285"/>
      <c r="O651" s="299"/>
      <c r="P651" s="300"/>
      <c r="Q651" s="424"/>
      <c r="R651" s="424"/>
      <c r="S651" s="198"/>
      <c r="T651" s="198"/>
      <c r="U651" s="198"/>
      <c r="V651" s="198"/>
      <c r="W651" s="198"/>
      <c r="X651" s="198"/>
      <c r="Y651" s="198"/>
      <c r="Z651" s="198"/>
    </row>
    <row r="652" ht="70.5" customHeight="1">
      <c r="A652" s="284"/>
      <c r="B652" s="285"/>
      <c r="C652" s="285"/>
      <c r="D652" s="285"/>
      <c r="E652" s="287"/>
      <c r="F652" s="288"/>
      <c r="G652" s="288"/>
      <c r="H652" s="288"/>
      <c r="I652" s="285"/>
      <c r="J652" s="285"/>
      <c r="K652" s="294"/>
      <c r="L652" s="294"/>
      <c r="M652" s="290"/>
      <c r="N652" s="285"/>
      <c r="O652" s="299"/>
      <c r="P652" s="300"/>
      <c r="Q652" s="424"/>
      <c r="R652" s="424"/>
      <c r="S652" s="198"/>
      <c r="T652" s="198"/>
      <c r="U652" s="198"/>
      <c r="V652" s="198"/>
      <c r="W652" s="198"/>
      <c r="X652" s="198"/>
      <c r="Y652" s="198"/>
      <c r="Z652" s="198"/>
    </row>
    <row r="653" ht="67.5" customHeight="1">
      <c r="A653" s="284"/>
      <c r="B653" s="285"/>
      <c r="C653" s="285"/>
      <c r="D653" s="285"/>
      <c r="E653" s="287"/>
      <c r="F653" s="288"/>
      <c r="G653" s="288"/>
      <c r="H653" s="288"/>
      <c r="I653" s="285"/>
      <c r="J653" s="288"/>
      <c r="K653" s="294"/>
      <c r="L653" s="294"/>
      <c r="M653" s="290"/>
      <c r="N653" s="285"/>
      <c r="O653" s="299"/>
      <c r="P653" s="300"/>
      <c r="Q653" s="424"/>
      <c r="R653" s="424"/>
      <c r="S653" s="198"/>
      <c r="T653" s="198"/>
      <c r="U653" s="198"/>
      <c r="V653" s="198"/>
      <c r="W653" s="198"/>
      <c r="X653" s="198"/>
      <c r="Y653" s="198"/>
      <c r="Z653" s="198"/>
    </row>
    <row r="654" ht="64.5" customHeight="1">
      <c r="A654" s="284"/>
      <c r="B654" s="285"/>
      <c r="C654" s="285"/>
      <c r="D654" s="285"/>
      <c r="E654" s="287"/>
      <c r="F654" s="288"/>
      <c r="G654" s="285"/>
      <c r="H654" s="285"/>
      <c r="I654" s="285"/>
      <c r="J654" s="285"/>
      <c r="K654" s="294"/>
      <c r="L654" s="294"/>
      <c r="M654" s="290"/>
      <c r="N654" s="285"/>
      <c r="O654" s="299"/>
      <c r="P654" s="300"/>
      <c r="Q654" s="424"/>
      <c r="R654" s="424"/>
      <c r="S654" s="198"/>
      <c r="T654" s="198"/>
      <c r="U654" s="198"/>
      <c r="V654" s="198"/>
      <c r="W654" s="198"/>
      <c r="X654" s="198"/>
      <c r="Y654" s="198"/>
      <c r="Z654" s="198"/>
    </row>
    <row r="655" ht="57.0" customHeight="1">
      <c r="A655" s="284"/>
      <c r="B655" s="299"/>
      <c r="C655" s="285"/>
      <c r="D655" s="285"/>
      <c r="E655" s="287"/>
      <c r="F655" s="288"/>
      <c r="G655" s="288"/>
      <c r="H655" s="288"/>
      <c r="I655" s="285"/>
      <c r="J655" s="288"/>
      <c r="K655" s="294"/>
      <c r="L655" s="294"/>
      <c r="M655" s="290"/>
      <c r="N655" s="285"/>
      <c r="O655" s="299"/>
      <c r="P655" s="300"/>
      <c r="Q655" s="424"/>
      <c r="R655" s="424"/>
      <c r="S655" s="198"/>
      <c r="T655" s="198"/>
      <c r="U655" s="198"/>
      <c r="V655" s="198"/>
      <c r="W655" s="198"/>
      <c r="X655" s="198"/>
      <c r="Y655" s="198"/>
      <c r="Z655" s="198"/>
    </row>
    <row r="656" ht="57.0" customHeight="1">
      <c r="A656" s="284"/>
      <c r="B656" s="285"/>
      <c r="C656" s="285"/>
      <c r="D656" s="285"/>
      <c r="E656" s="287"/>
      <c r="F656" s="288"/>
      <c r="G656" s="288"/>
      <c r="H656" s="288"/>
      <c r="I656" s="285"/>
      <c r="J656" s="285"/>
      <c r="K656" s="294"/>
      <c r="L656" s="294"/>
      <c r="M656" s="290"/>
      <c r="N656" s="285"/>
      <c r="O656" s="299"/>
      <c r="P656" s="300"/>
      <c r="Q656" s="424"/>
      <c r="R656" s="424"/>
      <c r="S656" s="198"/>
      <c r="T656" s="198"/>
      <c r="U656" s="198"/>
      <c r="V656" s="198"/>
      <c r="W656" s="198"/>
      <c r="X656" s="198"/>
      <c r="Y656" s="198"/>
      <c r="Z656" s="198"/>
    </row>
    <row r="657" ht="57.75" customHeight="1">
      <c r="A657" s="284"/>
      <c r="B657" s="285"/>
      <c r="C657" s="285"/>
      <c r="D657" s="285"/>
      <c r="E657" s="287"/>
      <c r="F657" s="288"/>
      <c r="G657" s="288"/>
      <c r="H657" s="288"/>
      <c r="I657" s="285"/>
      <c r="J657" s="288"/>
      <c r="K657" s="294"/>
      <c r="L657" s="294"/>
      <c r="M657" s="290"/>
      <c r="N657" s="285"/>
      <c r="O657" s="299"/>
      <c r="P657" s="300"/>
      <c r="Q657" s="424"/>
      <c r="R657" s="424"/>
      <c r="S657" s="198"/>
      <c r="T657" s="198"/>
      <c r="U657" s="198"/>
      <c r="V657" s="198"/>
      <c r="W657" s="198"/>
      <c r="X657" s="198"/>
      <c r="Y657" s="198"/>
      <c r="Z657" s="198"/>
    </row>
    <row r="658" ht="54.0" customHeight="1">
      <c r="A658" s="284"/>
      <c r="B658" s="285"/>
      <c r="C658" s="285"/>
      <c r="D658" s="285"/>
      <c r="E658" s="287"/>
      <c r="F658" s="288"/>
      <c r="G658" s="372"/>
      <c r="H658" s="372"/>
      <c r="I658" s="285"/>
      <c r="J658" s="285"/>
      <c r="K658" s="294"/>
      <c r="L658" s="294"/>
      <c r="M658" s="290"/>
      <c r="N658" s="285"/>
      <c r="O658" s="299"/>
      <c r="P658" s="300"/>
      <c r="Q658" s="424"/>
      <c r="R658" s="424"/>
      <c r="S658" s="198"/>
      <c r="T658" s="198"/>
      <c r="U658" s="198"/>
      <c r="V658" s="198"/>
      <c r="W658" s="198"/>
      <c r="X658" s="198"/>
      <c r="Y658" s="198"/>
      <c r="Z658" s="198"/>
    </row>
    <row r="659" ht="54.0" customHeight="1">
      <c r="A659" s="284"/>
      <c r="B659" s="285"/>
      <c r="C659" s="285"/>
      <c r="D659" s="285"/>
      <c r="E659" s="287"/>
      <c r="F659" s="288"/>
      <c r="G659" s="288"/>
      <c r="H659" s="288"/>
      <c r="I659" s="285"/>
      <c r="J659" s="288"/>
      <c r="K659" s="294"/>
      <c r="L659" s="294"/>
      <c r="M659" s="290"/>
      <c r="N659" s="285"/>
      <c r="O659" s="299"/>
      <c r="P659" s="300"/>
      <c r="Q659" s="424"/>
      <c r="R659" s="424"/>
      <c r="S659" s="198"/>
      <c r="T659" s="198"/>
      <c r="U659" s="198"/>
      <c r="V659" s="198"/>
      <c r="W659" s="198"/>
      <c r="X659" s="198"/>
      <c r="Y659" s="198"/>
      <c r="Z659" s="198"/>
    </row>
    <row r="660" ht="54.0" customHeight="1">
      <c r="A660" s="284"/>
      <c r="B660" s="299"/>
      <c r="C660" s="285"/>
      <c r="D660" s="285"/>
      <c r="E660" s="287"/>
      <c r="F660" s="288"/>
      <c r="G660" s="288"/>
      <c r="H660" s="288"/>
      <c r="I660" s="285"/>
      <c r="J660" s="288"/>
      <c r="K660" s="294"/>
      <c r="L660" s="294"/>
      <c r="M660" s="290"/>
      <c r="N660" s="285"/>
      <c r="O660" s="299"/>
      <c r="P660" s="300"/>
      <c r="Q660" s="424"/>
      <c r="R660" s="424"/>
      <c r="S660" s="198"/>
      <c r="T660" s="198"/>
      <c r="U660" s="198"/>
      <c r="V660" s="198"/>
      <c r="W660" s="198"/>
      <c r="X660" s="198"/>
      <c r="Y660" s="198"/>
      <c r="Z660" s="198"/>
    </row>
    <row r="661" ht="54.0" customHeight="1">
      <c r="A661" s="284"/>
      <c r="B661" s="285"/>
      <c r="C661" s="285"/>
      <c r="D661" s="285"/>
      <c r="E661" s="287"/>
      <c r="F661" s="288"/>
      <c r="G661" s="288"/>
      <c r="H661" s="288"/>
      <c r="I661" s="285"/>
      <c r="J661" s="288"/>
      <c r="K661" s="294"/>
      <c r="L661" s="294"/>
      <c r="M661" s="290"/>
      <c r="N661" s="285"/>
      <c r="O661" s="299"/>
      <c r="P661" s="300"/>
      <c r="Q661" s="424"/>
      <c r="R661" s="424"/>
      <c r="S661" s="198"/>
      <c r="T661" s="198"/>
      <c r="U661" s="198"/>
      <c r="V661" s="198"/>
      <c r="W661" s="198"/>
      <c r="X661" s="198"/>
      <c r="Y661" s="198"/>
      <c r="Z661" s="198"/>
    </row>
    <row r="662" ht="60.75" customHeight="1">
      <c r="A662" s="284"/>
      <c r="B662" s="299"/>
      <c r="C662" s="285"/>
      <c r="D662" s="285"/>
      <c r="E662" s="287"/>
      <c r="F662" s="288"/>
      <c r="G662" s="372"/>
      <c r="H662" s="372"/>
      <c r="I662" s="285"/>
      <c r="J662" s="288"/>
      <c r="K662" s="294"/>
      <c r="L662" s="294"/>
      <c r="M662" s="290"/>
      <c r="N662" s="285"/>
      <c r="O662" s="299"/>
      <c r="P662" s="300"/>
      <c r="Q662" s="424"/>
      <c r="R662" s="424"/>
      <c r="S662" s="198"/>
      <c r="T662" s="198"/>
      <c r="U662" s="198"/>
      <c r="V662" s="198"/>
      <c r="W662" s="198"/>
      <c r="X662" s="198"/>
      <c r="Y662" s="198"/>
      <c r="Z662" s="198"/>
    </row>
    <row r="663" ht="57.0" customHeight="1">
      <c r="A663" s="284"/>
      <c r="B663" s="285"/>
      <c r="C663" s="285"/>
      <c r="D663" s="285"/>
      <c r="E663" s="287"/>
      <c r="F663" s="288"/>
      <c r="G663" s="372"/>
      <c r="H663" s="372"/>
      <c r="I663" s="285"/>
      <c r="J663" s="372"/>
      <c r="K663" s="294"/>
      <c r="L663" s="294"/>
      <c r="M663" s="290"/>
      <c r="N663" s="285"/>
      <c r="O663" s="299"/>
      <c r="P663" s="300"/>
      <c r="Q663" s="424"/>
      <c r="R663" s="424"/>
      <c r="S663" s="198"/>
      <c r="T663" s="198"/>
      <c r="U663" s="198"/>
      <c r="V663" s="198"/>
      <c r="W663" s="198"/>
      <c r="X663" s="198"/>
      <c r="Y663" s="198"/>
      <c r="Z663" s="198"/>
    </row>
    <row r="664" ht="57.0" customHeight="1">
      <c r="A664" s="284"/>
      <c r="B664" s="299"/>
      <c r="C664" s="285"/>
      <c r="D664" s="285"/>
      <c r="E664" s="287"/>
      <c r="F664" s="288"/>
      <c r="G664" s="288"/>
      <c r="H664" s="288"/>
      <c r="I664" s="285"/>
      <c r="J664" s="285"/>
      <c r="K664" s="294"/>
      <c r="L664" s="294"/>
      <c r="M664" s="290"/>
      <c r="N664" s="285"/>
      <c r="O664" s="299"/>
      <c r="P664" s="300"/>
      <c r="Q664" s="424"/>
      <c r="R664" s="424"/>
      <c r="S664" s="198"/>
      <c r="T664" s="198"/>
      <c r="U664" s="198"/>
      <c r="V664" s="198"/>
      <c r="W664" s="198"/>
      <c r="X664" s="198"/>
      <c r="Y664" s="198"/>
      <c r="Z664" s="198"/>
    </row>
    <row r="665" ht="54.0" customHeight="1">
      <c r="A665" s="284"/>
      <c r="B665" s="285"/>
      <c r="C665" s="285"/>
      <c r="D665" s="285"/>
      <c r="E665" s="287"/>
      <c r="F665" s="288"/>
      <c r="G665" s="288"/>
      <c r="H665" s="288"/>
      <c r="I665" s="285"/>
      <c r="J665" s="288"/>
      <c r="K665" s="294"/>
      <c r="L665" s="294"/>
      <c r="M665" s="290"/>
      <c r="N665" s="285"/>
      <c r="O665" s="299"/>
      <c r="P665" s="300"/>
      <c r="Q665" s="424"/>
      <c r="R665" s="424"/>
      <c r="S665" s="198"/>
      <c r="T665" s="198"/>
      <c r="U665" s="198"/>
      <c r="V665" s="198"/>
      <c r="W665" s="198"/>
      <c r="X665" s="198"/>
      <c r="Y665" s="198"/>
      <c r="Z665" s="198"/>
    </row>
    <row r="666" ht="55.5" customHeight="1">
      <c r="A666" s="284"/>
      <c r="B666" s="299"/>
      <c r="C666" s="285"/>
      <c r="D666" s="285"/>
      <c r="E666" s="287"/>
      <c r="F666" s="288"/>
      <c r="G666" s="288"/>
      <c r="H666" s="288"/>
      <c r="I666" s="285"/>
      <c r="J666" s="288"/>
      <c r="K666" s="294"/>
      <c r="L666" s="294"/>
      <c r="M666" s="290"/>
      <c r="N666" s="285"/>
      <c r="O666" s="299"/>
      <c r="P666" s="300"/>
      <c r="Q666" s="424"/>
      <c r="R666" s="424"/>
      <c r="S666" s="198"/>
      <c r="T666" s="198"/>
      <c r="U666" s="198"/>
      <c r="V666" s="198"/>
      <c r="W666" s="198"/>
      <c r="X666" s="198"/>
      <c r="Y666" s="198"/>
      <c r="Z666" s="198"/>
    </row>
    <row r="667" ht="57.0" customHeight="1">
      <c r="A667" s="284"/>
      <c r="B667" s="285"/>
      <c r="C667" s="285"/>
      <c r="D667" s="285"/>
      <c r="E667" s="287"/>
      <c r="F667" s="288"/>
      <c r="G667" s="288"/>
      <c r="H667" s="288"/>
      <c r="I667" s="285"/>
      <c r="J667" s="288"/>
      <c r="K667" s="294"/>
      <c r="L667" s="294"/>
      <c r="M667" s="290"/>
      <c r="N667" s="285"/>
      <c r="O667" s="299"/>
      <c r="P667" s="300"/>
      <c r="Q667" s="424"/>
      <c r="R667" s="424"/>
      <c r="S667" s="198"/>
      <c r="T667" s="198"/>
      <c r="U667" s="198"/>
      <c r="V667" s="198"/>
      <c r="W667" s="198"/>
      <c r="X667" s="198"/>
      <c r="Y667" s="198"/>
      <c r="Z667" s="198"/>
    </row>
    <row r="668" ht="66.0" customHeight="1">
      <c r="A668" s="284"/>
      <c r="B668" s="285"/>
      <c r="C668" s="285"/>
      <c r="D668" s="285"/>
      <c r="E668" s="287"/>
      <c r="F668" s="288"/>
      <c r="G668" s="288"/>
      <c r="H668" s="288"/>
      <c r="I668" s="285"/>
      <c r="J668" s="288"/>
      <c r="K668" s="294"/>
      <c r="L668" s="294"/>
      <c r="M668" s="290"/>
      <c r="N668" s="285"/>
      <c r="O668" s="299"/>
      <c r="P668" s="300"/>
      <c r="Q668" s="424"/>
      <c r="R668" s="424"/>
      <c r="S668" s="198"/>
      <c r="T668" s="198"/>
      <c r="U668" s="198"/>
      <c r="V668" s="198"/>
      <c r="W668" s="198"/>
      <c r="X668" s="198"/>
      <c r="Y668" s="198"/>
      <c r="Z668" s="198"/>
    </row>
    <row r="669" ht="54.0" customHeight="1">
      <c r="A669" s="284"/>
      <c r="B669" s="285"/>
      <c r="C669" s="299"/>
      <c r="D669" s="285"/>
      <c r="E669" s="287"/>
      <c r="F669" s="288"/>
      <c r="G669" s="288"/>
      <c r="H669" s="288"/>
      <c r="I669" s="285"/>
      <c r="J669" s="288"/>
      <c r="K669" s="294"/>
      <c r="L669" s="294"/>
      <c r="M669" s="290"/>
      <c r="N669" s="285"/>
      <c r="O669" s="299"/>
      <c r="P669" s="300"/>
      <c r="Q669" s="424"/>
      <c r="R669" s="424"/>
      <c r="S669" s="198"/>
      <c r="T669" s="198"/>
      <c r="U669" s="198"/>
      <c r="V669" s="198"/>
      <c r="W669" s="198"/>
      <c r="X669" s="198"/>
      <c r="Y669" s="198"/>
      <c r="Z669" s="198"/>
    </row>
    <row r="670" ht="57.0" customHeight="1">
      <c r="A670" s="284"/>
      <c r="B670" s="285"/>
      <c r="C670" s="299"/>
      <c r="D670" s="285"/>
      <c r="E670" s="287"/>
      <c r="F670" s="288"/>
      <c r="G670" s="288"/>
      <c r="H670" s="288"/>
      <c r="I670" s="285"/>
      <c r="J670" s="285"/>
      <c r="K670" s="294"/>
      <c r="L670" s="294"/>
      <c r="M670" s="290"/>
      <c r="N670" s="285"/>
      <c r="O670" s="299"/>
      <c r="P670" s="300"/>
      <c r="Q670" s="424"/>
      <c r="R670" s="424"/>
      <c r="S670" s="198"/>
      <c r="T670" s="198"/>
      <c r="U670" s="198"/>
      <c r="V670" s="198"/>
      <c r="W670" s="198"/>
      <c r="X670" s="198"/>
      <c r="Y670" s="198"/>
      <c r="Z670" s="198"/>
    </row>
    <row r="671" ht="54.0" customHeight="1">
      <c r="A671" s="284"/>
      <c r="B671" s="285"/>
      <c r="C671" s="285"/>
      <c r="D671" s="285"/>
      <c r="E671" s="287"/>
      <c r="F671" s="288"/>
      <c r="G671" s="288"/>
      <c r="H671" s="288"/>
      <c r="I671" s="285"/>
      <c r="J671" s="285"/>
      <c r="K671" s="294"/>
      <c r="L671" s="294"/>
      <c r="M671" s="290"/>
      <c r="N671" s="285"/>
      <c r="O671" s="299"/>
      <c r="P671" s="300"/>
      <c r="Q671" s="424"/>
      <c r="R671" s="424"/>
      <c r="S671" s="198"/>
      <c r="T671" s="198"/>
      <c r="U671" s="198"/>
      <c r="V671" s="198"/>
      <c r="W671" s="198"/>
      <c r="X671" s="198"/>
      <c r="Y671" s="198"/>
      <c r="Z671" s="198"/>
    </row>
    <row r="672" ht="57.75" customHeight="1">
      <c r="A672" s="284"/>
      <c r="B672" s="285"/>
      <c r="C672" s="299"/>
      <c r="D672" s="285"/>
      <c r="E672" s="287"/>
      <c r="F672" s="288"/>
      <c r="G672" s="288"/>
      <c r="H672" s="288"/>
      <c r="I672" s="285"/>
      <c r="J672" s="288"/>
      <c r="K672" s="294"/>
      <c r="L672" s="294"/>
      <c r="M672" s="290"/>
      <c r="N672" s="285"/>
      <c r="O672" s="299"/>
      <c r="P672" s="300"/>
      <c r="Q672" s="424"/>
      <c r="R672" s="424"/>
      <c r="S672" s="198"/>
      <c r="T672" s="198"/>
      <c r="U672" s="198"/>
      <c r="V672" s="198"/>
      <c r="W672" s="198"/>
      <c r="X672" s="198"/>
      <c r="Y672" s="198"/>
      <c r="Z672" s="198"/>
    </row>
    <row r="673" ht="57.0" customHeight="1">
      <c r="A673" s="284"/>
      <c r="B673" s="285"/>
      <c r="C673" s="285"/>
      <c r="D673" s="285"/>
      <c r="E673" s="287"/>
      <c r="F673" s="288"/>
      <c r="G673" s="372"/>
      <c r="H673" s="372"/>
      <c r="I673" s="285"/>
      <c r="J673" s="285"/>
      <c r="K673" s="294"/>
      <c r="L673" s="294"/>
      <c r="M673" s="290"/>
      <c r="N673" s="285"/>
      <c r="O673" s="299"/>
      <c r="P673" s="300"/>
      <c r="Q673" s="424"/>
      <c r="R673" s="424"/>
      <c r="S673" s="198"/>
      <c r="T673" s="198"/>
      <c r="U673" s="198"/>
      <c r="V673" s="198"/>
      <c r="W673" s="198"/>
      <c r="X673" s="198"/>
      <c r="Y673" s="198"/>
      <c r="Z673" s="198"/>
    </row>
    <row r="674" ht="58.5" customHeight="1">
      <c r="A674" s="284"/>
      <c r="B674" s="285"/>
      <c r="C674" s="285"/>
      <c r="D674" s="285"/>
      <c r="E674" s="287"/>
      <c r="F674" s="288"/>
      <c r="G674" s="285"/>
      <c r="H674" s="288"/>
      <c r="I674" s="285"/>
      <c r="J674" s="288"/>
      <c r="K674" s="294"/>
      <c r="L674" s="294"/>
      <c r="M674" s="290"/>
      <c r="N674" s="285"/>
      <c r="O674" s="299"/>
      <c r="P674" s="300"/>
      <c r="Q674" s="424"/>
      <c r="R674" s="424"/>
      <c r="S674" s="198"/>
      <c r="T674" s="198"/>
      <c r="U674" s="198"/>
      <c r="V674" s="198"/>
      <c r="W674" s="198"/>
      <c r="X674" s="198"/>
      <c r="Y674" s="198"/>
      <c r="Z674" s="198"/>
    </row>
    <row r="675" ht="55.5" customHeight="1">
      <c r="A675" s="284"/>
      <c r="B675" s="285"/>
      <c r="C675" s="299"/>
      <c r="D675" s="285"/>
      <c r="E675" s="287"/>
      <c r="F675" s="288"/>
      <c r="G675" s="372"/>
      <c r="H675" s="372"/>
      <c r="I675" s="285"/>
      <c r="J675" s="288"/>
      <c r="K675" s="294"/>
      <c r="L675" s="294"/>
      <c r="M675" s="290"/>
      <c r="N675" s="285"/>
      <c r="O675" s="299"/>
      <c r="P675" s="300"/>
      <c r="Q675" s="424"/>
      <c r="R675" s="424"/>
      <c r="S675" s="198"/>
      <c r="T675" s="198"/>
      <c r="U675" s="198"/>
      <c r="V675" s="198"/>
      <c r="W675" s="198"/>
      <c r="X675" s="198"/>
      <c r="Y675" s="198"/>
      <c r="Z675" s="198"/>
    </row>
    <row r="676" ht="67.5" customHeight="1">
      <c r="A676" s="284"/>
      <c r="B676" s="285"/>
      <c r="C676" s="299"/>
      <c r="D676" s="285"/>
      <c r="E676" s="287"/>
      <c r="F676" s="288"/>
      <c r="G676" s="372"/>
      <c r="H676" s="372"/>
      <c r="I676" s="285"/>
      <c r="J676" s="288"/>
      <c r="K676" s="294"/>
      <c r="L676" s="294"/>
      <c r="M676" s="290"/>
      <c r="N676" s="285"/>
      <c r="O676" s="299"/>
      <c r="P676" s="300"/>
      <c r="Q676" s="424"/>
      <c r="R676" s="424"/>
      <c r="S676" s="198"/>
      <c r="T676" s="198"/>
      <c r="U676" s="198"/>
      <c r="V676" s="198"/>
      <c r="W676" s="198"/>
      <c r="X676" s="198"/>
      <c r="Y676" s="198"/>
      <c r="Z676" s="198"/>
    </row>
    <row r="677" ht="73.5" customHeight="1">
      <c r="A677" s="284"/>
      <c r="B677" s="285"/>
      <c r="C677" s="285"/>
      <c r="D677" s="285"/>
      <c r="E677" s="287"/>
      <c r="F677" s="288"/>
      <c r="G677" s="288"/>
      <c r="H677" s="288"/>
      <c r="I677" s="285"/>
      <c r="J677" s="285"/>
      <c r="K677" s="294"/>
      <c r="L677" s="294"/>
      <c r="M677" s="290"/>
      <c r="N677" s="285"/>
      <c r="O677" s="299"/>
      <c r="P677" s="300"/>
      <c r="Q677" s="424"/>
      <c r="R677" s="424"/>
      <c r="S677" s="198"/>
      <c r="T677" s="198"/>
      <c r="U677" s="198"/>
      <c r="V677" s="198"/>
      <c r="W677" s="198"/>
      <c r="X677" s="198"/>
      <c r="Y677" s="198"/>
      <c r="Z677" s="198"/>
    </row>
    <row r="678" ht="57.75" customHeight="1">
      <c r="A678" s="284"/>
      <c r="B678" s="285"/>
      <c r="C678" s="285"/>
      <c r="D678" s="285"/>
      <c r="E678" s="287"/>
      <c r="F678" s="288"/>
      <c r="G678" s="288"/>
      <c r="H678" s="288"/>
      <c r="I678" s="285"/>
      <c r="J678" s="288"/>
      <c r="K678" s="294"/>
      <c r="L678" s="294"/>
      <c r="M678" s="290"/>
      <c r="N678" s="285"/>
      <c r="O678" s="299"/>
      <c r="P678" s="300"/>
      <c r="Q678" s="424"/>
      <c r="R678" s="424"/>
      <c r="S678" s="198"/>
      <c r="T678" s="198"/>
      <c r="U678" s="198"/>
      <c r="V678" s="198"/>
      <c r="W678" s="198"/>
      <c r="X678" s="198"/>
      <c r="Y678" s="198"/>
      <c r="Z678" s="198"/>
    </row>
    <row r="679" ht="54.0" customHeight="1">
      <c r="A679" s="284"/>
      <c r="B679" s="285"/>
      <c r="C679" s="285"/>
      <c r="D679" s="285"/>
      <c r="E679" s="287"/>
      <c r="F679" s="288"/>
      <c r="G679" s="288"/>
      <c r="H679" s="288"/>
      <c r="I679" s="285"/>
      <c r="J679" s="288"/>
      <c r="K679" s="294"/>
      <c r="L679" s="294"/>
      <c r="M679" s="290"/>
      <c r="N679" s="285"/>
      <c r="O679" s="299"/>
      <c r="P679" s="300"/>
      <c r="Q679" s="424"/>
      <c r="R679" s="424"/>
      <c r="S679" s="198"/>
      <c r="T679" s="198"/>
      <c r="U679" s="198"/>
      <c r="V679" s="198"/>
      <c r="W679" s="198"/>
      <c r="X679" s="198"/>
      <c r="Y679" s="198"/>
      <c r="Z679" s="198"/>
    </row>
    <row r="680" ht="54.0" customHeight="1">
      <c r="A680" s="284"/>
      <c r="B680" s="285"/>
      <c r="C680" s="285"/>
      <c r="D680" s="285"/>
      <c r="E680" s="287"/>
      <c r="F680" s="288"/>
      <c r="G680" s="288"/>
      <c r="H680" s="288"/>
      <c r="I680" s="285"/>
      <c r="J680" s="288"/>
      <c r="K680" s="294"/>
      <c r="L680" s="294"/>
      <c r="M680" s="290"/>
      <c r="N680" s="285"/>
      <c r="O680" s="299"/>
      <c r="P680" s="300"/>
      <c r="Q680" s="424"/>
      <c r="R680" s="424"/>
      <c r="S680" s="198"/>
      <c r="T680" s="198"/>
      <c r="U680" s="198"/>
      <c r="V680" s="198"/>
      <c r="W680" s="198"/>
      <c r="X680" s="198"/>
      <c r="Y680" s="198"/>
      <c r="Z680" s="198"/>
    </row>
    <row r="681" ht="54.0" customHeight="1">
      <c r="A681" s="284"/>
      <c r="B681" s="285"/>
      <c r="C681" s="285"/>
      <c r="D681" s="285"/>
      <c r="E681" s="287"/>
      <c r="F681" s="288"/>
      <c r="G681" s="288"/>
      <c r="H681" s="288"/>
      <c r="I681" s="285"/>
      <c r="J681" s="285"/>
      <c r="K681" s="294"/>
      <c r="L681" s="294"/>
      <c r="M681" s="290"/>
      <c r="N681" s="285"/>
      <c r="O681" s="299"/>
      <c r="P681" s="300"/>
      <c r="Q681" s="424"/>
      <c r="R681" s="424"/>
      <c r="S681" s="198"/>
      <c r="T681" s="198"/>
      <c r="U681" s="198"/>
      <c r="V681" s="198"/>
      <c r="W681" s="198"/>
      <c r="X681" s="198"/>
      <c r="Y681" s="198"/>
      <c r="Z681" s="198"/>
    </row>
    <row r="682" ht="54.0" customHeight="1">
      <c r="A682" s="284"/>
      <c r="B682" s="285"/>
      <c r="C682" s="299"/>
      <c r="D682" s="299"/>
      <c r="E682" s="287"/>
      <c r="F682" s="288"/>
      <c r="G682" s="288"/>
      <c r="H682" s="288"/>
      <c r="I682" s="285"/>
      <c r="J682" s="288"/>
      <c r="K682" s="294"/>
      <c r="L682" s="294"/>
      <c r="M682" s="290"/>
      <c r="N682" s="285"/>
      <c r="O682" s="299"/>
      <c r="P682" s="300"/>
      <c r="Q682" s="424"/>
      <c r="R682" s="424"/>
      <c r="S682" s="198"/>
      <c r="T682" s="198"/>
      <c r="U682" s="198"/>
      <c r="V682" s="198"/>
      <c r="W682" s="198"/>
      <c r="X682" s="198"/>
      <c r="Y682" s="198"/>
      <c r="Z682" s="198"/>
    </row>
    <row r="683" ht="68.25" customHeight="1">
      <c r="A683" s="284"/>
      <c r="B683" s="285"/>
      <c r="C683" s="299"/>
      <c r="D683" s="285"/>
      <c r="E683" s="287"/>
      <c r="F683" s="288"/>
      <c r="G683" s="288"/>
      <c r="H683" s="288"/>
      <c r="I683" s="285"/>
      <c r="J683" s="288"/>
      <c r="K683" s="294"/>
      <c r="L683" s="294"/>
      <c r="M683" s="290"/>
      <c r="N683" s="285"/>
      <c r="O683" s="299"/>
      <c r="P683" s="300"/>
      <c r="Q683" s="424"/>
      <c r="R683" s="424"/>
      <c r="S683" s="198"/>
      <c r="T683" s="198"/>
      <c r="U683" s="198"/>
      <c r="V683" s="198"/>
      <c r="W683" s="198"/>
      <c r="X683" s="198"/>
      <c r="Y683" s="198"/>
      <c r="Z683" s="198"/>
    </row>
    <row r="684" ht="68.25" customHeight="1">
      <c r="A684" s="284"/>
      <c r="B684" s="285"/>
      <c r="C684" s="299"/>
      <c r="D684" s="285"/>
      <c r="E684" s="287"/>
      <c r="F684" s="288"/>
      <c r="G684" s="288"/>
      <c r="H684" s="288"/>
      <c r="I684" s="285"/>
      <c r="J684" s="288"/>
      <c r="K684" s="294"/>
      <c r="L684" s="294"/>
      <c r="M684" s="290"/>
      <c r="N684" s="285"/>
      <c r="O684" s="299"/>
      <c r="P684" s="300"/>
      <c r="Q684" s="424"/>
      <c r="R684" s="424"/>
      <c r="S684" s="198"/>
      <c r="T684" s="198"/>
      <c r="U684" s="198"/>
      <c r="V684" s="198"/>
      <c r="W684" s="198"/>
      <c r="X684" s="198"/>
      <c r="Y684" s="198"/>
      <c r="Z684" s="198"/>
    </row>
    <row r="685" ht="55.5" customHeight="1">
      <c r="A685" s="284"/>
      <c r="B685" s="285"/>
      <c r="C685" s="299"/>
      <c r="D685" s="285"/>
      <c r="E685" s="287"/>
      <c r="F685" s="288"/>
      <c r="G685" s="372"/>
      <c r="H685" s="372"/>
      <c r="I685" s="285"/>
      <c r="J685" s="285"/>
      <c r="K685" s="294"/>
      <c r="L685" s="294"/>
      <c r="M685" s="290"/>
      <c r="N685" s="285"/>
      <c r="O685" s="299"/>
      <c r="P685" s="300"/>
      <c r="Q685" s="424"/>
      <c r="R685" s="424"/>
      <c r="S685" s="198"/>
      <c r="T685" s="198"/>
      <c r="U685" s="198"/>
      <c r="V685" s="198"/>
      <c r="W685" s="198"/>
      <c r="X685" s="198"/>
      <c r="Y685" s="198"/>
      <c r="Z685" s="198"/>
    </row>
    <row r="686" ht="54.0" customHeight="1">
      <c r="A686" s="284"/>
      <c r="B686" s="285"/>
      <c r="C686" s="285"/>
      <c r="D686" s="285"/>
      <c r="E686" s="287"/>
      <c r="F686" s="288"/>
      <c r="G686" s="288"/>
      <c r="H686" s="288"/>
      <c r="I686" s="285"/>
      <c r="J686" s="288"/>
      <c r="K686" s="294"/>
      <c r="L686" s="294"/>
      <c r="M686" s="290"/>
      <c r="N686" s="285"/>
      <c r="O686" s="299"/>
      <c r="P686" s="300"/>
      <c r="Q686" s="424"/>
      <c r="R686" s="424"/>
      <c r="S686" s="198"/>
      <c r="T686" s="198"/>
      <c r="U686" s="198"/>
      <c r="V686" s="198"/>
      <c r="W686" s="198"/>
      <c r="X686" s="198"/>
      <c r="Y686" s="198"/>
      <c r="Z686" s="198"/>
    </row>
    <row r="687" ht="58.5" customHeight="1">
      <c r="A687" s="284"/>
      <c r="B687" s="285"/>
      <c r="C687" s="285"/>
      <c r="D687" s="285"/>
      <c r="E687" s="287"/>
      <c r="F687" s="288"/>
      <c r="G687" s="288"/>
      <c r="H687" s="288"/>
      <c r="I687" s="285"/>
      <c r="J687" s="288"/>
      <c r="K687" s="294"/>
      <c r="L687" s="294"/>
      <c r="M687" s="290"/>
      <c r="N687" s="285"/>
      <c r="O687" s="299"/>
      <c r="P687" s="300"/>
      <c r="Q687" s="424"/>
      <c r="R687" s="424"/>
      <c r="S687" s="198"/>
      <c r="T687" s="198"/>
      <c r="U687" s="198"/>
      <c r="V687" s="198"/>
      <c r="W687" s="198"/>
      <c r="X687" s="198"/>
      <c r="Y687" s="198"/>
      <c r="Z687" s="198"/>
    </row>
    <row r="688" ht="62.25" customHeight="1">
      <c r="A688" s="284"/>
      <c r="B688" s="299"/>
      <c r="C688" s="285"/>
      <c r="D688" s="285"/>
      <c r="E688" s="287"/>
      <c r="F688" s="288"/>
      <c r="G688" s="288"/>
      <c r="H688" s="288"/>
      <c r="I688" s="285"/>
      <c r="J688" s="288"/>
      <c r="K688" s="294"/>
      <c r="L688" s="294"/>
      <c r="M688" s="290"/>
      <c r="N688" s="285"/>
      <c r="O688" s="299"/>
      <c r="P688" s="300"/>
      <c r="Q688" s="424"/>
      <c r="R688" s="424"/>
      <c r="S688" s="198"/>
      <c r="T688" s="198"/>
      <c r="U688" s="198"/>
      <c r="V688" s="198"/>
      <c r="W688" s="198"/>
      <c r="X688" s="198"/>
      <c r="Y688" s="198"/>
      <c r="Z688" s="198"/>
    </row>
    <row r="689" ht="54.0" customHeight="1">
      <c r="A689" s="284"/>
      <c r="B689" s="299"/>
      <c r="C689" s="285"/>
      <c r="D689" s="285"/>
      <c r="E689" s="287"/>
      <c r="F689" s="288"/>
      <c r="G689" s="372"/>
      <c r="H689" s="372"/>
      <c r="I689" s="285"/>
      <c r="J689" s="373"/>
      <c r="K689" s="294"/>
      <c r="L689" s="294"/>
      <c r="M689" s="290"/>
      <c r="N689" s="285"/>
      <c r="O689" s="299"/>
      <c r="P689" s="300"/>
      <c r="Q689" s="424"/>
      <c r="R689" s="424"/>
      <c r="S689" s="198"/>
      <c r="T689" s="198"/>
      <c r="U689" s="198"/>
      <c r="V689" s="198"/>
      <c r="W689" s="198"/>
      <c r="X689" s="198"/>
      <c r="Y689" s="198"/>
      <c r="Z689" s="198"/>
    </row>
    <row r="690" ht="54.0" customHeight="1">
      <c r="A690" s="284"/>
      <c r="B690" s="285"/>
      <c r="C690" s="285"/>
      <c r="D690" s="285"/>
      <c r="E690" s="287"/>
      <c r="F690" s="288"/>
      <c r="G690" s="372"/>
      <c r="H690" s="372"/>
      <c r="I690" s="285"/>
      <c r="J690" s="373"/>
      <c r="K690" s="294"/>
      <c r="L690" s="294"/>
      <c r="M690" s="290"/>
      <c r="N690" s="285"/>
      <c r="O690" s="299"/>
      <c r="P690" s="300"/>
      <c r="Q690" s="424"/>
      <c r="R690" s="424"/>
      <c r="S690" s="198"/>
      <c r="T690" s="198"/>
      <c r="U690" s="198"/>
      <c r="V690" s="198"/>
      <c r="W690" s="198"/>
      <c r="X690" s="198"/>
      <c r="Y690" s="198"/>
      <c r="Z690" s="198"/>
    </row>
    <row r="691" ht="54.0" customHeight="1">
      <c r="A691" s="284"/>
      <c r="B691" s="285"/>
      <c r="C691" s="285"/>
      <c r="D691" s="285"/>
      <c r="E691" s="287"/>
      <c r="F691" s="288"/>
      <c r="G691" s="288"/>
      <c r="H691" s="288"/>
      <c r="I691" s="285"/>
      <c r="J691" s="288"/>
      <c r="K691" s="294"/>
      <c r="L691" s="294"/>
      <c r="M691" s="290"/>
      <c r="N691" s="285"/>
      <c r="O691" s="299"/>
      <c r="P691" s="300"/>
      <c r="Q691" s="424"/>
      <c r="R691" s="424"/>
      <c r="S691" s="198"/>
      <c r="T691" s="198"/>
      <c r="U691" s="198"/>
      <c r="V691" s="198"/>
      <c r="W691" s="198"/>
      <c r="X691" s="198"/>
      <c r="Y691" s="198"/>
      <c r="Z691" s="198"/>
    </row>
    <row r="692" ht="55.5" customHeight="1">
      <c r="A692" s="284"/>
      <c r="B692" s="285"/>
      <c r="C692" s="299"/>
      <c r="D692" s="299"/>
      <c r="E692" s="287"/>
      <c r="F692" s="288"/>
      <c r="G692" s="288"/>
      <c r="H692" s="288"/>
      <c r="I692" s="285"/>
      <c r="J692" s="288"/>
      <c r="K692" s="294"/>
      <c r="L692" s="294"/>
      <c r="M692" s="290"/>
      <c r="N692" s="285"/>
      <c r="O692" s="299"/>
      <c r="P692" s="300"/>
      <c r="Q692" s="424"/>
      <c r="R692" s="424"/>
      <c r="S692" s="198"/>
      <c r="T692" s="198"/>
      <c r="U692" s="198"/>
      <c r="V692" s="198"/>
      <c r="W692" s="198"/>
      <c r="X692" s="198"/>
      <c r="Y692" s="198"/>
      <c r="Z692" s="198"/>
    </row>
    <row r="693" ht="57.75" customHeight="1">
      <c r="A693" s="284"/>
      <c r="B693" s="299"/>
      <c r="C693" s="285"/>
      <c r="D693" s="285"/>
      <c r="E693" s="287"/>
      <c r="F693" s="288"/>
      <c r="G693" s="372"/>
      <c r="H693" s="372"/>
      <c r="I693" s="285"/>
      <c r="J693" s="288"/>
      <c r="K693" s="294"/>
      <c r="L693" s="294"/>
      <c r="M693" s="290"/>
      <c r="N693" s="285"/>
      <c r="O693" s="299"/>
      <c r="P693" s="300"/>
      <c r="Q693" s="424"/>
      <c r="R693" s="424"/>
      <c r="S693" s="198"/>
      <c r="T693" s="198"/>
      <c r="U693" s="198"/>
      <c r="V693" s="198"/>
      <c r="W693" s="198"/>
      <c r="X693" s="198"/>
      <c r="Y693" s="198"/>
      <c r="Z693" s="198"/>
    </row>
    <row r="694" ht="60.75" customHeight="1">
      <c r="A694" s="284"/>
      <c r="B694" s="285"/>
      <c r="C694" s="285"/>
      <c r="D694" s="285"/>
      <c r="E694" s="287"/>
      <c r="F694" s="288"/>
      <c r="G694" s="288"/>
      <c r="H694" s="288"/>
      <c r="I694" s="285"/>
      <c r="J694" s="288"/>
      <c r="K694" s="294"/>
      <c r="L694" s="294"/>
      <c r="M694" s="290"/>
      <c r="N694" s="285"/>
      <c r="O694" s="299"/>
      <c r="P694" s="300"/>
      <c r="Q694" s="424"/>
      <c r="R694" s="424"/>
      <c r="S694" s="198"/>
      <c r="T694" s="198"/>
      <c r="U694" s="198"/>
      <c r="V694" s="198"/>
      <c r="W694" s="198"/>
      <c r="X694" s="198"/>
      <c r="Y694" s="198"/>
      <c r="Z694" s="198"/>
    </row>
    <row r="695" ht="57.75" customHeight="1">
      <c r="A695" s="284"/>
      <c r="B695" s="285"/>
      <c r="C695" s="285"/>
      <c r="D695" s="285"/>
      <c r="E695" s="287"/>
      <c r="F695" s="288"/>
      <c r="G695" s="372"/>
      <c r="H695" s="372"/>
      <c r="I695" s="285"/>
      <c r="J695" s="288"/>
      <c r="K695" s="294"/>
      <c r="L695" s="294"/>
      <c r="M695" s="290"/>
      <c r="N695" s="285"/>
      <c r="O695" s="299"/>
      <c r="P695" s="300"/>
      <c r="Q695" s="424"/>
      <c r="R695" s="424"/>
      <c r="S695" s="198"/>
      <c r="T695" s="198"/>
      <c r="U695" s="198"/>
      <c r="V695" s="198"/>
      <c r="W695" s="198"/>
      <c r="X695" s="198"/>
      <c r="Y695" s="198"/>
      <c r="Z695" s="198"/>
    </row>
    <row r="696" ht="59.25" customHeight="1">
      <c r="A696" s="284"/>
      <c r="B696" s="285"/>
      <c r="C696" s="285"/>
      <c r="D696" s="285"/>
      <c r="E696" s="287"/>
      <c r="F696" s="288"/>
      <c r="G696" s="288"/>
      <c r="H696" s="288"/>
      <c r="I696" s="285"/>
      <c r="J696" s="285"/>
      <c r="K696" s="294"/>
      <c r="L696" s="294"/>
      <c r="M696" s="290"/>
      <c r="N696" s="285"/>
      <c r="O696" s="299"/>
      <c r="P696" s="300"/>
      <c r="Q696" s="424"/>
      <c r="R696" s="424"/>
      <c r="S696" s="198"/>
      <c r="T696" s="198"/>
      <c r="U696" s="198"/>
      <c r="V696" s="198"/>
      <c r="W696" s="198"/>
      <c r="X696" s="198"/>
      <c r="Y696" s="198"/>
      <c r="Z696" s="198"/>
    </row>
    <row r="697" ht="57.0" customHeight="1">
      <c r="A697" s="284"/>
      <c r="B697" s="285"/>
      <c r="C697" s="299"/>
      <c r="D697" s="299"/>
      <c r="E697" s="287"/>
      <c r="F697" s="288"/>
      <c r="G697" s="288"/>
      <c r="H697" s="288"/>
      <c r="I697" s="285"/>
      <c r="J697" s="288"/>
      <c r="K697" s="294"/>
      <c r="L697" s="294"/>
      <c r="M697" s="290"/>
      <c r="N697" s="285"/>
      <c r="O697" s="299"/>
      <c r="P697" s="300"/>
      <c r="Q697" s="424"/>
      <c r="R697" s="424"/>
      <c r="S697" s="198"/>
      <c r="T697" s="198"/>
      <c r="U697" s="198"/>
      <c r="V697" s="198"/>
      <c r="W697" s="198"/>
      <c r="X697" s="198"/>
      <c r="Y697" s="198"/>
      <c r="Z697" s="198"/>
    </row>
    <row r="698" ht="63.75" customHeight="1">
      <c r="A698" s="284"/>
      <c r="B698" s="285"/>
      <c r="C698" s="299"/>
      <c r="D698" s="299"/>
      <c r="E698" s="287"/>
      <c r="F698" s="288"/>
      <c r="G698" s="288"/>
      <c r="H698" s="288"/>
      <c r="I698" s="285"/>
      <c r="J698" s="285"/>
      <c r="K698" s="294"/>
      <c r="L698" s="294"/>
      <c r="M698" s="290"/>
      <c r="N698" s="285"/>
      <c r="O698" s="299"/>
      <c r="P698" s="300"/>
      <c r="Q698" s="424"/>
      <c r="R698" s="424"/>
      <c r="S698" s="198"/>
      <c r="T698" s="198"/>
      <c r="U698" s="198"/>
      <c r="V698" s="198"/>
      <c r="W698" s="198"/>
      <c r="X698" s="198"/>
      <c r="Y698" s="198"/>
      <c r="Z698" s="198"/>
    </row>
    <row r="699" ht="65.25" customHeight="1">
      <c r="A699" s="284"/>
      <c r="B699" s="285"/>
      <c r="C699" s="299"/>
      <c r="D699" s="285"/>
      <c r="E699" s="287"/>
      <c r="F699" s="288"/>
      <c r="G699" s="288"/>
      <c r="H699" s="288"/>
      <c r="I699" s="285"/>
      <c r="J699" s="288"/>
      <c r="K699" s="294"/>
      <c r="L699" s="294"/>
      <c r="M699" s="290"/>
      <c r="N699" s="285"/>
      <c r="O699" s="299"/>
      <c r="P699" s="300"/>
      <c r="Q699" s="424"/>
      <c r="R699" s="424"/>
      <c r="S699" s="198"/>
      <c r="T699" s="198"/>
      <c r="U699" s="198"/>
      <c r="V699" s="198"/>
      <c r="W699" s="198"/>
      <c r="X699" s="198"/>
      <c r="Y699" s="198"/>
      <c r="Z699" s="198"/>
    </row>
    <row r="700" ht="64.5" customHeight="1">
      <c r="A700" s="284"/>
      <c r="B700" s="285"/>
      <c r="C700" s="299"/>
      <c r="D700" s="285"/>
      <c r="E700" s="287"/>
      <c r="F700" s="288"/>
      <c r="G700" s="288"/>
      <c r="H700" s="288"/>
      <c r="I700" s="285"/>
      <c r="J700" s="288"/>
      <c r="K700" s="294"/>
      <c r="L700" s="294"/>
      <c r="M700" s="290"/>
      <c r="N700" s="285"/>
      <c r="O700" s="299"/>
      <c r="P700" s="300"/>
      <c r="Q700" s="424"/>
      <c r="R700" s="424"/>
      <c r="S700" s="198"/>
      <c r="T700" s="198"/>
      <c r="U700" s="198"/>
      <c r="V700" s="198"/>
      <c r="W700" s="198"/>
      <c r="X700" s="198"/>
      <c r="Y700" s="198"/>
      <c r="Z700" s="198"/>
    </row>
    <row r="701" ht="57.75" customHeight="1">
      <c r="A701" s="299"/>
      <c r="B701" s="299"/>
      <c r="C701" s="285"/>
      <c r="D701" s="285"/>
      <c r="E701" s="287"/>
      <c r="F701" s="288"/>
      <c r="G701" s="288"/>
      <c r="H701" s="288"/>
      <c r="I701" s="285"/>
      <c r="J701" s="285"/>
      <c r="K701" s="294"/>
      <c r="L701" s="294"/>
      <c r="M701" s="290"/>
      <c r="N701" s="285"/>
      <c r="O701" s="299"/>
      <c r="P701" s="300"/>
      <c r="Q701" s="424"/>
      <c r="R701" s="424"/>
      <c r="S701" s="198"/>
      <c r="T701" s="198"/>
      <c r="U701" s="198"/>
      <c r="V701" s="198"/>
      <c r="W701" s="198"/>
      <c r="X701" s="198"/>
      <c r="Y701" s="198"/>
      <c r="Z701" s="198"/>
    </row>
    <row r="702" ht="69.75" customHeight="1">
      <c r="A702" s="284"/>
      <c r="B702" s="299"/>
      <c r="C702" s="285"/>
      <c r="D702" s="285"/>
      <c r="E702" s="287"/>
      <c r="F702" s="288"/>
      <c r="G702" s="372"/>
      <c r="H702" s="372"/>
      <c r="I702" s="285"/>
      <c r="J702" s="288"/>
      <c r="K702" s="294"/>
      <c r="L702" s="294"/>
      <c r="M702" s="290"/>
      <c r="N702" s="285"/>
      <c r="O702" s="299"/>
      <c r="P702" s="300"/>
      <c r="Q702" s="424"/>
      <c r="R702" s="424"/>
      <c r="S702" s="198"/>
      <c r="T702" s="198"/>
      <c r="U702" s="198"/>
      <c r="V702" s="198"/>
      <c r="W702" s="198"/>
      <c r="X702" s="198"/>
      <c r="Y702" s="198"/>
      <c r="Z702" s="198"/>
    </row>
    <row r="703" ht="55.5" customHeight="1">
      <c r="A703" s="284"/>
      <c r="B703" s="299"/>
      <c r="C703" s="285"/>
      <c r="D703" s="285"/>
      <c r="E703" s="287"/>
      <c r="F703" s="288"/>
      <c r="G703" s="288"/>
      <c r="H703" s="288"/>
      <c r="I703" s="285"/>
      <c r="J703" s="288"/>
      <c r="K703" s="294"/>
      <c r="L703" s="294"/>
      <c r="M703" s="290"/>
      <c r="N703" s="285"/>
      <c r="O703" s="299"/>
      <c r="P703" s="300"/>
      <c r="Q703" s="424"/>
      <c r="R703" s="424"/>
      <c r="S703" s="198"/>
      <c r="T703" s="198"/>
      <c r="U703" s="198"/>
      <c r="V703" s="198"/>
      <c r="W703" s="198"/>
      <c r="X703" s="198"/>
      <c r="Y703" s="198"/>
      <c r="Z703" s="198"/>
    </row>
    <row r="704" ht="53.25" customHeight="1">
      <c r="A704" s="284"/>
      <c r="B704" s="285"/>
      <c r="C704" s="285"/>
      <c r="D704" s="285"/>
      <c r="E704" s="287"/>
      <c r="F704" s="288"/>
      <c r="G704" s="288"/>
      <c r="H704" s="288"/>
      <c r="I704" s="285"/>
      <c r="J704" s="288"/>
      <c r="K704" s="294"/>
      <c r="L704" s="294"/>
      <c r="M704" s="290"/>
      <c r="N704" s="285"/>
      <c r="O704" s="299"/>
      <c r="P704" s="300"/>
      <c r="Q704" s="424"/>
      <c r="R704" s="424"/>
      <c r="S704" s="198"/>
      <c r="T704" s="198"/>
      <c r="U704" s="198"/>
      <c r="V704" s="198"/>
      <c r="W704" s="198"/>
      <c r="X704" s="198"/>
      <c r="Y704" s="198"/>
      <c r="Z704" s="198"/>
    </row>
    <row r="705" ht="54.0" customHeight="1">
      <c r="A705" s="284"/>
      <c r="B705" s="285"/>
      <c r="C705" s="285"/>
      <c r="D705" s="285"/>
      <c r="E705" s="287"/>
      <c r="F705" s="288"/>
      <c r="G705" s="372"/>
      <c r="H705" s="372"/>
      <c r="I705" s="285"/>
      <c r="J705" s="288"/>
      <c r="K705" s="294"/>
      <c r="L705" s="294"/>
      <c r="M705" s="290"/>
      <c r="N705" s="285"/>
      <c r="O705" s="299"/>
      <c r="P705" s="300"/>
      <c r="Q705" s="424"/>
      <c r="R705" s="424"/>
      <c r="S705" s="198"/>
      <c r="T705" s="198"/>
      <c r="U705" s="198"/>
      <c r="V705" s="198"/>
      <c r="W705" s="198"/>
      <c r="X705" s="198"/>
      <c r="Y705" s="198"/>
      <c r="Z705" s="198"/>
    </row>
    <row r="706" ht="54.0" customHeight="1">
      <c r="A706" s="284"/>
      <c r="B706" s="285"/>
      <c r="C706" s="285"/>
      <c r="D706" s="285"/>
      <c r="E706" s="287"/>
      <c r="F706" s="288"/>
      <c r="G706" s="372"/>
      <c r="H706" s="372"/>
      <c r="I706" s="285"/>
      <c r="J706" s="288"/>
      <c r="K706" s="294"/>
      <c r="L706" s="294"/>
      <c r="M706" s="290"/>
      <c r="N706" s="285"/>
      <c r="O706" s="299"/>
      <c r="P706" s="300"/>
      <c r="Q706" s="424"/>
      <c r="R706" s="424"/>
      <c r="S706" s="198"/>
      <c r="T706" s="198"/>
      <c r="U706" s="198"/>
      <c r="V706" s="198"/>
      <c r="W706" s="198"/>
      <c r="X706" s="198"/>
      <c r="Y706" s="198"/>
      <c r="Z706" s="198"/>
    </row>
    <row r="707" ht="54.0" customHeight="1">
      <c r="A707" s="284"/>
      <c r="B707" s="285"/>
      <c r="C707" s="285"/>
      <c r="D707" s="285"/>
      <c r="E707" s="287"/>
      <c r="F707" s="288"/>
      <c r="G707" s="288"/>
      <c r="H707" s="288"/>
      <c r="I707" s="285"/>
      <c r="J707" s="288"/>
      <c r="K707" s="294"/>
      <c r="L707" s="294"/>
      <c r="M707" s="290"/>
      <c r="N707" s="285"/>
      <c r="O707" s="299"/>
      <c r="P707" s="300"/>
      <c r="Q707" s="424"/>
      <c r="R707" s="424"/>
      <c r="S707" s="198"/>
      <c r="T707" s="198"/>
      <c r="U707" s="198"/>
      <c r="V707" s="198"/>
      <c r="W707" s="198"/>
      <c r="X707" s="198"/>
      <c r="Y707" s="198"/>
      <c r="Z707" s="198"/>
    </row>
    <row r="708" ht="59.25" customHeight="1">
      <c r="A708" s="284"/>
      <c r="B708" s="285"/>
      <c r="C708" s="285"/>
      <c r="D708" s="285"/>
      <c r="E708" s="287"/>
      <c r="F708" s="288"/>
      <c r="G708" s="288"/>
      <c r="H708" s="288"/>
      <c r="I708" s="285"/>
      <c r="J708" s="285"/>
      <c r="K708" s="294"/>
      <c r="L708" s="294"/>
      <c r="M708" s="290"/>
      <c r="N708" s="285"/>
      <c r="O708" s="299"/>
      <c r="P708" s="300"/>
      <c r="Q708" s="424"/>
      <c r="R708" s="424"/>
      <c r="S708" s="198"/>
      <c r="T708" s="198"/>
      <c r="U708" s="198"/>
      <c r="V708" s="198"/>
      <c r="W708" s="198"/>
      <c r="X708" s="198"/>
      <c r="Y708" s="198"/>
      <c r="Z708" s="198"/>
    </row>
    <row r="709" ht="59.25" customHeight="1">
      <c r="A709" s="284"/>
      <c r="B709" s="285"/>
      <c r="C709" s="285"/>
      <c r="D709" s="285"/>
      <c r="E709" s="287"/>
      <c r="F709" s="288"/>
      <c r="G709" s="288"/>
      <c r="H709" s="288"/>
      <c r="I709" s="285"/>
      <c r="J709" s="288"/>
      <c r="K709" s="294"/>
      <c r="L709" s="294"/>
      <c r="M709" s="290"/>
      <c r="N709" s="285"/>
      <c r="O709" s="299"/>
      <c r="P709" s="300"/>
      <c r="Q709" s="424"/>
      <c r="R709" s="424"/>
      <c r="S709" s="198"/>
      <c r="T709" s="198"/>
      <c r="U709" s="198"/>
      <c r="V709" s="198"/>
      <c r="W709" s="198"/>
      <c r="X709" s="198"/>
      <c r="Y709" s="198"/>
      <c r="Z709" s="198"/>
    </row>
    <row r="710" ht="56.25" customHeight="1">
      <c r="A710" s="284"/>
      <c r="B710" s="285"/>
      <c r="C710" s="285"/>
      <c r="D710" s="285"/>
      <c r="E710" s="287"/>
      <c r="F710" s="288"/>
      <c r="G710" s="285"/>
      <c r="H710" s="288"/>
      <c r="I710" s="285"/>
      <c r="J710" s="288"/>
      <c r="K710" s="294"/>
      <c r="L710" s="294"/>
      <c r="M710" s="290"/>
      <c r="N710" s="285"/>
      <c r="O710" s="299"/>
      <c r="P710" s="300"/>
      <c r="Q710" s="424"/>
      <c r="R710" s="424"/>
      <c r="S710" s="198"/>
      <c r="T710" s="198"/>
      <c r="U710" s="198"/>
      <c r="V710" s="198"/>
      <c r="W710" s="198"/>
      <c r="X710" s="198"/>
      <c r="Y710" s="198"/>
      <c r="Z710" s="198"/>
    </row>
    <row r="711" ht="55.5" customHeight="1">
      <c r="A711" s="284"/>
      <c r="B711" s="285"/>
      <c r="C711" s="299"/>
      <c r="D711" s="285"/>
      <c r="E711" s="287"/>
      <c r="F711" s="288"/>
      <c r="G711" s="288"/>
      <c r="H711" s="288"/>
      <c r="I711" s="285"/>
      <c r="J711" s="288"/>
      <c r="K711" s="294"/>
      <c r="L711" s="294"/>
      <c r="M711" s="290"/>
      <c r="N711" s="285"/>
      <c r="O711" s="299"/>
      <c r="P711" s="300"/>
      <c r="Q711" s="424"/>
      <c r="R711" s="424"/>
      <c r="S711" s="198"/>
      <c r="T711" s="198"/>
      <c r="U711" s="198"/>
      <c r="V711" s="198"/>
      <c r="W711" s="198"/>
      <c r="X711" s="198"/>
      <c r="Y711" s="198"/>
      <c r="Z711" s="198"/>
    </row>
    <row r="712" ht="60.0" customHeight="1">
      <c r="A712" s="284"/>
      <c r="B712" s="299"/>
      <c r="C712" s="285"/>
      <c r="D712" s="285"/>
      <c r="E712" s="287"/>
      <c r="F712" s="288"/>
      <c r="G712" s="288"/>
      <c r="H712" s="288"/>
      <c r="I712" s="285"/>
      <c r="J712" s="288"/>
      <c r="K712" s="294"/>
      <c r="L712" s="294"/>
      <c r="M712" s="290"/>
      <c r="N712" s="285"/>
      <c r="O712" s="299"/>
      <c r="P712" s="300"/>
      <c r="Q712" s="424"/>
      <c r="R712" s="424"/>
      <c r="S712" s="198"/>
      <c r="T712" s="198"/>
      <c r="U712" s="198"/>
      <c r="V712" s="198"/>
      <c r="W712" s="198"/>
      <c r="X712" s="198"/>
      <c r="Y712" s="198"/>
      <c r="Z712" s="198"/>
    </row>
    <row r="713" ht="57.75" customHeight="1">
      <c r="A713" s="284"/>
      <c r="B713" s="285"/>
      <c r="C713" s="285"/>
      <c r="D713" s="285"/>
      <c r="E713" s="287"/>
      <c r="F713" s="288"/>
      <c r="G713" s="288"/>
      <c r="H713" s="288"/>
      <c r="I713" s="285"/>
      <c r="J713" s="288"/>
      <c r="K713" s="294"/>
      <c r="L713" s="294"/>
      <c r="M713" s="290"/>
      <c r="N713" s="285"/>
      <c r="O713" s="299"/>
      <c r="P713" s="300"/>
      <c r="Q713" s="424"/>
      <c r="R713" s="424"/>
      <c r="S713" s="198"/>
      <c r="T713" s="198"/>
      <c r="U713" s="198"/>
      <c r="V713" s="198"/>
      <c r="W713" s="198"/>
      <c r="X713" s="198"/>
      <c r="Y713" s="198"/>
      <c r="Z713" s="198"/>
    </row>
    <row r="714" ht="54.0" customHeight="1">
      <c r="A714" s="284"/>
      <c r="B714" s="285"/>
      <c r="C714" s="285"/>
      <c r="D714" s="285"/>
      <c r="E714" s="287"/>
      <c r="F714" s="288"/>
      <c r="G714" s="288"/>
      <c r="H714" s="288"/>
      <c r="I714" s="285"/>
      <c r="J714" s="288"/>
      <c r="K714" s="294"/>
      <c r="L714" s="294"/>
      <c r="M714" s="290"/>
      <c r="N714" s="285"/>
      <c r="O714" s="299"/>
      <c r="P714" s="300"/>
      <c r="Q714" s="424"/>
      <c r="R714" s="424"/>
      <c r="S714" s="198"/>
      <c r="T714" s="198"/>
      <c r="U714" s="198"/>
      <c r="V714" s="198"/>
      <c r="W714" s="198"/>
      <c r="X714" s="198"/>
      <c r="Y714" s="198"/>
      <c r="Z714" s="198"/>
    </row>
    <row r="715" ht="54.0" customHeight="1">
      <c r="A715" s="284"/>
      <c r="B715" s="285"/>
      <c r="C715" s="285"/>
      <c r="D715" s="285"/>
      <c r="E715" s="287"/>
      <c r="F715" s="288"/>
      <c r="G715" s="288"/>
      <c r="H715" s="288"/>
      <c r="I715" s="285"/>
      <c r="J715" s="288"/>
      <c r="K715" s="294"/>
      <c r="L715" s="294"/>
      <c r="M715" s="290"/>
      <c r="N715" s="285"/>
      <c r="O715" s="299"/>
      <c r="P715" s="300"/>
      <c r="Q715" s="424"/>
      <c r="R715" s="424"/>
      <c r="S715" s="198"/>
      <c r="T715" s="198"/>
      <c r="U715" s="198"/>
      <c r="V715" s="198"/>
      <c r="W715" s="198"/>
      <c r="X715" s="198"/>
      <c r="Y715" s="198"/>
      <c r="Z715" s="198"/>
    </row>
    <row r="716" ht="58.5" customHeight="1">
      <c r="A716" s="284"/>
      <c r="B716" s="285"/>
      <c r="C716" s="285"/>
      <c r="D716" s="285"/>
      <c r="E716" s="287"/>
      <c r="F716" s="288"/>
      <c r="G716" s="372"/>
      <c r="H716" s="372"/>
      <c r="I716" s="285"/>
      <c r="J716" s="288"/>
      <c r="K716" s="294"/>
      <c r="L716" s="294"/>
      <c r="M716" s="290"/>
      <c r="N716" s="285"/>
      <c r="O716" s="299"/>
      <c r="P716" s="300"/>
      <c r="Q716" s="424"/>
      <c r="R716" s="424"/>
      <c r="S716" s="198"/>
      <c r="T716" s="198"/>
      <c r="U716" s="198"/>
      <c r="V716" s="198"/>
      <c r="W716" s="198"/>
      <c r="X716" s="198"/>
      <c r="Y716" s="198"/>
      <c r="Z716" s="198"/>
    </row>
    <row r="717" ht="54.0" customHeight="1">
      <c r="A717" s="284"/>
      <c r="B717" s="285"/>
      <c r="C717" s="299"/>
      <c r="D717" s="285"/>
      <c r="E717" s="287"/>
      <c r="F717" s="288"/>
      <c r="G717" s="288"/>
      <c r="H717" s="288"/>
      <c r="I717" s="285"/>
      <c r="J717" s="285"/>
      <c r="K717" s="294"/>
      <c r="L717" s="294"/>
      <c r="M717" s="290"/>
      <c r="N717" s="285"/>
      <c r="O717" s="299"/>
      <c r="P717" s="300"/>
      <c r="Q717" s="424"/>
      <c r="R717" s="424"/>
      <c r="S717" s="198"/>
      <c r="T717" s="198"/>
      <c r="U717" s="198"/>
      <c r="V717" s="198"/>
      <c r="W717" s="198"/>
      <c r="X717" s="198"/>
      <c r="Y717" s="198"/>
      <c r="Z717" s="198"/>
    </row>
    <row r="718" ht="69.75" customHeight="1">
      <c r="A718" s="284"/>
      <c r="B718" s="285"/>
      <c r="C718" s="299"/>
      <c r="D718" s="285"/>
      <c r="E718" s="287"/>
      <c r="F718" s="288"/>
      <c r="G718" s="288"/>
      <c r="H718" s="288"/>
      <c r="I718" s="285"/>
      <c r="J718" s="288"/>
      <c r="K718" s="294"/>
      <c r="L718" s="294"/>
      <c r="M718" s="290"/>
      <c r="N718" s="285"/>
      <c r="O718" s="299"/>
      <c r="P718" s="300"/>
      <c r="Q718" s="424"/>
      <c r="R718" s="424"/>
      <c r="S718" s="198"/>
      <c r="T718" s="198"/>
      <c r="U718" s="198"/>
      <c r="V718" s="198"/>
      <c r="W718" s="198"/>
      <c r="X718" s="198"/>
      <c r="Y718" s="198"/>
      <c r="Z718" s="198"/>
    </row>
    <row r="719" ht="54.0" customHeight="1">
      <c r="A719" s="284"/>
      <c r="B719" s="285"/>
      <c r="C719" s="299"/>
      <c r="D719" s="285"/>
      <c r="E719" s="287"/>
      <c r="F719" s="288"/>
      <c r="G719" s="288"/>
      <c r="H719" s="288"/>
      <c r="I719" s="285"/>
      <c r="J719" s="285"/>
      <c r="K719" s="294"/>
      <c r="L719" s="294"/>
      <c r="M719" s="290"/>
      <c r="N719" s="285"/>
      <c r="O719" s="299"/>
      <c r="P719" s="300"/>
      <c r="Q719" s="424"/>
      <c r="R719" s="424"/>
      <c r="S719" s="198"/>
      <c r="T719" s="198"/>
      <c r="U719" s="198"/>
      <c r="V719" s="198"/>
      <c r="W719" s="198"/>
      <c r="X719" s="198"/>
      <c r="Y719" s="198"/>
      <c r="Z719" s="198"/>
    </row>
    <row r="720" ht="69.0" customHeight="1">
      <c r="A720" s="284"/>
      <c r="B720" s="285"/>
      <c r="C720" s="299"/>
      <c r="D720" s="285"/>
      <c r="E720" s="287"/>
      <c r="F720" s="288"/>
      <c r="G720" s="288"/>
      <c r="H720" s="288"/>
      <c r="I720" s="285"/>
      <c r="J720" s="285"/>
      <c r="K720" s="294"/>
      <c r="L720" s="294"/>
      <c r="M720" s="290"/>
      <c r="N720" s="285"/>
      <c r="O720" s="299"/>
      <c r="P720" s="300"/>
      <c r="Q720" s="424"/>
      <c r="R720" s="424"/>
      <c r="S720" s="198"/>
      <c r="T720" s="198"/>
      <c r="U720" s="198"/>
      <c r="V720" s="198"/>
      <c r="W720" s="198"/>
      <c r="X720" s="198"/>
      <c r="Y720" s="198"/>
      <c r="Z720" s="198"/>
    </row>
    <row r="721" ht="54.75" customHeight="1">
      <c r="A721" s="284"/>
      <c r="B721" s="285"/>
      <c r="C721" s="285"/>
      <c r="D721" s="285"/>
      <c r="E721" s="287"/>
      <c r="F721" s="288"/>
      <c r="G721" s="372"/>
      <c r="H721" s="372"/>
      <c r="I721" s="285"/>
      <c r="J721" s="288"/>
      <c r="K721" s="294"/>
      <c r="L721" s="294"/>
      <c r="M721" s="290"/>
      <c r="N721" s="285"/>
      <c r="O721" s="299"/>
      <c r="P721" s="300"/>
      <c r="Q721" s="424"/>
      <c r="R721" s="424"/>
      <c r="S721" s="198"/>
      <c r="T721" s="198"/>
      <c r="U721" s="198"/>
      <c r="V721" s="198"/>
      <c r="W721" s="198"/>
      <c r="X721" s="198"/>
      <c r="Y721" s="198"/>
      <c r="Z721" s="198"/>
    </row>
    <row r="722" ht="58.5" customHeight="1">
      <c r="A722" s="284"/>
      <c r="B722" s="299"/>
      <c r="C722" s="285"/>
      <c r="D722" s="285"/>
      <c r="E722" s="287"/>
      <c r="F722" s="288"/>
      <c r="G722" s="288"/>
      <c r="H722" s="288"/>
      <c r="I722" s="285"/>
      <c r="J722" s="288"/>
      <c r="K722" s="294"/>
      <c r="L722" s="294"/>
      <c r="M722" s="290"/>
      <c r="N722" s="285"/>
      <c r="O722" s="299"/>
      <c r="P722" s="300"/>
      <c r="Q722" s="424"/>
      <c r="R722" s="424"/>
      <c r="S722" s="198"/>
      <c r="T722" s="198"/>
      <c r="U722" s="198"/>
      <c r="V722" s="198"/>
      <c r="W722" s="198"/>
      <c r="X722" s="198"/>
      <c r="Y722" s="198"/>
      <c r="Z722" s="198"/>
    </row>
    <row r="723" ht="54.75" customHeight="1">
      <c r="A723" s="284"/>
      <c r="B723" s="299"/>
      <c r="C723" s="285"/>
      <c r="D723" s="285"/>
      <c r="E723" s="287"/>
      <c r="F723" s="288"/>
      <c r="G723" s="299"/>
      <c r="H723" s="372"/>
      <c r="I723" s="285"/>
      <c r="J723" s="372"/>
      <c r="K723" s="294"/>
      <c r="L723" s="294"/>
      <c r="M723" s="290"/>
      <c r="N723" s="285"/>
      <c r="O723" s="299"/>
      <c r="P723" s="300"/>
      <c r="Q723" s="424"/>
      <c r="R723" s="424"/>
      <c r="S723" s="198"/>
      <c r="T723" s="198"/>
      <c r="U723" s="198"/>
      <c r="V723" s="198"/>
      <c r="W723" s="198"/>
      <c r="X723" s="198"/>
      <c r="Y723" s="198"/>
      <c r="Z723" s="198"/>
    </row>
    <row r="724" ht="54.0" customHeight="1">
      <c r="A724" s="284"/>
      <c r="B724" s="299"/>
      <c r="C724" s="285"/>
      <c r="D724" s="285"/>
      <c r="E724" s="287"/>
      <c r="F724" s="288"/>
      <c r="G724" s="372"/>
      <c r="H724" s="372"/>
      <c r="I724" s="285"/>
      <c r="J724" s="372"/>
      <c r="K724" s="294"/>
      <c r="L724" s="294"/>
      <c r="M724" s="290"/>
      <c r="N724" s="285"/>
      <c r="O724" s="299"/>
      <c r="P724" s="300"/>
      <c r="Q724" s="424"/>
      <c r="R724" s="424"/>
      <c r="S724" s="198"/>
      <c r="T724" s="198"/>
      <c r="U724" s="198"/>
      <c r="V724" s="198"/>
      <c r="W724" s="198"/>
      <c r="X724" s="198"/>
      <c r="Y724" s="198"/>
      <c r="Z724" s="198"/>
    </row>
    <row r="725" ht="54.0" customHeight="1">
      <c r="A725" s="284"/>
      <c r="B725" s="299"/>
      <c r="C725" s="285"/>
      <c r="D725" s="285"/>
      <c r="E725" s="287"/>
      <c r="F725" s="288"/>
      <c r="G725" s="372"/>
      <c r="H725" s="372"/>
      <c r="I725" s="285"/>
      <c r="J725" s="372"/>
      <c r="K725" s="294"/>
      <c r="L725" s="294"/>
      <c r="M725" s="290"/>
      <c r="N725" s="285"/>
      <c r="O725" s="299"/>
      <c r="P725" s="300"/>
      <c r="Q725" s="424"/>
      <c r="R725" s="424"/>
      <c r="S725" s="198"/>
      <c r="T725" s="198"/>
      <c r="U725" s="198"/>
      <c r="V725" s="198"/>
      <c r="W725" s="198"/>
      <c r="X725" s="198"/>
      <c r="Y725" s="198"/>
      <c r="Z725" s="198"/>
    </row>
    <row r="726" ht="54.0" customHeight="1">
      <c r="A726" s="284"/>
      <c r="B726" s="285"/>
      <c r="C726" s="285"/>
      <c r="D726" s="285"/>
      <c r="E726" s="287"/>
      <c r="F726" s="288"/>
      <c r="G726" s="288"/>
      <c r="H726" s="288"/>
      <c r="I726" s="285"/>
      <c r="J726" s="288"/>
      <c r="K726" s="294"/>
      <c r="L726" s="294"/>
      <c r="M726" s="290"/>
      <c r="N726" s="285"/>
      <c r="O726" s="299"/>
      <c r="P726" s="300"/>
      <c r="Q726" s="424"/>
      <c r="R726" s="424"/>
      <c r="S726" s="198"/>
      <c r="T726" s="198"/>
      <c r="U726" s="198"/>
      <c r="V726" s="198"/>
      <c r="W726" s="198"/>
      <c r="X726" s="198"/>
      <c r="Y726" s="198"/>
      <c r="Z726" s="198"/>
    </row>
    <row r="727" ht="54.0" customHeight="1">
      <c r="A727" s="284"/>
      <c r="B727" s="285"/>
      <c r="C727" s="285"/>
      <c r="D727" s="285"/>
      <c r="E727" s="287"/>
      <c r="F727" s="288"/>
      <c r="G727" s="372"/>
      <c r="H727" s="372"/>
      <c r="I727" s="285"/>
      <c r="J727" s="288"/>
      <c r="K727" s="294"/>
      <c r="L727" s="294"/>
      <c r="M727" s="290"/>
      <c r="N727" s="285"/>
      <c r="O727" s="299"/>
      <c r="P727" s="300"/>
      <c r="Q727" s="424"/>
      <c r="R727" s="424"/>
      <c r="S727" s="198"/>
      <c r="T727" s="198"/>
      <c r="U727" s="198"/>
      <c r="V727" s="198"/>
      <c r="W727" s="198"/>
      <c r="X727" s="198"/>
      <c r="Y727" s="198"/>
      <c r="Z727" s="198"/>
    </row>
    <row r="728" ht="54.0" customHeight="1">
      <c r="A728" s="284"/>
      <c r="B728" s="285"/>
      <c r="C728" s="285"/>
      <c r="D728" s="285"/>
      <c r="E728" s="287"/>
      <c r="F728" s="288"/>
      <c r="G728" s="288"/>
      <c r="H728" s="288"/>
      <c r="I728" s="285"/>
      <c r="J728" s="288"/>
      <c r="K728" s="294"/>
      <c r="L728" s="294"/>
      <c r="M728" s="290"/>
      <c r="N728" s="285"/>
      <c r="O728" s="299"/>
      <c r="P728" s="300"/>
      <c r="Q728" s="424"/>
      <c r="R728" s="424"/>
      <c r="S728" s="198"/>
      <c r="T728" s="198"/>
      <c r="U728" s="198"/>
      <c r="V728" s="198"/>
      <c r="W728" s="198"/>
      <c r="X728" s="198"/>
      <c r="Y728" s="198"/>
      <c r="Z728" s="198"/>
    </row>
    <row r="729" ht="59.25" customHeight="1">
      <c r="A729" s="284"/>
      <c r="B729" s="285"/>
      <c r="C729" s="285"/>
      <c r="D729" s="285"/>
      <c r="E729" s="287"/>
      <c r="F729" s="288"/>
      <c r="G729" s="288"/>
      <c r="H729" s="288"/>
      <c r="I729" s="285"/>
      <c r="J729" s="288"/>
      <c r="K729" s="294"/>
      <c r="L729" s="294"/>
      <c r="M729" s="290"/>
      <c r="N729" s="285"/>
      <c r="O729" s="299"/>
      <c r="P729" s="300"/>
      <c r="Q729" s="424"/>
      <c r="R729" s="424"/>
      <c r="S729" s="198"/>
      <c r="T729" s="198"/>
      <c r="U729" s="198"/>
      <c r="V729" s="198"/>
      <c r="W729" s="198"/>
      <c r="X729" s="198"/>
      <c r="Y729" s="198"/>
      <c r="Z729" s="198"/>
    </row>
    <row r="730" ht="54.0" customHeight="1">
      <c r="A730" s="284"/>
      <c r="B730" s="285"/>
      <c r="C730" s="285"/>
      <c r="D730" s="285"/>
      <c r="E730" s="287"/>
      <c r="F730" s="288"/>
      <c r="G730" s="288"/>
      <c r="H730" s="288"/>
      <c r="I730" s="285"/>
      <c r="J730" s="288"/>
      <c r="K730" s="294"/>
      <c r="L730" s="294"/>
      <c r="M730" s="290"/>
      <c r="N730" s="285"/>
      <c r="O730" s="299"/>
      <c r="P730" s="300"/>
      <c r="Q730" s="424"/>
      <c r="R730" s="424"/>
      <c r="S730" s="198"/>
      <c r="T730" s="198"/>
      <c r="U730" s="198"/>
      <c r="V730" s="198"/>
      <c r="W730" s="198"/>
      <c r="X730" s="198"/>
      <c r="Y730" s="198"/>
      <c r="Z730" s="198"/>
    </row>
    <row r="731" ht="54.0" customHeight="1">
      <c r="A731" s="284"/>
      <c r="B731" s="285"/>
      <c r="C731" s="285"/>
      <c r="D731" s="285"/>
      <c r="E731" s="287"/>
      <c r="F731" s="288"/>
      <c r="G731" s="372"/>
      <c r="H731" s="372"/>
      <c r="I731" s="285"/>
      <c r="J731" s="288"/>
      <c r="K731" s="294"/>
      <c r="L731" s="294"/>
      <c r="M731" s="290"/>
      <c r="N731" s="285"/>
      <c r="O731" s="299"/>
      <c r="P731" s="300"/>
      <c r="Q731" s="424"/>
      <c r="R731" s="424"/>
      <c r="S731" s="198"/>
      <c r="T731" s="198"/>
      <c r="U731" s="198"/>
      <c r="V731" s="198"/>
      <c r="W731" s="198"/>
      <c r="X731" s="198"/>
      <c r="Y731" s="198"/>
      <c r="Z731" s="198"/>
    </row>
    <row r="732" ht="54.0" customHeight="1">
      <c r="A732" s="284"/>
      <c r="B732" s="285"/>
      <c r="C732" s="299"/>
      <c r="D732" s="285"/>
      <c r="E732" s="287"/>
      <c r="F732" s="288"/>
      <c r="G732" s="372"/>
      <c r="H732" s="372"/>
      <c r="I732" s="285"/>
      <c r="J732" s="288"/>
      <c r="K732" s="294"/>
      <c r="L732" s="294"/>
      <c r="M732" s="290"/>
      <c r="N732" s="285"/>
      <c r="O732" s="299"/>
      <c r="P732" s="300"/>
      <c r="Q732" s="424"/>
      <c r="R732" s="424"/>
      <c r="S732" s="198"/>
      <c r="T732" s="198"/>
      <c r="U732" s="198"/>
      <c r="V732" s="198"/>
      <c r="W732" s="198"/>
      <c r="X732" s="198"/>
      <c r="Y732" s="198"/>
      <c r="Z732" s="198"/>
    </row>
    <row r="733" ht="58.5" customHeight="1">
      <c r="A733" s="284"/>
      <c r="B733" s="285"/>
      <c r="C733" s="299"/>
      <c r="D733" s="285"/>
      <c r="E733" s="287"/>
      <c r="F733" s="288"/>
      <c r="G733" s="372"/>
      <c r="H733" s="372"/>
      <c r="I733" s="285"/>
      <c r="J733" s="288"/>
      <c r="K733" s="294"/>
      <c r="L733" s="294"/>
      <c r="M733" s="290"/>
      <c r="N733" s="285"/>
      <c r="O733" s="299"/>
      <c r="P733" s="300"/>
      <c r="Q733" s="424"/>
      <c r="R733" s="424"/>
      <c r="S733" s="198"/>
      <c r="T733" s="198"/>
      <c r="U733" s="198"/>
      <c r="V733" s="198"/>
      <c r="W733" s="198"/>
      <c r="X733" s="198"/>
      <c r="Y733" s="198"/>
      <c r="Z733" s="198"/>
    </row>
    <row r="734" ht="54.0" customHeight="1">
      <c r="A734" s="284"/>
      <c r="B734" s="285"/>
      <c r="C734" s="285"/>
      <c r="D734" s="285"/>
      <c r="E734" s="287"/>
      <c r="F734" s="372"/>
      <c r="G734" s="288"/>
      <c r="H734" s="288"/>
      <c r="I734" s="285"/>
      <c r="J734" s="299"/>
      <c r="K734" s="294"/>
      <c r="L734" s="294"/>
      <c r="M734" s="290"/>
      <c r="N734" s="285"/>
      <c r="O734" s="299"/>
      <c r="P734" s="300"/>
      <c r="Q734" s="424"/>
      <c r="R734" s="424"/>
      <c r="S734" s="198"/>
      <c r="T734" s="198"/>
      <c r="U734" s="198"/>
      <c r="V734" s="198"/>
      <c r="W734" s="198"/>
      <c r="X734" s="198"/>
      <c r="Y734" s="198"/>
      <c r="Z734" s="198"/>
    </row>
    <row r="735" ht="59.25" customHeight="1">
      <c r="A735" s="284"/>
      <c r="B735" s="285"/>
      <c r="C735" s="299"/>
      <c r="D735" s="285"/>
      <c r="E735" s="287"/>
      <c r="F735" s="288"/>
      <c r="G735" s="288"/>
      <c r="H735" s="288"/>
      <c r="I735" s="285"/>
      <c r="J735" s="288"/>
      <c r="K735" s="294"/>
      <c r="L735" s="294"/>
      <c r="M735" s="290"/>
      <c r="N735" s="285"/>
      <c r="O735" s="299"/>
      <c r="P735" s="300"/>
      <c r="Q735" s="424"/>
      <c r="R735" s="424"/>
      <c r="S735" s="198"/>
      <c r="T735" s="198"/>
      <c r="U735" s="198"/>
      <c r="V735" s="198"/>
      <c r="W735" s="198"/>
      <c r="X735" s="198"/>
      <c r="Y735" s="198"/>
      <c r="Z735" s="198"/>
    </row>
    <row r="736" ht="55.5" customHeight="1">
      <c r="A736" s="284"/>
      <c r="B736" s="285"/>
      <c r="C736" s="299"/>
      <c r="D736" s="285"/>
      <c r="E736" s="287"/>
      <c r="F736" s="288"/>
      <c r="G736" s="288"/>
      <c r="H736" s="288"/>
      <c r="I736" s="285"/>
      <c r="J736" s="288"/>
      <c r="K736" s="294"/>
      <c r="L736" s="294"/>
      <c r="M736" s="290"/>
      <c r="N736" s="285"/>
      <c r="O736" s="299"/>
      <c r="P736" s="300"/>
      <c r="Q736" s="424"/>
      <c r="R736" s="424"/>
      <c r="S736" s="198"/>
      <c r="T736" s="198"/>
      <c r="U736" s="198"/>
      <c r="V736" s="198"/>
      <c r="W736" s="198"/>
      <c r="X736" s="198"/>
      <c r="Y736" s="198"/>
      <c r="Z736" s="198"/>
    </row>
    <row r="737" ht="54.0" customHeight="1">
      <c r="A737" s="284"/>
      <c r="B737" s="285"/>
      <c r="C737" s="299"/>
      <c r="D737" s="285"/>
      <c r="E737" s="287"/>
      <c r="F737" s="372"/>
      <c r="G737" s="372"/>
      <c r="H737" s="372"/>
      <c r="I737" s="285"/>
      <c r="J737" s="372"/>
      <c r="K737" s="294"/>
      <c r="L737" s="294"/>
      <c r="M737" s="290"/>
      <c r="N737" s="285"/>
      <c r="O737" s="299"/>
      <c r="P737" s="300"/>
      <c r="Q737" s="424"/>
      <c r="R737" s="424"/>
      <c r="S737" s="198"/>
      <c r="T737" s="198"/>
      <c r="U737" s="198"/>
      <c r="V737" s="198"/>
      <c r="W737" s="198"/>
      <c r="X737" s="198"/>
      <c r="Y737" s="198"/>
      <c r="Z737" s="198"/>
    </row>
    <row r="738" ht="56.25" customHeight="1">
      <c r="A738" s="284"/>
      <c r="B738" s="285"/>
      <c r="C738" s="299"/>
      <c r="D738" s="285"/>
      <c r="E738" s="287"/>
      <c r="F738" s="288"/>
      <c r="G738" s="288"/>
      <c r="H738" s="288"/>
      <c r="I738" s="285"/>
      <c r="J738" s="288"/>
      <c r="K738" s="294"/>
      <c r="L738" s="294"/>
      <c r="M738" s="290"/>
      <c r="N738" s="285"/>
      <c r="O738" s="299"/>
      <c r="P738" s="300"/>
      <c r="Q738" s="424"/>
      <c r="R738" s="424"/>
      <c r="S738" s="198"/>
      <c r="T738" s="198"/>
      <c r="U738" s="198"/>
      <c r="V738" s="198"/>
      <c r="W738" s="198"/>
      <c r="X738" s="198"/>
      <c r="Y738" s="198"/>
      <c r="Z738" s="198"/>
    </row>
    <row r="739" ht="68.25" customHeight="1">
      <c r="A739" s="284"/>
      <c r="B739" s="285"/>
      <c r="C739" s="299"/>
      <c r="D739" s="371"/>
      <c r="E739" s="287"/>
      <c r="F739" s="288"/>
      <c r="G739" s="288"/>
      <c r="H739" s="288"/>
      <c r="I739" s="285"/>
      <c r="J739" s="285"/>
      <c r="K739" s="285"/>
      <c r="L739" s="285"/>
      <c r="M739" s="290"/>
      <c r="N739" s="285"/>
      <c r="O739" s="299"/>
      <c r="P739" s="300"/>
      <c r="Q739" s="424"/>
      <c r="R739" s="424"/>
      <c r="S739" s="198"/>
      <c r="T739" s="198"/>
      <c r="U739" s="198"/>
      <c r="V739" s="198"/>
      <c r="W739" s="198"/>
      <c r="X739" s="198"/>
      <c r="Y739" s="198"/>
      <c r="Z739" s="198"/>
    </row>
    <row r="740" ht="70.5" customHeight="1">
      <c r="A740" s="540"/>
      <c r="B740" s="541"/>
      <c r="C740" s="542"/>
      <c r="D740" s="541"/>
      <c r="E740" s="543"/>
      <c r="F740" s="544"/>
      <c r="G740" s="544"/>
      <c r="H740" s="544"/>
      <c r="I740" s="541"/>
      <c r="J740" s="544"/>
      <c r="K740" s="541"/>
      <c r="L740" s="541"/>
      <c r="M740" s="545"/>
      <c r="N740" s="541"/>
      <c r="O740" s="542"/>
      <c r="P740" s="546"/>
      <c r="Q740" s="424"/>
      <c r="R740" s="424"/>
      <c r="S740" s="198"/>
      <c r="T740" s="198"/>
      <c r="U740" s="198"/>
      <c r="V740" s="198"/>
      <c r="W740" s="198"/>
      <c r="X740" s="198"/>
      <c r="Y740" s="198"/>
      <c r="Z740" s="198"/>
    </row>
    <row r="741" ht="12.75" customHeight="1">
      <c r="F741" s="385"/>
      <c r="I741" s="385"/>
      <c r="K741" s="552"/>
      <c r="L741" s="487"/>
      <c r="Q741" s="553"/>
      <c r="R741" s="554"/>
    </row>
    <row r="742" ht="12.75" customHeight="1">
      <c r="F742" s="385"/>
      <c r="I742" s="385"/>
      <c r="K742" s="552"/>
      <c r="L742" s="487"/>
      <c r="Q742" s="553"/>
      <c r="R742" s="554"/>
    </row>
    <row r="743" ht="12.75" customHeight="1">
      <c r="F743" s="385"/>
      <c r="I743" s="385"/>
      <c r="K743" s="552"/>
      <c r="L743" s="487"/>
      <c r="Q743" s="553"/>
      <c r="R743" s="554"/>
    </row>
    <row r="744" ht="12.75" customHeight="1">
      <c r="F744" s="385"/>
      <c r="I744" s="385"/>
      <c r="K744" s="552"/>
      <c r="L744" s="487"/>
      <c r="Q744" s="553"/>
      <c r="R744" s="554"/>
    </row>
    <row r="745" ht="12.75" customHeight="1">
      <c r="F745" s="385"/>
      <c r="I745" s="385"/>
      <c r="K745" s="552"/>
      <c r="L745" s="487"/>
      <c r="Q745" s="553"/>
      <c r="R745" s="554"/>
    </row>
    <row r="746" ht="12.75" customHeight="1">
      <c r="F746" s="385"/>
      <c r="I746" s="385"/>
      <c r="K746" s="552"/>
      <c r="L746" s="487"/>
      <c r="Q746" s="553"/>
      <c r="R746" s="554"/>
    </row>
    <row r="747" ht="12.75" customHeight="1">
      <c r="F747" s="385"/>
      <c r="I747" s="385"/>
      <c r="K747" s="552"/>
      <c r="L747" s="487"/>
      <c r="Q747" s="553"/>
      <c r="R747" s="554"/>
    </row>
    <row r="748" ht="12.75" customHeight="1">
      <c r="F748" s="385"/>
      <c r="I748" s="385"/>
      <c r="K748" s="552"/>
      <c r="L748" s="487"/>
      <c r="Q748" s="553"/>
      <c r="R748" s="554"/>
    </row>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68C8BD8-0AC8-4474-A1AC-D148C94E75F1}" filter="1" showAutoFilter="1">
      <autoFilter ref="$A$2:$Z$733">
        <sortState ref="A2:Z733">
          <sortCondition descending="1" ref="F2:F733"/>
        </sortState>
      </autoFilter>
      <extLst>
        <ext uri="GoogleSheetsCustomDataVersion1">
          <go:sheetsCustomData xmlns:go="http://customooxmlschemas.google.com/" filterViewId="167238829"/>
        </ext>
      </extLst>
    </customSheetView>
    <customSheetView guid="{D323515A-3346-4B3A-AC6E-D498D2CE12A3}" filter="1" showAutoFilter="1">
      <autoFilter ref="$A$2:$Z$733">
        <sortState ref="A2:Z733">
          <sortCondition descending="1" ref="F2:F733"/>
        </sortState>
      </autoFilter>
      <extLst>
        <ext uri="GoogleSheetsCustomDataVersion1">
          <go:sheetsCustomData xmlns:go="http://customooxmlschemas.google.com/" filterViewId="1689611470"/>
        </ext>
      </extLst>
    </customSheetView>
    <customSheetView guid="{00B2829D-B7E0-4616-9A59-3B9A6276FFD8}" filter="1" showAutoFilter="1">
      <autoFilter ref="$A$2:$Z$733">
        <sortState ref="A2:Z733">
          <sortCondition descending="1" ref="F2:F733"/>
        </sortState>
      </autoFilter>
      <extLst>
        <ext uri="GoogleSheetsCustomDataVersion1">
          <go:sheetsCustomData xmlns:go="http://customooxmlschemas.google.com/" filterViewId="1846663719"/>
        </ext>
      </extLst>
    </customSheetView>
    <customSheetView guid="{20EEC496-0D08-4E73-A8E0-60C165BF345B}" filter="1" showAutoFilter="1">
      <autoFilter ref="$A$2:$Z$740"/>
      <extLst>
        <ext uri="GoogleSheetsCustomDataVersion1">
          <go:sheetsCustomData xmlns:go="http://customooxmlschemas.google.com/" filterViewId="2135509260"/>
        </ext>
      </extLst>
    </customSheetView>
    <customSheetView guid="{7D5F711D-5A8F-448B-80F8-7ED115B7D700}" filter="1" showAutoFilter="1">
      <autoFilter ref="$A$2:$Z$733">
        <sortState ref="A2:Z733">
          <sortCondition descending="1" ref="F2:F733"/>
        </sortState>
      </autoFilter>
      <extLst>
        <ext uri="GoogleSheetsCustomDataVersion1">
          <go:sheetsCustomData xmlns:go="http://customooxmlschemas.google.com/" filterViewId="375882134"/>
        </ext>
      </extLst>
    </customSheetView>
    <customSheetView guid="{95BBA70E-041C-4252-8140-8C60EDD1FE61}" filter="1" showAutoFilter="1">
      <autoFilter ref="$A$2:$Z$733">
        <sortState ref="A2:Z733">
          <sortCondition descending="1" ref="F2:F733"/>
        </sortState>
      </autoFilter>
      <extLst>
        <ext uri="GoogleSheetsCustomDataVersion1">
          <go:sheetsCustomData xmlns:go="http://customooxmlschemas.google.com/" filterViewId="500797851"/>
        </ext>
      </extLst>
    </customSheetView>
  </customSheetViews>
  <conditionalFormatting sqref="A2:Z2">
    <cfRule type="notContainsBlanks" dxfId="0" priority="1">
      <formula>LEN(TRIM(A2))&gt;0</formula>
    </cfRule>
  </conditionalFormatting>
  <dataValidations>
    <dataValidation type="list" allowBlank="1" showErrorMessage="1" sqref="S3:S396">
      <formula1>"GC,GHC,OTHERS"</formula1>
    </dataValidation>
    <dataValidation type="list" allowBlank="1" showErrorMessage="1" sqref="R3:R548">
      <formula1>"Pt Agel,Sina"</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6"/>
    <hyperlink r:id="rId235" ref="A237"/>
    <hyperlink r:id="rId236" ref="A238"/>
    <hyperlink r:id="rId237" ref="A239"/>
    <hyperlink r:id="rId238" ref="A240"/>
    <hyperlink r:id="rId239" ref="A241"/>
    <hyperlink r:id="rId240" ref="A242"/>
    <hyperlink r:id="rId241" ref="A243"/>
    <hyperlink r:id="rId242" ref="A244"/>
    <hyperlink r:id="rId243" ref="A245"/>
    <hyperlink r:id="rId244" ref="A246"/>
    <hyperlink r:id="rId245" ref="A247"/>
    <hyperlink r:id="rId246" ref="A248"/>
    <hyperlink r:id="rId247" ref="A249"/>
    <hyperlink r:id="rId248" ref="A250"/>
    <hyperlink r:id="rId249" ref="A251"/>
    <hyperlink r:id="rId250" ref="A252"/>
    <hyperlink r:id="rId251" ref="A253"/>
    <hyperlink r:id="rId252" ref="A254"/>
    <hyperlink r:id="rId253" ref="A255"/>
    <hyperlink r:id="rId254" ref="A256"/>
    <hyperlink r:id="rId255" ref="A257"/>
    <hyperlink r:id="rId256" ref="A258"/>
    <hyperlink r:id="rId257" ref="A259"/>
    <hyperlink r:id="rId258" ref="A260"/>
    <hyperlink r:id="rId259" ref="A261"/>
    <hyperlink r:id="rId260" ref="A262"/>
    <hyperlink r:id="rId261" ref="A263"/>
    <hyperlink r:id="rId262" ref="A264"/>
    <hyperlink r:id="rId263" ref="A265"/>
    <hyperlink r:id="rId264" ref="A266"/>
    <hyperlink r:id="rId265" ref="A267"/>
    <hyperlink r:id="rId266" ref="A268"/>
    <hyperlink r:id="rId267" ref="A269"/>
    <hyperlink r:id="rId268" ref="A270"/>
    <hyperlink r:id="rId269" ref="A271"/>
    <hyperlink r:id="rId270" ref="A272"/>
    <hyperlink r:id="rId271" ref="A273"/>
    <hyperlink r:id="rId272" ref="A274"/>
    <hyperlink r:id="rId273" ref="A275"/>
    <hyperlink r:id="rId274" ref="A276"/>
    <hyperlink r:id="rId275" ref="A277"/>
    <hyperlink r:id="rId276" ref="A278"/>
    <hyperlink r:id="rId277" ref="A279"/>
    <hyperlink r:id="rId278" ref="A280"/>
    <hyperlink r:id="rId279" ref="A281"/>
    <hyperlink r:id="rId280" ref="A282"/>
    <hyperlink r:id="rId281" ref="A283"/>
    <hyperlink r:id="rId282" ref="A284"/>
    <hyperlink r:id="rId283" ref="A285"/>
    <hyperlink r:id="rId284" ref="A286"/>
    <hyperlink r:id="rId285" ref="A287"/>
    <hyperlink r:id="rId286" ref="A288"/>
    <hyperlink r:id="rId287" ref="A289"/>
    <hyperlink r:id="rId288" ref="A290"/>
    <hyperlink r:id="rId289" ref="A291"/>
    <hyperlink r:id="rId290" ref="A292"/>
    <hyperlink r:id="rId291" ref="A293"/>
    <hyperlink r:id="rId292" ref="A294"/>
    <hyperlink r:id="rId293" ref="A295"/>
    <hyperlink r:id="rId294" ref="A296"/>
    <hyperlink r:id="rId295" ref="A297"/>
    <hyperlink r:id="rId296" ref="A298"/>
    <hyperlink r:id="rId297" ref="A299"/>
    <hyperlink r:id="rId298" ref="A300"/>
    <hyperlink r:id="rId299" ref="A301"/>
    <hyperlink r:id="rId300" ref="A302"/>
    <hyperlink r:id="rId301" ref="A303"/>
    <hyperlink r:id="rId302" ref="A304"/>
    <hyperlink r:id="rId303" ref="A305"/>
    <hyperlink r:id="rId304" ref="A306"/>
    <hyperlink r:id="rId305" ref="A307"/>
    <hyperlink r:id="rId306" ref="A308"/>
    <hyperlink r:id="rId307" ref="A309"/>
    <hyperlink r:id="rId308" ref="A310"/>
    <hyperlink r:id="rId309" ref="A311"/>
    <hyperlink r:id="rId310" ref="A312"/>
    <hyperlink r:id="rId311" ref="A313"/>
    <hyperlink r:id="rId312" ref="A314"/>
    <hyperlink r:id="rId313" ref="A315"/>
    <hyperlink r:id="rId314" ref="A316"/>
    <hyperlink r:id="rId315" ref="A317"/>
    <hyperlink r:id="rId316" ref="A318"/>
    <hyperlink r:id="rId317" ref="A319"/>
    <hyperlink r:id="rId318" ref="A320"/>
    <hyperlink r:id="rId319" ref="A321"/>
    <hyperlink r:id="rId320" ref="A322"/>
    <hyperlink r:id="rId321" ref="A323"/>
    <hyperlink r:id="rId322" ref="A324"/>
    <hyperlink r:id="rId323" ref="A325"/>
    <hyperlink r:id="rId324" ref="A326"/>
    <hyperlink r:id="rId325" ref="A327"/>
    <hyperlink r:id="rId326" ref="A328"/>
    <hyperlink r:id="rId327" ref="A329"/>
    <hyperlink r:id="rId328" ref="A330"/>
    <hyperlink r:id="rId329" ref="A331"/>
    <hyperlink r:id="rId330" ref="A332"/>
    <hyperlink r:id="rId331" ref="A333"/>
    <hyperlink r:id="rId332" ref="A334"/>
    <hyperlink r:id="rId333" ref="A335"/>
    <hyperlink r:id="rId334" ref="A336"/>
    <hyperlink r:id="rId335" ref="A337"/>
    <hyperlink r:id="rId336" ref="A338"/>
    <hyperlink r:id="rId337" ref="A339"/>
    <hyperlink r:id="rId338" ref="A340"/>
    <hyperlink r:id="rId339" ref="A341"/>
    <hyperlink r:id="rId340" ref="A342"/>
    <hyperlink r:id="rId341" ref="A343"/>
    <hyperlink r:id="rId342" ref="A344"/>
    <hyperlink r:id="rId343" ref="A345"/>
    <hyperlink r:id="rId344" ref="A346"/>
    <hyperlink r:id="rId345" ref="A347"/>
    <hyperlink r:id="rId346" ref="A348"/>
    <hyperlink r:id="rId347" ref="A349"/>
    <hyperlink r:id="rId348" ref="A350"/>
    <hyperlink r:id="rId349" ref="A351"/>
    <hyperlink r:id="rId350" ref="A352"/>
    <hyperlink r:id="rId351" ref="A353"/>
    <hyperlink r:id="rId352" ref="A354"/>
    <hyperlink r:id="rId353" ref="A355"/>
    <hyperlink r:id="rId354" ref="A356"/>
    <hyperlink r:id="rId355" ref="A357"/>
    <hyperlink r:id="rId356" ref="A358"/>
    <hyperlink r:id="rId357" ref="A359"/>
    <hyperlink r:id="rId358" ref="A360"/>
    <hyperlink r:id="rId359" ref="A361"/>
    <hyperlink r:id="rId360" ref="A362"/>
    <hyperlink r:id="rId361" ref="A363"/>
    <hyperlink r:id="rId362" ref="A364"/>
    <hyperlink r:id="rId363" ref="A365"/>
    <hyperlink r:id="rId364" ref="A366"/>
    <hyperlink r:id="rId365" ref="A367"/>
    <hyperlink r:id="rId366" ref="A368"/>
    <hyperlink r:id="rId367" ref="A369"/>
    <hyperlink r:id="rId368" ref="A370"/>
    <hyperlink r:id="rId369" ref="A371"/>
    <hyperlink r:id="rId370" ref="A372"/>
    <hyperlink r:id="rId371" ref="A373"/>
    <hyperlink r:id="rId372" ref="A374"/>
    <hyperlink r:id="rId373" ref="A375"/>
    <hyperlink r:id="rId374" ref="A376"/>
    <hyperlink r:id="rId375" ref="A377"/>
    <hyperlink r:id="rId376" ref="A378"/>
    <hyperlink r:id="rId377" ref="A379"/>
    <hyperlink r:id="rId378" ref="A380"/>
    <hyperlink r:id="rId379" ref="A381"/>
    <hyperlink r:id="rId380" ref="A382"/>
    <hyperlink r:id="rId381" ref="A383"/>
    <hyperlink r:id="rId382" ref="A384"/>
    <hyperlink r:id="rId383" ref="A385"/>
    <hyperlink r:id="rId384" ref="A386"/>
    <hyperlink r:id="rId385" ref="A387"/>
    <hyperlink r:id="rId386" ref="A388"/>
    <hyperlink r:id="rId387" ref="A389"/>
    <hyperlink r:id="rId388" ref="A390"/>
    <hyperlink r:id="rId389" ref="A391"/>
    <hyperlink r:id="rId390" ref="A392"/>
    <hyperlink r:id="rId391" ref="A393"/>
    <hyperlink r:id="rId392" ref="A394"/>
    <hyperlink r:id="rId393" ref="A395"/>
    <hyperlink r:id="rId394" ref="A396"/>
  </hyperlinks>
  <printOptions gridLines="1" horizontalCentered="1"/>
  <pageMargins bottom="0.75" footer="0.0" header="0.0" left="0.7" right="0.7" top="0.75"/>
  <pageSetup fitToHeight="0" cellComments="atEnd" orientation="landscape" pageOrder="overThenDown"/>
  <drawing r:id="rId39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29"/>
    <col customWidth="1" min="2" max="2" width="14.14"/>
    <col customWidth="1" min="3" max="3" width="12.43"/>
    <col customWidth="1" min="4" max="4" width="18.43"/>
    <col customWidth="1" min="5" max="5" width="53.0"/>
    <col customWidth="1" min="6" max="6" width="13.29"/>
    <col customWidth="1" min="7" max="7" width="13.86"/>
    <col customWidth="1" min="8" max="8" width="14.0"/>
    <col customWidth="1" min="9" max="9" width="52.43"/>
    <col customWidth="1" min="10" max="10" width="13.43"/>
    <col customWidth="1" min="11" max="11" width="12.29"/>
    <col customWidth="1" min="12" max="12" width="40.29"/>
    <col customWidth="1" min="14" max="14" width="21.86"/>
  </cols>
  <sheetData>
    <row r="1" ht="40.5" customHeight="1">
      <c r="A1" s="353"/>
      <c r="B1" s="555" t="s">
        <v>5513</v>
      </c>
      <c r="C1" s="556"/>
      <c r="D1" s="269" t="s">
        <v>5514</v>
      </c>
      <c r="E1" s="557" t="s">
        <v>1674</v>
      </c>
      <c r="F1" s="557" t="s">
        <v>4630</v>
      </c>
      <c r="G1" s="558" t="s">
        <v>2106</v>
      </c>
      <c r="H1" s="557" t="s">
        <v>2107</v>
      </c>
      <c r="I1" s="558"/>
      <c r="J1" s="557"/>
      <c r="K1" s="557"/>
      <c r="L1" s="557"/>
      <c r="M1" s="559"/>
      <c r="N1" s="560"/>
      <c r="O1" s="560"/>
      <c r="P1" s="560"/>
      <c r="Q1" s="560"/>
      <c r="R1" s="560"/>
      <c r="S1" s="560"/>
      <c r="T1" s="560"/>
      <c r="U1" s="560"/>
      <c r="V1" s="560"/>
      <c r="W1" s="560"/>
      <c r="X1" s="560"/>
      <c r="Y1" s="560"/>
    </row>
    <row r="2" ht="39.0" customHeight="1">
      <c r="A2" s="277" t="s">
        <v>2108</v>
      </c>
      <c r="B2" s="522" t="s">
        <v>5515</v>
      </c>
      <c r="C2" s="277" t="s">
        <v>2110</v>
      </c>
      <c r="D2" s="277" t="s">
        <v>10</v>
      </c>
      <c r="E2" s="277" t="s">
        <v>11</v>
      </c>
      <c r="F2" s="277" t="s">
        <v>10132</v>
      </c>
      <c r="G2" s="280" t="s">
        <v>12</v>
      </c>
      <c r="H2" s="277" t="s">
        <v>10133</v>
      </c>
      <c r="I2" s="277" t="s">
        <v>9159</v>
      </c>
      <c r="J2" s="522" t="s">
        <v>2111</v>
      </c>
      <c r="K2" s="522" t="s">
        <v>2112</v>
      </c>
      <c r="L2" s="277" t="s">
        <v>2113</v>
      </c>
      <c r="M2" s="277" t="s">
        <v>9160</v>
      </c>
      <c r="N2" s="560"/>
      <c r="O2" s="560"/>
      <c r="P2" s="560"/>
      <c r="Q2" s="560"/>
      <c r="R2" s="560"/>
      <c r="S2" s="560"/>
      <c r="T2" s="560"/>
      <c r="U2" s="560"/>
      <c r="V2" s="560"/>
      <c r="W2" s="560"/>
      <c r="X2" s="560"/>
      <c r="Y2" s="560"/>
    </row>
    <row r="3" ht="84.0" customHeight="1">
      <c r="A3" s="370">
        <v>8.600003071E9</v>
      </c>
      <c r="B3" s="285" t="s">
        <v>21</v>
      </c>
      <c r="C3" s="285" t="s">
        <v>3420</v>
      </c>
      <c r="D3" s="285" t="s">
        <v>10134</v>
      </c>
      <c r="E3" s="290" t="s">
        <v>10135</v>
      </c>
      <c r="F3" s="288">
        <v>45657.0</v>
      </c>
      <c r="G3" s="288">
        <v>45652.0</v>
      </c>
      <c r="H3" s="288">
        <v>45666.0</v>
      </c>
      <c r="I3" s="288">
        <v>45666.0</v>
      </c>
      <c r="J3" s="428">
        <v>5599925.0</v>
      </c>
      <c r="K3" s="428" t="s">
        <v>10136</v>
      </c>
      <c r="L3" s="290" t="s">
        <v>10137</v>
      </c>
      <c r="M3" s="286">
        <f t="shared" ref="M3:M135" si="1">WEEKNUM(F3)</f>
        <v>53</v>
      </c>
      <c r="N3" s="342"/>
      <c r="O3" s="342"/>
      <c r="P3" s="342"/>
      <c r="Q3" s="342"/>
      <c r="R3" s="342"/>
      <c r="S3" s="342"/>
      <c r="T3" s="342"/>
      <c r="U3" s="342"/>
      <c r="V3" s="342"/>
      <c r="W3" s="342"/>
      <c r="X3" s="342"/>
      <c r="Y3" s="342"/>
    </row>
    <row r="4" ht="84.0" customHeight="1">
      <c r="A4" s="370">
        <v>8.500000289E9</v>
      </c>
      <c r="B4" s="299" t="s">
        <v>14</v>
      </c>
      <c r="C4" s="285" t="s">
        <v>3420</v>
      </c>
      <c r="D4" s="285" t="s">
        <v>10138</v>
      </c>
      <c r="E4" s="290" t="s">
        <v>8271</v>
      </c>
      <c r="F4" s="288">
        <v>45655.0</v>
      </c>
      <c r="G4" s="288">
        <v>45639.0</v>
      </c>
      <c r="H4" s="288">
        <v>45664.0</v>
      </c>
      <c r="I4" s="288">
        <v>45664.0</v>
      </c>
      <c r="J4" s="561"/>
      <c r="K4" s="561"/>
      <c r="L4" s="290" t="s">
        <v>10139</v>
      </c>
      <c r="M4" s="286">
        <f t="shared" si="1"/>
        <v>53</v>
      </c>
      <c r="N4" s="342"/>
      <c r="O4" s="342"/>
      <c r="P4" s="342"/>
      <c r="Q4" s="342"/>
      <c r="R4" s="342"/>
      <c r="S4" s="342"/>
      <c r="T4" s="342"/>
      <c r="U4" s="342"/>
      <c r="V4" s="342"/>
      <c r="W4" s="342"/>
      <c r="X4" s="342"/>
      <c r="Y4" s="342"/>
    </row>
    <row r="5" ht="84.0" customHeight="1">
      <c r="A5" s="370">
        <v>8.500000291E9</v>
      </c>
      <c r="B5" s="299" t="s">
        <v>14</v>
      </c>
      <c r="C5" s="285" t="s">
        <v>5530</v>
      </c>
      <c r="D5" s="285" t="s">
        <v>10140</v>
      </c>
      <c r="E5" s="290" t="s">
        <v>8183</v>
      </c>
      <c r="F5" s="288">
        <v>45645.0</v>
      </c>
      <c r="G5" s="288">
        <v>45653.0</v>
      </c>
      <c r="H5" s="288">
        <v>45653.0</v>
      </c>
      <c r="I5" s="285" t="s">
        <v>10141</v>
      </c>
      <c r="J5" s="561"/>
      <c r="K5" s="561"/>
      <c r="L5" s="290" t="s">
        <v>10142</v>
      </c>
      <c r="M5" s="286">
        <f t="shared" si="1"/>
        <v>51</v>
      </c>
      <c r="N5" s="342"/>
      <c r="O5" s="342"/>
      <c r="P5" s="342"/>
      <c r="Q5" s="342"/>
      <c r="R5" s="342"/>
      <c r="S5" s="342"/>
      <c r="T5" s="342"/>
      <c r="U5" s="342"/>
      <c r="V5" s="342"/>
      <c r="W5" s="342"/>
      <c r="X5" s="342"/>
      <c r="Y5" s="342"/>
    </row>
    <row r="6" ht="84.0" customHeight="1">
      <c r="A6" s="370">
        <v>8.600003034E9</v>
      </c>
      <c r="B6" s="299" t="s">
        <v>14</v>
      </c>
      <c r="C6" s="285" t="s">
        <v>5881</v>
      </c>
      <c r="D6" s="285" t="s">
        <v>10143</v>
      </c>
      <c r="E6" s="290" t="s">
        <v>10144</v>
      </c>
      <c r="F6" s="288">
        <v>45645.0</v>
      </c>
      <c r="G6" s="288">
        <v>45644.0</v>
      </c>
      <c r="H6" s="288">
        <v>45659.0</v>
      </c>
      <c r="I6" s="285" t="s">
        <v>10145</v>
      </c>
      <c r="J6" s="561"/>
      <c r="K6" s="561"/>
      <c r="L6" s="290" t="s">
        <v>10146</v>
      </c>
      <c r="M6" s="286">
        <f t="shared" si="1"/>
        <v>51</v>
      </c>
      <c r="N6" s="342"/>
      <c r="O6" s="342"/>
      <c r="P6" s="342"/>
      <c r="Q6" s="342"/>
      <c r="R6" s="342"/>
      <c r="S6" s="342"/>
      <c r="T6" s="342"/>
      <c r="U6" s="342"/>
      <c r="V6" s="342"/>
      <c r="W6" s="342"/>
      <c r="X6" s="342"/>
      <c r="Y6" s="342"/>
    </row>
    <row r="7" ht="84.0" customHeight="1">
      <c r="A7" s="370">
        <v>8.500000299E9</v>
      </c>
      <c r="B7" s="299" t="s">
        <v>25</v>
      </c>
      <c r="C7" s="285" t="s">
        <v>3436</v>
      </c>
      <c r="D7" s="285" t="s">
        <v>10147</v>
      </c>
      <c r="E7" s="290" t="s">
        <v>8183</v>
      </c>
      <c r="F7" s="288">
        <v>45642.0</v>
      </c>
      <c r="G7" s="288">
        <v>45642.0</v>
      </c>
      <c r="H7" s="288">
        <v>45646.0</v>
      </c>
      <c r="I7" s="288">
        <v>45646.0</v>
      </c>
      <c r="J7" s="561"/>
      <c r="K7" s="561"/>
      <c r="L7" s="290" t="s">
        <v>10148</v>
      </c>
      <c r="M7" s="286">
        <f t="shared" si="1"/>
        <v>51</v>
      </c>
      <c r="N7" s="342"/>
      <c r="O7" s="342"/>
      <c r="P7" s="342"/>
      <c r="Q7" s="342"/>
      <c r="R7" s="342"/>
      <c r="S7" s="342"/>
      <c r="T7" s="342"/>
      <c r="U7" s="342"/>
      <c r="V7" s="342"/>
      <c r="W7" s="342"/>
      <c r="X7" s="342"/>
      <c r="Y7" s="342"/>
    </row>
    <row r="8" ht="84.0" customHeight="1">
      <c r="A8" s="370">
        <v>8.600003032E9</v>
      </c>
      <c r="B8" s="299" t="s">
        <v>14</v>
      </c>
      <c r="C8" s="285" t="s">
        <v>5726</v>
      </c>
      <c r="D8" s="285" t="s">
        <v>10149</v>
      </c>
      <c r="E8" s="290" t="s">
        <v>5955</v>
      </c>
      <c r="F8" s="288">
        <v>45640.0</v>
      </c>
      <c r="G8" s="288">
        <v>45632.0</v>
      </c>
      <c r="H8" s="288">
        <v>45644.0</v>
      </c>
      <c r="I8" s="288">
        <v>45644.0</v>
      </c>
      <c r="J8" s="561"/>
      <c r="K8" s="561"/>
      <c r="L8" s="290" t="s">
        <v>10150</v>
      </c>
      <c r="M8" s="286">
        <f t="shared" si="1"/>
        <v>50</v>
      </c>
      <c r="N8" s="342"/>
      <c r="O8" s="342"/>
      <c r="P8" s="342"/>
      <c r="Q8" s="342"/>
      <c r="R8" s="342"/>
      <c r="S8" s="342"/>
      <c r="T8" s="342"/>
      <c r="U8" s="342"/>
      <c r="V8" s="342"/>
      <c r="W8" s="342"/>
      <c r="X8" s="342"/>
      <c r="Y8" s="342"/>
    </row>
    <row r="9" ht="84.0" customHeight="1">
      <c r="A9" s="370">
        <v>8.600003031E9</v>
      </c>
      <c r="B9" s="299" t="s">
        <v>14</v>
      </c>
      <c r="C9" s="285" t="s">
        <v>3420</v>
      </c>
      <c r="D9" s="285" t="s">
        <v>10151</v>
      </c>
      <c r="E9" s="290" t="s">
        <v>5968</v>
      </c>
      <c r="F9" s="288">
        <v>45640.0</v>
      </c>
      <c r="G9" s="288">
        <v>45635.0</v>
      </c>
      <c r="H9" s="288">
        <v>45644.0</v>
      </c>
      <c r="I9" s="288">
        <v>45644.0</v>
      </c>
      <c r="J9" s="561"/>
      <c r="K9" s="561"/>
      <c r="L9" s="424" t="s">
        <v>10152</v>
      </c>
      <c r="M9" s="286">
        <f t="shared" si="1"/>
        <v>50</v>
      </c>
      <c r="N9" s="342"/>
      <c r="O9" s="342"/>
      <c r="P9" s="342"/>
      <c r="Q9" s="342"/>
      <c r="R9" s="342"/>
      <c r="S9" s="342"/>
      <c r="T9" s="342"/>
      <c r="U9" s="342"/>
      <c r="V9" s="342"/>
      <c r="W9" s="342"/>
      <c r="X9" s="342"/>
      <c r="Y9" s="342"/>
    </row>
    <row r="10" ht="84.0" customHeight="1">
      <c r="A10" s="370">
        <v>8.500000293E9</v>
      </c>
      <c r="B10" s="285" t="s">
        <v>21</v>
      </c>
      <c r="C10" s="285" t="s">
        <v>6009</v>
      </c>
      <c r="D10" s="285" t="s">
        <v>10153</v>
      </c>
      <c r="E10" s="290" t="s">
        <v>8183</v>
      </c>
      <c r="F10" s="288">
        <v>45638.0</v>
      </c>
      <c r="G10" s="288">
        <v>45636.0</v>
      </c>
      <c r="H10" s="288">
        <v>45644.0</v>
      </c>
      <c r="I10" s="288" t="s">
        <v>10154</v>
      </c>
      <c r="J10" s="428">
        <v>5600571.0</v>
      </c>
      <c r="K10" s="428" t="s">
        <v>10136</v>
      </c>
      <c r="L10" s="290" t="s">
        <v>10155</v>
      </c>
      <c r="M10" s="286">
        <f t="shared" si="1"/>
        <v>50</v>
      </c>
      <c r="N10" s="342"/>
      <c r="O10" s="342"/>
      <c r="P10" s="342"/>
      <c r="Q10" s="342"/>
      <c r="R10" s="342"/>
      <c r="S10" s="342"/>
      <c r="T10" s="342"/>
      <c r="U10" s="342"/>
      <c r="V10" s="342"/>
      <c r="W10" s="342"/>
      <c r="X10" s="342"/>
      <c r="Y10" s="342"/>
    </row>
    <row r="11" ht="84.0" customHeight="1">
      <c r="A11" s="370">
        <v>8.500000288E9</v>
      </c>
      <c r="B11" s="299" t="s">
        <v>14</v>
      </c>
      <c r="C11" s="285" t="s">
        <v>3646</v>
      </c>
      <c r="D11" s="285" t="s">
        <v>10156</v>
      </c>
      <c r="E11" s="290" t="s">
        <v>2116</v>
      </c>
      <c r="F11" s="288">
        <v>45637.0</v>
      </c>
      <c r="G11" s="288">
        <v>45630.0</v>
      </c>
      <c r="H11" s="288">
        <v>45643.0</v>
      </c>
      <c r="I11" s="288">
        <v>45643.0</v>
      </c>
      <c r="J11" s="561"/>
      <c r="K11" s="561"/>
      <c r="L11" s="290" t="s">
        <v>10157</v>
      </c>
      <c r="M11" s="286">
        <f t="shared" si="1"/>
        <v>50</v>
      </c>
      <c r="N11" s="342"/>
      <c r="O11" s="342"/>
      <c r="P11" s="342"/>
      <c r="Q11" s="342"/>
      <c r="R11" s="342"/>
      <c r="S11" s="342"/>
      <c r="T11" s="342"/>
      <c r="U11" s="342"/>
      <c r="V11" s="342"/>
      <c r="W11" s="342"/>
      <c r="X11" s="342"/>
      <c r="Y11" s="342"/>
    </row>
    <row r="12" ht="84.0" customHeight="1">
      <c r="A12" s="370">
        <v>8.600003037E9</v>
      </c>
      <c r="B12" s="285" t="s">
        <v>21</v>
      </c>
      <c r="C12" s="285" t="s">
        <v>3420</v>
      </c>
      <c r="D12" s="285" t="s">
        <v>10158</v>
      </c>
      <c r="E12" s="290" t="s">
        <v>5968</v>
      </c>
      <c r="F12" s="288">
        <v>45637.0</v>
      </c>
      <c r="G12" s="288">
        <v>45630.0</v>
      </c>
      <c r="H12" s="288">
        <v>45642.0</v>
      </c>
      <c r="I12" s="288">
        <v>45642.0</v>
      </c>
      <c r="J12" s="428">
        <v>5600907.0</v>
      </c>
      <c r="K12" s="428" t="s">
        <v>10136</v>
      </c>
      <c r="L12" s="290" t="s">
        <v>10159</v>
      </c>
      <c r="M12" s="286">
        <f t="shared" si="1"/>
        <v>50</v>
      </c>
      <c r="N12" s="342"/>
      <c r="O12" s="342"/>
      <c r="P12" s="342"/>
      <c r="Q12" s="342"/>
      <c r="R12" s="342"/>
      <c r="S12" s="342"/>
      <c r="T12" s="342"/>
      <c r="U12" s="342"/>
      <c r="V12" s="342"/>
      <c r="W12" s="342"/>
      <c r="X12" s="342"/>
      <c r="Y12" s="342"/>
    </row>
    <row r="13" ht="84.0" customHeight="1">
      <c r="A13" s="370">
        <v>8.600003058E9</v>
      </c>
      <c r="B13" s="299" t="s">
        <v>25</v>
      </c>
      <c r="C13" s="285" t="s">
        <v>3484</v>
      </c>
      <c r="D13" s="285" t="s">
        <v>10160</v>
      </c>
      <c r="E13" s="290" t="s">
        <v>10161</v>
      </c>
      <c r="F13" s="288">
        <v>45630.0</v>
      </c>
      <c r="G13" s="288">
        <v>45630.0</v>
      </c>
      <c r="H13" s="288">
        <v>45642.0</v>
      </c>
      <c r="I13" s="288">
        <v>45642.0</v>
      </c>
      <c r="J13" s="561"/>
      <c r="K13" s="561"/>
      <c r="L13" s="290" t="s">
        <v>10162</v>
      </c>
      <c r="M13" s="286">
        <f t="shared" si="1"/>
        <v>49</v>
      </c>
      <c r="N13" s="342"/>
      <c r="O13" s="342"/>
      <c r="P13" s="342"/>
      <c r="Q13" s="342"/>
      <c r="R13" s="342"/>
      <c r="S13" s="342"/>
      <c r="T13" s="342"/>
      <c r="U13" s="342"/>
      <c r="V13" s="342"/>
      <c r="W13" s="342"/>
      <c r="X13" s="342"/>
      <c r="Y13" s="342"/>
    </row>
    <row r="14" ht="84.0" customHeight="1">
      <c r="A14" s="370">
        <v>8.600003028E9</v>
      </c>
      <c r="B14" s="299" t="s">
        <v>25</v>
      </c>
      <c r="C14" s="285" t="s">
        <v>5726</v>
      </c>
      <c r="D14" s="285" t="s">
        <v>10163</v>
      </c>
      <c r="E14" s="290" t="s">
        <v>5968</v>
      </c>
      <c r="F14" s="288">
        <v>45622.0</v>
      </c>
      <c r="G14" s="288">
        <v>45616.0</v>
      </c>
      <c r="H14" s="288">
        <v>45630.0</v>
      </c>
      <c r="I14" s="288">
        <v>45630.0</v>
      </c>
      <c r="J14" s="561"/>
      <c r="K14" s="561"/>
      <c r="L14" s="290" t="s">
        <v>10164</v>
      </c>
      <c r="M14" s="286">
        <f t="shared" si="1"/>
        <v>48</v>
      </c>
      <c r="N14" s="342"/>
      <c r="O14" s="342"/>
      <c r="P14" s="342"/>
      <c r="Q14" s="342"/>
      <c r="R14" s="342"/>
      <c r="S14" s="342"/>
      <c r="T14" s="342"/>
      <c r="U14" s="342"/>
      <c r="V14" s="342"/>
      <c r="W14" s="342"/>
      <c r="X14" s="342"/>
      <c r="Y14" s="342"/>
    </row>
    <row r="15" ht="84.0" customHeight="1">
      <c r="A15" s="370">
        <v>8.600003033E9</v>
      </c>
      <c r="B15" s="285" t="s">
        <v>21</v>
      </c>
      <c r="C15" s="285" t="s">
        <v>10165</v>
      </c>
      <c r="D15" s="285" t="s">
        <v>10166</v>
      </c>
      <c r="E15" s="290" t="s">
        <v>10167</v>
      </c>
      <c r="F15" s="288">
        <v>45620.0</v>
      </c>
      <c r="G15" s="288">
        <v>45614.0</v>
      </c>
      <c r="H15" s="288">
        <v>45629.0</v>
      </c>
      <c r="I15" s="285" t="s">
        <v>10168</v>
      </c>
      <c r="J15" s="428">
        <v>5600909.0</v>
      </c>
      <c r="K15" s="428" t="s">
        <v>10136</v>
      </c>
      <c r="L15" s="290" t="s">
        <v>10169</v>
      </c>
      <c r="M15" s="286">
        <f t="shared" si="1"/>
        <v>48</v>
      </c>
      <c r="N15" s="342"/>
      <c r="O15" s="342"/>
      <c r="P15" s="342"/>
      <c r="Q15" s="342"/>
      <c r="R15" s="342"/>
      <c r="S15" s="342"/>
      <c r="T15" s="342"/>
      <c r="U15" s="342"/>
      <c r="V15" s="342"/>
      <c r="W15" s="342"/>
      <c r="X15" s="342"/>
      <c r="Y15" s="342"/>
    </row>
    <row r="16" ht="84.0" customHeight="1">
      <c r="A16" s="370">
        <v>8.600003001E9</v>
      </c>
      <c r="B16" s="285" t="s">
        <v>21</v>
      </c>
      <c r="C16" s="285" t="s">
        <v>3454</v>
      </c>
      <c r="D16" s="285" t="s">
        <v>10170</v>
      </c>
      <c r="E16" s="290" t="s">
        <v>5955</v>
      </c>
      <c r="F16" s="288">
        <v>45619.0</v>
      </c>
      <c r="G16" s="288">
        <v>45608.0</v>
      </c>
      <c r="H16" s="288">
        <v>45623.0</v>
      </c>
      <c r="I16" s="288">
        <v>45623.0</v>
      </c>
      <c r="J16" s="428" t="s">
        <v>10171</v>
      </c>
      <c r="K16" s="428" t="s">
        <v>10136</v>
      </c>
      <c r="L16" s="290" t="s">
        <v>10172</v>
      </c>
      <c r="M16" s="286">
        <f t="shared" si="1"/>
        <v>47</v>
      </c>
      <c r="N16" s="342"/>
      <c r="O16" s="342"/>
      <c r="P16" s="342"/>
      <c r="Q16" s="342"/>
      <c r="R16" s="342"/>
      <c r="S16" s="342"/>
      <c r="T16" s="342"/>
      <c r="U16" s="342"/>
      <c r="V16" s="342"/>
      <c r="W16" s="342"/>
      <c r="X16" s="342"/>
      <c r="Y16" s="342"/>
    </row>
    <row r="17" ht="84.0" customHeight="1">
      <c r="A17" s="370">
        <v>8.600002984E9</v>
      </c>
      <c r="B17" s="299" t="s">
        <v>14</v>
      </c>
      <c r="C17" s="285" t="s">
        <v>5665</v>
      </c>
      <c r="D17" s="285" t="s">
        <v>10173</v>
      </c>
      <c r="E17" s="290" t="s">
        <v>5968</v>
      </c>
      <c r="F17" s="288">
        <v>45617.0</v>
      </c>
      <c r="G17" s="288">
        <v>45621.0</v>
      </c>
      <c r="H17" s="288">
        <v>45631.0</v>
      </c>
      <c r="I17" s="288">
        <v>45631.0</v>
      </c>
      <c r="J17" s="561"/>
      <c r="K17" s="561"/>
      <c r="L17" s="290" t="s">
        <v>10174</v>
      </c>
      <c r="M17" s="286">
        <f t="shared" si="1"/>
        <v>47</v>
      </c>
      <c r="N17" s="342"/>
      <c r="O17" s="342"/>
      <c r="P17" s="342"/>
      <c r="Q17" s="342"/>
      <c r="R17" s="342"/>
      <c r="S17" s="342"/>
      <c r="T17" s="342"/>
      <c r="U17" s="342"/>
      <c r="V17" s="342"/>
      <c r="W17" s="342"/>
      <c r="X17" s="342"/>
      <c r="Y17" s="342"/>
    </row>
    <row r="18" ht="84.0" customHeight="1">
      <c r="A18" s="370">
        <v>8.500000282E9</v>
      </c>
      <c r="B18" s="299" t="s">
        <v>14</v>
      </c>
      <c r="C18" s="285" t="s">
        <v>3646</v>
      </c>
      <c r="D18" s="285" t="s">
        <v>10175</v>
      </c>
      <c r="E18" s="290" t="s">
        <v>2116</v>
      </c>
      <c r="F18" s="288">
        <v>45614.0</v>
      </c>
      <c r="G18" s="288">
        <v>45603.0</v>
      </c>
      <c r="H18" s="288">
        <v>45618.0</v>
      </c>
      <c r="I18" s="288">
        <v>45618.0</v>
      </c>
      <c r="J18" s="561"/>
      <c r="K18" s="561"/>
      <c r="L18" s="290" t="s">
        <v>10176</v>
      </c>
      <c r="M18" s="286">
        <f t="shared" si="1"/>
        <v>47</v>
      </c>
      <c r="N18" s="342"/>
      <c r="O18" s="342"/>
      <c r="P18" s="342"/>
      <c r="Q18" s="342"/>
      <c r="R18" s="342"/>
      <c r="S18" s="342"/>
      <c r="T18" s="342"/>
      <c r="U18" s="342"/>
      <c r="V18" s="342"/>
      <c r="W18" s="342"/>
      <c r="X18" s="342"/>
      <c r="Y18" s="342"/>
    </row>
    <row r="19" ht="84.0" customHeight="1">
      <c r="A19" s="370">
        <v>8.60000303E9</v>
      </c>
      <c r="B19" s="299" t="s">
        <v>25</v>
      </c>
      <c r="C19" s="285" t="s">
        <v>5649</v>
      </c>
      <c r="D19" s="285" t="s">
        <v>10177</v>
      </c>
      <c r="E19" s="290" t="s">
        <v>8233</v>
      </c>
      <c r="F19" s="288">
        <v>45610.0</v>
      </c>
      <c r="G19" s="288">
        <v>45608.0</v>
      </c>
      <c r="H19" s="288">
        <v>45616.0</v>
      </c>
      <c r="I19" s="285" t="s">
        <v>10178</v>
      </c>
      <c r="J19" s="561"/>
      <c r="K19" s="561"/>
      <c r="L19" s="290" t="s">
        <v>10179</v>
      </c>
      <c r="M19" s="286">
        <f t="shared" si="1"/>
        <v>46</v>
      </c>
      <c r="N19" s="342"/>
      <c r="O19" s="342"/>
      <c r="P19" s="342"/>
      <c r="Q19" s="342"/>
      <c r="R19" s="342"/>
      <c r="S19" s="342"/>
      <c r="T19" s="342"/>
      <c r="U19" s="342"/>
      <c r="V19" s="342"/>
      <c r="W19" s="342"/>
      <c r="X19" s="342"/>
      <c r="Y19" s="342"/>
    </row>
    <row r="20" ht="84.0" customHeight="1">
      <c r="A20" s="370">
        <v>8.600002987E9</v>
      </c>
      <c r="B20" s="299" t="s">
        <v>14</v>
      </c>
      <c r="C20" s="285" t="s">
        <v>5946</v>
      </c>
      <c r="D20" s="285" t="s">
        <v>10180</v>
      </c>
      <c r="E20" s="290" t="s">
        <v>10181</v>
      </c>
      <c r="F20" s="288">
        <v>45606.0</v>
      </c>
      <c r="G20" s="288">
        <v>45602.0</v>
      </c>
      <c r="H20" s="288">
        <v>45615.0</v>
      </c>
      <c r="I20" s="285" t="s">
        <v>10182</v>
      </c>
      <c r="J20" s="561"/>
      <c r="K20" s="561"/>
      <c r="L20" s="290" t="s">
        <v>10183</v>
      </c>
      <c r="M20" s="286">
        <f t="shared" si="1"/>
        <v>46</v>
      </c>
      <c r="N20" s="342"/>
      <c r="O20" s="342"/>
      <c r="P20" s="342"/>
      <c r="Q20" s="342"/>
      <c r="R20" s="342"/>
      <c r="S20" s="342"/>
      <c r="T20" s="342"/>
      <c r="U20" s="342"/>
      <c r="V20" s="342"/>
      <c r="W20" s="342"/>
      <c r="X20" s="342"/>
      <c r="Y20" s="342"/>
    </row>
    <row r="21" ht="84.0" customHeight="1">
      <c r="A21" s="370">
        <v>8.500000279E9</v>
      </c>
      <c r="B21" s="299" t="s">
        <v>14</v>
      </c>
      <c r="C21" s="285" t="s">
        <v>5858</v>
      </c>
      <c r="D21" s="285" t="s">
        <v>10184</v>
      </c>
      <c r="E21" s="290" t="s">
        <v>8183</v>
      </c>
      <c r="F21" s="288">
        <v>45606.0</v>
      </c>
      <c r="G21" s="288">
        <v>45602.0</v>
      </c>
      <c r="H21" s="288">
        <v>45614.0</v>
      </c>
      <c r="I21" s="285" t="s">
        <v>10185</v>
      </c>
      <c r="J21" s="561"/>
      <c r="K21" s="561"/>
      <c r="L21" s="290" t="s">
        <v>10186</v>
      </c>
      <c r="M21" s="286">
        <f t="shared" si="1"/>
        <v>46</v>
      </c>
      <c r="N21" s="342"/>
      <c r="O21" s="342"/>
      <c r="P21" s="342"/>
      <c r="Q21" s="342"/>
      <c r="R21" s="342"/>
      <c r="S21" s="342"/>
      <c r="T21" s="342"/>
      <c r="U21" s="342"/>
      <c r="V21" s="342"/>
      <c r="W21" s="342"/>
      <c r="X21" s="342"/>
      <c r="Y21" s="342"/>
    </row>
    <row r="22" ht="84.0" customHeight="1">
      <c r="A22" s="370">
        <v>8.500000286E9</v>
      </c>
      <c r="B22" s="285" t="s">
        <v>21</v>
      </c>
      <c r="C22" s="285" t="s">
        <v>6009</v>
      </c>
      <c r="D22" s="285" t="s">
        <v>10187</v>
      </c>
      <c r="E22" s="290" t="s">
        <v>8183</v>
      </c>
      <c r="F22" s="288">
        <v>45603.0</v>
      </c>
      <c r="G22" s="288">
        <v>45600.0</v>
      </c>
      <c r="H22" s="288">
        <v>45609.0</v>
      </c>
      <c r="I22" s="285" t="s">
        <v>10188</v>
      </c>
      <c r="J22" s="428">
        <v>5600926.0</v>
      </c>
      <c r="K22" s="428" t="s">
        <v>10136</v>
      </c>
      <c r="L22" s="290" t="s">
        <v>10189</v>
      </c>
      <c r="M22" s="286">
        <f t="shared" si="1"/>
        <v>45</v>
      </c>
      <c r="N22" s="342"/>
      <c r="O22" s="342"/>
      <c r="P22" s="342"/>
      <c r="Q22" s="342"/>
      <c r="R22" s="342"/>
      <c r="S22" s="342"/>
      <c r="T22" s="342"/>
      <c r="U22" s="342"/>
      <c r="V22" s="342"/>
      <c r="W22" s="342"/>
      <c r="X22" s="342"/>
      <c r="Y22" s="342"/>
    </row>
    <row r="23" ht="84.0" customHeight="1">
      <c r="A23" s="370">
        <v>8.500000276E9</v>
      </c>
      <c r="B23" s="299" t="s">
        <v>14</v>
      </c>
      <c r="C23" s="285" t="s">
        <v>6186</v>
      </c>
      <c r="D23" s="285" t="s">
        <v>10190</v>
      </c>
      <c r="E23" s="290" t="s">
        <v>8183</v>
      </c>
      <c r="F23" s="288">
        <v>45601.0</v>
      </c>
      <c r="G23" s="288">
        <v>45597.0</v>
      </c>
      <c r="H23" s="288">
        <v>45608.0</v>
      </c>
      <c r="I23" s="288">
        <v>45608.0</v>
      </c>
      <c r="J23" s="561"/>
      <c r="K23" s="561"/>
      <c r="L23" s="290" t="s">
        <v>10191</v>
      </c>
      <c r="M23" s="286">
        <f t="shared" si="1"/>
        <v>45</v>
      </c>
      <c r="N23" s="342"/>
      <c r="O23" s="342"/>
      <c r="P23" s="342"/>
      <c r="Q23" s="342"/>
      <c r="R23" s="342"/>
      <c r="S23" s="342"/>
      <c r="T23" s="342"/>
      <c r="U23" s="342"/>
      <c r="V23" s="342"/>
      <c r="W23" s="342"/>
      <c r="X23" s="342"/>
      <c r="Y23" s="342"/>
    </row>
    <row r="24" ht="84.0" customHeight="1">
      <c r="A24" s="370">
        <v>8.600002982E9</v>
      </c>
      <c r="B24" s="299" t="s">
        <v>25</v>
      </c>
      <c r="C24" s="285" t="s">
        <v>3420</v>
      </c>
      <c r="D24" s="285" t="s">
        <v>10192</v>
      </c>
      <c r="E24" s="290" t="s">
        <v>5968</v>
      </c>
      <c r="F24" s="288">
        <v>45599.0</v>
      </c>
      <c r="G24" s="288">
        <v>45593.0</v>
      </c>
      <c r="H24" s="288">
        <v>45602.0</v>
      </c>
      <c r="I24" s="288">
        <v>45602.0</v>
      </c>
      <c r="J24" s="561"/>
      <c r="K24" s="561"/>
      <c r="L24" s="290" t="s">
        <v>10193</v>
      </c>
      <c r="M24" s="286">
        <f t="shared" si="1"/>
        <v>45</v>
      </c>
      <c r="N24" s="342"/>
      <c r="O24" s="342"/>
      <c r="P24" s="342"/>
      <c r="Q24" s="342"/>
      <c r="R24" s="342"/>
      <c r="S24" s="342"/>
      <c r="T24" s="342"/>
      <c r="U24" s="342"/>
      <c r="V24" s="342"/>
      <c r="W24" s="342"/>
      <c r="X24" s="342"/>
      <c r="Y24" s="342"/>
    </row>
    <row r="25" ht="84.0" customHeight="1">
      <c r="A25" s="370">
        <v>8.600002983E9</v>
      </c>
      <c r="B25" s="285" t="s">
        <v>10194</v>
      </c>
      <c r="C25" s="285" t="s">
        <v>5665</v>
      </c>
      <c r="D25" s="285" t="s">
        <v>10195</v>
      </c>
      <c r="E25" s="290" t="s">
        <v>5968</v>
      </c>
      <c r="F25" s="288">
        <v>45596.0</v>
      </c>
      <c r="G25" s="288">
        <v>45608.0</v>
      </c>
      <c r="H25" s="288">
        <v>45608.0</v>
      </c>
      <c r="I25" s="288">
        <v>45608.0</v>
      </c>
      <c r="J25" s="428">
        <v>5600929.0</v>
      </c>
      <c r="K25" s="428" t="s">
        <v>10136</v>
      </c>
      <c r="L25" s="290" t="s">
        <v>10196</v>
      </c>
      <c r="M25" s="286">
        <f t="shared" si="1"/>
        <v>44</v>
      </c>
      <c r="N25" s="342"/>
      <c r="O25" s="342"/>
      <c r="P25" s="342"/>
      <c r="Q25" s="342"/>
      <c r="R25" s="342"/>
      <c r="S25" s="342"/>
      <c r="T25" s="342"/>
      <c r="U25" s="342"/>
      <c r="V25" s="342"/>
      <c r="W25" s="342"/>
      <c r="X25" s="342"/>
      <c r="Y25" s="342"/>
    </row>
    <row r="26" ht="84.0" customHeight="1">
      <c r="A26" s="370">
        <v>8.500000274E9</v>
      </c>
      <c r="B26" s="299" t="s">
        <v>14</v>
      </c>
      <c r="C26" s="285" t="s">
        <v>3454</v>
      </c>
      <c r="D26" s="285" t="s">
        <v>10197</v>
      </c>
      <c r="E26" s="290" t="s">
        <v>8183</v>
      </c>
      <c r="F26" s="288">
        <v>45592.0</v>
      </c>
      <c r="G26" s="288">
        <v>45583.0</v>
      </c>
      <c r="H26" s="288">
        <v>45597.0</v>
      </c>
      <c r="I26" s="288">
        <v>45597.0</v>
      </c>
      <c r="J26" s="561"/>
      <c r="K26" s="561"/>
      <c r="L26" s="290" t="s">
        <v>10198</v>
      </c>
      <c r="M26" s="286">
        <f t="shared" si="1"/>
        <v>44</v>
      </c>
      <c r="N26" s="342"/>
      <c r="O26" s="342"/>
      <c r="P26" s="342"/>
      <c r="Q26" s="342"/>
      <c r="R26" s="342"/>
      <c r="S26" s="342"/>
      <c r="T26" s="342"/>
      <c r="U26" s="342"/>
      <c r="V26" s="342"/>
      <c r="W26" s="342"/>
      <c r="X26" s="342"/>
      <c r="Y26" s="342"/>
    </row>
    <row r="27" ht="84.0" customHeight="1">
      <c r="A27" s="370">
        <v>8.60000295E9</v>
      </c>
      <c r="B27" s="299" t="s">
        <v>14</v>
      </c>
      <c r="C27" s="285" t="s">
        <v>3475</v>
      </c>
      <c r="D27" s="285" t="s">
        <v>10199</v>
      </c>
      <c r="E27" s="290" t="s">
        <v>8233</v>
      </c>
      <c r="F27" s="288">
        <v>45590.0</v>
      </c>
      <c r="G27" s="288">
        <v>45581.0</v>
      </c>
      <c r="H27" s="288">
        <v>45596.0</v>
      </c>
      <c r="I27" s="285" t="s">
        <v>10200</v>
      </c>
      <c r="J27" s="561"/>
      <c r="K27" s="561"/>
      <c r="L27" s="290" t="s">
        <v>10201</v>
      </c>
      <c r="M27" s="286">
        <f t="shared" si="1"/>
        <v>43</v>
      </c>
      <c r="N27" s="342"/>
      <c r="O27" s="342"/>
      <c r="P27" s="342"/>
      <c r="Q27" s="342"/>
      <c r="R27" s="342"/>
      <c r="S27" s="342"/>
      <c r="T27" s="342"/>
      <c r="U27" s="342"/>
      <c r="V27" s="342"/>
      <c r="W27" s="342"/>
      <c r="X27" s="342"/>
      <c r="Y27" s="342"/>
    </row>
    <row r="28" ht="84.0" customHeight="1">
      <c r="A28" s="370">
        <v>8.600002981E9</v>
      </c>
      <c r="B28" s="299" t="s">
        <v>25</v>
      </c>
      <c r="C28" s="285" t="s">
        <v>5598</v>
      </c>
      <c r="D28" s="285" t="s">
        <v>10202</v>
      </c>
      <c r="E28" s="290" t="s">
        <v>8190</v>
      </c>
      <c r="F28" s="288">
        <v>45586.0</v>
      </c>
      <c r="G28" s="288">
        <v>45581.0</v>
      </c>
      <c r="H28" s="288">
        <v>45590.0</v>
      </c>
      <c r="I28" s="288">
        <v>45590.0</v>
      </c>
      <c r="J28" s="561"/>
      <c r="K28" s="561"/>
      <c r="L28" s="290" t="s">
        <v>10203</v>
      </c>
      <c r="M28" s="286">
        <f t="shared" si="1"/>
        <v>43</v>
      </c>
      <c r="N28" s="342"/>
      <c r="O28" s="342"/>
      <c r="P28" s="342"/>
      <c r="Q28" s="342"/>
      <c r="R28" s="342"/>
      <c r="S28" s="342"/>
      <c r="T28" s="342"/>
      <c r="U28" s="342"/>
      <c r="V28" s="342"/>
      <c r="W28" s="342"/>
      <c r="X28" s="342"/>
      <c r="Y28" s="342"/>
    </row>
    <row r="29" ht="84.0" customHeight="1">
      <c r="A29" s="370">
        <v>8.500000285E9</v>
      </c>
      <c r="B29" s="299" t="s">
        <v>25</v>
      </c>
      <c r="C29" s="285" t="s">
        <v>3436</v>
      </c>
      <c r="D29" s="285" t="s">
        <v>10204</v>
      </c>
      <c r="E29" s="290" t="s">
        <v>8183</v>
      </c>
      <c r="F29" s="288">
        <v>45585.0</v>
      </c>
      <c r="G29" s="288">
        <v>45580.0</v>
      </c>
      <c r="H29" s="288">
        <v>45589.0</v>
      </c>
      <c r="I29" s="288">
        <v>45589.0</v>
      </c>
      <c r="J29" s="561"/>
      <c r="K29" s="561"/>
      <c r="L29" s="290" t="s">
        <v>10205</v>
      </c>
      <c r="M29" s="286">
        <f t="shared" si="1"/>
        <v>43</v>
      </c>
      <c r="N29" s="342"/>
      <c r="O29" s="342"/>
      <c r="P29" s="342"/>
      <c r="Q29" s="342"/>
      <c r="R29" s="342"/>
      <c r="S29" s="342"/>
      <c r="T29" s="342"/>
      <c r="U29" s="342"/>
      <c r="V29" s="342"/>
      <c r="W29" s="342"/>
      <c r="X29" s="342"/>
      <c r="Y29" s="342"/>
    </row>
    <row r="30" ht="84.0" customHeight="1">
      <c r="A30" s="370">
        <v>8.600002975E9</v>
      </c>
      <c r="B30" s="285" t="s">
        <v>21</v>
      </c>
      <c r="C30" s="285" t="s">
        <v>3372</v>
      </c>
      <c r="D30" s="285" t="s">
        <v>10206</v>
      </c>
      <c r="E30" s="290" t="s">
        <v>10207</v>
      </c>
      <c r="F30" s="288">
        <v>45583.0</v>
      </c>
      <c r="G30" s="288">
        <v>45580.0</v>
      </c>
      <c r="H30" s="288">
        <v>45588.0</v>
      </c>
      <c r="I30" s="288">
        <v>45588.0</v>
      </c>
      <c r="J30" s="428">
        <v>5600931.0</v>
      </c>
      <c r="K30" s="428" t="s">
        <v>10136</v>
      </c>
      <c r="L30" s="290" t="s">
        <v>10208</v>
      </c>
      <c r="M30" s="286">
        <f t="shared" si="1"/>
        <v>42</v>
      </c>
      <c r="N30" s="342"/>
      <c r="O30" s="342"/>
      <c r="P30" s="342"/>
      <c r="Q30" s="342"/>
      <c r="R30" s="342"/>
      <c r="S30" s="342"/>
      <c r="T30" s="342"/>
      <c r="U30" s="342"/>
      <c r="V30" s="342"/>
      <c r="W30" s="342"/>
      <c r="X30" s="342"/>
      <c r="Y30" s="342"/>
    </row>
    <row r="31" ht="84.0" customHeight="1">
      <c r="A31" s="370">
        <v>8.600002931E9</v>
      </c>
      <c r="B31" s="299" t="s">
        <v>14</v>
      </c>
      <c r="C31" s="285" t="s">
        <v>10209</v>
      </c>
      <c r="D31" s="285" t="s">
        <v>10210</v>
      </c>
      <c r="E31" s="290" t="s">
        <v>10211</v>
      </c>
      <c r="F31" s="288">
        <v>45582.0</v>
      </c>
      <c r="G31" s="288">
        <v>45580.0</v>
      </c>
      <c r="H31" s="288">
        <v>45588.0</v>
      </c>
      <c r="I31" s="285" t="s">
        <v>10212</v>
      </c>
      <c r="J31" s="561"/>
      <c r="K31" s="561"/>
      <c r="L31" s="290" t="s">
        <v>10213</v>
      </c>
      <c r="M31" s="286">
        <f t="shared" si="1"/>
        <v>42</v>
      </c>
      <c r="N31" s="342"/>
      <c r="O31" s="342"/>
      <c r="P31" s="342"/>
      <c r="Q31" s="342"/>
      <c r="R31" s="342"/>
      <c r="S31" s="342"/>
      <c r="T31" s="342"/>
      <c r="U31" s="342"/>
      <c r="V31" s="342"/>
      <c r="W31" s="342"/>
      <c r="X31" s="342"/>
      <c r="Y31" s="342"/>
    </row>
    <row r="32" ht="84.0" customHeight="1">
      <c r="A32" s="370">
        <v>8.500000278E9</v>
      </c>
      <c r="B32" s="285" t="s">
        <v>21</v>
      </c>
      <c r="C32" s="285" t="s">
        <v>6009</v>
      </c>
      <c r="D32" s="285" t="s">
        <v>10214</v>
      </c>
      <c r="E32" s="290" t="s">
        <v>8183</v>
      </c>
      <c r="F32" s="288">
        <v>45579.0</v>
      </c>
      <c r="G32" s="288">
        <v>45576.0</v>
      </c>
      <c r="H32" s="288">
        <v>45583.0</v>
      </c>
      <c r="I32" s="285" t="s">
        <v>10215</v>
      </c>
      <c r="J32" s="285" t="s">
        <v>4841</v>
      </c>
      <c r="K32" s="561"/>
      <c r="L32" s="290" t="s">
        <v>10216</v>
      </c>
      <c r="M32" s="299">
        <f t="shared" si="1"/>
        <v>42</v>
      </c>
      <c r="N32" s="342"/>
      <c r="O32" s="342"/>
      <c r="P32" s="342"/>
      <c r="Q32" s="342"/>
      <c r="R32" s="342"/>
      <c r="S32" s="342"/>
      <c r="T32" s="342"/>
      <c r="U32" s="342"/>
      <c r="V32" s="342"/>
      <c r="W32" s="342"/>
      <c r="X32" s="342"/>
      <c r="Y32" s="342"/>
    </row>
    <row r="33" ht="84.0" customHeight="1">
      <c r="A33" s="370">
        <v>8.500000271E9</v>
      </c>
      <c r="B33" s="299" t="s">
        <v>14</v>
      </c>
      <c r="C33" s="285" t="s">
        <v>3646</v>
      </c>
      <c r="D33" s="285" t="s">
        <v>10217</v>
      </c>
      <c r="E33" s="290" t="s">
        <v>2116</v>
      </c>
      <c r="F33" s="288">
        <v>45579.0</v>
      </c>
      <c r="G33" s="288">
        <v>45573.0</v>
      </c>
      <c r="H33" s="288">
        <v>45586.0</v>
      </c>
      <c r="I33" s="288">
        <v>45586.0</v>
      </c>
      <c r="J33" s="561"/>
      <c r="K33" s="561"/>
      <c r="L33" s="290" t="s">
        <v>10218</v>
      </c>
      <c r="M33" s="286">
        <f t="shared" si="1"/>
        <v>42</v>
      </c>
      <c r="N33" s="342"/>
      <c r="O33" s="342"/>
      <c r="P33" s="342"/>
      <c r="Q33" s="342"/>
      <c r="R33" s="342"/>
      <c r="S33" s="342"/>
      <c r="T33" s="342"/>
      <c r="U33" s="342"/>
      <c r="V33" s="342"/>
      <c r="W33" s="342"/>
      <c r="X33" s="342"/>
      <c r="Y33" s="342"/>
    </row>
    <row r="34" ht="84.0" customHeight="1">
      <c r="A34" s="370">
        <v>8.600002955E9</v>
      </c>
      <c r="B34" s="285" t="s">
        <v>21</v>
      </c>
      <c r="C34" s="285" t="s">
        <v>5598</v>
      </c>
      <c r="D34" s="285" t="s">
        <v>10219</v>
      </c>
      <c r="E34" s="290" t="s">
        <v>8190</v>
      </c>
      <c r="F34" s="288">
        <v>45577.0</v>
      </c>
      <c r="G34" s="288">
        <v>45572.0</v>
      </c>
      <c r="H34" s="288">
        <v>45581.0</v>
      </c>
      <c r="I34" s="288">
        <v>45581.0</v>
      </c>
      <c r="J34" s="285" t="s">
        <v>4841</v>
      </c>
      <c r="K34" s="561"/>
      <c r="L34" s="290" t="s">
        <v>10220</v>
      </c>
      <c r="M34" s="286">
        <f t="shared" si="1"/>
        <v>41</v>
      </c>
      <c r="N34" s="342"/>
      <c r="O34" s="342"/>
      <c r="P34" s="342"/>
      <c r="Q34" s="342"/>
      <c r="R34" s="342"/>
      <c r="S34" s="342"/>
      <c r="T34" s="342"/>
      <c r="U34" s="342"/>
      <c r="V34" s="342"/>
      <c r="W34" s="342"/>
      <c r="X34" s="342"/>
      <c r="Y34" s="342"/>
    </row>
    <row r="35" ht="84.0" customHeight="1">
      <c r="A35" s="370">
        <v>8.50000027E9</v>
      </c>
      <c r="B35" s="299" t="s">
        <v>14</v>
      </c>
      <c r="C35" s="285" t="s">
        <v>5735</v>
      </c>
      <c r="D35" s="285" t="s">
        <v>10221</v>
      </c>
      <c r="E35" s="290" t="s">
        <v>8183</v>
      </c>
      <c r="F35" s="288">
        <v>45576.0</v>
      </c>
      <c r="G35" s="288">
        <v>45572.0</v>
      </c>
      <c r="H35" s="288">
        <v>45581.0</v>
      </c>
      <c r="I35" s="285" t="s">
        <v>10222</v>
      </c>
      <c r="J35" s="561"/>
      <c r="K35" s="561"/>
      <c r="L35" s="290" t="s">
        <v>10223</v>
      </c>
      <c r="M35" s="286">
        <f t="shared" si="1"/>
        <v>41</v>
      </c>
      <c r="N35" s="342"/>
      <c r="O35" s="342"/>
      <c r="P35" s="342"/>
      <c r="Q35" s="342"/>
      <c r="R35" s="342"/>
      <c r="S35" s="342"/>
      <c r="T35" s="342"/>
      <c r="U35" s="342"/>
      <c r="V35" s="342"/>
      <c r="W35" s="342"/>
      <c r="X35" s="342"/>
      <c r="Y35" s="342"/>
    </row>
    <row r="36" ht="84.0" customHeight="1">
      <c r="A36" s="370">
        <v>8.500000272E9</v>
      </c>
      <c r="B36" s="299" t="s">
        <v>14</v>
      </c>
      <c r="C36" s="285" t="s">
        <v>3380</v>
      </c>
      <c r="D36" s="285" t="s">
        <v>10224</v>
      </c>
      <c r="E36" s="290" t="s">
        <v>10225</v>
      </c>
      <c r="F36" s="288">
        <v>45574.0</v>
      </c>
      <c r="G36" s="288">
        <v>45572.0</v>
      </c>
      <c r="H36" s="288">
        <v>45580.0</v>
      </c>
      <c r="I36" s="288">
        <v>45580.0</v>
      </c>
      <c r="J36" s="561"/>
      <c r="K36" s="561"/>
      <c r="L36" s="290" t="s">
        <v>10226</v>
      </c>
      <c r="M36" s="286">
        <f t="shared" si="1"/>
        <v>41</v>
      </c>
      <c r="N36" s="342"/>
      <c r="O36" s="342"/>
      <c r="P36" s="342"/>
      <c r="Q36" s="342"/>
      <c r="R36" s="342"/>
      <c r="S36" s="342"/>
      <c r="T36" s="342"/>
      <c r="U36" s="342"/>
      <c r="V36" s="342"/>
      <c r="W36" s="342"/>
      <c r="X36" s="342"/>
      <c r="Y36" s="342"/>
    </row>
    <row r="37" ht="84.0" customHeight="1">
      <c r="A37" s="370">
        <v>8.500000273E9</v>
      </c>
      <c r="B37" s="299" t="s">
        <v>14</v>
      </c>
      <c r="C37" s="285" t="s">
        <v>3420</v>
      </c>
      <c r="D37" s="285" t="s">
        <v>10227</v>
      </c>
      <c r="E37" s="290" t="s">
        <v>8271</v>
      </c>
      <c r="F37" s="288">
        <v>45574.0</v>
      </c>
      <c r="G37" s="288">
        <v>45572.0</v>
      </c>
      <c r="H37" s="288">
        <v>45580.0</v>
      </c>
      <c r="I37" s="288">
        <v>45580.0</v>
      </c>
      <c r="J37" s="561"/>
      <c r="K37" s="561"/>
      <c r="L37" s="290" t="s">
        <v>10228</v>
      </c>
      <c r="M37" s="286">
        <f t="shared" si="1"/>
        <v>41</v>
      </c>
      <c r="N37" s="342"/>
      <c r="O37" s="342"/>
      <c r="P37" s="342"/>
      <c r="Q37" s="342"/>
      <c r="R37" s="342"/>
      <c r="S37" s="342"/>
      <c r="T37" s="342"/>
      <c r="U37" s="342"/>
      <c r="V37" s="342"/>
      <c r="W37" s="342"/>
      <c r="X37" s="342"/>
      <c r="Y37" s="342"/>
    </row>
    <row r="38" ht="84.0" customHeight="1">
      <c r="A38" s="370">
        <v>8.60000293E9</v>
      </c>
      <c r="B38" s="299" t="s">
        <v>14</v>
      </c>
      <c r="C38" s="285" t="s">
        <v>5577</v>
      </c>
      <c r="D38" s="285" t="s">
        <v>10229</v>
      </c>
      <c r="E38" s="290" t="s">
        <v>5968</v>
      </c>
      <c r="F38" s="288">
        <v>45574.0</v>
      </c>
      <c r="G38" s="288">
        <v>45566.0</v>
      </c>
      <c r="H38" s="288">
        <v>45588.0</v>
      </c>
      <c r="I38" s="288">
        <v>45588.0</v>
      </c>
      <c r="J38" s="561"/>
      <c r="K38" s="561"/>
      <c r="L38" s="290" t="s">
        <v>10230</v>
      </c>
      <c r="M38" s="286">
        <f t="shared" si="1"/>
        <v>41</v>
      </c>
      <c r="N38" s="342"/>
      <c r="O38" s="342"/>
      <c r="P38" s="342"/>
      <c r="Q38" s="342"/>
      <c r="R38" s="342"/>
      <c r="S38" s="342"/>
      <c r="T38" s="342"/>
      <c r="U38" s="342"/>
      <c r="V38" s="342"/>
      <c r="W38" s="342"/>
      <c r="X38" s="342"/>
      <c r="Y38" s="342"/>
    </row>
    <row r="39" ht="84.0" customHeight="1">
      <c r="A39" s="370">
        <v>8.500000275E9</v>
      </c>
      <c r="B39" s="285" t="s">
        <v>21</v>
      </c>
      <c r="C39" s="285" t="s">
        <v>5712</v>
      </c>
      <c r="D39" s="285" t="s">
        <v>10231</v>
      </c>
      <c r="E39" s="290" t="s">
        <v>8183</v>
      </c>
      <c r="F39" s="288">
        <v>45572.0</v>
      </c>
      <c r="G39" s="288">
        <v>45572.0</v>
      </c>
      <c r="H39" s="288">
        <v>45576.0</v>
      </c>
      <c r="I39" s="288">
        <v>45576.0</v>
      </c>
      <c r="J39" s="285" t="s">
        <v>4841</v>
      </c>
      <c r="K39" s="561"/>
      <c r="L39" s="290" t="s">
        <v>10232</v>
      </c>
      <c r="M39" s="286">
        <f t="shared" si="1"/>
        <v>41</v>
      </c>
      <c r="N39" s="342"/>
      <c r="O39" s="342"/>
      <c r="P39" s="342"/>
      <c r="Q39" s="342"/>
      <c r="R39" s="342"/>
      <c r="S39" s="342"/>
      <c r="T39" s="342"/>
      <c r="U39" s="342"/>
      <c r="V39" s="342"/>
      <c r="W39" s="342"/>
      <c r="X39" s="342"/>
      <c r="Y39" s="342"/>
    </row>
    <row r="40" ht="84.0" customHeight="1">
      <c r="A40" s="370">
        <v>8.500000277E9</v>
      </c>
      <c r="B40" s="299" t="s">
        <v>25</v>
      </c>
      <c r="C40" s="285" t="s">
        <v>3436</v>
      </c>
      <c r="D40" s="285" t="s">
        <v>10233</v>
      </c>
      <c r="E40" s="290" t="s">
        <v>8183</v>
      </c>
      <c r="F40" s="288">
        <v>45570.0</v>
      </c>
      <c r="G40" s="288">
        <v>45567.0</v>
      </c>
      <c r="H40" s="288">
        <v>45575.0</v>
      </c>
      <c r="I40" s="288">
        <v>45575.0</v>
      </c>
      <c r="J40" s="561"/>
      <c r="K40" s="561"/>
      <c r="L40" s="290" t="s">
        <v>10234</v>
      </c>
      <c r="M40" s="286">
        <f t="shared" si="1"/>
        <v>40</v>
      </c>
      <c r="N40" s="342"/>
      <c r="O40" s="342"/>
      <c r="P40" s="342"/>
      <c r="Q40" s="342"/>
      <c r="R40" s="342"/>
      <c r="S40" s="342"/>
      <c r="T40" s="342"/>
      <c r="U40" s="342"/>
      <c r="V40" s="342"/>
      <c r="W40" s="342"/>
      <c r="X40" s="342"/>
      <c r="Y40" s="342"/>
    </row>
    <row r="41" ht="84.0" customHeight="1">
      <c r="A41" s="370">
        <v>8.600002959E9</v>
      </c>
      <c r="B41" s="299" t="s">
        <v>25</v>
      </c>
      <c r="C41" s="285" t="s">
        <v>5598</v>
      </c>
      <c r="D41" s="285" t="s">
        <v>10235</v>
      </c>
      <c r="E41" s="290" t="s">
        <v>10236</v>
      </c>
      <c r="F41" s="288">
        <v>45567.0</v>
      </c>
      <c r="G41" s="288">
        <v>45565.0</v>
      </c>
      <c r="H41" s="288">
        <v>45573.0</v>
      </c>
      <c r="I41" s="288">
        <v>45573.0</v>
      </c>
      <c r="J41" s="561"/>
      <c r="K41" s="561"/>
      <c r="L41" s="290" t="s">
        <v>10237</v>
      </c>
      <c r="M41" s="286">
        <f t="shared" si="1"/>
        <v>40</v>
      </c>
      <c r="N41" s="342"/>
      <c r="O41" s="342"/>
      <c r="P41" s="342"/>
      <c r="Q41" s="342"/>
      <c r="R41" s="342"/>
      <c r="S41" s="342"/>
      <c r="T41" s="342"/>
      <c r="U41" s="342"/>
      <c r="V41" s="342"/>
      <c r="W41" s="342"/>
      <c r="X41" s="342"/>
      <c r="Y41" s="342"/>
    </row>
    <row r="42" ht="84.0" customHeight="1">
      <c r="A42" s="370">
        <v>8.600002932E9</v>
      </c>
      <c r="B42" s="299" t="s">
        <v>25</v>
      </c>
      <c r="C42" s="285" t="s">
        <v>5792</v>
      </c>
      <c r="D42" s="285" t="s">
        <v>10238</v>
      </c>
      <c r="E42" s="290" t="s">
        <v>5968</v>
      </c>
      <c r="F42" s="288">
        <v>45562.0</v>
      </c>
      <c r="G42" s="288">
        <v>45558.0</v>
      </c>
      <c r="H42" s="288">
        <v>45567.0</v>
      </c>
      <c r="I42" s="288">
        <v>45567.0</v>
      </c>
      <c r="J42" s="561"/>
      <c r="K42" s="561"/>
      <c r="L42" s="290" t="s">
        <v>10239</v>
      </c>
      <c r="M42" s="286">
        <f t="shared" si="1"/>
        <v>39</v>
      </c>
      <c r="N42" s="342"/>
      <c r="O42" s="342"/>
      <c r="P42" s="342"/>
      <c r="Q42" s="342"/>
      <c r="R42" s="342"/>
      <c r="S42" s="342"/>
      <c r="T42" s="342"/>
      <c r="U42" s="342"/>
      <c r="V42" s="342"/>
      <c r="W42" s="342"/>
      <c r="X42" s="342"/>
      <c r="Y42" s="342"/>
    </row>
    <row r="43" ht="84.0" customHeight="1">
      <c r="A43" s="370">
        <v>8.600002941E9</v>
      </c>
      <c r="B43" s="285" t="s">
        <v>21</v>
      </c>
      <c r="C43" s="285" t="s">
        <v>3454</v>
      </c>
      <c r="D43" s="285" t="s">
        <v>10240</v>
      </c>
      <c r="E43" s="290" t="s">
        <v>10241</v>
      </c>
      <c r="F43" s="288">
        <v>45562.0</v>
      </c>
      <c r="G43" s="288">
        <v>45554.0</v>
      </c>
      <c r="H43" s="288">
        <v>45568.0</v>
      </c>
      <c r="I43" s="285" t="s">
        <v>10242</v>
      </c>
      <c r="J43" s="285" t="s">
        <v>10243</v>
      </c>
      <c r="K43" s="285" t="s">
        <v>9178</v>
      </c>
      <c r="L43" s="290" t="s">
        <v>10244</v>
      </c>
      <c r="M43" s="286">
        <f t="shared" si="1"/>
        <v>39</v>
      </c>
      <c r="N43" s="342"/>
      <c r="O43" s="342"/>
      <c r="P43" s="342"/>
      <c r="Q43" s="342"/>
      <c r="R43" s="342"/>
      <c r="S43" s="342"/>
      <c r="T43" s="342"/>
      <c r="U43" s="342"/>
      <c r="V43" s="342"/>
      <c r="W43" s="342"/>
      <c r="X43" s="342"/>
      <c r="Y43" s="342"/>
    </row>
    <row r="44" ht="84.0" customHeight="1">
      <c r="A44" s="370">
        <v>8.600002977E9</v>
      </c>
      <c r="B44" s="299" t="s">
        <v>4924</v>
      </c>
      <c r="C44" s="285" t="s">
        <v>5928</v>
      </c>
      <c r="D44" s="285" t="s">
        <v>4925</v>
      </c>
      <c r="E44" s="290" t="s">
        <v>5955</v>
      </c>
      <c r="F44" s="288">
        <v>45561.0</v>
      </c>
      <c r="G44" s="288">
        <v>45561.0</v>
      </c>
      <c r="H44" s="288">
        <v>45565.0</v>
      </c>
      <c r="I44" s="288">
        <v>45565.0</v>
      </c>
      <c r="J44" s="561"/>
      <c r="K44" s="561"/>
      <c r="L44" s="290" t="s">
        <v>10245</v>
      </c>
      <c r="M44" s="286">
        <f t="shared" si="1"/>
        <v>39</v>
      </c>
      <c r="N44" s="342"/>
      <c r="O44" s="342"/>
      <c r="P44" s="342"/>
      <c r="Q44" s="342"/>
      <c r="R44" s="342"/>
      <c r="S44" s="342"/>
      <c r="T44" s="342"/>
      <c r="U44" s="342"/>
      <c r="V44" s="342"/>
      <c r="W44" s="342"/>
      <c r="X44" s="342"/>
      <c r="Y44" s="342"/>
    </row>
    <row r="45" ht="87.0" customHeight="1">
      <c r="A45" s="370">
        <v>8.600002929E9</v>
      </c>
      <c r="B45" s="285" t="s">
        <v>10194</v>
      </c>
      <c r="C45" s="285" t="s">
        <v>5665</v>
      </c>
      <c r="D45" s="285" t="s">
        <v>10246</v>
      </c>
      <c r="E45" s="290" t="s">
        <v>5968</v>
      </c>
      <c r="F45" s="288">
        <v>45561.0</v>
      </c>
      <c r="G45" s="288">
        <v>45573.0</v>
      </c>
      <c r="H45" s="288">
        <v>45574.0</v>
      </c>
      <c r="I45" s="288">
        <v>45574.0</v>
      </c>
      <c r="J45" s="285" t="s">
        <v>4841</v>
      </c>
      <c r="K45" s="561"/>
      <c r="L45" s="290" t="s">
        <v>10247</v>
      </c>
      <c r="M45" s="286">
        <f t="shared" si="1"/>
        <v>39</v>
      </c>
      <c r="N45" s="342"/>
      <c r="O45" s="342"/>
      <c r="P45" s="342"/>
      <c r="Q45" s="342"/>
      <c r="R45" s="342"/>
      <c r="S45" s="342"/>
      <c r="T45" s="342"/>
      <c r="U45" s="342"/>
      <c r="V45" s="342"/>
      <c r="W45" s="342"/>
      <c r="X45" s="342"/>
      <c r="Y45" s="342"/>
    </row>
    <row r="46" ht="84.0" customHeight="1">
      <c r="A46" s="370">
        <v>8.600002901E9</v>
      </c>
      <c r="B46" s="299" t="s">
        <v>14</v>
      </c>
      <c r="C46" s="285" t="s">
        <v>5719</v>
      </c>
      <c r="D46" s="285" t="s">
        <v>10248</v>
      </c>
      <c r="E46" s="290" t="s">
        <v>10249</v>
      </c>
      <c r="F46" s="288">
        <v>45556.0</v>
      </c>
      <c r="G46" s="288">
        <v>45546.0</v>
      </c>
      <c r="H46" s="288">
        <v>45560.0</v>
      </c>
      <c r="I46" s="285" t="s">
        <v>10250</v>
      </c>
      <c r="J46" s="561"/>
      <c r="K46" s="561"/>
      <c r="L46" s="290" t="s">
        <v>10251</v>
      </c>
      <c r="M46" s="286">
        <f t="shared" si="1"/>
        <v>38</v>
      </c>
      <c r="N46" s="342"/>
      <c r="O46" s="342"/>
      <c r="P46" s="342"/>
      <c r="Q46" s="342"/>
      <c r="R46" s="342"/>
      <c r="S46" s="342"/>
      <c r="T46" s="342"/>
      <c r="U46" s="342"/>
      <c r="V46" s="342"/>
      <c r="W46" s="342"/>
      <c r="X46" s="342"/>
      <c r="Y46" s="342"/>
    </row>
    <row r="47" ht="84.0" customHeight="1">
      <c r="A47" s="370">
        <v>8.600002942E9</v>
      </c>
      <c r="B47" s="299" t="s">
        <v>25</v>
      </c>
      <c r="C47" s="285" t="s">
        <v>5649</v>
      </c>
      <c r="D47" s="285" t="s">
        <v>10252</v>
      </c>
      <c r="E47" s="290" t="s">
        <v>10253</v>
      </c>
      <c r="F47" s="288">
        <v>45549.0</v>
      </c>
      <c r="G47" s="288">
        <v>45544.0</v>
      </c>
      <c r="H47" s="288">
        <v>45553.0</v>
      </c>
      <c r="I47" s="285" t="s">
        <v>10254</v>
      </c>
      <c r="J47" s="561"/>
      <c r="K47" s="561"/>
      <c r="L47" s="290" t="s">
        <v>10255</v>
      </c>
      <c r="M47" s="286">
        <f t="shared" si="1"/>
        <v>37</v>
      </c>
      <c r="N47" s="342"/>
      <c r="O47" s="342"/>
      <c r="P47" s="342"/>
      <c r="Q47" s="342"/>
      <c r="R47" s="342"/>
      <c r="S47" s="342"/>
      <c r="T47" s="342"/>
      <c r="U47" s="342"/>
      <c r="V47" s="342"/>
      <c r="W47" s="342"/>
      <c r="X47" s="342"/>
      <c r="Y47" s="342"/>
    </row>
    <row r="48" ht="84.0" customHeight="1">
      <c r="A48" s="370">
        <v>8.500000265E9</v>
      </c>
      <c r="B48" s="299" t="s">
        <v>14</v>
      </c>
      <c r="C48" s="285" t="s">
        <v>5712</v>
      </c>
      <c r="D48" s="285" t="s">
        <v>10256</v>
      </c>
      <c r="E48" s="290" t="s">
        <v>8183</v>
      </c>
      <c r="F48" s="288">
        <v>45546.0</v>
      </c>
      <c r="G48" s="288">
        <v>45540.0</v>
      </c>
      <c r="H48" s="288">
        <v>45552.0</v>
      </c>
      <c r="I48" s="288">
        <v>45552.0</v>
      </c>
      <c r="J48" s="561"/>
      <c r="K48" s="561"/>
      <c r="L48" s="290" t="s">
        <v>10257</v>
      </c>
      <c r="M48" s="286">
        <f t="shared" si="1"/>
        <v>37</v>
      </c>
      <c r="N48" s="342"/>
      <c r="O48" s="342"/>
      <c r="P48" s="342"/>
      <c r="Q48" s="342"/>
      <c r="R48" s="342"/>
      <c r="S48" s="342"/>
      <c r="T48" s="342"/>
      <c r="U48" s="342"/>
      <c r="V48" s="342"/>
      <c r="W48" s="342"/>
      <c r="X48" s="342"/>
      <c r="Y48" s="342"/>
    </row>
    <row r="49" ht="87.75" customHeight="1">
      <c r="A49" s="370">
        <v>8.600002946E9</v>
      </c>
      <c r="B49" s="299" t="s">
        <v>4960</v>
      </c>
      <c r="C49" s="285" t="s">
        <v>3471</v>
      </c>
      <c r="D49" s="285" t="s">
        <v>4925</v>
      </c>
      <c r="E49" s="290" t="s">
        <v>5955</v>
      </c>
      <c r="F49" s="288">
        <v>45538.0</v>
      </c>
      <c r="G49" s="288">
        <v>45538.0</v>
      </c>
      <c r="H49" s="288">
        <v>45540.0</v>
      </c>
      <c r="I49" s="288">
        <v>45540.0</v>
      </c>
      <c r="J49" s="285" t="s">
        <v>4841</v>
      </c>
      <c r="K49" s="285"/>
      <c r="L49" s="290" t="s">
        <v>10258</v>
      </c>
      <c r="M49" s="286">
        <f t="shared" si="1"/>
        <v>36</v>
      </c>
      <c r="N49" s="342"/>
      <c r="O49" s="342"/>
      <c r="P49" s="342"/>
      <c r="Q49" s="342"/>
      <c r="R49" s="342"/>
      <c r="S49" s="342"/>
      <c r="T49" s="342"/>
      <c r="U49" s="342"/>
      <c r="V49" s="342"/>
      <c r="W49" s="342"/>
      <c r="X49" s="342"/>
      <c r="Y49" s="342"/>
    </row>
    <row r="50" ht="84.0" customHeight="1">
      <c r="A50" s="370">
        <v>8.500000259E9</v>
      </c>
      <c r="B50" s="299" t="s">
        <v>14</v>
      </c>
      <c r="C50" s="285" t="s">
        <v>5726</v>
      </c>
      <c r="D50" s="285" t="s">
        <v>10259</v>
      </c>
      <c r="E50" s="290" t="s">
        <v>2116</v>
      </c>
      <c r="F50" s="288">
        <v>45536.0</v>
      </c>
      <c r="G50" s="288">
        <v>45529.0</v>
      </c>
      <c r="H50" s="288">
        <v>45547.0</v>
      </c>
      <c r="I50" s="285" t="s">
        <v>10260</v>
      </c>
      <c r="J50" s="561"/>
      <c r="K50" s="561"/>
      <c r="L50" s="290" t="s">
        <v>10261</v>
      </c>
      <c r="M50" s="286">
        <f t="shared" si="1"/>
        <v>36</v>
      </c>
      <c r="N50" s="342"/>
      <c r="O50" s="342"/>
      <c r="P50" s="342"/>
      <c r="Q50" s="342"/>
      <c r="R50" s="342"/>
      <c r="S50" s="342"/>
      <c r="T50" s="342"/>
      <c r="U50" s="342"/>
      <c r="V50" s="342"/>
      <c r="W50" s="342"/>
      <c r="X50" s="342"/>
      <c r="Y50" s="342"/>
    </row>
    <row r="51" ht="84.0" customHeight="1">
      <c r="A51" s="370">
        <v>8.60000289E9</v>
      </c>
      <c r="B51" s="299" t="s">
        <v>25</v>
      </c>
      <c r="C51" s="285" t="s">
        <v>3386</v>
      </c>
      <c r="D51" s="285" t="s">
        <v>10262</v>
      </c>
      <c r="E51" s="290" t="s">
        <v>5962</v>
      </c>
      <c r="F51" s="288">
        <v>45535.0</v>
      </c>
      <c r="G51" s="288">
        <v>45530.0</v>
      </c>
      <c r="H51" s="288">
        <v>45540.0</v>
      </c>
      <c r="I51" s="288">
        <v>45540.0</v>
      </c>
      <c r="J51" s="561"/>
      <c r="K51" s="561"/>
      <c r="L51" s="290" t="s">
        <v>10263</v>
      </c>
      <c r="M51" s="286">
        <f t="shared" si="1"/>
        <v>35</v>
      </c>
      <c r="N51" s="342"/>
      <c r="O51" s="342"/>
      <c r="P51" s="342"/>
      <c r="Q51" s="342"/>
      <c r="R51" s="342"/>
      <c r="S51" s="342"/>
      <c r="T51" s="342"/>
      <c r="U51" s="342"/>
      <c r="V51" s="342"/>
      <c r="W51" s="342"/>
      <c r="X51" s="342"/>
      <c r="Y51" s="342"/>
    </row>
    <row r="52" ht="84.0" customHeight="1">
      <c r="A52" s="370">
        <v>8.500000264E9</v>
      </c>
      <c r="B52" s="299" t="s">
        <v>14</v>
      </c>
      <c r="C52" s="285" t="s">
        <v>6009</v>
      </c>
      <c r="D52" s="285" t="s">
        <v>10264</v>
      </c>
      <c r="E52" s="290" t="s">
        <v>8183</v>
      </c>
      <c r="F52" s="288">
        <v>45534.0</v>
      </c>
      <c r="G52" s="288">
        <v>45530.0</v>
      </c>
      <c r="H52" s="288">
        <v>45545.0</v>
      </c>
      <c r="I52" s="285" t="s">
        <v>10265</v>
      </c>
      <c r="J52" s="561"/>
      <c r="K52" s="561"/>
      <c r="L52" s="290" t="s">
        <v>10266</v>
      </c>
      <c r="M52" s="286">
        <f t="shared" si="1"/>
        <v>35</v>
      </c>
      <c r="N52" s="342"/>
      <c r="O52" s="342"/>
      <c r="P52" s="342"/>
      <c r="Q52" s="342"/>
      <c r="R52" s="342"/>
      <c r="S52" s="342"/>
      <c r="T52" s="342"/>
      <c r="U52" s="342"/>
      <c r="V52" s="342"/>
      <c r="W52" s="342"/>
      <c r="X52" s="342"/>
      <c r="Y52" s="342"/>
    </row>
    <row r="53" ht="84.0" customHeight="1">
      <c r="A53" s="370">
        <v>8.600002893E9</v>
      </c>
      <c r="B53" s="285" t="s">
        <v>21</v>
      </c>
      <c r="C53" s="285" t="s">
        <v>5649</v>
      </c>
      <c r="D53" s="285" t="s">
        <v>10267</v>
      </c>
      <c r="E53" s="290" t="s">
        <v>10241</v>
      </c>
      <c r="F53" s="288">
        <v>45530.0</v>
      </c>
      <c r="G53" s="288">
        <v>45523.0</v>
      </c>
      <c r="H53" s="288">
        <v>45541.0</v>
      </c>
      <c r="I53" s="285" t="s">
        <v>10268</v>
      </c>
      <c r="J53" s="428" t="s">
        <v>10269</v>
      </c>
      <c r="K53" s="428" t="s">
        <v>9178</v>
      </c>
      <c r="L53" s="290" t="s">
        <v>10270</v>
      </c>
      <c r="M53" s="286">
        <f t="shared" si="1"/>
        <v>35</v>
      </c>
      <c r="N53" s="342"/>
      <c r="O53" s="342"/>
      <c r="P53" s="342"/>
      <c r="Q53" s="342"/>
      <c r="R53" s="342"/>
      <c r="S53" s="342"/>
      <c r="T53" s="342"/>
      <c r="U53" s="342"/>
      <c r="V53" s="342"/>
      <c r="W53" s="342"/>
      <c r="X53" s="342"/>
      <c r="Y53" s="342"/>
    </row>
    <row r="54" ht="84.0" customHeight="1">
      <c r="A54" s="370">
        <v>8.500000256E9</v>
      </c>
      <c r="B54" s="299" t="s">
        <v>14</v>
      </c>
      <c r="C54" s="285" t="s">
        <v>3420</v>
      </c>
      <c r="D54" s="285" t="s">
        <v>10271</v>
      </c>
      <c r="E54" s="290" t="s">
        <v>8271</v>
      </c>
      <c r="F54" s="288">
        <v>45529.0</v>
      </c>
      <c r="G54" s="288">
        <v>45523.0</v>
      </c>
      <c r="H54" s="288">
        <v>45541.0</v>
      </c>
      <c r="I54" s="288">
        <v>45541.0</v>
      </c>
      <c r="J54" s="561"/>
      <c r="K54" s="561"/>
      <c r="L54" s="290" t="s">
        <v>10272</v>
      </c>
      <c r="M54" s="286">
        <f t="shared" si="1"/>
        <v>35</v>
      </c>
      <c r="N54" s="342"/>
      <c r="O54" s="342"/>
      <c r="P54" s="342"/>
      <c r="Q54" s="342"/>
      <c r="R54" s="342"/>
      <c r="S54" s="342"/>
      <c r="T54" s="342"/>
      <c r="U54" s="342"/>
      <c r="V54" s="342"/>
      <c r="W54" s="342"/>
      <c r="X54" s="342"/>
      <c r="Y54" s="342"/>
    </row>
    <row r="55" ht="84.0" customHeight="1">
      <c r="A55" s="370">
        <v>8.500000269E9</v>
      </c>
      <c r="B55" s="299" t="s">
        <v>25</v>
      </c>
      <c r="C55" s="285" t="s">
        <v>3436</v>
      </c>
      <c r="D55" s="285" t="s">
        <v>10273</v>
      </c>
      <c r="E55" s="290" t="s">
        <v>8183</v>
      </c>
      <c r="F55" s="288">
        <v>45528.0</v>
      </c>
      <c r="G55" s="288">
        <v>45524.0</v>
      </c>
      <c r="H55" s="288">
        <v>45534.0</v>
      </c>
      <c r="I55" s="288">
        <v>45534.0</v>
      </c>
      <c r="J55" s="561"/>
      <c r="K55" s="561"/>
      <c r="L55" s="290" t="s">
        <v>10274</v>
      </c>
      <c r="M55" s="286">
        <f t="shared" si="1"/>
        <v>34</v>
      </c>
      <c r="N55" s="342"/>
      <c r="O55" s="342"/>
      <c r="P55" s="342"/>
      <c r="Q55" s="342"/>
      <c r="R55" s="342"/>
      <c r="S55" s="342"/>
      <c r="T55" s="342"/>
      <c r="U55" s="342"/>
      <c r="V55" s="342"/>
      <c r="W55" s="342"/>
      <c r="X55" s="342"/>
      <c r="Y55" s="342"/>
    </row>
    <row r="56" ht="84.0" customHeight="1">
      <c r="A56" s="370">
        <v>8.500000266E9</v>
      </c>
      <c r="B56" s="285" t="s">
        <v>21</v>
      </c>
      <c r="C56" s="285" t="s">
        <v>5539</v>
      </c>
      <c r="D56" s="285" t="s">
        <v>10275</v>
      </c>
      <c r="E56" s="290" t="s">
        <v>8183</v>
      </c>
      <c r="F56" s="288">
        <v>45522.0</v>
      </c>
      <c r="G56" s="288">
        <v>45518.0</v>
      </c>
      <c r="H56" s="288">
        <v>45525.0</v>
      </c>
      <c r="I56" s="288">
        <v>45525.0</v>
      </c>
      <c r="J56" s="285" t="s">
        <v>4841</v>
      </c>
      <c r="K56" s="285"/>
      <c r="L56" s="290" t="s">
        <v>10276</v>
      </c>
      <c r="M56" s="286">
        <f t="shared" si="1"/>
        <v>34</v>
      </c>
      <c r="N56" s="342"/>
      <c r="O56" s="342"/>
      <c r="P56" s="342"/>
      <c r="Q56" s="342"/>
      <c r="R56" s="342"/>
      <c r="S56" s="342"/>
      <c r="T56" s="342"/>
      <c r="U56" s="342"/>
      <c r="V56" s="342"/>
      <c r="W56" s="342"/>
      <c r="X56" s="342"/>
      <c r="Y56" s="342"/>
    </row>
    <row r="57" ht="84.0" customHeight="1">
      <c r="A57" s="370">
        <v>8.600002845E9</v>
      </c>
      <c r="B57" s="299" t="s">
        <v>14</v>
      </c>
      <c r="C57" s="285" t="s">
        <v>5520</v>
      </c>
      <c r="D57" s="285" t="s">
        <v>10277</v>
      </c>
      <c r="E57" s="290" t="s">
        <v>10236</v>
      </c>
      <c r="F57" s="288">
        <v>45521.0</v>
      </c>
      <c r="G57" s="288">
        <v>45517.0</v>
      </c>
      <c r="H57" s="288">
        <v>45525.0</v>
      </c>
      <c r="I57" s="285" t="s">
        <v>10278</v>
      </c>
      <c r="J57" s="561"/>
      <c r="K57" s="561"/>
      <c r="L57" s="290" t="s">
        <v>10279</v>
      </c>
      <c r="M57" s="286">
        <f t="shared" si="1"/>
        <v>33</v>
      </c>
      <c r="N57" s="342"/>
      <c r="O57" s="342"/>
      <c r="P57" s="342"/>
      <c r="Q57" s="342"/>
      <c r="R57" s="342"/>
      <c r="S57" s="342"/>
      <c r="T57" s="342"/>
      <c r="U57" s="342"/>
      <c r="V57" s="342"/>
      <c r="W57" s="342"/>
      <c r="X57" s="342"/>
      <c r="Y57" s="342"/>
    </row>
    <row r="58" ht="84.0" customHeight="1">
      <c r="A58" s="370">
        <v>8.500000267E9</v>
      </c>
      <c r="B58" s="299" t="s">
        <v>25</v>
      </c>
      <c r="C58" s="285" t="s">
        <v>3646</v>
      </c>
      <c r="D58" s="285" t="s">
        <v>10280</v>
      </c>
      <c r="E58" s="290" t="s">
        <v>2116</v>
      </c>
      <c r="F58" s="288">
        <v>45521.0</v>
      </c>
      <c r="G58" s="288">
        <v>45516.0</v>
      </c>
      <c r="H58" s="288">
        <v>45525.0</v>
      </c>
      <c r="I58" s="288">
        <v>45525.0</v>
      </c>
      <c r="J58" s="561"/>
      <c r="K58" s="561"/>
      <c r="L58" s="290" t="s">
        <v>10281</v>
      </c>
      <c r="M58" s="286">
        <f t="shared" si="1"/>
        <v>33</v>
      </c>
      <c r="N58" s="342"/>
      <c r="O58" s="342"/>
      <c r="P58" s="342"/>
      <c r="Q58" s="342"/>
      <c r="R58" s="342"/>
      <c r="S58" s="342"/>
      <c r="T58" s="342"/>
      <c r="U58" s="342"/>
      <c r="V58" s="342"/>
      <c r="W58" s="342"/>
      <c r="X58" s="342"/>
      <c r="Y58" s="342"/>
    </row>
    <row r="59" ht="84.0" customHeight="1">
      <c r="A59" s="370">
        <v>8.500000263E9</v>
      </c>
      <c r="B59" s="299" t="s">
        <v>25</v>
      </c>
      <c r="C59" s="285" t="s">
        <v>5539</v>
      </c>
      <c r="D59" s="285" t="s">
        <v>10282</v>
      </c>
      <c r="E59" s="290" t="s">
        <v>8183</v>
      </c>
      <c r="F59" s="288">
        <v>45519.0</v>
      </c>
      <c r="G59" s="288">
        <v>45516.0</v>
      </c>
      <c r="H59" s="288">
        <v>45527.0</v>
      </c>
      <c r="I59" s="288">
        <v>45527.0</v>
      </c>
      <c r="J59" s="561"/>
      <c r="K59" s="561"/>
      <c r="L59" s="290" t="s">
        <v>10283</v>
      </c>
      <c r="M59" s="286">
        <f t="shared" si="1"/>
        <v>33</v>
      </c>
      <c r="N59" s="342"/>
      <c r="O59" s="342"/>
      <c r="P59" s="342"/>
      <c r="Q59" s="342"/>
      <c r="R59" s="342"/>
      <c r="S59" s="342"/>
      <c r="T59" s="342"/>
      <c r="U59" s="342"/>
      <c r="V59" s="342"/>
      <c r="W59" s="342"/>
      <c r="X59" s="342"/>
      <c r="Y59" s="342"/>
    </row>
    <row r="60" ht="84.0" customHeight="1">
      <c r="A60" s="370">
        <v>8.60000285E9</v>
      </c>
      <c r="B60" s="299" t="s">
        <v>14</v>
      </c>
      <c r="C60" s="285" t="s">
        <v>3420</v>
      </c>
      <c r="D60" s="285" t="s">
        <v>10284</v>
      </c>
      <c r="E60" s="290" t="s">
        <v>5968</v>
      </c>
      <c r="F60" s="288">
        <v>45519.0</v>
      </c>
      <c r="G60" s="288">
        <v>45513.0</v>
      </c>
      <c r="H60" s="288">
        <v>45523.0</v>
      </c>
      <c r="I60" s="288">
        <v>45523.0</v>
      </c>
      <c r="J60" s="561"/>
      <c r="K60" s="561"/>
      <c r="L60" s="290" t="s">
        <v>10285</v>
      </c>
      <c r="M60" s="286">
        <f t="shared" si="1"/>
        <v>33</v>
      </c>
      <c r="N60" s="342"/>
      <c r="O60" s="342"/>
      <c r="P60" s="342"/>
      <c r="Q60" s="342"/>
      <c r="R60" s="342"/>
      <c r="S60" s="342"/>
      <c r="T60" s="342"/>
      <c r="U60" s="342"/>
      <c r="V60" s="342"/>
      <c r="W60" s="342"/>
      <c r="X60" s="342"/>
      <c r="Y60" s="342"/>
    </row>
    <row r="61" ht="84.0" customHeight="1">
      <c r="A61" s="370">
        <v>8.600002896E9</v>
      </c>
      <c r="B61" s="299" t="s">
        <v>25</v>
      </c>
      <c r="C61" s="285" t="s">
        <v>10286</v>
      </c>
      <c r="D61" s="285" t="s">
        <v>10287</v>
      </c>
      <c r="E61" s="290" t="s">
        <v>10236</v>
      </c>
      <c r="F61" s="288">
        <v>45515.0</v>
      </c>
      <c r="G61" s="288">
        <v>45513.0</v>
      </c>
      <c r="H61" s="288">
        <v>45517.0</v>
      </c>
      <c r="I61" s="288" t="s">
        <v>10288</v>
      </c>
      <c r="J61" s="561"/>
      <c r="K61" s="561"/>
      <c r="L61" s="290" t="s">
        <v>10289</v>
      </c>
      <c r="M61" s="286">
        <f t="shared" si="1"/>
        <v>33</v>
      </c>
      <c r="N61" s="342"/>
      <c r="O61" s="342"/>
      <c r="P61" s="342"/>
      <c r="Q61" s="342"/>
      <c r="R61" s="342"/>
      <c r="S61" s="342"/>
      <c r="T61" s="342"/>
      <c r="U61" s="342"/>
      <c r="V61" s="342"/>
      <c r="W61" s="342"/>
      <c r="X61" s="342"/>
      <c r="Y61" s="342"/>
    </row>
    <row r="62" ht="84.0" customHeight="1">
      <c r="A62" s="370">
        <v>8.600002864E9</v>
      </c>
      <c r="B62" s="299" t="s">
        <v>25</v>
      </c>
      <c r="C62" s="285" t="s">
        <v>3454</v>
      </c>
      <c r="D62" s="285" t="s">
        <v>10290</v>
      </c>
      <c r="E62" s="290" t="s">
        <v>5968</v>
      </c>
      <c r="F62" s="288">
        <v>45513.0</v>
      </c>
      <c r="G62" s="288">
        <v>45509.0</v>
      </c>
      <c r="H62" s="288">
        <v>45519.0</v>
      </c>
      <c r="I62" s="288">
        <v>45519.0</v>
      </c>
      <c r="J62" s="561"/>
      <c r="K62" s="561"/>
      <c r="L62" s="290" t="s">
        <v>10291</v>
      </c>
      <c r="M62" s="286">
        <f t="shared" si="1"/>
        <v>32</v>
      </c>
      <c r="N62" s="342"/>
      <c r="O62" s="342"/>
      <c r="P62" s="342"/>
      <c r="Q62" s="342"/>
      <c r="R62" s="342"/>
      <c r="S62" s="342"/>
      <c r="T62" s="342"/>
      <c r="U62" s="342"/>
      <c r="V62" s="342"/>
      <c r="W62" s="342"/>
      <c r="X62" s="342"/>
      <c r="Y62" s="342"/>
    </row>
    <row r="63" ht="84.0" customHeight="1">
      <c r="A63" s="370">
        <v>8.600002835E9</v>
      </c>
      <c r="B63" s="299" t="s">
        <v>14</v>
      </c>
      <c r="C63" s="285" t="s">
        <v>5539</v>
      </c>
      <c r="D63" s="285" t="s">
        <v>10292</v>
      </c>
      <c r="E63" s="290" t="s">
        <v>10293</v>
      </c>
      <c r="F63" s="288">
        <v>45509.0</v>
      </c>
      <c r="G63" s="288">
        <v>45505.0</v>
      </c>
      <c r="H63" s="288">
        <v>45513.0</v>
      </c>
      <c r="I63" s="285" t="s">
        <v>10294</v>
      </c>
      <c r="J63" s="561"/>
      <c r="K63" s="561"/>
      <c r="L63" s="290" t="s">
        <v>10295</v>
      </c>
      <c r="M63" s="286">
        <f t="shared" si="1"/>
        <v>32</v>
      </c>
      <c r="N63" s="342"/>
      <c r="O63" s="342"/>
      <c r="P63" s="342"/>
      <c r="Q63" s="342"/>
      <c r="R63" s="342"/>
      <c r="S63" s="342"/>
      <c r="T63" s="342"/>
      <c r="U63" s="342"/>
      <c r="V63" s="342"/>
      <c r="W63" s="342"/>
      <c r="X63" s="342"/>
      <c r="Y63" s="342"/>
    </row>
    <row r="64" ht="84.0" customHeight="1">
      <c r="A64" s="370">
        <v>8.500000261E9</v>
      </c>
      <c r="B64" s="285" t="s">
        <v>21</v>
      </c>
      <c r="C64" s="285" t="s">
        <v>3471</v>
      </c>
      <c r="D64" s="285" t="s">
        <v>10296</v>
      </c>
      <c r="E64" s="290" t="s">
        <v>8183</v>
      </c>
      <c r="F64" s="288">
        <v>45505.0</v>
      </c>
      <c r="G64" s="288">
        <v>45502.0</v>
      </c>
      <c r="H64" s="288">
        <v>45510.0</v>
      </c>
      <c r="I64" s="288">
        <v>45510.0</v>
      </c>
      <c r="J64" s="285" t="s">
        <v>4841</v>
      </c>
      <c r="K64" s="285"/>
      <c r="L64" s="290" t="s">
        <v>10297</v>
      </c>
      <c r="M64" s="286">
        <f t="shared" si="1"/>
        <v>31</v>
      </c>
      <c r="N64" s="342"/>
      <c r="O64" s="342"/>
      <c r="P64" s="342"/>
      <c r="Q64" s="342"/>
      <c r="R64" s="342"/>
      <c r="S64" s="342"/>
      <c r="T64" s="342"/>
      <c r="U64" s="342"/>
      <c r="V64" s="342"/>
      <c r="W64" s="342"/>
      <c r="X64" s="342"/>
      <c r="Y64" s="342"/>
    </row>
    <row r="65" ht="84.0" customHeight="1">
      <c r="A65" s="370">
        <v>8.60000284E9</v>
      </c>
      <c r="B65" s="285" t="s">
        <v>10194</v>
      </c>
      <c r="C65" s="285" t="s">
        <v>10298</v>
      </c>
      <c r="D65" s="285" t="s">
        <v>10299</v>
      </c>
      <c r="E65" s="290" t="s">
        <v>5968</v>
      </c>
      <c r="F65" s="288">
        <v>45500.0</v>
      </c>
      <c r="G65" s="288">
        <v>45509.0</v>
      </c>
      <c r="H65" s="288">
        <v>45512.0</v>
      </c>
      <c r="I65" s="288">
        <v>45512.0</v>
      </c>
      <c r="J65" s="285" t="s">
        <v>4841</v>
      </c>
      <c r="K65" s="285"/>
      <c r="L65" s="290" t="s">
        <v>10300</v>
      </c>
      <c r="M65" s="286">
        <f t="shared" si="1"/>
        <v>30</v>
      </c>
      <c r="N65" s="342"/>
      <c r="O65" s="342"/>
      <c r="P65" s="342"/>
      <c r="Q65" s="342"/>
      <c r="R65" s="342"/>
      <c r="S65" s="342"/>
      <c r="T65" s="342"/>
      <c r="U65" s="342"/>
      <c r="V65" s="342"/>
      <c r="W65" s="342"/>
      <c r="X65" s="342"/>
      <c r="Y65" s="342"/>
    </row>
    <row r="66" ht="84.0" customHeight="1">
      <c r="A66" s="370">
        <v>8.500000253E9</v>
      </c>
      <c r="B66" s="299" t="s">
        <v>14</v>
      </c>
      <c r="C66" s="285" t="s">
        <v>10301</v>
      </c>
      <c r="D66" s="285" t="s">
        <v>10302</v>
      </c>
      <c r="E66" s="290" t="s">
        <v>8183</v>
      </c>
      <c r="F66" s="288">
        <v>45500.0</v>
      </c>
      <c r="G66" s="288">
        <v>45495.0</v>
      </c>
      <c r="H66" s="288">
        <v>45506.0</v>
      </c>
      <c r="I66" s="285" t="s">
        <v>10303</v>
      </c>
      <c r="J66" s="561"/>
      <c r="K66" s="561"/>
      <c r="L66" s="290" t="s">
        <v>10304</v>
      </c>
      <c r="M66" s="286">
        <f t="shared" si="1"/>
        <v>30</v>
      </c>
      <c r="N66" s="342"/>
      <c r="O66" s="342"/>
      <c r="P66" s="342"/>
      <c r="Q66" s="342"/>
      <c r="R66" s="342"/>
      <c r="S66" s="342"/>
      <c r="T66" s="342"/>
      <c r="U66" s="342"/>
      <c r="V66" s="342"/>
      <c r="W66" s="342"/>
      <c r="X66" s="342"/>
      <c r="Y66" s="342"/>
    </row>
    <row r="67" ht="84.0" customHeight="1">
      <c r="A67" s="370">
        <v>8.500000257E9</v>
      </c>
      <c r="B67" s="299" t="s">
        <v>21</v>
      </c>
      <c r="C67" s="285" t="s">
        <v>5712</v>
      </c>
      <c r="D67" s="285" t="s">
        <v>10305</v>
      </c>
      <c r="E67" s="290" t="s">
        <v>8183</v>
      </c>
      <c r="F67" s="288">
        <v>45500.0</v>
      </c>
      <c r="G67" s="288">
        <v>45499.0</v>
      </c>
      <c r="H67" s="288">
        <v>45506.0</v>
      </c>
      <c r="I67" s="288">
        <v>45506.0</v>
      </c>
      <c r="J67" s="285">
        <v>5579081.0</v>
      </c>
      <c r="K67" s="285" t="s">
        <v>9532</v>
      </c>
      <c r="L67" s="290" t="s">
        <v>10306</v>
      </c>
      <c r="M67" s="286">
        <f t="shared" si="1"/>
        <v>30</v>
      </c>
      <c r="N67" s="342"/>
      <c r="O67" s="342"/>
      <c r="P67" s="342"/>
      <c r="Q67" s="342"/>
      <c r="R67" s="342"/>
      <c r="S67" s="342"/>
      <c r="T67" s="342"/>
      <c r="U67" s="342"/>
      <c r="V67" s="342"/>
      <c r="W67" s="342"/>
      <c r="X67" s="342"/>
      <c r="Y67" s="342"/>
    </row>
    <row r="68" ht="84.0" customHeight="1">
      <c r="A68" s="370">
        <v>8.500000251E9</v>
      </c>
      <c r="B68" s="299" t="s">
        <v>14</v>
      </c>
      <c r="C68" s="285" t="s">
        <v>5626</v>
      </c>
      <c r="D68" s="285" t="s">
        <v>10307</v>
      </c>
      <c r="E68" s="290" t="s">
        <v>8183</v>
      </c>
      <c r="F68" s="288">
        <v>45495.0</v>
      </c>
      <c r="G68" s="288">
        <v>45481.0</v>
      </c>
      <c r="H68" s="288">
        <v>47323.0</v>
      </c>
      <c r="I68" s="285" t="s">
        <v>10308</v>
      </c>
      <c r="J68" s="561"/>
      <c r="K68" s="561"/>
      <c r="L68" s="290" t="s">
        <v>10309</v>
      </c>
      <c r="M68" s="286">
        <f t="shared" si="1"/>
        <v>30</v>
      </c>
      <c r="N68" s="342"/>
      <c r="O68" s="342"/>
      <c r="P68" s="342"/>
      <c r="Q68" s="342"/>
      <c r="R68" s="342"/>
      <c r="S68" s="342"/>
      <c r="T68" s="342"/>
      <c r="U68" s="342"/>
      <c r="V68" s="342"/>
      <c r="W68" s="342"/>
      <c r="X68" s="342"/>
      <c r="Y68" s="342"/>
    </row>
    <row r="69" ht="84.0" customHeight="1">
      <c r="A69" s="370">
        <v>8.500000254E9</v>
      </c>
      <c r="B69" s="299" t="s">
        <v>21</v>
      </c>
      <c r="C69" s="285" t="s">
        <v>3376</v>
      </c>
      <c r="D69" s="285" t="s">
        <v>10310</v>
      </c>
      <c r="E69" s="290" t="s">
        <v>5955</v>
      </c>
      <c r="F69" s="288">
        <v>45493.0</v>
      </c>
      <c r="G69" s="288">
        <v>45489.0</v>
      </c>
      <c r="H69" s="288">
        <v>45498.0</v>
      </c>
      <c r="I69" s="288">
        <v>45863.0</v>
      </c>
      <c r="J69" s="285">
        <v>5579081.0</v>
      </c>
      <c r="K69" s="285" t="s">
        <v>9532</v>
      </c>
      <c r="L69" s="290" t="s">
        <v>10311</v>
      </c>
      <c r="M69" s="286">
        <f t="shared" si="1"/>
        <v>29</v>
      </c>
      <c r="N69" s="342"/>
      <c r="O69" s="342"/>
      <c r="P69" s="342"/>
      <c r="Q69" s="342"/>
      <c r="R69" s="342"/>
      <c r="S69" s="342"/>
      <c r="T69" s="342"/>
      <c r="U69" s="342"/>
      <c r="V69" s="342"/>
      <c r="W69" s="342"/>
      <c r="X69" s="342"/>
      <c r="Y69" s="342"/>
    </row>
    <row r="70" ht="84.0" customHeight="1">
      <c r="A70" s="370">
        <v>8.600002841E9</v>
      </c>
      <c r="B70" s="299" t="s">
        <v>21</v>
      </c>
      <c r="C70" s="285" t="s">
        <v>3380</v>
      </c>
      <c r="D70" s="285" t="s">
        <v>10312</v>
      </c>
      <c r="E70" s="290" t="s">
        <v>10313</v>
      </c>
      <c r="F70" s="288">
        <v>45493.0</v>
      </c>
      <c r="G70" s="288">
        <v>45489.0</v>
      </c>
      <c r="H70" s="288">
        <v>45497.0</v>
      </c>
      <c r="I70" s="288">
        <v>45497.0</v>
      </c>
      <c r="J70" s="285">
        <v>5578756.0</v>
      </c>
      <c r="K70" s="285" t="s">
        <v>9532</v>
      </c>
      <c r="L70" s="290" t="s">
        <v>10314</v>
      </c>
      <c r="M70" s="286">
        <f t="shared" si="1"/>
        <v>29</v>
      </c>
      <c r="N70" s="342"/>
      <c r="O70" s="342"/>
      <c r="P70" s="342"/>
      <c r="Q70" s="342"/>
      <c r="R70" s="342"/>
      <c r="S70" s="342"/>
      <c r="T70" s="342"/>
      <c r="U70" s="342"/>
      <c r="V70" s="342"/>
      <c r="W70" s="342"/>
      <c r="X70" s="342"/>
      <c r="Y70" s="342"/>
    </row>
    <row r="71" ht="84.0" customHeight="1">
      <c r="A71" s="370">
        <v>8.600002809E9</v>
      </c>
      <c r="B71" s="299" t="s">
        <v>14</v>
      </c>
      <c r="C71" s="285" t="s">
        <v>5665</v>
      </c>
      <c r="D71" s="285" t="s">
        <v>10315</v>
      </c>
      <c r="E71" s="290" t="s">
        <v>5968</v>
      </c>
      <c r="F71" s="288">
        <v>45491.0</v>
      </c>
      <c r="G71" s="288">
        <v>45488.0</v>
      </c>
      <c r="H71" s="288">
        <v>45499.0</v>
      </c>
      <c r="I71" s="288">
        <v>45499.0</v>
      </c>
      <c r="J71" s="561"/>
      <c r="K71" s="561"/>
      <c r="L71" s="290" t="s">
        <v>10316</v>
      </c>
      <c r="M71" s="286">
        <f t="shared" si="1"/>
        <v>29</v>
      </c>
      <c r="N71" s="342"/>
      <c r="O71" s="342"/>
      <c r="P71" s="342"/>
      <c r="Q71" s="342"/>
      <c r="R71" s="342"/>
      <c r="S71" s="342"/>
      <c r="T71" s="342"/>
      <c r="U71" s="342"/>
      <c r="V71" s="342"/>
      <c r="W71" s="342"/>
      <c r="X71" s="342"/>
      <c r="Y71" s="342"/>
    </row>
    <row r="72" ht="84.0" customHeight="1">
      <c r="A72" s="370">
        <v>8.500000258E9</v>
      </c>
      <c r="B72" s="299" t="s">
        <v>25</v>
      </c>
      <c r="C72" s="285" t="s">
        <v>5792</v>
      </c>
      <c r="D72" s="285" t="s">
        <v>10317</v>
      </c>
      <c r="E72" s="290" t="s">
        <v>8183</v>
      </c>
      <c r="F72" s="288">
        <v>45491.0</v>
      </c>
      <c r="G72" s="288">
        <v>45488.0</v>
      </c>
      <c r="H72" s="288">
        <v>45496.0</v>
      </c>
      <c r="I72" s="288">
        <v>45496.0</v>
      </c>
      <c r="J72" s="561"/>
      <c r="K72" s="561"/>
      <c r="L72" s="290" t="s">
        <v>10318</v>
      </c>
      <c r="M72" s="286">
        <f t="shared" si="1"/>
        <v>29</v>
      </c>
      <c r="N72" s="342"/>
      <c r="O72" s="342"/>
      <c r="P72" s="342"/>
      <c r="Q72" s="342"/>
      <c r="R72" s="342"/>
      <c r="S72" s="342"/>
      <c r="T72" s="342"/>
      <c r="U72" s="342"/>
      <c r="V72" s="342"/>
      <c r="W72" s="342"/>
      <c r="X72" s="342"/>
      <c r="Y72" s="342"/>
    </row>
    <row r="73" ht="84.0" customHeight="1">
      <c r="A73" s="370">
        <v>8.600002846E9</v>
      </c>
      <c r="B73" s="299" t="s">
        <v>25</v>
      </c>
      <c r="C73" s="285" t="s">
        <v>10319</v>
      </c>
      <c r="D73" s="285" t="s">
        <v>10320</v>
      </c>
      <c r="E73" s="290" t="s">
        <v>10321</v>
      </c>
      <c r="F73" s="288">
        <v>45485.0</v>
      </c>
      <c r="G73" s="288">
        <v>45482.0</v>
      </c>
      <c r="H73" s="288">
        <v>45491.0</v>
      </c>
      <c r="I73" s="288">
        <v>45491.0</v>
      </c>
      <c r="J73" s="561"/>
      <c r="K73" s="561"/>
      <c r="L73" s="290" t="s">
        <v>10322</v>
      </c>
      <c r="M73" s="286">
        <f t="shared" si="1"/>
        <v>28</v>
      </c>
      <c r="N73" s="342"/>
      <c r="O73" s="342"/>
      <c r="P73" s="342"/>
      <c r="Q73" s="342"/>
      <c r="R73" s="342"/>
      <c r="S73" s="342"/>
      <c r="T73" s="342"/>
      <c r="U73" s="342"/>
      <c r="V73" s="342"/>
      <c r="W73" s="342"/>
      <c r="X73" s="342"/>
      <c r="Y73" s="342"/>
    </row>
    <row r="74" ht="84.0" customHeight="1">
      <c r="A74" s="370">
        <v>8.600002826E9</v>
      </c>
      <c r="B74" s="299" t="s">
        <v>21</v>
      </c>
      <c r="C74" s="285" t="s">
        <v>3404</v>
      </c>
      <c r="D74" s="285" t="s">
        <v>10323</v>
      </c>
      <c r="E74" s="290" t="s">
        <v>10324</v>
      </c>
      <c r="F74" s="288">
        <v>45483.0</v>
      </c>
      <c r="G74" s="288">
        <v>45475.0</v>
      </c>
      <c r="H74" s="288">
        <v>45489.0</v>
      </c>
      <c r="I74" s="288">
        <v>45489.0</v>
      </c>
      <c r="J74" s="285">
        <v>5578738.0</v>
      </c>
      <c r="K74" s="285" t="s">
        <v>9532</v>
      </c>
      <c r="L74" s="290" t="s">
        <v>10325</v>
      </c>
      <c r="M74" s="286">
        <f t="shared" si="1"/>
        <v>28</v>
      </c>
      <c r="N74" s="342"/>
      <c r="O74" s="342"/>
      <c r="P74" s="342"/>
      <c r="Q74" s="342"/>
      <c r="R74" s="342"/>
      <c r="S74" s="342"/>
      <c r="T74" s="342"/>
      <c r="U74" s="342"/>
      <c r="V74" s="342"/>
      <c r="W74" s="342"/>
      <c r="X74" s="342"/>
      <c r="Y74" s="342"/>
    </row>
    <row r="75" ht="84.0" customHeight="1">
      <c r="A75" s="370">
        <v>8.600002793E9</v>
      </c>
      <c r="B75" s="299" t="s">
        <v>25</v>
      </c>
      <c r="C75" s="285" t="s">
        <v>3420</v>
      </c>
      <c r="D75" s="285" t="s">
        <v>10326</v>
      </c>
      <c r="E75" s="290" t="s">
        <v>5968</v>
      </c>
      <c r="F75" s="288">
        <v>45473.0</v>
      </c>
      <c r="G75" s="288">
        <v>45469.0</v>
      </c>
      <c r="H75" s="288">
        <v>45475.0</v>
      </c>
      <c r="I75" s="288">
        <v>45475.0</v>
      </c>
      <c r="J75" s="561"/>
      <c r="K75" s="561"/>
      <c r="L75" s="290" t="s">
        <v>10327</v>
      </c>
      <c r="M75" s="286">
        <f t="shared" si="1"/>
        <v>27</v>
      </c>
      <c r="N75" s="342"/>
      <c r="O75" s="342"/>
      <c r="P75" s="342"/>
      <c r="Q75" s="342"/>
      <c r="R75" s="342"/>
      <c r="S75" s="342"/>
      <c r="T75" s="342"/>
      <c r="U75" s="342"/>
      <c r="V75" s="342"/>
      <c r="W75" s="342"/>
      <c r="X75" s="342"/>
      <c r="Y75" s="342"/>
    </row>
    <row r="76" ht="84.0" customHeight="1">
      <c r="A76" s="370">
        <v>8.600002794E9</v>
      </c>
      <c r="B76" s="299" t="s">
        <v>14</v>
      </c>
      <c r="C76" s="285" t="s">
        <v>6191</v>
      </c>
      <c r="D76" s="285" t="s">
        <v>10328</v>
      </c>
      <c r="E76" s="290" t="s">
        <v>10181</v>
      </c>
      <c r="F76" s="288">
        <v>45472.0</v>
      </c>
      <c r="G76" s="288">
        <v>45468.0</v>
      </c>
      <c r="H76" s="288">
        <v>45482.0</v>
      </c>
      <c r="I76" s="288" t="s">
        <v>10329</v>
      </c>
      <c r="J76" s="561"/>
      <c r="K76" s="561"/>
      <c r="L76" s="290" t="s">
        <v>10330</v>
      </c>
      <c r="M76" s="286">
        <f t="shared" si="1"/>
        <v>26</v>
      </c>
      <c r="N76" s="342"/>
      <c r="O76" s="342"/>
      <c r="P76" s="342"/>
      <c r="Q76" s="342"/>
      <c r="R76" s="342"/>
      <c r="S76" s="342"/>
      <c r="T76" s="342"/>
      <c r="U76" s="342"/>
      <c r="V76" s="342"/>
      <c r="W76" s="342"/>
      <c r="X76" s="342"/>
      <c r="Y76" s="342"/>
    </row>
    <row r="77" ht="84.0" customHeight="1">
      <c r="A77" s="370">
        <v>8.60000281E9</v>
      </c>
      <c r="B77" s="299" t="s">
        <v>25</v>
      </c>
      <c r="C77" s="285" t="s">
        <v>5577</v>
      </c>
      <c r="D77" s="285" t="s">
        <v>10331</v>
      </c>
      <c r="E77" s="290" t="s">
        <v>5968</v>
      </c>
      <c r="F77" s="288">
        <v>45471.0</v>
      </c>
      <c r="G77" s="288">
        <v>45467.0</v>
      </c>
      <c r="H77" s="288">
        <v>45484.0</v>
      </c>
      <c r="I77" s="288">
        <v>45484.0</v>
      </c>
      <c r="J77" s="561"/>
      <c r="K77" s="561"/>
      <c r="L77" s="290" t="s">
        <v>10332</v>
      </c>
      <c r="M77" s="286">
        <f t="shared" si="1"/>
        <v>26</v>
      </c>
      <c r="N77" s="342"/>
      <c r="O77" s="342"/>
      <c r="P77" s="342"/>
      <c r="Q77" s="342"/>
      <c r="R77" s="342"/>
      <c r="S77" s="342"/>
      <c r="T77" s="342"/>
      <c r="U77" s="342"/>
      <c r="V77" s="342"/>
      <c r="W77" s="342"/>
      <c r="X77" s="342"/>
      <c r="Y77" s="342"/>
    </row>
    <row r="78" ht="84.0" customHeight="1">
      <c r="A78" s="370">
        <v>8.500000252E9</v>
      </c>
      <c r="B78" s="299" t="s">
        <v>21</v>
      </c>
      <c r="C78" s="285" t="s">
        <v>3471</v>
      </c>
      <c r="D78" s="285" t="s">
        <v>10333</v>
      </c>
      <c r="E78" s="290" t="s">
        <v>2116</v>
      </c>
      <c r="F78" s="288">
        <v>45470.0</v>
      </c>
      <c r="G78" s="288">
        <v>45466.0</v>
      </c>
      <c r="H78" s="288">
        <v>45476.0</v>
      </c>
      <c r="I78" s="285" t="s">
        <v>10334</v>
      </c>
      <c r="J78" s="285">
        <v>5578738.0</v>
      </c>
      <c r="K78" s="285" t="s">
        <v>9532</v>
      </c>
      <c r="L78" s="290" t="s">
        <v>10335</v>
      </c>
      <c r="M78" s="286">
        <f t="shared" si="1"/>
        <v>26</v>
      </c>
      <c r="N78" s="342"/>
      <c r="O78" s="342"/>
      <c r="P78" s="342"/>
      <c r="Q78" s="342"/>
      <c r="R78" s="342"/>
      <c r="S78" s="342"/>
      <c r="T78" s="342"/>
      <c r="U78" s="342"/>
      <c r="V78" s="342"/>
      <c r="W78" s="342"/>
      <c r="X78" s="342"/>
      <c r="Y78" s="342"/>
    </row>
    <row r="79" ht="84.0" customHeight="1">
      <c r="A79" s="370">
        <v>8.500000248E9</v>
      </c>
      <c r="B79" s="299" t="s">
        <v>21</v>
      </c>
      <c r="C79" s="285" t="s">
        <v>5712</v>
      </c>
      <c r="D79" s="285" t="s">
        <v>10336</v>
      </c>
      <c r="E79" s="290" t="s">
        <v>8183</v>
      </c>
      <c r="F79" s="288">
        <v>45467.0</v>
      </c>
      <c r="G79" s="288">
        <v>45460.0</v>
      </c>
      <c r="H79" s="288">
        <v>45470.0</v>
      </c>
      <c r="I79" s="288">
        <v>45470.0</v>
      </c>
      <c r="J79" s="285">
        <v>5578738.0</v>
      </c>
      <c r="K79" s="285" t="s">
        <v>9532</v>
      </c>
      <c r="L79" s="290" t="s">
        <v>10337</v>
      </c>
      <c r="M79" s="286">
        <f t="shared" si="1"/>
        <v>26</v>
      </c>
      <c r="N79" s="342"/>
      <c r="O79" s="342"/>
      <c r="P79" s="342"/>
      <c r="Q79" s="342"/>
      <c r="R79" s="342"/>
      <c r="S79" s="342"/>
      <c r="T79" s="342"/>
      <c r="U79" s="342"/>
      <c r="V79" s="342"/>
      <c r="W79" s="342"/>
      <c r="X79" s="342"/>
      <c r="Y79" s="342"/>
    </row>
    <row r="80" ht="84.0" customHeight="1">
      <c r="A80" s="370">
        <v>8.500000246E9</v>
      </c>
      <c r="B80" s="299" t="s">
        <v>21</v>
      </c>
      <c r="C80" s="285" t="s">
        <v>5726</v>
      </c>
      <c r="D80" s="285" t="s">
        <v>10338</v>
      </c>
      <c r="E80" s="290" t="s">
        <v>2116</v>
      </c>
      <c r="F80" s="288">
        <v>45458.0</v>
      </c>
      <c r="G80" s="288">
        <v>45452.0</v>
      </c>
      <c r="H80" s="288">
        <v>45464.0</v>
      </c>
      <c r="I80" s="285" t="s">
        <v>10339</v>
      </c>
      <c r="J80" s="285">
        <v>5578708.0</v>
      </c>
      <c r="K80" s="285" t="s">
        <v>9532</v>
      </c>
      <c r="L80" s="290" t="s">
        <v>10340</v>
      </c>
      <c r="M80" s="286">
        <f t="shared" si="1"/>
        <v>24</v>
      </c>
      <c r="N80" s="342"/>
      <c r="O80" s="342"/>
      <c r="P80" s="342"/>
      <c r="Q80" s="342"/>
      <c r="R80" s="342"/>
      <c r="S80" s="342"/>
      <c r="T80" s="342"/>
      <c r="U80" s="342"/>
      <c r="V80" s="342"/>
      <c r="W80" s="342"/>
      <c r="X80" s="342"/>
      <c r="Y80" s="342"/>
    </row>
    <row r="81" ht="84.0" customHeight="1">
      <c r="A81" s="370">
        <v>8.600002779E9</v>
      </c>
      <c r="B81" s="299" t="s">
        <v>14</v>
      </c>
      <c r="C81" s="285" t="s">
        <v>10341</v>
      </c>
      <c r="D81" s="367" t="s">
        <v>10342</v>
      </c>
      <c r="E81" s="290" t="s">
        <v>5968</v>
      </c>
      <c r="F81" s="288">
        <v>45457.0</v>
      </c>
      <c r="G81" s="288">
        <v>45453.0</v>
      </c>
      <c r="H81" s="288">
        <v>45467.0</v>
      </c>
      <c r="I81" s="288">
        <v>45467.0</v>
      </c>
      <c r="J81" s="561"/>
      <c r="K81" s="561"/>
      <c r="L81" s="290" t="s">
        <v>10343</v>
      </c>
      <c r="M81" s="286">
        <f t="shared" si="1"/>
        <v>24</v>
      </c>
      <c r="N81" s="342"/>
      <c r="O81" s="342"/>
      <c r="P81" s="342"/>
      <c r="Q81" s="342"/>
      <c r="R81" s="342"/>
      <c r="S81" s="342"/>
      <c r="T81" s="342"/>
      <c r="U81" s="342"/>
      <c r="V81" s="342"/>
      <c r="W81" s="342"/>
      <c r="X81" s="342"/>
      <c r="Y81" s="342"/>
    </row>
    <row r="82" ht="84.0" customHeight="1">
      <c r="A82" s="370">
        <v>8.600002808E9</v>
      </c>
      <c r="B82" s="299" t="s">
        <v>25</v>
      </c>
      <c r="C82" s="285" t="s">
        <v>5604</v>
      </c>
      <c r="D82" s="285" t="s">
        <v>10344</v>
      </c>
      <c r="E82" s="290" t="s">
        <v>5982</v>
      </c>
      <c r="F82" s="288">
        <v>45454.0</v>
      </c>
      <c r="G82" s="288">
        <v>45449.0</v>
      </c>
      <c r="H82" s="288">
        <v>45457.0</v>
      </c>
      <c r="I82" s="288">
        <v>45457.0</v>
      </c>
      <c r="J82" s="561"/>
      <c r="K82" s="561"/>
      <c r="L82" s="290" t="s">
        <v>10345</v>
      </c>
      <c r="M82" s="286">
        <f t="shared" si="1"/>
        <v>24</v>
      </c>
      <c r="N82" s="342"/>
      <c r="O82" s="342"/>
      <c r="P82" s="342"/>
      <c r="Q82" s="342"/>
      <c r="R82" s="342"/>
      <c r="S82" s="342"/>
      <c r="T82" s="342"/>
      <c r="U82" s="342"/>
      <c r="V82" s="342"/>
      <c r="W82" s="342"/>
      <c r="X82" s="342"/>
      <c r="Y82" s="342"/>
    </row>
    <row r="83" ht="84.0" customHeight="1">
      <c r="A83" s="370">
        <v>8.500000242E9</v>
      </c>
      <c r="B83" s="299" t="s">
        <v>14</v>
      </c>
      <c r="C83" s="285" t="s">
        <v>3404</v>
      </c>
      <c r="D83" s="285" t="s">
        <v>10346</v>
      </c>
      <c r="E83" s="290" t="s">
        <v>8183</v>
      </c>
      <c r="F83" s="288">
        <v>45448.0</v>
      </c>
      <c r="G83" s="288">
        <v>45440.0</v>
      </c>
      <c r="H83" s="288">
        <v>45453.0</v>
      </c>
      <c r="I83" s="288">
        <v>45453.0</v>
      </c>
      <c r="J83" s="561"/>
      <c r="K83" s="561"/>
      <c r="L83" s="290" t="s">
        <v>10347</v>
      </c>
      <c r="M83" s="286">
        <f t="shared" si="1"/>
        <v>23</v>
      </c>
      <c r="N83" s="342"/>
      <c r="O83" s="342"/>
      <c r="P83" s="342"/>
      <c r="Q83" s="342"/>
      <c r="R83" s="342"/>
      <c r="S83" s="342"/>
      <c r="T83" s="342"/>
      <c r="U83" s="342"/>
      <c r="V83" s="342"/>
      <c r="W83" s="342"/>
      <c r="X83" s="342"/>
      <c r="Y83" s="342"/>
    </row>
    <row r="84" ht="84.0" customHeight="1">
      <c r="A84" s="370">
        <v>8.600002784E9</v>
      </c>
      <c r="B84" s="299" t="s">
        <v>25</v>
      </c>
      <c r="C84" s="285" t="s">
        <v>5928</v>
      </c>
      <c r="D84" s="285" t="s">
        <v>10348</v>
      </c>
      <c r="E84" s="290" t="s">
        <v>8265</v>
      </c>
      <c r="F84" s="288">
        <v>45443.0</v>
      </c>
      <c r="G84" s="288">
        <v>45440.0</v>
      </c>
      <c r="H84" s="288">
        <v>45448.0</v>
      </c>
      <c r="I84" s="288">
        <v>45448.0</v>
      </c>
      <c r="J84" s="561"/>
      <c r="K84" s="561"/>
      <c r="L84" s="290" t="s">
        <v>10349</v>
      </c>
      <c r="M84" s="286">
        <f t="shared" si="1"/>
        <v>22</v>
      </c>
      <c r="N84" s="342"/>
      <c r="O84" s="342"/>
      <c r="P84" s="342"/>
      <c r="Q84" s="342"/>
      <c r="R84" s="342"/>
      <c r="S84" s="342"/>
      <c r="T84" s="342"/>
      <c r="U84" s="342"/>
      <c r="V84" s="342"/>
      <c r="W84" s="342"/>
      <c r="X84" s="342"/>
      <c r="Y84" s="342"/>
    </row>
    <row r="85" ht="93.75" customHeight="1">
      <c r="A85" s="370">
        <v>8.600002781E9</v>
      </c>
      <c r="B85" s="299" t="s">
        <v>10194</v>
      </c>
      <c r="C85" s="285" t="s">
        <v>5665</v>
      </c>
      <c r="D85" s="285" t="s">
        <v>10350</v>
      </c>
      <c r="E85" s="290" t="s">
        <v>5968</v>
      </c>
      <c r="F85" s="288">
        <v>45442.0</v>
      </c>
      <c r="G85" s="288">
        <v>45460.0</v>
      </c>
      <c r="H85" s="288">
        <v>45462.0</v>
      </c>
      <c r="I85" s="288">
        <v>45462.0</v>
      </c>
      <c r="J85" s="285">
        <v>5578708.0</v>
      </c>
      <c r="K85" s="285" t="s">
        <v>9532</v>
      </c>
      <c r="L85" s="290" t="s">
        <v>10351</v>
      </c>
      <c r="M85" s="286">
        <f t="shared" si="1"/>
        <v>22</v>
      </c>
      <c r="N85" s="342"/>
      <c r="O85" s="342"/>
      <c r="P85" s="342"/>
      <c r="Q85" s="342"/>
      <c r="R85" s="342"/>
      <c r="S85" s="342"/>
      <c r="T85" s="342"/>
      <c r="U85" s="342"/>
      <c r="V85" s="342"/>
      <c r="W85" s="342"/>
      <c r="X85" s="342"/>
      <c r="Y85" s="342"/>
    </row>
    <row r="86" ht="84.0" customHeight="1">
      <c r="A86" s="370">
        <v>8.500000245E9</v>
      </c>
      <c r="B86" s="299" t="s">
        <v>21</v>
      </c>
      <c r="C86" s="285" t="s">
        <v>3436</v>
      </c>
      <c r="D86" s="285" t="s">
        <v>10352</v>
      </c>
      <c r="E86" s="290" t="s">
        <v>8183</v>
      </c>
      <c r="F86" s="288">
        <v>45439.0</v>
      </c>
      <c r="G86" s="288">
        <v>45435.0</v>
      </c>
      <c r="H86" s="288">
        <v>45443.0</v>
      </c>
      <c r="I86" s="288">
        <v>45443.0</v>
      </c>
      <c r="J86" s="285">
        <v>5578708.0</v>
      </c>
      <c r="K86" s="285" t="s">
        <v>9532</v>
      </c>
      <c r="L86" s="290" t="s">
        <v>10353</v>
      </c>
      <c r="M86" s="286">
        <f t="shared" si="1"/>
        <v>22</v>
      </c>
      <c r="N86" s="342"/>
      <c r="O86" s="342"/>
      <c r="P86" s="342"/>
      <c r="Q86" s="342"/>
      <c r="R86" s="342"/>
      <c r="S86" s="342"/>
      <c r="T86" s="342"/>
      <c r="U86" s="342"/>
      <c r="V86" s="342"/>
      <c r="W86" s="342"/>
      <c r="X86" s="342"/>
      <c r="Y86" s="342"/>
    </row>
    <row r="87" ht="93.0" customHeight="1">
      <c r="A87" s="370">
        <v>8.600002767E9</v>
      </c>
      <c r="B87" s="299" t="s">
        <v>10194</v>
      </c>
      <c r="C87" s="285" t="s">
        <v>5577</v>
      </c>
      <c r="D87" s="285" t="s">
        <v>10354</v>
      </c>
      <c r="E87" s="290" t="s">
        <v>5962</v>
      </c>
      <c r="F87" s="288">
        <v>45437.0</v>
      </c>
      <c r="G87" s="288">
        <v>45454.0</v>
      </c>
      <c r="H87" s="288">
        <v>45454.0</v>
      </c>
      <c r="I87" s="288">
        <v>45454.0</v>
      </c>
      <c r="J87" s="285">
        <v>5578708.0</v>
      </c>
      <c r="K87" s="285" t="s">
        <v>9532</v>
      </c>
      <c r="L87" s="290" t="s">
        <v>10355</v>
      </c>
      <c r="M87" s="286">
        <f t="shared" si="1"/>
        <v>21</v>
      </c>
      <c r="N87" s="342"/>
      <c r="O87" s="342"/>
      <c r="P87" s="342"/>
      <c r="Q87" s="342"/>
      <c r="R87" s="342"/>
      <c r="S87" s="342"/>
      <c r="T87" s="342"/>
      <c r="U87" s="342"/>
      <c r="V87" s="342"/>
      <c r="W87" s="342"/>
      <c r="X87" s="342"/>
      <c r="Y87" s="342"/>
    </row>
    <row r="88" ht="84.0" customHeight="1">
      <c r="A88" s="370">
        <v>8.600002753E9</v>
      </c>
      <c r="B88" s="299" t="s">
        <v>25</v>
      </c>
      <c r="C88" s="285" t="s">
        <v>3404</v>
      </c>
      <c r="D88" s="285" t="s">
        <v>10356</v>
      </c>
      <c r="E88" s="290" t="s">
        <v>10357</v>
      </c>
      <c r="F88" s="288">
        <v>45437.0</v>
      </c>
      <c r="G88" s="288">
        <v>45427.0</v>
      </c>
      <c r="H88" s="288">
        <v>45442.0</v>
      </c>
      <c r="I88" s="288">
        <v>45442.0</v>
      </c>
      <c r="J88" s="561"/>
      <c r="K88" s="561"/>
      <c r="L88" s="290" t="s">
        <v>10358</v>
      </c>
      <c r="M88" s="286">
        <f t="shared" si="1"/>
        <v>21</v>
      </c>
      <c r="N88" s="342"/>
      <c r="O88" s="342"/>
      <c r="P88" s="342"/>
      <c r="Q88" s="342"/>
      <c r="R88" s="342"/>
      <c r="S88" s="342"/>
      <c r="T88" s="342"/>
      <c r="U88" s="342"/>
      <c r="V88" s="342"/>
      <c r="W88" s="342"/>
      <c r="X88" s="342"/>
      <c r="Y88" s="342"/>
    </row>
    <row r="89" ht="84.0" customHeight="1">
      <c r="A89" s="370">
        <v>8.600002735E9</v>
      </c>
      <c r="B89" s="299" t="s">
        <v>14</v>
      </c>
      <c r="C89" s="285" t="s">
        <v>10359</v>
      </c>
      <c r="D89" s="285" t="s">
        <v>10360</v>
      </c>
      <c r="E89" s="290" t="s">
        <v>10181</v>
      </c>
      <c r="F89" s="288">
        <v>45433.0</v>
      </c>
      <c r="G89" s="288">
        <v>45428.0</v>
      </c>
      <c r="H89" s="288">
        <v>45441.0</v>
      </c>
      <c r="I89" s="285" t="s">
        <v>10361</v>
      </c>
      <c r="J89" s="561"/>
      <c r="K89" s="561"/>
      <c r="L89" s="290" t="s">
        <v>10362</v>
      </c>
      <c r="M89" s="286">
        <f t="shared" si="1"/>
        <v>21</v>
      </c>
      <c r="N89" s="342"/>
      <c r="O89" s="342"/>
      <c r="P89" s="342"/>
      <c r="Q89" s="342"/>
      <c r="R89" s="342"/>
      <c r="S89" s="342"/>
      <c r="T89" s="342"/>
      <c r="U89" s="342"/>
      <c r="V89" s="342"/>
      <c r="W89" s="342"/>
      <c r="X89" s="342"/>
      <c r="Y89" s="342"/>
    </row>
    <row r="90" ht="84.0" customHeight="1">
      <c r="A90" s="370">
        <v>8.600002776E9</v>
      </c>
      <c r="B90" s="299" t="s">
        <v>21</v>
      </c>
      <c r="C90" s="285" t="s">
        <v>3646</v>
      </c>
      <c r="D90" s="285" t="s">
        <v>10363</v>
      </c>
      <c r="E90" s="290" t="s">
        <v>10364</v>
      </c>
      <c r="F90" s="288">
        <v>45430.0</v>
      </c>
      <c r="G90" s="288">
        <v>45426.0</v>
      </c>
      <c r="H90" s="288">
        <v>45435.0</v>
      </c>
      <c r="I90" s="288">
        <v>45069.0</v>
      </c>
      <c r="J90" s="285">
        <v>5578692.0</v>
      </c>
      <c r="K90" s="285" t="s">
        <v>9532</v>
      </c>
      <c r="L90" s="290" t="s">
        <v>10365</v>
      </c>
      <c r="M90" s="286">
        <f t="shared" si="1"/>
        <v>20</v>
      </c>
      <c r="N90" s="342"/>
      <c r="O90" s="342"/>
      <c r="P90" s="342"/>
      <c r="Q90" s="342"/>
      <c r="R90" s="342"/>
      <c r="S90" s="342"/>
      <c r="T90" s="342"/>
      <c r="U90" s="342"/>
      <c r="V90" s="342"/>
      <c r="W90" s="342"/>
      <c r="X90" s="342"/>
      <c r="Y90" s="342"/>
    </row>
    <row r="91" ht="84.0" customHeight="1">
      <c r="A91" s="370">
        <v>8.50000024E9</v>
      </c>
      <c r="B91" s="299" t="s">
        <v>14</v>
      </c>
      <c r="C91" s="285" t="s">
        <v>5626</v>
      </c>
      <c r="D91" s="285" t="s">
        <v>10366</v>
      </c>
      <c r="E91" s="290" t="s">
        <v>8183</v>
      </c>
      <c r="F91" s="288">
        <v>45430.0</v>
      </c>
      <c r="G91" s="288">
        <v>45425.0</v>
      </c>
      <c r="H91" s="288">
        <v>45434.0</v>
      </c>
      <c r="I91" s="285" t="s">
        <v>10367</v>
      </c>
      <c r="J91" s="561"/>
      <c r="K91" s="561"/>
      <c r="L91" s="290" t="s">
        <v>10368</v>
      </c>
      <c r="M91" s="286">
        <f t="shared" si="1"/>
        <v>20</v>
      </c>
      <c r="N91" s="342"/>
      <c r="O91" s="342"/>
      <c r="P91" s="342"/>
      <c r="Q91" s="342"/>
      <c r="R91" s="342"/>
      <c r="S91" s="342"/>
      <c r="T91" s="342"/>
      <c r="U91" s="342"/>
      <c r="V91" s="342"/>
      <c r="W91" s="342"/>
      <c r="X91" s="342"/>
      <c r="Y91" s="342"/>
    </row>
    <row r="92" ht="73.5" customHeight="1">
      <c r="A92" s="370">
        <v>8.600002747E9</v>
      </c>
      <c r="B92" s="299" t="s">
        <v>14</v>
      </c>
      <c r="C92" s="285" t="s">
        <v>5665</v>
      </c>
      <c r="D92" s="367" t="s">
        <v>10369</v>
      </c>
      <c r="E92" s="290" t="s">
        <v>10357</v>
      </c>
      <c r="F92" s="288">
        <v>45430.0</v>
      </c>
      <c r="G92" s="288">
        <v>45426.0</v>
      </c>
      <c r="H92" s="288">
        <v>45440.0</v>
      </c>
      <c r="I92" s="288">
        <v>45440.0</v>
      </c>
      <c r="J92" s="561"/>
      <c r="K92" s="561"/>
      <c r="L92" s="290" t="s">
        <v>10370</v>
      </c>
      <c r="M92" s="286">
        <f t="shared" si="1"/>
        <v>20</v>
      </c>
      <c r="N92" s="342"/>
      <c r="O92" s="342"/>
      <c r="P92" s="342"/>
      <c r="Q92" s="342"/>
      <c r="R92" s="342"/>
      <c r="S92" s="342"/>
      <c r="T92" s="342"/>
      <c r="U92" s="342"/>
      <c r="V92" s="342"/>
      <c r="W92" s="342"/>
      <c r="X92" s="342"/>
      <c r="Y92" s="342"/>
    </row>
    <row r="93" ht="73.5" customHeight="1">
      <c r="A93" s="370">
        <v>8.500000244E9</v>
      </c>
      <c r="B93" s="299" t="s">
        <v>25</v>
      </c>
      <c r="C93" s="285" t="s">
        <v>5712</v>
      </c>
      <c r="D93" s="285" t="s">
        <v>10371</v>
      </c>
      <c r="E93" s="290" t="s">
        <v>8183</v>
      </c>
      <c r="F93" s="288">
        <v>45428.0</v>
      </c>
      <c r="G93" s="288">
        <v>45425.0</v>
      </c>
      <c r="H93" s="288">
        <v>45432.0</v>
      </c>
      <c r="I93" s="288">
        <v>45432.0</v>
      </c>
      <c r="J93" s="561"/>
      <c r="K93" s="561"/>
      <c r="L93" s="290" t="s">
        <v>10372</v>
      </c>
      <c r="M93" s="286">
        <f t="shared" si="1"/>
        <v>20</v>
      </c>
      <c r="N93" s="342"/>
      <c r="O93" s="342"/>
      <c r="P93" s="342"/>
      <c r="Q93" s="342"/>
      <c r="R93" s="342"/>
      <c r="S93" s="342"/>
      <c r="T93" s="342"/>
      <c r="U93" s="342"/>
      <c r="V93" s="342"/>
      <c r="W93" s="342"/>
      <c r="X93" s="342"/>
      <c r="Y93" s="342"/>
    </row>
    <row r="94" ht="73.5" customHeight="1">
      <c r="A94" s="370">
        <v>8.500000238E9</v>
      </c>
      <c r="B94" s="299" t="s">
        <v>14</v>
      </c>
      <c r="C94" s="285" t="s">
        <v>5735</v>
      </c>
      <c r="D94" s="285" t="s">
        <v>10373</v>
      </c>
      <c r="E94" s="290" t="s">
        <v>8183</v>
      </c>
      <c r="F94" s="288">
        <v>45425.0</v>
      </c>
      <c r="G94" s="288">
        <v>45421.0</v>
      </c>
      <c r="H94" s="288">
        <v>45428.0</v>
      </c>
      <c r="I94" s="285" t="s">
        <v>10374</v>
      </c>
      <c r="J94" s="561"/>
      <c r="K94" s="561"/>
      <c r="L94" s="290" t="s">
        <v>10375</v>
      </c>
      <c r="M94" s="286">
        <f t="shared" si="1"/>
        <v>20</v>
      </c>
      <c r="N94" s="342"/>
      <c r="O94" s="342"/>
      <c r="P94" s="342"/>
      <c r="Q94" s="342"/>
      <c r="R94" s="342"/>
      <c r="S94" s="342"/>
      <c r="T94" s="342"/>
      <c r="U94" s="342"/>
      <c r="V94" s="342"/>
      <c r="W94" s="342"/>
      <c r="X94" s="342"/>
      <c r="Y94" s="342"/>
    </row>
    <row r="95" ht="79.5" customHeight="1">
      <c r="A95" s="370">
        <v>8.600002746E9</v>
      </c>
      <c r="B95" s="299" t="s">
        <v>10194</v>
      </c>
      <c r="C95" s="285" t="s">
        <v>5665</v>
      </c>
      <c r="D95" s="285" t="s">
        <v>10376</v>
      </c>
      <c r="E95" s="290" t="s">
        <v>10357</v>
      </c>
      <c r="F95" s="288">
        <v>45423.0</v>
      </c>
      <c r="G95" s="288">
        <v>45435.0</v>
      </c>
      <c r="H95" s="288">
        <v>45436.0</v>
      </c>
      <c r="I95" s="288">
        <v>45436.0</v>
      </c>
      <c r="J95" s="285">
        <v>5578564.0</v>
      </c>
      <c r="K95" s="285" t="s">
        <v>9532</v>
      </c>
      <c r="L95" s="290" t="s">
        <v>10377</v>
      </c>
      <c r="M95" s="286">
        <f t="shared" si="1"/>
        <v>19</v>
      </c>
      <c r="N95" s="342"/>
      <c r="O95" s="342"/>
      <c r="P95" s="342"/>
      <c r="Q95" s="342"/>
      <c r="R95" s="342"/>
      <c r="S95" s="342"/>
      <c r="T95" s="342"/>
      <c r="U95" s="342"/>
      <c r="V95" s="342"/>
      <c r="W95" s="342"/>
      <c r="X95" s="342"/>
      <c r="Y95" s="342"/>
    </row>
    <row r="96" ht="73.5" customHeight="1">
      <c r="A96" s="370">
        <v>8.500000236E9</v>
      </c>
      <c r="B96" s="299" t="s">
        <v>14</v>
      </c>
      <c r="C96" s="285" t="s">
        <v>5580</v>
      </c>
      <c r="D96" s="285" t="s">
        <v>10378</v>
      </c>
      <c r="E96" s="290" t="s">
        <v>5581</v>
      </c>
      <c r="F96" s="288">
        <v>45423.0</v>
      </c>
      <c r="G96" s="288">
        <v>45419.0</v>
      </c>
      <c r="H96" s="288">
        <v>45432.0</v>
      </c>
      <c r="I96" s="288">
        <v>45432.0</v>
      </c>
      <c r="J96" s="561"/>
      <c r="K96" s="561"/>
      <c r="L96" s="290" t="s">
        <v>10379</v>
      </c>
      <c r="M96" s="286">
        <f t="shared" si="1"/>
        <v>19</v>
      </c>
      <c r="N96" s="342"/>
      <c r="O96" s="342"/>
      <c r="P96" s="342"/>
      <c r="Q96" s="342"/>
      <c r="R96" s="342"/>
      <c r="S96" s="342"/>
      <c r="T96" s="342"/>
      <c r="U96" s="342"/>
      <c r="V96" s="342"/>
      <c r="W96" s="342"/>
      <c r="X96" s="342"/>
      <c r="Y96" s="342"/>
    </row>
    <row r="97" ht="101.25" customHeight="1">
      <c r="A97" s="370">
        <v>8.600002724E9</v>
      </c>
      <c r="B97" s="299" t="s">
        <v>14</v>
      </c>
      <c r="C97" s="285" t="s">
        <v>10380</v>
      </c>
      <c r="D97" s="285" t="s">
        <v>10381</v>
      </c>
      <c r="E97" s="290" t="s">
        <v>8233</v>
      </c>
      <c r="F97" s="288">
        <v>45418.0</v>
      </c>
      <c r="G97" s="288">
        <v>45414.0</v>
      </c>
      <c r="H97" s="288">
        <v>45425.0</v>
      </c>
      <c r="I97" s="285" t="s">
        <v>10382</v>
      </c>
      <c r="J97" s="561"/>
      <c r="K97" s="561"/>
      <c r="L97" s="290" t="s">
        <v>10383</v>
      </c>
      <c r="M97" s="286">
        <f t="shared" si="1"/>
        <v>19</v>
      </c>
      <c r="N97" s="342"/>
      <c r="O97" s="342"/>
      <c r="P97" s="342"/>
      <c r="Q97" s="342"/>
      <c r="R97" s="342"/>
      <c r="S97" s="342"/>
      <c r="T97" s="342"/>
      <c r="U97" s="342"/>
      <c r="V97" s="342"/>
      <c r="W97" s="342"/>
      <c r="X97" s="342"/>
      <c r="Y97" s="342"/>
    </row>
    <row r="98" ht="86.25" customHeight="1">
      <c r="A98" s="370">
        <v>8.500000235E9</v>
      </c>
      <c r="B98" s="299" t="s">
        <v>10194</v>
      </c>
      <c r="C98" s="285" t="s">
        <v>5580</v>
      </c>
      <c r="D98" s="285" t="s">
        <v>10384</v>
      </c>
      <c r="E98" s="290" t="s">
        <v>10225</v>
      </c>
      <c r="F98" s="288">
        <v>45413.0</v>
      </c>
      <c r="G98" s="288">
        <v>45425.0</v>
      </c>
      <c r="H98" s="288">
        <v>45427.0</v>
      </c>
      <c r="I98" s="288">
        <v>45427.0</v>
      </c>
      <c r="J98" s="285">
        <v>5578564.0</v>
      </c>
      <c r="K98" s="285" t="s">
        <v>9532</v>
      </c>
      <c r="L98" s="290" t="s">
        <v>10385</v>
      </c>
      <c r="M98" s="286">
        <f t="shared" si="1"/>
        <v>18</v>
      </c>
      <c r="N98" s="342"/>
      <c r="O98" s="342"/>
      <c r="P98" s="342"/>
      <c r="Q98" s="342"/>
      <c r="R98" s="342"/>
      <c r="S98" s="342"/>
      <c r="T98" s="342"/>
      <c r="U98" s="342"/>
      <c r="V98" s="342"/>
      <c r="W98" s="342"/>
      <c r="X98" s="342"/>
      <c r="Y98" s="342"/>
    </row>
    <row r="99" ht="73.5" customHeight="1">
      <c r="A99" s="370">
        <v>8.600002736E9</v>
      </c>
      <c r="B99" s="299" t="s">
        <v>21</v>
      </c>
      <c r="C99" s="285" t="s">
        <v>3376</v>
      </c>
      <c r="D99" s="285" t="s">
        <v>10386</v>
      </c>
      <c r="E99" s="290" t="s">
        <v>10313</v>
      </c>
      <c r="F99" s="288">
        <v>45413.0</v>
      </c>
      <c r="G99" s="288">
        <v>45408.0</v>
      </c>
      <c r="H99" s="288">
        <v>45419.0</v>
      </c>
      <c r="I99" s="288">
        <v>45419.0</v>
      </c>
      <c r="J99" s="285">
        <v>5578456.0</v>
      </c>
      <c r="K99" s="285" t="s">
        <v>9532</v>
      </c>
      <c r="L99" s="290" t="s">
        <v>10387</v>
      </c>
      <c r="M99" s="286">
        <f t="shared" si="1"/>
        <v>18</v>
      </c>
      <c r="N99" s="342"/>
      <c r="O99" s="342"/>
      <c r="P99" s="342"/>
      <c r="Q99" s="342"/>
      <c r="R99" s="342"/>
      <c r="S99" s="342"/>
      <c r="T99" s="342"/>
      <c r="U99" s="342"/>
      <c r="V99" s="342"/>
      <c r="W99" s="342"/>
      <c r="X99" s="342"/>
      <c r="Y99" s="342"/>
    </row>
    <row r="100" ht="73.5" customHeight="1">
      <c r="A100" s="370">
        <v>8.600002721E9</v>
      </c>
      <c r="B100" s="299" t="s">
        <v>25</v>
      </c>
      <c r="C100" s="285" t="s">
        <v>6186</v>
      </c>
      <c r="D100" s="285" t="s">
        <v>10388</v>
      </c>
      <c r="E100" s="290" t="s">
        <v>10357</v>
      </c>
      <c r="F100" s="288">
        <v>45406.0</v>
      </c>
      <c r="G100" s="288">
        <v>45404.0</v>
      </c>
      <c r="H100" s="288">
        <v>45408.0</v>
      </c>
      <c r="I100" s="288">
        <v>45408.0</v>
      </c>
      <c r="J100" s="561"/>
      <c r="K100" s="561"/>
      <c r="L100" s="290" t="s">
        <v>10389</v>
      </c>
      <c r="M100" s="286">
        <f t="shared" si="1"/>
        <v>17</v>
      </c>
      <c r="N100" s="342"/>
      <c r="O100" s="342"/>
      <c r="P100" s="342"/>
      <c r="Q100" s="342"/>
      <c r="R100" s="342"/>
      <c r="S100" s="342"/>
      <c r="T100" s="342"/>
      <c r="U100" s="342"/>
      <c r="V100" s="342"/>
      <c r="W100" s="342"/>
      <c r="X100" s="342"/>
      <c r="Y100" s="342"/>
    </row>
    <row r="101" ht="73.5" customHeight="1">
      <c r="A101" s="370">
        <v>8.600002737E9</v>
      </c>
      <c r="B101" s="299" t="s">
        <v>25</v>
      </c>
      <c r="C101" s="285" t="s">
        <v>3423</v>
      </c>
      <c r="D101" s="285" t="s">
        <v>10390</v>
      </c>
      <c r="E101" s="290" t="s">
        <v>8280</v>
      </c>
      <c r="F101" s="288">
        <v>45404.0</v>
      </c>
      <c r="G101" s="288">
        <v>45401.0</v>
      </c>
      <c r="H101" s="288">
        <v>45411.0</v>
      </c>
      <c r="I101" s="288">
        <v>45411.0</v>
      </c>
      <c r="J101" s="561"/>
      <c r="K101" s="561"/>
      <c r="L101" s="290" t="s">
        <v>10391</v>
      </c>
      <c r="M101" s="286">
        <f t="shared" si="1"/>
        <v>17</v>
      </c>
      <c r="N101" s="342"/>
      <c r="O101" s="342"/>
      <c r="P101" s="342"/>
      <c r="Q101" s="342"/>
      <c r="R101" s="342"/>
      <c r="S101" s="342"/>
      <c r="T101" s="342"/>
      <c r="U101" s="342"/>
      <c r="V101" s="342"/>
      <c r="W101" s="342"/>
      <c r="X101" s="342"/>
      <c r="Y101" s="342"/>
    </row>
    <row r="102" ht="73.5" customHeight="1">
      <c r="A102" s="370">
        <v>8.600002706E9</v>
      </c>
      <c r="B102" s="299" t="s">
        <v>14</v>
      </c>
      <c r="C102" s="285" t="s">
        <v>3404</v>
      </c>
      <c r="D102" s="285" t="s">
        <v>10392</v>
      </c>
      <c r="E102" s="290" t="s">
        <v>10357</v>
      </c>
      <c r="F102" s="288">
        <v>45404.0</v>
      </c>
      <c r="G102" s="288">
        <v>45399.0</v>
      </c>
      <c r="H102" s="288">
        <v>45408.0</v>
      </c>
      <c r="I102" s="288">
        <v>45408.0</v>
      </c>
      <c r="J102" s="561"/>
      <c r="K102" s="561"/>
      <c r="L102" s="290" t="s">
        <v>10393</v>
      </c>
      <c r="M102" s="286">
        <f t="shared" si="1"/>
        <v>17</v>
      </c>
      <c r="N102" s="342"/>
      <c r="O102" s="342"/>
      <c r="P102" s="342"/>
      <c r="Q102" s="342"/>
      <c r="R102" s="342"/>
      <c r="S102" s="342"/>
      <c r="T102" s="342"/>
      <c r="U102" s="342"/>
      <c r="V102" s="342"/>
      <c r="W102" s="342"/>
      <c r="X102" s="342"/>
      <c r="Y102" s="342"/>
    </row>
    <row r="103" ht="73.5" customHeight="1">
      <c r="A103" s="370">
        <v>8.600002708E9</v>
      </c>
      <c r="B103" s="299" t="s">
        <v>21</v>
      </c>
      <c r="C103" s="285" t="s">
        <v>3420</v>
      </c>
      <c r="D103" s="285" t="s">
        <v>10394</v>
      </c>
      <c r="E103" s="290" t="s">
        <v>10357</v>
      </c>
      <c r="F103" s="288">
        <v>45402.0</v>
      </c>
      <c r="G103" s="288">
        <v>45397.0</v>
      </c>
      <c r="H103" s="288">
        <v>45407.0</v>
      </c>
      <c r="I103" s="288">
        <v>45407.0</v>
      </c>
      <c r="J103" s="285">
        <v>5577520.0</v>
      </c>
      <c r="K103" s="285" t="s">
        <v>9532</v>
      </c>
      <c r="L103" s="290" t="s">
        <v>10395</v>
      </c>
      <c r="M103" s="286">
        <f t="shared" si="1"/>
        <v>16</v>
      </c>
      <c r="N103" s="342"/>
      <c r="O103" s="342"/>
      <c r="P103" s="342"/>
      <c r="Q103" s="342"/>
      <c r="R103" s="342"/>
      <c r="S103" s="342"/>
      <c r="T103" s="342"/>
      <c r="U103" s="342"/>
      <c r="V103" s="342"/>
      <c r="W103" s="342"/>
      <c r="X103" s="342"/>
      <c r="Y103" s="342"/>
    </row>
    <row r="104" ht="73.5" customHeight="1">
      <c r="A104" s="370">
        <v>8.500000231E9</v>
      </c>
      <c r="B104" s="299" t="s">
        <v>14</v>
      </c>
      <c r="C104" s="285" t="s">
        <v>6257</v>
      </c>
      <c r="D104" s="285" t="s">
        <v>10396</v>
      </c>
      <c r="E104" s="290" t="s">
        <v>8183</v>
      </c>
      <c r="F104" s="288">
        <v>45400.0</v>
      </c>
      <c r="G104" s="288">
        <v>45393.0</v>
      </c>
      <c r="H104" s="288">
        <v>45401.0</v>
      </c>
      <c r="I104" s="285" t="s">
        <v>10397</v>
      </c>
      <c r="J104" s="561"/>
      <c r="K104" s="561"/>
      <c r="L104" s="290" t="s">
        <v>10398</v>
      </c>
      <c r="M104" s="286">
        <f t="shared" si="1"/>
        <v>16</v>
      </c>
      <c r="N104" s="342"/>
      <c r="O104" s="342"/>
      <c r="P104" s="342"/>
      <c r="Q104" s="342"/>
      <c r="R104" s="342"/>
      <c r="S104" s="342"/>
      <c r="T104" s="342"/>
      <c r="U104" s="342"/>
      <c r="V104" s="342"/>
      <c r="W104" s="342"/>
      <c r="X104" s="342"/>
      <c r="Y104" s="342"/>
    </row>
    <row r="105" ht="73.5" customHeight="1">
      <c r="A105" s="370">
        <v>8.500000228E9</v>
      </c>
      <c r="B105" s="299" t="s">
        <v>14</v>
      </c>
      <c r="C105" s="285" t="s">
        <v>6186</v>
      </c>
      <c r="D105" s="285" t="s">
        <v>10399</v>
      </c>
      <c r="E105" s="290" t="s">
        <v>8183</v>
      </c>
      <c r="F105" s="288">
        <v>45395.0</v>
      </c>
      <c r="G105" s="288">
        <v>45390.0</v>
      </c>
      <c r="H105" s="288">
        <v>45399.0</v>
      </c>
      <c r="I105" s="288">
        <v>45399.0</v>
      </c>
      <c r="J105" s="561"/>
      <c r="K105" s="561"/>
      <c r="L105" s="290" t="s">
        <v>10400</v>
      </c>
      <c r="M105" s="286">
        <f t="shared" si="1"/>
        <v>15</v>
      </c>
      <c r="N105" s="342"/>
      <c r="O105" s="342"/>
      <c r="P105" s="342"/>
      <c r="Q105" s="342"/>
      <c r="R105" s="342"/>
      <c r="S105" s="342"/>
      <c r="T105" s="342"/>
      <c r="U105" s="342"/>
      <c r="V105" s="342"/>
      <c r="W105" s="342"/>
      <c r="X105" s="342"/>
      <c r="Y105" s="342"/>
    </row>
    <row r="106" ht="73.5" customHeight="1">
      <c r="A106" s="370">
        <v>8.600002723E9</v>
      </c>
      <c r="B106" s="299" t="s">
        <v>21</v>
      </c>
      <c r="C106" s="285" t="s">
        <v>5649</v>
      </c>
      <c r="D106" s="285" t="s">
        <v>10401</v>
      </c>
      <c r="E106" s="290" t="s">
        <v>8233</v>
      </c>
      <c r="F106" s="288">
        <v>45395.0</v>
      </c>
      <c r="G106" s="288">
        <v>45386.0</v>
      </c>
      <c r="H106" s="288">
        <v>45399.0</v>
      </c>
      <c r="I106" s="285" t="s">
        <v>10402</v>
      </c>
      <c r="J106" s="285">
        <v>5577520.0</v>
      </c>
      <c r="K106" s="285" t="s">
        <v>9532</v>
      </c>
      <c r="L106" s="290" t="s">
        <v>10403</v>
      </c>
      <c r="M106" s="286">
        <f t="shared" si="1"/>
        <v>15</v>
      </c>
      <c r="N106" s="342"/>
      <c r="O106" s="342"/>
      <c r="P106" s="342"/>
      <c r="Q106" s="342"/>
      <c r="R106" s="342"/>
      <c r="S106" s="342"/>
      <c r="T106" s="342"/>
      <c r="U106" s="342"/>
      <c r="V106" s="342"/>
      <c r="W106" s="342"/>
      <c r="X106" s="342"/>
      <c r="Y106" s="342"/>
    </row>
    <row r="107" ht="73.5" customHeight="1">
      <c r="A107" s="370">
        <v>8.500000234E9</v>
      </c>
      <c r="B107" s="299" t="s">
        <v>21</v>
      </c>
      <c r="C107" s="285" t="s">
        <v>5530</v>
      </c>
      <c r="D107" s="285" t="s">
        <v>10404</v>
      </c>
      <c r="E107" s="290" t="s">
        <v>8183</v>
      </c>
      <c r="F107" s="288">
        <v>45395.0</v>
      </c>
      <c r="G107" s="288">
        <v>45386.0</v>
      </c>
      <c r="H107" s="288">
        <v>45401.0</v>
      </c>
      <c r="I107" s="288" t="s">
        <v>10405</v>
      </c>
      <c r="J107" s="285">
        <v>5577520.0</v>
      </c>
      <c r="K107" s="285" t="s">
        <v>9532</v>
      </c>
      <c r="L107" s="290" t="s">
        <v>10406</v>
      </c>
      <c r="M107" s="286">
        <f t="shared" si="1"/>
        <v>15</v>
      </c>
      <c r="N107" s="342"/>
      <c r="O107" s="342"/>
      <c r="P107" s="342"/>
      <c r="Q107" s="342"/>
      <c r="R107" s="342"/>
      <c r="S107" s="342"/>
      <c r="T107" s="342"/>
      <c r="U107" s="342"/>
      <c r="V107" s="342"/>
      <c r="W107" s="342"/>
      <c r="X107" s="342"/>
      <c r="Y107" s="342"/>
    </row>
    <row r="108" ht="66.75" customHeight="1">
      <c r="A108" s="370">
        <v>8.50000023E9</v>
      </c>
      <c r="B108" s="299" t="s">
        <v>14</v>
      </c>
      <c r="C108" s="285" t="s">
        <v>3620</v>
      </c>
      <c r="D108" s="285" t="s">
        <v>10407</v>
      </c>
      <c r="E108" s="290" t="s">
        <v>5528</v>
      </c>
      <c r="F108" s="288">
        <v>45394.0</v>
      </c>
      <c r="G108" s="288">
        <v>45390.0</v>
      </c>
      <c r="H108" s="288">
        <v>45399.0</v>
      </c>
      <c r="I108" s="288">
        <v>45399.0</v>
      </c>
      <c r="J108" s="561"/>
      <c r="K108" s="561"/>
      <c r="L108" s="290" t="s">
        <v>10408</v>
      </c>
      <c r="M108" s="286">
        <f t="shared" si="1"/>
        <v>15</v>
      </c>
      <c r="N108" s="342"/>
      <c r="O108" s="342"/>
      <c r="P108" s="342"/>
      <c r="Q108" s="342"/>
      <c r="R108" s="342"/>
      <c r="S108" s="342"/>
      <c r="T108" s="342"/>
      <c r="U108" s="342"/>
      <c r="V108" s="342"/>
      <c r="W108" s="342"/>
      <c r="X108" s="342"/>
      <c r="Y108" s="342"/>
    </row>
    <row r="109" ht="66.75" customHeight="1">
      <c r="A109" s="370">
        <v>8.600002704E9</v>
      </c>
      <c r="B109" s="285" t="s">
        <v>25</v>
      </c>
      <c r="C109" s="285" t="s">
        <v>5604</v>
      </c>
      <c r="D109" s="285" t="s">
        <v>10409</v>
      </c>
      <c r="E109" s="290" t="s">
        <v>10410</v>
      </c>
      <c r="F109" s="288">
        <v>45373.0</v>
      </c>
      <c r="G109" s="288">
        <v>45369.0</v>
      </c>
      <c r="H109" s="288">
        <v>45379.0</v>
      </c>
      <c r="I109" s="288">
        <v>45379.0</v>
      </c>
      <c r="J109" s="561"/>
      <c r="K109" s="561"/>
      <c r="L109" s="290" t="s">
        <v>10411</v>
      </c>
      <c r="M109" s="286">
        <f t="shared" si="1"/>
        <v>12</v>
      </c>
      <c r="N109" s="342"/>
      <c r="O109" s="342"/>
      <c r="P109" s="342"/>
      <c r="Q109" s="342"/>
      <c r="R109" s="342"/>
      <c r="S109" s="342"/>
      <c r="T109" s="342"/>
      <c r="U109" s="342"/>
      <c r="V109" s="342"/>
      <c r="W109" s="342"/>
      <c r="X109" s="342"/>
      <c r="Y109" s="342"/>
    </row>
    <row r="110" ht="82.5" customHeight="1">
      <c r="A110" s="370">
        <v>8.600002664E9</v>
      </c>
      <c r="B110" s="299" t="s">
        <v>14</v>
      </c>
      <c r="C110" s="285" t="s">
        <v>10412</v>
      </c>
      <c r="D110" s="285" t="s">
        <v>10413</v>
      </c>
      <c r="E110" s="290" t="s">
        <v>10181</v>
      </c>
      <c r="F110" s="288">
        <v>45372.0</v>
      </c>
      <c r="G110" s="285" t="s">
        <v>10414</v>
      </c>
      <c r="H110" s="288">
        <v>45378.0</v>
      </c>
      <c r="I110" s="285" t="s">
        <v>10415</v>
      </c>
      <c r="J110" s="561"/>
      <c r="K110" s="561"/>
      <c r="L110" s="290" t="s">
        <v>10416</v>
      </c>
      <c r="M110" s="286">
        <f t="shared" si="1"/>
        <v>12</v>
      </c>
      <c r="N110" s="342"/>
      <c r="O110" s="342"/>
      <c r="P110" s="342"/>
      <c r="Q110" s="342"/>
      <c r="R110" s="342"/>
      <c r="S110" s="342"/>
      <c r="T110" s="342"/>
      <c r="U110" s="342"/>
      <c r="V110" s="342"/>
      <c r="W110" s="342"/>
      <c r="X110" s="342"/>
      <c r="Y110" s="342"/>
    </row>
    <row r="111" ht="66.75" customHeight="1">
      <c r="A111" s="370">
        <v>8.60000266E9</v>
      </c>
      <c r="B111" s="299" t="s">
        <v>14</v>
      </c>
      <c r="C111" s="285" t="s">
        <v>3386</v>
      </c>
      <c r="D111" s="285" t="s">
        <v>10417</v>
      </c>
      <c r="E111" s="290" t="s">
        <v>5968</v>
      </c>
      <c r="F111" s="288">
        <v>45370.0</v>
      </c>
      <c r="G111" s="288">
        <v>45365.0</v>
      </c>
      <c r="H111" s="288">
        <v>45378.0</v>
      </c>
      <c r="I111" s="288">
        <v>45378.0</v>
      </c>
      <c r="J111" s="561"/>
      <c r="K111" s="561"/>
      <c r="L111" s="290" t="s">
        <v>10418</v>
      </c>
      <c r="M111" s="286">
        <f t="shared" si="1"/>
        <v>12</v>
      </c>
      <c r="N111" s="342"/>
      <c r="O111" s="342"/>
      <c r="P111" s="342"/>
      <c r="Q111" s="342"/>
      <c r="R111" s="342"/>
      <c r="S111" s="342"/>
      <c r="T111" s="342"/>
      <c r="U111" s="342"/>
      <c r="V111" s="342"/>
      <c r="W111" s="342"/>
      <c r="X111" s="342"/>
      <c r="Y111" s="342"/>
    </row>
    <row r="112" ht="66.75" customHeight="1">
      <c r="A112" s="370">
        <v>8.500000229E9</v>
      </c>
      <c r="B112" s="285" t="s">
        <v>25</v>
      </c>
      <c r="C112" s="285" t="s">
        <v>6257</v>
      </c>
      <c r="D112" s="285" t="s">
        <v>10419</v>
      </c>
      <c r="E112" s="290" t="s">
        <v>8183</v>
      </c>
      <c r="F112" s="288">
        <v>45367.0</v>
      </c>
      <c r="G112" s="288">
        <v>45362.0</v>
      </c>
      <c r="H112" s="288">
        <v>45370.0</v>
      </c>
      <c r="I112" s="285" t="s">
        <v>10420</v>
      </c>
      <c r="J112" s="561"/>
      <c r="K112" s="561"/>
      <c r="L112" s="290" t="s">
        <v>10421</v>
      </c>
      <c r="M112" s="286">
        <f t="shared" si="1"/>
        <v>11</v>
      </c>
      <c r="N112" s="342"/>
      <c r="O112" s="342"/>
      <c r="P112" s="342"/>
      <c r="Q112" s="342"/>
      <c r="R112" s="342"/>
      <c r="S112" s="342"/>
      <c r="T112" s="342"/>
      <c r="U112" s="342"/>
      <c r="V112" s="342"/>
      <c r="W112" s="342"/>
      <c r="X112" s="342"/>
      <c r="Y112" s="342"/>
    </row>
    <row r="113" ht="66.75" customHeight="1">
      <c r="A113" s="370">
        <v>8.500000221E9</v>
      </c>
      <c r="B113" s="299" t="s">
        <v>14</v>
      </c>
      <c r="C113" s="285" t="s">
        <v>5626</v>
      </c>
      <c r="D113" s="285" t="s">
        <v>10422</v>
      </c>
      <c r="E113" s="290" t="s">
        <v>8183</v>
      </c>
      <c r="F113" s="288">
        <v>45355.0</v>
      </c>
      <c r="G113" s="288">
        <v>45351.0</v>
      </c>
      <c r="H113" s="288">
        <v>45358.0</v>
      </c>
      <c r="I113" s="285" t="s">
        <v>10423</v>
      </c>
      <c r="J113" s="561"/>
      <c r="K113" s="561"/>
      <c r="L113" s="290" t="s">
        <v>10424</v>
      </c>
      <c r="M113" s="286">
        <f t="shared" si="1"/>
        <v>10</v>
      </c>
      <c r="N113" s="342"/>
      <c r="O113" s="342"/>
      <c r="P113" s="342"/>
      <c r="Q113" s="342"/>
      <c r="R113" s="342"/>
      <c r="S113" s="342"/>
      <c r="T113" s="342"/>
      <c r="U113" s="342"/>
      <c r="V113" s="342"/>
      <c r="W113" s="342"/>
      <c r="X113" s="342"/>
      <c r="Y113" s="342"/>
    </row>
    <row r="114" ht="66.75" customHeight="1">
      <c r="A114" s="370">
        <v>8.500000227E9</v>
      </c>
      <c r="B114" s="285" t="s">
        <v>25</v>
      </c>
      <c r="C114" s="285" t="s">
        <v>6186</v>
      </c>
      <c r="D114" s="285" t="s">
        <v>10425</v>
      </c>
      <c r="E114" s="290" t="s">
        <v>8183</v>
      </c>
      <c r="F114" s="288">
        <v>45353.0</v>
      </c>
      <c r="G114" s="288">
        <v>45350.0</v>
      </c>
      <c r="H114" s="288">
        <v>45356.0</v>
      </c>
      <c r="I114" s="288">
        <v>45356.0</v>
      </c>
      <c r="J114" s="561"/>
      <c r="K114" s="561"/>
      <c r="L114" s="290" t="s">
        <v>10426</v>
      </c>
      <c r="M114" s="286">
        <f t="shared" si="1"/>
        <v>9</v>
      </c>
      <c r="N114" s="342"/>
      <c r="O114" s="342"/>
      <c r="P114" s="342"/>
      <c r="Q114" s="342"/>
      <c r="R114" s="342"/>
      <c r="S114" s="342"/>
      <c r="T114" s="342"/>
      <c r="U114" s="342"/>
      <c r="V114" s="342"/>
      <c r="W114" s="342"/>
      <c r="X114" s="342"/>
      <c r="Y114" s="342"/>
    </row>
    <row r="115" ht="77.25" customHeight="1">
      <c r="A115" s="370">
        <v>8.600002658E9</v>
      </c>
      <c r="B115" s="285" t="s">
        <v>25</v>
      </c>
      <c r="C115" s="285" t="s">
        <v>3436</v>
      </c>
      <c r="D115" s="285" t="s">
        <v>10427</v>
      </c>
      <c r="E115" s="290" t="s">
        <v>5968</v>
      </c>
      <c r="F115" s="288">
        <v>45352.0</v>
      </c>
      <c r="G115" s="288">
        <v>45348.0</v>
      </c>
      <c r="H115" s="288">
        <v>45359.0</v>
      </c>
      <c r="I115" s="288">
        <v>45359.0</v>
      </c>
      <c r="J115" s="561"/>
      <c r="K115" s="561"/>
      <c r="L115" s="290" t="s">
        <v>10428</v>
      </c>
      <c r="M115" s="286">
        <f t="shared" si="1"/>
        <v>9</v>
      </c>
      <c r="N115" s="342"/>
      <c r="O115" s="342"/>
      <c r="P115" s="342"/>
      <c r="Q115" s="342"/>
      <c r="R115" s="342"/>
      <c r="S115" s="342"/>
      <c r="T115" s="342"/>
      <c r="U115" s="342"/>
      <c r="V115" s="342"/>
      <c r="W115" s="342"/>
      <c r="X115" s="342"/>
      <c r="Y115" s="342"/>
    </row>
    <row r="116" ht="77.25" customHeight="1">
      <c r="A116" s="370">
        <v>8.500000225E9</v>
      </c>
      <c r="B116" s="299" t="s">
        <v>21</v>
      </c>
      <c r="C116" s="285" t="s">
        <v>6257</v>
      </c>
      <c r="D116" s="285" t="s">
        <v>10429</v>
      </c>
      <c r="E116" s="290" t="s">
        <v>8183</v>
      </c>
      <c r="F116" s="288">
        <v>45350.0</v>
      </c>
      <c r="G116" s="288">
        <v>45348.0</v>
      </c>
      <c r="H116" s="288">
        <v>45356.0</v>
      </c>
      <c r="I116" s="285" t="s">
        <v>10430</v>
      </c>
      <c r="J116" s="561"/>
      <c r="K116" s="561"/>
      <c r="L116" s="290" t="s">
        <v>10431</v>
      </c>
      <c r="M116" s="286">
        <f t="shared" si="1"/>
        <v>9</v>
      </c>
      <c r="N116" s="342"/>
      <c r="O116" s="342"/>
      <c r="P116" s="342"/>
      <c r="Q116" s="342"/>
      <c r="R116" s="342"/>
      <c r="S116" s="342"/>
      <c r="T116" s="342"/>
      <c r="U116" s="342"/>
      <c r="V116" s="342"/>
      <c r="W116" s="342"/>
      <c r="X116" s="342"/>
      <c r="Y116" s="342"/>
    </row>
    <row r="117" ht="73.5" customHeight="1">
      <c r="A117" s="370">
        <v>8.600002662E9</v>
      </c>
      <c r="B117" s="299" t="s">
        <v>10194</v>
      </c>
      <c r="C117" s="285" t="s">
        <v>5665</v>
      </c>
      <c r="D117" s="285" t="s">
        <v>10432</v>
      </c>
      <c r="E117" s="290" t="s">
        <v>5968</v>
      </c>
      <c r="F117" s="288">
        <v>45348.0</v>
      </c>
      <c r="G117" s="288">
        <v>45369.0</v>
      </c>
      <c r="H117" s="288">
        <v>45369.0</v>
      </c>
      <c r="I117" s="288">
        <v>45369.0</v>
      </c>
      <c r="J117" s="561"/>
      <c r="K117" s="561"/>
      <c r="L117" s="290" t="s">
        <v>10433</v>
      </c>
      <c r="M117" s="286">
        <f t="shared" si="1"/>
        <v>9</v>
      </c>
      <c r="N117" s="342"/>
      <c r="O117" s="342"/>
      <c r="P117" s="342"/>
      <c r="Q117" s="342"/>
      <c r="R117" s="342"/>
      <c r="S117" s="342"/>
      <c r="T117" s="342"/>
      <c r="U117" s="342"/>
      <c r="V117" s="342"/>
      <c r="W117" s="342"/>
      <c r="X117" s="342"/>
      <c r="Y117" s="342"/>
    </row>
    <row r="118" ht="66.75" customHeight="1">
      <c r="A118" s="370">
        <v>8.600002657E9</v>
      </c>
      <c r="B118" s="299" t="s">
        <v>21</v>
      </c>
      <c r="C118" s="285" t="s">
        <v>5928</v>
      </c>
      <c r="D118" s="285" t="s">
        <v>10434</v>
      </c>
      <c r="E118" s="290" t="s">
        <v>10236</v>
      </c>
      <c r="F118" s="288">
        <v>45347.0</v>
      </c>
      <c r="G118" s="288">
        <v>45342.0</v>
      </c>
      <c r="H118" s="288">
        <v>45362.0</v>
      </c>
      <c r="I118" s="288">
        <v>45362.0</v>
      </c>
      <c r="J118" s="561"/>
      <c r="K118" s="561"/>
      <c r="L118" s="290" t="s">
        <v>10435</v>
      </c>
      <c r="M118" s="286">
        <f t="shared" si="1"/>
        <v>9</v>
      </c>
      <c r="N118" s="342"/>
      <c r="O118" s="342"/>
      <c r="P118" s="342"/>
      <c r="Q118" s="342"/>
      <c r="R118" s="342"/>
      <c r="S118" s="342"/>
      <c r="T118" s="342"/>
      <c r="U118" s="342"/>
      <c r="V118" s="342"/>
      <c r="W118" s="342"/>
      <c r="X118" s="342"/>
      <c r="Y118" s="342"/>
    </row>
    <row r="119" ht="66.75" customHeight="1">
      <c r="A119" s="370">
        <v>8.500000224E9</v>
      </c>
      <c r="B119" s="299" t="s">
        <v>21</v>
      </c>
      <c r="C119" s="285" t="s">
        <v>6186</v>
      </c>
      <c r="D119" s="285" t="s">
        <v>10436</v>
      </c>
      <c r="E119" s="290" t="s">
        <v>8183</v>
      </c>
      <c r="F119" s="288">
        <v>45344.0</v>
      </c>
      <c r="G119" s="288">
        <v>45338.0</v>
      </c>
      <c r="H119" s="288">
        <v>45349.0</v>
      </c>
      <c r="I119" s="288">
        <v>45349.0</v>
      </c>
      <c r="J119" s="561"/>
      <c r="K119" s="561"/>
      <c r="L119" s="290" t="s">
        <v>10437</v>
      </c>
      <c r="M119" s="286">
        <f t="shared" si="1"/>
        <v>8</v>
      </c>
      <c r="N119" s="342"/>
      <c r="O119" s="342"/>
      <c r="P119" s="342"/>
      <c r="Q119" s="342"/>
      <c r="R119" s="342"/>
      <c r="S119" s="342"/>
      <c r="T119" s="342"/>
      <c r="U119" s="342"/>
      <c r="V119" s="342"/>
      <c r="W119" s="342"/>
      <c r="X119" s="342"/>
      <c r="Y119" s="342"/>
    </row>
    <row r="120" ht="66.75" customHeight="1">
      <c r="A120" s="370">
        <v>8.60000262E9</v>
      </c>
      <c r="B120" s="299" t="s">
        <v>14</v>
      </c>
      <c r="C120" s="285" t="s">
        <v>10438</v>
      </c>
      <c r="D120" s="285" t="s">
        <v>10439</v>
      </c>
      <c r="E120" s="290" t="s">
        <v>5926</v>
      </c>
      <c r="F120" s="288">
        <v>45339.0</v>
      </c>
      <c r="G120" s="288" t="s">
        <v>10440</v>
      </c>
      <c r="H120" s="288">
        <v>45345.0</v>
      </c>
      <c r="I120" s="285" t="s">
        <v>10441</v>
      </c>
      <c r="J120" s="561"/>
      <c r="K120" s="561"/>
      <c r="L120" s="290" t="s">
        <v>10442</v>
      </c>
      <c r="M120" s="286">
        <f t="shared" si="1"/>
        <v>7</v>
      </c>
      <c r="N120" s="342"/>
      <c r="O120" s="342"/>
      <c r="P120" s="342"/>
      <c r="Q120" s="342"/>
      <c r="R120" s="342"/>
      <c r="S120" s="342"/>
      <c r="T120" s="342"/>
      <c r="U120" s="342"/>
      <c r="V120" s="342"/>
      <c r="W120" s="342"/>
      <c r="X120" s="342"/>
      <c r="Y120" s="342"/>
    </row>
    <row r="121" ht="66.75" customHeight="1">
      <c r="A121" s="370">
        <v>8.600002663E9</v>
      </c>
      <c r="B121" s="285" t="s">
        <v>25</v>
      </c>
      <c r="C121" s="285" t="s">
        <v>3367</v>
      </c>
      <c r="D121" s="285" t="s">
        <v>10443</v>
      </c>
      <c r="E121" s="290" t="s">
        <v>8280</v>
      </c>
      <c r="F121" s="288">
        <v>45339.0</v>
      </c>
      <c r="G121" s="288" t="s">
        <v>10440</v>
      </c>
      <c r="H121" s="288">
        <v>44248.0</v>
      </c>
      <c r="I121" s="288">
        <v>44248.0</v>
      </c>
      <c r="J121" s="561"/>
      <c r="K121" s="561"/>
      <c r="L121" s="290" t="s">
        <v>10444</v>
      </c>
      <c r="M121" s="286">
        <f t="shared" si="1"/>
        <v>7</v>
      </c>
      <c r="N121" s="342"/>
      <c r="O121" s="342"/>
      <c r="P121" s="342"/>
      <c r="Q121" s="342"/>
      <c r="R121" s="342"/>
      <c r="S121" s="342"/>
      <c r="T121" s="342"/>
      <c r="U121" s="342"/>
      <c r="V121" s="342"/>
      <c r="W121" s="342"/>
      <c r="X121" s="342"/>
      <c r="Y121" s="342"/>
    </row>
    <row r="122" ht="76.5" customHeight="1">
      <c r="A122" s="370">
        <v>8.500000223E9</v>
      </c>
      <c r="B122" s="285" t="s">
        <v>25</v>
      </c>
      <c r="C122" s="285" t="s">
        <v>5530</v>
      </c>
      <c r="D122" s="285" t="s">
        <v>10445</v>
      </c>
      <c r="E122" s="290" t="s">
        <v>8183</v>
      </c>
      <c r="F122" s="288">
        <v>45339.0</v>
      </c>
      <c r="G122" s="288">
        <v>45335.0</v>
      </c>
      <c r="H122" s="288">
        <v>45350.0</v>
      </c>
      <c r="I122" s="285" t="s">
        <v>10446</v>
      </c>
      <c r="J122" s="561"/>
      <c r="K122" s="561"/>
      <c r="L122" s="290" t="s">
        <v>10447</v>
      </c>
      <c r="M122" s="286">
        <f t="shared" si="1"/>
        <v>7</v>
      </c>
      <c r="N122" s="342"/>
      <c r="O122" s="342"/>
      <c r="P122" s="342"/>
      <c r="Q122" s="342"/>
      <c r="R122" s="342"/>
      <c r="S122" s="342"/>
      <c r="T122" s="342"/>
      <c r="U122" s="342"/>
      <c r="V122" s="342"/>
      <c r="W122" s="342"/>
      <c r="X122" s="342"/>
      <c r="Y122" s="342"/>
    </row>
    <row r="123" ht="66.75" customHeight="1">
      <c r="A123" s="370">
        <v>8.50000022E9</v>
      </c>
      <c r="B123" s="299" t="s">
        <v>14</v>
      </c>
      <c r="C123" s="285" t="s">
        <v>10448</v>
      </c>
      <c r="D123" s="285" t="s">
        <v>10449</v>
      </c>
      <c r="E123" s="290" t="s">
        <v>8183</v>
      </c>
      <c r="F123" s="288">
        <v>45336.0</v>
      </c>
      <c r="G123" s="288">
        <v>45327.0</v>
      </c>
      <c r="H123" s="288">
        <v>45338.0</v>
      </c>
      <c r="I123" s="285" t="s">
        <v>10450</v>
      </c>
      <c r="J123" s="561"/>
      <c r="K123" s="561"/>
      <c r="L123" s="290" t="s">
        <v>10451</v>
      </c>
      <c r="M123" s="286">
        <f t="shared" si="1"/>
        <v>7</v>
      </c>
      <c r="N123" s="342"/>
      <c r="O123" s="342"/>
      <c r="P123" s="342"/>
      <c r="Q123" s="342"/>
      <c r="R123" s="342"/>
      <c r="S123" s="342"/>
      <c r="T123" s="342"/>
      <c r="U123" s="342"/>
      <c r="V123" s="342"/>
      <c r="W123" s="342"/>
      <c r="X123" s="342"/>
      <c r="Y123" s="342"/>
    </row>
    <row r="124" ht="66.75" customHeight="1">
      <c r="A124" s="370">
        <v>8.600002618E9</v>
      </c>
      <c r="B124" s="299" t="s">
        <v>14</v>
      </c>
      <c r="C124" s="285" t="s">
        <v>5590</v>
      </c>
      <c r="D124" s="285" t="s">
        <v>10452</v>
      </c>
      <c r="E124" s="290" t="s">
        <v>10453</v>
      </c>
      <c r="F124" s="288">
        <v>45333.0</v>
      </c>
      <c r="G124" s="288">
        <v>45320.0</v>
      </c>
      <c r="H124" s="288">
        <v>45343.0</v>
      </c>
      <c r="I124" s="288">
        <v>45343.0</v>
      </c>
      <c r="J124" s="561"/>
      <c r="K124" s="561"/>
      <c r="L124" s="290" t="s">
        <v>10454</v>
      </c>
      <c r="M124" s="286">
        <f t="shared" si="1"/>
        <v>7</v>
      </c>
      <c r="N124" s="342"/>
      <c r="O124" s="342"/>
      <c r="P124" s="342"/>
      <c r="Q124" s="342"/>
      <c r="R124" s="342"/>
      <c r="S124" s="342"/>
      <c r="T124" s="342"/>
      <c r="U124" s="342"/>
      <c r="V124" s="342"/>
      <c r="W124" s="342"/>
      <c r="X124" s="342"/>
      <c r="Y124" s="342"/>
    </row>
    <row r="125" ht="69.75" customHeight="1">
      <c r="A125" s="370">
        <v>8.500000218E9</v>
      </c>
      <c r="B125" s="285" t="s">
        <v>14</v>
      </c>
      <c r="C125" s="285" t="s">
        <v>3646</v>
      </c>
      <c r="D125" s="285" t="s">
        <v>10455</v>
      </c>
      <c r="E125" s="290" t="s">
        <v>2116</v>
      </c>
      <c r="F125" s="288">
        <v>45330.0</v>
      </c>
      <c r="G125" s="288">
        <v>45327.0</v>
      </c>
      <c r="H125" s="288">
        <v>45337.0</v>
      </c>
      <c r="I125" s="288">
        <v>45337.0</v>
      </c>
      <c r="J125" s="561"/>
      <c r="K125" s="561"/>
      <c r="L125" s="290" t="s">
        <v>10456</v>
      </c>
      <c r="M125" s="286">
        <f t="shared" si="1"/>
        <v>6</v>
      </c>
      <c r="N125" s="342"/>
      <c r="O125" s="342"/>
      <c r="P125" s="342"/>
      <c r="Q125" s="342"/>
      <c r="R125" s="342"/>
      <c r="S125" s="342"/>
      <c r="T125" s="342"/>
      <c r="U125" s="342"/>
      <c r="V125" s="342"/>
      <c r="W125" s="342"/>
      <c r="X125" s="342"/>
      <c r="Y125" s="342"/>
    </row>
    <row r="126" ht="72.75" customHeight="1">
      <c r="A126" s="370">
        <v>8.500000222E9</v>
      </c>
      <c r="B126" s="285" t="s">
        <v>25</v>
      </c>
      <c r="C126" s="285" t="s">
        <v>3386</v>
      </c>
      <c r="D126" s="285" t="s">
        <v>10457</v>
      </c>
      <c r="E126" s="290" t="s">
        <v>8183</v>
      </c>
      <c r="F126" s="288">
        <v>45325.0</v>
      </c>
      <c r="G126" s="288">
        <v>45348.0</v>
      </c>
      <c r="H126" s="288">
        <v>45329.0</v>
      </c>
      <c r="I126" s="288">
        <v>45329.0</v>
      </c>
      <c r="J126" s="561"/>
      <c r="K126" s="561"/>
      <c r="L126" s="290" t="s">
        <v>10458</v>
      </c>
      <c r="M126" s="286">
        <f t="shared" si="1"/>
        <v>5</v>
      </c>
      <c r="N126" s="342"/>
      <c r="O126" s="342"/>
      <c r="P126" s="342"/>
      <c r="Q126" s="342"/>
      <c r="R126" s="342"/>
      <c r="S126" s="342"/>
      <c r="T126" s="342"/>
      <c r="U126" s="342"/>
      <c r="V126" s="342"/>
      <c r="W126" s="342"/>
      <c r="X126" s="342"/>
      <c r="Y126" s="342"/>
    </row>
    <row r="127" ht="69.75" customHeight="1">
      <c r="A127" s="370">
        <v>8.600002616E9</v>
      </c>
      <c r="B127" s="285" t="s">
        <v>25</v>
      </c>
      <c r="C127" s="285" t="s">
        <v>5590</v>
      </c>
      <c r="D127" s="285" t="s">
        <v>10459</v>
      </c>
      <c r="E127" s="290" t="s">
        <v>5968</v>
      </c>
      <c r="F127" s="288">
        <v>45317.0</v>
      </c>
      <c r="G127" s="288">
        <v>45313.0</v>
      </c>
      <c r="H127" s="288">
        <v>45323.0</v>
      </c>
      <c r="I127" s="288">
        <v>45323.0</v>
      </c>
      <c r="J127" s="561"/>
      <c r="K127" s="561"/>
      <c r="L127" s="290" t="s">
        <v>10460</v>
      </c>
      <c r="M127" s="286">
        <f t="shared" si="1"/>
        <v>4</v>
      </c>
      <c r="N127" s="342"/>
      <c r="O127" s="342"/>
      <c r="P127" s="342"/>
      <c r="Q127" s="342"/>
      <c r="R127" s="342"/>
      <c r="S127" s="342"/>
      <c r="T127" s="342"/>
      <c r="U127" s="342"/>
      <c r="V127" s="342"/>
      <c r="W127" s="342"/>
      <c r="X127" s="342"/>
      <c r="Y127" s="342"/>
    </row>
    <row r="128" ht="69.75" customHeight="1">
      <c r="A128" s="370">
        <v>8.600002619E9</v>
      </c>
      <c r="B128" s="285" t="s">
        <v>25</v>
      </c>
      <c r="C128" s="285" t="s">
        <v>8220</v>
      </c>
      <c r="D128" s="285" t="s">
        <v>10461</v>
      </c>
      <c r="E128" s="290" t="s">
        <v>8233</v>
      </c>
      <c r="F128" s="288">
        <v>45313.0</v>
      </c>
      <c r="G128" s="288">
        <v>45308.0</v>
      </c>
      <c r="H128" s="288">
        <v>45317.0</v>
      </c>
      <c r="I128" s="285" t="s">
        <v>10462</v>
      </c>
      <c r="J128" s="561"/>
      <c r="K128" s="561"/>
      <c r="L128" s="290" t="s">
        <v>10463</v>
      </c>
      <c r="M128" s="286">
        <f t="shared" si="1"/>
        <v>4</v>
      </c>
      <c r="N128" s="342"/>
      <c r="O128" s="342"/>
      <c r="P128" s="342"/>
      <c r="Q128" s="342"/>
      <c r="R128" s="342"/>
      <c r="S128" s="342"/>
      <c r="T128" s="342"/>
      <c r="U128" s="342"/>
      <c r="V128" s="342"/>
      <c r="W128" s="342"/>
      <c r="X128" s="342"/>
      <c r="Y128" s="342"/>
    </row>
    <row r="129" ht="72.75" customHeight="1">
      <c r="A129" s="370">
        <v>8.600002617E9</v>
      </c>
      <c r="B129" s="299" t="s">
        <v>10194</v>
      </c>
      <c r="C129" s="285" t="s">
        <v>5665</v>
      </c>
      <c r="D129" s="285" t="s">
        <v>10464</v>
      </c>
      <c r="E129" s="290" t="s">
        <v>5968</v>
      </c>
      <c r="F129" s="288">
        <v>45313.0</v>
      </c>
      <c r="G129" s="288">
        <v>45322.0</v>
      </c>
      <c r="H129" s="288">
        <v>45323.0</v>
      </c>
      <c r="I129" s="288">
        <v>45323.0</v>
      </c>
      <c r="J129" s="561"/>
      <c r="K129" s="561"/>
      <c r="L129" s="290" t="s">
        <v>10465</v>
      </c>
      <c r="M129" s="286">
        <f t="shared" si="1"/>
        <v>4</v>
      </c>
      <c r="N129" s="342"/>
      <c r="O129" s="342"/>
      <c r="P129" s="342"/>
      <c r="Q129" s="342"/>
      <c r="R129" s="342"/>
      <c r="S129" s="342"/>
      <c r="T129" s="342"/>
      <c r="U129" s="342"/>
      <c r="V129" s="342"/>
      <c r="W129" s="342"/>
      <c r="X129" s="342"/>
      <c r="Y129" s="342"/>
    </row>
    <row r="130" ht="69.75" customHeight="1">
      <c r="A130" s="370">
        <v>8.500000219E9</v>
      </c>
      <c r="B130" s="299" t="s">
        <v>21</v>
      </c>
      <c r="C130" s="285" t="s">
        <v>3454</v>
      </c>
      <c r="D130" s="285" t="s">
        <v>10466</v>
      </c>
      <c r="E130" s="290" t="s">
        <v>8183</v>
      </c>
      <c r="F130" s="288">
        <v>45312.0</v>
      </c>
      <c r="G130" s="288">
        <v>45307.0</v>
      </c>
      <c r="H130" s="288">
        <v>45315.0</v>
      </c>
      <c r="I130" s="288">
        <v>45315.0</v>
      </c>
      <c r="J130" s="561"/>
      <c r="K130" s="561"/>
      <c r="L130" s="290" t="s">
        <v>10467</v>
      </c>
      <c r="M130" s="286">
        <f t="shared" si="1"/>
        <v>4</v>
      </c>
      <c r="N130" s="342"/>
      <c r="O130" s="342"/>
      <c r="P130" s="342"/>
      <c r="Q130" s="342"/>
      <c r="R130" s="342"/>
      <c r="S130" s="342"/>
      <c r="T130" s="342"/>
      <c r="U130" s="342"/>
      <c r="V130" s="342"/>
      <c r="W130" s="342"/>
      <c r="X130" s="342"/>
      <c r="Y130" s="342"/>
    </row>
    <row r="131" ht="69.75" customHeight="1">
      <c r="A131" s="370">
        <v>8.600002621E9</v>
      </c>
      <c r="B131" s="299" t="s">
        <v>21</v>
      </c>
      <c r="C131" s="285" t="s">
        <v>5792</v>
      </c>
      <c r="D131" s="285" t="s">
        <v>10468</v>
      </c>
      <c r="E131" s="290" t="s">
        <v>8251</v>
      </c>
      <c r="F131" s="288">
        <v>45312.0</v>
      </c>
      <c r="G131" s="288">
        <v>45302.0</v>
      </c>
      <c r="H131" s="288">
        <v>45321.0</v>
      </c>
      <c r="I131" s="288">
        <v>45321.0</v>
      </c>
      <c r="J131" s="561"/>
      <c r="K131" s="561"/>
      <c r="L131" s="290" t="s">
        <v>10469</v>
      </c>
      <c r="M131" s="286">
        <f t="shared" si="1"/>
        <v>4</v>
      </c>
      <c r="N131" s="342"/>
      <c r="O131" s="342"/>
      <c r="P131" s="342"/>
      <c r="Q131" s="342"/>
      <c r="R131" s="342"/>
      <c r="S131" s="342"/>
      <c r="T131" s="342"/>
      <c r="U131" s="342"/>
      <c r="V131" s="342"/>
      <c r="W131" s="342"/>
      <c r="X131" s="342"/>
      <c r="Y131" s="342"/>
    </row>
    <row r="132" ht="72.0" customHeight="1">
      <c r="A132" s="370">
        <v>8.500000212E9</v>
      </c>
      <c r="B132" s="299" t="s">
        <v>14</v>
      </c>
      <c r="C132" s="285" t="s">
        <v>8186</v>
      </c>
      <c r="D132" s="285" t="s">
        <v>10470</v>
      </c>
      <c r="E132" s="290" t="s">
        <v>8183</v>
      </c>
      <c r="F132" s="288">
        <v>45309.0</v>
      </c>
      <c r="G132" s="288">
        <v>45299.0</v>
      </c>
      <c r="H132" s="288">
        <v>45313.0</v>
      </c>
      <c r="I132" s="288">
        <v>45313.0</v>
      </c>
      <c r="J132" s="561"/>
      <c r="K132" s="561"/>
      <c r="L132" s="290" t="s">
        <v>10471</v>
      </c>
      <c r="M132" s="286">
        <f t="shared" si="1"/>
        <v>3</v>
      </c>
      <c r="N132" s="342"/>
      <c r="O132" s="342"/>
      <c r="P132" s="342"/>
      <c r="Q132" s="342"/>
      <c r="R132" s="342"/>
      <c r="S132" s="342"/>
      <c r="T132" s="342"/>
      <c r="U132" s="342"/>
      <c r="V132" s="342"/>
      <c r="W132" s="342"/>
      <c r="X132" s="342"/>
      <c r="Y132" s="342"/>
    </row>
    <row r="133" ht="69.75" customHeight="1">
      <c r="A133" s="370">
        <v>8.600002599E9</v>
      </c>
      <c r="B133" s="285" t="s">
        <v>14</v>
      </c>
      <c r="C133" s="285" t="s">
        <v>5678</v>
      </c>
      <c r="D133" s="285" t="s">
        <v>10472</v>
      </c>
      <c r="E133" s="290" t="s">
        <v>8280</v>
      </c>
      <c r="F133" s="288">
        <v>45308.0</v>
      </c>
      <c r="G133" s="288" t="s">
        <v>10473</v>
      </c>
      <c r="H133" s="288">
        <v>45314.0</v>
      </c>
      <c r="I133" s="285" t="s">
        <v>10474</v>
      </c>
      <c r="J133" s="561"/>
      <c r="K133" s="561"/>
      <c r="L133" s="290" t="s">
        <v>10475</v>
      </c>
      <c r="M133" s="286">
        <f t="shared" si="1"/>
        <v>3</v>
      </c>
      <c r="N133" s="342"/>
      <c r="O133" s="342"/>
      <c r="P133" s="342"/>
      <c r="Q133" s="342"/>
      <c r="R133" s="342"/>
      <c r="S133" s="342"/>
      <c r="T133" s="342"/>
      <c r="U133" s="342"/>
      <c r="V133" s="342"/>
      <c r="W133" s="342"/>
      <c r="X133" s="342"/>
      <c r="Y133" s="342"/>
    </row>
    <row r="134" ht="72.0" customHeight="1">
      <c r="A134" s="370">
        <v>8.500000216E9</v>
      </c>
      <c r="B134" s="299" t="s">
        <v>21</v>
      </c>
      <c r="C134" s="285" t="s">
        <v>5735</v>
      </c>
      <c r="D134" s="285" t="s">
        <v>10476</v>
      </c>
      <c r="E134" s="290" t="s">
        <v>8183</v>
      </c>
      <c r="F134" s="288">
        <v>45300.0</v>
      </c>
      <c r="G134" s="288">
        <v>45295.0</v>
      </c>
      <c r="H134" s="288">
        <v>45303.0</v>
      </c>
      <c r="I134" s="285" t="s">
        <v>10477</v>
      </c>
      <c r="J134" s="561"/>
      <c r="K134" s="561"/>
      <c r="L134" s="290" t="s">
        <v>10478</v>
      </c>
      <c r="M134" s="286">
        <f t="shared" si="1"/>
        <v>2</v>
      </c>
      <c r="N134" s="342"/>
      <c r="O134" s="342"/>
      <c r="P134" s="342"/>
      <c r="Q134" s="342"/>
      <c r="R134" s="342"/>
      <c r="S134" s="342"/>
      <c r="T134" s="342"/>
      <c r="U134" s="342"/>
      <c r="V134" s="342"/>
      <c r="W134" s="342"/>
      <c r="X134" s="342"/>
      <c r="Y134" s="342"/>
    </row>
    <row r="135" ht="69.75" customHeight="1">
      <c r="A135" s="370">
        <v>8.50000021E9</v>
      </c>
      <c r="B135" s="299" t="s">
        <v>14</v>
      </c>
      <c r="C135" s="285" t="s">
        <v>10448</v>
      </c>
      <c r="D135" s="285" t="s">
        <v>10479</v>
      </c>
      <c r="E135" s="290" t="s">
        <v>8183</v>
      </c>
      <c r="F135" s="288">
        <v>45293.0</v>
      </c>
      <c r="G135" s="288">
        <v>45286.0</v>
      </c>
      <c r="H135" s="288">
        <v>45299.0</v>
      </c>
      <c r="I135" s="285" t="s">
        <v>10480</v>
      </c>
      <c r="J135" s="561"/>
      <c r="K135" s="561"/>
      <c r="L135" s="290" t="s">
        <v>10481</v>
      </c>
      <c r="M135" s="286">
        <f t="shared" si="1"/>
        <v>1</v>
      </c>
      <c r="N135" s="342"/>
      <c r="O135" s="342"/>
      <c r="P135" s="342"/>
      <c r="Q135" s="342"/>
      <c r="R135" s="342"/>
      <c r="S135" s="342"/>
      <c r="T135" s="342"/>
      <c r="U135" s="342"/>
      <c r="V135" s="342"/>
      <c r="W135" s="342"/>
      <c r="X135" s="342"/>
      <c r="Y135" s="342"/>
    </row>
    <row r="136" ht="59.25" customHeight="1">
      <c r="A136" s="299"/>
      <c r="B136" s="299"/>
      <c r="C136" s="285"/>
      <c r="D136" s="285"/>
      <c r="E136" s="290"/>
      <c r="F136" s="288"/>
      <c r="G136" s="562"/>
      <c r="H136" s="285"/>
      <c r="I136" s="288"/>
      <c r="J136" s="561"/>
      <c r="K136" s="561"/>
      <c r="L136" s="290"/>
      <c r="M136" s="286"/>
      <c r="N136" s="342"/>
      <c r="O136" s="342"/>
      <c r="P136" s="342"/>
      <c r="Q136" s="342"/>
      <c r="R136" s="342"/>
      <c r="S136" s="342"/>
      <c r="T136" s="342"/>
      <c r="U136" s="342"/>
      <c r="V136" s="342"/>
      <c r="W136" s="342"/>
      <c r="X136" s="342"/>
      <c r="Y136" s="342"/>
    </row>
    <row r="137" ht="83.25" customHeight="1">
      <c r="A137" s="299"/>
      <c r="B137" s="285"/>
      <c r="C137" s="285"/>
      <c r="D137" s="285"/>
      <c r="E137" s="290"/>
      <c r="F137" s="288"/>
      <c r="G137" s="562"/>
      <c r="H137" s="285"/>
      <c r="I137" s="285"/>
      <c r="J137" s="561"/>
      <c r="K137" s="561"/>
      <c r="L137" s="424"/>
      <c r="M137" s="286"/>
      <c r="N137" s="342"/>
      <c r="O137" s="342"/>
      <c r="P137" s="342"/>
      <c r="Q137" s="342"/>
      <c r="R137" s="342"/>
      <c r="S137" s="342"/>
      <c r="T137" s="342"/>
      <c r="U137" s="342"/>
      <c r="V137" s="342"/>
      <c r="W137" s="342"/>
      <c r="X137" s="342"/>
      <c r="Y137" s="342"/>
    </row>
    <row r="138" ht="76.5" customHeight="1">
      <c r="A138" s="299"/>
      <c r="B138" s="299"/>
      <c r="C138" s="285"/>
      <c r="D138" s="285"/>
      <c r="E138" s="290"/>
      <c r="F138" s="288"/>
      <c r="G138" s="562"/>
      <c r="H138" s="285"/>
      <c r="I138" s="285"/>
      <c r="J138" s="561"/>
      <c r="K138" s="561"/>
      <c r="L138" s="290"/>
      <c r="M138" s="286"/>
      <c r="N138" s="342"/>
      <c r="O138" s="342"/>
      <c r="P138" s="342"/>
      <c r="Q138" s="342"/>
      <c r="R138" s="342"/>
      <c r="S138" s="342"/>
      <c r="T138" s="342"/>
      <c r="U138" s="342"/>
      <c r="V138" s="342"/>
      <c r="W138" s="342"/>
      <c r="X138" s="342"/>
      <c r="Y138" s="342"/>
    </row>
    <row r="139" ht="64.5" customHeight="1">
      <c r="A139" s="370"/>
      <c r="B139" s="299"/>
      <c r="C139" s="285"/>
      <c r="D139" s="285"/>
      <c r="E139" s="290"/>
      <c r="F139" s="288"/>
      <c r="G139" s="562"/>
      <c r="H139" s="285"/>
      <c r="I139" s="285"/>
      <c r="J139" s="561"/>
      <c r="K139" s="561"/>
      <c r="L139" s="290"/>
      <c r="M139" s="286"/>
      <c r="N139" s="342"/>
      <c r="O139" s="342"/>
      <c r="P139" s="342"/>
      <c r="Q139" s="342"/>
      <c r="R139" s="342"/>
      <c r="S139" s="342"/>
      <c r="T139" s="342"/>
      <c r="U139" s="342"/>
      <c r="V139" s="342"/>
      <c r="W139" s="342"/>
      <c r="X139" s="342"/>
      <c r="Y139" s="342"/>
    </row>
    <row r="140" ht="63.0" customHeight="1">
      <c r="A140" s="299"/>
      <c r="B140" s="285"/>
      <c r="C140" s="285"/>
      <c r="D140" s="285"/>
      <c r="E140" s="290"/>
      <c r="F140" s="561"/>
      <c r="G140" s="562"/>
      <c r="H140" s="285"/>
      <c r="I140" s="288"/>
      <c r="J140" s="561"/>
      <c r="K140" s="561"/>
      <c r="L140" s="290"/>
      <c r="M140" s="286"/>
      <c r="N140" s="342"/>
      <c r="O140" s="342"/>
      <c r="P140" s="342"/>
      <c r="Q140" s="342"/>
      <c r="R140" s="342"/>
      <c r="S140" s="342"/>
      <c r="T140" s="342"/>
      <c r="U140" s="342"/>
      <c r="V140" s="342"/>
      <c r="W140" s="342"/>
      <c r="X140" s="342"/>
      <c r="Y140" s="342"/>
    </row>
    <row r="141" ht="75.0" customHeight="1">
      <c r="A141" s="370"/>
      <c r="B141" s="285"/>
      <c r="C141" s="285"/>
      <c r="D141" s="285"/>
      <c r="E141" s="290"/>
      <c r="F141" s="561"/>
      <c r="G141" s="562"/>
      <c r="H141" s="285"/>
      <c r="I141" s="285"/>
      <c r="J141" s="561"/>
      <c r="K141" s="561"/>
      <c r="L141" s="290"/>
      <c r="M141" s="286"/>
      <c r="N141" s="342"/>
      <c r="O141" s="342"/>
      <c r="P141" s="342"/>
      <c r="Q141" s="342"/>
      <c r="R141" s="342"/>
      <c r="S141" s="342"/>
      <c r="T141" s="342"/>
      <c r="U141" s="342"/>
      <c r="V141" s="342"/>
      <c r="W141" s="342"/>
      <c r="X141" s="342"/>
      <c r="Y141" s="342"/>
    </row>
    <row r="142" ht="78.0" customHeight="1">
      <c r="A142" s="299"/>
      <c r="B142" s="285"/>
      <c r="C142" s="285"/>
      <c r="D142" s="285"/>
      <c r="E142" s="290"/>
      <c r="F142" s="561"/>
      <c r="G142" s="562"/>
      <c r="H142" s="285"/>
      <c r="I142" s="299"/>
      <c r="J142" s="561"/>
      <c r="K142" s="561"/>
      <c r="L142" s="290"/>
      <c r="M142" s="286"/>
      <c r="N142" s="342"/>
      <c r="O142" s="342"/>
      <c r="P142" s="342"/>
      <c r="Q142" s="342"/>
      <c r="R142" s="342"/>
      <c r="S142" s="342"/>
      <c r="T142" s="342"/>
      <c r="U142" s="342"/>
      <c r="V142" s="342"/>
      <c r="W142" s="342"/>
      <c r="X142" s="342"/>
      <c r="Y142" s="342"/>
    </row>
    <row r="143" ht="58.5" customHeight="1">
      <c r="A143" s="299"/>
      <c r="B143" s="285"/>
      <c r="C143" s="285"/>
      <c r="D143" s="285"/>
      <c r="E143" s="290"/>
      <c r="F143" s="561"/>
      <c r="G143" s="562"/>
      <c r="H143" s="285"/>
      <c r="I143" s="372"/>
      <c r="J143" s="561"/>
      <c r="K143" s="561"/>
      <c r="L143" s="290"/>
      <c r="M143" s="286"/>
      <c r="N143" s="342"/>
      <c r="O143" s="342"/>
      <c r="P143" s="342"/>
      <c r="Q143" s="342"/>
      <c r="R143" s="342"/>
      <c r="S143" s="342"/>
      <c r="T143" s="342"/>
      <c r="U143" s="342"/>
      <c r="V143" s="342"/>
      <c r="W143" s="342"/>
      <c r="X143" s="342"/>
      <c r="Y143" s="342"/>
    </row>
    <row r="144" ht="57.0" customHeight="1">
      <c r="A144" s="299"/>
      <c r="B144" s="285"/>
      <c r="C144" s="285"/>
      <c r="D144" s="285"/>
      <c r="E144" s="290"/>
      <c r="F144" s="561"/>
      <c r="G144" s="562"/>
      <c r="H144" s="285"/>
      <c r="I144" s="288"/>
      <c r="J144" s="561"/>
      <c r="K144" s="561"/>
      <c r="L144" s="290"/>
      <c r="M144" s="286"/>
      <c r="N144" s="342"/>
      <c r="O144" s="342"/>
      <c r="P144" s="342"/>
      <c r="Q144" s="342"/>
      <c r="R144" s="342"/>
      <c r="S144" s="342"/>
      <c r="T144" s="342"/>
      <c r="U144" s="342"/>
      <c r="V144" s="342"/>
      <c r="W144" s="342"/>
      <c r="X144" s="342"/>
      <c r="Y144" s="342"/>
    </row>
    <row r="145" ht="65.25" customHeight="1">
      <c r="A145" s="299"/>
      <c r="B145" s="285"/>
      <c r="C145" s="285"/>
      <c r="D145" s="285"/>
      <c r="E145" s="290"/>
      <c r="F145" s="561"/>
      <c r="G145" s="562"/>
      <c r="H145" s="285"/>
      <c r="I145" s="285"/>
      <c r="J145" s="561"/>
      <c r="K145" s="561"/>
      <c r="L145" s="290"/>
      <c r="M145" s="286"/>
      <c r="N145" s="342"/>
      <c r="O145" s="342"/>
      <c r="P145" s="342"/>
      <c r="Q145" s="342"/>
      <c r="R145" s="342"/>
      <c r="S145" s="342"/>
      <c r="T145" s="342"/>
      <c r="U145" s="342"/>
      <c r="V145" s="342"/>
      <c r="W145" s="342"/>
      <c r="X145" s="342"/>
      <c r="Y145" s="342"/>
    </row>
    <row r="146" ht="61.5" customHeight="1">
      <c r="A146" s="299"/>
      <c r="B146" s="299"/>
      <c r="C146" s="285"/>
      <c r="D146" s="285"/>
      <c r="E146" s="290"/>
      <c r="F146" s="561"/>
      <c r="G146" s="562"/>
      <c r="H146" s="285"/>
      <c r="I146" s="288"/>
      <c r="J146" s="561"/>
      <c r="K146" s="563"/>
      <c r="L146" s="290"/>
      <c r="M146" s="286"/>
      <c r="N146" s="342"/>
      <c r="O146" s="342"/>
      <c r="P146" s="342"/>
      <c r="Q146" s="342"/>
      <c r="R146" s="342"/>
      <c r="S146" s="342"/>
      <c r="T146" s="342"/>
      <c r="U146" s="342"/>
      <c r="V146" s="342"/>
      <c r="W146" s="342"/>
      <c r="X146" s="342"/>
      <c r="Y146" s="342"/>
    </row>
    <row r="147" ht="69.0" customHeight="1">
      <c r="A147" s="299"/>
      <c r="B147" s="299"/>
      <c r="C147" s="285"/>
      <c r="D147" s="285"/>
      <c r="E147" s="290"/>
      <c r="F147" s="561"/>
      <c r="G147" s="562"/>
      <c r="H147" s="285"/>
      <c r="I147" s="285"/>
      <c r="J147" s="561"/>
      <c r="K147" s="563"/>
      <c r="L147" s="290"/>
      <c r="M147" s="286"/>
      <c r="N147" s="342"/>
      <c r="O147" s="342"/>
      <c r="P147" s="342"/>
      <c r="Q147" s="342"/>
      <c r="R147" s="342"/>
      <c r="S147" s="342"/>
      <c r="T147" s="342"/>
      <c r="U147" s="342"/>
      <c r="V147" s="342"/>
      <c r="W147" s="342"/>
      <c r="X147" s="342"/>
      <c r="Y147" s="342"/>
    </row>
    <row r="148" ht="86.25" customHeight="1">
      <c r="A148" s="299"/>
      <c r="B148" s="299"/>
      <c r="C148" s="285"/>
      <c r="D148" s="285"/>
      <c r="E148" s="290"/>
      <c r="F148" s="561"/>
      <c r="G148" s="562"/>
      <c r="H148" s="285"/>
      <c r="I148" s="285"/>
      <c r="J148" s="561"/>
      <c r="K148" s="563"/>
      <c r="L148" s="290"/>
      <c r="M148" s="286"/>
      <c r="N148" s="342"/>
      <c r="O148" s="342"/>
      <c r="P148" s="342"/>
      <c r="Q148" s="342"/>
      <c r="R148" s="342"/>
      <c r="S148" s="342"/>
      <c r="T148" s="342"/>
      <c r="U148" s="342"/>
      <c r="V148" s="342"/>
      <c r="W148" s="342"/>
      <c r="X148" s="342"/>
      <c r="Y148" s="342"/>
    </row>
    <row r="149" ht="56.25" customHeight="1">
      <c r="A149" s="299"/>
      <c r="B149" s="285"/>
      <c r="C149" s="285"/>
      <c r="D149" s="285"/>
      <c r="E149" s="290"/>
      <c r="F149" s="561"/>
      <c r="G149" s="561"/>
      <c r="H149" s="285"/>
      <c r="I149" s="285"/>
      <c r="J149" s="561"/>
      <c r="K149" s="563"/>
      <c r="L149" s="290"/>
      <c r="M149" s="286"/>
      <c r="N149" s="342"/>
      <c r="O149" s="342"/>
      <c r="P149" s="342"/>
      <c r="Q149" s="342"/>
      <c r="R149" s="342"/>
      <c r="S149" s="342"/>
      <c r="T149" s="342"/>
      <c r="U149" s="342"/>
      <c r="V149" s="342"/>
      <c r="W149" s="342"/>
      <c r="X149" s="342"/>
      <c r="Y149" s="342"/>
    </row>
    <row r="150" ht="56.25" customHeight="1">
      <c r="A150" s="299"/>
      <c r="B150" s="285"/>
      <c r="C150" s="285"/>
      <c r="D150" s="285"/>
      <c r="E150" s="290"/>
      <c r="F150" s="561"/>
      <c r="G150" s="562"/>
      <c r="H150" s="285"/>
      <c r="I150" s="285"/>
      <c r="J150" s="561"/>
      <c r="K150" s="563"/>
      <c r="L150" s="290"/>
      <c r="M150" s="286"/>
      <c r="N150" s="342"/>
      <c r="O150" s="342"/>
      <c r="P150" s="342"/>
      <c r="Q150" s="342"/>
      <c r="R150" s="342"/>
      <c r="S150" s="342"/>
      <c r="T150" s="342"/>
      <c r="U150" s="342"/>
      <c r="V150" s="342"/>
      <c r="W150" s="342"/>
      <c r="X150" s="342"/>
      <c r="Y150" s="342"/>
    </row>
    <row r="151" ht="56.25" customHeight="1">
      <c r="A151" s="299"/>
      <c r="B151" s="299"/>
      <c r="C151" s="285"/>
      <c r="D151" s="285"/>
      <c r="E151" s="290"/>
      <c r="F151" s="561"/>
      <c r="G151" s="562"/>
      <c r="H151" s="285"/>
      <c r="I151" s="285"/>
      <c r="J151" s="561"/>
      <c r="K151" s="563"/>
      <c r="L151" s="424"/>
      <c r="M151" s="286"/>
      <c r="N151" s="342"/>
      <c r="O151" s="342"/>
      <c r="P151" s="342"/>
      <c r="Q151" s="342"/>
      <c r="R151" s="342"/>
      <c r="S151" s="342"/>
      <c r="T151" s="342"/>
      <c r="U151" s="342"/>
      <c r="V151" s="342"/>
      <c r="W151" s="342"/>
      <c r="X151" s="342"/>
      <c r="Y151" s="342"/>
    </row>
    <row r="152" ht="56.25" customHeight="1">
      <c r="A152" s="299"/>
      <c r="B152" s="299"/>
      <c r="C152" s="285"/>
      <c r="D152" s="285"/>
      <c r="E152" s="290"/>
      <c r="F152" s="561"/>
      <c r="G152" s="562"/>
      <c r="H152" s="285"/>
      <c r="I152" s="288"/>
      <c r="J152" s="561"/>
      <c r="K152" s="563"/>
      <c r="L152" s="424"/>
      <c r="M152" s="286"/>
      <c r="N152" s="342"/>
      <c r="O152" s="342"/>
      <c r="P152" s="342"/>
      <c r="Q152" s="342"/>
      <c r="R152" s="342"/>
      <c r="S152" s="342"/>
      <c r="T152" s="342"/>
      <c r="U152" s="342"/>
      <c r="V152" s="342"/>
      <c r="W152" s="342"/>
      <c r="X152" s="342"/>
      <c r="Y152" s="342"/>
    </row>
    <row r="153" ht="62.25" customHeight="1">
      <c r="A153" s="284"/>
      <c r="B153" s="285"/>
      <c r="C153" s="285"/>
      <c r="D153" s="285"/>
      <c r="E153" s="290"/>
      <c r="F153" s="561"/>
      <c r="G153" s="561"/>
      <c r="H153" s="285"/>
      <c r="I153" s="285"/>
      <c r="J153" s="561"/>
      <c r="K153" s="563"/>
      <c r="L153" s="290"/>
      <c r="M153" s="286"/>
      <c r="N153" s="342"/>
      <c r="O153" s="342"/>
      <c r="P153" s="342"/>
      <c r="Q153" s="342"/>
      <c r="R153" s="342"/>
      <c r="S153" s="342"/>
      <c r="T153" s="342"/>
      <c r="U153" s="342"/>
      <c r="V153" s="342"/>
      <c r="W153" s="342"/>
      <c r="X153" s="342"/>
      <c r="Y153" s="342"/>
    </row>
    <row r="154" ht="60.0" customHeight="1">
      <c r="A154" s="284"/>
      <c r="B154" s="285"/>
      <c r="C154" s="285"/>
      <c r="D154" s="285"/>
      <c r="E154" s="290"/>
      <c r="F154" s="561"/>
      <c r="G154" s="562"/>
      <c r="H154" s="285"/>
      <c r="I154" s="285"/>
      <c r="J154" s="561"/>
      <c r="K154" s="563"/>
      <c r="L154" s="290"/>
      <c r="M154" s="286"/>
      <c r="N154" s="342"/>
      <c r="O154" s="342"/>
      <c r="P154" s="342"/>
      <c r="Q154" s="342"/>
      <c r="R154" s="342"/>
      <c r="S154" s="342"/>
      <c r="T154" s="342"/>
      <c r="U154" s="342"/>
      <c r="V154" s="342"/>
      <c r="W154" s="342"/>
      <c r="X154" s="342"/>
      <c r="Y154" s="342"/>
    </row>
    <row r="155" ht="60.0" customHeight="1">
      <c r="A155" s="284"/>
      <c r="B155" s="299"/>
      <c r="C155" s="285"/>
      <c r="D155" s="285"/>
      <c r="E155" s="290"/>
      <c r="F155" s="561"/>
      <c r="G155" s="562"/>
      <c r="H155" s="285"/>
      <c r="I155" s="288"/>
      <c r="J155" s="285"/>
      <c r="K155" s="563"/>
      <c r="L155" s="290"/>
      <c r="M155" s="286"/>
      <c r="N155" s="342"/>
      <c r="O155" s="342"/>
      <c r="P155" s="342"/>
      <c r="Q155" s="342"/>
      <c r="R155" s="342"/>
      <c r="S155" s="342"/>
      <c r="T155" s="342"/>
      <c r="U155" s="342"/>
      <c r="V155" s="342"/>
      <c r="W155" s="342"/>
      <c r="X155" s="342"/>
      <c r="Y155" s="342"/>
    </row>
    <row r="156" ht="66.75" customHeight="1">
      <c r="A156" s="284"/>
      <c r="B156" s="299"/>
      <c r="C156" s="285"/>
      <c r="D156" s="285"/>
      <c r="E156" s="290"/>
      <c r="F156" s="561"/>
      <c r="G156" s="562"/>
      <c r="H156" s="285"/>
      <c r="I156" s="288"/>
      <c r="J156" s="285"/>
      <c r="K156" s="563"/>
      <c r="L156" s="290"/>
      <c r="M156" s="286"/>
      <c r="N156" s="342"/>
      <c r="O156" s="342"/>
      <c r="P156" s="342"/>
      <c r="Q156" s="342"/>
      <c r="R156" s="342"/>
      <c r="S156" s="342"/>
      <c r="T156" s="342"/>
      <c r="U156" s="342"/>
      <c r="V156" s="342"/>
      <c r="W156" s="342"/>
      <c r="X156" s="342"/>
      <c r="Y156" s="342"/>
    </row>
    <row r="157" ht="60.75" customHeight="1">
      <c r="A157" s="284"/>
      <c r="B157" s="285"/>
      <c r="C157" s="285"/>
      <c r="D157" s="285"/>
      <c r="E157" s="290"/>
      <c r="F157" s="561"/>
      <c r="G157" s="562"/>
      <c r="H157" s="285"/>
      <c r="I157" s="288"/>
      <c r="J157" s="285"/>
      <c r="K157" s="294"/>
      <c r="L157" s="290"/>
      <c r="M157" s="286"/>
      <c r="N157" s="342"/>
      <c r="O157" s="342"/>
      <c r="P157" s="342"/>
      <c r="Q157" s="342"/>
      <c r="R157" s="342"/>
      <c r="S157" s="342"/>
      <c r="T157" s="342"/>
      <c r="U157" s="342"/>
      <c r="V157" s="342"/>
      <c r="W157" s="342"/>
      <c r="X157" s="342"/>
      <c r="Y157" s="342"/>
    </row>
    <row r="158" ht="72.75" customHeight="1">
      <c r="A158" s="284"/>
      <c r="B158" s="299"/>
      <c r="C158" s="285"/>
      <c r="D158" s="564"/>
      <c r="E158" s="290"/>
      <c r="F158" s="561"/>
      <c r="G158" s="562"/>
      <c r="H158" s="285"/>
      <c r="I158" s="288"/>
      <c r="J158" s="561"/>
      <c r="K158" s="563"/>
      <c r="L158" s="290"/>
      <c r="M158" s="286"/>
      <c r="N158" s="342"/>
      <c r="O158" s="342"/>
      <c r="P158" s="342"/>
      <c r="Q158" s="342"/>
      <c r="R158" s="342"/>
      <c r="S158" s="342"/>
      <c r="T158" s="342"/>
      <c r="U158" s="342"/>
      <c r="V158" s="342"/>
      <c r="W158" s="342"/>
      <c r="X158" s="342"/>
      <c r="Y158" s="342"/>
    </row>
    <row r="159" ht="75.0" customHeight="1">
      <c r="A159" s="284"/>
      <c r="B159" s="299"/>
      <c r="C159" s="285"/>
      <c r="D159" s="564"/>
      <c r="E159" s="290"/>
      <c r="F159" s="561"/>
      <c r="G159" s="562"/>
      <c r="H159" s="285"/>
      <c r="I159" s="288"/>
      <c r="J159" s="561"/>
      <c r="K159" s="563"/>
      <c r="L159" s="290"/>
      <c r="M159" s="286"/>
      <c r="N159" s="342"/>
      <c r="O159" s="342"/>
      <c r="P159" s="342"/>
      <c r="Q159" s="342"/>
      <c r="R159" s="342"/>
      <c r="S159" s="342"/>
      <c r="T159" s="342"/>
      <c r="U159" s="342"/>
      <c r="V159" s="342"/>
      <c r="W159" s="342"/>
      <c r="X159" s="342"/>
      <c r="Y159" s="342"/>
    </row>
    <row r="160" ht="66.75" customHeight="1">
      <c r="A160" s="284"/>
      <c r="B160" s="285"/>
      <c r="C160" s="285"/>
      <c r="D160" s="285"/>
      <c r="E160" s="290"/>
      <c r="F160" s="561"/>
      <c r="G160" s="562"/>
      <c r="H160" s="285"/>
      <c r="I160" s="288"/>
      <c r="J160" s="561"/>
      <c r="K160" s="563"/>
      <c r="L160" s="290"/>
      <c r="M160" s="286"/>
      <c r="N160" s="342"/>
      <c r="O160" s="342"/>
      <c r="P160" s="342"/>
      <c r="Q160" s="342"/>
      <c r="R160" s="342"/>
      <c r="S160" s="342"/>
      <c r="T160" s="342"/>
      <c r="U160" s="342"/>
      <c r="V160" s="342"/>
      <c r="W160" s="342"/>
      <c r="X160" s="342"/>
      <c r="Y160" s="342"/>
    </row>
    <row r="161" ht="105.0" customHeight="1">
      <c r="A161" s="284"/>
      <c r="B161" s="285"/>
      <c r="C161" s="285"/>
      <c r="D161" s="285"/>
      <c r="E161" s="290"/>
      <c r="F161" s="561"/>
      <c r="G161" s="561"/>
      <c r="H161" s="285"/>
      <c r="I161" s="285"/>
      <c r="J161" s="561"/>
      <c r="K161" s="563"/>
      <c r="L161" s="290"/>
      <c r="M161" s="286"/>
      <c r="N161" s="342"/>
      <c r="O161" s="342"/>
      <c r="P161" s="342"/>
      <c r="Q161" s="342"/>
      <c r="R161" s="342"/>
      <c r="S161" s="342"/>
      <c r="T161" s="342"/>
      <c r="U161" s="342"/>
      <c r="V161" s="342"/>
      <c r="W161" s="342"/>
      <c r="X161" s="342"/>
      <c r="Y161" s="342"/>
    </row>
    <row r="162" ht="66.75" customHeight="1">
      <c r="A162" s="299"/>
      <c r="B162" s="299"/>
      <c r="C162" s="285"/>
      <c r="D162" s="564"/>
      <c r="E162" s="290"/>
      <c r="F162" s="561"/>
      <c r="G162" s="562"/>
      <c r="H162" s="285"/>
      <c r="I162" s="288"/>
      <c r="J162" s="561"/>
      <c r="K162" s="563"/>
      <c r="L162" s="290"/>
      <c r="M162" s="286"/>
      <c r="N162" s="342"/>
      <c r="O162" s="342"/>
      <c r="P162" s="342"/>
      <c r="Q162" s="342"/>
      <c r="R162" s="342"/>
      <c r="S162" s="342"/>
      <c r="T162" s="342"/>
      <c r="U162" s="342"/>
      <c r="V162" s="342"/>
      <c r="W162" s="342"/>
      <c r="X162" s="342"/>
      <c r="Y162" s="342"/>
    </row>
    <row r="163" ht="57.0" customHeight="1">
      <c r="A163" s="284"/>
      <c r="B163" s="285"/>
      <c r="C163" s="285"/>
      <c r="D163" s="285"/>
      <c r="E163" s="290"/>
      <c r="F163" s="561"/>
      <c r="G163" s="562"/>
      <c r="H163" s="285"/>
      <c r="I163" s="285"/>
      <c r="J163" s="561"/>
      <c r="K163" s="563"/>
      <c r="L163" s="290"/>
      <c r="M163" s="286"/>
      <c r="N163" s="342"/>
      <c r="O163" s="342"/>
      <c r="P163" s="342"/>
      <c r="Q163" s="342"/>
      <c r="R163" s="342"/>
      <c r="S163" s="342"/>
      <c r="T163" s="342"/>
      <c r="U163" s="342"/>
      <c r="V163" s="342"/>
      <c r="W163" s="342"/>
      <c r="X163" s="342"/>
      <c r="Y163" s="342"/>
    </row>
    <row r="164" ht="57.0" customHeight="1">
      <c r="A164" s="284"/>
      <c r="B164" s="299"/>
      <c r="C164" s="285"/>
      <c r="D164" s="285"/>
      <c r="E164" s="290"/>
      <c r="F164" s="561"/>
      <c r="G164" s="562"/>
      <c r="H164" s="285"/>
      <c r="I164" s="285"/>
      <c r="J164" s="561"/>
      <c r="K164" s="563"/>
      <c r="L164" s="290"/>
      <c r="M164" s="286"/>
      <c r="N164" s="342"/>
      <c r="O164" s="342"/>
      <c r="P164" s="342"/>
      <c r="Q164" s="342"/>
      <c r="R164" s="342"/>
      <c r="S164" s="342"/>
      <c r="T164" s="342"/>
      <c r="U164" s="342"/>
      <c r="V164" s="342"/>
      <c r="W164" s="342"/>
      <c r="X164" s="342"/>
      <c r="Y164" s="342"/>
    </row>
    <row r="165" ht="57.0" customHeight="1">
      <c r="A165" s="284"/>
      <c r="B165" s="299"/>
      <c r="C165" s="285"/>
      <c r="D165" s="285"/>
      <c r="E165" s="290"/>
      <c r="F165" s="561"/>
      <c r="G165" s="562"/>
      <c r="H165" s="285"/>
      <c r="I165" s="288"/>
      <c r="J165" s="285"/>
      <c r="K165" s="563"/>
      <c r="L165" s="290"/>
      <c r="M165" s="286"/>
      <c r="N165" s="342"/>
      <c r="O165" s="342"/>
      <c r="P165" s="342"/>
      <c r="Q165" s="342"/>
      <c r="R165" s="342"/>
      <c r="S165" s="342"/>
      <c r="T165" s="342"/>
      <c r="U165" s="342"/>
      <c r="V165" s="342"/>
      <c r="W165" s="342"/>
      <c r="X165" s="342"/>
      <c r="Y165" s="342"/>
    </row>
    <row r="166" ht="59.25" customHeight="1">
      <c r="A166" s="284"/>
      <c r="B166" s="299"/>
      <c r="C166" s="285"/>
      <c r="D166" s="564"/>
      <c r="E166" s="290"/>
      <c r="F166" s="561"/>
      <c r="G166" s="562"/>
      <c r="H166" s="285"/>
      <c r="I166" s="288"/>
      <c r="J166" s="561"/>
      <c r="K166" s="563"/>
      <c r="L166" s="290"/>
      <c r="M166" s="286"/>
      <c r="N166" s="342"/>
      <c r="O166" s="342"/>
      <c r="P166" s="342"/>
      <c r="Q166" s="342"/>
      <c r="R166" s="342"/>
      <c r="S166" s="342"/>
      <c r="T166" s="342"/>
      <c r="U166" s="342"/>
      <c r="V166" s="342"/>
      <c r="W166" s="342"/>
      <c r="X166" s="342"/>
      <c r="Y166" s="342"/>
    </row>
    <row r="167" ht="63.0" customHeight="1">
      <c r="A167" s="284"/>
      <c r="B167" s="299"/>
      <c r="C167" s="285"/>
      <c r="D167" s="564"/>
      <c r="E167" s="290"/>
      <c r="F167" s="561"/>
      <c r="G167" s="562"/>
      <c r="H167" s="285"/>
      <c r="I167" s="288"/>
      <c r="J167" s="561"/>
      <c r="K167" s="563"/>
      <c r="L167" s="290"/>
      <c r="M167" s="286"/>
      <c r="N167" s="342"/>
      <c r="O167" s="342"/>
      <c r="P167" s="342"/>
      <c r="Q167" s="342"/>
      <c r="R167" s="342"/>
      <c r="S167" s="342"/>
      <c r="T167" s="342"/>
      <c r="U167" s="342"/>
      <c r="V167" s="342"/>
      <c r="W167" s="342"/>
      <c r="X167" s="342"/>
      <c r="Y167" s="342"/>
    </row>
    <row r="168" ht="84.75" customHeight="1">
      <c r="A168" s="284"/>
      <c r="B168" s="299"/>
      <c r="C168" s="285"/>
      <c r="D168" s="285"/>
      <c r="E168" s="290"/>
      <c r="F168" s="561"/>
      <c r="G168" s="562"/>
      <c r="H168" s="285"/>
      <c r="I168" s="285"/>
      <c r="J168" s="285"/>
      <c r="K168" s="563"/>
      <c r="L168" s="290"/>
      <c r="M168" s="286"/>
      <c r="N168" s="342"/>
      <c r="O168" s="342"/>
      <c r="P168" s="342"/>
      <c r="Q168" s="342"/>
      <c r="R168" s="342"/>
      <c r="S168" s="342"/>
      <c r="T168" s="342"/>
      <c r="U168" s="342"/>
      <c r="V168" s="342"/>
      <c r="W168" s="342"/>
      <c r="X168" s="342"/>
      <c r="Y168" s="342"/>
    </row>
    <row r="169" ht="59.25" customHeight="1">
      <c r="A169" s="284"/>
      <c r="B169" s="285"/>
      <c r="C169" s="285"/>
      <c r="D169" s="285"/>
      <c r="E169" s="290"/>
      <c r="F169" s="561"/>
      <c r="G169" s="562"/>
      <c r="H169" s="285"/>
      <c r="I169" s="285"/>
      <c r="J169" s="561"/>
      <c r="K169" s="563"/>
      <c r="L169" s="424"/>
      <c r="M169" s="286"/>
      <c r="N169" s="342"/>
      <c r="O169" s="342"/>
      <c r="P169" s="342"/>
      <c r="Q169" s="342"/>
      <c r="R169" s="342"/>
      <c r="S169" s="342"/>
      <c r="T169" s="342"/>
      <c r="U169" s="342"/>
      <c r="V169" s="342"/>
      <c r="W169" s="342"/>
      <c r="X169" s="342"/>
      <c r="Y169" s="342"/>
    </row>
    <row r="170" ht="57.0" customHeight="1">
      <c r="A170" s="284"/>
      <c r="B170" s="299"/>
      <c r="C170" s="285"/>
      <c r="D170" s="285"/>
      <c r="E170" s="290"/>
      <c r="F170" s="561"/>
      <c r="G170" s="562"/>
      <c r="H170" s="285"/>
      <c r="I170" s="285"/>
      <c r="J170" s="561"/>
      <c r="K170" s="563"/>
      <c r="L170" s="290"/>
      <c r="M170" s="286"/>
      <c r="N170" s="342"/>
      <c r="O170" s="342"/>
      <c r="P170" s="342"/>
      <c r="Q170" s="342"/>
      <c r="R170" s="342"/>
      <c r="S170" s="342"/>
      <c r="T170" s="342"/>
      <c r="U170" s="342"/>
      <c r="V170" s="342"/>
      <c r="W170" s="342"/>
      <c r="X170" s="342"/>
      <c r="Y170" s="342"/>
    </row>
    <row r="171" ht="57.0" customHeight="1">
      <c r="A171" s="284"/>
      <c r="B171" s="299"/>
      <c r="C171" s="285"/>
      <c r="D171" s="285"/>
      <c r="E171" s="565"/>
      <c r="F171" s="561"/>
      <c r="G171" s="562"/>
      <c r="H171" s="285"/>
      <c r="I171" s="285"/>
      <c r="J171" s="561"/>
      <c r="K171" s="563"/>
      <c r="L171" s="290"/>
      <c r="M171" s="286"/>
      <c r="N171" s="342"/>
      <c r="O171" s="342"/>
      <c r="P171" s="342"/>
      <c r="Q171" s="342"/>
      <c r="R171" s="342"/>
      <c r="S171" s="342"/>
      <c r="T171" s="342"/>
      <c r="U171" s="342"/>
      <c r="V171" s="342"/>
      <c r="W171" s="342"/>
      <c r="X171" s="342"/>
      <c r="Y171" s="342"/>
    </row>
    <row r="172" ht="57.0" customHeight="1">
      <c r="A172" s="284"/>
      <c r="B172" s="299"/>
      <c r="C172" s="285"/>
      <c r="D172" s="564"/>
      <c r="E172" s="290"/>
      <c r="F172" s="561"/>
      <c r="G172" s="562"/>
      <c r="H172" s="285"/>
      <c r="I172" s="288"/>
      <c r="J172" s="561"/>
      <c r="K172" s="563"/>
      <c r="L172" s="424"/>
      <c r="M172" s="286"/>
      <c r="N172" s="342"/>
      <c r="O172" s="342"/>
      <c r="P172" s="342"/>
      <c r="Q172" s="342"/>
      <c r="R172" s="342"/>
      <c r="S172" s="342"/>
      <c r="T172" s="342"/>
      <c r="U172" s="342"/>
      <c r="V172" s="342"/>
      <c r="W172" s="342"/>
      <c r="X172" s="342"/>
      <c r="Y172" s="342"/>
    </row>
    <row r="173" ht="70.5" customHeight="1">
      <c r="A173" s="284"/>
      <c r="B173" s="299"/>
      <c r="C173" s="285"/>
      <c r="D173" s="285"/>
      <c r="E173" s="290"/>
      <c r="F173" s="561"/>
      <c r="G173" s="562"/>
      <c r="H173" s="285"/>
      <c r="I173" s="285"/>
      <c r="J173" s="285"/>
      <c r="K173" s="563"/>
      <c r="L173" s="290"/>
      <c r="M173" s="286"/>
      <c r="N173" s="342"/>
      <c r="O173" s="342"/>
      <c r="P173" s="342"/>
      <c r="Q173" s="342"/>
      <c r="R173" s="342"/>
      <c r="S173" s="342"/>
      <c r="T173" s="342"/>
      <c r="U173" s="342"/>
      <c r="V173" s="342"/>
      <c r="W173" s="342"/>
      <c r="X173" s="342"/>
      <c r="Y173" s="342"/>
    </row>
    <row r="174" ht="76.5" customHeight="1">
      <c r="A174" s="284"/>
      <c r="B174" s="299"/>
      <c r="C174" s="285"/>
      <c r="D174" s="285"/>
      <c r="E174" s="290"/>
      <c r="F174" s="561"/>
      <c r="G174" s="562"/>
      <c r="H174" s="285"/>
      <c r="I174" s="285"/>
      <c r="J174" s="285"/>
      <c r="K174" s="563"/>
      <c r="L174" s="290"/>
      <c r="M174" s="286"/>
      <c r="N174" s="342"/>
      <c r="O174" s="342"/>
      <c r="P174" s="342"/>
      <c r="Q174" s="342"/>
      <c r="R174" s="342"/>
      <c r="S174" s="342"/>
      <c r="T174" s="342"/>
      <c r="U174" s="342"/>
      <c r="V174" s="342"/>
      <c r="W174" s="342"/>
      <c r="X174" s="342"/>
      <c r="Y174" s="342"/>
    </row>
    <row r="175" ht="66.0" customHeight="1">
      <c r="A175" s="284"/>
      <c r="B175" s="299"/>
      <c r="C175" s="285"/>
      <c r="D175" s="564"/>
      <c r="E175" s="290"/>
      <c r="F175" s="561"/>
      <c r="G175" s="562"/>
      <c r="H175" s="285"/>
      <c r="I175" s="285"/>
      <c r="J175" s="561"/>
      <c r="K175" s="563"/>
      <c r="L175" s="290"/>
      <c r="M175" s="286"/>
      <c r="N175" s="342"/>
      <c r="O175" s="342"/>
      <c r="P175" s="342"/>
      <c r="Q175" s="342"/>
      <c r="R175" s="342"/>
      <c r="S175" s="342"/>
      <c r="T175" s="342"/>
      <c r="U175" s="342"/>
      <c r="V175" s="342"/>
      <c r="W175" s="342"/>
      <c r="X175" s="342"/>
      <c r="Y175" s="342"/>
    </row>
    <row r="176" ht="100.5" customHeight="1">
      <c r="A176" s="284"/>
      <c r="B176" s="285"/>
      <c r="C176" s="285"/>
      <c r="D176" s="285"/>
      <c r="E176" s="290"/>
      <c r="F176" s="561"/>
      <c r="G176" s="566"/>
      <c r="H176" s="285"/>
      <c r="I176" s="285"/>
      <c r="J176" s="561"/>
      <c r="K176" s="563"/>
      <c r="L176" s="290"/>
      <c r="M176" s="286"/>
      <c r="N176" s="342"/>
      <c r="O176" s="342"/>
      <c r="P176" s="342"/>
      <c r="Q176" s="342"/>
      <c r="R176" s="342"/>
      <c r="S176" s="342"/>
      <c r="T176" s="342"/>
      <c r="U176" s="342"/>
      <c r="V176" s="342"/>
      <c r="W176" s="342"/>
      <c r="X176" s="342"/>
      <c r="Y176" s="342"/>
    </row>
    <row r="177" ht="59.25" customHeight="1">
      <c r="A177" s="284"/>
      <c r="B177" s="299"/>
      <c r="C177" s="285"/>
      <c r="D177" s="285"/>
      <c r="E177" s="290"/>
      <c r="F177" s="561"/>
      <c r="G177" s="562"/>
      <c r="H177" s="285"/>
      <c r="I177" s="288"/>
      <c r="J177" s="285"/>
      <c r="K177" s="563"/>
      <c r="L177" s="290"/>
      <c r="M177" s="286"/>
      <c r="N177" s="342"/>
      <c r="O177" s="342"/>
      <c r="P177" s="342"/>
      <c r="Q177" s="342"/>
      <c r="R177" s="342"/>
      <c r="S177" s="342"/>
      <c r="T177" s="342"/>
      <c r="U177" s="342"/>
      <c r="V177" s="342"/>
      <c r="W177" s="342"/>
      <c r="X177" s="342"/>
      <c r="Y177" s="342"/>
    </row>
    <row r="178" ht="57.0" customHeight="1">
      <c r="A178" s="284"/>
      <c r="B178" s="299"/>
      <c r="C178" s="285"/>
      <c r="D178" s="564"/>
      <c r="E178" s="567"/>
      <c r="F178" s="561"/>
      <c r="G178" s="562"/>
      <c r="H178" s="285"/>
      <c r="I178" s="288"/>
      <c r="J178" s="561"/>
      <c r="K178" s="563"/>
      <c r="L178" s="290"/>
      <c r="M178" s="286"/>
      <c r="N178" s="342"/>
      <c r="O178" s="342"/>
      <c r="P178" s="342"/>
      <c r="Q178" s="342"/>
      <c r="R178" s="342"/>
      <c r="S178" s="342"/>
      <c r="T178" s="342"/>
      <c r="U178" s="342"/>
      <c r="V178" s="342"/>
      <c r="W178" s="342"/>
      <c r="X178" s="342"/>
      <c r="Y178" s="342"/>
    </row>
    <row r="179" ht="84.75" customHeight="1">
      <c r="A179" s="284"/>
      <c r="B179" s="299"/>
      <c r="C179" s="285"/>
      <c r="D179" s="285"/>
      <c r="E179" s="290"/>
      <c r="F179" s="561"/>
      <c r="G179" s="561"/>
      <c r="H179" s="285"/>
      <c r="I179" s="285"/>
      <c r="J179" s="561"/>
      <c r="K179" s="563"/>
      <c r="L179" s="290"/>
      <c r="M179" s="286"/>
      <c r="N179" s="342"/>
      <c r="O179" s="342"/>
      <c r="P179" s="342"/>
      <c r="Q179" s="342"/>
      <c r="R179" s="342"/>
      <c r="S179" s="342"/>
      <c r="T179" s="342"/>
      <c r="U179" s="342"/>
      <c r="V179" s="342"/>
      <c r="W179" s="342"/>
      <c r="X179" s="342"/>
      <c r="Y179" s="342"/>
    </row>
    <row r="180" ht="57.0" customHeight="1">
      <c r="A180" s="284"/>
      <c r="B180" s="299"/>
      <c r="C180" s="285"/>
      <c r="D180" s="285"/>
      <c r="E180" s="290"/>
      <c r="F180" s="561"/>
      <c r="G180" s="561"/>
      <c r="H180" s="285"/>
      <c r="I180" s="288"/>
      <c r="J180" s="285"/>
      <c r="K180" s="563"/>
      <c r="L180" s="290"/>
      <c r="M180" s="286"/>
      <c r="N180" s="342"/>
      <c r="O180" s="342"/>
      <c r="P180" s="342"/>
      <c r="Q180" s="342"/>
      <c r="R180" s="342"/>
      <c r="S180" s="342"/>
      <c r="T180" s="342"/>
      <c r="U180" s="342"/>
      <c r="V180" s="342"/>
      <c r="W180" s="342"/>
      <c r="X180" s="342"/>
      <c r="Y180" s="342"/>
    </row>
    <row r="181" ht="61.5" customHeight="1">
      <c r="A181" s="284"/>
      <c r="B181" s="299"/>
      <c r="C181" s="285"/>
      <c r="D181" s="564"/>
      <c r="E181" s="290"/>
      <c r="F181" s="561"/>
      <c r="G181" s="562"/>
      <c r="H181" s="285"/>
      <c r="I181" s="288"/>
      <c r="J181" s="561"/>
      <c r="K181" s="563"/>
      <c r="L181" s="290"/>
      <c r="M181" s="286"/>
      <c r="N181" s="342"/>
      <c r="O181" s="342"/>
      <c r="P181" s="342"/>
      <c r="Q181" s="342"/>
      <c r="R181" s="342"/>
      <c r="S181" s="342"/>
      <c r="T181" s="342"/>
      <c r="U181" s="342"/>
      <c r="V181" s="342"/>
      <c r="W181" s="342"/>
      <c r="X181" s="342"/>
      <c r="Y181" s="342"/>
    </row>
    <row r="182" ht="57.75" customHeight="1">
      <c r="A182" s="284"/>
      <c r="B182" s="299"/>
      <c r="C182" s="285"/>
      <c r="D182" s="564"/>
      <c r="E182" s="290"/>
      <c r="F182" s="561"/>
      <c r="G182" s="561"/>
      <c r="H182" s="285"/>
      <c r="I182" s="288"/>
      <c r="J182" s="561"/>
      <c r="K182" s="563"/>
      <c r="L182" s="290"/>
      <c r="M182" s="286"/>
      <c r="N182" s="342"/>
      <c r="O182" s="342"/>
      <c r="P182" s="342"/>
      <c r="Q182" s="342"/>
      <c r="R182" s="342"/>
      <c r="S182" s="342"/>
      <c r="T182" s="342"/>
      <c r="U182" s="342"/>
      <c r="V182" s="342"/>
      <c r="W182" s="342"/>
      <c r="X182" s="342"/>
      <c r="Y182" s="342"/>
    </row>
    <row r="183" ht="57.0" customHeight="1">
      <c r="A183" s="284"/>
      <c r="B183" s="285"/>
      <c r="C183" s="285"/>
      <c r="D183" s="285"/>
      <c r="E183" s="290"/>
      <c r="F183" s="561"/>
      <c r="G183" s="562"/>
      <c r="H183" s="285"/>
      <c r="I183" s="288"/>
      <c r="J183" s="561"/>
      <c r="K183" s="563"/>
      <c r="L183" s="290"/>
      <c r="M183" s="286"/>
      <c r="N183" s="342"/>
      <c r="O183" s="342"/>
      <c r="P183" s="342"/>
      <c r="Q183" s="342"/>
      <c r="R183" s="342"/>
      <c r="S183" s="342"/>
      <c r="T183" s="342"/>
      <c r="U183" s="342"/>
      <c r="V183" s="342"/>
      <c r="W183" s="342"/>
      <c r="X183" s="342"/>
      <c r="Y183" s="342"/>
    </row>
    <row r="184" ht="81.0" customHeight="1">
      <c r="A184" s="284"/>
      <c r="B184" s="299"/>
      <c r="C184" s="285"/>
      <c r="D184" s="285"/>
      <c r="E184" s="290"/>
      <c r="F184" s="561"/>
      <c r="G184" s="562"/>
      <c r="H184" s="285"/>
      <c r="I184" s="285"/>
      <c r="J184" s="561"/>
      <c r="K184" s="563"/>
      <c r="L184" s="290"/>
      <c r="M184" s="286"/>
      <c r="N184" s="342"/>
      <c r="O184" s="342"/>
      <c r="P184" s="342"/>
      <c r="Q184" s="342"/>
      <c r="R184" s="342"/>
      <c r="S184" s="342"/>
      <c r="T184" s="342"/>
      <c r="U184" s="342"/>
      <c r="V184" s="342"/>
      <c r="W184" s="342"/>
      <c r="X184" s="342"/>
      <c r="Y184" s="342"/>
    </row>
    <row r="185" ht="57.75" customHeight="1">
      <c r="A185" s="284"/>
      <c r="B185" s="299"/>
      <c r="C185" s="285"/>
      <c r="D185" s="285"/>
      <c r="E185" s="290"/>
      <c r="F185" s="561"/>
      <c r="G185" s="562"/>
      <c r="H185" s="285"/>
      <c r="I185" s="288"/>
      <c r="J185" s="285"/>
      <c r="K185" s="563"/>
      <c r="L185" s="290"/>
      <c r="M185" s="286"/>
      <c r="N185" s="342"/>
      <c r="O185" s="342"/>
      <c r="P185" s="342"/>
      <c r="Q185" s="342"/>
      <c r="R185" s="342"/>
      <c r="S185" s="342"/>
      <c r="T185" s="342"/>
      <c r="U185" s="342"/>
      <c r="V185" s="342"/>
      <c r="W185" s="342"/>
      <c r="X185" s="342"/>
      <c r="Y185" s="342"/>
    </row>
    <row r="186" ht="57.0" customHeight="1">
      <c r="A186" s="284"/>
      <c r="B186" s="299"/>
      <c r="C186" s="285"/>
      <c r="D186" s="285"/>
      <c r="E186" s="290"/>
      <c r="F186" s="561"/>
      <c r="G186" s="562"/>
      <c r="H186" s="285"/>
      <c r="I186" s="288"/>
      <c r="J186" s="285"/>
      <c r="K186" s="563"/>
      <c r="L186" s="290"/>
      <c r="M186" s="286"/>
      <c r="N186" s="342"/>
      <c r="O186" s="342"/>
      <c r="P186" s="342"/>
      <c r="Q186" s="342"/>
      <c r="R186" s="342"/>
      <c r="S186" s="342"/>
      <c r="T186" s="342"/>
      <c r="U186" s="342"/>
      <c r="V186" s="342"/>
      <c r="W186" s="342"/>
      <c r="X186" s="342"/>
      <c r="Y186" s="342"/>
    </row>
    <row r="187" ht="57.0" customHeight="1">
      <c r="A187" s="284"/>
      <c r="B187" s="299"/>
      <c r="C187" s="285"/>
      <c r="D187" s="285"/>
      <c r="E187" s="290"/>
      <c r="F187" s="561"/>
      <c r="G187" s="562"/>
      <c r="H187" s="285"/>
      <c r="I187" s="288"/>
      <c r="J187" s="285"/>
      <c r="K187" s="563"/>
      <c r="L187" s="290"/>
      <c r="M187" s="286"/>
      <c r="N187" s="342"/>
      <c r="O187" s="342"/>
      <c r="P187" s="342"/>
      <c r="Q187" s="342"/>
      <c r="R187" s="342"/>
      <c r="S187" s="342"/>
      <c r="T187" s="342"/>
      <c r="U187" s="342"/>
      <c r="V187" s="342"/>
      <c r="W187" s="342"/>
      <c r="X187" s="342"/>
      <c r="Y187" s="342"/>
    </row>
    <row r="188" ht="57.0" customHeight="1">
      <c r="A188" s="284"/>
      <c r="B188" s="299"/>
      <c r="C188" s="285"/>
      <c r="D188" s="285"/>
      <c r="E188" s="290"/>
      <c r="F188" s="561"/>
      <c r="G188" s="562"/>
      <c r="H188" s="285"/>
      <c r="I188" s="288"/>
      <c r="J188" s="561"/>
      <c r="K188" s="563"/>
      <c r="L188" s="290"/>
      <c r="M188" s="286"/>
      <c r="N188" s="342"/>
      <c r="O188" s="342"/>
      <c r="P188" s="342"/>
      <c r="Q188" s="342"/>
      <c r="R188" s="342"/>
      <c r="S188" s="342"/>
      <c r="T188" s="342"/>
      <c r="U188" s="342"/>
      <c r="V188" s="342"/>
      <c r="W188" s="342"/>
      <c r="X188" s="342"/>
      <c r="Y188" s="342"/>
    </row>
    <row r="189" ht="57.0" customHeight="1">
      <c r="A189" s="284"/>
      <c r="B189" s="299"/>
      <c r="C189" s="285"/>
      <c r="D189" s="564"/>
      <c r="E189" s="290"/>
      <c r="F189" s="561"/>
      <c r="G189" s="562"/>
      <c r="H189" s="285"/>
      <c r="I189" s="288"/>
      <c r="J189" s="561"/>
      <c r="K189" s="563"/>
      <c r="L189" s="290"/>
      <c r="M189" s="286"/>
      <c r="N189" s="342"/>
      <c r="O189" s="342"/>
      <c r="P189" s="342"/>
      <c r="Q189" s="342"/>
      <c r="R189" s="342"/>
      <c r="S189" s="342"/>
      <c r="T189" s="342"/>
      <c r="U189" s="342"/>
      <c r="V189" s="342"/>
      <c r="W189" s="342"/>
      <c r="X189" s="342"/>
      <c r="Y189" s="342"/>
    </row>
    <row r="190" ht="57.0" customHeight="1">
      <c r="A190" s="284"/>
      <c r="B190" s="299"/>
      <c r="C190" s="285"/>
      <c r="D190" s="285"/>
      <c r="E190" s="290"/>
      <c r="F190" s="561"/>
      <c r="G190" s="562"/>
      <c r="H190" s="285"/>
      <c r="I190" s="285"/>
      <c r="J190" s="561"/>
      <c r="K190" s="563"/>
      <c r="L190" s="290"/>
      <c r="M190" s="286"/>
      <c r="N190" s="342"/>
      <c r="O190" s="342"/>
      <c r="P190" s="342"/>
      <c r="Q190" s="342"/>
      <c r="R190" s="342"/>
      <c r="S190" s="342"/>
      <c r="T190" s="342"/>
      <c r="U190" s="342"/>
      <c r="V190" s="342"/>
      <c r="W190" s="342"/>
      <c r="X190" s="342"/>
      <c r="Y190" s="342"/>
    </row>
    <row r="191" ht="57.0" customHeight="1">
      <c r="A191" s="284"/>
      <c r="B191" s="299"/>
      <c r="C191" s="285"/>
      <c r="D191" s="285"/>
      <c r="E191" s="290"/>
      <c r="F191" s="561"/>
      <c r="G191" s="562"/>
      <c r="H191" s="285"/>
      <c r="I191" s="288"/>
      <c r="J191" s="561"/>
      <c r="K191" s="563"/>
      <c r="L191" s="290"/>
      <c r="M191" s="286"/>
      <c r="N191" s="342"/>
      <c r="O191" s="342"/>
      <c r="P191" s="342"/>
      <c r="Q191" s="342"/>
      <c r="R191" s="342"/>
      <c r="S191" s="342"/>
      <c r="T191" s="342"/>
      <c r="U191" s="342"/>
      <c r="V191" s="342"/>
      <c r="W191" s="342"/>
      <c r="X191" s="342"/>
      <c r="Y191" s="342"/>
    </row>
    <row r="192" ht="62.25" customHeight="1">
      <c r="A192" s="284"/>
      <c r="B192" s="299"/>
      <c r="C192" s="285"/>
      <c r="D192" s="285"/>
      <c r="E192" s="290"/>
      <c r="F192" s="561"/>
      <c r="G192" s="561"/>
      <c r="H192" s="285"/>
      <c r="I192" s="288"/>
      <c r="J192" s="285"/>
      <c r="K192" s="563"/>
      <c r="L192" s="290"/>
      <c r="M192" s="286"/>
      <c r="N192" s="342"/>
      <c r="O192" s="342"/>
      <c r="P192" s="342"/>
      <c r="Q192" s="342"/>
      <c r="R192" s="342"/>
      <c r="S192" s="342"/>
      <c r="T192" s="342"/>
      <c r="U192" s="342"/>
      <c r="V192" s="342"/>
      <c r="W192" s="342"/>
      <c r="X192" s="342"/>
      <c r="Y192" s="342"/>
    </row>
    <row r="193" ht="57.0" customHeight="1">
      <c r="A193" s="284"/>
      <c r="B193" s="299"/>
      <c r="C193" s="285"/>
      <c r="D193" s="285"/>
      <c r="E193" s="290"/>
      <c r="F193" s="561"/>
      <c r="G193" s="562"/>
      <c r="H193" s="285"/>
      <c r="I193" s="285"/>
      <c r="J193" s="561"/>
      <c r="K193" s="563"/>
      <c r="L193" s="290"/>
      <c r="M193" s="286"/>
      <c r="N193" s="342"/>
      <c r="O193" s="342"/>
      <c r="P193" s="342"/>
      <c r="Q193" s="342"/>
      <c r="R193" s="342"/>
      <c r="S193" s="342"/>
      <c r="T193" s="342"/>
      <c r="U193" s="342"/>
      <c r="V193" s="342"/>
      <c r="W193" s="342"/>
      <c r="X193" s="342"/>
      <c r="Y193" s="342"/>
    </row>
    <row r="194" ht="58.5" customHeight="1">
      <c r="A194" s="284"/>
      <c r="B194" s="299"/>
      <c r="C194" s="285"/>
      <c r="D194" s="285"/>
      <c r="E194" s="290"/>
      <c r="F194" s="561"/>
      <c r="G194" s="562"/>
      <c r="H194" s="285"/>
      <c r="I194" s="288"/>
      <c r="J194" s="561"/>
      <c r="K194" s="563"/>
      <c r="L194" s="290"/>
      <c r="M194" s="286"/>
      <c r="N194" s="342"/>
      <c r="O194" s="342"/>
      <c r="P194" s="342"/>
      <c r="Q194" s="342"/>
      <c r="R194" s="342"/>
      <c r="S194" s="342"/>
      <c r="T194" s="342"/>
      <c r="U194" s="342"/>
      <c r="V194" s="342"/>
      <c r="W194" s="342"/>
      <c r="X194" s="342"/>
      <c r="Y194" s="342"/>
    </row>
    <row r="195" ht="57.0" customHeight="1">
      <c r="A195" s="284"/>
      <c r="B195" s="299"/>
      <c r="C195" s="285"/>
      <c r="D195" s="285"/>
      <c r="E195" s="290"/>
      <c r="F195" s="561"/>
      <c r="G195" s="562"/>
      <c r="H195" s="285"/>
      <c r="I195" s="288"/>
      <c r="J195" s="561"/>
      <c r="K195" s="563"/>
      <c r="L195" s="290"/>
      <c r="M195" s="286"/>
      <c r="N195" s="342"/>
      <c r="O195" s="342"/>
      <c r="P195" s="342"/>
      <c r="Q195" s="342"/>
      <c r="R195" s="342"/>
      <c r="S195" s="342"/>
      <c r="T195" s="342"/>
      <c r="U195" s="342"/>
      <c r="V195" s="342"/>
      <c r="W195" s="342"/>
      <c r="X195" s="342"/>
      <c r="Y195" s="342"/>
    </row>
    <row r="196" ht="57.0" customHeight="1">
      <c r="A196" s="284"/>
      <c r="B196" s="299"/>
      <c r="C196" s="285"/>
      <c r="D196" s="285"/>
      <c r="E196" s="290"/>
      <c r="F196" s="561"/>
      <c r="G196" s="562"/>
      <c r="H196" s="285"/>
      <c r="I196" s="288"/>
      <c r="J196" s="561"/>
      <c r="K196" s="563"/>
      <c r="L196" s="290"/>
      <c r="M196" s="286"/>
      <c r="N196" s="342"/>
      <c r="O196" s="342"/>
      <c r="P196" s="342"/>
      <c r="Q196" s="342"/>
      <c r="R196" s="342"/>
      <c r="S196" s="342"/>
      <c r="T196" s="342"/>
      <c r="U196" s="342"/>
      <c r="V196" s="342"/>
      <c r="W196" s="342"/>
      <c r="X196" s="342"/>
      <c r="Y196" s="342"/>
    </row>
    <row r="197" ht="57.75" customHeight="1">
      <c r="A197" s="284"/>
      <c r="B197" s="299"/>
      <c r="C197" s="285"/>
      <c r="D197" s="285"/>
      <c r="E197" s="290"/>
      <c r="F197" s="561"/>
      <c r="G197" s="562"/>
      <c r="H197" s="285"/>
      <c r="I197" s="285"/>
      <c r="J197" s="561"/>
      <c r="K197" s="563"/>
      <c r="L197" s="290"/>
      <c r="M197" s="286"/>
      <c r="N197" s="342"/>
      <c r="O197" s="342"/>
      <c r="P197" s="342"/>
      <c r="Q197" s="342"/>
      <c r="R197" s="342"/>
      <c r="S197" s="342"/>
      <c r="T197" s="342"/>
      <c r="U197" s="342"/>
      <c r="V197" s="342"/>
      <c r="W197" s="342"/>
      <c r="X197" s="342"/>
      <c r="Y197" s="342"/>
    </row>
    <row r="198" ht="58.5" customHeight="1">
      <c r="A198" s="284"/>
      <c r="B198" s="299"/>
      <c r="C198" s="285"/>
      <c r="D198" s="285"/>
      <c r="E198" s="290"/>
      <c r="F198" s="561"/>
      <c r="G198" s="561"/>
      <c r="H198" s="285"/>
      <c r="I198" s="288"/>
      <c r="J198" s="561"/>
      <c r="K198" s="563"/>
      <c r="L198" s="290"/>
      <c r="M198" s="286"/>
      <c r="N198" s="342"/>
      <c r="O198" s="342"/>
      <c r="P198" s="342"/>
      <c r="Q198" s="342"/>
      <c r="R198" s="342"/>
      <c r="S198" s="342"/>
      <c r="T198" s="342"/>
      <c r="U198" s="342"/>
      <c r="V198" s="342"/>
      <c r="W198" s="342"/>
      <c r="X198" s="342"/>
      <c r="Y198" s="342"/>
    </row>
    <row r="199" ht="58.5" customHeight="1">
      <c r="A199" s="284"/>
      <c r="B199" s="299"/>
      <c r="C199" s="285"/>
      <c r="D199" s="285"/>
      <c r="E199" s="290"/>
      <c r="F199" s="566"/>
      <c r="G199" s="562"/>
      <c r="H199" s="299"/>
      <c r="I199" s="299"/>
      <c r="J199" s="561"/>
      <c r="K199" s="563"/>
      <c r="L199" s="290"/>
      <c r="M199" s="286"/>
      <c r="N199" s="342"/>
      <c r="O199" s="342"/>
      <c r="P199" s="342"/>
      <c r="Q199" s="342"/>
      <c r="R199" s="342"/>
      <c r="S199" s="342"/>
      <c r="T199" s="342"/>
      <c r="U199" s="342"/>
      <c r="V199" s="342"/>
      <c r="W199" s="342"/>
      <c r="X199" s="342"/>
      <c r="Y199" s="342"/>
    </row>
    <row r="200" ht="58.5" customHeight="1">
      <c r="A200" s="284"/>
      <c r="B200" s="299"/>
      <c r="C200" s="285"/>
      <c r="D200" s="285"/>
      <c r="E200" s="290"/>
      <c r="F200" s="561"/>
      <c r="G200" s="561"/>
      <c r="H200" s="285"/>
      <c r="I200" s="299"/>
      <c r="J200" s="561"/>
      <c r="K200" s="563"/>
      <c r="L200" s="290"/>
      <c r="M200" s="286"/>
      <c r="N200" s="342"/>
      <c r="O200" s="342"/>
      <c r="P200" s="342"/>
      <c r="Q200" s="342"/>
      <c r="R200" s="342"/>
      <c r="S200" s="342"/>
      <c r="T200" s="342"/>
      <c r="U200" s="342"/>
      <c r="V200" s="342"/>
      <c r="W200" s="342"/>
      <c r="X200" s="342"/>
      <c r="Y200" s="342"/>
    </row>
    <row r="201" ht="57.0" customHeight="1">
      <c r="A201" s="284"/>
      <c r="B201" s="299"/>
      <c r="C201" s="285"/>
      <c r="D201" s="285"/>
      <c r="E201" s="290"/>
      <c r="F201" s="561"/>
      <c r="G201" s="561"/>
      <c r="H201" s="285"/>
      <c r="I201" s="285"/>
      <c r="J201" s="561"/>
      <c r="K201" s="563"/>
      <c r="L201" s="290"/>
      <c r="M201" s="286"/>
      <c r="N201" s="342"/>
      <c r="O201" s="342"/>
      <c r="P201" s="342"/>
      <c r="Q201" s="342"/>
      <c r="R201" s="342"/>
      <c r="S201" s="342"/>
      <c r="T201" s="342"/>
      <c r="U201" s="342"/>
      <c r="V201" s="342"/>
      <c r="W201" s="342"/>
      <c r="X201" s="342"/>
      <c r="Y201" s="342"/>
    </row>
    <row r="202" ht="66.75" customHeight="1">
      <c r="A202" s="284"/>
      <c r="B202" s="299"/>
      <c r="C202" s="285"/>
      <c r="D202" s="285"/>
      <c r="E202" s="290"/>
      <c r="F202" s="561"/>
      <c r="G202" s="562"/>
      <c r="H202" s="285"/>
      <c r="I202" s="288"/>
      <c r="J202" s="561"/>
      <c r="K202" s="563"/>
      <c r="L202" s="290"/>
      <c r="M202" s="286"/>
      <c r="N202" s="342"/>
      <c r="O202" s="342"/>
      <c r="P202" s="342"/>
      <c r="Q202" s="342"/>
      <c r="R202" s="342"/>
      <c r="S202" s="342"/>
      <c r="T202" s="342"/>
      <c r="U202" s="342"/>
      <c r="V202" s="342"/>
      <c r="W202" s="342"/>
      <c r="X202" s="342"/>
      <c r="Y202" s="342"/>
    </row>
    <row r="203" ht="59.25" customHeight="1">
      <c r="A203" s="284"/>
      <c r="B203" s="299"/>
      <c r="C203" s="285"/>
      <c r="D203" s="285"/>
      <c r="E203" s="290"/>
      <c r="F203" s="561"/>
      <c r="G203" s="561"/>
      <c r="H203" s="285"/>
      <c r="I203" s="372"/>
      <c r="J203" s="561"/>
      <c r="K203" s="563"/>
      <c r="L203" s="290"/>
      <c r="M203" s="286"/>
      <c r="N203" s="342"/>
      <c r="O203" s="342"/>
      <c r="P203" s="342"/>
      <c r="Q203" s="342"/>
      <c r="R203" s="342"/>
      <c r="S203" s="342"/>
      <c r="T203" s="342"/>
      <c r="U203" s="342"/>
      <c r="V203" s="342"/>
      <c r="W203" s="342"/>
      <c r="X203" s="342"/>
      <c r="Y203" s="342"/>
    </row>
    <row r="204" ht="54.0" customHeight="1">
      <c r="A204" s="284"/>
      <c r="B204" s="299"/>
      <c r="C204" s="285"/>
      <c r="D204" s="285"/>
      <c r="E204" s="290"/>
      <c r="F204" s="561"/>
      <c r="G204" s="561"/>
      <c r="H204" s="285"/>
      <c r="I204" s="372"/>
      <c r="J204" s="561"/>
      <c r="K204" s="563"/>
      <c r="L204" s="290"/>
      <c r="M204" s="286"/>
      <c r="N204" s="342"/>
      <c r="O204" s="342"/>
      <c r="P204" s="342"/>
      <c r="Q204" s="342"/>
      <c r="R204" s="342"/>
      <c r="S204" s="342"/>
      <c r="T204" s="342"/>
      <c r="U204" s="342"/>
      <c r="V204" s="342"/>
      <c r="W204" s="342"/>
      <c r="X204" s="342"/>
      <c r="Y204" s="342"/>
    </row>
    <row r="205" ht="64.5" customHeight="1">
      <c r="A205" s="284"/>
      <c r="B205" s="299"/>
      <c r="C205" s="285"/>
      <c r="D205" s="285"/>
      <c r="E205" s="290"/>
      <c r="F205" s="561"/>
      <c r="G205" s="299"/>
      <c r="H205" s="285"/>
      <c r="I205" s="288"/>
      <c r="J205" s="561"/>
      <c r="K205" s="563"/>
      <c r="L205" s="290"/>
      <c r="M205" s="286"/>
      <c r="N205" s="342"/>
      <c r="O205" s="342"/>
      <c r="P205" s="342"/>
      <c r="Q205" s="342"/>
      <c r="R205" s="342"/>
      <c r="S205" s="342"/>
      <c r="T205" s="342"/>
      <c r="U205" s="342"/>
      <c r="V205" s="342"/>
      <c r="W205" s="342"/>
      <c r="X205" s="342"/>
      <c r="Y205" s="342"/>
    </row>
    <row r="206" ht="60.75" customHeight="1">
      <c r="A206" s="284"/>
      <c r="B206" s="299"/>
      <c r="C206" s="285"/>
      <c r="D206" s="285"/>
      <c r="E206" s="290"/>
      <c r="F206" s="561"/>
      <c r="G206" s="561"/>
      <c r="H206" s="285"/>
      <c r="I206" s="299"/>
      <c r="J206" s="561"/>
      <c r="K206" s="563"/>
      <c r="L206" s="290"/>
      <c r="M206" s="286"/>
      <c r="N206" s="342"/>
      <c r="O206" s="342"/>
      <c r="P206" s="342"/>
      <c r="Q206" s="342"/>
      <c r="R206" s="342"/>
      <c r="S206" s="342"/>
      <c r="T206" s="342"/>
      <c r="U206" s="342"/>
      <c r="V206" s="342"/>
      <c r="W206" s="342"/>
      <c r="X206" s="342"/>
      <c r="Y206" s="342"/>
    </row>
    <row r="207" ht="56.25" customHeight="1">
      <c r="A207" s="284"/>
      <c r="B207" s="299"/>
      <c r="C207" s="285"/>
      <c r="D207" s="285"/>
      <c r="E207" s="290"/>
      <c r="F207" s="561"/>
      <c r="G207" s="561"/>
      <c r="H207" s="285"/>
      <c r="I207" s="288"/>
      <c r="J207" s="561"/>
      <c r="K207" s="563"/>
      <c r="L207" s="290"/>
      <c r="M207" s="286"/>
      <c r="N207" s="342"/>
      <c r="O207" s="342"/>
      <c r="P207" s="342"/>
      <c r="Q207" s="342"/>
      <c r="R207" s="342"/>
      <c r="S207" s="342"/>
      <c r="T207" s="342"/>
      <c r="U207" s="342"/>
      <c r="V207" s="342"/>
      <c r="W207" s="342"/>
      <c r="X207" s="342"/>
      <c r="Y207" s="342"/>
    </row>
    <row r="208" ht="54.0" customHeight="1">
      <c r="A208" s="284"/>
      <c r="B208" s="299"/>
      <c r="C208" s="285"/>
      <c r="D208" s="285"/>
      <c r="E208" s="290"/>
      <c r="F208" s="561"/>
      <c r="G208" s="562"/>
      <c r="H208" s="285"/>
      <c r="I208" s="285"/>
      <c r="J208" s="561"/>
      <c r="K208" s="563"/>
      <c r="L208" s="290"/>
      <c r="M208" s="286"/>
      <c r="N208" s="342"/>
      <c r="O208" s="342"/>
      <c r="P208" s="342"/>
      <c r="Q208" s="342"/>
      <c r="R208" s="342"/>
      <c r="S208" s="342"/>
      <c r="T208" s="342"/>
      <c r="U208" s="342"/>
      <c r="V208" s="342"/>
      <c r="W208" s="342"/>
      <c r="X208" s="342"/>
      <c r="Y208" s="342"/>
    </row>
    <row r="209" ht="54.0" customHeight="1">
      <c r="A209" s="284"/>
      <c r="B209" s="299"/>
      <c r="C209" s="285"/>
      <c r="D209" s="285"/>
      <c r="E209" s="565"/>
      <c r="F209" s="561"/>
      <c r="G209" s="561"/>
      <c r="H209" s="285"/>
      <c r="I209" s="372"/>
      <c r="J209" s="561"/>
      <c r="K209" s="563"/>
      <c r="L209" s="290"/>
      <c r="M209" s="286"/>
      <c r="N209" s="342"/>
      <c r="O209" s="342"/>
      <c r="P209" s="342"/>
      <c r="Q209" s="342"/>
      <c r="R209" s="342"/>
      <c r="S209" s="342"/>
      <c r="T209" s="342"/>
      <c r="U209" s="342"/>
      <c r="V209" s="342"/>
      <c r="W209" s="342"/>
      <c r="X209" s="342"/>
      <c r="Y209" s="342"/>
    </row>
    <row r="210" ht="54.0" customHeight="1">
      <c r="A210" s="284"/>
      <c r="B210" s="299"/>
      <c r="C210" s="285"/>
      <c r="D210" s="285"/>
      <c r="E210" s="290"/>
      <c r="F210" s="561"/>
      <c r="G210" s="561"/>
      <c r="H210" s="285"/>
      <c r="I210" s="372"/>
      <c r="J210" s="561"/>
      <c r="K210" s="563"/>
      <c r="L210" s="290"/>
      <c r="M210" s="286"/>
      <c r="N210" s="342"/>
      <c r="O210" s="342"/>
      <c r="P210" s="342"/>
      <c r="Q210" s="342"/>
      <c r="R210" s="342"/>
      <c r="S210" s="342"/>
      <c r="T210" s="342"/>
      <c r="U210" s="342"/>
      <c r="V210" s="342"/>
      <c r="W210" s="342"/>
      <c r="X210" s="342"/>
      <c r="Y210" s="342"/>
    </row>
    <row r="211" ht="57.0" customHeight="1">
      <c r="A211" s="284"/>
      <c r="B211" s="299"/>
      <c r="C211" s="285"/>
      <c r="D211" s="285"/>
      <c r="E211" s="290"/>
      <c r="F211" s="561"/>
      <c r="G211" s="561"/>
      <c r="H211" s="285"/>
      <c r="I211" s="288"/>
      <c r="J211" s="561"/>
      <c r="K211" s="563"/>
      <c r="L211" s="290"/>
      <c r="M211" s="286"/>
      <c r="N211" s="342"/>
      <c r="O211" s="342"/>
      <c r="P211" s="342"/>
      <c r="Q211" s="342"/>
      <c r="R211" s="342"/>
      <c r="S211" s="342"/>
      <c r="T211" s="342"/>
      <c r="U211" s="342"/>
      <c r="V211" s="342"/>
      <c r="W211" s="342"/>
      <c r="X211" s="342"/>
      <c r="Y211" s="342"/>
    </row>
    <row r="212" ht="56.25" customHeight="1">
      <c r="A212" s="284"/>
      <c r="B212" s="299"/>
      <c r="C212" s="285"/>
      <c r="D212" s="285"/>
      <c r="E212" s="290"/>
      <c r="F212" s="561"/>
      <c r="G212" s="561"/>
      <c r="H212" s="285"/>
      <c r="I212" s="288"/>
      <c r="J212" s="561"/>
      <c r="K212" s="563"/>
      <c r="L212" s="290"/>
      <c r="M212" s="286"/>
      <c r="N212" s="342"/>
      <c r="O212" s="342"/>
      <c r="P212" s="342"/>
      <c r="Q212" s="342"/>
      <c r="R212" s="342"/>
      <c r="S212" s="342"/>
      <c r="T212" s="342"/>
      <c r="U212" s="342"/>
      <c r="V212" s="342"/>
      <c r="W212" s="342"/>
      <c r="X212" s="342"/>
      <c r="Y212" s="342"/>
    </row>
    <row r="213" ht="56.25" customHeight="1">
      <c r="A213" s="284"/>
      <c r="B213" s="299"/>
      <c r="C213" s="285"/>
      <c r="D213" s="285"/>
      <c r="E213" s="290"/>
      <c r="F213" s="561"/>
      <c r="G213" s="561"/>
      <c r="H213" s="285"/>
      <c r="I213" s="288"/>
      <c r="J213" s="561"/>
      <c r="K213" s="563"/>
      <c r="L213" s="290"/>
      <c r="M213" s="286"/>
      <c r="N213" s="342"/>
      <c r="O213" s="342"/>
      <c r="P213" s="342"/>
      <c r="Q213" s="342"/>
      <c r="R213" s="342"/>
      <c r="S213" s="342"/>
      <c r="T213" s="342"/>
      <c r="U213" s="342"/>
      <c r="V213" s="342"/>
      <c r="W213" s="342"/>
      <c r="X213" s="342"/>
      <c r="Y213" s="342"/>
    </row>
    <row r="214" ht="53.25" customHeight="1">
      <c r="A214" s="284"/>
      <c r="B214" s="299"/>
      <c r="C214" s="285"/>
      <c r="D214" s="285"/>
      <c r="E214" s="290"/>
      <c r="F214" s="561"/>
      <c r="G214" s="561"/>
      <c r="H214" s="285"/>
      <c r="I214" s="288"/>
      <c r="J214" s="561"/>
      <c r="K214" s="563"/>
      <c r="L214" s="290"/>
      <c r="M214" s="286"/>
      <c r="N214" s="342"/>
      <c r="O214" s="342"/>
      <c r="P214" s="342"/>
      <c r="Q214" s="342"/>
      <c r="R214" s="342"/>
      <c r="S214" s="342"/>
      <c r="T214" s="342"/>
      <c r="U214" s="342"/>
      <c r="V214" s="342"/>
      <c r="W214" s="342"/>
      <c r="X214" s="342"/>
      <c r="Y214" s="342"/>
    </row>
    <row r="215" ht="56.25" customHeight="1">
      <c r="A215" s="284"/>
      <c r="B215" s="299"/>
      <c r="C215" s="285"/>
      <c r="D215" s="568"/>
      <c r="E215" s="290"/>
      <c r="F215" s="561"/>
      <c r="G215" s="562"/>
      <c r="H215" s="285"/>
      <c r="I215" s="288"/>
      <c r="J215" s="561"/>
      <c r="K215" s="563"/>
      <c r="L215" s="290"/>
      <c r="M215" s="286"/>
      <c r="N215" s="342"/>
      <c r="O215" s="342"/>
      <c r="P215" s="342"/>
      <c r="Q215" s="342"/>
      <c r="R215" s="342"/>
      <c r="S215" s="342"/>
      <c r="T215" s="342"/>
      <c r="U215" s="342"/>
      <c r="V215" s="342"/>
      <c r="W215" s="342"/>
      <c r="X215" s="342"/>
      <c r="Y215" s="342"/>
    </row>
    <row r="216" ht="57.0" customHeight="1">
      <c r="A216" s="284"/>
      <c r="B216" s="299"/>
      <c r="C216" s="285"/>
      <c r="D216" s="285"/>
      <c r="E216" s="290"/>
      <c r="F216" s="561"/>
      <c r="G216" s="562"/>
      <c r="H216" s="285"/>
      <c r="I216" s="285"/>
      <c r="J216" s="561"/>
      <c r="K216" s="563"/>
      <c r="L216" s="290"/>
      <c r="M216" s="286"/>
      <c r="N216" s="342"/>
      <c r="O216" s="342"/>
      <c r="P216" s="342"/>
      <c r="Q216" s="342"/>
      <c r="R216" s="342"/>
      <c r="S216" s="342"/>
      <c r="T216" s="342"/>
      <c r="U216" s="342"/>
      <c r="V216" s="342"/>
      <c r="W216" s="342"/>
      <c r="X216" s="342"/>
      <c r="Y216" s="342"/>
    </row>
    <row r="217" ht="52.5" customHeight="1">
      <c r="A217" s="284"/>
      <c r="B217" s="299"/>
      <c r="C217" s="285"/>
      <c r="D217" s="285"/>
      <c r="E217" s="290"/>
      <c r="F217" s="561"/>
      <c r="G217" s="561"/>
      <c r="H217" s="285"/>
      <c r="I217" s="372"/>
      <c r="J217" s="561"/>
      <c r="K217" s="563"/>
      <c r="L217" s="290"/>
      <c r="M217" s="286"/>
      <c r="N217" s="342"/>
      <c r="O217" s="342"/>
      <c r="P217" s="342"/>
      <c r="Q217" s="342"/>
      <c r="R217" s="342"/>
      <c r="S217" s="342"/>
      <c r="T217" s="342"/>
      <c r="U217" s="342"/>
      <c r="V217" s="342"/>
      <c r="W217" s="342"/>
      <c r="X217" s="342"/>
      <c r="Y217" s="342"/>
    </row>
    <row r="218" ht="53.25" customHeight="1">
      <c r="A218" s="284"/>
      <c r="B218" s="299"/>
      <c r="C218" s="285"/>
      <c r="D218" s="367"/>
      <c r="E218" s="290"/>
      <c r="F218" s="561"/>
      <c r="G218" s="562"/>
      <c r="H218" s="285"/>
      <c r="I218" s="288"/>
      <c r="J218" s="561"/>
      <c r="K218" s="563"/>
      <c r="L218" s="290"/>
      <c r="M218" s="286"/>
      <c r="N218" s="342"/>
      <c r="O218" s="342"/>
      <c r="P218" s="342"/>
      <c r="Q218" s="342"/>
      <c r="R218" s="342"/>
      <c r="S218" s="342"/>
      <c r="T218" s="342"/>
      <c r="U218" s="342"/>
      <c r="V218" s="342"/>
      <c r="W218" s="342"/>
      <c r="X218" s="342"/>
      <c r="Y218" s="342"/>
    </row>
    <row r="219" ht="53.25" customHeight="1">
      <c r="A219" s="284"/>
      <c r="B219" s="299"/>
      <c r="C219" s="285"/>
      <c r="D219" s="285"/>
      <c r="E219" s="290"/>
      <c r="F219" s="561"/>
      <c r="G219" s="561"/>
      <c r="H219" s="285"/>
      <c r="I219" s="285"/>
      <c r="J219" s="561"/>
      <c r="K219" s="563"/>
      <c r="L219" s="290"/>
      <c r="M219" s="286"/>
      <c r="N219" s="342"/>
      <c r="O219" s="342"/>
      <c r="P219" s="342"/>
      <c r="Q219" s="342"/>
      <c r="R219" s="342"/>
      <c r="S219" s="342"/>
      <c r="T219" s="342"/>
      <c r="U219" s="342"/>
      <c r="V219" s="342"/>
      <c r="W219" s="342"/>
      <c r="X219" s="342"/>
      <c r="Y219" s="342"/>
    </row>
    <row r="220" ht="56.25" customHeight="1">
      <c r="A220" s="284"/>
      <c r="B220" s="299"/>
      <c r="C220" s="285"/>
      <c r="D220" s="285"/>
      <c r="E220" s="290"/>
      <c r="F220" s="561"/>
      <c r="G220" s="561"/>
      <c r="H220" s="285"/>
      <c r="I220" s="288"/>
      <c r="J220" s="561"/>
      <c r="K220" s="563"/>
      <c r="L220" s="290"/>
      <c r="M220" s="286"/>
      <c r="N220" s="342"/>
      <c r="O220" s="342"/>
      <c r="P220" s="342"/>
      <c r="Q220" s="342"/>
      <c r="R220" s="342"/>
      <c r="S220" s="342"/>
      <c r="T220" s="342"/>
      <c r="U220" s="342"/>
      <c r="V220" s="342"/>
      <c r="W220" s="342"/>
      <c r="X220" s="342"/>
      <c r="Y220" s="342"/>
    </row>
    <row r="221" ht="52.5" customHeight="1">
      <c r="A221" s="284"/>
      <c r="B221" s="299"/>
      <c r="C221" s="285"/>
      <c r="D221" s="367"/>
      <c r="E221" s="290"/>
      <c r="F221" s="561"/>
      <c r="G221" s="561"/>
      <c r="H221" s="285"/>
      <c r="I221" s="288"/>
      <c r="J221" s="561"/>
      <c r="K221" s="563"/>
      <c r="L221" s="290"/>
      <c r="M221" s="286"/>
      <c r="N221" s="342"/>
      <c r="O221" s="342"/>
      <c r="P221" s="342"/>
      <c r="Q221" s="342"/>
      <c r="R221" s="342"/>
      <c r="S221" s="342"/>
      <c r="T221" s="342"/>
      <c r="U221" s="342"/>
      <c r="V221" s="342"/>
      <c r="W221" s="342"/>
      <c r="X221" s="342"/>
      <c r="Y221" s="342"/>
    </row>
    <row r="222" ht="54.0" customHeight="1">
      <c r="A222" s="284"/>
      <c r="B222" s="299"/>
      <c r="C222" s="285"/>
      <c r="D222" s="285"/>
      <c r="E222" s="290"/>
      <c r="F222" s="561"/>
      <c r="G222" s="561"/>
      <c r="H222" s="285"/>
      <c r="I222" s="372"/>
      <c r="J222" s="561"/>
      <c r="K222" s="563"/>
      <c r="L222" s="290"/>
      <c r="M222" s="286"/>
      <c r="N222" s="342"/>
      <c r="O222" s="342"/>
      <c r="P222" s="342"/>
      <c r="Q222" s="342"/>
      <c r="R222" s="342"/>
      <c r="S222" s="342"/>
      <c r="T222" s="342"/>
      <c r="U222" s="342"/>
      <c r="V222" s="342"/>
      <c r="W222" s="342"/>
      <c r="X222" s="342"/>
      <c r="Y222" s="342"/>
    </row>
    <row r="223" ht="53.25" customHeight="1">
      <c r="A223" s="284"/>
      <c r="B223" s="299"/>
      <c r="C223" s="285"/>
      <c r="D223" s="367"/>
      <c r="E223" s="290"/>
      <c r="F223" s="561"/>
      <c r="G223" s="561"/>
      <c r="H223" s="285"/>
      <c r="I223" s="288"/>
      <c r="J223" s="561"/>
      <c r="K223" s="563"/>
      <c r="L223" s="290"/>
      <c r="M223" s="299"/>
      <c r="N223" s="366"/>
      <c r="O223" s="366"/>
      <c r="P223" s="366"/>
      <c r="Q223" s="366"/>
      <c r="R223" s="366"/>
      <c r="S223" s="366"/>
      <c r="T223" s="366"/>
      <c r="U223" s="366"/>
      <c r="V223" s="366"/>
      <c r="W223" s="366"/>
      <c r="X223" s="366"/>
      <c r="Y223" s="366"/>
    </row>
    <row r="224" ht="63.75" customHeight="1">
      <c r="A224" s="284"/>
      <c r="B224" s="299"/>
      <c r="C224" s="285"/>
      <c r="D224" s="367"/>
      <c r="E224" s="290"/>
      <c r="F224" s="561"/>
      <c r="G224" s="561"/>
      <c r="H224" s="285"/>
      <c r="I224" s="288"/>
      <c r="J224" s="561"/>
      <c r="K224" s="563"/>
      <c r="L224" s="290"/>
      <c r="M224" s="299"/>
      <c r="N224" s="366"/>
      <c r="O224" s="366"/>
      <c r="P224" s="366"/>
      <c r="Q224" s="366"/>
      <c r="R224" s="366"/>
      <c r="S224" s="366"/>
      <c r="T224" s="366"/>
      <c r="U224" s="366"/>
      <c r="V224" s="366"/>
      <c r="W224" s="366"/>
      <c r="X224" s="366"/>
      <c r="Y224" s="366"/>
    </row>
    <row r="225" ht="55.5" customHeight="1">
      <c r="A225" s="284"/>
      <c r="B225" s="299"/>
      <c r="C225" s="285"/>
      <c r="D225" s="568"/>
      <c r="E225" s="290"/>
      <c r="F225" s="561"/>
      <c r="G225" s="561"/>
      <c r="H225" s="285"/>
      <c r="I225" s="285"/>
      <c r="J225" s="561"/>
      <c r="K225" s="563"/>
      <c r="L225" s="290"/>
      <c r="M225" s="286"/>
      <c r="N225" s="342"/>
      <c r="O225" s="342"/>
      <c r="P225" s="342"/>
      <c r="Q225" s="342"/>
      <c r="R225" s="342"/>
      <c r="S225" s="342"/>
      <c r="T225" s="342"/>
      <c r="U225" s="342"/>
      <c r="V225" s="342"/>
      <c r="W225" s="342"/>
      <c r="X225" s="342"/>
      <c r="Y225" s="342"/>
    </row>
    <row r="226" ht="59.25" customHeight="1">
      <c r="A226" s="284"/>
      <c r="B226" s="299"/>
      <c r="C226" s="285"/>
      <c r="D226" s="568"/>
      <c r="E226" s="290"/>
      <c r="F226" s="561"/>
      <c r="G226" s="561"/>
      <c r="H226" s="285"/>
      <c r="I226" s="285"/>
      <c r="J226" s="561"/>
      <c r="K226" s="563"/>
      <c r="L226" s="290"/>
      <c r="M226" s="286"/>
      <c r="N226" s="342"/>
      <c r="O226" s="342"/>
      <c r="P226" s="342"/>
      <c r="Q226" s="342"/>
      <c r="R226" s="342"/>
      <c r="S226" s="342"/>
      <c r="T226" s="342"/>
      <c r="U226" s="342"/>
      <c r="V226" s="342"/>
      <c r="W226" s="342"/>
      <c r="X226" s="342"/>
      <c r="Y226" s="342"/>
    </row>
    <row r="227" ht="55.5" customHeight="1">
      <c r="A227" s="284"/>
      <c r="B227" s="299"/>
      <c r="C227" s="285"/>
      <c r="D227" s="285"/>
      <c r="E227" s="290"/>
      <c r="F227" s="561"/>
      <c r="G227" s="561"/>
      <c r="H227" s="285"/>
      <c r="I227" s="288"/>
      <c r="J227" s="561"/>
      <c r="K227" s="563"/>
      <c r="L227" s="290"/>
      <c r="M227" s="286"/>
      <c r="N227" s="342"/>
      <c r="O227" s="342"/>
      <c r="P227" s="342"/>
      <c r="Q227" s="342"/>
      <c r="R227" s="342"/>
      <c r="S227" s="342"/>
      <c r="T227" s="342"/>
      <c r="U227" s="342"/>
      <c r="V227" s="342"/>
      <c r="W227" s="342"/>
      <c r="X227" s="342"/>
      <c r="Y227" s="342"/>
    </row>
    <row r="228" ht="52.5" customHeight="1">
      <c r="A228" s="284"/>
      <c r="B228" s="299"/>
      <c r="C228" s="285"/>
      <c r="D228" s="568"/>
      <c r="E228" s="424"/>
      <c r="F228" s="561"/>
      <c r="G228" s="561"/>
      <c r="H228" s="285"/>
      <c r="I228" s="372"/>
      <c r="J228" s="561"/>
      <c r="K228" s="563"/>
      <c r="L228" s="290"/>
      <c r="M228" s="286"/>
      <c r="N228" s="342"/>
      <c r="O228" s="342"/>
      <c r="P228" s="342"/>
      <c r="Q228" s="342"/>
      <c r="R228" s="342"/>
      <c r="S228" s="342"/>
      <c r="T228" s="342"/>
      <c r="U228" s="342"/>
      <c r="V228" s="342"/>
      <c r="W228" s="342"/>
      <c r="X228" s="342"/>
      <c r="Y228" s="342"/>
    </row>
    <row r="229" ht="54.75" customHeight="1">
      <c r="A229" s="284"/>
      <c r="B229" s="299"/>
      <c r="C229" s="285"/>
      <c r="D229" s="285"/>
      <c r="E229" s="424"/>
      <c r="F229" s="561"/>
      <c r="G229" s="561"/>
      <c r="H229" s="285"/>
      <c r="I229" s="288"/>
      <c r="J229" s="561"/>
      <c r="K229" s="563"/>
      <c r="L229" s="290"/>
      <c r="M229" s="286"/>
      <c r="N229" s="342"/>
      <c r="O229" s="342"/>
      <c r="P229" s="342"/>
      <c r="Q229" s="342"/>
      <c r="R229" s="342"/>
      <c r="S229" s="342"/>
      <c r="T229" s="342"/>
      <c r="U229" s="342"/>
      <c r="V229" s="342"/>
      <c r="W229" s="342"/>
      <c r="X229" s="342"/>
      <c r="Y229" s="342"/>
    </row>
    <row r="230" ht="56.25" customHeight="1">
      <c r="A230" s="284"/>
      <c r="B230" s="299"/>
      <c r="C230" s="285"/>
      <c r="D230" s="568"/>
      <c r="E230" s="353"/>
      <c r="F230" s="561"/>
      <c r="G230" s="561"/>
      <c r="H230" s="285"/>
      <c r="I230" s="288"/>
      <c r="J230" s="561"/>
      <c r="K230" s="563"/>
      <c r="L230" s="290"/>
      <c r="M230" s="286"/>
      <c r="N230" s="342"/>
      <c r="O230" s="342"/>
      <c r="P230" s="342"/>
      <c r="Q230" s="342"/>
      <c r="R230" s="342"/>
      <c r="S230" s="342"/>
      <c r="T230" s="342"/>
      <c r="U230" s="342"/>
      <c r="V230" s="342"/>
      <c r="W230" s="342"/>
      <c r="X230" s="342"/>
      <c r="Y230" s="342"/>
    </row>
    <row r="231" ht="53.25" customHeight="1">
      <c r="A231" s="284"/>
      <c r="B231" s="299"/>
      <c r="C231" s="285"/>
      <c r="D231" s="285"/>
      <c r="E231" s="424"/>
      <c r="F231" s="561"/>
      <c r="G231" s="561"/>
      <c r="H231" s="285"/>
      <c r="I231" s="288"/>
      <c r="J231" s="561"/>
      <c r="K231" s="563"/>
      <c r="L231" s="290"/>
      <c r="M231" s="286"/>
      <c r="N231" s="342"/>
      <c r="O231" s="342"/>
      <c r="P231" s="342"/>
      <c r="Q231" s="342"/>
      <c r="R231" s="342"/>
      <c r="S231" s="342"/>
      <c r="T231" s="342"/>
      <c r="U231" s="342"/>
      <c r="V231" s="342"/>
      <c r="W231" s="342"/>
      <c r="X231" s="342"/>
      <c r="Y231" s="342"/>
    </row>
    <row r="232" ht="48.0" customHeight="1">
      <c r="A232" s="284"/>
      <c r="B232" s="299"/>
      <c r="C232" s="285"/>
      <c r="D232" s="568"/>
      <c r="E232" s="424"/>
      <c r="F232" s="561"/>
      <c r="G232" s="561"/>
      <c r="H232" s="285"/>
      <c r="I232" s="372"/>
      <c r="J232" s="561"/>
      <c r="K232" s="563"/>
      <c r="L232" s="290"/>
      <c r="M232" s="286"/>
      <c r="N232" s="342"/>
      <c r="O232" s="342"/>
      <c r="P232" s="342"/>
      <c r="Q232" s="342"/>
      <c r="R232" s="342"/>
      <c r="S232" s="342"/>
      <c r="T232" s="342"/>
      <c r="U232" s="342"/>
      <c r="V232" s="342"/>
      <c r="W232" s="342"/>
      <c r="X232" s="342"/>
      <c r="Y232" s="342"/>
    </row>
    <row r="233" ht="52.5" customHeight="1">
      <c r="A233" s="284"/>
      <c r="B233" s="299"/>
      <c r="C233" s="285"/>
      <c r="D233" s="568"/>
      <c r="E233" s="290"/>
      <c r="F233" s="561"/>
      <c r="G233" s="562"/>
      <c r="H233" s="285"/>
      <c r="I233" s="285"/>
      <c r="J233" s="561"/>
      <c r="K233" s="563"/>
      <c r="L233" s="290"/>
      <c r="M233" s="286"/>
      <c r="N233" s="342"/>
      <c r="O233" s="342"/>
      <c r="P233" s="342"/>
      <c r="Q233" s="342"/>
      <c r="R233" s="342"/>
      <c r="S233" s="342"/>
      <c r="T233" s="342"/>
      <c r="U233" s="342"/>
      <c r="V233" s="342"/>
      <c r="W233" s="342"/>
      <c r="X233" s="342"/>
      <c r="Y233" s="342"/>
    </row>
    <row r="234" ht="50.25" customHeight="1">
      <c r="A234" s="284"/>
      <c r="B234" s="299"/>
      <c r="C234" s="285"/>
      <c r="D234" s="285"/>
      <c r="E234" s="353"/>
      <c r="F234" s="561"/>
      <c r="G234" s="561"/>
      <c r="H234" s="285"/>
      <c r="I234" s="288"/>
      <c r="J234" s="561"/>
      <c r="K234" s="563"/>
      <c r="L234" s="290"/>
      <c r="M234" s="286"/>
      <c r="N234" s="342"/>
      <c r="O234" s="342"/>
      <c r="P234" s="342"/>
      <c r="Q234" s="342"/>
      <c r="R234" s="342"/>
      <c r="S234" s="342"/>
      <c r="T234" s="342"/>
      <c r="U234" s="342"/>
      <c r="V234" s="342"/>
      <c r="W234" s="342"/>
      <c r="X234" s="342"/>
      <c r="Y234" s="342"/>
    </row>
    <row r="235" ht="57.0" customHeight="1">
      <c r="A235" s="284"/>
      <c r="B235" s="299"/>
      <c r="C235" s="285"/>
      <c r="D235" s="285"/>
      <c r="E235" s="290"/>
      <c r="F235" s="561"/>
      <c r="G235" s="562"/>
      <c r="H235" s="285"/>
      <c r="I235" s="285"/>
      <c r="J235" s="561"/>
      <c r="K235" s="563"/>
      <c r="L235" s="290"/>
      <c r="M235" s="286"/>
      <c r="N235" s="342"/>
      <c r="O235" s="342"/>
      <c r="P235" s="342"/>
      <c r="Q235" s="342"/>
      <c r="R235" s="342"/>
      <c r="S235" s="342"/>
      <c r="T235" s="342"/>
      <c r="U235" s="342"/>
      <c r="V235" s="342"/>
      <c r="W235" s="342"/>
      <c r="X235" s="342"/>
      <c r="Y235" s="342"/>
    </row>
    <row r="236" ht="52.5" customHeight="1">
      <c r="A236" s="284"/>
      <c r="B236" s="299"/>
      <c r="C236" s="285"/>
      <c r="D236" s="285"/>
      <c r="E236" s="290"/>
      <c r="F236" s="561"/>
      <c r="G236" s="562"/>
      <c r="H236" s="285"/>
      <c r="I236" s="288"/>
      <c r="J236" s="561"/>
      <c r="K236" s="563"/>
      <c r="L236" s="290"/>
      <c r="M236" s="286"/>
      <c r="N236" s="342"/>
      <c r="O236" s="342"/>
      <c r="P236" s="342"/>
      <c r="Q236" s="342"/>
      <c r="R236" s="342"/>
      <c r="S236" s="342"/>
      <c r="T236" s="342"/>
      <c r="U236" s="342"/>
      <c r="V236" s="342"/>
      <c r="W236" s="342"/>
      <c r="X236" s="342"/>
      <c r="Y236" s="342"/>
    </row>
    <row r="237" ht="53.25" customHeight="1">
      <c r="A237" s="284"/>
      <c r="B237" s="299"/>
      <c r="C237" s="285"/>
      <c r="D237" s="568"/>
      <c r="E237" s="290"/>
      <c r="F237" s="561"/>
      <c r="G237" s="562"/>
      <c r="H237" s="285"/>
      <c r="I237" s="288"/>
      <c r="J237" s="561"/>
      <c r="K237" s="563"/>
      <c r="L237" s="290"/>
      <c r="M237" s="286"/>
      <c r="N237" s="342"/>
      <c r="O237" s="342"/>
      <c r="P237" s="342"/>
      <c r="Q237" s="342"/>
      <c r="R237" s="342"/>
      <c r="S237" s="342"/>
      <c r="T237" s="342"/>
      <c r="U237" s="342"/>
      <c r="V237" s="342"/>
      <c r="W237" s="342"/>
      <c r="X237" s="342"/>
      <c r="Y237" s="342"/>
    </row>
    <row r="238" ht="55.5" customHeight="1">
      <c r="A238" s="284"/>
      <c r="B238" s="299"/>
      <c r="C238" s="285"/>
      <c r="D238" s="285"/>
      <c r="E238" s="353"/>
      <c r="F238" s="561"/>
      <c r="G238" s="566"/>
      <c r="H238" s="285"/>
      <c r="I238" s="288"/>
      <c r="J238" s="561"/>
      <c r="K238" s="563"/>
      <c r="L238" s="290"/>
      <c r="M238" s="286"/>
      <c r="N238" s="342"/>
      <c r="O238" s="342"/>
      <c r="P238" s="342"/>
      <c r="Q238" s="342"/>
      <c r="R238" s="342"/>
      <c r="S238" s="342"/>
      <c r="T238" s="342"/>
      <c r="U238" s="342"/>
      <c r="V238" s="342"/>
      <c r="W238" s="342"/>
      <c r="X238" s="342"/>
      <c r="Y238" s="342"/>
    </row>
    <row r="239" ht="59.25" customHeight="1">
      <c r="A239" s="284"/>
      <c r="B239" s="299"/>
      <c r="C239" s="285"/>
      <c r="D239" s="285"/>
      <c r="E239" s="424"/>
      <c r="F239" s="561"/>
      <c r="G239" s="562"/>
      <c r="H239" s="285"/>
      <c r="I239" s="369"/>
      <c r="J239" s="561"/>
      <c r="K239" s="563"/>
      <c r="L239" s="290"/>
      <c r="M239" s="286"/>
      <c r="N239" s="342"/>
      <c r="O239" s="342"/>
      <c r="P239" s="342"/>
      <c r="Q239" s="342"/>
      <c r="R239" s="342"/>
      <c r="S239" s="342"/>
      <c r="T239" s="342"/>
      <c r="U239" s="342"/>
      <c r="V239" s="342"/>
      <c r="W239" s="342"/>
      <c r="X239" s="342"/>
      <c r="Y239" s="342"/>
    </row>
    <row r="240" ht="45.0" customHeight="1">
      <c r="A240" s="284"/>
      <c r="B240" s="299"/>
      <c r="C240" s="285"/>
      <c r="D240" s="285"/>
      <c r="E240" s="424"/>
      <c r="F240" s="561"/>
      <c r="G240" s="566"/>
      <c r="H240" s="285"/>
      <c r="I240" s="566"/>
      <c r="J240" s="561"/>
      <c r="K240" s="563"/>
      <c r="L240" s="290"/>
      <c r="M240" s="488"/>
      <c r="N240" s="554"/>
      <c r="O240" s="554"/>
      <c r="P240" s="554"/>
      <c r="Q240" s="554"/>
      <c r="R240" s="554"/>
      <c r="S240" s="554"/>
      <c r="T240" s="554"/>
      <c r="U240" s="554"/>
      <c r="V240" s="554"/>
      <c r="W240" s="554"/>
      <c r="X240" s="554"/>
      <c r="Y240" s="554"/>
    </row>
    <row r="241" ht="56.25" customHeight="1">
      <c r="A241" s="284"/>
      <c r="B241" s="299"/>
      <c r="C241" s="285"/>
      <c r="D241" s="568"/>
      <c r="E241" s="424"/>
      <c r="F241" s="561"/>
      <c r="G241" s="562"/>
      <c r="H241" s="285"/>
      <c r="I241" s="285"/>
      <c r="J241" s="561"/>
      <c r="K241" s="563"/>
      <c r="L241" s="290"/>
      <c r="M241" s="488"/>
      <c r="N241" s="554"/>
      <c r="O241" s="554"/>
      <c r="P241" s="554"/>
      <c r="Q241" s="554"/>
      <c r="R241" s="554"/>
      <c r="S241" s="554"/>
      <c r="T241" s="554"/>
      <c r="U241" s="554"/>
      <c r="V241" s="554"/>
      <c r="W241" s="554"/>
      <c r="X241" s="554"/>
      <c r="Y241" s="554"/>
    </row>
    <row r="242" ht="12.75" customHeight="1">
      <c r="A242" s="553"/>
      <c r="B242" s="553"/>
      <c r="C242" s="553"/>
      <c r="D242" s="553"/>
      <c r="E242" s="553"/>
      <c r="F242" s="553"/>
      <c r="G242" s="553"/>
      <c r="H242" s="553"/>
      <c r="I242" s="553"/>
      <c r="J242" s="569"/>
      <c r="K242" s="569"/>
      <c r="L242" s="553"/>
      <c r="M242" s="510"/>
      <c r="N242" s="554"/>
      <c r="O242" s="554"/>
      <c r="P242" s="554"/>
      <c r="Q242" s="554"/>
      <c r="R242" s="554"/>
      <c r="S242" s="554"/>
      <c r="T242" s="554"/>
      <c r="U242" s="554"/>
      <c r="V242" s="554"/>
      <c r="W242" s="554"/>
      <c r="X242" s="554"/>
      <c r="Y242" s="554"/>
    </row>
    <row r="243" ht="12.75" customHeight="1">
      <c r="A243" s="553"/>
      <c r="B243" s="553"/>
      <c r="C243" s="553"/>
      <c r="D243" s="553"/>
      <c r="E243" s="553"/>
      <c r="F243" s="553"/>
      <c r="G243" s="553"/>
      <c r="H243" s="553"/>
      <c r="I243" s="553"/>
      <c r="J243" s="569"/>
      <c r="K243" s="569"/>
      <c r="L243" s="553"/>
      <c r="M243" s="510"/>
      <c r="N243" s="554"/>
      <c r="O243" s="554"/>
      <c r="P243" s="554"/>
      <c r="Q243" s="554"/>
      <c r="R243" s="554"/>
      <c r="S243" s="554"/>
      <c r="T243" s="554"/>
      <c r="U243" s="554"/>
      <c r="V243" s="554"/>
      <c r="W243" s="554"/>
      <c r="X243" s="554"/>
      <c r="Y243" s="554"/>
    </row>
    <row r="244" ht="12.75" customHeight="1">
      <c r="A244" s="553"/>
      <c r="B244" s="553"/>
      <c r="C244" s="553"/>
      <c r="D244" s="553"/>
      <c r="E244" s="553"/>
      <c r="F244" s="553"/>
      <c r="G244" s="553"/>
      <c r="H244" s="553"/>
      <c r="I244" s="553"/>
      <c r="J244" s="569"/>
      <c r="K244" s="569"/>
      <c r="L244" s="553"/>
      <c r="M244" s="510"/>
      <c r="N244" s="554"/>
      <c r="O244" s="554"/>
      <c r="P244" s="554"/>
      <c r="Q244" s="554"/>
      <c r="R244" s="554"/>
      <c r="S244" s="554"/>
      <c r="T244" s="554"/>
      <c r="U244" s="554"/>
      <c r="V244" s="554"/>
      <c r="W244" s="554"/>
      <c r="X244" s="554"/>
      <c r="Y244" s="554"/>
    </row>
    <row r="245" ht="12.75" customHeight="1">
      <c r="A245" s="553"/>
      <c r="B245" s="553"/>
      <c r="C245" s="553"/>
      <c r="D245" s="553"/>
      <c r="E245" s="553"/>
      <c r="F245" s="553"/>
      <c r="G245" s="553"/>
      <c r="H245" s="553"/>
      <c r="I245" s="553"/>
      <c r="J245" s="569"/>
      <c r="K245" s="569"/>
      <c r="L245" s="553"/>
      <c r="M245" s="510"/>
      <c r="N245" s="554"/>
      <c r="O245" s="554"/>
      <c r="P245" s="554"/>
      <c r="Q245" s="554"/>
      <c r="R245" s="554"/>
      <c r="S245" s="554"/>
      <c r="T245" s="554"/>
      <c r="U245" s="554"/>
      <c r="V245" s="554"/>
      <c r="W245" s="554"/>
      <c r="X245" s="554"/>
      <c r="Y245" s="554"/>
    </row>
    <row r="246" ht="12.75" customHeight="1">
      <c r="A246" s="553"/>
      <c r="B246" s="553"/>
      <c r="C246" s="553"/>
      <c r="D246" s="553"/>
      <c r="E246" s="553"/>
      <c r="F246" s="553"/>
      <c r="G246" s="553"/>
      <c r="H246" s="553"/>
      <c r="I246" s="553"/>
      <c r="J246" s="569"/>
      <c r="K246" s="569"/>
      <c r="L246" s="553"/>
      <c r="M246" s="510"/>
      <c r="N246" s="554"/>
      <c r="O246" s="554"/>
      <c r="P246" s="554"/>
      <c r="Q246" s="554"/>
      <c r="R246" s="554"/>
      <c r="S246" s="554"/>
      <c r="T246" s="554"/>
      <c r="U246" s="554"/>
      <c r="V246" s="554"/>
      <c r="W246" s="554"/>
      <c r="X246" s="554"/>
      <c r="Y246" s="554"/>
    </row>
    <row r="247" ht="12.75" customHeight="1">
      <c r="A247" s="553"/>
      <c r="B247" s="553"/>
      <c r="C247" s="553"/>
      <c r="D247" s="553"/>
      <c r="E247" s="553"/>
      <c r="F247" s="553"/>
      <c r="G247" s="553"/>
      <c r="H247" s="553"/>
      <c r="I247" s="553"/>
      <c r="J247" s="569"/>
      <c r="K247" s="569"/>
      <c r="L247" s="553"/>
      <c r="M247" s="510"/>
      <c r="N247" s="554"/>
      <c r="O247" s="554"/>
      <c r="P247" s="554"/>
      <c r="Q247" s="554"/>
      <c r="R247" s="554"/>
      <c r="S247" s="554"/>
      <c r="T247" s="554"/>
      <c r="U247" s="554"/>
      <c r="V247" s="554"/>
      <c r="W247" s="554"/>
      <c r="X247" s="554"/>
      <c r="Y247" s="554"/>
    </row>
    <row r="248" ht="12.75" customHeight="1">
      <c r="A248" s="553"/>
      <c r="B248" s="553"/>
      <c r="C248" s="553"/>
      <c r="D248" s="553"/>
      <c r="E248" s="553"/>
      <c r="F248" s="553"/>
      <c r="G248" s="553"/>
      <c r="H248" s="553"/>
      <c r="I248" s="553"/>
      <c r="J248" s="569"/>
      <c r="K248" s="569"/>
      <c r="L248" s="553"/>
      <c r="M248" s="510"/>
      <c r="N248" s="554"/>
      <c r="O248" s="554"/>
      <c r="P248" s="554"/>
      <c r="Q248" s="554"/>
      <c r="R248" s="554"/>
      <c r="S248" s="554"/>
      <c r="T248" s="554"/>
      <c r="U248" s="554"/>
      <c r="V248" s="554"/>
      <c r="W248" s="554"/>
      <c r="X248" s="554"/>
      <c r="Y248" s="554"/>
    </row>
    <row r="249" ht="12.75" customHeight="1">
      <c r="A249" s="553"/>
      <c r="B249" s="553"/>
      <c r="C249" s="553"/>
      <c r="D249" s="553"/>
      <c r="E249" s="553"/>
      <c r="F249" s="553"/>
      <c r="G249" s="553"/>
      <c r="H249" s="553"/>
      <c r="I249" s="553"/>
      <c r="J249" s="569"/>
      <c r="K249" s="569"/>
      <c r="L249" s="553"/>
      <c r="M249" s="510"/>
      <c r="N249" s="554"/>
      <c r="O249" s="554"/>
      <c r="P249" s="554"/>
      <c r="Q249" s="554"/>
      <c r="R249" s="554"/>
      <c r="S249" s="554"/>
      <c r="T249" s="554"/>
      <c r="U249" s="554"/>
      <c r="V249" s="554"/>
      <c r="W249" s="554"/>
      <c r="X249" s="554"/>
      <c r="Y249" s="554"/>
    </row>
    <row r="250" ht="12.75" customHeight="1">
      <c r="A250" s="553"/>
      <c r="B250" s="553"/>
      <c r="C250" s="553"/>
      <c r="D250" s="553"/>
      <c r="E250" s="553"/>
      <c r="F250" s="553"/>
      <c r="G250" s="553"/>
      <c r="H250" s="553"/>
      <c r="I250" s="553"/>
      <c r="J250" s="569"/>
      <c r="K250" s="569"/>
      <c r="L250" s="553"/>
      <c r="M250" s="510"/>
      <c r="N250" s="554"/>
      <c r="O250" s="554"/>
      <c r="P250" s="554"/>
      <c r="Q250" s="554"/>
      <c r="R250" s="554"/>
      <c r="S250" s="554"/>
      <c r="T250" s="554"/>
      <c r="U250" s="554"/>
      <c r="V250" s="554"/>
      <c r="W250" s="554"/>
      <c r="X250" s="554"/>
      <c r="Y250" s="554"/>
    </row>
    <row r="251" ht="12.75" customHeight="1">
      <c r="A251" s="554"/>
      <c r="B251" s="554"/>
      <c r="C251" s="554"/>
      <c r="D251" s="554"/>
      <c r="E251" s="554"/>
      <c r="F251" s="554"/>
      <c r="G251" s="554"/>
      <c r="H251" s="554"/>
      <c r="I251" s="554"/>
      <c r="J251" s="552"/>
      <c r="K251" s="552"/>
      <c r="L251" s="554"/>
      <c r="M251" s="510"/>
      <c r="N251" s="554"/>
      <c r="O251" s="554"/>
      <c r="P251" s="554"/>
      <c r="Q251" s="554"/>
      <c r="R251" s="554"/>
      <c r="S251" s="554"/>
      <c r="T251" s="554"/>
      <c r="U251" s="554"/>
      <c r="V251" s="554"/>
      <c r="W251" s="554"/>
      <c r="X251" s="554"/>
      <c r="Y251" s="554"/>
    </row>
    <row r="252" ht="12.75" customHeight="1">
      <c r="A252" s="554"/>
      <c r="B252" s="554"/>
      <c r="C252" s="554"/>
      <c r="D252" s="554"/>
      <c r="E252" s="554"/>
      <c r="F252" s="554"/>
      <c r="G252" s="554"/>
      <c r="H252" s="554"/>
      <c r="I252" s="554"/>
      <c r="J252" s="552"/>
      <c r="K252" s="552"/>
      <c r="L252" s="554"/>
      <c r="M252" s="510"/>
      <c r="N252" s="554"/>
      <c r="O252" s="554"/>
      <c r="P252" s="554"/>
      <c r="Q252" s="554"/>
      <c r="R252" s="554"/>
      <c r="S252" s="554"/>
      <c r="T252" s="554"/>
      <c r="U252" s="554"/>
      <c r="V252" s="554"/>
      <c r="W252" s="554"/>
      <c r="X252" s="554"/>
      <c r="Y252" s="554"/>
    </row>
    <row r="253" ht="12.75" customHeight="1">
      <c r="A253" s="554"/>
      <c r="B253" s="554"/>
      <c r="C253" s="554"/>
      <c r="D253" s="554"/>
      <c r="E253" s="554"/>
      <c r="F253" s="554"/>
      <c r="G253" s="554"/>
      <c r="H253" s="554"/>
      <c r="I253" s="554"/>
      <c r="J253" s="552"/>
      <c r="K253" s="552"/>
      <c r="L253" s="554"/>
      <c r="M253" s="510"/>
      <c r="N253" s="554"/>
      <c r="O253" s="554"/>
      <c r="P253" s="554"/>
      <c r="Q253" s="554"/>
      <c r="R253" s="554"/>
      <c r="S253" s="554"/>
      <c r="T253" s="554"/>
      <c r="U253" s="554"/>
      <c r="V253" s="554"/>
      <c r="W253" s="554"/>
      <c r="X253" s="554"/>
      <c r="Y253" s="554"/>
    </row>
    <row r="254" ht="12.75" customHeight="1">
      <c r="A254" s="554"/>
      <c r="B254" s="554"/>
      <c r="C254" s="554"/>
      <c r="D254" s="554"/>
      <c r="E254" s="554"/>
      <c r="F254" s="554"/>
      <c r="G254" s="554"/>
      <c r="H254" s="554"/>
      <c r="I254" s="554"/>
      <c r="J254" s="552"/>
      <c r="K254" s="552"/>
      <c r="L254" s="554"/>
      <c r="M254" s="510"/>
      <c r="N254" s="554"/>
      <c r="O254" s="554"/>
      <c r="P254" s="554"/>
      <c r="Q254" s="554"/>
      <c r="R254" s="554"/>
      <c r="S254" s="554"/>
      <c r="T254" s="554"/>
      <c r="U254" s="554"/>
      <c r="V254" s="554"/>
      <c r="W254" s="554"/>
      <c r="X254" s="554"/>
      <c r="Y254" s="554"/>
    </row>
    <row r="255" ht="12.75" customHeight="1">
      <c r="A255" s="554"/>
      <c r="B255" s="554"/>
      <c r="C255" s="554"/>
      <c r="D255" s="554"/>
      <c r="E255" s="554"/>
      <c r="F255" s="554"/>
      <c r="G255" s="554"/>
      <c r="H255" s="554"/>
      <c r="I255" s="554"/>
      <c r="J255" s="552"/>
      <c r="K255" s="552"/>
      <c r="L255" s="554"/>
      <c r="M255" s="510"/>
      <c r="N255" s="554"/>
      <c r="O255" s="554"/>
      <c r="P255" s="554"/>
      <c r="Q255" s="554"/>
      <c r="R255" s="554"/>
      <c r="S255" s="554"/>
      <c r="T255" s="554"/>
      <c r="U255" s="554"/>
      <c r="V255" s="554"/>
      <c r="W255" s="554"/>
      <c r="X255" s="554"/>
      <c r="Y255" s="554"/>
    </row>
    <row r="256" ht="12.75" customHeight="1">
      <c r="A256" s="554"/>
      <c r="B256" s="554"/>
      <c r="C256" s="554"/>
      <c r="D256" s="554"/>
      <c r="E256" s="554"/>
      <c r="F256" s="554"/>
      <c r="G256" s="554"/>
      <c r="H256" s="554"/>
      <c r="I256" s="554"/>
      <c r="J256" s="552"/>
      <c r="K256" s="552"/>
      <c r="L256" s="554"/>
      <c r="M256" s="510"/>
      <c r="N256" s="554"/>
      <c r="O256" s="554"/>
      <c r="P256" s="554"/>
      <c r="Q256" s="554"/>
      <c r="R256" s="554"/>
      <c r="S256" s="554"/>
      <c r="T256" s="554"/>
      <c r="U256" s="554"/>
      <c r="V256" s="554"/>
      <c r="W256" s="554"/>
      <c r="X256" s="554"/>
      <c r="Y256" s="554"/>
    </row>
    <row r="257" ht="12.75" customHeight="1">
      <c r="A257" s="554"/>
      <c r="B257" s="554"/>
      <c r="C257" s="554"/>
      <c r="D257" s="554"/>
      <c r="E257" s="554"/>
      <c r="F257" s="554"/>
      <c r="G257" s="554"/>
      <c r="H257" s="554"/>
      <c r="I257" s="554"/>
      <c r="J257" s="552"/>
      <c r="K257" s="552"/>
      <c r="L257" s="554"/>
      <c r="M257" s="510"/>
      <c r="N257" s="554"/>
      <c r="O257" s="554"/>
      <c r="P257" s="554"/>
      <c r="Q257" s="554"/>
      <c r="R257" s="554"/>
      <c r="S257" s="554"/>
      <c r="T257" s="554"/>
      <c r="U257" s="554"/>
      <c r="V257" s="554"/>
      <c r="W257" s="554"/>
      <c r="X257" s="554"/>
      <c r="Y257" s="554"/>
    </row>
    <row r="258" ht="12.75" customHeight="1">
      <c r="A258" s="554"/>
      <c r="B258" s="554"/>
      <c r="C258" s="554"/>
      <c r="D258" s="554"/>
      <c r="E258" s="554"/>
      <c r="F258" s="554"/>
      <c r="G258" s="554"/>
      <c r="H258" s="554"/>
      <c r="I258" s="554"/>
      <c r="J258" s="552"/>
      <c r="K258" s="552"/>
      <c r="L258" s="554"/>
      <c r="M258" s="510"/>
      <c r="N258" s="554"/>
      <c r="O258" s="554"/>
      <c r="P258" s="554"/>
      <c r="Q258" s="554"/>
      <c r="R258" s="554"/>
      <c r="S258" s="554"/>
      <c r="T258" s="554"/>
      <c r="U258" s="554"/>
      <c r="V258" s="554"/>
      <c r="W258" s="554"/>
      <c r="X258" s="554"/>
      <c r="Y258" s="554"/>
    </row>
    <row r="259" ht="12.75" customHeight="1">
      <c r="A259" s="554"/>
      <c r="B259" s="554"/>
      <c r="C259" s="554"/>
      <c r="D259" s="554"/>
      <c r="E259" s="554"/>
      <c r="F259" s="554"/>
      <c r="G259" s="554"/>
      <c r="H259" s="554"/>
      <c r="I259" s="554"/>
      <c r="J259" s="552"/>
      <c r="K259" s="552"/>
      <c r="L259" s="554"/>
      <c r="M259" s="510"/>
      <c r="N259" s="554"/>
      <c r="O259" s="554"/>
      <c r="P259" s="554"/>
      <c r="Q259" s="554"/>
      <c r="R259" s="554"/>
      <c r="S259" s="554"/>
      <c r="T259" s="554"/>
      <c r="U259" s="554"/>
      <c r="V259" s="554"/>
      <c r="W259" s="554"/>
      <c r="X259" s="554"/>
      <c r="Y259" s="554"/>
    </row>
    <row r="260" ht="12.75" customHeight="1">
      <c r="A260" s="554"/>
      <c r="B260" s="554"/>
      <c r="C260" s="554"/>
      <c r="D260" s="554"/>
      <c r="E260" s="554"/>
      <c r="F260" s="554"/>
      <c r="G260" s="554"/>
      <c r="H260" s="554"/>
      <c r="I260" s="554"/>
      <c r="J260" s="552"/>
      <c r="K260" s="552"/>
      <c r="L260" s="554"/>
      <c r="M260" s="510"/>
      <c r="N260" s="554"/>
      <c r="O260" s="554"/>
      <c r="P260" s="554"/>
      <c r="Q260" s="554"/>
      <c r="R260" s="554"/>
      <c r="S260" s="554"/>
      <c r="T260" s="554"/>
      <c r="U260" s="554"/>
      <c r="V260" s="554"/>
      <c r="W260" s="554"/>
      <c r="X260" s="554"/>
      <c r="Y260" s="554"/>
    </row>
    <row r="261" ht="12.75" customHeight="1">
      <c r="A261" s="554"/>
      <c r="B261" s="554"/>
      <c r="C261" s="554"/>
      <c r="D261" s="554"/>
      <c r="E261" s="554"/>
      <c r="F261" s="554"/>
      <c r="G261" s="554"/>
      <c r="H261" s="554"/>
      <c r="I261" s="554"/>
      <c r="J261" s="552"/>
      <c r="K261" s="552"/>
      <c r="L261" s="554"/>
      <c r="M261" s="510"/>
      <c r="N261" s="554"/>
      <c r="O261" s="554"/>
      <c r="P261" s="554"/>
      <c r="Q261" s="554"/>
      <c r="R261" s="554"/>
      <c r="S261" s="554"/>
      <c r="T261" s="554"/>
      <c r="U261" s="554"/>
      <c r="V261" s="554"/>
      <c r="W261" s="554"/>
      <c r="X261" s="554"/>
      <c r="Y261" s="554"/>
    </row>
    <row r="262" ht="12.75" customHeight="1">
      <c r="A262" s="554"/>
      <c r="B262" s="554"/>
      <c r="C262" s="554"/>
      <c r="D262" s="554"/>
      <c r="E262" s="554"/>
      <c r="F262" s="554"/>
      <c r="G262" s="554"/>
      <c r="H262" s="554"/>
      <c r="I262" s="554"/>
      <c r="J262" s="552"/>
      <c r="K262" s="552"/>
      <c r="L262" s="554"/>
      <c r="M262" s="510"/>
      <c r="N262" s="554"/>
      <c r="O262" s="554"/>
      <c r="P262" s="554"/>
      <c r="Q262" s="554"/>
      <c r="R262" s="554"/>
      <c r="S262" s="554"/>
      <c r="T262" s="554"/>
      <c r="U262" s="554"/>
      <c r="V262" s="554"/>
      <c r="W262" s="554"/>
      <c r="X262" s="554"/>
      <c r="Y262" s="554"/>
    </row>
    <row r="263" ht="12.75" customHeight="1">
      <c r="A263" s="554"/>
      <c r="B263" s="554"/>
      <c r="C263" s="554"/>
      <c r="D263" s="554"/>
      <c r="E263" s="554"/>
      <c r="F263" s="554"/>
      <c r="G263" s="554"/>
      <c r="H263" s="554"/>
      <c r="I263" s="554"/>
      <c r="J263" s="552"/>
      <c r="K263" s="552"/>
      <c r="L263" s="554"/>
      <c r="M263" s="510"/>
      <c r="N263" s="554"/>
      <c r="O263" s="554"/>
      <c r="P263" s="554"/>
      <c r="Q263" s="554"/>
      <c r="R263" s="554"/>
      <c r="S263" s="554"/>
      <c r="T263" s="554"/>
      <c r="U263" s="554"/>
      <c r="V263" s="554"/>
      <c r="W263" s="554"/>
      <c r="X263" s="554"/>
      <c r="Y263" s="554"/>
    </row>
    <row r="264" ht="12.75" customHeight="1">
      <c r="A264" s="554"/>
      <c r="B264" s="554"/>
      <c r="C264" s="554"/>
      <c r="D264" s="554"/>
      <c r="E264" s="554"/>
      <c r="F264" s="554"/>
      <c r="G264" s="554"/>
      <c r="H264" s="554"/>
      <c r="I264" s="554"/>
      <c r="J264" s="552"/>
      <c r="K264" s="552"/>
      <c r="L264" s="554"/>
      <c r="M264" s="510"/>
      <c r="N264" s="554"/>
      <c r="O264" s="554"/>
      <c r="P264" s="554"/>
      <c r="Q264" s="554"/>
      <c r="R264" s="554"/>
      <c r="S264" s="554"/>
      <c r="T264" s="554"/>
      <c r="U264" s="554"/>
      <c r="V264" s="554"/>
      <c r="W264" s="554"/>
      <c r="X264" s="554"/>
      <c r="Y264" s="554"/>
    </row>
    <row r="265" ht="12.75" customHeight="1">
      <c r="A265" s="554"/>
      <c r="B265" s="554"/>
      <c r="C265" s="554"/>
      <c r="D265" s="554"/>
      <c r="E265" s="554"/>
      <c r="F265" s="554"/>
      <c r="G265" s="554"/>
      <c r="H265" s="554"/>
      <c r="I265" s="554"/>
      <c r="J265" s="552"/>
      <c r="K265" s="552"/>
      <c r="L265" s="554"/>
      <c r="M265" s="510"/>
      <c r="N265" s="554"/>
      <c r="O265" s="554"/>
      <c r="P265" s="554"/>
      <c r="Q265" s="554"/>
      <c r="R265" s="554"/>
      <c r="S265" s="554"/>
      <c r="T265" s="554"/>
      <c r="U265" s="554"/>
      <c r="V265" s="554"/>
      <c r="W265" s="554"/>
      <c r="X265" s="554"/>
      <c r="Y265" s="554"/>
    </row>
    <row r="266" ht="12.75" customHeight="1">
      <c r="A266" s="554"/>
      <c r="B266" s="554"/>
      <c r="C266" s="554"/>
      <c r="D266" s="554"/>
      <c r="E266" s="554"/>
      <c r="F266" s="554"/>
      <c r="G266" s="554"/>
      <c r="H266" s="554"/>
      <c r="I266" s="554"/>
      <c r="J266" s="552"/>
      <c r="K266" s="552"/>
      <c r="L266" s="554"/>
      <c r="M266" s="510"/>
      <c r="N266" s="554"/>
      <c r="O266" s="554"/>
      <c r="P266" s="554"/>
      <c r="Q266" s="554"/>
      <c r="R266" s="554"/>
      <c r="S266" s="554"/>
      <c r="T266" s="554"/>
      <c r="U266" s="554"/>
      <c r="V266" s="554"/>
      <c r="W266" s="554"/>
      <c r="X266" s="554"/>
      <c r="Y266" s="554"/>
    </row>
    <row r="267" ht="12.75" customHeight="1">
      <c r="A267" s="554"/>
      <c r="B267" s="554"/>
      <c r="C267" s="554"/>
      <c r="D267" s="554"/>
      <c r="E267" s="554"/>
      <c r="F267" s="554"/>
      <c r="G267" s="554"/>
      <c r="H267" s="554"/>
      <c r="I267" s="554"/>
      <c r="J267" s="552"/>
      <c r="K267" s="552"/>
      <c r="L267" s="554"/>
      <c r="M267" s="510"/>
      <c r="N267" s="554"/>
      <c r="O267" s="554"/>
      <c r="P267" s="554"/>
      <c r="Q267" s="554"/>
      <c r="R267" s="554"/>
      <c r="S267" s="554"/>
      <c r="T267" s="554"/>
      <c r="U267" s="554"/>
      <c r="V267" s="554"/>
      <c r="W267" s="554"/>
      <c r="X267" s="554"/>
      <c r="Y267" s="554"/>
    </row>
    <row r="268" ht="12.75" customHeight="1">
      <c r="A268" s="554"/>
      <c r="B268" s="554"/>
      <c r="C268" s="554"/>
      <c r="D268" s="554"/>
      <c r="E268" s="554"/>
      <c r="F268" s="554"/>
      <c r="G268" s="554"/>
      <c r="H268" s="554"/>
      <c r="I268" s="554"/>
      <c r="J268" s="552"/>
      <c r="K268" s="552"/>
      <c r="L268" s="554"/>
      <c r="M268" s="510"/>
      <c r="N268" s="554"/>
      <c r="O268" s="554"/>
      <c r="P268" s="554"/>
      <c r="Q268" s="554"/>
      <c r="R268" s="554"/>
      <c r="S268" s="554"/>
      <c r="T268" s="554"/>
      <c r="U268" s="554"/>
      <c r="V268" s="554"/>
      <c r="W268" s="554"/>
      <c r="X268" s="554"/>
      <c r="Y268" s="554"/>
    </row>
    <row r="269" ht="12.75" customHeight="1">
      <c r="A269" s="554"/>
      <c r="B269" s="554"/>
      <c r="C269" s="554"/>
      <c r="D269" s="554"/>
      <c r="E269" s="554"/>
      <c r="F269" s="554"/>
      <c r="G269" s="554"/>
      <c r="H269" s="554"/>
      <c r="I269" s="554"/>
      <c r="J269" s="552"/>
      <c r="K269" s="552"/>
      <c r="L269" s="554"/>
      <c r="M269" s="510"/>
      <c r="N269" s="554"/>
      <c r="O269" s="554"/>
      <c r="P269" s="554"/>
      <c r="Q269" s="554"/>
      <c r="R269" s="554"/>
      <c r="S269" s="554"/>
      <c r="T269" s="554"/>
      <c r="U269" s="554"/>
      <c r="V269" s="554"/>
      <c r="W269" s="554"/>
      <c r="X269" s="554"/>
      <c r="Y269" s="554"/>
    </row>
    <row r="270" ht="12.75" customHeight="1">
      <c r="A270" s="554"/>
      <c r="B270" s="554"/>
      <c r="C270" s="554"/>
      <c r="D270" s="554"/>
      <c r="E270" s="554"/>
      <c r="F270" s="554"/>
      <c r="G270" s="554"/>
      <c r="H270" s="554"/>
      <c r="I270" s="554"/>
      <c r="J270" s="552"/>
      <c r="K270" s="552"/>
      <c r="L270" s="554"/>
      <c r="M270" s="510"/>
      <c r="N270" s="554"/>
      <c r="O270" s="554"/>
      <c r="P270" s="554"/>
      <c r="Q270" s="554"/>
      <c r="R270" s="554"/>
      <c r="S270" s="554"/>
      <c r="T270" s="554"/>
      <c r="U270" s="554"/>
      <c r="V270" s="554"/>
      <c r="W270" s="554"/>
      <c r="X270" s="554"/>
      <c r="Y270" s="554"/>
    </row>
    <row r="271" ht="12.75" customHeight="1">
      <c r="A271" s="554"/>
      <c r="B271" s="554"/>
      <c r="C271" s="554"/>
      <c r="D271" s="554"/>
      <c r="E271" s="554"/>
      <c r="F271" s="554"/>
      <c r="G271" s="554"/>
      <c r="H271" s="554"/>
      <c r="I271" s="554"/>
      <c r="J271" s="552"/>
      <c r="K271" s="552"/>
      <c r="L271" s="554"/>
      <c r="M271" s="510"/>
      <c r="N271" s="554"/>
      <c r="O271" s="554"/>
      <c r="P271" s="554"/>
      <c r="Q271" s="554"/>
      <c r="R271" s="554"/>
      <c r="S271" s="554"/>
      <c r="T271" s="554"/>
      <c r="U271" s="554"/>
      <c r="V271" s="554"/>
      <c r="W271" s="554"/>
      <c r="X271" s="554"/>
      <c r="Y271" s="554"/>
    </row>
    <row r="272" ht="12.75" customHeight="1">
      <c r="A272" s="554"/>
      <c r="B272" s="554"/>
      <c r="C272" s="554"/>
      <c r="D272" s="554"/>
      <c r="E272" s="554"/>
      <c r="F272" s="554"/>
      <c r="G272" s="554"/>
      <c r="H272" s="554"/>
      <c r="I272" s="554"/>
      <c r="J272" s="552"/>
      <c r="K272" s="552"/>
      <c r="L272" s="554"/>
      <c r="M272" s="510"/>
      <c r="N272" s="554"/>
      <c r="O272" s="554"/>
      <c r="P272" s="554"/>
      <c r="Q272" s="554"/>
      <c r="R272" s="554"/>
      <c r="S272" s="554"/>
      <c r="T272" s="554"/>
      <c r="U272" s="554"/>
      <c r="V272" s="554"/>
      <c r="W272" s="554"/>
      <c r="X272" s="554"/>
      <c r="Y272" s="554"/>
    </row>
    <row r="273" ht="12.75" customHeight="1">
      <c r="A273" s="554"/>
      <c r="B273" s="554"/>
      <c r="C273" s="554"/>
      <c r="D273" s="554"/>
      <c r="E273" s="554"/>
      <c r="F273" s="554"/>
      <c r="G273" s="554"/>
      <c r="H273" s="554"/>
      <c r="I273" s="554"/>
      <c r="J273" s="552"/>
      <c r="K273" s="552"/>
      <c r="L273" s="554"/>
      <c r="M273" s="510"/>
      <c r="N273" s="554"/>
      <c r="O273" s="554"/>
      <c r="P273" s="554"/>
      <c r="Q273" s="554"/>
      <c r="R273" s="554"/>
      <c r="S273" s="554"/>
      <c r="T273" s="554"/>
      <c r="U273" s="554"/>
      <c r="V273" s="554"/>
      <c r="W273" s="554"/>
      <c r="X273" s="554"/>
      <c r="Y273" s="554"/>
    </row>
    <row r="274" ht="12.75" customHeight="1">
      <c r="A274" s="554"/>
      <c r="B274" s="554"/>
      <c r="C274" s="554"/>
      <c r="D274" s="554"/>
      <c r="E274" s="554"/>
      <c r="F274" s="554"/>
      <c r="G274" s="554"/>
      <c r="H274" s="554"/>
      <c r="I274" s="554"/>
      <c r="J274" s="552"/>
      <c r="K274" s="552"/>
      <c r="L274" s="554"/>
      <c r="M274" s="510"/>
      <c r="N274" s="554"/>
      <c r="O274" s="554"/>
      <c r="P274" s="554"/>
      <c r="Q274" s="554"/>
      <c r="R274" s="554"/>
      <c r="S274" s="554"/>
      <c r="T274" s="554"/>
      <c r="U274" s="554"/>
      <c r="V274" s="554"/>
      <c r="W274" s="554"/>
      <c r="X274" s="554"/>
      <c r="Y274" s="554"/>
    </row>
    <row r="275" ht="12.75" customHeight="1">
      <c r="A275" s="554"/>
      <c r="B275" s="554"/>
      <c r="C275" s="554"/>
      <c r="D275" s="554"/>
      <c r="E275" s="554"/>
      <c r="F275" s="554"/>
      <c r="G275" s="554"/>
      <c r="H275" s="554"/>
      <c r="I275" s="554"/>
      <c r="J275" s="552"/>
      <c r="K275" s="552"/>
      <c r="L275" s="554"/>
      <c r="M275" s="510"/>
      <c r="N275" s="554"/>
      <c r="O275" s="554"/>
      <c r="P275" s="554"/>
      <c r="Q275" s="554"/>
      <c r="R275" s="554"/>
      <c r="S275" s="554"/>
      <c r="T275" s="554"/>
      <c r="U275" s="554"/>
      <c r="V275" s="554"/>
      <c r="W275" s="554"/>
      <c r="X275" s="554"/>
      <c r="Y275" s="554"/>
    </row>
    <row r="276" ht="12.75" customHeight="1">
      <c r="A276" s="554"/>
      <c r="B276" s="554"/>
      <c r="C276" s="554"/>
      <c r="D276" s="554"/>
      <c r="E276" s="554"/>
      <c r="F276" s="554"/>
      <c r="G276" s="554"/>
      <c r="H276" s="554"/>
      <c r="I276" s="554"/>
      <c r="J276" s="552"/>
      <c r="K276" s="552"/>
      <c r="L276" s="554"/>
      <c r="M276" s="510"/>
      <c r="N276" s="554"/>
      <c r="O276" s="554"/>
      <c r="P276" s="554"/>
      <c r="Q276" s="554"/>
      <c r="R276" s="554"/>
      <c r="S276" s="554"/>
      <c r="T276" s="554"/>
      <c r="U276" s="554"/>
      <c r="V276" s="554"/>
      <c r="W276" s="554"/>
      <c r="X276" s="554"/>
      <c r="Y276" s="554"/>
    </row>
    <row r="277" ht="12.75" customHeight="1">
      <c r="A277" s="554"/>
      <c r="B277" s="554"/>
      <c r="C277" s="554"/>
      <c r="D277" s="554"/>
      <c r="E277" s="554"/>
      <c r="F277" s="554"/>
      <c r="G277" s="554"/>
      <c r="H277" s="554"/>
      <c r="I277" s="554"/>
      <c r="J277" s="552"/>
      <c r="K277" s="552"/>
      <c r="L277" s="554"/>
      <c r="M277" s="510"/>
      <c r="N277" s="554"/>
      <c r="O277" s="554"/>
      <c r="P277" s="554"/>
      <c r="Q277" s="554"/>
      <c r="R277" s="554"/>
      <c r="S277" s="554"/>
      <c r="T277" s="554"/>
      <c r="U277" s="554"/>
      <c r="V277" s="554"/>
      <c r="W277" s="554"/>
      <c r="X277" s="554"/>
      <c r="Y277" s="554"/>
    </row>
    <row r="278" ht="12.75" customHeight="1">
      <c r="A278" s="554"/>
      <c r="B278" s="554"/>
      <c r="C278" s="554"/>
      <c r="D278" s="554"/>
      <c r="E278" s="554"/>
      <c r="F278" s="554"/>
      <c r="G278" s="554"/>
      <c r="H278" s="554"/>
      <c r="I278" s="554"/>
      <c r="J278" s="552"/>
      <c r="K278" s="552"/>
      <c r="L278" s="554"/>
      <c r="M278" s="510"/>
      <c r="N278" s="554"/>
      <c r="O278" s="554"/>
      <c r="P278" s="554"/>
      <c r="Q278" s="554"/>
      <c r="R278" s="554"/>
      <c r="S278" s="554"/>
      <c r="T278" s="554"/>
      <c r="U278" s="554"/>
      <c r="V278" s="554"/>
      <c r="W278" s="554"/>
      <c r="X278" s="554"/>
      <c r="Y278" s="554"/>
    </row>
    <row r="279" ht="12.75" customHeight="1">
      <c r="A279" s="554"/>
      <c r="B279" s="554"/>
      <c r="C279" s="554"/>
      <c r="D279" s="554"/>
      <c r="E279" s="554"/>
      <c r="F279" s="554"/>
      <c r="G279" s="554"/>
      <c r="H279" s="554"/>
      <c r="I279" s="554"/>
      <c r="J279" s="552"/>
      <c r="K279" s="552"/>
      <c r="L279" s="554"/>
      <c r="M279" s="510"/>
      <c r="N279" s="554"/>
      <c r="O279" s="554"/>
      <c r="P279" s="554"/>
      <c r="Q279" s="554"/>
      <c r="R279" s="554"/>
      <c r="S279" s="554"/>
      <c r="T279" s="554"/>
      <c r="U279" s="554"/>
      <c r="V279" s="554"/>
      <c r="W279" s="554"/>
      <c r="X279" s="554"/>
      <c r="Y279" s="554"/>
    </row>
    <row r="280" ht="12.75" customHeight="1">
      <c r="A280" s="554"/>
      <c r="B280" s="554"/>
      <c r="C280" s="554"/>
      <c r="D280" s="554"/>
      <c r="E280" s="554"/>
      <c r="F280" s="554"/>
      <c r="G280" s="554"/>
      <c r="H280" s="554"/>
      <c r="I280" s="554"/>
      <c r="J280" s="552"/>
      <c r="K280" s="552"/>
      <c r="L280" s="554"/>
      <c r="M280" s="510"/>
      <c r="N280" s="554"/>
      <c r="O280" s="554"/>
      <c r="P280" s="554"/>
      <c r="Q280" s="554"/>
      <c r="R280" s="554"/>
      <c r="S280" s="554"/>
      <c r="T280" s="554"/>
      <c r="U280" s="554"/>
      <c r="V280" s="554"/>
      <c r="W280" s="554"/>
      <c r="X280" s="554"/>
      <c r="Y280" s="554"/>
    </row>
    <row r="281" ht="12.75" customHeight="1">
      <c r="A281" s="554"/>
      <c r="B281" s="554"/>
      <c r="C281" s="554"/>
      <c r="D281" s="554"/>
      <c r="E281" s="554"/>
      <c r="F281" s="554"/>
      <c r="G281" s="554"/>
      <c r="H281" s="554"/>
      <c r="I281" s="554"/>
      <c r="J281" s="552"/>
      <c r="K281" s="552"/>
      <c r="L281" s="554"/>
      <c r="M281" s="510"/>
      <c r="N281" s="554"/>
      <c r="O281" s="554"/>
      <c r="P281" s="554"/>
      <c r="Q281" s="554"/>
      <c r="R281" s="554"/>
      <c r="S281" s="554"/>
      <c r="T281" s="554"/>
      <c r="U281" s="554"/>
      <c r="V281" s="554"/>
      <c r="W281" s="554"/>
      <c r="X281" s="554"/>
      <c r="Y281" s="554"/>
    </row>
    <row r="282" ht="12.75" customHeight="1">
      <c r="A282" s="554"/>
      <c r="B282" s="554"/>
      <c r="C282" s="554"/>
      <c r="D282" s="554"/>
      <c r="E282" s="554"/>
      <c r="F282" s="554"/>
      <c r="G282" s="554"/>
      <c r="H282" s="554"/>
      <c r="I282" s="554"/>
      <c r="J282" s="552"/>
      <c r="K282" s="552"/>
      <c r="L282" s="554"/>
      <c r="M282" s="510"/>
      <c r="N282" s="554"/>
      <c r="O282" s="554"/>
      <c r="P282" s="554"/>
      <c r="Q282" s="554"/>
      <c r="R282" s="554"/>
      <c r="S282" s="554"/>
      <c r="T282" s="554"/>
      <c r="U282" s="554"/>
      <c r="V282" s="554"/>
      <c r="W282" s="554"/>
      <c r="X282" s="554"/>
      <c r="Y282" s="554"/>
    </row>
    <row r="283" ht="12.75" customHeight="1">
      <c r="A283" s="554"/>
      <c r="B283" s="554"/>
      <c r="C283" s="554"/>
      <c r="D283" s="554"/>
      <c r="E283" s="554"/>
      <c r="F283" s="554"/>
      <c r="G283" s="554"/>
      <c r="H283" s="554"/>
      <c r="I283" s="554"/>
      <c r="J283" s="552"/>
      <c r="K283" s="552"/>
      <c r="L283" s="554"/>
      <c r="M283" s="510"/>
      <c r="N283" s="554"/>
      <c r="O283" s="554"/>
      <c r="P283" s="554"/>
      <c r="Q283" s="554"/>
      <c r="R283" s="554"/>
      <c r="S283" s="554"/>
      <c r="T283" s="554"/>
      <c r="U283" s="554"/>
      <c r="V283" s="554"/>
      <c r="W283" s="554"/>
      <c r="X283" s="554"/>
      <c r="Y283" s="554"/>
    </row>
    <row r="284" ht="12.75" customHeight="1">
      <c r="A284" s="554"/>
      <c r="B284" s="554"/>
      <c r="C284" s="554"/>
      <c r="D284" s="554"/>
      <c r="E284" s="554"/>
      <c r="F284" s="554"/>
      <c r="G284" s="554"/>
      <c r="H284" s="554"/>
      <c r="I284" s="554"/>
      <c r="J284" s="552"/>
      <c r="K284" s="552"/>
      <c r="L284" s="554"/>
      <c r="M284" s="510"/>
      <c r="N284" s="554"/>
      <c r="O284" s="554"/>
      <c r="P284" s="554"/>
      <c r="Q284" s="554"/>
      <c r="R284" s="554"/>
      <c r="S284" s="554"/>
      <c r="T284" s="554"/>
      <c r="U284" s="554"/>
      <c r="V284" s="554"/>
      <c r="W284" s="554"/>
      <c r="X284" s="554"/>
      <c r="Y284" s="554"/>
    </row>
    <row r="285" ht="12.75" customHeight="1">
      <c r="A285" s="554"/>
      <c r="B285" s="554"/>
      <c r="C285" s="554"/>
      <c r="D285" s="554"/>
      <c r="E285" s="554"/>
      <c r="F285" s="554"/>
      <c r="G285" s="554"/>
      <c r="H285" s="554"/>
      <c r="I285" s="554"/>
      <c r="J285" s="552"/>
      <c r="K285" s="552"/>
      <c r="L285" s="554"/>
      <c r="M285" s="510"/>
      <c r="N285" s="554"/>
      <c r="O285" s="554"/>
      <c r="P285" s="554"/>
      <c r="Q285" s="554"/>
      <c r="R285" s="554"/>
      <c r="S285" s="554"/>
      <c r="T285" s="554"/>
      <c r="U285" s="554"/>
      <c r="V285" s="554"/>
      <c r="W285" s="554"/>
      <c r="X285" s="554"/>
      <c r="Y285" s="554"/>
    </row>
    <row r="286" ht="12.75" customHeight="1">
      <c r="A286" s="554"/>
      <c r="B286" s="554"/>
      <c r="C286" s="554"/>
      <c r="D286" s="554"/>
      <c r="E286" s="554"/>
      <c r="F286" s="554"/>
      <c r="G286" s="554"/>
      <c r="H286" s="554"/>
      <c r="I286" s="554"/>
      <c r="J286" s="552"/>
      <c r="K286" s="552"/>
      <c r="L286" s="554"/>
      <c r="M286" s="510"/>
      <c r="N286" s="554"/>
      <c r="O286" s="554"/>
      <c r="P286" s="554"/>
      <c r="Q286" s="554"/>
      <c r="R286" s="554"/>
      <c r="S286" s="554"/>
      <c r="T286" s="554"/>
      <c r="U286" s="554"/>
      <c r="V286" s="554"/>
      <c r="W286" s="554"/>
      <c r="X286" s="554"/>
      <c r="Y286" s="554"/>
    </row>
    <row r="287" ht="12.75" customHeight="1">
      <c r="A287" s="554"/>
      <c r="B287" s="554"/>
      <c r="C287" s="554"/>
      <c r="D287" s="554"/>
      <c r="E287" s="554"/>
      <c r="F287" s="554"/>
      <c r="G287" s="554"/>
      <c r="H287" s="554"/>
      <c r="I287" s="554"/>
      <c r="J287" s="552"/>
      <c r="K287" s="552"/>
      <c r="L287" s="554"/>
      <c r="M287" s="510"/>
      <c r="N287" s="554"/>
      <c r="O287" s="554"/>
      <c r="P287" s="554"/>
      <c r="Q287" s="554"/>
      <c r="R287" s="554"/>
      <c r="S287" s="554"/>
      <c r="T287" s="554"/>
      <c r="U287" s="554"/>
      <c r="V287" s="554"/>
      <c r="W287" s="554"/>
      <c r="X287" s="554"/>
      <c r="Y287" s="554"/>
    </row>
    <row r="288" ht="12.75" customHeight="1">
      <c r="A288" s="554"/>
      <c r="B288" s="554"/>
      <c r="C288" s="554"/>
      <c r="D288" s="554"/>
      <c r="E288" s="554"/>
      <c r="F288" s="554"/>
      <c r="G288" s="554"/>
      <c r="H288" s="554"/>
      <c r="I288" s="554"/>
      <c r="J288" s="552"/>
      <c r="K288" s="552"/>
      <c r="L288" s="554"/>
      <c r="M288" s="510"/>
      <c r="N288" s="554"/>
      <c r="O288" s="554"/>
      <c r="P288" s="554"/>
      <c r="Q288" s="554"/>
      <c r="R288" s="554"/>
      <c r="S288" s="554"/>
      <c r="T288" s="554"/>
      <c r="U288" s="554"/>
      <c r="V288" s="554"/>
      <c r="W288" s="554"/>
      <c r="X288" s="554"/>
      <c r="Y288" s="554"/>
    </row>
    <row r="289" ht="12.75" customHeight="1">
      <c r="A289" s="554"/>
      <c r="B289" s="554"/>
      <c r="C289" s="554"/>
      <c r="D289" s="554"/>
      <c r="E289" s="554"/>
      <c r="F289" s="554"/>
      <c r="G289" s="554"/>
      <c r="H289" s="554"/>
      <c r="I289" s="554"/>
      <c r="J289" s="552"/>
      <c r="K289" s="552"/>
      <c r="L289" s="554"/>
      <c r="M289" s="510"/>
      <c r="N289" s="554"/>
      <c r="O289" s="554"/>
      <c r="P289" s="554"/>
      <c r="Q289" s="554"/>
      <c r="R289" s="554"/>
      <c r="S289" s="554"/>
      <c r="T289" s="554"/>
      <c r="U289" s="554"/>
      <c r="V289" s="554"/>
      <c r="W289" s="554"/>
      <c r="X289" s="554"/>
      <c r="Y289" s="554"/>
    </row>
    <row r="290" ht="12.75" customHeight="1">
      <c r="A290" s="554"/>
      <c r="B290" s="554"/>
      <c r="C290" s="554"/>
      <c r="D290" s="554"/>
      <c r="E290" s="554"/>
      <c r="F290" s="554"/>
      <c r="G290" s="554"/>
      <c r="H290" s="554"/>
      <c r="I290" s="554"/>
      <c r="J290" s="552"/>
      <c r="K290" s="552"/>
      <c r="L290" s="554"/>
      <c r="M290" s="510"/>
      <c r="N290" s="554"/>
      <c r="O290" s="554"/>
      <c r="P290" s="554"/>
      <c r="Q290" s="554"/>
      <c r="R290" s="554"/>
      <c r="S290" s="554"/>
      <c r="T290" s="554"/>
      <c r="U290" s="554"/>
      <c r="V290" s="554"/>
      <c r="W290" s="554"/>
      <c r="X290" s="554"/>
      <c r="Y290" s="554"/>
    </row>
    <row r="291" ht="12.75" customHeight="1">
      <c r="A291" s="554"/>
      <c r="B291" s="554"/>
      <c r="C291" s="554"/>
      <c r="D291" s="554"/>
      <c r="E291" s="554"/>
      <c r="F291" s="554"/>
      <c r="G291" s="554"/>
      <c r="H291" s="554"/>
      <c r="I291" s="554"/>
      <c r="J291" s="552"/>
      <c r="K291" s="552"/>
      <c r="L291" s="554"/>
      <c r="M291" s="510"/>
      <c r="N291" s="554"/>
      <c r="O291" s="554"/>
      <c r="P291" s="554"/>
      <c r="Q291" s="554"/>
      <c r="R291" s="554"/>
      <c r="S291" s="554"/>
      <c r="T291" s="554"/>
      <c r="U291" s="554"/>
      <c r="V291" s="554"/>
      <c r="W291" s="554"/>
      <c r="X291" s="554"/>
      <c r="Y291" s="554"/>
    </row>
    <row r="292" ht="12.75" customHeight="1">
      <c r="A292" s="554"/>
      <c r="B292" s="554"/>
      <c r="C292" s="554"/>
      <c r="D292" s="554"/>
      <c r="E292" s="554"/>
      <c r="F292" s="554"/>
      <c r="G292" s="554"/>
      <c r="H292" s="554"/>
      <c r="I292" s="554"/>
      <c r="J292" s="552"/>
      <c r="K292" s="552"/>
      <c r="L292" s="554"/>
      <c r="M292" s="510"/>
      <c r="N292" s="554"/>
      <c r="O292" s="554"/>
      <c r="P292" s="554"/>
      <c r="Q292" s="554"/>
      <c r="R292" s="554"/>
      <c r="S292" s="554"/>
      <c r="T292" s="554"/>
      <c r="U292" s="554"/>
      <c r="V292" s="554"/>
      <c r="W292" s="554"/>
      <c r="X292" s="554"/>
      <c r="Y292" s="554"/>
    </row>
    <row r="293" ht="12.75" customHeight="1">
      <c r="A293" s="554"/>
      <c r="B293" s="554"/>
      <c r="C293" s="554"/>
      <c r="D293" s="554"/>
      <c r="E293" s="554"/>
      <c r="F293" s="554"/>
      <c r="G293" s="554"/>
      <c r="H293" s="554"/>
      <c r="I293" s="554"/>
      <c r="J293" s="552"/>
      <c r="K293" s="552"/>
      <c r="L293" s="554"/>
      <c r="M293" s="510"/>
      <c r="N293" s="554"/>
      <c r="O293" s="554"/>
      <c r="P293" s="554"/>
      <c r="Q293" s="554"/>
      <c r="R293" s="554"/>
      <c r="S293" s="554"/>
      <c r="T293" s="554"/>
      <c r="U293" s="554"/>
      <c r="V293" s="554"/>
      <c r="W293" s="554"/>
      <c r="X293" s="554"/>
      <c r="Y293" s="554"/>
    </row>
    <row r="294" ht="12.75" customHeight="1">
      <c r="A294" s="554"/>
      <c r="B294" s="554"/>
      <c r="C294" s="554"/>
      <c r="D294" s="554"/>
      <c r="E294" s="554"/>
      <c r="F294" s="554"/>
      <c r="G294" s="554"/>
      <c r="H294" s="554"/>
      <c r="I294" s="554"/>
      <c r="J294" s="552"/>
      <c r="K294" s="552"/>
      <c r="L294" s="554"/>
      <c r="M294" s="510"/>
      <c r="N294" s="554"/>
      <c r="O294" s="554"/>
      <c r="P294" s="554"/>
      <c r="Q294" s="554"/>
      <c r="R294" s="554"/>
      <c r="S294" s="554"/>
      <c r="T294" s="554"/>
      <c r="U294" s="554"/>
      <c r="V294" s="554"/>
      <c r="W294" s="554"/>
      <c r="X294" s="554"/>
      <c r="Y294" s="554"/>
    </row>
    <row r="295" ht="12.75" customHeight="1">
      <c r="A295" s="554"/>
      <c r="B295" s="554"/>
      <c r="C295" s="554"/>
      <c r="D295" s="554"/>
      <c r="E295" s="554"/>
      <c r="F295" s="554"/>
      <c r="G295" s="554"/>
      <c r="H295" s="554"/>
      <c r="I295" s="554"/>
      <c r="J295" s="552"/>
      <c r="K295" s="552"/>
      <c r="L295" s="554"/>
      <c r="M295" s="510"/>
      <c r="N295" s="554"/>
      <c r="O295" s="554"/>
      <c r="P295" s="554"/>
      <c r="Q295" s="554"/>
      <c r="R295" s="554"/>
      <c r="S295" s="554"/>
      <c r="T295" s="554"/>
      <c r="U295" s="554"/>
      <c r="V295" s="554"/>
      <c r="W295" s="554"/>
      <c r="X295" s="554"/>
      <c r="Y295" s="554"/>
    </row>
    <row r="296" ht="12.75" customHeight="1">
      <c r="A296" s="554"/>
      <c r="B296" s="554"/>
      <c r="C296" s="554"/>
      <c r="D296" s="554"/>
      <c r="E296" s="554"/>
      <c r="F296" s="554"/>
      <c r="G296" s="554"/>
      <c r="H296" s="554"/>
      <c r="I296" s="554"/>
      <c r="J296" s="552"/>
      <c r="K296" s="552"/>
      <c r="L296" s="554"/>
      <c r="M296" s="510"/>
      <c r="N296" s="554"/>
      <c r="O296" s="554"/>
      <c r="P296" s="554"/>
      <c r="Q296" s="554"/>
      <c r="R296" s="554"/>
      <c r="S296" s="554"/>
      <c r="T296" s="554"/>
      <c r="U296" s="554"/>
      <c r="V296" s="554"/>
      <c r="W296" s="554"/>
      <c r="X296" s="554"/>
      <c r="Y296" s="554"/>
    </row>
    <row r="297" ht="12.75" customHeight="1">
      <c r="A297" s="554"/>
      <c r="B297" s="554"/>
      <c r="C297" s="554"/>
      <c r="D297" s="554"/>
      <c r="E297" s="554"/>
      <c r="F297" s="554"/>
      <c r="G297" s="554"/>
      <c r="H297" s="554"/>
      <c r="I297" s="554"/>
      <c r="J297" s="552"/>
      <c r="K297" s="552"/>
      <c r="L297" s="554"/>
      <c r="M297" s="510"/>
      <c r="N297" s="554"/>
      <c r="O297" s="554"/>
      <c r="P297" s="554"/>
      <c r="Q297" s="554"/>
      <c r="R297" s="554"/>
      <c r="S297" s="554"/>
      <c r="T297" s="554"/>
      <c r="U297" s="554"/>
      <c r="V297" s="554"/>
      <c r="W297" s="554"/>
      <c r="X297" s="554"/>
      <c r="Y297" s="554"/>
    </row>
    <row r="298" ht="12.75" customHeight="1">
      <c r="A298" s="554"/>
      <c r="B298" s="554"/>
      <c r="C298" s="554"/>
      <c r="D298" s="554"/>
      <c r="E298" s="554"/>
      <c r="F298" s="554"/>
      <c r="G298" s="554"/>
      <c r="H298" s="554"/>
      <c r="I298" s="554"/>
      <c r="J298" s="552"/>
      <c r="K298" s="552"/>
      <c r="L298" s="554"/>
      <c r="M298" s="510"/>
      <c r="N298" s="554"/>
      <c r="O298" s="554"/>
      <c r="P298" s="554"/>
      <c r="Q298" s="554"/>
      <c r="R298" s="554"/>
      <c r="S298" s="554"/>
      <c r="T298" s="554"/>
      <c r="U298" s="554"/>
      <c r="V298" s="554"/>
      <c r="W298" s="554"/>
      <c r="X298" s="554"/>
      <c r="Y298" s="554"/>
    </row>
    <row r="299" ht="12.75" customHeight="1">
      <c r="A299" s="554"/>
      <c r="B299" s="554"/>
      <c r="C299" s="554"/>
      <c r="D299" s="554"/>
      <c r="E299" s="554"/>
      <c r="F299" s="554"/>
      <c r="G299" s="554"/>
      <c r="H299" s="554"/>
      <c r="I299" s="554"/>
      <c r="J299" s="552"/>
      <c r="K299" s="552"/>
      <c r="L299" s="554"/>
      <c r="M299" s="510"/>
      <c r="N299" s="554"/>
      <c r="O299" s="554"/>
      <c r="P299" s="554"/>
      <c r="Q299" s="554"/>
      <c r="R299" s="554"/>
      <c r="S299" s="554"/>
      <c r="T299" s="554"/>
      <c r="U299" s="554"/>
      <c r="V299" s="554"/>
      <c r="W299" s="554"/>
      <c r="X299" s="554"/>
      <c r="Y299" s="554"/>
    </row>
    <row r="300" ht="12.75" customHeight="1">
      <c r="A300" s="554"/>
      <c r="B300" s="554"/>
      <c r="C300" s="554"/>
      <c r="D300" s="554"/>
      <c r="E300" s="554"/>
      <c r="F300" s="554"/>
      <c r="G300" s="554"/>
      <c r="H300" s="554"/>
      <c r="I300" s="554"/>
      <c r="J300" s="552"/>
      <c r="K300" s="552"/>
      <c r="L300" s="554"/>
      <c r="M300" s="510"/>
      <c r="N300" s="554"/>
      <c r="O300" s="554"/>
      <c r="P300" s="554"/>
      <c r="Q300" s="554"/>
      <c r="R300" s="554"/>
      <c r="S300" s="554"/>
      <c r="T300" s="554"/>
      <c r="U300" s="554"/>
      <c r="V300" s="554"/>
      <c r="W300" s="554"/>
      <c r="X300" s="554"/>
      <c r="Y300" s="554"/>
    </row>
    <row r="301" ht="12.75" customHeight="1">
      <c r="A301" s="554"/>
      <c r="B301" s="554"/>
      <c r="C301" s="554"/>
      <c r="D301" s="554"/>
      <c r="E301" s="554"/>
      <c r="F301" s="554"/>
      <c r="G301" s="554"/>
      <c r="H301" s="554"/>
      <c r="I301" s="554"/>
      <c r="J301" s="552"/>
      <c r="K301" s="552"/>
      <c r="L301" s="554"/>
      <c r="M301" s="510"/>
      <c r="N301" s="554"/>
      <c r="O301" s="554"/>
      <c r="P301" s="554"/>
      <c r="Q301" s="554"/>
      <c r="R301" s="554"/>
      <c r="S301" s="554"/>
      <c r="T301" s="554"/>
      <c r="U301" s="554"/>
      <c r="V301" s="554"/>
      <c r="W301" s="554"/>
      <c r="X301" s="554"/>
      <c r="Y301" s="554"/>
    </row>
    <row r="302" ht="12.75" customHeight="1">
      <c r="A302" s="554"/>
      <c r="B302" s="554"/>
      <c r="C302" s="554"/>
      <c r="D302" s="554"/>
      <c r="E302" s="554"/>
      <c r="F302" s="554"/>
      <c r="G302" s="554"/>
      <c r="H302" s="554"/>
      <c r="I302" s="554"/>
      <c r="J302" s="552"/>
      <c r="K302" s="552"/>
      <c r="L302" s="554"/>
      <c r="M302" s="510"/>
      <c r="N302" s="554"/>
      <c r="O302" s="554"/>
      <c r="P302" s="554"/>
      <c r="Q302" s="554"/>
      <c r="R302" s="554"/>
      <c r="S302" s="554"/>
      <c r="T302" s="554"/>
      <c r="U302" s="554"/>
      <c r="V302" s="554"/>
      <c r="W302" s="554"/>
      <c r="X302" s="554"/>
      <c r="Y302" s="554"/>
    </row>
    <row r="303" ht="12.75" customHeight="1">
      <c r="A303" s="554"/>
      <c r="B303" s="554"/>
      <c r="C303" s="554"/>
      <c r="D303" s="554"/>
      <c r="E303" s="554"/>
      <c r="F303" s="554"/>
      <c r="G303" s="554"/>
      <c r="H303" s="554"/>
      <c r="I303" s="554"/>
      <c r="J303" s="552"/>
      <c r="K303" s="552"/>
      <c r="L303" s="554"/>
      <c r="M303" s="510"/>
      <c r="N303" s="554"/>
      <c r="O303" s="554"/>
      <c r="P303" s="554"/>
      <c r="Q303" s="554"/>
      <c r="R303" s="554"/>
      <c r="S303" s="554"/>
      <c r="T303" s="554"/>
      <c r="U303" s="554"/>
      <c r="V303" s="554"/>
      <c r="W303" s="554"/>
      <c r="X303" s="554"/>
      <c r="Y303" s="554"/>
    </row>
    <row r="304" ht="12.75" customHeight="1">
      <c r="A304" s="554"/>
      <c r="B304" s="554"/>
      <c r="C304" s="554"/>
      <c r="D304" s="554"/>
      <c r="E304" s="554"/>
      <c r="F304" s="554"/>
      <c r="G304" s="554"/>
      <c r="H304" s="554"/>
      <c r="I304" s="554"/>
      <c r="J304" s="552"/>
      <c r="K304" s="552"/>
      <c r="L304" s="554"/>
      <c r="M304" s="510"/>
      <c r="N304" s="554"/>
      <c r="O304" s="554"/>
      <c r="P304" s="554"/>
      <c r="Q304" s="554"/>
      <c r="R304" s="554"/>
      <c r="S304" s="554"/>
      <c r="T304" s="554"/>
      <c r="U304" s="554"/>
      <c r="V304" s="554"/>
      <c r="W304" s="554"/>
      <c r="X304" s="554"/>
      <c r="Y304" s="554"/>
    </row>
    <row r="305" ht="12.75" customHeight="1">
      <c r="A305" s="554"/>
      <c r="B305" s="554"/>
      <c r="C305" s="554"/>
      <c r="D305" s="554"/>
      <c r="E305" s="554"/>
      <c r="F305" s="554"/>
      <c r="G305" s="554"/>
      <c r="H305" s="554"/>
      <c r="I305" s="554"/>
      <c r="J305" s="552"/>
      <c r="K305" s="552"/>
      <c r="L305" s="554"/>
      <c r="M305" s="510"/>
      <c r="N305" s="554"/>
      <c r="O305" s="554"/>
      <c r="P305" s="554"/>
      <c r="Q305" s="554"/>
      <c r="R305" s="554"/>
      <c r="S305" s="554"/>
      <c r="T305" s="554"/>
      <c r="U305" s="554"/>
      <c r="V305" s="554"/>
      <c r="W305" s="554"/>
      <c r="X305" s="554"/>
      <c r="Y305" s="554"/>
    </row>
    <row r="306" ht="12.75" customHeight="1">
      <c r="A306" s="554"/>
      <c r="B306" s="554"/>
      <c r="C306" s="554"/>
      <c r="D306" s="554"/>
      <c r="E306" s="554"/>
      <c r="F306" s="554"/>
      <c r="G306" s="554"/>
      <c r="H306" s="554"/>
      <c r="I306" s="554"/>
      <c r="J306" s="552"/>
      <c r="K306" s="552"/>
      <c r="L306" s="554"/>
      <c r="M306" s="510"/>
      <c r="N306" s="554"/>
      <c r="O306" s="554"/>
      <c r="P306" s="554"/>
      <c r="Q306" s="554"/>
      <c r="R306" s="554"/>
      <c r="S306" s="554"/>
      <c r="T306" s="554"/>
      <c r="U306" s="554"/>
      <c r="V306" s="554"/>
      <c r="W306" s="554"/>
      <c r="X306" s="554"/>
      <c r="Y306" s="554"/>
    </row>
    <row r="307" ht="12.75" customHeight="1">
      <c r="A307" s="554"/>
      <c r="B307" s="554"/>
      <c r="C307" s="554"/>
      <c r="D307" s="554"/>
      <c r="E307" s="554"/>
      <c r="F307" s="554"/>
      <c r="G307" s="554"/>
      <c r="H307" s="554"/>
      <c r="I307" s="554"/>
      <c r="J307" s="552"/>
      <c r="K307" s="552"/>
      <c r="L307" s="554"/>
      <c r="M307" s="510"/>
      <c r="N307" s="554"/>
      <c r="O307" s="554"/>
      <c r="P307" s="554"/>
      <c r="Q307" s="554"/>
      <c r="R307" s="554"/>
      <c r="S307" s="554"/>
      <c r="T307" s="554"/>
      <c r="U307" s="554"/>
      <c r="V307" s="554"/>
      <c r="W307" s="554"/>
      <c r="X307" s="554"/>
      <c r="Y307" s="554"/>
    </row>
    <row r="308" ht="12.75" customHeight="1">
      <c r="A308" s="554"/>
      <c r="B308" s="554"/>
      <c r="C308" s="554"/>
      <c r="D308" s="554"/>
      <c r="E308" s="554"/>
      <c r="F308" s="554"/>
      <c r="G308" s="554"/>
      <c r="H308" s="554"/>
      <c r="I308" s="554"/>
      <c r="J308" s="552"/>
      <c r="K308" s="552"/>
      <c r="L308" s="554"/>
      <c r="M308" s="510"/>
      <c r="N308" s="554"/>
      <c r="O308" s="554"/>
      <c r="P308" s="554"/>
      <c r="Q308" s="554"/>
      <c r="R308" s="554"/>
      <c r="S308" s="554"/>
      <c r="T308" s="554"/>
      <c r="U308" s="554"/>
      <c r="V308" s="554"/>
      <c r="W308" s="554"/>
      <c r="X308" s="554"/>
      <c r="Y308" s="554"/>
    </row>
    <row r="309" ht="12.75" customHeight="1">
      <c r="A309" s="554"/>
      <c r="B309" s="554"/>
      <c r="C309" s="554"/>
      <c r="D309" s="554"/>
      <c r="E309" s="554"/>
      <c r="F309" s="554"/>
      <c r="G309" s="554"/>
      <c r="H309" s="554"/>
      <c r="I309" s="554"/>
      <c r="J309" s="552"/>
      <c r="K309" s="552"/>
      <c r="L309" s="554"/>
      <c r="M309" s="510"/>
      <c r="N309" s="554"/>
      <c r="O309" s="554"/>
      <c r="P309" s="554"/>
      <c r="Q309" s="554"/>
      <c r="R309" s="554"/>
      <c r="S309" s="554"/>
      <c r="T309" s="554"/>
      <c r="U309" s="554"/>
      <c r="V309" s="554"/>
      <c r="W309" s="554"/>
      <c r="X309" s="554"/>
      <c r="Y309" s="554"/>
    </row>
    <row r="310" ht="12.75" customHeight="1">
      <c r="A310" s="554"/>
      <c r="B310" s="554"/>
      <c r="C310" s="554"/>
      <c r="D310" s="554"/>
      <c r="E310" s="554"/>
      <c r="F310" s="554"/>
      <c r="G310" s="554"/>
      <c r="H310" s="554"/>
      <c r="I310" s="554"/>
      <c r="J310" s="552"/>
      <c r="K310" s="552"/>
      <c r="L310" s="554"/>
      <c r="M310" s="510"/>
      <c r="N310" s="554"/>
      <c r="O310" s="554"/>
      <c r="P310" s="554"/>
      <c r="Q310" s="554"/>
      <c r="R310" s="554"/>
      <c r="S310" s="554"/>
      <c r="T310" s="554"/>
      <c r="U310" s="554"/>
      <c r="V310" s="554"/>
      <c r="W310" s="554"/>
      <c r="X310" s="554"/>
      <c r="Y310" s="554"/>
    </row>
    <row r="311" ht="12.75" customHeight="1">
      <c r="A311" s="554"/>
      <c r="B311" s="554"/>
      <c r="C311" s="554"/>
      <c r="D311" s="554"/>
      <c r="E311" s="554"/>
      <c r="F311" s="554"/>
      <c r="G311" s="554"/>
      <c r="H311" s="554"/>
      <c r="I311" s="554"/>
      <c r="J311" s="552"/>
      <c r="K311" s="552"/>
      <c r="L311" s="554"/>
      <c r="M311" s="510"/>
      <c r="N311" s="554"/>
      <c r="O311" s="554"/>
      <c r="P311" s="554"/>
      <c r="Q311" s="554"/>
      <c r="R311" s="554"/>
      <c r="S311" s="554"/>
      <c r="T311" s="554"/>
      <c r="U311" s="554"/>
      <c r="V311" s="554"/>
      <c r="W311" s="554"/>
      <c r="X311" s="554"/>
      <c r="Y311" s="554"/>
    </row>
    <row r="312" ht="12.75" customHeight="1">
      <c r="A312" s="554"/>
      <c r="B312" s="554"/>
      <c r="C312" s="554"/>
      <c r="D312" s="554"/>
      <c r="E312" s="554"/>
      <c r="F312" s="554"/>
      <c r="G312" s="554"/>
      <c r="H312" s="554"/>
      <c r="I312" s="554"/>
      <c r="J312" s="552"/>
      <c r="K312" s="552"/>
      <c r="L312" s="554"/>
      <c r="M312" s="510"/>
      <c r="N312" s="554"/>
      <c r="O312" s="554"/>
      <c r="P312" s="554"/>
      <c r="Q312" s="554"/>
      <c r="R312" s="554"/>
      <c r="S312" s="554"/>
      <c r="T312" s="554"/>
      <c r="U312" s="554"/>
      <c r="V312" s="554"/>
      <c r="W312" s="554"/>
      <c r="X312" s="554"/>
      <c r="Y312" s="554"/>
    </row>
    <row r="313" ht="12.75" customHeight="1">
      <c r="A313" s="554"/>
      <c r="B313" s="554"/>
      <c r="C313" s="554"/>
      <c r="D313" s="554"/>
      <c r="E313" s="554"/>
      <c r="F313" s="554"/>
      <c r="G313" s="554"/>
      <c r="H313" s="554"/>
      <c r="I313" s="554"/>
      <c r="J313" s="552"/>
      <c r="K313" s="552"/>
      <c r="L313" s="554"/>
      <c r="M313" s="510"/>
      <c r="N313" s="554"/>
      <c r="O313" s="554"/>
      <c r="P313" s="554"/>
      <c r="Q313" s="554"/>
      <c r="R313" s="554"/>
      <c r="S313" s="554"/>
      <c r="T313" s="554"/>
      <c r="U313" s="554"/>
      <c r="V313" s="554"/>
      <c r="W313" s="554"/>
      <c r="X313" s="554"/>
      <c r="Y313" s="554"/>
    </row>
    <row r="314" ht="12.75" customHeight="1">
      <c r="A314" s="554"/>
      <c r="B314" s="554"/>
      <c r="C314" s="554"/>
      <c r="D314" s="554"/>
      <c r="E314" s="554"/>
      <c r="F314" s="554"/>
      <c r="G314" s="554"/>
      <c r="H314" s="554"/>
      <c r="I314" s="554"/>
      <c r="J314" s="552"/>
      <c r="K314" s="552"/>
      <c r="L314" s="554"/>
      <c r="M314" s="510"/>
      <c r="N314" s="554"/>
      <c r="O314" s="554"/>
      <c r="P314" s="554"/>
      <c r="Q314" s="554"/>
      <c r="R314" s="554"/>
      <c r="S314" s="554"/>
      <c r="T314" s="554"/>
      <c r="U314" s="554"/>
      <c r="V314" s="554"/>
      <c r="W314" s="554"/>
      <c r="X314" s="554"/>
      <c r="Y314" s="554"/>
    </row>
    <row r="315" ht="12.75" customHeight="1">
      <c r="A315" s="554"/>
      <c r="B315" s="554"/>
      <c r="C315" s="554"/>
      <c r="D315" s="554"/>
      <c r="E315" s="554"/>
      <c r="F315" s="554"/>
      <c r="G315" s="554"/>
      <c r="H315" s="554"/>
      <c r="I315" s="554"/>
      <c r="J315" s="552"/>
      <c r="K315" s="552"/>
      <c r="L315" s="554"/>
      <c r="M315" s="510"/>
      <c r="N315" s="554"/>
      <c r="O315" s="554"/>
      <c r="P315" s="554"/>
      <c r="Q315" s="554"/>
      <c r="R315" s="554"/>
      <c r="S315" s="554"/>
      <c r="T315" s="554"/>
      <c r="U315" s="554"/>
      <c r="V315" s="554"/>
      <c r="W315" s="554"/>
      <c r="X315" s="554"/>
      <c r="Y315" s="554"/>
    </row>
    <row r="316" ht="12.75" customHeight="1">
      <c r="A316" s="554"/>
      <c r="B316" s="554"/>
      <c r="C316" s="554"/>
      <c r="D316" s="554"/>
      <c r="E316" s="554"/>
      <c r="F316" s="554"/>
      <c r="G316" s="554"/>
      <c r="H316" s="554"/>
      <c r="I316" s="554"/>
      <c r="J316" s="552"/>
      <c r="K316" s="552"/>
      <c r="L316" s="554"/>
      <c r="M316" s="510"/>
      <c r="N316" s="554"/>
      <c r="O316" s="554"/>
      <c r="P316" s="554"/>
      <c r="Q316" s="554"/>
      <c r="R316" s="554"/>
      <c r="S316" s="554"/>
      <c r="T316" s="554"/>
      <c r="U316" s="554"/>
      <c r="V316" s="554"/>
      <c r="W316" s="554"/>
      <c r="X316" s="554"/>
      <c r="Y316" s="554"/>
    </row>
    <row r="317" ht="12.75" customHeight="1">
      <c r="A317" s="554"/>
      <c r="B317" s="554"/>
      <c r="C317" s="554"/>
      <c r="D317" s="554"/>
      <c r="E317" s="554"/>
      <c r="F317" s="554"/>
      <c r="G317" s="554"/>
      <c r="H317" s="554"/>
      <c r="I317" s="554"/>
      <c r="J317" s="552"/>
      <c r="K317" s="552"/>
      <c r="L317" s="554"/>
      <c r="M317" s="510"/>
      <c r="N317" s="554"/>
      <c r="O317" s="554"/>
      <c r="P317" s="554"/>
      <c r="Q317" s="554"/>
      <c r="R317" s="554"/>
      <c r="S317" s="554"/>
      <c r="T317" s="554"/>
      <c r="U317" s="554"/>
      <c r="V317" s="554"/>
      <c r="W317" s="554"/>
      <c r="X317" s="554"/>
      <c r="Y317" s="554"/>
    </row>
    <row r="318" ht="12.75" customHeight="1">
      <c r="A318" s="554"/>
      <c r="B318" s="554"/>
      <c r="C318" s="554"/>
      <c r="D318" s="554"/>
      <c r="E318" s="554"/>
      <c r="F318" s="554"/>
      <c r="G318" s="554"/>
      <c r="H318" s="554"/>
      <c r="I318" s="554"/>
      <c r="J318" s="552"/>
      <c r="K318" s="552"/>
      <c r="L318" s="554"/>
      <c r="M318" s="510"/>
      <c r="N318" s="554"/>
      <c r="O318" s="554"/>
      <c r="P318" s="554"/>
      <c r="Q318" s="554"/>
      <c r="R318" s="554"/>
      <c r="S318" s="554"/>
      <c r="T318" s="554"/>
      <c r="U318" s="554"/>
      <c r="V318" s="554"/>
      <c r="W318" s="554"/>
      <c r="X318" s="554"/>
      <c r="Y318" s="554"/>
    </row>
    <row r="319" ht="12.75" customHeight="1">
      <c r="A319" s="554"/>
      <c r="B319" s="554"/>
      <c r="C319" s="554"/>
      <c r="D319" s="554"/>
      <c r="E319" s="554"/>
      <c r="F319" s="554"/>
      <c r="G319" s="554"/>
      <c r="H319" s="554"/>
      <c r="I319" s="554"/>
      <c r="J319" s="552"/>
      <c r="K319" s="552"/>
      <c r="L319" s="554"/>
      <c r="M319" s="510"/>
      <c r="N319" s="554"/>
      <c r="O319" s="554"/>
      <c r="P319" s="554"/>
      <c r="Q319" s="554"/>
      <c r="R319" s="554"/>
      <c r="S319" s="554"/>
      <c r="T319" s="554"/>
      <c r="U319" s="554"/>
      <c r="V319" s="554"/>
      <c r="W319" s="554"/>
      <c r="X319" s="554"/>
      <c r="Y319" s="554"/>
    </row>
    <row r="320" ht="12.75" customHeight="1">
      <c r="A320" s="554"/>
      <c r="B320" s="554"/>
      <c r="C320" s="554"/>
      <c r="D320" s="554"/>
      <c r="E320" s="554"/>
      <c r="F320" s="554"/>
      <c r="G320" s="554"/>
      <c r="H320" s="554"/>
      <c r="I320" s="554"/>
      <c r="J320" s="552"/>
      <c r="K320" s="552"/>
      <c r="L320" s="554"/>
      <c r="M320" s="510"/>
      <c r="N320" s="554"/>
      <c r="O320" s="554"/>
      <c r="P320" s="554"/>
      <c r="Q320" s="554"/>
      <c r="R320" s="554"/>
      <c r="S320" s="554"/>
      <c r="T320" s="554"/>
      <c r="U320" s="554"/>
      <c r="V320" s="554"/>
      <c r="W320" s="554"/>
      <c r="X320" s="554"/>
      <c r="Y320" s="554"/>
    </row>
    <row r="321" ht="12.75" customHeight="1">
      <c r="A321" s="554"/>
      <c r="B321" s="554"/>
      <c r="C321" s="554"/>
      <c r="D321" s="554"/>
      <c r="E321" s="554"/>
      <c r="F321" s="554"/>
      <c r="G321" s="554"/>
      <c r="H321" s="554"/>
      <c r="I321" s="554"/>
      <c r="J321" s="552"/>
      <c r="K321" s="552"/>
      <c r="L321" s="554"/>
      <c r="M321" s="510"/>
      <c r="N321" s="554"/>
      <c r="O321" s="554"/>
      <c r="P321" s="554"/>
      <c r="Q321" s="554"/>
      <c r="R321" s="554"/>
      <c r="S321" s="554"/>
      <c r="T321" s="554"/>
      <c r="U321" s="554"/>
      <c r="V321" s="554"/>
      <c r="W321" s="554"/>
      <c r="X321" s="554"/>
      <c r="Y321" s="554"/>
    </row>
    <row r="322" ht="12.75" customHeight="1">
      <c r="A322" s="554"/>
      <c r="B322" s="554"/>
      <c r="C322" s="554"/>
      <c r="D322" s="554"/>
      <c r="E322" s="554"/>
      <c r="F322" s="554"/>
      <c r="G322" s="554"/>
      <c r="H322" s="554"/>
      <c r="I322" s="554"/>
      <c r="J322" s="552"/>
      <c r="K322" s="552"/>
      <c r="L322" s="554"/>
      <c r="M322" s="510"/>
      <c r="N322" s="554"/>
      <c r="O322" s="554"/>
      <c r="P322" s="554"/>
      <c r="Q322" s="554"/>
      <c r="R322" s="554"/>
      <c r="S322" s="554"/>
      <c r="T322" s="554"/>
      <c r="U322" s="554"/>
      <c r="V322" s="554"/>
      <c r="W322" s="554"/>
      <c r="X322" s="554"/>
      <c r="Y322" s="554"/>
    </row>
    <row r="323" ht="12.75" customHeight="1">
      <c r="A323" s="554"/>
      <c r="B323" s="554"/>
      <c r="C323" s="554"/>
      <c r="D323" s="554"/>
      <c r="E323" s="554"/>
      <c r="F323" s="554"/>
      <c r="G323" s="554"/>
      <c r="H323" s="554"/>
      <c r="I323" s="554"/>
      <c r="J323" s="552"/>
      <c r="K323" s="552"/>
      <c r="L323" s="554"/>
      <c r="M323" s="510"/>
      <c r="N323" s="554"/>
      <c r="O323" s="554"/>
      <c r="P323" s="554"/>
      <c r="Q323" s="554"/>
      <c r="R323" s="554"/>
      <c r="S323" s="554"/>
      <c r="T323" s="554"/>
      <c r="U323" s="554"/>
      <c r="V323" s="554"/>
      <c r="W323" s="554"/>
      <c r="X323" s="554"/>
      <c r="Y323" s="554"/>
    </row>
    <row r="324" ht="12.75" customHeight="1">
      <c r="A324" s="554"/>
      <c r="B324" s="554"/>
      <c r="C324" s="554"/>
      <c r="D324" s="554"/>
      <c r="E324" s="554"/>
      <c r="F324" s="554"/>
      <c r="G324" s="554"/>
      <c r="H324" s="554"/>
      <c r="I324" s="554"/>
      <c r="J324" s="552"/>
      <c r="K324" s="552"/>
      <c r="L324" s="554"/>
      <c r="M324" s="510"/>
      <c r="N324" s="554"/>
      <c r="O324" s="554"/>
      <c r="P324" s="554"/>
      <c r="Q324" s="554"/>
      <c r="R324" s="554"/>
      <c r="S324" s="554"/>
      <c r="T324" s="554"/>
      <c r="U324" s="554"/>
      <c r="V324" s="554"/>
      <c r="W324" s="554"/>
      <c r="X324" s="554"/>
      <c r="Y324" s="554"/>
    </row>
    <row r="325" ht="12.75" customHeight="1">
      <c r="A325" s="554"/>
      <c r="B325" s="554"/>
      <c r="C325" s="554"/>
      <c r="D325" s="554"/>
      <c r="E325" s="554"/>
      <c r="F325" s="554"/>
      <c r="G325" s="554"/>
      <c r="H325" s="554"/>
      <c r="I325" s="554"/>
      <c r="J325" s="552"/>
      <c r="K325" s="552"/>
      <c r="L325" s="554"/>
      <c r="M325" s="510"/>
      <c r="N325" s="554"/>
      <c r="O325" s="554"/>
      <c r="P325" s="554"/>
      <c r="Q325" s="554"/>
      <c r="R325" s="554"/>
      <c r="S325" s="554"/>
      <c r="T325" s="554"/>
      <c r="U325" s="554"/>
      <c r="V325" s="554"/>
      <c r="W325" s="554"/>
      <c r="X325" s="554"/>
      <c r="Y325" s="554"/>
    </row>
    <row r="326" ht="12.75" customHeight="1">
      <c r="A326" s="554"/>
      <c r="B326" s="554"/>
      <c r="C326" s="554"/>
      <c r="D326" s="554"/>
      <c r="E326" s="554"/>
      <c r="F326" s="554"/>
      <c r="G326" s="554"/>
      <c r="H326" s="554"/>
      <c r="I326" s="554"/>
      <c r="J326" s="552"/>
      <c r="K326" s="552"/>
      <c r="L326" s="554"/>
      <c r="M326" s="510"/>
      <c r="N326" s="554"/>
      <c r="O326" s="554"/>
      <c r="P326" s="554"/>
      <c r="Q326" s="554"/>
      <c r="R326" s="554"/>
      <c r="S326" s="554"/>
      <c r="T326" s="554"/>
      <c r="U326" s="554"/>
      <c r="V326" s="554"/>
      <c r="W326" s="554"/>
      <c r="X326" s="554"/>
      <c r="Y326" s="554"/>
    </row>
    <row r="327" ht="12.75" customHeight="1">
      <c r="A327" s="554"/>
      <c r="B327" s="554"/>
      <c r="C327" s="554"/>
      <c r="D327" s="554"/>
      <c r="E327" s="554"/>
      <c r="F327" s="554"/>
      <c r="G327" s="554"/>
      <c r="H327" s="554"/>
      <c r="I327" s="554"/>
      <c r="J327" s="552"/>
      <c r="K327" s="552"/>
      <c r="L327" s="554"/>
      <c r="M327" s="510"/>
      <c r="N327" s="554"/>
      <c r="O327" s="554"/>
      <c r="P327" s="554"/>
      <c r="Q327" s="554"/>
      <c r="R327" s="554"/>
      <c r="S327" s="554"/>
      <c r="T327" s="554"/>
      <c r="U327" s="554"/>
      <c r="V327" s="554"/>
      <c r="W327" s="554"/>
      <c r="X327" s="554"/>
      <c r="Y327" s="554"/>
    </row>
    <row r="328" ht="12.75" customHeight="1">
      <c r="A328" s="554"/>
      <c r="B328" s="554"/>
      <c r="C328" s="554"/>
      <c r="D328" s="554"/>
      <c r="E328" s="554"/>
      <c r="F328" s="554"/>
      <c r="G328" s="554"/>
      <c r="H328" s="554"/>
      <c r="I328" s="554"/>
      <c r="J328" s="552"/>
      <c r="K328" s="552"/>
      <c r="L328" s="554"/>
      <c r="M328" s="510"/>
      <c r="N328" s="554"/>
      <c r="O328" s="554"/>
      <c r="P328" s="554"/>
      <c r="Q328" s="554"/>
      <c r="R328" s="554"/>
      <c r="S328" s="554"/>
      <c r="T328" s="554"/>
      <c r="U328" s="554"/>
      <c r="V328" s="554"/>
      <c r="W328" s="554"/>
      <c r="X328" s="554"/>
      <c r="Y328" s="554"/>
    </row>
    <row r="329" ht="12.75" customHeight="1">
      <c r="A329" s="554"/>
      <c r="B329" s="554"/>
      <c r="C329" s="554"/>
      <c r="D329" s="554"/>
      <c r="E329" s="554"/>
      <c r="F329" s="554"/>
      <c r="G329" s="554"/>
      <c r="H329" s="554"/>
      <c r="I329" s="554"/>
      <c r="J329" s="552"/>
      <c r="K329" s="552"/>
      <c r="L329" s="554"/>
      <c r="M329" s="510"/>
      <c r="N329" s="554"/>
      <c r="O329" s="554"/>
      <c r="P329" s="554"/>
      <c r="Q329" s="554"/>
      <c r="R329" s="554"/>
      <c r="S329" s="554"/>
      <c r="T329" s="554"/>
      <c r="U329" s="554"/>
      <c r="V329" s="554"/>
      <c r="W329" s="554"/>
      <c r="X329" s="554"/>
      <c r="Y329" s="554"/>
    </row>
    <row r="330" ht="12.75" customHeight="1">
      <c r="A330" s="554"/>
      <c r="B330" s="554"/>
      <c r="C330" s="554"/>
      <c r="D330" s="554"/>
      <c r="E330" s="554"/>
      <c r="F330" s="554"/>
      <c r="G330" s="554"/>
      <c r="H330" s="554"/>
      <c r="I330" s="554"/>
      <c r="J330" s="552"/>
      <c r="K330" s="552"/>
      <c r="L330" s="554"/>
      <c r="M330" s="510"/>
      <c r="N330" s="554"/>
      <c r="O330" s="554"/>
      <c r="P330" s="554"/>
      <c r="Q330" s="554"/>
      <c r="R330" s="554"/>
      <c r="S330" s="554"/>
      <c r="T330" s="554"/>
      <c r="U330" s="554"/>
      <c r="V330" s="554"/>
      <c r="W330" s="554"/>
      <c r="X330" s="554"/>
      <c r="Y330" s="554"/>
    </row>
    <row r="331" ht="12.75" customHeight="1">
      <c r="A331" s="554"/>
      <c r="B331" s="554"/>
      <c r="C331" s="554"/>
      <c r="D331" s="554"/>
      <c r="E331" s="554"/>
      <c r="F331" s="554"/>
      <c r="G331" s="554"/>
      <c r="H331" s="554"/>
      <c r="I331" s="554"/>
      <c r="J331" s="552"/>
      <c r="K331" s="552"/>
      <c r="L331" s="554"/>
      <c r="M331" s="510"/>
      <c r="N331" s="554"/>
      <c r="O331" s="554"/>
      <c r="P331" s="554"/>
      <c r="Q331" s="554"/>
      <c r="R331" s="554"/>
      <c r="S331" s="554"/>
      <c r="T331" s="554"/>
      <c r="U331" s="554"/>
      <c r="V331" s="554"/>
      <c r="W331" s="554"/>
      <c r="X331" s="554"/>
      <c r="Y331" s="554"/>
    </row>
    <row r="332" ht="12.75" customHeight="1">
      <c r="A332" s="554"/>
      <c r="B332" s="554"/>
      <c r="C332" s="554"/>
      <c r="D332" s="554"/>
      <c r="E332" s="554"/>
      <c r="F332" s="554"/>
      <c r="G332" s="554"/>
      <c r="H332" s="554"/>
      <c r="I332" s="554"/>
      <c r="J332" s="552"/>
      <c r="K332" s="552"/>
      <c r="L332" s="554"/>
      <c r="M332" s="510"/>
      <c r="N332" s="554"/>
      <c r="O332" s="554"/>
      <c r="P332" s="554"/>
      <c r="Q332" s="554"/>
      <c r="R332" s="554"/>
      <c r="S332" s="554"/>
      <c r="T332" s="554"/>
      <c r="U332" s="554"/>
      <c r="V332" s="554"/>
      <c r="W332" s="554"/>
      <c r="X332" s="554"/>
      <c r="Y332" s="554"/>
    </row>
    <row r="333" ht="12.75" customHeight="1">
      <c r="A333" s="554"/>
      <c r="B333" s="554"/>
      <c r="C333" s="554"/>
      <c r="D333" s="554"/>
      <c r="E333" s="554"/>
      <c r="F333" s="554"/>
      <c r="G333" s="554"/>
      <c r="H333" s="554"/>
      <c r="I333" s="554"/>
      <c r="J333" s="552"/>
      <c r="K333" s="552"/>
      <c r="L333" s="554"/>
      <c r="M333" s="510"/>
      <c r="N333" s="554"/>
      <c r="O333" s="554"/>
      <c r="P333" s="554"/>
      <c r="Q333" s="554"/>
      <c r="R333" s="554"/>
      <c r="S333" s="554"/>
      <c r="T333" s="554"/>
      <c r="U333" s="554"/>
      <c r="V333" s="554"/>
      <c r="W333" s="554"/>
      <c r="X333" s="554"/>
      <c r="Y333" s="554"/>
    </row>
    <row r="334" ht="12.75" customHeight="1">
      <c r="A334" s="554"/>
      <c r="B334" s="554"/>
      <c r="C334" s="554"/>
      <c r="D334" s="554"/>
      <c r="E334" s="554"/>
      <c r="F334" s="554"/>
      <c r="G334" s="554"/>
      <c r="H334" s="554"/>
      <c r="I334" s="554"/>
      <c r="J334" s="552"/>
      <c r="K334" s="552"/>
      <c r="L334" s="554"/>
      <c r="M334" s="510"/>
      <c r="N334" s="554"/>
      <c r="O334" s="554"/>
      <c r="P334" s="554"/>
      <c r="Q334" s="554"/>
      <c r="R334" s="554"/>
      <c r="S334" s="554"/>
      <c r="T334" s="554"/>
      <c r="U334" s="554"/>
      <c r="V334" s="554"/>
      <c r="W334" s="554"/>
      <c r="X334" s="554"/>
      <c r="Y334" s="554"/>
    </row>
    <row r="335" ht="12.75" customHeight="1">
      <c r="A335" s="554"/>
      <c r="B335" s="554"/>
      <c r="C335" s="554"/>
      <c r="D335" s="554"/>
      <c r="E335" s="554"/>
      <c r="F335" s="554"/>
      <c r="G335" s="554"/>
      <c r="H335" s="554"/>
      <c r="I335" s="554"/>
      <c r="J335" s="552"/>
      <c r="K335" s="552"/>
      <c r="L335" s="554"/>
      <c r="M335" s="510"/>
      <c r="N335" s="554"/>
      <c r="O335" s="554"/>
      <c r="P335" s="554"/>
      <c r="Q335" s="554"/>
      <c r="R335" s="554"/>
      <c r="S335" s="554"/>
      <c r="T335" s="554"/>
      <c r="U335" s="554"/>
      <c r="V335" s="554"/>
      <c r="W335" s="554"/>
      <c r="X335" s="554"/>
      <c r="Y335" s="554"/>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Y$136">
    <sortState ref="A2:Y136">
      <sortCondition descending="1" ref="F2:F136"/>
    </sortState>
  </autoFilter>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s>
  <printOptions/>
  <pageMargins bottom="0.75" footer="0.0" header="0.0" left="0.7" right="0.7" top="0.75"/>
  <pageSetup orientation="landscape"/>
  <drawing r:id="rId13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71"/>
    <col customWidth="1" min="2" max="2" width="12.43"/>
    <col customWidth="1" min="3" max="3" width="15.14"/>
    <col customWidth="1" min="4" max="4" width="18.57"/>
    <col customWidth="1" min="5" max="5" width="45.86"/>
    <col customWidth="1" min="6" max="6" width="14.0"/>
    <col customWidth="1" min="7" max="7" width="15.29"/>
    <col customWidth="1" min="8" max="8" width="15.71"/>
    <col customWidth="1" min="9" max="9" width="15.86"/>
    <col customWidth="1" min="10" max="10" width="54.29"/>
    <col customWidth="1" min="11" max="11" width="14.0"/>
    <col customWidth="1" min="12" max="12" width="13.14"/>
    <col customWidth="1" min="13" max="13" width="40.43"/>
    <col customWidth="1" min="14" max="14" width="12.86"/>
    <col customWidth="1" min="15" max="15" width="15.43"/>
    <col customWidth="1" min="17" max="17" width="14.71"/>
    <col customWidth="1" min="18" max="18" width="16.29"/>
    <col customWidth="1" min="19" max="19" width="17.14"/>
  </cols>
  <sheetData>
    <row r="1" ht="51.0" customHeight="1">
      <c r="A1" s="269"/>
      <c r="B1" s="421" t="s">
        <v>6313</v>
      </c>
      <c r="C1" s="269"/>
      <c r="D1" s="358" t="s">
        <v>6314</v>
      </c>
      <c r="E1" s="270" t="s">
        <v>3</v>
      </c>
      <c r="F1" s="269" t="s">
        <v>4630</v>
      </c>
      <c r="G1" s="269" t="s">
        <v>7400</v>
      </c>
      <c r="H1" s="269" t="s">
        <v>9156</v>
      </c>
      <c r="I1" s="367" t="s">
        <v>2107</v>
      </c>
      <c r="J1" s="269"/>
      <c r="K1" s="359"/>
      <c r="L1" s="359"/>
      <c r="M1" s="570"/>
      <c r="N1" s="269"/>
      <c r="O1" s="269"/>
      <c r="P1" s="275"/>
      <c r="Q1" s="423"/>
      <c r="R1" s="521"/>
      <c r="S1" s="571"/>
      <c r="T1" s="364"/>
      <c r="U1" s="364"/>
      <c r="V1" s="364"/>
      <c r="W1" s="364"/>
      <c r="X1" s="364"/>
      <c r="Y1" s="364"/>
      <c r="Z1" s="364"/>
    </row>
    <row r="2" ht="51.0" customHeight="1">
      <c r="A2" s="277" t="s">
        <v>7</v>
      </c>
      <c r="B2" s="278" t="s">
        <v>6316</v>
      </c>
      <c r="C2" s="277" t="s">
        <v>6317</v>
      </c>
      <c r="D2" s="277" t="s">
        <v>10</v>
      </c>
      <c r="E2" s="279" t="s">
        <v>11</v>
      </c>
      <c r="F2" s="285" t="s">
        <v>9157</v>
      </c>
      <c r="G2" s="277" t="s">
        <v>12</v>
      </c>
      <c r="H2" s="277" t="s">
        <v>12</v>
      </c>
      <c r="I2" s="277" t="s">
        <v>9158</v>
      </c>
      <c r="J2" s="277" t="s">
        <v>9159</v>
      </c>
      <c r="K2" s="522" t="s">
        <v>2111</v>
      </c>
      <c r="L2" s="522" t="s">
        <v>2112</v>
      </c>
      <c r="M2" s="277" t="s">
        <v>2113</v>
      </c>
      <c r="N2" s="277" t="s">
        <v>493</v>
      </c>
      <c r="O2" s="277" t="s">
        <v>1025</v>
      </c>
      <c r="P2" s="283" t="s">
        <v>2523</v>
      </c>
      <c r="Q2" s="299" t="s">
        <v>9160</v>
      </c>
      <c r="R2" s="299" t="s">
        <v>9161</v>
      </c>
      <c r="S2" s="299" t="s">
        <v>9162</v>
      </c>
      <c r="T2" s="366"/>
      <c r="U2" s="366"/>
      <c r="V2" s="366"/>
      <c r="W2" s="366"/>
      <c r="X2" s="366"/>
      <c r="Y2" s="366"/>
      <c r="Z2" s="366"/>
    </row>
    <row r="3" ht="91.5" customHeight="1">
      <c r="A3" s="370">
        <v>41395.0</v>
      </c>
      <c r="B3" s="292" t="s">
        <v>715</v>
      </c>
      <c r="C3" s="299">
        <v>1000.0</v>
      </c>
      <c r="D3" s="285" t="s">
        <v>10482</v>
      </c>
      <c r="E3" s="287" t="s">
        <v>10483</v>
      </c>
      <c r="F3" s="288">
        <v>46022.0</v>
      </c>
      <c r="G3" s="288">
        <v>46027.0</v>
      </c>
      <c r="H3" s="288">
        <v>46027.0</v>
      </c>
      <c r="I3" s="288">
        <v>46029.0</v>
      </c>
      <c r="J3" s="288">
        <v>46029.0</v>
      </c>
      <c r="K3" s="285"/>
      <c r="L3" s="485"/>
      <c r="M3" s="290" t="s">
        <v>10484</v>
      </c>
      <c r="N3" s="299" t="s">
        <v>4635</v>
      </c>
      <c r="O3" s="322" t="s">
        <v>2621</v>
      </c>
      <c r="P3" s="300">
        <v>33795.5</v>
      </c>
      <c r="Q3" s="299">
        <f t="shared" ref="Q3:Q209" si="1">WEEKNUM($F3)</f>
        <v>53</v>
      </c>
      <c r="R3" s="299"/>
      <c r="S3" s="299" t="s">
        <v>8430</v>
      </c>
      <c r="T3" s="198"/>
      <c r="U3" s="198"/>
      <c r="V3" s="198"/>
      <c r="W3" s="198"/>
      <c r="X3" s="198"/>
      <c r="Y3" s="198"/>
      <c r="Z3" s="198"/>
    </row>
    <row r="4" ht="91.5" customHeight="1">
      <c r="A4" s="370">
        <v>41739.0</v>
      </c>
      <c r="B4" s="285" t="s">
        <v>25</v>
      </c>
      <c r="C4" s="285">
        <v>465.0</v>
      </c>
      <c r="D4" s="285" t="s">
        <v>10485</v>
      </c>
      <c r="E4" s="287" t="s">
        <v>4641</v>
      </c>
      <c r="F4" s="288">
        <v>46021.0</v>
      </c>
      <c r="G4" s="288">
        <v>46022.0</v>
      </c>
      <c r="H4" s="288">
        <v>46022.0</v>
      </c>
      <c r="I4" s="288">
        <v>46028.0</v>
      </c>
      <c r="J4" s="288">
        <v>46028.0</v>
      </c>
      <c r="K4" s="285"/>
      <c r="L4" s="485"/>
      <c r="M4" s="290" t="s">
        <v>10486</v>
      </c>
      <c r="N4" s="299" t="s">
        <v>497</v>
      </c>
      <c r="O4" s="322" t="s">
        <v>2628</v>
      </c>
      <c r="P4" s="300">
        <v>29688.0</v>
      </c>
      <c r="Q4" s="299">
        <f t="shared" si="1"/>
        <v>53</v>
      </c>
      <c r="R4" s="299"/>
      <c r="S4" s="299" t="s">
        <v>10487</v>
      </c>
      <c r="T4" s="198"/>
      <c r="U4" s="198"/>
      <c r="V4" s="198"/>
      <c r="W4" s="198"/>
      <c r="X4" s="198"/>
      <c r="Y4" s="198"/>
      <c r="Z4" s="198"/>
    </row>
    <row r="5" ht="91.5" customHeight="1">
      <c r="A5" s="370">
        <v>41796.0</v>
      </c>
      <c r="B5" s="292" t="s">
        <v>715</v>
      </c>
      <c r="C5" s="299">
        <v>1000.0</v>
      </c>
      <c r="D5" s="285" t="s">
        <v>10488</v>
      </c>
      <c r="E5" s="287" t="s">
        <v>3812</v>
      </c>
      <c r="F5" s="288">
        <v>46017.0</v>
      </c>
      <c r="G5" s="288">
        <v>46013.0</v>
      </c>
      <c r="H5" s="288">
        <v>46013.0</v>
      </c>
      <c r="I5" s="288">
        <v>46387.0</v>
      </c>
      <c r="J5" s="288">
        <v>46022.0</v>
      </c>
      <c r="K5" s="285"/>
      <c r="L5" s="485"/>
      <c r="M5" s="290" t="s">
        <v>10489</v>
      </c>
      <c r="N5" s="299" t="s">
        <v>6366</v>
      </c>
      <c r="O5" s="322" t="s">
        <v>4662</v>
      </c>
      <c r="P5" s="300">
        <v>59521.0</v>
      </c>
      <c r="Q5" s="299">
        <f t="shared" si="1"/>
        <v>52</v>
      </c>
      <c r="R5" s="299"/>
      <c r="S5" s="299" t="s">
        <v>10487</v>
      </c>
      <c r="T5" s="198"/>
      <c r="U5" s="198"/>
      <c r="V5" s="198"/>
      <c r="W5" s="198"/>
      <c r="X5" s="198"/>
      <c r="Y5" s="198"/>
      <c r="Z5" s="198"/>
    </row>
    <row r="6" ht="91.5" customHeight="1">
      <c r="A6" s="370">
        <v>41495.0</v>
      </c>
      <c r="B6" s="292" t="s">
        <v>25</v>
      </c>
      <c r="C6" s="299">
        <v>5000.0</v>
      </c>
      <c r="D6" s="285" t="s">
        <v>10490</v>
      </c>
      <c r="E6" s="287" t="s">
        <v>10491</v>
      </c>
      <c r="F6" s="288">
        <v>46017.0</v>
      </c>
      <c r="G6" s="288">
        <v>46012.0</v>
      </c>
      <c r="H6" s="288">
        <v>46012.0</v>
      </c>
      <c r="I6" s="288">
        <v>46022.0</v>
      </c>
      <c r="J6" s="288">
        <v>46022.0</v>
      </c>
      <c r="K6" s="285"/>
      <c r="L6" s="485"/>
      <c r="M6" s="290" t="s">
        <v>10492</v>
      </c>
      <c r="N6" s="299" t="s">
        <v>4635</v>
      </c>
      <c r="O6" s="322" t="s">
        <v>2621</v>
      </c>
      <c r="P6" s="300">
        <v>45119.0</v>
      </c>
      <c r="Q6" s="299">
        <f t="shared" si="1"/>
        <v>52</v>
      </c>
      <c r="R6" s="299"/>
      <c r="S6" s="299" t="s">
        <v>10487</v>
      </c>
      <c r="T6" s="198"/>
      <c r="U6" s="198"/>
      <c r="V6" s="198"/>
      <c r="W6" s="198"/>
      <c r="X6" s="198"/>
      <c r="Y6" s="198"/>
      <c r="Z6" s="198"/>
    </row>
    <row r="7" ht="91.5" customHeight="1">
      <c r="A7" s="370">
        <v>41272.0</v>
      </c>
      <c r="B7" s="292" t="s">
        <v>25</v>
      </c>
      <c r="C7" s="299">
        <v>2111.0</v>
      </c>
      <c r="D7" s="285" t="s">
        <v>10493</v>
      </c>
      <c r="E7" s="287" t="s">
        <v>10494</v>
      </c>
      <c r="F7" s="288">
        <v>46017.0</v>
      </c>
      <c r="G7" s="288">
        <v>46012.0</v>
      </c>
      <c r="H7" s="288">
        <v>46012.0</v>
      </c>
      <c r="I7" s="288">
        <v>46028.0</v>
      </c>
      <c r="J7" s="288">
        <v>46028.0</v>
      </c>
      <c r="K7" s="285"/>
      <c r="L7" s="485"/>
      <c r="M7" s="290" t="s">
        <v>10495</v>
      </c>
      <c r="N7" s="299" t="s">
        <v>497</v>
      </c>
      <c r="O7" s="322" t="s">
        <v>2604</v>
      </c>
      <c r="P7" s="300">
        <v>65689.3</v>
      </c>
      <c r="Q7" s="299">
        <f t="shared" si="1"/>
        <v>52</v>
      </c>
      <c r="R7" s="299"/>
      <c r="S7" s="299" t="s">
        <v>10487</v>
      </c>
      <c r="T7" s="198"/>
      <c r="U7" s="198"/>
      <c r="V7" s="198"/>
      <c r="W7" s="198"/>
      <c r="X7" s="198"/>
      <c r="Y7" s="198"/>
      <c r="Z7" s="198"/>
    </row>
    <row r="8" ht="91.5" customHeight="1">
      <c r="A8" s="370">
        <v>41271.0</v>
      </c>
      <c r="B8" s="292" t="s">
        <v>25</v>
      </c>
      <c r="C8" s="299">
        <v>1991.0</v>
      </c>
      <c r="D8" s="285" t="s">
        <v>10496</v>
      </c>
      <c r="E8" s="287" t="s">
        <v>10497</v>
      </c>
      <c r="F8" s="288">
        <v>46017.0</v>
      </c>
      <c r="G8" s="288">
        <v>46012.0</v>
      </c>
      <c r="H8" s="288">
        <v>46012.0</v>
      </c>
      <c r="I8" s="288">
        <v>46022.0</v>
      </c>
      <c r="J8" s="288">
        <v>46022.0</v>
      </c>
      <c r="K8" s="285"/>
      <c r="L8" s="485"/>
      <c r="M8" s="290" t="s">
        <v>10498</v>
      </c>
      <c r="N8" s="299" t="s">
        <v>497</v>
      </c>
      <c r="O8" s="322" t="s">
        <v>2604</v>
      </c>
      <c r="P8" s="300">
        <v>61441.0</v>
      </c>
      <c r="Q8" s="299">
        <f t="shared" si="1"/>
        <v>52</v>
      </c>
      <c r="R8" s="299"/>
      <c r="S8" s="299" t="s">
        <v>10487</v>
      </c>
      <c r="T8" s="198"/>
      <c r="U8" s="198"/>
      <c r="V8" s="198"/>
      <c r="W8" s="198"/>
      <c r="X8" s="198"/>
      <c r="Y8" s="198"/>
      <c r="Z8" s="198"/>
    </row>
    <row r="9" ht="91.5" customHeight="1">
      <c r="A9" s="370">
        <v>41206.0</v>
      </c>
      <c r="B9" s="292" t="s">
        <v>715</v>
      </c>
      <c r="C9" s="299">
        <v>1870.0</v>
      </c>
      <c r="D9" s="285" t="s">
        <v>10499</v>
      </c>
      <c r="E9" s="287" t="s">
        <v>3812</v>
      </c>
      <c r="F9" s="288">
        <v>46017.0</v>
      </c>
      <c r="G9" s="288">
        <v>46013.0</v>
      </c>
      <c r="H9" s="288">
        <v>46013.0</v>
      </c>
      <c r="I9" s="288">
        <v>46028.0</v>
      </c>
      <c r="J9" s="288">
        <v>46028.0</v>
      </c>
      <c r="K9" s="285"/>
      <c r="L9" s="485"/>
      <c r="M9" s="290" t="s">
        <v>10500</v>
      </c>
      <c r="N9" s="299" t="s">
        <v>6366</v>
      </c>
      <c r="O9" s="322" t="s">
        <v>4662</v>
      </c>
      <c r="P9" s="300">
        <v>132470.0</v>
      </c>
      <c r="Q9" s="299">
        <f t="shared" si="1"/>
        <v>52</v>
      </c>
      <c r="R9" s="299"/>
      <c r="S9" s="299" t="s">
        <v>10487</v>
      </c>
      <c r="T9" s="198"/>
      <c r="U9" s="198"/>
      <c r="V9" s="198"/>
      <c r="W9" s="198"/>
      <c r="X9" s="198"/>
      <c r="Y9" s="198"/>
      <c r="Z9" s="198"/>
    </row>
    <row r="10" ht="91.5" customHeight="1">
      <c r="A10" s="370">
        <v>41447.0</v>
      </c>
      <c r="B10" s="292" t="s">
        <v>6501</v>
      </c>
      <c r="C10" s="299">
        <v>940.0</v>
      </c>
      <c r="D10" s="285" t="s">
        <v>10501</v>
      </c>
      <c r="E10" s="287" t="s">
        <v>10502</v>
      </c>
      <c r="F10" s="288">
        <v>46015.0</v>
      </c>
      <c r="G10" s="288">
        <v>46014.0</v>
      </c>
      <c r="H10" s="288">
        <v>46014.0</v>
      </c>
      <c r="I10" s="288">
        <v>46028.0</v>
      </c>
      <c r="J10" s="288">
        <v>46028.0</v>
      </c>
      <c r="K10" s="285"/>
      <c r="L10" s="485"/>
      <c r="M10" s="290" t="s">
        <v>10503</v>
      </c>
      <c r="N10" s="299" t="s">
        <v>4635</v>
      </c>
      <c r="O10" s="322" t="s">
        <v>2621</v>
      </c>
      <c r="P10" s="300">
        <v>45405.2</v>
      </c>
      <c r="Q10" s="299">
        <f t="shared" si="1"/>
        <v>52</v>
      </c>
      <c r="R10" s="299"/>
      <c r="S10" s="299" t="s">
        <v>8430</v>
      </c>
      <c r="T10" s="198"/>
      <c r="U10" s="198"/>
      <c r="V10" s="198"/>
      <c r="W10" s="198"/>
      <c r="X10" s="198"/>
      <c r="Y10" s="198"/>
      <c r="Z10" s="198"/>
    </row>
    <row r="11" ht="91.5" customHeight="1">
      <c r="A11" s="370">
        <v>41721.0</v>
      </c>
      <c r="B11" s="292" t="s">
        <v>715</v>
      </c>
      <c r="C11" s="299">
        <v>4355.0</v>
      </c>
      <c r="D11" s="285" t="s">
        <v>10504</v>
      </c>
      <c r="E11" s="287" t="s">
        <v>10505</v>
      </c>
      <c r="F11" s="288">
        <v>46013.0</v>
      </c>
      <c r="G11" s="288">
        <v>46008.0</v>
      </c>
      <c r="H11" s="288">
        <v>46008.0</v>
      </c>
      <c r="I11" s="288">
        <v>46021.0</v>
      </c>
      <c r="J11" s="288">
        <v>46021.0</v>
      </c>
      <c r="K11" s="285"/>
      <c r="L11" s="485"/>
      <c r="M11" s="290" t="s">
        <v>10506</v>
      </c>
      <c r="N11" s="299" t="s">
        <v>497</v>
      </c>
      <c r="O11" s="322" t="s">
        <v>2554</v>
      </c>
      <c r="P11" s="300">
        <v>30049.5</v>
      </c>
      <c r="Q11" s="299">
        <f t="shared" si="1"/>
        <v>52</v>
      </c>
      <c r="R11" s="299" t="s">
        <v>9198</v>
      </c>
      <c r="S11" s="299" t="s">
        <v>9171</v>
      </c>
      <c r="T11" s="198"/>
      <c r="U11" s="198"/>
      <c r="V11" s="198"/>
      <c r="W11" s="198"/>
      <c r="X11" s="198"/>
      <c r="Y11" s="198"/>
      <c r="Z11" s="198"/>
    </row>
    <row r="12" ht="91.5" customHeight="1">
      <c r="A12" s="370">
        <v>41643.0</v>
      </c>
      <c r="B12" s="292" t="s">
        <v>715</v>
      </c>
      <c r="C12" s="299">
        <v>2391.0</v>
      </c>
      <c r="D12" s="285" t="s">
        <v>10507</v>
      </c>
      <c r="E12" s="287" t="s">
        <v>10508</v>
      </c>
      <c r="F12" s="288">
        <v>46013.0</v>
      </c>
      <c r="G12" s="288">
        <v>46008.0</v>
      </c>
      <c r="H12" s="288">
        <v>46008.0</v>
      </c>
      <c r="I12" s="288">
        <v>46020.0</v>
      </c>
      <c r="J12" s="288">
        <v>46020.0</v>
      </c>
      <c r="K12" s="285"/>
      <c r="L12" s="485"/>
      <c r="M12" s="290" t="s">
        <v>10509</v>
      </c>
      <c r="N12" s="299" t="s">
        <v>497</v>
      </c>
      <c r="O12" s="322" t="s">
        <v>2554</v>
      </c>
      <c r="P12" s="300">
        <v>41418.7</v>
      </c>
      <c r="Q12" s="299">
        <f t="shared" si="1"/>
        <v>52</v>
      </c>
      <c r="R12" s="299" t="s">
        <v>9170</v>
      </c>
      <c r="S12" s="299" t="s">
        <v>9171</v>
      </c>
      <c r="T12" s="198"/>
      <c r="U12" s="198"/>
      <c r="V12" s="198"/>
      <c r="W12" s="198"/>
      <c r="X12" s="198"/>
      <c r="Y12" s="198"/>
      <c r="Z12" s="198"/>
    </row>
    <row r="13" ht="91.5" customHeight="1">
      <c r="A13" s="370">
        <v>41427.0</v>
      </c>
      <c r="B13" s="292" t="s">
        <v>25</v>
      </c>
      <c r="C13" s="299">
        <v>1030.0</v>
      </c>
      <c r="D13" s="285" t="s">
        <v>10510</v>
      </c>
      <c r="E13" s="287" t="s">
        <v>10511</v>
      </c>
      <c r="F13" s="288">
        <v>46010.0</v>
      </c>
      <c r="G13" s="288">
        <v>46007.0</v>
      </c>
      <c r="H13" s="288">
        <v>46007.0</v>
      </c>
      <c r="I13" s="288">
        <v>46015.0</v>
      </c>
      <c r="J13" s="285" t="s">
        <v>10512</v>
      </c>
      <c r="K13" s="285"/>
      <c r="L13" s="485"/>
      <c r="M13" s="290" t="s">
        <v>10513</v>
      </c>
      <c r="N13" s="299" t="s">
        <v>4635</v>
      </c>
      <c r="O13" s="322" t="s">
        <v>2621</v>
      </c>
      <c r="P13" s="300">
        <v>36574.5</v>
      </c>
      <c r="Q13" s="299">
        <f t="shared" si="1"/>
        <v>51</v>
      </c>
      <c r="R13" s="299"/>
      <c r="S13" s="299" t="s">
        <v>8430</v>
      </c>
      <c r="T13" s="198"/>
      <c r="U13" s="198"/>
      <c r="V13" s="198"/>
      <c r="W13" s="198"/>
      <c r="X13" s="198"/>
      <c r="Y13" s="198"/>
      <c r="Z13" s="198"/>
    </row>
    <row r="14" ht="97.5" customHeight="1">
      <c r="A14" s="370">
        <v>41446.0</v>
      </c>
      <c r="B14" s="292" t="s">
        <v>6501</v>
      </c>
      <c r="C14" s="299">
        <v>940.0</v>
      </c>
      <c r="D14" s="285" t="s">
        <v>10514</v>
      </c>
      <c r="E14" s="287" t="s">
        <v>10515</v>
      </c>
      <c r="F14" s="288">
        <v>46009.0</v>
      </c>
      <c r="G14" s="288">
        <v>46028.0</v>
      </c>
      <c r="H14" s="288">
        <v>46021.0</v>
      </c>
      <c r="I14" s="288">
        <v>46021.0</v>
      </c>
      <c r="J14" s="288">
        <v>46021.0</v>
      </c>
      <c r="K14" s="285"/>
      <c r="L14" s="485"/>
      <c r="M14" s="290" t="s">
        <v>10516</v>
      </c>
      <c r="N14" s="299" t="s">
        <v>4635</v>
      </c>
      <c r="O14" s="322" t="s">
        <v>2621</v>
      </c>
      <c r="P14" s="300">
        <v>39633.6</v>
      </c>
      <c r="Q14" s="299">
        <f t="shared" si="1"/>
        <v>51</v>
      </c>
      <c r="R14" s="299"/>
      <c r="S14" s="299" t="s">
        <v>8430</v>
      </c>
      <c r="T14" s="198"/>
      <c r="U14" s="198"/>
      <c r="V14" s="198"/>
      <c r="W14" s="198"/>
      <c r="X14" s="198"/>
      <c r="Y14" s="198"/>
      <c r="Z14" s="198"/>
    </row>
    <row r="15" ht="91.5" customHeight="1">
      <c r="A15" s="370">
        <v>41394.0</v>
      </c>
      <c r="B15" s="292" t="s">
        <v>715</v>
      </c>
      <c r="C15" s="299">
        <v>1000.0</v>
      </c>
      <c r="D15" s="285" t="s">
        <v>10517</v>
      </c>
      <c r="E15" s="287" t="s">
        <v>10518</v>
      </c>
      <c r="F15" s="288">
        <v>46009.0</v>
      </c>
      <c r="G15" s="288">
        <v>46014.0</v>
      </c>
      <c r="H15" s="288">
        <v>46014.0</v>
      </c>
      <c r="I15" s="288">
        <v>46014.0</v>
      </c>
      <c r="J15" s="288">
        <v>46014.0</v>
      </c>
      <c r="K15" s="285"/>
      <c r="L15" s="485"/>
      <c r="M15" s="290" t="s">
        <v>10519</v>
      </c>
      <c r="N15" s="299" t="s">
        <v>4635</v>
      </c>
      <c r="O15" s="322" t="s">
        <v>2621</v>
      </c>
      <c r="P15" s="300">
        <v>33562.0</v>
      </c>
      <c r="Q15" s="299">
        <f t="shared" si="1"/>
        <v>51</v>
      </c>
      <c r="R15" s="299"/>
      <c r="S15" s="299" t="s">
        <v>8430</v>
      </c>
      <c r="T15" s="198"/>
      <c r="U15" s="198"/>
      <c r="V15" s="198"/>
      <c r="W15" s="198"/>
      <c r="X15" s="198"/>
      <c r="Y15" s="198"/>
      <c r="Z15" s="198"/>
    </row>
    <row r="16" ht="91.5" customHeight="1">
      <c r="A16" s="370">
        <v>41557.0</v>
      </c>
      <c r="B16" s="285" t="s">
        <v>21</v>
      </c>
      <c r="C16" s="299">
        <v>2081.0</v>
      </c>
      <c r="D16" s="285" t="s">
        <v>10520</v>
      </c>
      <c r="E16" s="287" t="s">
        <v>10521</v>
      </c>
      <c r="F16" s="288">
        <v>46008.0</v>
      </c>
      <c r="G16" s="288">
        <v>46005.0</v>
      </c>
      <c r="H16" s="288">
        <v>46005.0</v>
      </c>
      <c r="I16" s="288">
        <v>46015.0</v>
      </c>
      <c r="J16" s="288">
        <v>46015.0</v>
      </c>
      <c r="K16" s="285" t="s">
        <v>10522</v>
      </c>
      <c r="L16" s="572" t="s">
        <v>9178</v>
      </c>
      <c r="M16" s="290" t="s">
        <v>10523</v>
      </c>
      <c r="N16" s="299" t="s">
        <v>6366</v>
      </c>
      <c r="O16" s="322" t="s">
        <v>2621</v>
      </c>
      <c r="P16" s="300">
        <v>44149.0</v>
      </c>
      <c r="Q16" s="299">
        <f t="shared" si="1"/>
        <v>51</v>
      </c>
      <c r="R16" s="299"/>
      <c r="S16" s="299" t="s">
        <v>10487</v>
      </c>
      <c r="T16" s="198"/>
      <c r="U16" s="198"/>
      <c r="V16" s="198"/>
      <c r="W16" s="198"/>
      <c r="X16" s="198"/>
      <c r="Y16" s="198"/>
      <c r="Z16" s="198"/>
    </row>
    <row r="17" ht="91.5" customHeight="1">
      <c r="A17" s="370">
        <v>41452.0</v>
      </c>
      <c r="B17" s="292" t="s">
        <v>715</v>
      </c>
      <c r="C17" s="299">
        <v>2413.0</v>
      </c>
      <c r="D17" s="285" t="s">
        <v>10524</v>
      </c>
      <c r="E17" s="287" t="s">
        <v>10525</v>
      </c>
      <c r="F17" s="288">
        <v>46008.0</v>
      </c>
      <c r="G17" s="288">
        <v>46002.0</v>
      </c>
      <c r="H17" s="288">
        <v>46002.0</v>
      </c>
      <c r="I17" s="288">
        <v>46013.0</v>
      </c>
      <c r="J17" s="288">
        <v>46013.0</v>
      </c>
      <c r="K17" s="285"/>
      <c r="L17" s="485"/>
      <c r="M17" s="290" t="s">
        <v>10526</v>
      </c>
      <c r="N17" s="299" t="s">
        <v>497</v>
      </c>
      <c r="O17" s="322" t="s">
        <v>2554</v>
      </c>
      <c r="P17" s="300">
        <v>43434.0</v>
      </c>
      <c r="Q17" s="299">
        <f t="shared" si="1"/>
        <v>51</v>
      </c>
      <c r="R17" s="299" t="s">
        <v>9198</v>
      </c>
      <c r="S17" s="299" t="s">
        <v>9171</v>
      </c>
      <c r="T17" s="198"/>
      <c r="U17" s="198"/>
      <c r="V17" s="198"/>
      <c r="W17" s="198"/>
      <c r="X17" s="198"/>
      <c r="Y17" s="198"/>
      <c r="Z17" s="198"/>
    </row>
    <row r="18" ht="91.5" customHeight="1">
      <c r="A18" s="370">
        <v>41393.0</v>
      </c>
      <c r="B18" s="292" t="s">
        <v>715</v>
      </c>
      <c r="C18" s="299">
        <v>1000.0</v>
      </c>
      <c r="D18" s="285" t="s">
        <v>10527</v>
      </c>
      <c r="E18" s="287" t="s">
        <v>10528</v>
      </c>
      <c r="F18" s="288">
        <v>46006.0</v>
      </c>
      <c r="G18" s="288">
        <v>46007.0</v>
      </c>
      <c r="H18" s="288">
        <v>46007.0</v>
      </c>
      <c r="I18" s="288">
        <v>46009.0</v>
      </c>
      <c r="J18" s="288">
        <v>46009.0</v>
      </c>
      <c r="K18" s="285"/>
      <c r="L18" s="485"/>
      <c r="M18" s="290" t="s">
        <v>10529</v>
      </c>
      <c r="N18" s="299" t="s">
        <v>4635</v>
      </c>
      <c r="O18" s="322" t="s">
        <v>2621</v>
      </c>
      <c r="P18" s="300">
        <v>34814.0</v>
      </c>
      <c r="Q18" s="299">
        <f t="shared" si="1"/>
        <v>51</v>
      </c>
      <c r="R18" s="299"/>
      <c r="S18" s="299" t="s">
        <v>8430</v>
      </c>
      <c r="T18" s="198"/>
      <c r="U18" s="198"/>
      <c r="V18" s="198"/>
      <c r="W18" s="198"/>
      <c r="X18" s="198"/>
      <c r="Y18" s="198"/>
      <c r="Z18" s="198"/>
    </row>
    <row r="19" ht="91.5" customHeight="1">
      <c r="A19" s="370">
        <v>41494.0</v>
      </c>
      <c r="B19" s="285" t="s">
        <v>21</v>
      </c>
      <c r="C19" s="299">
        <v>5280.0</v>
      </c>
      <c r="D19" s="285" t="s">
        <v>10530</v>
      </c>
      <c r="E19" s="287" t="s">
        <v>10531</v>
      </c>
      <c r="F19" s="288">
        <v>46005.0</v>
      </c>
      <c r="G19" s="288">
        <v>46001.0</v>
      </c>
      <c r="H19" s="288">
        <v>46001.0</v>
      </c>
      <c r="I19" s="288">
        <v>46008.0</v>
      </c>
      <c r="J19" s="285" t="s">
        <v>10532</v>
      </c>
      <c r="K19" s="285" t="s">
        <v>10533</v>
      </c>
      <c r="L19" s="572" t="s">
        <v>9178</v>
      </c>
      <c r="M19" s="290" t="s">
        <v>10534</v>
      </c>
      <c r="N19" s="299" t="s">
        <v>4635</v>
      </c>
      <c r="O19" s="322" t="s">
        <v>2621</v>
      </c>
      <c r="P19" s="300">
        <v>45254.2</v>
      </c>
      <c r="Q19" s="299">
        <f t="shared" si="1"/>
        <v>51</v>
      </c>
      <c r="R19" s="299"/>
      <c r="S19" s="299" t="s">
        <v>10487</v>
      </c>
      <c r="T19" s="198"/>
      <c r="U19" s="198"/>
      <c r="V19" s="198"/>
      <c r="W19" s="198"/>
      <c r="X19" s="198"/>
      <c r="Y19" s="198"/>
      <c r="Z19" s="198"/>
    </row>
    <row r="20" ht="91.5" customHeight="1">
      <c r="A20" s="370">
        <v>41217.0</v>
      </c>
      <c r="B20" s="285" t="s">
        <v>21</v>
      </c>
      <c r="C20" s="299">
        <v>4502.0</v>
      </c>
      <c r="D20" s="285" t="s">
        <v>10535</v>
      </c>
      <c r="E20" s="287" t="s">
        <v>10536</v>
      </c>
      <c r="F20" s="288">
        <v>46003.0</v>
      </c>
      <c r="G20" s="288">
        <v>45998.0</v>
      </c>
      <c r="H20" s="288">
        <v>45998.0</v>
      </c>
      <c r="I20" s="288">
        <v>46009.0</v>
      </c>
      <c r="J20" s="288">
        <v>46009.0</v>
      </c>
      <c r="K20" s="285" t="s">
        <v>5270</v>
      </c>
      <c r="L20" s="572" t="s">
        <v>9178</v>
      </c>
      <c r="M20" s="290" t="s">
        <v>10537</v>
      </c>
      <c r="N20" s="299" t="s">
        <v>497</v>
      </c>
      <c r="O20" s="322" t="s">
        <v>2554</v>
      </c>
      <c r="P20" s="300">
        <v>30757.0</v>
      </c>
      <c r="Q20" s="299">
        <f t="shared" si="1"/>
        <v>50</v>
      </c>
      <c r="R20" s="299" t="s">
        <v>9170</v>
      </c>
      <c r="S20" s="299" t="s">
        <v>9171</v>
      </c>
      <c r="T20" s="198"/>
      <c r="U20" s="198"/>
      <c r="V20" s="198"/>
      <c r="W20" s="198"/>
      <c r="X20" s="198"/>
      <c r="Y20" s="198"/>
      <c r="Z20" s="198"/>
    </row>
    <row r="21" ht="91.5" customHeight="1">
      <c r="A21" s="370">
        <v>41216.0</v>
      </c>
      <c r="B21" s="285" t="s">
        <v>21</v>
      </c>
      <c r="C21" s="299">
        <v>5251.0</v>
      </c>
      <c r="D21" s="285" t="s">
        <v>10538</v>
      </c>
      <c r="E21" s="287" t="s">
        <v>10539</v>
      </c>
      <c r="F21" s="288">
        <v>46003.0</v>
      </c>
      <c r="G21" s="288">
        <v>45998.0</v>
      </c>
      <c r="H21" s="288">
        <v>45998.0</v>
      </c>
      <c r="I21" s="288">
        <v>46009.0</v>
      </c>
      <c r="J21" s="288">
        <v>46009.0</v>
      </c>
      <c r="K21" s="285" t="s">
        <v>5270</v>
      </c>
      <c r="L21" s="572" t="s">
        <v>9178</v>
      </c>
      <c r="M21" s="290" t="s">
        <v>10540</v>
      </c>
      <c r="N21" s="299" t="s">
        <v>497</v>
      </c>
      <c r="O21" s="322" t="s">
        <v>2554</v>
      </c>
      <c r="P21" s="300">
        <v>26250.0</v>
      </c>
      <c r="Q21" s="299">
        <f t="shared" si="1"/>
        <v>50</v>
      </c>
      <c r="R21" s="299" t="s">
        <v>9170</v>
      </c>
      <c r="S21" s="299" t="s">
        <v>9171</v>
      </c>
      <c r="T21" s="198"/>
      <c r="U21" s="198"/>
      <c r="V21" s="198"/>
      <c r="W21" s="198"/>
      <c r="X21" s="198"/>
      <c r="Y21" s="198"/>
      <c r="Z21" s="198"/>
    </row>
    <row r="22" ht="91.5" customHeight="1">
      <c r="A22" s="370">
        <v>41482.0</v>
      </c>
      <c r="B22" s="292" t="s">
        <v>715</v>
      </c>
      <c r="C22" s="299">
        <v>5222.0</v>
      </c>
      <c r="D22" s="285" t="s">
        <v>10541</v>
      </c>
      <c r="E22" s="287" t="s">
        <v>10542</v>
      </c>
      <c r="F22" s="288">
        <v>46003.0</v>
      </c>
      <c r="G22" s="288">
        <v>46001.0</v>
      </c>
      <c r="H22" s="288">
        <v>46001.0</v>
      </c>
      <c r="I22" s="288">
        <v>46007.0</v>
      </c>
      <c r="J22" s="288">
        <v>46007.0</v>
      </c>
      <c r="K22" s="285"/>
      <c r="L22" s="485"/>
      <c r="M22" s="290" t="s">
        <v>10543</v>
      </c>
      <c r="N22" s="299" t="s">
        <v>4635</v>
      </c>
      <c r="O22" s="322" t="s">
        <v>2621</v>
      </c>
      <c r="P22" s="300">
        <v>46628.96</v>
      </c>
      <c r="Q22" s="299">
        <f t="shared" si="1"/>
        <v>50</v>
      </c>
      <c r="R22" s="299"/>
      <c r="S22" s="299" t="s">
        <v>10487</v>
      </c>
      <c r="T22" s="198"/>
      <c r="U22" s="198"/>
      <c r="V22" s="198"/>
      <c r="W22" s="198"/>
      <c r="X22" s="198"/>
      <c r="Y22" s="198"/>
      <c r="Z22" s="198"/>
    </row>
    <row r="23" ht="91.5" customHeight="1">
      <c r="A23" s="370">
        <v>40138.0</v>
      </c>
      <c r="B23" s="292" t="s">
        <v>25</v>
      </c>
      <c r="C23" s="299" t="s">
        <v>10544</v>
      </c>
      <c r="D23" s="285" t="s">
        <v>10545</v>
      </c>
      <c r="E23" s="287" t="s">
        <v>10546</v>
      </c>
      <c r="F23" s="288">
        <v>46001.0</v>
      </c>
      <c r="G23" s="288">
        <v>46003.0</v>
      </c>
      <c r="H23" s="288">
        <v>46003.0</v>
      </c>
      <c r="I23" s="288">
        <v>46007.0</v>
      </c>
      <c r="J23" s="288">
        <v>46007.0</v>
      </c>
      <c r="K23" s="285"/>
      <c r="L23" s="485"/>
      <c r="M23" s="290" t="s">
        <v>10547</v>
      </c>
      <c r="N23" s="299" t="s">
        <v>4635</v>
      </c>
      <c r="O23" s="322" t="s">
        <v>4912</v>
      </c>
      <c r="P23" s="300">
        <v>125805.0</v>
      </c>
      <c r="Q23" s="299">
        <f t="shared" si="1"/>
        <v>50</v>
      </c>
      <c r="R23" s="299"/>
      <c r="S23" s="299" t="s">
        <v>10487</v>
      </c>
      <c r="T23" s="198"/>
      <c r="U23" s="198"/>
      <c r="V23" s="198"/>
      <c r="W23" s="198"/>
      <c r="X23" s="198"/>
      <c r="Y23" s="198"/>
      <c r="Z23" s="198"/>
    </row>
    <row r="24" ht="91.5" customHeight="1">
      <c r="A24" s="370">
        <v>41429.0</v>
      </c>
      <c r="B24" s="292" t="s">
        <v>25</v>
      </c>
      <c r="C24" s="299">
        <v>5251.0</v>
      </c>
      <c r="D24" s="285" t="s">
        <v>10548</v>
      </c>
      <c r="E24" s="287" t="s">
        <v>10539</v>
      </c>
      <c r="F24" s="288">
        <v>45997.0</v>
      </c>
      <c r="G24" s="288">
        <v>45993.0</v>
      </c>
      <c r="H24" s="288">
        <v>45993.0</v>
      </c>
      <c r="I24" s="288">
        <v>46001.0</v>
      </c>
      <c r="J24" s="288">
        <v>46001.0</v>
      </c>
      <c r="K24" s="285"/>
      <c r="L24" s="485"/>
      <c r="M24" s="290" t="s">
        <v>10549</v>
      </c>
      <c r="N24" s="299" t="s">
        <v>497</v>
      </c>
      <c r="O24" s="322" t="s">
        <v>2554</v>
      </c>
      <c r="P24" s="300">
        <v>23677.5</v>
      </c>
      <c r="Q24" s="299">
        <f t="shared" si="1"/>
        <v>49</v>
      </c>
      <c r="R24" s="299" t="s">
        <v>9170</v>
      </c>
      <c r="S24" s="299" t="s">
        <v>9171</v>
      </c>
      <c r="T24" s="198"/>
      <c r="U24" s="198"/>
      <c r="V24" s="198"/>
      <c r="W24" s="198"/>
      <c r="X24" s="198"/>
      <c r="Y24" s="198"/>
      <c r="Z24" s="198"/>
    </row>
    <row r="25" ht="91.5" customHeight="1">
      <c r="A25" s="370">
        <v>41542.0</v>
      </c>
      <c r="B25" s="292" t="s">
        <v>715</v>
      </c>
      <c r="C25" s="299">
        <v>515.0</v>
      </c>
      <c r="D25" s="285" t="s">
        <v>10550</v>
      </c>
      <c r="E25" s="287" t="s">
        <v>7415</v>
      </c>
      <c r="F25" s="288">
        <v>45996.0</v>
      </c>
      <c r="G25" s="288">
        <v>45995.0</v>
      </c>
      <c r="H25" s="288">
        <v>45995.0</v>
      </c>
      <c r="I25" s="288">
        <v>46002.0</v>
      </c>
      <c r="J25" s="288">
        <v>46002.0</v>
      </c>
      <c r="K25" s="285"/>
      <c r="L25" s="485"/>
      <c r="M25" s="290" t="s">
        <v>10551</v>
      </c>
      <c r="N25" s="285" t="s">
        <v>6366</v>
      </c>
      <c r="O25" s="322" t="s">
        <v>2628</v>
      </c>
      <c r="P25" s="300">
        <v>52611.0</v>
      </c>
      <c r="Q25" s="299">
        <f t="shared" si="1"/>
        <v>49</v>
      </c>
      <c r="R25" s="299"/>
      <c r="S25" s="299" t="s">
        <v>10487</v>
      </c>
      <c r="T25" s="198"/>
      <c r="U25" s="198"/>
      <c r="V25" s="198"/>
      <c r="W25" s="198"/>
      <c r="X25" s="198"/>
      <c r="Y25" s="198"/>
      <c r="Z25" s="198"/>
    </row>
    <row r="26" ht="91.5" customHeight="1">
      <c r="A26" s="370">
        <v>41461.0</v>
      </c>
      <c r="B26" s="285" t="s">
        <v>21</v>
      </c>
      <c r="C26" s="299">
        <v>565.0</v>
      </c>
      <c r="D26" s="285" t="s">
        <v>10552</v>
      </c>
      <c r="E26" s="287" t="s">
        <v>10553</v>
      </c>
      <c r="F26" s="288">
        <v>45995.0</v>
      </c>
      <c r="G26" s="288">
        <v>45993.0</v>
      </c>
      <c r="H26" s="288">
        <v>45993.0</v>
      </c>
      <c r="I26" s="288">
        <v>46002.0</v>
      </c>
      <c r="J26" s="288">
        <v>46002.0</v>
      </c>
      <c r="K26" s="573" t="s">
        <v>10554</v>
      </c>
      <c r="L26" s="574" t="s">
        <v>9178</v>
      </c>
      <c r="M26" s="290" t="s">
        <v>10555</v>
      </c>
      <c r="N26" s="299" t="s">
        <v>4635</v>
      </c>
      <c r="O26" s="322" t="s">
        <v>2621</v>
      </c>
      <c r="P26" s="300">
        <v>59545.35</v>
      </c>
      <c r="Q26" s="299">
        <f t="shared" si="1"/>
        <v>49</v>
      </c>
      <c r="R26" s="299"/>
      <c r="S26" s="299" t="s">
        <v>10487</v>
      </c>
      <c r="T26" s="198"/>
      <c r="U26" s="198"/>
      <c r="V26" s="198"/>
      <c r="W26" s="198"/>
      <c r="X26" s="198"/>
      <c r="Y26" s="198"/>
      <c r="Z26" s="198"/>
    </row>
    <row r="27" ht="91.5" customHeight="1">
      <c r="A27" s="370">
        <v>41556.0</v>
      </c>
      <c r="B27" s="292" t="s">
        <v>715</v>
      </c>
      <c r="C27" s="299">
        <v>2050.0</v>
      </c>
      <c r="D27" s="285" t="s">
        <v>10556</v>
      </c>
      <c r="E27" s="287" t="s">
        <v>10521</v>
      </c>
      <c r="F27" s="288">
        <v>45994.0</v>
      </c>
      <c r="G27" s="288">
        <v>45992.0</v>
      </c>
      <c r="H27" s="288">
        <v>45992.0</v>
      </c>
      <c r="I27" s="288">
        <v>46002.0</v>
      </c>
      <c r="J27" s="288">
        <v>46002.0</v>
      </c>
      <c r="K27" s="285"/>
      <c r="L27" s="485"/>
      <c r="M27" s="290" t="s">
        <v>10557</v>
      </c>
      <c r="N27" s="299" t="s">
        <v>6366</v>
      </c>
      <c r="O27" s="322" t="s">
        <v>2621</v>
      </c>
      <c r="P27" s="300">
        <v>43535.5</v>
      </c>
      <c r="Q27" s="299">
        <f t="shared" si="1"/>
        <v>49</v>
      </c>
      <c r="R27" s="299"/>
      <c r="S27" s="299" t="s">
        <v>10487</v>
      </c>
      <c r="T27" s="198"/>
      <c r="U27" s="198"/>
      <c r="V27" s="198"/>
      <c r="W27" s="198"/>
      <c r="X27" s="198"/>
      <c r="Y27" s="198"/>
      <c r="Z27" s="198"/>
    </row>
    <row r="28" ht="91.5" customHeight="1">
      <c r="A28" s="370">
        <v>41410.0</v>
      </c>
      <c r="B28" s="285" t="s">
        <v>21</v>
      </c>
      <c r="C28" s="299">
        <v>2413.0</v>
      </c>
      <c r="D28" s="285" t="s">
        <v>10558</v>
      </c>
      <c r="E28" s="287" t="s">
        <v>10559</v>
      </c>
      <c r="F28" s="288">
        <v>45994.0</v>
      </c>
      <c r="G28" s="288">
        <v>45991.0</v>
      </c>
      <c r="H28" s="288">
        <v>45991.0</v>
      </c>
      <c r="I28" s="288">
        <v>46000.0</v>
      </c>
      <c r="J28" s="288">
        <v>46000.0</v>
      </c>
      <c r="K28" s="285" t="s">
        <v>5270</v>
      </c>
      <c r="L28" s="572" t="s">
        <v>9178</v>
      </c>
      <c r="M28" s="290" t="s">
        <v>10560</v>
      </c>
      <c r="N28" s="299" t="s">
        <v>497</v>
      </c>
      <c r="O28" s="322" t="s">
        <v>2554</v>
      </c>
      <c r="P28" s="300">
        <v>42951.2</v>
      </c>
      <c r="Q28" s="299">
        <f t="shared" si="1"/>
        <v>49</v>
      </c>
      <c r="R28" s="299" t="s">
        <v>9198</v>
      </c>
      <c r="S28" s="299" t="s">
        <v>9171</v>
      </c>
      <c r="T28" s="198"/>
      <c r="U28" s="198"/>
      <c r="V28" s="198"/>
      <c r="W28" s="198"/>
      <c r="X28" s="198"/>
      <c r="Y28" s="198"/>
      <c r="Z28" s="198"/>
    </row>
    <row r="29" ht="91.5" customHeight="1">
      <c r="A29" s="370">
        <v>41408.0</v>
      </c>
      <c r="B29" s="292" t="s">
        <v>715</v>
      </c>
      <c r="C29" s="299">
        <v>2275.0</v>
      </c>
      <c r="D29" s="285" t="s">
        <v>10561</v>
      </c>
      <c r="E29" s="287" t="s">
        <v>10562</v>
      </c>
      <c r="F29" s="288">
        <v>45993.0</v>
      </c>
      <c r="G29" s="288">
        <v>45987.0</v>
      </c>
      <c r="H29" s="288">
        <v>45987.0</v>
      </c>
      <c r="I29" s="288">
        <v>46000.0</v>
      </c>
      <c r="J29" s="288">
        <v>46000.0</v>
      </c>
      <c r="K29" s="285"/>
      <c r="L29" s="485"/>
      <c r="M29" s="290" t="s">
        <v>10563</v>
      </c>
      <c r="N29" s="299" t="s">
        <v>497</v>
      </c>
      <c r="O29" s="322" t="s">
        <v>2554</v>
      </c>
      <c r="P29" s="300">
        <v>35505.0</v>
      </c>
      <c r="Q29" s="299">
        <f t="shared" si="1"/>
        <v>49</v>
      </c>
      <c r="R29" s="299" t="s">
        <v>9198</v>
      </c>
      <c r="S29" s="299" t="s">
        <v>9171</v>
      </c>
      <c r="T29" s="198"/>
      <c r="U29" s="198"/>
      <c r="V29" s="198"/>
      <c r="W29" s="198"/>
      <c r="X29" s="198"/>
      <c r="Y29" s="198"/>
      <c r="Z29" s="198"/>
    </row>
    <row r="30" ht="91.5" customHeight="1">
      <c r="A30" s="370">
        <v>41407.0</v>
      </c>
      <c r="B30" s="292" t="s">
        <v>715</v>
      </c>
      <c r="C30" s="299">
        <v>4355.0</v>
      </c>
      <c r="D30" s="285" t="s">
        <v>10564</v>
      </c>
      <c r="E30" s="287" t="s">
        <v>10565</v>
      </c>
      <c r="F30" s="288">
        <v>45993.0</v>
      </c>
      <c r="G30" s="288">
        <v>45987.0</v>
      </c>
      <c r="H30" s="288">
        <v>45987.0</v>
      </c>
      <c r="I30" s="288">
        <v>45996.0</v>
      </c>
      <c r="J30" s="288">
        <v>45996.0</v>
      </c>
      <c r="K30" s="285"/>
      <c r="L30" s="485"/>
      <c r="M30" s="290" t="s">
        <v>10566</v>
      </c>
      <c r="N30" s="299" t="s">
        <v>497</v>
      </c>
      <c r="O30" s="322" t="s">
        <v>2554</v>
      </c>
      <c r="P30" s="300">
        <v>30049.5</v>
      </c>
      <c r="Q30" s="299">
        <f t="shared" si="1"/>
        <v>49</v>
      </c>
      <c r="R30" s="299" t="s">
        <v>9198</v>
      </c>
      <c r="S30" s="299" t="s">
        <v>9171</v>
      </c>
      <c r="T30" s="198"/>
      <c r="U30" s="198"/>
      <c r="V30" s="198"/>
      <c r="W30" s="198"/>
      <c r="X30" s="198"/>
      <c r="Y30" s="198"/>
      <c r="Z30" s="198"/>
    </row>
    <row r="31" ht="91.5" customHeight="1">
      <c r="A31" s="370">
        <v>41199.0</v>
      </c>
      <c r="B31" s="292" t="s">
        <v>715</v>
      </c>
      <c r="C31" s="299">
        <v>5251.0</v>
      </c>
      <c r="D31" s="285" t="s">
        <v>10567</v>
      </c>
      <c r="E31" s="287" t="s">
        <v>10539</v>
      </c>
      <c r="F31" s="288">
        <v>45993.0</v>
      </c>
      <c r="G31" s="288">
        <v>45999.0</v>
      </c>
      <c r="H31" s="288">
        <v>45996.0</v>
      </c>
      <c r="I31" s="288">
        <v>45996.0</v>
      </c>
      <c r="J31" s="288">
        <v>45996.0</v>
      </c>
      <c r="K31" s="285"/>
      <c r="L31" s="485"/>
      <c r="M31" s="290" t="s">
        <v>10568</v>
      </c>
      <c r="N31" s="299" t="s">
        <v>497</v>
      </c>
      <c r="O31" s="322" t="s">
        <v>2554</v>
      </c>
      <c r="P31" s="300">
        <v>26250.0</v>
      </c>
      <c r="Q31" s="299">
        <f t="shared" si="1"/>
        <v>49</v>
      </c>
      <c r="R31" s="299" t="s">
        <v>9170</v>
      </c>
      <c r="S31" s="299" t="s">
        <v>9171</v>
      </c>
      <c r="T31" s="198"/>
      <c r="U31" s="198"/>
      <c r="V31" s="198"/>
      <c r="W31" s="198"/>
      <c r="X31" s="198"/>
      <c r="Y31" s="198"/>
      <c r="Z31" s="198"/>
    </row>
    <row r="32" ht="91.5" customHeight="1">
      <c r="A32" s="370">
        <v>41198.0</v>
      </c>
      <c r="B32" s="292" t="s">
        <v>715</v>
      </c>
      <c r="C32" s="299">
        <v>5251.0</v>
      </c>
      <c r="D32" s="285" t="s">
        <v>10569</v>
      </c>
      <c r="E32" s="287" t="s">
        <v>10539</v>
      </c>
      <c r="F32" s="288">
        <v>45993.0</v>
      </c>
      <c r="G32" s="288">
        <v>45996.0</v>
      </c>
      <c r="H32" s="288">
        <v>45996.0</v>
      </c>
      <c r="I32" s="288">
        <v>46000.0</v>
      </c>
      <c r="J32" s="288">
        <v>46000.0</v>
      </c>
      <c r="K32" s="285"/>
      <c r="L32" s="485"/>
      <c r="M32" s="290" t="s">
        <v>10570</v>
      </c>
      <c r="N32" s="299" t="s">
        <v>497</v>
      </c>
      <c r="O32" s="322" t="s">
        <v>2554</v>
      </c>
      <c r="P32" s="300">
        <v>26250.0</v>
      </c>
      <c r="Q32" s="299">
        <f t="shared" si="1"/>
        <v>49</v>
      </c>
      <c r="R32" s="299" t="s">
        <v>9170</v>
      </c>
      <c r="S32" s="299" t="s">
        <v>9171</v>
      </c>
      <c r="T32" s="198"/>
      <c r="U32" s="198"/>
      <c r="V32" s="198"/>
      <c r="W32" s="198"/>
      <c r="X32" s="198"/>
      <c r="Y32" s="198"/>
      <c r="Z32" s="198"/>
    </row>
    <row r="33" ht="91.5" customHeight="1">
      <c r="A33" s="370">
        <v>41200.0</v>
      </c>
      <c r="B33" s="292" t="s">
        <v>715</v>
      </c>
      <c r="C33" s="299">
        <v>4502.0</v>
      </c>
      <c r="D33" s="285" t="s">
        <v>10571</v>
      </c>
      <c r="E33" s="287" t="s">
        <v>10536</v>
      </c>
      <c r="F33" s="288">
        <v>45993.0</v>
      </c>
      <c r="G33" s="288">
        <v>45999.0</v>
      </c>
      <c r="H33" s="288">
        <v>45999.0</v>
      </c>
      <c r="I33" s="288">
        <v>45999.0</v>
      </c>
      <c r="J33" s="288">
        <v>45999.0</v>
      </c>
      <c r="K33" s="285"/>
      <c r="L33" s="485"/>
      <c r="M33" s="290" t="s">
        <v>10572</v>
      </c>
      <c r="N33" s="299" t="s">
        <v>497</v>
      </c>
      <c r="O33" s="322" t="s">
        <v>2554</v>
      </c>
      <c r="P33" s="300">
        <v>33187.5</v>
      </c>
      <c r="Q33" s="299">
        <f t="shared" si="1"/>
        <v>49</v>
      </c>
      <c r="R33" s="299" t="s">
        <v>9170</v>
      </c>
      <c r="S33" s="299" t="s">
        <v>9171</v>
      </c>
      <c r="T33" s="198"/>
      <c r="U33" s="198"/>
      <c r="V33" s="198"/>
      <c r="W33" s="198"/>
      <c r="X33" s="198"/>
      <c r="Y33" s="198"/>
      <c r="Z33" s="198"/>
    </row>
    <row r="34" ht="91.5" customHeight="1">
      <c r="A34" s="370">
        <v>41365.0</v>
      </c>
      <c r="B34" s="292" t="s">
        <v>715</v>
      </c>
      <c r="C34" s="299">
        <v>5034.0</v>
      </c>
      <c r="D34" s="285" t="s">
        <v>10573</v>
      </c>
      <c r="E34" s="287" t="s">
        <v>10574</v>
      </c>
      <c r="F34" s="288">
        <v>45990.0</v>
      </c>
      <c r="G34" s="288">
        <v>45986.0</v>
      </c>
      <c r="H34" s="288">
        <v>45986.0</v>
      </c>
      <c r="I34" s="288">
        <v>45995.0</v>
      </c>
      <c r="J34" s="288">
        <v>45995.0</v>
      </c>
      <c r="K34" s="285"/>
      <c r="L34" s="485"/>
      <c r="M34" s="290" t="s">
        <v>10575</v>
      </c>
      <c r="N34" s="299" t="s">
        <v>4635</v>
      </c>
      <c r="O34" s="322" t="s">
        <v>2621</v>
      </c>
      <c r="P34" s="300">
        <v>39832.26</v>
      </c>
      <c r="Q34" s="299">
        <f t="shared" si="1"/>
        <v>48</v>
      </c>
      <c r="R34" s="299"/>
      <c r="S34" s="299" t="s">
        <v>10487</v>
      </c>
      <c r="T34" s="198"/>
      <c r="U34" s="198"/>
      <c r="V34" s="198"/>
      <c r="W34" s="198"/>
      <c r="X34" s="198"/>
      <c r="Y34" s="198"/>
      <c r="Z34" s="198"/>
    </row>
    <row r="35" ht="91.5" customHeight="1">
      <c r="A35" s="370">
        <v>41459.0</v>
      </c>
      <c r="B35" s="285" t="s">
        <v>21</v>
      </c>
      <c r="C35" s="299">
        <v>1100.0</v>
      </c>
      <c r="D35" s="285" t="s">
        <v>10576</v>
      </c>
      <c r="E35" s="287" t="s">
        <v>10577</v>
      </c>
      <c r="F35" s="288">
        <v>45990.0</v>
      </c>
      <c r="G35" s="288">
        <v>45986.0</v>
      </c>
      <c r="H35" s="288">
        <v>45986.0</v>
      </c>
      <c r="I35" s="288">
        <v>45995.0</v>
      </c>
      <c r="J35" s="288">
        <v>45995.0</v>
      </c>
      <c r="K35" s="573" t="s">
        <v>10578</v>
      </c>
      <c r="L35" s="574" t="s">
        <v>9178</v>
      </c>
      <c r="M35" s="290" t="s">
        <v>10579</v>
      </c>
      <c r="N35" s="299" t="s">
        <v>4635</v>
      </c>
      <c r="O35" s="322" t="s">
        <v>2621</v>
      </c>
      <c r="P35" s="300">
        <v>89009.0</v>
      </c>
      <c r="Q35" s="299">
        <f t="shared" si="1"/>
        <v>48</v>
      </c>
      <c r="R35" s="299"/>
      <c r="S35" s="299" t="s">
        <v>10487</v>
      </c>
      <c r="T35" s="198"/>
      <c r="U35" s="198"/>
      <c r="V35" s="198"/>
      <c r="W35" s="198"/>
      <c r="X35" s="198"/>
      <c r="Y35" s="198"/>
      <c r="Z35" s="198"/>
    </row>
    <row r="36" ht="91.5" customHeight="1">
      <c r="A36" s="370">
        <v>41554.0</v>
      </c>
      <c r="B36" s="285" t="s">
        <v>21</v>
      </c>
      <c r="C36" s="299">
        <v>1055.0</v>
      </c>
      <c r="D36" s="285" t="s">
        <v>10580</v>
      </c>
      <c r="E36" s="287" t="s">
        <v>3740</v>
      </c>
      <c r="F36" s="288">
        <v>45989.0</v>
      </c>
      <c r="G36" s="288">
        <v>45984.0</v>
      </c>
      <c r="H36" s="288">
        <v>45987.0</v>
      </c>
      <c r="I36" s="288">
        <v>45993.0</v>
      </c>
      <c r="J36" s="288">
        <v>45993.0</v>
      </c>
      <c r="K36" s="573" t="s">
        <v>10581</v>
      </c>
      <c r="L36" s="574" t="s">
        <v>9178</v>
      </c>
      <c r="M36" s="290" t="s">
        <v>10582</v>
      </c>
      <c r="N36" s="299" t="s">
        <v>4745</v>
      </c>
      <c r="O36" s="322" t="s">
        <v>4711</v>
      </c>
      <c r="P36" s="300">
        <v>23232.82</v>
      </c>
      <c r="Q36" s="299">
        <f t="shared" si="1"/>
        <v>48</v>
      </c>
      <c r="R36" s="299"/>
      <c r="S36" s="299" t="s">
        <v>10487</v>
      </c>
      <c r="T36" s="198"/>
      <c r="U36" s="198"/>
      <c r="V36" s="198"/>
      <c r="W36" s="198"/>
      <c r="X36" s="198"/>
      <c r="Y36" s="198"/>
      <c r="Z36" s="198"/>
    </row>
    <row r="37" ht="91.5" customHeight="1">
      <c r="A37" s="370">
        <v>41226.0</v>
      </c>
      <c r="B37" s="292" t="s">
        <v>25</v>
      </c>
      <c r="C37" s="299">
        <v>5251.0</v>
      </c>
      <c r="D37" s="285" t="s">
        <v>10583</v>
      </c>
      <c r="E37" s="287" t="s">
        <v>10584</v>
      </c>
      <c r="F37" s="288">
        <v>45989.0</v>
      </c>
      <c r="G37" s="288">
        <v>45985.0</v>
      </c>
      <c r="H37" s="288">
        <v>45985.0</v>
      </c>
      <c r="I37" s="288">
        <v>45994.0</v>
      </c>
      <c r="J37" s="288">
        <v>45994.0</v>
      </c>
      <c r="K37" s="285"/>
      <c r="L37" s="485"/>
      <c r="M37" s="290" t="s">
        <v>10585</v>
      </c>
      <c r="N37" s="299" t="s">
        <v>497</v>
      </c>
      <c r="O37" s="322" t="s">
        <v>2554</v>
      </c>
      <c r="P37" s="300">
        <v>26250.0</v>
      </c>
      <c r="Q37" s="299">
        <f t="shared" si="1"/>
        <v>48</v>
      </c>
      <c r="R37" s="299" t="s">
        <v>9170</v>
      </c>
      <c r="S37" s="299" t="s">
        <v>9171</v>
      </c>
      <c r="T37" s="198"/>
      <c r="U37" s="198"/>
      <c r="V37" s="198"/>
      <c r="W37" s="198"/>
      <c r="X37" s="198"/>
      <c r="Y37" s="198"/>
      <c r="Z37" s="198"/>
    </row>
    <row r="38" ht="91.5" customHeight="1">
      <c r="A38" s="370">
        <v>41458.0</v>
      </c>
      <c r="B38" s="292" t="s">
        <v>715</v>
      </c>
      <c r="C38" s="299">
        <v>1100.0</v>
      </c>
      <c r="D38" s="285" t="s">
        <v>10586</v>
      </c>
      <c r="E38" s="287" t="s">
        <v>10587</v>
      </c>
      <c r="F38" s="288">
        <v>45987.0</v>
      </c>
      <c r="G38" s="288">
        <v>45986.0</v>
      </c>
      <c r="H38" s="288">
        <v>45986.0</v>
      </c>
      <c r="I38" s="288">
        <v>45993.0</v>
      </c>
      <c r="J38" s="288">
        <v>45993.0</v>
      </c>
      <c r="K38" s="285"/>
      <c r="L38" s="485"/>
      <c r="M38" s="290" t="s">
        <v>10588</v>
      </c>
      <c r="N38" s="299" t="s">
        <v>4635</v>
      </c>
      <c r="O38" s="322" t="s">
        <v>2621</v>
      </c>
      <c r="P38" s="300">
        <v>88578.9</v>
      </c>
      <c r="Q38" s="299">
        <f t="shared" si="1"/>
        <v>48</v>
      </c>
      <c r="R38" s="299"/>
      <c r="S38" s="299" t="s">
        <v>10487</v>
      </c>
      <c r="T38" s="198"/>
      <c r="U38" s="198"/>
      <c r="V38" s="198"/>
      <c r="W38" s="198"/>
      <c r="X38" s="198"/>
      <c r="Y38" s="198"/>
      <c r="Z38" s="198"/>
    </row>
    <row r="39" ht="91.5" customHeight="1">
      <c r="A39" s="370">
        <v>41392.0</v>
      </c>
      <c r="B39" s="292" t="s">
        <v>715</v>
      </c>
      <c r="C39" s="299">
        <v>940.0</v>
      </c>
      <c r="D39" s="285" t="s">
        <v>10589</v>
      </c>
      <c r="E39" s="287" t="s">
        <v>10590</v>
      </c>
      <c r="F39" s="288">
        <v>45987.0</v>
      </c>
      <c r="G39" s="288">
        <v>46001.0</v>
      </c>
      <c r="H39" s="288">
        <v>45994.0</v>
      </c>
      <c r="I39" s="288">
        <v>45994.0</v>
      </c>
      <c r="J39" s="288">
        <v>45629.0</v>
      </c>
      <c r="K39" s="285"/>
      <c r="L39" s="485"/>
      <c r="M39" s="290" t="s">
        <v>10591</v>
      </c>
      <c r="N39" s="299" t="s">
        <v>4635</v>
      </c>
      <c r="O39" s="322" t="s">
        <v>2621</v>
      </c>
      <c r="P39" s="300">
        <v>39349.8</v>
      </c>
      <c r="Q39" s="299">
        <f t="shared" si="1"/>
        <v>48</v>
      </c>
      <c r="R39" s="299"/>
      <c r="S39" s="299" t="s">
        <v>8430</v>
      </c>
      <c r="T39" s="198"/>
      <c r="U39" s="198"/>
      <c r="V39" s="198"/>
      <c r="W39" s="198"/>
      <c r="X39" s="198"/>
      <c r="Y39" s="198"/>
      <c r="Z39" s="198"/>
    </row>
    <row r="40" ht="91.5" customHeight="1">
      <c r="A40" s="370">
        <v>41445.0</v>
      </c>
      <c r="B40" s="285" t="s">
        <v>6501</v>
      </c>
      <c r="C40" s="299">
        <v>940.0</v>
      </c>
      <c r="D40" s="285" t="s">
        <v>10592</v>
      </c>
      <c r="E40" s="287" t="s">
        <v>10593</v>
      </c>
      <c r="F40" s="288">
        <v>45986.0</v>
      </c>
      <c r="G40" s="288">
        <v>45986.0</v>
      </c>
      <c r="H40" s="288">
        <v>45986.0</v>
      </c>
      <c r="I40" s="288">
        <v>45995.0</v>
      </c>
      <c r="J40" s="288">
        <v>45995.0</v>
      </c>
      <c r="K40" s="285"/>
      <c r="L40" s="485"/>
      <c r="M40" s="290" t="s">
        <v>10594</v>
      </c>
      <c r="N40" s="299" t="s">
        <v>4635</v>
      </c>
      <c r="O40" s="322" t="s">
        <v>2621</v>
      </c>
      <c r="P40" s="300">
        <v>39633.6</v>
      </c>
      <c r="Q40" s="299">
        <f t="shared" si="1"/>
        <v>48</v>
      </c>
      <c r="R40" s="299"/>
      <c r="S40" s="299" t="s">
        <v>8430</v>
      </c>
      <c r="T40" s="198"/>
      <c r="U40" s="198"/>
      <c r="V40" s="198"/>
      <c r="W40" s="198"/>
      <c r="X40" s="198"/>
      <c r="Y40" s="198"/>
      <c r="Z40" s="198"/>
    </row>
    <row r="41" ht="91.5" customHeight="1">
      <c r="A41" s="370">
        <v>41401.0</v>
      </c>
      <c r="B41" s="285" t="s">
        <v>21</v>
      </c>
      <c r="C41" s="299">
        <v>4355.0</v>
      </c>
      <c r="D41" s="285" t="s">
        <v>10595</v>
      </c>
      <c r="E41" s="287" t="s">
        <v>10596</v>
      </c>
      <c r="F41" s="288">
        <v>45985.0</v>
      </c>
      <c r="G41" s="288">
        <v>45981.0</v>
      </c>
      <c r="H41" s="288">
        <v>45981.0</v>
      </c>
      <c r="I41" s="288">
        <v>45992.0</v>
      </c>
      <c r="J41" s="288">
        <v>45992.0</v>
      </c>
      <c r="K41" s="285" t="s">
        <v>5270</v>
      </c>
      <c r="L41" s="572" t="s">
        <v>9178</v>
      </c>
      <c r="M41" s="290" t="s">
        <v>10597</v>
      </c>
      <c r="N41" s="299" t="s">
        <v>497</v>
      </c>
      <c r="O41" s="322" t="s">
        <v>2554</v>
      </c>
      <c r="P41" s="300">
        <v>30049.5</v>
      </c>
      <c r="Q41" s="299">
        <f t="shared" si="1"/>
        <v>48</v>
      </c>
      <c r="R41" s="299" t="s">
        <v>9198</v>
      </c>
      <c r="S41" s="299" t="s">
        <v>9171</v>
      </c>
      <c r="T41" s="198"/>
      <c r="U41" s="198"/>
      <c r="V41" s="198"/>
      <c r="W41" s="198"/>
      <c r="X41" s="198"/>
      <c r="Y41" s="198"/>
      <c r="Z41" s="198"/>
    </row>
    <row r="42" ht="91.5" customHeight="1">
      <c r="A42" s="370">
        <v>41400.0</v>
      </c>
      <c r="B42" s="285" t="s">
        <v>21</v>
      </c>
      <c r="C42" s="299">
        <v>2413.0</v>
      </c>
      <c r="D42" s="285" t="s">
        <v>10598</v>
      </c>
      <c r="E42" s="287" t="s">
        <v>10559</v>
      </c>
      <c r="F42" s="288">
        <v>45985.0</v>
      </c>
      <c r="G42" s="288">
        <v>45981.0</v>
      </c>
      <c r="H42" s="288">
        <v>45981.0</v>
      </c>
      <c r="I42" s="288">
        <v>45999.0</v>
      </c>
      <c r="J42" s="288">
        <v>45999.0</v>
      </c>
      <c r="K42" s="285" t="s">
        <v>5270</v>
      </c>
      <c r="L42" s="572" t="s">
        <v>9178</v>
      </c>
      <c r="M42" s="290" t="s">
        <v>10599</v>
      </c>
      <c r="N42" s="299" t="s">
        <v>497</v>
      </c>
      <c r="O42" s="322" t="s">
        <v>2554</v>
      </c>
      <c r="P42" s="300">
        <v>42951.2</v>
      </c>
      <c r="Q42" s="299">
        <f t="shared" si="1"/>
        <v>48</v>
      </c>
      <c r="R42" s="299" t="s">
        <v>9198</v>
      </c>
      <c r="S42" s="299" t="s">
        <v>9171</v>
      </c>
      <c r="T42" s="198"/>
      <c r="U42" s="198"/>
      <c r="V42" s="198"/>
      <c r="W42" s="198"/>
      <c r="X42" s="198"/>
      <c r="Y42" s="198"/>
      <c r="Z42" s="198"/>
    </row>
    <row r="43" ht="91.5" customHeight="1">
      <c r="A43" s="370">
        <v>41409.0</v>
      </c>
      <c r="B43" s="285" t="s">
        <v>21</v>
      </c>
      <c r="C43" s="299">
        <v>4355.0</v>
      </c>
      <c r="D43" s="285" t="s">
        <v>10600</v>
      </c>
      <c r="E43" s="287" t="s">
        <v>10601</v>
      </c>
      <c r="F43" s="288">
        <v>45985.0</v>
      </c>
      <c r="G43" s="288">
        <v>45981.0</v>
      </c>
      <c r="H43" s="288">
        <v>45981.0</v>
      </c>
      <c r="I43" s="288">
        <v>46001.0</v>
      </c>
      <c r="J43" s="288">
        <v>46001.0</v>
      </c>
      <c r="K43" s="285" t="s">
        <v>5270</v>
      </c>
      <c r="L43" s="572" t="s">
        <v>9178</v>
      </c>
      <c r="M43" s="290" t="s">
        <v>10602</v>
      </c>
      <c r="N43" s="299" t="s">
        <v>497</v>
      </c>
      <c r="O43" s="322" t="s">
        <v>2554</v>
      </c>
      <c r="P43" s="300">
        <v>30049.5</v>
      </c>
      <c r="Q43" s="299">
        <f t="shared" si="1"/>
        <v>48</v>
      </c>
      <c r="R43" s="299" t="s">
        <v>9198</v>
      </c>
      <c r="S43" s="299" t="s">
        <v>9171</v>
      </c>
      <c r="T43" s="198"/>
      <c r="U43" s="198"/>
      <c r="V43" s="198"/>
      <c r="W43" s="198"/>
      <c r="X43" s="198"/>
      <c r="Y43" s="198"/>
      <c r="Z43" s="198"/>
    </row>
    <row r="44" ht="91.5" customHeight="1">
      <c r="A44" s="370">
        <v>41402.0</v>
      </c>
      <c r="B44" s="285" t="s">
        <v>21</v>
      </c>
      <c r="C44" s="299">
        <v>2275.0</v>
      </c>
      <c r="D44" s="285" t="s">
        <v>10603</v>
      </c>
      <c r="E44" s="287" t="s">
        <v>10604</v>
      </c>
      <c r="F44" s="288">
        <v>45985.0</v>
      </c>
      <c r="G44" s="288">
        <v>45981.0</v>
      </c>
      <c r="H44" s="288">
        <v>45981.0</v>
      </c>
      <c r="I44" s="288">
        <v>45995.0</v>
      </c>
      <c r="J44" s="288">
        <v>45995.0</v>
      </c>
      <c r="K44" s="285" t="s">
        <v>5270</v>
      </c>
      <c r="L44" s="572" t="s">
        <v>9178</v>
      </c>
      <c r="M44" s="290" t="s">
        <v>10605</v>
      </c>
      <c r="N44" s="299" t="s">
        <v>497</v>
      </c>
      <c r="O44" s="322" t="s">
        <v>2554</v>
      </c>
      <c r="P44" s="300">
        <v>35490.0</v>
      </c>
      <c r="Q44" s="299">
        <f t="shared" si="1"/>
        <v>48</v>
      </c>
      <c r="R44" s="299" t="s">
        <v>9198</v>
      </c>
      <c r="S44" s="299" t="s">
        <v>9171</v>
      </c>
      <c r="T44" s="198"/>
      <c r="U44" s="198"/>
      <c r="V44" s="198"/>
      <c r="W44" s="198"/>
      <c r="X44" s="198"/>
      <c r="Y44" s="198"/>
      <c r="Z44" s="198"/>
    </row>
    <row r="45" ht="91.5" customHeight="1">
      <c r="A45" s="370">
        <v>41450.0</v>
      </c>
      <c r="B45" s="285" t="s">
        <v>21</v>
      </c>
      <c r="C45" s="299">
        <v>2413.0</v>
      </c>
      <c r="D45" s="285" t="s">
        <v>10606</v>
      </c>
      <c r="E45" s="287" t="s">
        <v>10525</v>
      </c>
      <c r="F45" s="288">
        <v>45985.0</v>
      </c>
      <c r="G45" s="288">
        <v>45981.0</v>
      </c>
      <c r="H45" s="288">
        <v>45981.0</v>
      </c>
      <c r="I45" s="288">
        <v>45993.0</v>
      </c>
      <c r="J45" s="288">
        <v>45993.0</v>
      </c>
      <c r="K45" s="285" t="s">
        <v>5270</v>
      </c>
      <c r="L45" s="572" t="s">
        <v>9178</v>
      </c>
      <c r="M45" s="290" t="s">
        <v>10607</v>
      </c>
      <c r="N45" s="299" t="s">
        <v>497</v>
      </c>
      <c r="O45" s="322" t="s">
        <v>2554</v>
      </c>
      <c r="P45" s="300">
        <v>43434.0</v>
      </c>
      <c r="Q45" s="299">
        <f t="shared" si="1"/>
        <v>48</v>
      </c>
      <c r="R45" s="299" t="s">
        <v>9198</v>
      </c>
      <c r="S45" s="299" t="s">
        <v>9171</v>
      </c>
      <c r="T45" s="198"/>
      <c r="U45" s="198"/>
      <c r="V45" s="198"/>
      <c r="W45" s="198"/>
      <c r="X45" s="198"/>
      <c r="Y45" s="198"/>
      <c r="Z45" s="198"/>
    </row>
    <row r="46" ht="91.5" customHeight="1">
      <c r="A46" s="370">
        <v>41411.0</v>
      </c>
      <c r="B46" s="285" t="s">
        <v>21</v>
      </c>
      <c r="C46" s="299">
        <v>4355.0</v>
      </c>
      <c r="D46" s="285" t="s">
        <v>10608</v>
      </c>
      <c r="E46" s="287" t="s">
        <v>10609</v>
      </c>
      <c r="F46" s="288">
        <v>45985.0</v>
      </c>
      <c r="G46" s="288">
        <v>45981.0</v>
      </c>
      <c r="H46" s="288">
        <v>45981.0</v>
      </c>
      <c r="I46" s="288">
        <v>45993.0</v>
      </c>
      <c r="J46" s="288">
        <v>45993.0</v>
      </c>
      <c r="K46" s="285" t="s">
        <v>5270</v>
      </c>
      <c r="L46" s="572" t="s">
        <v>9178</v>
      </c>
      <c r="M46" s="290" t="s">
        <v>10610</v>
      </c>
      <c r="N46" s="299" t="s">
        <v>497</v>
      </c>
      <c r="O46" s="322" t="s">
        <v>2554</v>
      </c>
      <c r="P46" s="300">
        <v>35972.3</v>
      </c>
      <c r="Q46" s="299">
        <f t="shared" si="1"/>
        <v>48</v>
      </c>
      <c r="R46" s="299" t="s">
        <v>9198</v>
      </c>
      <c r="S46" s="299" t="s">
        <v>9171</v>
      </c>
      <c r="T46" s="198"/>
      <c r="U46" s="198"/>
      <c r="V46" s="198"/>
      <c r="W46" s="198"/>
      <c r="X46" s="198"/>
      <c r="Y46" s="198"/>
      <c r="Z46" s="198"/>
    </row>
    <row r="47" ht="91.5" customHeight="1">
      <c r="A47" s="370">
        <v>41215.0</v>
      </c>
      <c r="B47" s="285" t="s">
        <v>21</v>
      </c>
      <c r="C47" s="299">
        <v>4502.0</v>
      </c>
      <c r="D47" s="285" t="s">
        <v>10611</v>
      </c>
      <c r="E47" s="287" t="s">
        <v>10536</v>
      </c>
      <c r="F47" s="288">
        <v>45985.0</v>
      </c>
      <c r="G47" s="288">
        <v>45982.0</v>
      </c>
      <c r="H47" s="288">
        <v>45982.0</v>
      </c>
      <c r="I47" s="288">
        <v>46000.0</v>
      </c>
      <c r="J47" s="288">
        <v>46000.0</v>
      </c>
      <c r="K47" s="285" t="s">
        <v>5270</v>
      </c>
      <c r="L47" s="572" t="s">
        <v>9178</v>
      </c>
      <c r="M47" s="290" t="s">
        <v>10612</v>
      </c>
      <c r="N47" s="299" t="s">
        <v>497</v>
      </c>
      <c r="O47" s="322" t="s">
        <v>2554</v>
      </c>
      <c r="P47" s="300">
        <v>33000.0</v>
      </c>
      <c r="Q47" s="299">
        <f t="shared" si="1"/>
        <v>48</v>
      </c>
      <c r="R47" s="299" t="s">
        <v>9170</v>
      </c>
      <c r="S47" s="299" t="s">
        <v>9171</v>
      </c>
      <c r="T47" s="198"/>
      <c r="U47" s="198"/>
      <c r="V47" s="198"/>
      <c r="W47" s="198"/>
      <c r="X47" s="198"/>
      <c r="Y47" s="198"/>
      <c r="Z47" s="198"/>
    </row>
    <row r="48" ht="91.5" customHeight="1">
      <c r="A48" s="370">
        <v>41572.0</v>
      </c>
      <c r="B48" s="285" t="s">
        <v>21</v>
      </c>
      <c r="C48" s="299">
        <v>2784.0</v>
      </c>
      <c r="D48" s="285" t="s">
        <v>10613</v>
      </c>
      <c r="E48" s="287" t="s">
        <v>10614</v>
      </c>
      <c r="F48" s="288">
        <v>45985.0</v>
      </c>
      <c r="G48" s="288">
        <v>45987.0</v>
      </c>
      <c r="H48" s="288">
        <v>45987.0</v>
      </c>
      <c r="I48" s="288">
        <v>45999.0</v>
      </c>
      <c r="J48" s="288">
        <v>45999.0</v>
      </c>
      <c r="K48" s="285" t="s">
        <v>4841</v>
      </c>
      <c r="L48" s="485"/>
      <c r="M48" s="290" t="s">
        <v>10615</v>
      </c>
      <c r="N48" s="299" t="s">
        <v>4635</v>
      </c>
      <c r="O48" s="322" t="s">
        <v>2621</v>
      </c>
      <c r="P48" s="300">
        <v>35635.2</v>
      </c>
      <c r="Q48" s="299">
        <f t="shared" si="1"/>
        <v>48</v>
      </c>
      <c r="R48" s="299"/>
      <c r="S48" s="299" t="s">
        <v>10487</v>
      </c>
      <c r="T48" s="198"/>
      <c r="U48" s="198"/>
      <c r="V48" s="198"/>
      <c r="W48" s="198"/>
      <c r="X48" s="198"/>
      <c r="Y48" s="198"/>
      <c r="Z48" s="198"/>
    </row>
    <row r="49" ht="91.5" customHeight="1">
      <c r="A49" s="370">
        <v>41453.0</v>
      </c>
      <c r="B49" s="292" t="s">
        <v>715</v>
      </c>
      <c r="C49" s="299">
        <v>2413.0</v>
      </c>
      <c r="D49" s="285" t="s">
        <v>10616</v>
      </c>
      <c r="E49" s="287" t="s">
        <v>10617</v>
      </c>
      <c r="F49" s="288">
        <v>45985.0</v>
      </c>
      <c r="G49" s="288">
        <v>45980.0</v>
      </c>
      <c r="H49" s="288">
        <v>45980.0</v>
      </c>
      <c r="I49" s="288">
        <v>45992.0</v>
      </c>
      <c r="J49" s="288">
        <v>45992.0</v>
      </c>
      <c r="K49" s="285"/>
      <c r="L49" s="485"/>
      <c r="M49" s="290" t="s">
        <v>10618</v>
      </c>
      <c r="N49" s="299" t="s">
        <v>497</v>
      </c>
      <c r="O49" s="322" t="s">
        <v>2554</v>
      </c>
      <c r="P49" s="300">
        <v>42468.8</v>
      </c>
      <c r="Q49" s="299">
        <f t="shared" si="1"/>
        <v>48</v>
      </c>
      <c r="R49" s="299" t="s">
        <v>9198</v>
      </c>
      <c r="S49" s="299" t="s">
        <v>9171</v>
      </c>
      <c r="T49" s="198"/>
      <c r="U49" s="198"/>
      <c r="V49" s="198"/>
      <c r="W49" s="198"/>
      <c r="X49" s="198"/>
      <c r="Y49" s="198"/>
      <c r="Z49" s="198"/>
    </row>
    <row r="50" ht="91.5" customHeight="1">
      <c r="A50" s="370">
        <v>41451.0</v>
      </c>
      <c r="B50" s="292" t="s">
        <v>715</v>
      </c>
      <c r="C50" s="299">
        <v>2413.0</v>
      </c>
      <c r="D50" s="285" t="s">
        <v>10619</v>
      </c>
      <c r="E50" s="287" t="s">
        <v>10525</v>
      </c>
      <c r="F50" s="288">
        <v>45985.0</v>
      </c>
      <c r="G50" s="288">
        <v>45980.0</v>
      </c>
      <c r="H50" s="288">
        <v>45980.0</v>
      </c>
      <c r="I50" s="288">
        <v>45989.0</v>
      </c>
      <c r="J50" s="288">
        <v>45989.0</v>
      </c>
      <c r="K50" s="285"/>
      <c r="L50" s="485"/>
      <c r="M50" s="290" t="s">
        <v>10620</v>
      </c>
      <c r="N50" s="299" t="s">
        <v>497</v>
      </c>
      <c r="O50" s="322" t="s">
        <v>2554</v>
      </c>
      <c r="P50" s="300">
        <v>43434.0</v>
      </c>
      <c r="Q50" s="299">
        <f t="shared" si="1"/>
        <v>48</v>
      </c>
      <c r="R50" s="299" t="s">
        <v>9198</v>
      </c>
      <c r="S50" s="299" t="s">
        <v>9171</v>
      </c>
      <c r="T50" s="198"/>
      <c r="U50" s="198"/>
      <c r="V50" s="198"/>
      <c r="W50" s="198"/>
      <c r="X50" s="198"/>
      <c r="Y50" s="198"/>
      <c r="Z50" s="198"/>
    </row>
    <row r="51" ht="91.5" customHeight="1">
      <c r="A51" s="370">
        <v>41405.0</v>
      </c>
      <c r="B51" s="292" t="s">
        <v>715</v>
      </c>
      <c r="C51" s="299">
        <v>5250.0</v>
      </c>
      <c r="D51" s="285" t="s">
        <v>10621</v>
      </c>
      <c r="E51" s="287" t="s">
        <v>10622</v>
      </c>
      <c r="F51" s="288">
        <v>45985.0</v>
      </c>
      <c r="G51" s="288">
        <v>45980.0</v>
      </c>
      <c r="H51" s="288">
        <v>45980.0</v>
      </c>
      <c r="I51" s="288">
        <v>45987.0</v>
      </c>
      <c r="J51" s="288">
        <v>45987.0</v>
      </c>
      <c r="K51" s="285"/>
      <c r="L51" s="485"/>
      <c r="M51" s="290" t="s">
        <v>10623</v>
      </c>
      <c r="N51" s="299" t="s">
        <v>497</v>
      </c>
      <c r="O51" s="322" t="s">
        <v>2554</v>
      </c>
      <c r="P51" s="300">
        <v>33305.0</v>
      </c>
      <c r="Q51" s="299">
        <f t="shared" si="1"/>
        <v>48</v>
      </c>
      <c r="R51" s="299" t="s">
        <v>9198</v>
      </c>
      <c r="S51" s="299" t="s">
        <v>9171</v>
      </c>
      <c r="T51" s="198"/>
      <c r="U51" s="198"/>
      <c r="V51" s="198"/>
      <c r="W51" s="198"/>
      <c r="X51" s="198"/>
      <c r="Y51" s="198"/>
      <c r="Z51" s="198"/>
    </row>
    <row r="52" ht="91.5" customHeight="1">
      <c r="A52" s="370">
        <v>41404.0</v>
      </c>
      <c r="B52" s="292" t="s">
        <v>715</v>
      </c>
      <c r="C52" s="299">
        <v>4355.0</v>
      </c>
      <c r="D52" s="285" t="s">
        <v>10624</v>
      </c>
      <c r="E52" s="287" t="s">
        <v>10565</v>
      </c>
      <c r="F52" s="288">
        <v>45985.0</v>
      </c>
      <c r="G52" s="288">
        <v>45980.0</v>
      </c>
      <c r="H52" s="288">
        <v>45980.0</v>
      </c>
      <c r="I52" s="288">
        <v>45992.0</v>
      </c>
      <c r="J52" s="288">
        <v>45992.0</v>
      </c>
      <c r="K52" s="285"/>
      <c r="L52" s="485"/>
      <c r="M52" s="290" t="s">
        <v>10625</v>
      </c>
      <c r="N52" s="299" t="s">
        <v>497</v>
      </c>
      <c r="O52" s="322" t="s">
        <v>2554</v>
      </c>
      <c r="P52" s="300">
        <v>30049.5</v>
      </c>
      <c r="Q52" s="299">
        <f t="shared" si="1"/>
        <v>48</v>
      </c>
      <c r="R52" s="299" t="s">
        <v>9198</v>
      </c>
      <c r="S52" s="299" t="s">
        <v>9171</v>
      </c>
      <c r="T52" s="198"/>
      <c r="U52" s="198"/>
      <c r="V52" s="198"/>
      <c r="W52" s="198"/>
      <c r="X52" s="198"/>
      <c r="Y52" s="198"/>
      <c r="Z52" s="198"/>
    </row>
    <row r="53" ht="91.5" customHeight="1">
      <c r="A53" s="370">
        <v>41403.0</v>
      </c>
      <c r="B53" s="292" t="s">
        <v>715</v>
      </c>
      <c r="C53" s="299">
        <v>2413.0</v>
      </c>
      <c r="D53" s="285" t="s">
        <v>10626</v>
      </c>
      <c r="E53" s="287" t="s">
        <v>10559</v>
      </c>
      <c r="F53" s="288">
        <v>45985.0</v>
      </c>
      <c r="G53" s="288">
        <v>45980.0</v>
      </c>
      <c r="H53" s="288">
        <v>45980.0</v>
      </c>
      <c r="I53" s="288">
        <v>45987.0</v>
      </c>
      <c r="J53" s="288">
        <v>45987.0</v>
      </c>
      <c r="K53" s="285"/>
      <c r="L53" s="485"/>
      <c r="M53" s="290" t="s">
        <v>10627</v>
      </c>
      <c r="N53" s="299" t="s">
        <v>497</v>
      </c>
      <c r="O53" s="322" t="s">
        <v>2554</v>
      </c>
      <c r="P53" s="300">
        <v>42951.2</v>
      </c>
      <c r="Q53" s="299">
        <f t="shared" si="1"/>
        <v>48</v>
      </c>
      <c r="R53" s="299" t="s">
        <v>9198</v>
      </c>
      <c r="S53" s="299" t="s">
        <v>9171</v>
      </c>
      <c r="T53" s="198"/>
      <c r="U53" s="198"/>
      <c r="V53" s="198"/>
      <c r="W53" s="198"/>
      <c r="X53" s="198"/>
      <c r="Y53" s="198"/>
      <c r="Z53" s="198"/>
    </row>
    <row r="54" ht="91.5" customHeight="1">
      <c r="A54" s="370">
        <v>41497.0</v>
      </c>
      <c r="B54" s="292" t="s">
        <v>6501</v>
      </c>
      <c r="C54" s="299">
        <v>758.0</v>
      </c>
      <c r="D54" s="285" t="s">
        <v>10628</v>
      </c>
      <c r="E54" s="287" t="s">
        <v>10629</v>
      </c>
      <c r="F54" s="288">
        <v>45981.0</v>
      </c>
      <c r="G54" s="288">
        <v>45971.0</v>
      </c>
      <c r="H54" s="288">
        <v>45971.0</v>
      </c>
      <c r="I54" s="288">
        <v>45987.0</v>
      </c>
      <c r="J54" s="288">
        <v>45987.0</v>
      </c>
      <c r="K54" s="285"/>
      <c r="L54" s="485"/>
      <c r="M54" s="290" t="s">
        <v>10630</v>
      </c>
      <c r="N54" s="299" t="s">
        <v>4635</v>
      </c>
      <c r="O54" s="322" t="s">
        <v>2621</v>
      </c>
      <c r="P54" s="300">
        <v>38524.8</v>
      </c>
      <c r="Q54" s="299">
        <f t="shared" si="1"/>
        <v>47</v>
      </c>
      <c r="R54" s="299"/>
      <c r="S54" s="299" t="s">
        <v>10487</v>
      </c>
      <c r="T54" s="198"/>
      <c r="U54" s="198"/>
      <c r="V54" s="198"/>
      <c r="W54" s="198"/>
      <c r="X54" s="198"/>
      <c r="Y54" s="198"/>
      <c r="Z54" s="198"/>
    </row>
    <row r="55" ht="91.5" customHeight="1">
      <c r="A55" s="370">
        <v>41294.0</v>
      </c>
      <c r="B55" s="285" t="s">
        <v>21</v>
      </c>
      <c r="C55" s="299">
        <v>500.0</v>
      </c>
      <c r="D55" s="285" t="s">
        <v>10631</v>
      </c>
      <c r="E55" s="287" t="s">
        <v>6754</v>
      </c>
      <c r="F55" s="288">
        <v>45981.0</v>
      </c>
      <c r="G55" s="288">
        <v>45978.0</v>
      </c>
      <c r="H55" s="288">
        <v>45978.0</v>
      </c>
      <c r="I55" s="288">
        <v>45989.0</v>
      </c>
      <c r="J55" s="288">
        <v>45989.0</v>
      </c>
      <c r="K55" s="573" t="s">
        <v>10632</v>
      </c>
      <c r="L55" s="574" t="s">
        <v>9178</v>
      </c>
      <c r="M55" s="290" t="s">
        <v>10633</v>
      </c>
      <c r="N55" s="299" t="s">
        <v>4635</v>
      </c>
      <c r="O55" s="322" t="s">
        <v>2621</v>
      </c>
      <c r="P55" s="300">
        <v>38730.0</v>
      </c>
      <c r="Q55" s="299">
        <f t="shared" si="1"/>
        <v>47</v>
      </c>
      <c r="R55" s="299"/>
      <c r="S55" s="299" t="s">
        <v>10487</v>
      </c>
      <c r="T55" s="198"/>
      <c r="U55" s="198"/>
      <c r="V55" s="198"/>
      <c r="W55" s="198"/>
      <c r="X55" s="198"/>
      <c r="Y55" s="198"/>
      <c r="Z55" s="198"/>
    </row>
    <row r="56" ht="91.5" customHeight="1">
      <c r="A56" s="370">
        <v>41367.0</v>
      </c>
      <c r="B56" s="285" t="s">
        <v>21</v>
      </c>
      <c r="C56" s="299">
        <v>1355.0</v>
      </c>
      <c r="D56" s="285" t="s">
        <v>10634</v>
      </c>
      <c r="E56" s="287" t="s">
        <v>10635</v>
      </c>
      <c r="F56" s="288">
        <v>45981.0</v>
      </c>
      <c r="G56" s="288">
        <v>45977.0</v>
      </c>
      <c r="H56" s="288">
        <v>45977.0</v>
      </c>
      <c r="I56" s="288">
        <v>45987.0</v>
      </c>
      <c r="J56" s="288">
        <v>45987.0</v>
      </c>
      <c r="K56" s="285" t="s">
        <v>4841</v>
      </c>
      <c r="L56" s="485"/>
      <c r="M56" s="290" t="s">
        <v>10636</v>
      </c>
      <c r="N56" s="299" t="s">
        <v>497</v>
      </c>
      <c r="O56" s="322" t="s">
        <v>2621</v>
      </c>
      <c r="P56" s="300">
        <v>46129.54</v>
      </c>
      <c r="Q56" s="299">
        <f t="shared" si="1"/>
        <v>47</v>
      </c>
      <c r="R56" s="299"/>
      <c r="S56" s="299" t="s">
        <v>10487</v>
      </c>
      <c r="T56" s="198"/>
      <c r="U56" s="198"/>
      <c r="V56" s="198"/>
      <c r="W56" s="198"/>
      <c r="X56" s="198"/>
      <c r="Y56" s="198"/>
      <c r="Z56" s="198"/>
    </row>
    <row r="57" ht="91.5" customHeight="1">
      <c r="A57" s="370" t="s">
        <v>10637</v>
      </c>
      <c r="B57" s="292" t="s">
        <v>10194</v>
      </c>
      <c r="C57" s="285" t="s">
        <v>10638</v>
      </c>
      <c r="D57" s="285" t="s">
        <v>10639</v>
      </c>
      <c r="E57" s="287" t="s">
        <v>10640</v>
      </c>
      <c r="F57" s="288">
        <v>45979.0</v>
      </c>
      <c r="G57" s="285" t="s">
        <v>4841</v>
      </c>
      <c r="H57" s="288">
        <v>45993.0</v>
      </c>
      <c r="I57" s="288">
        <v>45993.0</v>
      </c>
      <c r="J57" s="288">
        <v>45993.0</v>
      </c>
      <c r="K57" s="285" t="s">
        <v>4841</v>
      </c>
      <c r="L57" s="572"/>
      <c r="M57" s="290" t="s">
        <v>10641</v>
      </c>
      <c r="N57" s="299" t="s">
        <v>497</v>
      </c>
      <c r="O57" s="322" t="s">
        <v>2628</v>
      </c>
      <c r="P57" s="300">
        <v>704.0</v>
      </c>
      <c r="Q57" s="299">
        <f t="shared" si="1"/>
        <v>47</v>
      </c>
      <c r="R57" s="299"/>
      <c r="S57" s="299" t="s">
        <v>10487</v>
      </c>
      <c r="T57" s="198"/>
      <c r="U57" s="198"/>
      <c r="V57" s="198"/>
      <c r="W57" s="198"/>
      <c r="X57" s="198"/>
      <c r="Y57" s="198"/>
      <c r="Z57" s="198"/>
    </row>
    <row r="58" ht="91.5" customHeight="1">
      <c r="A58" s="370">
        <v>41381.0</v>
      </c>
      <c r="B58" s="285" t="s">
        <v>21</v>
      </c>
      <c r="C58" s="299">
        <v>4355.0</v>
      </c>
      <c r="D58" s="285" t="s">
        <v>10642</v>
      </c>
      <c r="E58" s="287" t="s">
        <v>10643</v>
      </c>
      <c r="F58" s="288">
        <v>45979.0</v>
      </c>
      <c r="G58" s="288">
        <v>45974.0</v>
      </c>
      <c r="H58" s="288">
        <v>45974.0</v>
      </c>
      <c r="I58" s="288">
        <v>45985.0</v>
      </c>
      <c r="J58" s="288">
        <v>45985.0</v>
      </c>
      <c r="K58" s="285" t="s">
        <v>5270</v>
      </c>
      <c r="L58" s="572" t="s">
        <v>9178</v>
      </c>
      <c r="M58" s="290" t="s">
        <v>10644</v>
      </c>
      <c r="N58" s="299" t="s">
        <v>497</v>
      </c>
      <c r="O58" s="322" t="s">
        <v>2554</v>
      </c>
      <c r="P58" s="300">
        <v>33011.58</v>
      </c>
      <c r="Q58" s="299">
        <f t="shared" si="1"/>
        <v>47</v>
      </c>
      <c r="R58" s="299" t="s">
        <v>9198</v>
      </c>
      <c r="S58" s="299" t="s">
        <v>9171</v>
      </c>
      <c r="T58" s="198"/>
      <c r="U58" s="198"/>
      <c r="V58" s="198"/>
      <c r="W58" s="198"/>
      <c r="X58" s="198"/>
      <c r="Y58" s="198"/>
      <c r="Z58" s="198"/>
    </row>
    <row r="59" ht="91.5" customHeight="1">
      <c r="A59" s="370">
        <v>41382.0</v>
      </c>
      <c r="B59" s="285" t="s">
        <v>21</v>
      </c>
      <c r="C59" s="299">
        <v>4355.0</v>
      </c>
      <c r="D59" s="285" t="s">
        <v>10645</v>
      </c>
      <c r="E59" s="287" t="s">
        <v>10601</v>
      </c>
      <c r="F59" s="288">
        <v>45979.0</v>
      </c>
      <c r="G59" s="288">
        <v>45974.0</v>
      </c>
      <c r="H59" s="288">
        <v>45974.0</v>
      </c>
      <c r="I59" s="288">
        <v>45982.0</v>
      </c>
      <c r="J59" s="288">
        <v>45982.0</v>
      </c>
      <c r="K59" s="285" t="s">
        <v>5270</v>
      </c>
      <c r="L59" s="572" t="s">
        <v>9178</v>
      </c>
      <c r="M59" s="290" t="s">
        <v>10646</v>
      </c>
      <c r="N59" s="299" t="s">
        <v>497</v>
      </c>
      <c r="O59" s="322" t="s">
        <v>2554</v>
      </c>
      <c r="P59" s="300">
        <v>30049.5</v>
      </c>
      <c r="Q59" s="299">
        <f t="shared" si="1"/>
        <v>47</v>
      </c>
      <c r="R59" s="299" t="s">
        <v>9198</v>
      </c>
      <c r="S59" s="299" t="s">
        <v>9171</v>
      </c>
      <c r="T59" s="198"/>
      <c r="U59" s="198"/>
      <c r="V59" s="198"/>
      <c r="W59" s="198"/>
      <c r="X59" s="198"/>
      <c r="Y59" s="198"/>
      <c r="Z59" s="198"/>
    </row>
    <row r="60" ht="91.5" customHeight="1">
      <c r="A60" s="370">
        <v>41195.0</v>
      </c>
      <c r="B60" s="292" t="s">
        <v>715</v>
      </c>
      <c r="C60" s="299">
        <v>5251.0</v>
      </c>
      <c r="D60" s="285" t="s">
        <v>10647</v>
      </c>
      <c r="E60" s="287" t="s">
        <v>10539</v>
      </c>
      <c r="F60" s="288">
        <v>45978.0</v>
      </c>
      <c r="G60" s="288">
        <v>45974.0</v>
      </c>
      <c r="H60" s="288">
        <v>45974.0</v>
      </c>
      <c r="I60" s="288">
        <v>45985.0</v>
      </c>
      <c r="J60" s="288">
        <v>45985.0</v>
      </c>
      <c r="K60" s="285"/>
      <c r="L60" s="485"/>
      <c r="M60" s="290" t="s">
        <v>10648</v>
      </c>
      <c r="N60" s="299" t="s">
        <v>497</v>
      </c>
      <c r="O60" s="322" t="s">
        <v>2554</v>
      </c>
      <c r="P60" s="300">
        <v>26250.0</v>
      </c>
      <c r="Q60" s="299">
        <f t="shared" si="1"/>
        <v>47</v>
      </c>
      <c r="R60" s="299" t="s">
        <v>9170</v>
      </c>
      <c r="S60" s="299" t="s">
        <v>9171</v>
      </c>
      <c r="T60" s="198"/>
      <c r="U60" s="198"/>
      <c r="V60" s="198"/>
      <c r="W60" s="198"/>
      <c r="X60" s="198"/>
      <c r="Y60" s="198"/>
      <c r="Z60" s="198"/>
    </row>
    <row r="61" ht="91.5" customHeight="1">
      <c r="A61" s="370">
        <v>41523.0</v>
      </c>
      <c r="B61" s="285" t="s">
        <v>21</v>
      </c>
      <c r="C61" s="299" t="s">
        <v>10649</v>
      </c>
      <c r="D61" s="285" t="s">
        <v>10650</v>
      </c>
      <c r="E61" s="287" t="s">
        <v>9331</v>
      </c>
      <c r="F61" s="288">
        <v>45977.0</v>
      </c>
      <c r="G61" s="288">
        <v>45973.0</v>
      </c>
      <c r="H61" s="288">
        <v>45982.0</v>
      </c>
      <c r="I61" s="288">
        <v>45982.0</v>
      </c>
      <c r="J61" s="288">
        <v>45982.0</v>
      </c>
      <c r="K61" s="285" t="s">
        <v>4841</v>
      </c>
      <c r="L61" s="485"/>
      <c r="M61" s="290" t="s">
        <v>10651</v>
      </c>
      <c r="N61" s="299" t="s">
        <v>497</v>
      </c>
      <c r="O61" s="322" t="s">
        <v>2628</v>
      </c>
      <c r="P61" s="300">
        <v>31245.0</v>
      </c>
      <c r="Q61" s="299">
        <f t="shared" si="1"/>
        <v>47</v>
      </c>
      <c r="R61" s="299"/>
      <c r="S61" s="299" t="s">
        <v>10487</v>
      </c>
      <c r="T61" s="198"/>
      <c r="U61" s="198"/>
      <c r="V61" s="198"/>
      <c r="W61" s="198"/>
      <c r="X61" s="198"/>
      <c r="Y61" s="198"/>
      <c r="Z61" s="198"/>
    </row>
    <row r="62" ht="91.5" customHeight="1">
      <c r="A62" s="370">
        <v>41196.0</v>
      </c>
      <c r="B62" s="292" t="s">
        <v>715</v>
      </c>
      <c r="C62" s="299">
        <v>4502.0</v>
      </c>
      <c r="D62" s="285" t="s">
        <v>10652</v>
      </c>
      <c r="E62" s="287" t="s">
        <v>10536</v>
      </c>
      <c r="F62" s="288">
        <v>45976.0</v>
      </c>
      <c r="G62" s="288">
        <v>45975.0</v>
      </c>
      <c r="H62" s="288">
        <v>45975.0</v>
      </c>
      <c r="I62" s="288">
        <v>45982.0</v>
      </c>
      <c r="J62" s="288">
        <v>45982.0</v>
      </c>
      <c r="K62" s="285" t="s">
        <v>5270</v>
      </c>
      <c r="L62" s="572" t="s">
        <v>9178</v>
      </c>
      <c r="M62" s="290" t="s">
        <v>10653</v>
      </c>
      <c r="N62" s="299" t="s">
        <v>497</v>
      </c>
      <c r="O62" s="322" t="s">
        <v>2554</v>
      </c>
      <c r="P62" s="300">
        <v>33187.5</v>
      </c>
      <c r="Q62" s="299">
        <f t="shared" si="1"/>
        <v>46</v>
      </c>
      <c r="R62" s="299" t="s">
        <v>9198</v>
      </c>
      <c r="S62" s="299" t="s">
        <v>9171</v>
      </c>
      <c r="T62" s="198"/>
      <c r="U62" s="198"/>
      <c r="V62" s="198"/>
      <c r="W62" s="198"/>
      <c r="X62" s="198"/>
      <c r="Y62" s="198"/>
      <c r="Z62" s="198"/>
    </row>
    <row r="63" ht="91.5" customHeight="1">
      <c r="A63" s="370">
        <v>40611.0</v>
      </c>
      <c r="B63" s="292" t="s">
        <v>715</v>
      </c>
      <c r="C63" s="299">
        <v>2576.0</v>
      </c>
      <c r="D63" s="285" t="s">
        <v>10654</v>
      </c>
      <c r="E63" s="287" t="s">
        <v>10655</v>
      </c>
      <c r="F63" s="288">
        <v>45976.0</v>
      </c>
      <c r="G63" s="288">
        <v>45971.0</v>
      </c>
      <c r="H63" s="288">
        <v>45971.0</v>
      </c>
      <c r="I63" s="288">
        <v>45982.0</v>
      </c>
      <c r="J63" s="288">
        <v>45982.0</v>
      </c>
      <c r="K63" s="285"/>
      <c r="L63" s="485"/>
      <c r="M63" s="290" t="s">
        <v>10656</v>
      </c>
      <c r="N63" s="299" t="s">
        <v>497</v>
      </c>
      <c r="O63" s="322" t="s">
        <v>2554</v>
      </c>
      <c r="P63" s="371">
        <v>58307.76</v>
      </c>
      <c r="Q63" s="299">
        <f t="shared" si="1"/>
        <v>46</v>
      </c>
      <c r="R63" s="299" t="s">
        <v>9198</v>
      </c>
      <c r="S63" s="299" t="s">
        <v>9171</v>
      </c>
      <c r="T63" s="198"/>
      <c r="U63" s="198"/>
      <c r="V63" s="198"/>
      <c r="W63" s="198"/>
      <c r="X63" s="198"/>
      <c r="Y63" s="198"/>
      <c r="Z63" s="198"/>
    </row>
    <row r="64" ht="91.5" customHeight="1">
      <c r="A64" s="370">
        <v>41123.0</v>
      </c>
      <c r="B64" s="292" t="s">
        <v>715</v>
      </c>
      <c r="C64" s="299">
        <v>4355.0</v>
      </c>
      <c r="D64" s="285" t="s">
        <v>10657</v>
      </c>
      <c r="E64" s="287" t="s">
        <v>10609</v>
      </c>
      <c r="F64" s="288">
        <v>45976.0</v>
      </c>
      <c r="G64" s="288">
        <v>45971.0</v>
      </c>
      <c r="H64" s="288">
        <v>45971.0</v>
      </c>
      <c r="I64" s="288">
        <v>45985.0</v>
      </c>
      <c r="J64" s="288">
        <v>45985.0</v>
      </c>
      <c r="K64" s="285"/>
      <c r="L64" s="485"/>
      <c r="M64" s="290" t="s">
        <v>10658</v>
      </c>
      <c r="N64" s="299" t="s">
        <v>497</v>
      </c>
      <c r="O64" s="322" t="s">
        <v>2554</v>
      </c>
      <c r="P64" s="300">
        <v>35972.3</v>
      </c>
      <c r="Q64" s="299">
        <f t="shared" si="1"/>
        <v>46</v>
      </c>
      <c r="R64" s="299" t="s">
        <v>9198</v>
      </c>
      <c r="S64" s="299" t="s">
        <v>9171</v>
      </c>
      <c r="T64" s="198"/>
      <c r="U64" s="198"/>
      <c r="V64" s="198"/>
      <c r="W64" s="198"/>
      <c r="X64" s="198"/>
      <c r="Y64" s="198"/>
      <c r="Z64" s="198"/>
    </row>
    <row r="65" ht="91.5" customHeight="1">
      <c r="A65" s="370">
        <v>41391.0</v>
      </c>
      <c r="B65" s="292" t="s">
        <v>715</v>
      </c>
      <c r="C65" s="299">
        <v>1000.0</v>
      </c>
      <c r="D65" s="285" t="s">
        <v>10659</v>
      </c>
      <c r="E65" s="287" t="s">
        <v>9291</v>
      </c>
      <c r="F65" s="288">
        <v>45976.0</v>
      </c>
      <c r="G65" s="288">
        <v>45978.0</v>
      </c>
      <c r="H65" s="288">
        <v>45978.0</v>
      </c>
      <c r="I65" s="288">
        <v>45981.0</v>
      </c>
      <c r="J65" s="288">
        <v>45981.0</v>
      </c>
      <c r="K65" s="285"/>
      <c r="L65" s="485"/>
      <c r="M65" s="290" t="s">
        <v>10660</v>
      </c>
      <c r="N65" s="299" t="s">
        <v>4635</v>
      </c>
      <c r="O65" s="322" t="s">
        <v>2621</v>
      </c>
      <c r="P65" s="300">
        <v>34408.0</v>
      </c>
      <c r="Q65" s="299">
        <f t="shared" si="1"/>
        <v>46</v>
      </c>
      <c r="R65" s="299"/>
      <c r="S65" s="299" t="s">
        <v>8430</v>
      </c>
      <c r="T65" s="198"/>
      <c r="U65" s="198"/>
      <c r="V65" s="198"/>
      <c r="W65" s="198"/>
      <c r="X65" s="198"/>
      <c r="Y65" s="198"/>
      <c r="Z65" s="198"/>
    </row>
    <row r="66" ht="91.5" customHeight="1">
      <c r="A66" s="370">
        <v>41433.0</v>
      </c>
      <c r="B66" s="285" t="s">
        <v>21</v>
      </c>
      <c r="C66" s="299">
        <v>980.0</v>
      </c>
      <c r="D66" s="285" t="s">
        <v>10661</v>
      </c>
      <c r="E66" s="287" t="s">
        <v>10662</v>
      </c>
      <c r="F66" s="288">
        <v>45975.0</v>
      </c>
      <c r="G66" s="288">
        <v>45974.0</v>
      </c>
      <c r="H66" s="288">
        <v>45974.0</v>
      </c>
      <c r="I66" s="288">
        <v>45982.0</v>
      </c>
      <c r="J66" s="288">
        <v>45982.0</v>
      </c>
      <c r="K66" s="573" t="s">
        <v>10663</v>
      </c>
      <c r="L66" s="574" t="s">
        <v>9178</v>
      </c>
      <c r="M66" s="290" t="s">
        <v>10664</v>
      </c>
      <c r="N66" s="299" t="s">
        <v>4635</v>
      </c>
      <c r="O66" s="322" t="s">
        <v>2621</v>
      </c>
      <c r="P66" s="300">
        <v>69497.0</v>
      </c>
      <c r="Q66" s="299">
        <f t="shared" si="1"/>
        <v>46</v>
      </c>
      <c r="R66" s="299"/>
      <c r="S66" s="299" t="s">
        <v>8430</v>
      </c>
      <c r="T66" s="198"/>
      <c r="U66" s="198"/>
      <c r="V66" s="198"/>
      <c r="W66" s="198"/>
      <c r="X66" s="198"/>
      <c r="Y66" s="198"/>
      <c r="Z66" s="198"/>
    </row>
    <row r="67" ht="91.5" customHeight="1">
      <c r="A67" s="370">
        <v>41457.0</v>
      </c>
      <c r="B67" s="292" t="s">
        <v>715</v>
      </c>
      <c r="C67" s="299">
        <v>1100.0</v>
      </c>
      <c r="D67" s="285" t="s">
        <v>10665</v>
      </c>
      <c r="E67" s="287" t="s">
        <v>7661</v>
      </c>
      <c r="F67" s="288">
        <v>45973.0</v>
      </c>
      <c r="G67" s="288">
        <v>45974.0</v>
      </c>
      <c r="H67" s="288">
        <v>45973.0</v>
      </c>
      <c r="I67" s="288">
        <v>45980.0</v>
      </c>
      <c r="J67" s="288">
        <v>45980.0</v>
      </c>
      <c r="K67" s="285"/>
      <c r="L67" s="485"/>
      <c r="M67" s="290" t="s">
        <v>10666</v>
      </c>
      <c r="N67" s="299" t="s">
        <v>4635</v>
      </c>
      <c r="O67" s="322" t="s">
        <v>2621</v>
      </c>
      <c r="P67" s="300">
        <v>84819.3</v>
      </c>
      <c r="Q67" s="299">
        <f t="shared" si="1"/>
        <v>46</v>
      </c>
      <c r="R67" s="299"/>
      <c r="S67" s="299" t="s">
        <v>10487</v>
      </c>
      <c r="T67" s="198"/>
      <c r="U67" s="198"/>
      <c r="V67" s="198"/>
      <c r="W67" s="198"/>
      <c r="X67" s="198"/>
      <c r="Y67" s="198"/>
      <c r="Z67" s="198"/>
    </row>
    <row r="68" ht="91.5" customHeight="1">
      <c r="A68" s="370">
        <v>41555.0</v>
      </c>
      <c r="B68" s="292" t="s">
        <v>25</v>
      </c>
      <c r="C68" s="299">
        <v>2050.0</v>
      </c>
      <c r="D68" s="285" t="s">
        <v>10667</v>
      </c>
      <c r="E68" s="287" t="s">
        <v>10521</v>
      </c>
      <c r="F68" s="288">
        <v>45973.0</v>
      </c>
      <c r="G68" s="288">
        <v>45971.0</v>
      </c>
      <c r="H68" s="288">
        <v>45971.0</v>
      </c>
      <c r="I68" s="288">
        <v>45975.0</v>
      </c>
      <c r="J68" s="288">
        <v>45975.0</v>
      </c>
      <c r="K68" s="285"/>
      <c r="L68" s="485"/>
      <c r="M68" s="290" t="s">
        <v>10668</v>
      </c>
      <c r="N68" s="299" t="s">
        <v>6366</v>
      </c>
      <c r="O68" s="322" t="s">
        <v>2621</v>
      </c>
      <c r="P68" s="300">
        <v>43535.5</v>
      </c>
      <c r="Q68" s="299">
        <f t="shared" si="1"/>
        <v>46</v>
      </c>
      <c r="R68" s="299"/>
      <c r="S68" s="299" t="s">
        <v>10487</v>
      </c>
      <c r="T68" s="198"/>
      <c r="U68" s="198"/>
      <c r="V68" s="198"/>
      <c r="W68" s="198"/>
      <c r="X68" s="198"/>
      <c r="Y68" s="198"/>
      <c r="Z68" s="198"/>
    </row>
    <row r="69" ht="91.5" customHeight="1">
      <c r="A69" s="370">
        <v>41553.0</v>
      </c>
      <c r="B69" s="292" t="s">
        <v>25</v>
      </c>
      <c r="C69" s="299">
        <v>980.0</v>
      </c>
      <c r="D69" s="285" t="s">
        <v>10669</v>
      </c>
      <c r="E69" s="287" t="s">
        <v>9322</v>
      </c>
      <c r="F69" s="288">
        <v>45973.0</v>
      </c>
      <c r="G69" s="288">
        <v>45970.0</v>
      </c>
      <c r="H69" s="288">
        <v>45970.0</v>
      </c>
      <c r="I69" s="288">
        <v>45979.0</v>
      </c>
      <c r="J69" s="288">
        <v>45979.0</v>
      </c>
      <c r="K69" s="285"/>
      <c r="L69" s="485"/>
      <c r="M69" s="290" t="s">
        <v>10670</v>
      </c>
      <c r="N69" s="299" t="s">
        <v>497</v>
      </c>
      <c r="O69" s="322" t="s">
        <v>4853</v>
      </c>
      <c r="P69" s="300">
        <v>27760.9</v>
      </c>
      <c r="Q69" s="299">
        <f t="shared" si="1"/>
        <v>46</v>
      </c>
      <c r="R69" s="299"/>
      <c r="S69" s="299" t="s">
        <v>10487</v>
      </c>
      <c r="T69" s="198"/>
      <c r="U69" s="198"/>
      <c r="V69" s="198"/>
      <c r="W69" s="198"/>
      <c r="X69" s="198"/>
      <c r="Y69" s="198"/>
      <c r="Z69" s="198"/>
    </row>
    <row r="70" ht="91.5" customHeight="1">
      <c r="A70" s="370">
        <v>41173.0</v>
      </c>
      <c r="B70" s="292" t="s">
        <v>715</v>
      </c>
      <c r="C70" s="299">
        <v>4355.0</v>
      </c>
      <c r="D70" s="285" t="s">
        <v>10671</v>
      </c>
      <c r="E70" s="287" t="s">
        <v>10609</v>
      </c>
      <c r="F70" s="288">
        <v>45973.0</v>
      </c>
      <c r="G70" s="288">
        <v>45967.0</v>
      </c>
      <c r="H70" s="288">
        <v>45967.0</v>
      </c>
      <c r="I70" s="288">
        <v>45979.0</v>
      </c>
      <c r="J70" s="288">
        <v>45979.0</v>
      </c>
      <c r="K70" s="285"/>
      <c r="L70" s="485"/>
      <c r="M70" s="290" t="s">
        <v>10672</v>
      </c>
      <c r="N70" s="299" t="s">
        <v>497</v>
      </c>
      <c r="O70" s="322" t="s">
        <v>2554</v>
      </c>
      <c r="P70" s="300">
        <v>35972.3</v>
      </c>
      <c r="Q70" s="299">
        <f t="shared" si="1"/>
        <v>46</v>
      </c>
      <c r="R70" s="299" t="s">
        <v>9198</v>
      </c>
      <c r="S70" s="299" t="s">
        <v>9171</v>
      </c>
      <c r="T70" s="198"/>
      <c r="U70" s="198"/>
      <c r="V70" s="198"/>
      <c r="W70" s="198"/>
      <c r="X70" s="198"/>
      <c r="Y70" s="198"/>
      <c r="Z70" s="198"/>
    </row>
    <row r="71" ht="91.5" customHeight="1">
      <c r="A71" s="370">
        <v>41164.0</v>
      </c>
      <c r="B71" s="292" t="s">
        <v>715</v>
      </c>
      <c r="C71" s="299">
        <v>4355.0</v>
      </c>
      <c r="D71" s="285" t="s">
        <v>10673</v>
      </c>
      <c r="E71" s="287" t="s">
        <v>10674</v>
      </c>
      <c r="F71" s="288">
        <v>45973.0</v>
      </c>
      <c r="G71" s="288">
        <v>45967.0</v>
      </c>
      <c r="H71" s="288">
        <v>45967.0</v>
      </c>
      <c r="I71" s="288">
        <v>45978.0</v>
      </c>
      <c r="J71" s="288">
        <v>45978.0</v>
      </c>
      <c r="K71" s="285"/>
      <c r="L71" s="485"/>
      <c r="M71" s="290" t="s">
        <v>10675</v>
      </c>
      <c r="N71" s="299" t="s">
        <v>497</v>
      </c>
      <c r="O71" s="322" t="s">
        <v>2554</v>
      </c>
      <c r="P71" s="300">
        <v>33252.3</v>
      </c>
      <c r="Q71" s="299">
        <f t="shared" si="1"/>
        <v>46</v>
      </c>
      <c r="R71" s="299" t="s">
        <v>9198</v>
      </c>
      <c r="S71" s="299" t="s">
        <v>9171</v>
      </c>
      <c r="T71" s="198"/>
      <c r="U71" s="198"/>
      <c r="V71" s="198"/>
      <c r="W71" s="198"/>
      <c r="X71" s="198"/>
      <c r="Y71" s="198"/>
      <c r="Z71" s="198"/>
    </row>
    <row r="72" ht="91.5" customHeight="1">
      <c r="A72" s="370">
        <v>41162.0</v>
      </c>
      <c r="B72" s="292" t="s">
        <v>715</v>
      </c>
      <c r="C72" s="299">
        <v>5250.0</v>
      </c>
      <c r="D72" s="285" t="s">
        <v>10676</v>
      </c>
      <c r="E72" s="287" t="s">
        <v>10677</v>
      </c>
      <c r="F72" s="288">
        <v>45973.0</v>
      </c>
      <c r="G72" s="288">
        <v>45967.0</v>
      </c>
      <c r="H72" s="288">
        <v>45967.0</v>
      </c>
      <c r="I72" s="288">
        <v>45978.0</v>
      </c>
      <c r="J72" s="288">
        <v>45978.0</v>
      </c>
      <c r="K72" s="285"/>
      <c r="L72" s="485"/>
      <c r="M72" s="290" t="s">
        <v>10678</v>
      </c>
      <c r="N72" s="299" t="s">
        <v>497</v>
      </c>
      <c r="O72" s="322" t="s">
        <v>2554</v>
      </c>
      <c r="P72" s="300">
        <v>32917.5</v>
      </c>
      <c r="Q72" s="299">
        <f t="shared" si="1"/>
        <v>46</v>
      </c>
      <c r="R72" s="299" t="s">
        <v>9198</v>
      </c>
      <c r="S72" s="299" t="s">
        <v>9171</v>
      </c>
      <c r="T72" s="198"/>
      <c r="U72" s="198"/>
      <c r="V72" s="198"/>
      <c r="W72" s="198"/>
      <c r="X72" s="198"/>
      <c r="Y72" s="198"/>
      <c r="Z72" s="198"/>
    </row>
    <row r="73" ht="91.5" customHeight="1">
      <c r="A73" s="370">
        <v>41166.0</v>
      </c>
      <c r="B73" s="292" t="s">
        <v>715</v>
      </c>
      <c r="C73" s="299">
        <v>2275.0</v>
      </c>
      <c r="D73" s="285" t="s">
        <v>10679</v>
      </c>
      <c r="E73" s="287" t="s">
        <v>10604</v>
      </c>
      <c r="F73" s="288">
        <v>45973.0</v>
      </c>
      <c r="G73" s="288">
        <v>45967.0</v>
      </c>
      <c r="H73" s="288">
        <v>45967.0</v>
      </c>
      <c r="I73" s="288">
        <v>45979.0</v>
      </c>
      <c r="J73" s="288">
        <v>45979.0</v>
      </c>
      <c r="K73" s="285"/>
      <c r="L73" s="485"/>
      <c r="M73" s="290" t="s">
        <v>10680</v>
      </c>
      <c r="N73" s="299" t="s">
        <v>497</v>
      </c>
      <c r="O73" s="322" t="s">
        <v>2554</v>
      </c>
      <c r="P73" s="300">
        <v>35490.0</v>
      </c>
      <c r="Q73" s="299">
        <f t="shared" si="1"/>
        <v>46</v>
      </c>
      <c r="R73" s="299" t="s">
        <v>9198</v>
      </c>
      <c r="S73" s="299" t="s">
        <v>9171</v>
      </c>
      <c r="T73" s="198"/>
      <c r="U73" s="198"/>
      <c r="V73" s="198"/>
      <c r="W73" s="198"/>
      <c r="X73" s="198"/>
      <c r="Y73" s="198"/>
      <c r="Z73" s="198"/>
    </row>
    <row r="74" ht="91.5" customHeight="1">
      <c r="A74" s="370">
        <v>41213.0</v>
      </c>
      <c r="B74" s="285" t="s">
        <v>21</v>
      </c>
      <c r="C74" s="299">
        <v>4502.0</v>
      </c>
      <c r="D74" s="285" t="s">
        <v>10681</v>
      </c>
      <c r="E74" s="287" t="s">
        <v>10536</v>
      </c>
      <c r="F74" s="288">
        <v>45972.0</v>
      </c>
      <c r="G74" s="288">
        <v>45968.0</v>
      </c>
      <c r="H74" s="288">
        <v>45968.0</v>
      </c>
      <c r="I74" s="288">
        <v>45978.0</v>
      </c>
      <c r="J74" s="288">
        <v>45978.0</v>
      </c>
      <c r="K74" s="285" t="s">
        <v>5270</v>
      </c>
      <c r="L74" s="572" t="s">
        <v>9178</v>
      </c>
      <c r="M74" s="290" t="s">
        <v>10682</v>
      </c>
      <c r="N74" s="299" t="s">
        <v>497</v>
      </c>
      <c r="O74" s="322" t="s">
        <v>2554</v>
      </c>
      <c r="P74" s="300">
        <v>33000.0</v>
      </c>
      <c r="Q74" s="299">
        <f t="shared" si="1"/>
        <v>46</v>
      </c>
      <c r="R74" s="299" t="s">
        <v>9170</v>
      </c>
      <c r="S74" s="299" t="s">
        <v>9171</v>
      </c>
      <c r="T74" s="198"/>
      <c r="U74" s="198"/>
      <c r="V74" s="198"/>
      <c r="W74" s="198"/>
      <c r="X74" s="198"/>
      <c r="Y74" s="198"/>
      <c r="Z74" s="198"/>
    </row>
    <row r="75" ht="91.5" customHeight="1">
      <c r="A75" s="370">
        <v>41214.0</v>
      </c>
      <c r="B75" s="285" t="s">
        <v>21</v>
      </c>
      <c r="C75" s="299">
        <v>4502.0</v>
      </c>
      <c r="D75" s="285" t="s">
        <v>10683</v>
      </c>
      <c r="E75" s="287" t="s">
        <v>10536</v>
      </c>
      <c r="F75" s="288">
        <v>45972.0</v>
      </c>
      <c r="G75" s="288">
        <v>45968.0</v>
      </c>
      <c r="H75" s="288">
        <v>45968.0</v>
      </c>
      <c r="I75" s="288">
        <v>45979.0</v>
      </c>
      <c r="J75" s="288">
        <v>45979.0</v>
      </c>
      <c r="K75" s="285" t="s">
        <v>5270</v>
      </c>
      <c r="L75" s="572" t="s">
        <v>9178</v>
      </c>
      <c r="M75" s="290" t="s">
        <v>10684</v>
      </c>
      <c r="N75" s="299" t="s">
        <v>497</v>
      </c>
      <c r="O75" s="322" t="s">
        <v>2554</v>
      </c>
      <c r="P75" s="300">
        <v>33000.0</v>
      </c>
      <c r="Q75" s="299">
        <f t="shared" si="1"/>
        <v>46</v>
      </c>
      <c r="R75" s="299" t="s">
        <v>9170</v>
      </c>
      <c r="S75" s="299" t="s">
        <v>9171</v>
      </c>
      <c r="T75" s="198"/>
      <c r="U75" s="198"/>
      <c r="V75" s="198"/>
      <c r="W75" s="198"/>
      <c r="X75" s="198"/>
      <c r="Y75" s="198"/>
      <c r="Z75" s="198"/>
    </row>
    <row r="76" ht="91.5" customHeight="1">
      <c r="A76" s="370">
        <v>41122.0</v>
      </c>
      <c r="B76" s="292" t="s">
        <v>715</v>
      </c>
      <c r="C76" s="299">
        <v>4355.0</v>
      </c>
      <c r="D76" s="285" t="s">
        <v>10685</v>
      </c>
      <c r="E76" s="287" t="s">
        <v>10609</v>
      </c>
      <c r="F76" s="288">
        <v>45969.0</v>
      </c>
      <c r="G76" s="288">
        <v>45967.0</v>
      </c>
      <c r="H76" s="288">
        <v>45967.0</v>
      </c>
      <c r="I76" s="288">
        <v>45974.0</v>
      </c>
      <c r="J76" s="288">
        <v>45974.0</v>
      </c>
      <c r="K76" s="285"/>
      <c r="L76" s="485"/>
      <c r="M76" s="290" t="s">
        <v>10686</v>
      </c>
      <c r="N76" s="299" t="s">
        <v>497</v>
      </c>
      <c r="O76" s="322" t="s">
        <v>2554</v>
      </c>
      <c r="P76" s="300">
        <v>35972.3</v>
      </c>
      <c r="Q76" s="299">
        <f t="shared" si="1"/>
        <v>45</v>
      </c>
      <c r="R76" s="299" t="s">
        <v>9198</v>
      </c>
      <c r="S76" s="299" t="s">
        <v>9171</v>
      </c>
      <c r="T76" s="198"/>
      <c r="U76" s="198"/>
      <c r="V76" s="198"/>
      <c r="W76" s="198"/>
      <c r="X76" s="198"/>
      <c r="Y76" s="198"/>
      <c r="Z76" s="198"/>
    </row>
    <row r="77" ht="91.5" customHeight="1">
      <c r="A77" s="370">
        <v>41090.0</v>
      </c>
      <c r="B77" s="292" t="s">
        <v>715</v>
      </c>
      <c r="C77" s="299">
        <v>1274.0</v>
      </c>
      <c r="D77" s="285" t="s">
        <v>10687</v>
      </c>
      <c r="E77" s="287" t="s">
        <v>10494</v>
      </c>
      <c r="F77" s="288">
        <v>45969.0</v>
      </c>
      <c r="G77" s="288">
        <v>45965.0</v>
      </c>
      <c r="H77" s="288">
        <v>45965.0</v>
      </c>
      <c r="I77" s="288">
        <v>45973.0</v>
      </c>
      <c r="J77" s="288">
        <v>45973.0</v>
      </c>
      <c r="K77" s="285"/>
      <c r="L77" s="485"/>
      <c r="M77" s="290" t="s">
        <v>10688</v>
      </c>
      <c r="N77" s="299" t="s">
        <v>497</v>
      </c>
      <c r="O77" s="322" t="s">
        <v>2604</v>
      </c>
      <c r="P77" s="300">
        <v>55306.62</v>
      </c>
      <c r="Q77" s="299">
        <f t="shared" si="1"/>
        <v>45</v>
      </c>
      <c r="R77" s="299"/>
      <c r="S77" s="299" t="s">
        <v>10487</v>
      </c>
      <c r="T77" s="198"/>
      <c r="U77" s="198"/>
      <c r="V77" s="198"/>
      <c r="W77" s="198"/>
      <c r="X77" s="198"/>
      <c r="Y77" s="198"/>
      <c r="Z77" s="198"/>
    </row>
    <row r="78" ht="91.5" customHeight="1">
      <c r="A78" s="370">
        <v>41443.0</v>
      </c>
      <c r="B78" s="285" t="s">
        <v>21</v>
      </c>
      <c r="C78" s="299">
        <v>730.0</v>
      </c>
      <c r="D78" s="285" t="s">
        <v>10689</v>
      </c>
      <c r="E78" s="287" t="s">
        <v>10690</v>
      </c>
      <c r="F78" s="288">
        <v>45965.0</v>
      </c>
      <c r="G78" s="288">
        <v>45960.0</v>
      </c>
      <c r="H78" s="288">
        <v>45960.0</v>
      </c>
      <c r="I78" s="288">
        <v>45971.0</v>
      </c>
      <c r="J78" s="288">
        <v>45971.0</v>
      </c>
      <c r="K78" s="573" t="s">
        <v>10691</v>
      </c>
      <c r="L78" s="574" t="s">
        <v>9178</v>
      </c>
      <c r="M78" s="290" t="s">
        <v>10692</v>
      </c>
      <c r="N78" s="299" t="s">
        <v>6366</v>
      </c>
      <c r="O78" s="322" t="s">
        <v>2621</v>
      </c>
      <c r="P78" s="300">
        <v>32093.0</v>
      </c>
      <c r="Q78" s="299">
        <f t="shared" si="1"/>
        <v>45</v>
      </c>
      <c r="R78" s="299"/>
      <c r="S78" s="299" t="s">
        <v>10487</v>
      </c>
      <c r="T78" s="198"/>
      <c r="U78" s="198"/>
      <c r="V78" s="198"/>
      <c r="W78" s="198"/>
      <c r="X78" s="198"/>
      <c r="Y78" s="198"/>
      <c r="Z78" s="198"/>
    </row>
    <row r="79" ht="91.5" customHeight="1">
      <c r="A79" s="370">
        <v>41225.0</v>
      </c>
      <c r="B79" s="292" t="s">
        <v>25</v>
      </c>
      <c r="C79" s="299">
        <v>5251.0</v>
      </c>
      <c r="D79" s="285" t="s">
        <v>10693</v>
      </c>
      <c r="E79" s="287" t="s">
        <v>10539</v>
      </c>
      <c r="F79" s="288">
        <v>45965.0</v>
      </c>
      <c r="G79" s="288">
        <v>45960.0</v>
      </c>
      <c r="H79" s="288">
        <v>45960.0</v>
      </c>
      <c r="I79" s="288">
        <v>45973.0</v>
      </c>
      <c r="J79" s="288">
        <v>45973.0</v>
      </c>
      <c r="K79" s="285"/>
      <c r="L79" s="485"/>
      <c r="M79" s="290" t="s">
        <v>10694</v>
      </c>
      <c r="N79" s="299" t="s">
        <v>497</v>
      </c>
      <c r="O79" s="322" t="s">
        <v>2554</v>
      </c>
      <c r="P79" s="300">
        <v>26250.0</v>
      </c>
      <c r="Q79" s="299">
        <f t="shared" si="1"/>
        <v>45</v>
      </c>
      <c r="R79" s="299" t="s">
        <v>9170</v>
      </c>
      <c r="S79" s="299" t="s">
        <v>9171</v>
      </c>
      <c r="T79" s="198"/>
      <c r="U79" s="198"/>
      <c r="V79" s="198"/>
      <c r="W79" s="198"/>
      <c r="X79" s="198"/>
      <c r="Y79" s="198"/>
      <c r="Z79" s="198"/>
    </row>
    <row r="80" ht="91.5" customHeight="1">
      <c r="A80" s="370">
        <v>41194.0</v>
      </c>
      <c r="B80" s="292" t="s">
        <v>715</v>
      </c>
      <c r="C80" s="299">
        <v>5251.0</v>
      </c>
      <c r="D80" s="285" t="s">
        <v>10695</v>
      </c>
      <c r="E80" s="287" t="s">
        <v>10539</v>
      </c>
      <c r="F80" s="288">
        <v>45960.0</v>
      </c>
      <c r="G80" s="288">
        <v>45957.0</v>
      </c>
      <c r="H80" s="288">
        <v>45957.0</v>
      </c>
      <c r="I80" s="288">
        <v>45966.0</v>
      </c>
      <c r="J80" s="288">
        <v>45966.0</v>
      </c>
      <c r="K80" s="285"/>
      <c r="L80" s="485"/>
      <c r="M80" s="290" t="s">
        <v>10696</v>
      </c>
      <c r="N80" s="299" t="s">
        <v>497</v>
      </c>
      <c r="O80" s="322" t="s">
        <v>2554</v>
      </c>
      <c r="P80" s="300">
        <v>26250.0</v>
      </c>
      <c r="Q80" s="299">
        <f t="shared" si="1"/>
        <v>44</v>
      </c>
      <c r="R80" s="299" t="s">
        <v>9170</v>
      </c>
      <c r="S80" s="299" t="s">
        <v>9171</v>
      </c>
      <c r="T80" s="198"/>
      <c r="U80" s="198"/>
      <c r="V80" s="198"/>
      <c r="W80" s="198"/>
      <c r="X80" s="198"/>
      <c r="Y80" s="198"/>
      <c r="Z80" s="198"/>
    </row>
    <row r="81" ht="91.5" customHeight="1">
      <c r="A81" s="370">
        <v>41159.0</v>
      </c>
      <c r="B81" s="285" t="s">
        <v>21</v>
      </c>
      <c r="C81" s="299">
        <v>4355.0</v>
      </c>
      <c r="D81" s="285" t="s">
        <v>10697</v>
      </c>
      <c r="E81" s="287" t="s">
        <v>10596</v>
      </c>
      <c r="F81" s="288">
        <v>45955.0</v>
      </c>
      <c r="G81" s="288">
        <v>45951.0</v>
      </c>
      <c r="H81" s="288">
        <v>45951.0</v>
      </c>
      <c r="I81" s="288">
        <v>45968.0</v>
      </c>
      <c r="J81" s="288">
        <v>45968.0</v>
      </c>
      <c r="K81" s="285"/>
      <c r="L81" s="485"/>
      <c r="M81" s="290" t="s">
        <v>10698</v>
      </c>
      <c r="N81" s="299" t="s">
        <v>497</v>
      </c>
      <c r="O81" s="322" t="s">
        <v>2554</v>
      </c>
      <c r="P81" s="300">
        <v>30049.5</v>
      </c>
      <c r="Q81" s="299">
        <f t="shared" si="1"/>
        <v>43</v>
      </c>
      <c r="R81" s="299" t="s">
        <v>9198</v>
      </c>
      <c r="S81" s="299" t="s">
        <v>9171</v>
      </c>
      <c r="T81" s="198"/>
      <c r="U81" s="198"/>
      <c r="V81" s="198"/>
      <c r="W81" s="198"/>
      <c r="X81" s="198"/>
      <c r="Y81" s="198"/>
      <c r="Z81" s="198"/>
    </row>
    <row r="82" ht="91.5" customHeight="1">
      <c r="A82" s="370">
        <v>41136.0</v>
      </c>
      <c r="B82" s="285" t="s">
        <v>21</v>
      </c>
      <c r="C82" s="299">
        <v>4355.0</v>
      </c>
      <c r="D82" s="285" t="s">
        <v>10699</v>
      </c>
      <c r="E82" s="287" t="s">
        <v>10596</v>
      </c>
      <c r="F82" s="288">
        <v>45955.0</v>
      </c>
      <c r="G82" s="288">
        <v>45951.0</v>
      </c>
      <c r="H82" s="288">
        <v>45951.0</v>
      </c>
      <c r="I82" s="288">
        <v>45966.0</v>
      </c>
      <c r="J82" s="288">
        <v>45966.0</v>
      </c>
      <c r="K82" s="285"/>
      <c r="L82" s="485"/>
      <c r="M82" s="290" t="s">
        <v>10700</v>
      </c>
      <c r="N82" s="299" t="s">
        <v>497</v>
      </c>
      <c r="O82" s="322" t="s">
        <v>2554</v>
      </c>
      <c r="P82" s="300">
        <v>30049.5</v>
      </c>
      <c r="Q82" s="299">
        <f t="shared" si="1"/>
        <v>43</v>
      </c>
      <c r="R82" s="299" t="s">
        <v>9198</v>
      </c>
      <c r="S82" s="299" t="s">
        <v>9171</v>
      </c>
      <c r="T82" s="198"/>
      <c r="U82" s="198"/>
      <c r="V82" s="198"/>
      <c r="W82" s="198"/>
      <c r="X82" s="198"/>
      <c r="Y82" s="198"/>
      <c r="Z82" s="198"/>
    </row>
    <row r="83" ht="91.5" customHeight="1">
      <c r="A83" s="370">
        <v>41211.0</v>
      </c>
      <c r="B83" s="285" t="s">
        <v>21</v>
      </c>
      <c r="C83" s="299">
        <v>5252.0</v>
      </c>
      <c r="D83" s="285" t="s">
        <v>10701</v>
      </c>
      <c r="E83" s="287" t="s">
        <v>10702</v>
      </c>
      <c r="F83" s="288">
        <v>45955.0</v>
      </c>
      <c r="G83" s="288">
        <v>46001.0</v>
      </c>
      <c r="H83" s="288">
        <v>45966.0</v>
      </c>
      <c r="I83" s="288">
        <v>45966.0</v>
      </c>
      <c r="J83" s="288">
        <v>45966.0</v>
      </c>
      <c r="K83" s="285" t="s">
        <v>5270</v>
      </c>
      <c r="L83" s="572" t="s">
        <v>9178</v>
      </c>
      <c r="M83" s="290" t="s">
        <v>10703</v>
      </c>
      <c r="N83" s="299" t="s">
        <v>497</v>
      </c>
      <c r="O83" s="322" t="s">
        <v>2554</v>
      </c>
      <c r="P83" s="300">
        <v>25312.5</v>
      </c>
      <c r="Q83" s="299">
        <f t="shared" si="1"/>
        <v>43</v>
      </c>
      <c r="R83" s="299" t="s">
        <v>9170</v>
      </c>
      <c r="S83" s="299" t="s">
        <v>9171</v>
      </c>
      <c r="T83" s="198"/>
      <c r="U83" s="198"/>
      <c r="V83" s="198"/>
      <c r="W83" s="198"/>
      <c r="X83" s="198"/>
      <c r="Y83" s="198"/>
      <c r="Z83" s="198"/>
    </row>
    <row r="84" ht="91.5" customHeight="1">
      <c r="A84" s="370">
        <v>41153.0</v>
      </c>
      <c r="B84" s="285" t="s">
        <v>21</v>
      </c>
      <c r="C84" s="299">
        <v>4355.0</v>
      </c>
      <c r="D84" s="285" t="s">
        <v>10704</v>
      </c>
      <c r="E84" s="287" t="s">
        <v>10705</v>
      </c>
      <c r="F84" s="288">
        <v>45955.0</v>
      </c>
      <c r="G84" s="288">
        <v>45951.0</v>
      </c>
      <c r="H84" s="288">
        <v>45951.0</v>
      </c>
      <c r="I84" s="288">
        <v>45959.0</v>
      </c>
      <c r="J84" s="288">
        <v>45959.0</v>
      </c>
      <c r="K84" s="285"/>
      <c r="L84" s="572"/>
      <c r="M84" s="290" t="s">
        <v>10706</v>
      </c>
      <c r="N84" s="299" t="s">
        <v>497</v>
      </c>
      <c r="O84" s="322" t="s">
        <v>2554</v>
      </c>
      <c r="P84" s="300">
        <v>30049.5</v>
      </c>
      <c r="Q84" s="299">
        <f t="shared" si="1"/>
        <v>43</v>
      </c>
      <c r="R84" s="299" t="s">
        <v>9198</v>
      </c>
      <c r="S84" s="299" t="s">
        <v>9171</v>
      </c>
      <c r="T84" s="198"/>
      <c r="U84" s="198"/>
      <c r="V84" s="198"/>
      <c r="W84" s="198"/>
      <c r="X84" s="198"/>
      <c r="Y84" s="198"/>
      <c r="Z84" s="198"/>
    </row>
    <row r="85" ht="91.5" customHeight="1">
      <c r="A85" s="370">
        <v>41212.0</v>
      </c>
      <c r="B85" s="285" t="s">
        <v>21</v>
      </c>
      <c r="C85" s="299">
        <v>4502.0</v>
      </c>
      <c r="D85" s="285" t="s">
        <v>10707</v>
      </c>
      <c r="E85" s="287" t="s">
        <v>10536</v>
      </c>
      <c r="F85" s="288">
        <v>45955.0</v>
      </c>
      <c r="G85" s="288">
        <v>45951.0</v>
      </c>
      <c r="H85" s="288">
        <v>45951.0</v>
      </c>
      <c r="I85" s="288">
        <v>45958.0</v>
      </c>
      <c r="J85" s="288">
        <v>45958.0</v>
      </c>
      <c r="K85" s="285" t="s">
        <v>5270</v>
      </c>
      <c r="L85" s="572" t="s">
        <v>9178</v>
      </c>
      <c r="M85" s="290" t="s">
        <v>10708</v>
      </c>
      <c r="N85" s="299" t="s">
        <v>497</v>
      </c>
      <c r="O85" s="322" t="s">
        <v>2554</v>
      </c>
      <c r="P85" s="300">
        <v>33125.0</v>
      </c>
      <c r="Q85" s="299">
        <f t="shared" si="1"/>
        <v>43</v>
      </c>
      <c r="R85" s="299" t="s">
        <v>9170</v>
      </c>
      <c r="S85" s="299" t="s">
        <v>9171</v>
      </c>
      <c r="T85" s="198"/>
      <c r="U85" s="198"/>
      <c r="V85" s="198"/>
      <c r="W85" s="198"/>
      <c r="X85" s="198"/>
      <c r="Y85" s="198"/>
      <c r="Z85" s="198"/>
    </row>
    <row r="86" ht="91.5" customHeight="1">
      <c r="A86" s="370">
        <v>41158.0</v>
      </c>
      <c r="B86" s="285" t="s">
        <v>21</v>
      </c>
      <c r="C86" s="299">
        <v>5250.0</v>
      </c>
      <c r="D86" s="285" t="s">
        <v>10709</v>
      </c>
      <c r="E86" s="287" t="s">
        <v>10710</v>
      </c>
      <c r="F86" s="288">
        <v>45955.0</v>
      </c>
      <c r="G86" s="288">
        <v>45951.0</v>
      </c>
      <c r="H86" s="288">
        <v>45951.0</v>
      </c>
      <c r="I86" s="288">
        <v>45960.0</v>
      </c>
      <c r="J86" s="288">
        <v>45960.0</v>
      </c>
      <c r="K86" s="285" t="s">
        <v>5270</v>
      </c>
      <c r="L86" s="572" t="s">
        <v>9178</v>
      </c>
      <c r="M86" s="290" t="s">
        <v>10711</v>
      </c>
      <c r="N86" s="299" t="s">
        <v>497</v>
      </c>
      <c r="O86" s="322" t="s">
        <v>2554</v>
      </c>
      <c r="P86" s="300">
        <v>33052.0</v>
      </c>
      <c r="Q86" s="299">
        <f t="shared" si="1"/>
        <v>43</v>
      </c>
      <c r="R86" s="299" t="s">
        <v>9198</v>
      </c>
      <c r="S86" s="299" t="s">
        <v>9171</v>
      </c>
      <c r="T86" s="198"/>
      <c r="U86" s="198"/>
      <c r="V86" s="198"/>
      <c r="W86" s="198"/>
      <c r="X86" s="198"/>
      <c r="Y86" s="198"/>
      <c r="Z86" s="198"/>
    </row>
    <row r="87" ht="105.75" customHeight="1">
      <c r="A87" s="370">
        <v>41152.0</v>
      </c>
      <c r="B87" s="285" t="s">
        <v>21</v>
      </c>
      <c r="C87" s="299">
        <v>4355.0</v>
      </c>
      <c r="D87" s="285" t="s">
        <v>10712</v>
      </c>
      <c r="E87" s="287" t="s">
        <v>10609</v>
      </c>
      <c r="F87" s="288">
        <v>45955.0</v>
      </c>
      <c r="G87" s="288">
        <v>45975.0</v>
      </c>
      <c r="H87" s="288">
        <v>45957.0</v>
      </c>
      <c r="I87" s="288">
        <v>45957.0</v>
      </c>
      <c r="J87" s="288">
        <v>45957.0</v>
      </c>
      <c r="K87" s="285" t="s">
        <v>4841</v>
      </c>
      <c r="L87" s="485"/>
      <c r="M87" s="290" t="s">
        <v>10713</v>
      </c>
      <c r="N87" s="299" t="s">
        <v>497</v>
      </c>
      <c r="O87" s="322" t="s">
        <v>2554</v>
      </c>
      <c r="P87" s="300">
        <v>35972.3</v>
      </c>
      <c r="Q87" s="299">
        <f t="shared" si="1"/>
        <v>43</v>
      </c>
      <c r="R87" s="299" t="s">
        <v>9198</v>
      </c>
      <c r="S87" s="299" t="s">
        <v>9171</v>
      </c>
      <c r="T87" s="198"/>
      <c r="U87" s="198"/>
      <c r="V87" s="198"/>
      <c r="W87" s="198"/>
      <c r="X87" s="198"/>
      <c r="Y87" s="198"/>
      <c r="Z87" s="198"/>
    </row>
    <row r="88" ht="91.5" customHeight="1">
      <c r="A88" s="370">
        <v>41137.0</v>
      </c>
      <c r="B88" s="285" t="s">
        <v>21</v>
      </c>
      <c r="C88" s="299">
        <v>4355.0</v>
      </c>
      <c r="D88" s="285" t="s">
        <v>10714</v>
      </c>
      <c r="E88" s="287" t="s">
        <v>10609</v>
      </c>
      <c r="F88" s="288">
        <v>45955.0</v>
      </c>
      <c r="G88" s="288">
        <v>45951.0</v>
      </c>
      <c r="H88" s="288">
        <v>45951.0</v>
      </c>
      <c r="I88" s="288">
        <v>45958.0</v>
      </c>
      <c r="J88" s="288">
        <v>45958.0</v>
      </c>
      <c r="K88" s="285" t="s">
        <v>4841</v>
      </c>
      <c r="L88" s="485"/>
      <c r="M88" s="290" t="s">
        <v>10715</v>
      </c>
      <c r="N88" s="299" t="s">
        <v>497</v>
      </c>
      <c r="O88" s="322" t="s">
        <v>2554</v>
      </c>
      <c r="P88" s="300">
        <v>35972.3</v>
      </c>
      <c r="Q88" s="299">
        <f t="shared" si="1"/>
        <v>43</v>
      </c>
      <c r="R88" s="299" t="s">
        <v>9198</v>
      </c>
      <c r="S88" s="299" t="s">
        <v>9171</v>
      </c>
      <c r="T88" s="198"/>
      <c r="U88" s="198"/>
      <c r="V88" s="198"/>
      <c r="W88" s="198"/>
      <c r="X88" s="198"/>
      <c r="Y88" s="198"/>
      <c r="Z88" s="198"/>
    </row>
    <row r="89" ht="91.5" customHeight="1">
      <c r="A89" s="370">
        <v>41135.0</v>
      </c>
      <c r="B89" s="285" t="s">
        <v>21</v>
      </c>
      <c r="C89" s="299">
        <v>4355.0</v>
      </c>
      <c r="D89" s="285" t="s">
        <v>10716</v>
      </c>
      <c r="E89" s="287" t="s">
        <v>10609</v>
      </c>
      <c r="F89" s="288">
        <v>45955.0</v>
      </c>
      <c r="G89" s="288">
        <v>45951.0</v>
      </c>
      <c r="H89" s="288">
        <v>45951.0</v>
      </c>
      <c r="I89" s="288">
        <v>45968.0</v>
      </c>
      <c r="J89" s="288">
        <v>45968.0</v>
      </c>
      <c r="K89" s="285" t="s">
        <v>5270</v>
      </c>
      <c r="L89" s="572" t="s">
        <v>9178</v>
      </c>
      <c r="M89" s="290" t="s">
        <v>10717</v>
      </c>
      <c r="N89" s="299" t="s">
        <v>497</v>
      </c>
      <c r="O89" s="322" t="s">
        <v>2554</v>
      </c>
      <c r="P89" s="300">
        <v>35972.3</v>
      </c>
      <c r="Q89" s="299">
        <f t="shared" si="1"/>
        <v>43</v>
      </c>
      <c r="R89" s="299" t="s">
        <v>9198</v>
      </c>
      <c r="S89" s="299" t="s">
        <v>9171</v>
      </c>
      <c r="T89" s="198"/>
      <c r="U89" s="198"/>
      <c r="V89" s="198"/>
      <c r="W89" s="198"/>
      <c r="X89" s="198"/>
      <c r="Y89" s="198"/>
      <c r="Z89" s="198"/>
    </row>
    <row r="90" ht="91.5" customHeight="1">
      <c r="A90" s="370">
        <v>41133.0</v>
      </c>
      <c r="B90" s="285" t="s">
        <v>21</v>
      </c>
      <c r="C90" s="299">
        <v>4355.0</v>
      </c>
      <c r="D90" s="285" t="s">
        <v>10718</v>
      </c>
      <c r="E90" s="287" t="s">
        <v>10719</v>
      </c>
      <c r="F90" s="288">
        <v>45955.0</v>
      </c>
      <c r="G90" s="288">
        <v>45951.0</v>
      </c>
      <c r="H90" s="288">
        <v>45951.0</v>
      </c>
      <c r="I90" s="288">
        <v>45957.0</v>
      </c>
      <c r="J90" s="288">
        <v>45957.0</v>
      </c>
      <c r="K90" s="285" t="s">
        <v>4841</v>
      </c>
      <c r="L90" s="485"/>
      <c r="M90" s="290" t="s">
        <v>10720</v>
      </c>
      <c r="N90" s="299" t="s">
        <v>497</v>
      </c>
      <c r="O90" s="322" t="s">
        <v>2554</v>
      </c>
      <c r="P90" s="300">
        <v>30865.5</v>
      </c>
      <c r="Q90" s="299">
        <f t="shared" si="1"/>
        <v>43</v>
      </c>
      <c r="R90" s="299" t="s">
        <v>9198</v>
      </c>
      <c r="S90" s="299" t="s">
        <v>9171</v>
      </c>
      <c r="T90" s="198"/>
      <c r="U90" s="198"/>
      <c r="V90" s="198"/>
      <c r="W90" s="198"/>
      <c r="X90" s="198"/>
      <c r="Y90" s="198"/>
      <c r="Z90" s="198"/>
    </row>
    <row r="91" ht="91.5" customHeight="1">
      <c r="A91" s="370">
        <v>40773.0</v>
      </c>
      <c r="B91" s="292" t="s">
        <v>6501</v>
      </c>
      <c r="C91" s="299">
        <v>2595.0</v>
      </c>
      <c r="D91" s="367" t="s">
        <v>10721</v>
      </c>
      <c r="E91" s="287" t="s">
        <v>10722</v>
      </c>
      <c r="F91" s="288">
        <v>45953.0</v>
      </c>
      <c r="G91" s="288">
        <v>45951.0</v>
      </c>
      <c r="H91" s="288">
        <v>45951.0</v>
      </c>
      <c r="I91" s="288">
        <v>45960.0</v>
      </c>
      <c r="J91" s="288">
        <v>45960.0</v>
      </c>
      <c r="K91" s="285"/>
      <c r="L91" s="485"/>
      <c r="M91" s="290" t="s">
        <v>10723</v>
      </c>
      <c r="N91" s="299" t="s">
        <v>497</v>
      </c>
      <c r="O91" s="322" t="s">
        <v>2554</v>
      </c>
      <c r="P91" s="300">
        <v>49045.5</v>
      </c>
      <c r="Q91" s="299">
        <f t="shared" si="1"/>
        <v>43</v>
      </c>
      <c r="R91" s="299" t="s">
        <v>9170</v>
      </c>
      <c r="S91" s="299" t="s">
        <v>9171</v>
      </c>
      <c r="T91" s="198"/>
      <c r="U91" s="198"/>
      <c r="V91" s="198"/>
      <c r="W91" s="198"/>
      <c r="X91" s="198"/>
      <c r="Y91" s="198"/>
      <c r="Z91" s="198"/>
    </row>
    <row r="92" ht="91.5" customHeight="1">
      <c r="A92" s="370">
        <v>41193.0</v>
      </c>
      <c r="B92" s="292" t="s">
        <v>715</v>
      </c>
      <c r="C92" s="299">
        <v>4502.0</v>
      </c>
      <c r="D92" s="285" t="s">
        <v>10724</v>
      </c>
      <c r="E92" s="287" t="s">
        <v>10536</v>
      </c>
      <c r="F92" s="288">
        <v>45953.0</v>
      </c>
      <c r="G92" s="288">
        <v>45950.0</v>
      </c>
      <c r="H92" s="288">
        <v>45950.0</v>
      </c>
      <c r="I92" s="288">
        <v>45957.0</v>
      </c>
      <c r="J92" s="288">
        <v>45957.0</v>
      </c>
      <c r="K92" s="285"/>
      <c r="L92" s="485"/>
      <c r="M92" s="290" t="s">
        <v>10725</v>
      </c>
      <c r="N92" s="299" t="s">
        <v>497</v>
      </c>
      <c r="O92" s="322" t="s">
        <v>2554</v>
      </c>
      <c r="P92" s="300">
        <v>33187.5</v>
      </c>
      <c r="Q92" s="299">
        <f t="shared" si="1"/>
        <v>43</v>
      </c>
      <c r="R92" s="299" t="s">
        <v>9170</v>
      </c>
      <c r="S92" s="299" t="s">
        <v>9171</v>
      </c>
      <c r="T92" s="198"/>
      <c r="U92" s="198"/>
      <c r="V92" s="198"/>
      <c r="W92" s="198"/>
      <c r="X92" s="198"/>
      <c r="Y92" s="198"/>
      <c r="Z92" s="198"/>
    </row>
    <row r="93" ht="91.5" customHeight="1">
      <c r="A93" s="370">
        <v>41192.0</v>
      </c>
      <c r="B93" s="292" t="s">
        <v>715</v>
      </c>
      <c r="C93" s="299">
        <v>5252.0</v>
      </c>
      <c r="D93" s="285" t="s">
        <v>10726</v>
      </c>
      <c r="E93" s="287" t="s">
        <v>10727</v>
      </c>
      <c r="F93" s="288">
        <v>45953.0</v>
      </c>
      <c r="G93" s="288">
        <v>45950.0</v>
      </c>
      <c r="H93" s="288">
        <v>45950.0</v>
      </c>
      <c r="I93" s="288">
        <v>45959.0</v>
      </c>
      <c r="J93" s="288">
        <v>45959.0</v>
      </c>
      <c r="K93" s="285"/>
      <c r="L93" s="485"/>
      <c r="M93" s="290" t="s">
        <v>10728</v>
      </c>
      <c r="N93" s="299" t="s">
        <v>497</v>
      </c>
      <c r="O93" s="322" t="s">
        <v>2554</v>
      </c>
      <c r="P93" s="300">
        <v>25312.5</v>
      </c>
      <c r="Q93" s="299">
        <f t="shared" si="1"/>
        <v>43</v>
      </c>
      <c r="R93" s="299" t="s">
        <v>9170</v>
      </c>
      <c r="S93" s="299" t="s">
        <v>9171</v>
      </c>
      <c r="T93" s="198"/>
      <c r="U93" s="198"/>
      <c r="V93" s="198"/>
      <c r="W93" s="198"/>
      <c r="X93" s="198"/>
      <c r="Y93" s="198"/>
      <c r="Z93" s="198"/>
    </row>
    <row r="94" ht="91.5" customHeight="1">
      <c r="A94" s="370">
        <v>41190.0</v>
      </c>
      <c r="B94" s="292" t="s">
        <v>715</v>
      </c>
      <c r="C94" s="299">
        <v>5251.0</v>
      </c>
      <c r="D94" s="285" t="s">
        <v>10729</v>
      </c>
      <c r="E94" s="287" t="s">
        <v>10539</v>
      </c>
      <c r="F94" s="288">
        <v>45953.0</v>
      </c>
      <c r="G94" s="288">
        <v>45951.0</v>
      </c>
      <c r="H94" s="288">
        <v>45951.0</v>
      </c>
      <c r="I94" s="288">
        <v>45958.0</v>
      </c>
      <c r="J94" s="288">
        <v>45958.0</v>
      </c>
      <c r="K94" s="285"/>
      <c r="L94" s="572"/>
      <c r="M94" s="290" t="s">
        <v>10730</v>
      </c>
      <c r="N94" s="299" t="s">
        <v>497</v>
      </c>
      <c r="O94" s="322" t="s">
        <v>2554</v>
      </c>
      <c r="P94" s="291">
        <v>26250.0</v>
      </c>
      <c r="Q94" s="299">
        <f t="shared" si="1"/>
        <v>43</v>
      </c>
      <c r="R94" s="299" t="s">
        <v>9170</v>
      </c>
      <c r="S94" s="299" t="s">
        <v>9171</v>
      </c>
      <c r="T94" s="198"/>
      <c r="U94" s="198"/>
      <c r="V94" s="198"/>
      <c r="W94" s="198"/>
      <c r="X94" s="198"/>
      <c r="Y94" s="198"/>
      <c r="Z94" s="198"/>
    </row>
    <row r="95" ht="91.5" customHeight="1">
      <c r="A95" s="370">
        <v>41210.0</v>
      </c>
      <c r="B95" s="285" t="s">
        <v>21</v>
      </c>
      <c r="C95" s="299">
        <v>4502.0</v>
      </c>
      <c r="D95" s="285" t="s">
        <v>10731</v>
      </c>
      <c r="E95" s="287" t="s">
        <v>10536</v>
      </c>
      <c r="F95" s="288">
        <v>45949.0</v>
      </c>
      <c r="G95" s="288">
        <v>45945.0</v>
      </c>
      <c r="H95" s="288">
        <v>45945.0</v>
      </c>
      <c r="I95" s="288">
        <v>45954.0</v>
      </c>
      <c r="J95" s="288">
        <v>45954.0</v>
      </c>
      <c r="K95" s="285" t="s">
        <v>5270</v>
      </c>
      <c r="L95" s="572" t="s">
        <v>9178</v>
      </c>
      <c r="M95" s="290" t="s">
        <v>10732</v>
      </c>
      <c r="N95" s="299" t="s">
        <v>497</v>
      </c>
      <c r="O95" s="322" t="s">
        <v>2554</v>
      </c>
      <c r="P95" s="300">
        <v>32937.5</v>
      </c>
      <c r="Q95" s="299">
        <f t="shared" si="1"/>
        <v>43</v>
      </c>
      <c r="R95" s="299" t="s">
        <v>9170</v>
      </c>
      <c r="S95" s="299" t="s">
        <v>9171</v>
      </c>
      <c r="T95" s="198"/>
      <c r="U95" s="198"/>
      <c r="V95" s="198"/>
      <c r="W95" s="198"/>
      <c r="X95" s="198"/>
      <c r="Y95" s="198"/>
      <c r="Z95" s="198"/>
    </row>
    <row r="96" ht="91.5" customHeight="1">
      <c r="A96" s="370">
        <v>41390.0</v>
      </c>
      <c r="B96" s="292" t="s">
        <v>715</v>
      </c>
      <c r="C96" s="299">
        <v>940.0</v>
      </c>
      <c r="D96" s="285" t="s">
        <v>10733</v>
      </c>
      <c r="E96" s="287" t="s">
        <v>10590</v>
      </c>
      <c r="F96" s="288">
        <v>45948.0</v>
      </c>
      <c r="G96" s="288">
        <v>45944.0</v>
      </c>
      <c r="H96" s="288">
        <v>45944.0</v>
      </c>
      <c r="I96" s="288">
        <v>45954.0</v>
      </c>
      <c r="J96" s="288">
        <v>45954.0</v>
      </c>
      <c r="K96" s="285"/>
      <c r="L96" s="485"/>
      <c r="M96" s="290" t="s">
        <v>10734</v>
      </c>
      <c r="N96" s="299" t="s">
        <v>4635</v>
      </c>
      <c r="O96" s="322" t="s">
        <v>2621</v>
      </c>
      <c r="P96" s="291">
        <v>39594.8</v>
      </c>
      <c r="Q96" s="299">
        <f t="shared" si="1"/>
        <v>42</v>
      </c>
      <c r="R96" s="299"/>
      <c r="S96" s="299" t="s">
        <v>8430</v>
      </c>
      <c r="T96" s="198"/>
      <c r="U96" s="198"/>
      <c r="V96" s="198"/>
      <c r="W96" s="198"/>
      <c r="X96" s="198"/>
      <c r="Y96" s="198"/>
      <c r="Z96" s="198"/>
    </row>
    <row r="97" ht="91.5" customHeight="1">
      <c r="A97" s="370">
        <v>41432.0</v>
      </c>
      <c r="B97" s="285" t="s">
        <v>21</v>
      </c>
      <c r="C97" s="299">
        <v>930.0</v>
      </c>
      <c r="D97" s="285" t="s">
        <v>10735</v>
      </c>
      <c r="E97" s="287" t="s">
        <v>10736</v>
      </c>
      <c r="F97" s="288">
        <v>45946.0</v>
      </c>
      <c r="G97" s="288">
        <v>45946.0</v>
      </c>
      <c r="H97" s="288">
        <v>45946.0</v>
      </c>
      <c r="I97" s="288">
        <v>45952.0</v>
      </c>
      <c r="J97" s="288">
        <v>45952.0</v>
      </c>
      <c r="K97" s="573" t="s">
        <v>10737</v>
      </c>
      <c r="L97" s="574" t="s">
        <v>9178</v>
      </c>
      <c r="M97" s="290" t="s">
        <v>10738</v>
      </c>
      <c r="N97" s="299" t="s">
        <v>4635</v>
      </c>
      <c r="O97" s="322" t="s">
        <v>2621</v>
      </c>
      <c r="P97" s="300">
        <v>67752.5</v>
      </c>
      <c r="Q97" s="299">
        <f t="shared" si="1"/>
        <v>42</v>
      </c>
      <c r="R97" s="299"/>
      <c r="S97" s="299" t="s">
        <v>8430</v>
      </c>
      <c r="T97" s="198"/>
      <c r="U97" s="198"/>
      <c r="V97" s="198"/>
      <c r="W97" s="198"/>
      <c r="X97" s="198"/>
      <c r="Y97" s="198"/>
      <c r="Z97" s="198"/>
    </row>
    <row r="98" ht="91.5" customHeight="1">
      <c r="A98" s="370">
        <v>41352.0</v>
      </c>
      <c r="B98" s="285" t="s">
        <v>21</v>
      </c>
      <c r="C98" s="299">
        <v>1260.0</v>
      </c>
      <c r="D98" s="285" t="s">
        <v>10739</v>
      </c>
      <c r="E98" s="287" t="s">
        <v>10740</v>
      </c>
      <c r="F98" s="288">
        <v>45941.0</v>
      </c>
      <c r="G98" s="288">
        <v>45938.0</v>
      </c>
      <c r="H98" s="288">
        <v>45938.0</v>
      </c>
      <c r="I98" s="288">
        <v>45945.0</v>
      </c>
      <c r="J98" s="288">
        <v>45945.0</v>
      </c>
      <c r="K98" s="573" t="s">
        <v>10741</v>
      </c>
      <c r="L98" s="574" t="s">
        <v>9178</v>
      </c>
      <c r="M98" s="290" t="s">
        <v>10742</v>
      </c>
      <c r="N98" s="299" t="s">
        <v>4635</v>
      </c>
      <c r="O98" s="322" t="s">
        <v>2621</v>
      </c>
      <c r="P98" s="300">
        <v>26334.3</v>
      </c>
      <c r="Q98" s="299">
        <f t="shared" si="1"/>
        <v>41</v>
      </c>
      <c r="R98" s="299"/>
      <c r="S98" s="299" t="s">
        <v>8430</v>
      </c>
      <c r="T98" s="198"/>
      <c r="U98" s="198"/>
      <c r="V98" s="198"/>
      <c r="W98" s="198"/>
      <c r="X98" s="198"/>
      <c r="Y98" s="198"/>
      <c r="Z98" s="198"/>
    </row>
    <row r="99" ht="91.5" customHeight="1">
      <c r="A99" s="370">
        <v>41426.0</v>
      </c>
      <c r="B99" s="292" t="s">
        <v>25</v>
      </c>
      <c r="C99" s="299">
        <v>900.0</v>
      </c>
      <c r="D99" s="285" t="s">
        <v>10743</v>
      </c>
      <c r="E99" s="287" t="s">
        <v>10744</v>
      </c>
      <c r="F99" s="288">
        <v>45940.0</v>
      </c>
      <c r="G99" s="288">
        <v>45937.0</v>
      </c>
      <c r="H99" s="288">
        <v>45937.0</v>
      </c>
      <c r="I99" s="288">
        <v>45945.0</v>
      </c>
      <c r="J99" s="288">
        <v>45945.0</v>
      </c>
      <c r="K99" s="285" t="s">
        <v>4841</v>
      </c>
      <c r="L99" s="485"/>
      <c r="M99" s="290" t="s">
        <v>10745</v>
      </c>
      <c r="N99" s="299" t="s">
        <v>4635</v>
      </c>
      <c r="O99" s="322" t="s">
        <v>2621</v>
      </c>
      <c r="P99" s="300">
        <v>34531.0</v>
      </c>
      <c r="Q99" s="299">
        <f t="shared" si="1"/>
        <v>41</v>
      </c>
      <c r="R99" s="299"/>
      <c r="S99" s="299" t="s">
        <v>8430</v>
      </c>
      <c r="T99" s="198"/>
      <c r="U99" s="198"/>
      <c r="V99" s="198"/>
      <c r="W99" s="198"/>
      <c r="X99" s="198"/>
      <c r="Y99" s="198"/>
      <c r="Z99" s="198"/>
    </row>
    <row r="100" ht="91.5" customHeight="1">
      <c r="A100" s="370">
        <v>41175.0</v>
      </c>
      <c r="B100" s="292" t="s">
        <v>715</v>
      </c>
      <c r="C100" s="299">
        <v>5251.0</v>
      </c>
      <c r="D100" s="285" t="s">
        <v>10746</v>
      </c>
      <c r="E100" s="287" t="s">
        <v>10539</v>
      </c>
      <c r="F100" s="288">
        <v>45939.0</v>
      </c>
      <c r="G100" s="288">
        <v>45932.0</v>
      </c>
      <c r="H100" s="288">
        <v>45932.0</v>
      </c>
      <c r="I100" s="288">
        <v>45947.0</v>
      </c>
      <c r="J100" s="288">
        <v>45947.0</v>
      </c>
      <c r="K100" s="285"/>
      <c r="L100" s="572"/>
      <c r="M100" s="290" t="s">
        <v>10747</v>
      </c>
      <c r="N100" s="299" t="s">
        <v>497</v>
      </c>
      <c r="O100" s="322" t="s">
        <v>2554</v>
      </c>
      <c r="P100" s="300">
        <v>26250.0</v>
      </c>
      <c r="Q100" s="299">
        <f t="shared" si="1"/>
        <v>41</v>
      </c>
      <c r="R100" s="299" t="s">
        <v>9170</v>
      </c>
      <c r="S100" s="299" t="s">
        <v>9171</v>
      </c>
      <c r="T100" s="198"/>
      <c r="U100" s="198"/>
      <c r="V100" s="198"/>
      <c r="W100" s="198"/>
      <c r="X100" s="198"/>
      <c r="Y100" s="198"/>
      <c r="Z100" s="198"/>
    </row>
    <row r="101" ht="91.5" customHeight="1">
      <c r="A101" s="370">
        <v>41151.0</v>
      </c>
      <c r="B101" s="285" t="s">
        <v>21</v>
      </c>
      <c r="C101" s="299">
        <v>2275.0</v>
      </c>
      <c r="D101" s="285" t="s">
        <v>10748</v>
      </c>
      <c r="E101" s="287" t="s">
        <v>10562</v>
      </c>
      <c r="F101" s="288">
        <v>45938.0</v>
      </c>
      <c r="G101" s="288">
        <v>45932.0</v>
      </c>
      <c r="H101" s="288">
        <v>45932.0</v>
      </c>
      <c r="I101" s="288">
        <v>45947.0</v>
      </c>
      <c r="J101" s="288">
        <v>45947.0</v>
      </c>
      <c r="K101" s="285" t="s">
        <v>5270</v>
      </c>
      <c r="L101" s="572" t="s">
        <v>9178</v>
      </c>
      <c r="M101" s="290" t="s">
        <v>10749</v>
      </c>
      <c r="N101" s="299" t="s">
        <v>497</v>
      </c>
      <c r="O101" s="322" t="s">
        <v>2554</v>
      </c>
      <c r="P101" s="300">
        <v>35503.5</v>
      </c>
      <c r="Q101" s="299">
        <f t="shared" si="1"/>
        <v>41</v>
      </c>
      <c r="R101" s="299" t="s">
        <v>9198</v>
      </c>
      <c r="S101" s="299" t="s">
        <v>9171</v>
      </c>
      <c r="T101" s="198"/>
      <c r="U101" s="198"/>
      <c r="V101" s="198"/>
      <c r="W101" s="198"/>
      <c r="X101" s="198"/>
      <c r="Y101" s="198"/>
      <c r="Z101" s="198"/>
    </row>
    <row r="102" ht="108.75" customHeight="1">
      <c r="A102" s="575">
        <v>41191.0</v>
      </c>
      <c r="B102" s="285" t="s">
        <v>21</v>
      </c>
      <c r="C102" s="299">
        <v>4502.0</v>
      </c>
      <c r="D102" s="285" t="s">
        <v>10750</v>
      </c>
      <c r="E102" s="287" t="s">
        <v>10536</v>
      </c>
      <c r="F102" s="288">
        <v>45938.0</v>
      </c>
      <c r="G102" s="288">
        <v>45975.0</v>
      </c>
      <c r="H102" s="288">
        <v>45940.0</v>
      </c>
      <c r="I102" s="288">
        <v>45947.0</v>
      </c>
      <c r="J102" s="288">
        <v>45947.0</v>
      </c>
      <c r="K102" s="285" t="s">
        <v>4841</v>
      </c>
      <c r="L102" s="485"/>
      <c r="M102" s="290" t="s">
        <v>10751</v>
      </c>
      <c r="N102" s="299" t="s">
        <v>497</v>
      </c>
      <c r="O102" s="322" t="s">
        <v>2554</v>
      </c>
      <c r="P102" s="300">
        <v>33187.5</v>
      </c>
      <c r="Q102" s="299">
        <f t="shared" si="1"/>
        <v>41</v>
      </c>
      <c r="R102" s="299" t="s">
        <v>9170</v>
      </c>
      <c r="S102" s="299" t="s">
        <v>9171</v>
      </c>
      <c r="T102" s="198"/>
      <c r="U102" s="198"/>
      <c r="V102" s="198"/>
      <c r="W102" s="198"/>
      <c r="X102" s="198"/>
      <c r="Y102" s="198"/>
      <c r="Z102" s="198"/>
    </row>
    <row r="103" ht="91.5" customHeight="1">
      <c r="A103" s="370">
        <v>41209.0</v>
      </c>
      <c r="B103" s="285" t="s">
        <v>21</v>
      </c>
      <c r="C103" s="299">
        <v>4501.0</v>
      </c>
      <c r="D103" s="285" t="s">
        <v>10752</v>
      </c>
      <c r="E103" s="287" t="s">
        <v>10536</v>
      </c>
      <c r="F103" s="288">
        <v>45938.0</v>
      </c>
      <c r="G103" s="288">
        <v>45932.0</v>
      </c>
      <c r="H103" s="288">
        <v>45932.0</v>
      </c>
      <c r="I103" s="288">
        <v>45946.0</v>
      </c>
      <c r="J103" s="288">
        <v>45946.0</v>
      </c>
      <c r="K103" s="285" t="s">
        <v>4841</v>
      </c>
      <c r="L103" s="485"/>
      <c r="M103" s="290" t="s">
        <v>10753</v>
      </c>
      <c r="N103" s="299" t="s">
        <v>497</v>
      </c>
      <c r="O103" s="322" t="s">
        <v>2554</v>
      </c>
      <c r="P103" s="300">
        <v>33187.0</v>
      </c>
      <c r="Q103" s="299">
        <f t="shared" si="1"/>
        <v>41</v>
      </c>
      <c r="R103" s="299" t="s">
        <v>9170</v>
      </c>
      <c r="S103" s="299" t="s">
        <v>9171</v>
      </c>
      <c r="T103" s="198"/>
      <c r="U103" s="198"/>
      <c r="V103" s="198"/>
      <c r="W103" s="198"/>
      <c r="X103" s="198"/>
      <c r="Y103" s="198"/>
      <c r="Z103" s="198"/>
    </row>
    <row r="104" ht="91.5" customHeight="1">
      <c r="A104" s="370">
        <v>41121.0</v>
      </c>
      <c r="B104" s="292" t="s">
        <v>715</v>
      </c>
      <c r="C104" s="299">
        <v>4355.0</v>
      </c>
      <c r="D104" s="285" t="s">
        <v>10754</v>
      </c>
      <c r="E104" s="287" t="s">
        <v>10609</v>
      </c>
      <c r="F104" s="288">
        <v>45936.0</v>
      </c>
      <c r="G104" s="288">
        <v>45931.0</v>
      </c>
      <c r="H104" s="288">
        <v>45931.0</v>
      </c>
      <c r="I104" s="288">
        <v>45943.0</v>
      </c>
      <c r="J104" s="288">
        <v>45943.0</v>
      </c>
      <c r="K104" s="285"/>
      <c r="L104" s="485"/>
      <c r="M104" s="290" t="s">
        <v>10755</v>
      </c>
      <c r="N104" s="299" t="s">
        <v>497</v>
      </c>
      <c r="O104" s="322" t="s">
        <v>2554</v>
      </c>
      <c r="P104" s="300">
        <v>35972.3</v>
      </c>
      <c r="Q104" s="299">
        <f t="shared" si="1"/>
        <v>41</v>
      </c>
      <c r="R104" s="299" t="s">
        <v>9198</v>
      </c>
      <c r="S104" s="299" t="s">
        <v>9171</v>
      </c>
      <c r="T104" s="198"/>
      <c r="U104" s="198"/>
      <c r="V104" s="198"/>
      <c r="W104" s="198"/>
      <c r="X104" s="198"/>
      <c r="Y104" s="198"/>
      <c r="Z104" s="198"/>
    </row>
    <row r="105" ht="91.5" customHeight="1">
      <c r="A105" s="370">
        <v>41127.0</v>
      </c>
      <c r="B105" s="292" t="s">
        <v>715</v>
      </c>
      <c r="C105" s="299">
        <v>5250.0</v>
      </c>
      <c r="D105" s="285" t="s">
        <v>10756</v>
      </c>
      <c r="E105" s="287" t="s">
        <v>10757</v>
      </c>
      <c r="F105" s="288">
        <v>45936.0</v>
      </c>
      <c r="G105" s="288">
        <v>45931.0</v>
      </c>
      <c r="H105" s="288">
        <v>45931.0</v>
      </c>
      <c r="I105" s="288">
        <v>45945.0</v>
      </c>
      <c r="J105" s="288">
        <v>45945.0</v>
      </c>
      <c r="K105" s="285"/>
      <c r="L105" s="485"/>
      <c r="M105" s="290" t="s">
        <v>10758</v>
      </c>
      <c r="N105" s="299" t="s">
        <v>497</v>
      </c>
      <c r="O105" s="322" t="s">
        <v>2554</v>
      </c>
      <c r="P105" s="300">
        <v>29849.5</v>
      </c>
      <c r="Q105" s="299">
        <f t="shared" si="1"/>
        <v>41</v>
      </c>
      <c r="R105" s="299" t="s">
        <v>9198</v>
      </c>
      <c r="S105" s="299" t="s">
        <v>9171</v>
      </c>
      <c r="T105" s="198"/>
      <c r="U105" s="198"/>
      <c r="V105" s="198"/>
      <c r="W105" s="198"/>
      <c r="X105" s="198"/>
      <c r="Y105" s="198"/>
      <c r="Z105" s="198"/>
    </row>
    <row r="106" ht="91.5" customHeight="1">
      <c r="A106" s="370">
        <v>41126.0</v>
      </c>
      <c r="B106" s="292" t="s">
        <v>715</v>
      </c>
      <c r="C106" s="299">
        <v>5250.0</v>
      </c>
      <c r="D106" s="285" t="s">
        <v>10759</v>
      </c>
      <c r="E106" s="287" t="s">
        <v>10760</v>
      </c>
      <c r="F106" s="288">
        <v>45936.0</v>
      </c>
      <c r="G106" s="288">
        <v>45931.0</v>
      </c>
      <c r="H106" s="288">
        <v>45931.0</v>
      </c>
      <c r="I106" s="288">
        <v>45944.0</v>
      </c>
      <c r="J106" s="305">
        <v>45944.0</v>
      </c>
      <c r="K106" s="285"/>
      <c r="L106" s="485"/>
      <c r="M106" s="290" t="s">
        <v>10761</v>
      </c>
      <c r="N106" s="299" t="s">
        <v>497</v>
      </c>
      <c r="O106" s="322" t="s">
        <v>2554</v>
      </c>
      <c r="P106" s="300">
        <v>29849.5</v>
      </c>
      <c r="Q106" s="299">
        <f t="shared" si="1"/>
        <v>41</v>
      </c>
      <c r="R106" s="299" t="s">
        <v>9198</v>
      </c>
      <c r="S106" s="299" t="s">
        <v>9171</v>
      </c>
      <c r="T106" s="198"/>
      <c r="U106" s="198"/>
      <c r="V106" s="198"/>
      <c r="W106" s="198"/>
      <c r="X106" s="198"/>
      <c r="Y106" s="198"/>
      <c r="Z106" s="198"/>
    </row>
    <row r="107" ht="91.5" customHeight="1">
      <c r="A107" s="370">
        <v>41041.0</v>
      </c>
      <c r="B107" s="292" t="s">
        <v>715</v>
      </c>
      <c r="C107" s="299">
        <v>5250.0</v>
      </c>
      <c r="D107" s="285" t="s">
        <v>10762</v>
      </c>
      <c r="E107" s="287" t="s">
        <v>10763</v>
      </c>
      <c r="F107" s="288">
        <v>45936.0</v>
      </c>
      <c r="G107" s="288">
        <v>45931.0</v>
      </c>
      <c r="H107" s="288">
        <v>45931.0</v>
      </c>
      <c r="I107" s="288">
        <v>45939.0</v>
      </c>
      <c r="J107" s="288">
        <v>45939.0</v>
      </c>
      <c r="K107" s="285"/>
      <c r="L107" s="485"/>
      <c r="M107" s="290" t="s">
        <v>10764</v>
      </c>
      <c r="N107" s="299" t="s">
        <v>497</v>
      </c>
      <c r="O107" s="322" t="s">
        <v>2554</v>
      </c>
      <c r="P107" s="300">
        <v>30649.5</v>
      </c>
      <c r="Q107" s="299">
        <f t="shared" si="1"/>
        <v>41</v>
      </c>
      <c r="R107" s="299" t="s">
        <v>9198</v>
      </c>
      <c r="S107" s="299" t="s">
        <v>9171</v>
      </c>
      <c r="T107" s="198"/>
      <c r="U107" s="198"/>
      <c r="V107" s="198"/>
      <c r="W107" s="198"/>
      <c r="X107" s="198"/>
      <c r="Y107" s="198"/>
      <c r="Z107" s="198"/>
    </row>
    <row r="108" ht="91.5" customHeight="1">
      <c r="A108" s="370">
        <v>41224.0</v>
      </c>
      <c r="B108" s="292" t="s">
        <v>25</v>
      </c>
      <c r="C108" s="299">
        <v>5251.0</v>
      </c>
      <c r="D108" s="285" t="s">
        <v>10765</v>
      </c>
      <c r="E108" s="287" t="s">
        <v>10539</v>
      </c>
      <c r="F108" s="288">
        <v>45932.0</v>
      </c>
      <c r="G108" s="288">
        <v>45928.0</v>
      </c>
      <c r="H108" s="288">
        <v>45928.0</v>
      </c>
      <c r="I108" s="288">
        <v>45937.0</v>
      </c>
      <c r="J108" s="288">
        <v>45937.0</v>
      </c>
      <c r="K108" s="285"/>
      <c r="L108" s="485"/>
      <c r="M108" s="290" t="s">
        <v>10766</v>
      </c>
      <c r="N108" s="299" t="s">
        <v>497</v>
      </c>
      <c r="O108" s="322" t="s">
        <v>2554</v>
      </c>
      <c r="P108" s="300">
        <v>26250.0</v>
      </c>
      <c r="Q108" s="299">
        <f t="shared" si="1"/>
        <v>40</v>
      </c>
      <c r="R108" s="299" t="s">
        <v>9170</v>
      </c>
      <c r="S108" s="299" t="s">
        <v>9171</v>
      </c>
      <c r="T108" s="198"/>
      <c r="U108" s="198"/>
      <c r="V108" s="198"/>
      <c r="W108" s="198"/>
      <c r="X108" s="198"/>
      <c r="Y108" s="198"/>
      <c r="Z108" s="198"/>
    </row>
    <row r="109" ht="91.5" customHeight="1">
      <c r="A109" s="370">
        <v>41208.0</v>
      </c>
      <c r="B109" s="285" t="s">
        <v>21</v>
      </c>
      <c r="C109" s="299">
        <v>4502.0</v>
      </c>
      <c r="D109" s="285" t="s">
        <v>10767</v>
      </c>
      <c r="E109" s="287" t="s">
        <v>10536</v>
      </c>
      <c r="F109" s="288">
        <v>45932.0</v>
      </c>
      <c r="G109" s="288">
        <v>45928.0</v>
      </c>
      <c r="H109" s="288">
        <v>45928.0</v>
      </c>
      <c r="I109" s="288">
        <v>45939.0</v>
      </c>
      <c r="J109" s="288">
        <v>45939.0</v>
      </c>
      <c r="K109" s="285" t="s">
        <v>4841</v>
      </c>
      <c r="L109" s="485"/>
      <c r="M109" s="290" t="s">
        <v>10768</v>
      </c>
      <c r="N109" s="299" t="s">
        <v>497</v>
      </c>
      <c r="O109" s="322" t="s">
        <v>2554</v>
      </c>
      <c r="P109" s="300">
        <v>33187.5</v>
      </c>
      <c r="Q109" s="299">
        <f t="shared" si="1"/>
        <v>40</v>
      </c>
      <c r="R109" s="299" t="s">
        <v>9170</v>
      </c>
      <c r="S109" s="299" t="s">
        <v>9171</v>
      </c>
      <c r="T109" s="198"/>
      <c r="U109" s="198"/>
      <c r="V109" s="198"/>
      <c r="W109" s="198"/>
      <c r="X109" s="198"/>
      <c r="Y109" s="198"/>
      <c r="Z109" s="198"/>
    </row>
    <row r="110" ht="91.5" customHeight="1">
      <c r="A110" s="370">
        <v>41207.0</v>
      </c>
      <c r="B110" s="285" t="s">
        <v>21</v>
      </c>
      <c r="C110" s="299">
        <v>4501.0</v>
      </c>
      <c r="D110" s="285" t="s">
        <v>10769</v>
      </c>
      <c r="E110" s="287" t="s">
        <v>10770</v>
      </c>
      <c r="F110" s="288">
        <v>45932.0</v>
      </c>
      <c r="G110" s="288">
        <v>45928.0</v>
      </c>
      <c r="H110" s="288">
        <v>45928.0</v>
      </c>
      <c r="I110" s="288">
        <v>45938.0</v>
      </c>
      <c r="J110" s="288">
        <v>45938.0</v>
      </c>
      <c r="K110" s="285" t="s">
        <v>4841</v>
      </c>
      <c r="L110" s="485"/>
      <c r="M110" s="290" t="s">
        <v>10771</v>
      </c>
      <c r="N110" s="299" t="s">
        <v>497</v>
      </c>
      <c r="O110" s="322" t="s">
        <v>2554</v>
      </c>
      <c r="P110" s="300">
        <v>32625.0</v>
      </c>
      <c r="Q110" s="299">
        <f t="shared" si="1"/>
        <v>40</v>
      </c>
      <c r="R110" s="299" t="s">
        <v>9170</v>
      </c>
      <c r="S110" s="299" t="s">
        <v>9171</v>
      </c>
      <c r="T110" s="198"/>
      <c r="U110" s="198"/>
      <c r="V110" s="198"/>
      <c r="W110" s="198"/>
      <c r="X110" s="198"/>
      <c r="Y110" s="198"/>
      <c r="Z110" s="198"/>
    </row>
    <row r="111" ht="91.5" customHeight="1">
      <c r="A111" s="370">
        <v>41040.0</v>
      </c>
      <c r="B111" s="292" t="s">
        <v>715</v>
      </c>
      <c r="C111" s="299">
        <v>4355.0</v>
      </c>
      <c r="D111" s="285" t="s">
        <v>10772</v>
      </c>
      <c r="E111" s="287" t="s">
        <v>10609</v>
      </c>
      <c r="F111" s="288">
        <v>45930.0</v>
      </c>
      <c r="G111" s="288">
        <v>45925.0</v>
      </c>
      <c r="H111" s="288">
        <v>45925.0</v>
      </c>
      <c r="I111" s="288">
        <v>45936.0</v>
      </c>
      <c r="J111" s="288">
        <v>45936.0</v>
      </c>
      <c r="K111" s="285"/>
      <c r="L111" s="485"/>
      <c r="M111" s="290" t="s">
        <v>10773</v>
      </c>
      <c r="N111" s="299" t="s">
        <v>497</v>
      </c>
      <c r="O111" s="322" t="s">
        <v>2554</v>
      </c>
      <c r="P111" s="300">
        <v>35972.3</v>
      </c>
      <c r="Q111" s="299">
        <f t="shared" si="1"/>
        <v>40</v>
      </c>
      <c r="R111" s="299" t="s">
        <v>9198</v>
      </c>
      <c r="S111" s="299" t="s">
        <v>9171</v>
      </c>
      <c r="T111" s="198"/>
      <c r="U111" s="198"/>
      <c r="V111" s="198"/>
      <c r="W111" s="198"/>
      <c r="X111" s="198"/>
      <c r="Y111" s="198"/>
      <c r="Z111" s="198"/>
    </row>
    <row r="112" ht="91.5" customHeight="1">
      <c r="A112" s="370">
        <v>41035.0</v>
      </c>
      <c r="B112" s="292" t="s">
        <v>715</v>
      </c>
      <c r="C112" s="299">
        <v>4355.0</v>
      </c>
      <c r="D112" s="285" t="s">
        <v>10774</v>
      </c>
      <c r="E112" s="287" t="s">
        <v>10609</v>
      </c>
      <c r="F112" s="288">
        <v>45930.0</v>
      </c>
      <c r="G112" s="288">
        <v>45925.0</v>
      </c>
      <c r="H112" s="288">
        <v>45925.0</v>
      </c>
      <c r="I112" s="288">
        <v>45933.0</v>
      </c>
      <c r="J112" s="288">
        <v>45933.0</v>
      </c>
      <c r="K112" s="285"/>
      <c r="L112" s="485"/>
      <c r="M112" s="290" t="s">
        <v>10775</v>
      </c>
      <c r="N112" s="299" t="s">
        <v>497</v>
      </c>
      <c r="O112" s="322" t="s">
        <v>2554</v>
      </c>
      <c r="P112" s="300">
        <v>35972.3</v>
      </c>
      <c r="Q112" s="299">
        <f t="shared" si="1"/>
        <v>40</v>
      </c>
      <c r="R112" s="299" t="s">
        <v>9198</v>
      </c>
      <c r="S112" s="299" t="s">
        <v>9171</v>
      </c>
      <c r="T112" s="198"/>
      <c r="U112" s="198"/>
      <c r="V112" s="198"/>
      <c r="W112" s="198"/>
      <c r="X112" s="198"/>
      <c r="Y112" s="198"/>
      <c r="Z112" s="198"/>
    </row>
    <row r="113" ht="91.5" customHeight="1">
      <c r="A113" s="370">
        <v>41168.0</v>
      </c>
      <c r="B113" s="292" t="s">
        <v>715</v>
      </c>
      <c r="C113" s="299">
        <v>5250.0</v>
      </c>
      <c r="D113" s="285" t="s">
        <v>10776</v>
      </c>
      <c r="E113" s="287" t="s">
        <v>10777</v>
      </c>
      <c r="F113" s="288">
        <v>45930.0</v>
      </c>
      <c r="G113" s="288">
        <v>45925.0</v>
      </c>
      <c r="H113" s="288">
        <v>45925.0</v>
      </c>
      <c r="I113" s="288">
        <v>45933.0</v>
      </c>
      <c r="J113" s="288">
        <v>45933.0</v>
      </c>
      <c r="K113" s="285"/>
      <c r="L113" s="485"/>
      <c r="M113" s="290" t="s">
        <v>10778</v>
      </c>
      <c r="N113" s="299" t="s">
        <v>497</v>
      </c>
      <c r="O113" s="322" t="s">
        <v>2554</v>
      </c>
      <c r="P113" s="300">
        <v>30329.5</v>
      </c>
      <c r="Q113" s="299">
        <f t="shared" si="1"/>
        <v>40</v>
      </c>
      <c r="R113" s="299" t="s">
        <v>9198</v>
      </c>
      <c r="S113" s="299" t="s">
        <v>9171</v>
      </c>
      <c r="T113" s="198"/>
      <c r="U113" s="198"/>
      <c r="V113" s="198"/>
      <c r="W113" s="198"/>
      <c r="X113" s="198"/>
      <c r="Y113" s="198"/>
      <c r="Z113" s="198"/>
    </row>
    <row r="114" ht="91.5" customHeight="1">
      <c r="A114" s="370">
        <v>41165.0</v>
      </c>
      <c r="B114" s="292" t="s">
        <v>6501</v>
      </c>
      <c r="C114" s="299">
        <v>2413.0</v>
      </c>
      <c r="D114" s="285" t="s">
        <v>10779</v>
      </c>
      <c r="E114" s="287" t="s">
        <v>10780</v>
      </c>
      <c r="F114" s="288">
        <v>45930.0</v>
      </c>
      <c r="G114" s="288">
        <v>45967.0</v>
      </c>
      <c r="H114" s="288">
        <v>45936.0</v>
      </c>
      <c r="I114" s="288">
        <v>45936.0</v>
      </c>
      <c r="J114" s="288">
        <v>45936.0</v>
      </c>
      <c r="K114" s="285"/>
      <c r="L114" s="485"/>
      <c r="M114" s="290" t="s">
        <v>10781</v>
      </c>
      <c r="N114" s="299" t="s">
        <v>497</v>
      </c>
      <c r="O114" s="322" t="s">
        <v>2554</v>
      </c>
      <c r="P114" s="300">
        <v>60083.7</v>
      </c>
      <c r="Q114" s="299">
        <f t="shared" si="1"/>
        <v>40</v>
      </c>
      <c r="R114" s="299" t="s">
        <v>9198</v>
      </c>
      <c r="S114" s="299" t="s">
        <v>9171</v>
      </c>
      <c r="T114" s="198"/>
      <c r="U114" s="198"/>
      <c r="V114" s="198"/>
      <c r="W114" s="198"/>
      <c r="X114" s="198"/>
      <c r="Y114" s="198"/>
      <c r="Z114" s="198"/>
    </row>
    <row r="115" ht="91.5" customHeight="1">
      <c r="A115" s="370">
        <v>41218.0</v>
      </c>
      <c r="B115" s="292" t="s">
        <v>25</v>
      </c>
      <c r="C115" s="299">
        <v>5251.0</v>
      </c>
      <c r="D115" s="285" t="s">
        <v>10782</v>
      </c>
      <c r="E115" s="287" t="s">
        <v>10539</v>
      </c>
      <c r="F115" s="288">
        <v>45926.0</v>
      </c>
      <c r="G115" s="288">
        <v>45922.0</v>
      </c>
      <c r="H115" s="288">
        <v>45922.0</v>
      </c>
      <c r="I115" s="288">
        <v>45931.0</v>
      </c>
      <c r="J115" s="288">
        <v>45931.0</v>
      </c>
      <c r="K115" s="285"/>
      <c r="L115" s="485"/>
      <c r="M115" s="290" t="s">
        <v>10783</v>
      </c>
      <c r="N115" s="299" t="s">
        <v>497</v>
      </c>
      <c r="O115" s="322" t="s">
        <v>2554</v>
      </c>
      <c r="P115" s="300">
        <v>26250.0</v>
      </c>
      <c r="Q115" s="299">
        <f t="shared" si="1"/>
        <v>39</v>
      </c>
      <c r="R115" s="299" t="s">
        <v>9170</v>
      </c>
      <c r="S115" s="299" t="s">
        <v>9171</v>
      </c>
      <c r="T115" s="198"/>
      <c r="U115" s="198"/>
      <c r="V115" s="198"/>
      <c r="W115" s="198"/>
      <c r="X115" s="198"/>
      <c r="Y115" s="198"/>
      <c r="Z115" s="198"/>
    </row>
    <row r="116" ht="91.5" customHeight="1">
      <c r="A116" s="370" t="s">
        <v>10784</v>
      </c>
      <c r="B116" s="292" t="s">
        <v>25</v>
      </c>
      <c r="C116" s="285" t="s">
        <v>10785</v>
      </c>
      <c r="D116" s="285" t="s">
        <v>10786</v>
      </c>
      <c r="E116" s="287" t="s">
        <v>3812</v>
      </c>
      <c r="F116" s="288">
        <v>45925.0</v>
      </c>
      <c r="G116" s="288">
        <v>45922.0</v>
      </c>
      <c r="H116" s="288">
        <v>45922.0</v>
      </c>
      <c r="I116" s="288">
        <v>45930.0</v>
      </c>
      <c r="J116" s="285" t="s">
        <v>10787</v>
      </c>
      <c r="K116" s="285"/>
      <c r="L116" s="485"/>
      <c r="M116" s="290" t="s">
        <v>10788</v>
      </c>
      <c r="N116" s="299" t="s">
        <v>6366</v>
      </c>
      <c r="O116" s="322" t="s">
        <v>4662</v>
      </c>
      <c r="P116" s="300">
        <v>64262.0</v>
      </c>
      <c r="Q116" s="299">
        <f t="shared" si="1"/>
        <v>39</v>
      </c>
      <c r="R116" s="299"/>
      <c r="S116" s="299" t="s">
        <v>10487</v>
      </c>
      <c r="T116" s="198"/>
      <c r="U116" s="198"/>
      <c r="V116" s="198"/>
      <c r="W116" s="198"/>
      <c r="X116" s="198"/>
      <c r="Y116" s="198"/>
      <c r="Z116" s="198"/>
    </row>
    <row r="117" ht="91.5" customHeight="1">
      <c r="A117" s="370">
        <v>40693.0</v>
      </c>
      <c r="B117" s="292" t="s">
        <v>715</v>
      </c>
      <c r="C117" s="299">
        <v>1250.0</v>
      </c>
      <c r="D117" s="285" t="s">
        <v>10789</v>
      </c>
      <c r="E117" s="287" t="s">
        <v>10790</v>
      </c>
      <c r="F117" s="288">
        <v>45923.0</v>
      </c>
      <c r="G117" s="288">
        <v>45918.0</v>
      </c>
      <c r="H117" s="288">
        <v>45918.0</v>
      </c>
      <c r="I117" s="288">
        <v>45929.0</v>
      </c>
      <c r="J117" s="288">
        <v>45929.0</v>
      </c>
      <c r="K117" s="285"/>
      <c r="L117" s="485"/>
      <c r="M117" s="290" t="s">
        <v>10791</v>
      </c>
      <c r="N117" s="299" t="s">
        <v>4635</v>
      </c>
      <c r="O117" s="322" t="s">
        <v>2621</v>
      </c>
      <c r="P117" s="300">
        <v>28543.8</v>
      </c>
      <c r="Q117" s="299">
        <f t="shared" si="1"/>
        <v>39</v>
      </c>
      <c r="R117" s="299"/>
      <c r="S117" s="299" t="s">
        <v>8430</v>
      </c>
      <c r="T117" s="198"/>
      <c r="U117" s="198"/>
      <c r="V117" s="198"/>
      <c r="W117" s="198"/>
      <c r="X117" s="198"/>
      <c r="Y117" s="198"/>
      <c r="Z117" s="198"/>
    </row>
    <row r="118" ht="91.5" customHeight="1">
      <c r="A118" s="370">
        <v>41174.0</v>
      </c>
      <c r="B118" s="292" t="s">
        <v>715</v>
      </c>
      <c r="C118" s="299">
        <v>5244.0</v>
      </c>
      <c r="D118" s="285" t="s">
        <v>10792</v>
      </c>
      <c r="E118" s="287" t="s">
        <v>10793</v>
      </c>
      <c r="F118" s="288">
        <v>45922.0</v>
      </c>
      <c r="G118" s="288">
        <v>45917.0</v>
      </c>
      <c r="H118" s="288">
        <v>45917.0</v>
      </c>
      <c r="I118" s="288">
        <v>45930.0</v>
      </c>
      <c r="J118" s="288">
        <v>45930.0</v>
      </c>
      <c r="K118" s="285"/>
      <c r="L118" s="485"/>
      <c r="M118" s="290" t="s">
        <v>10794</v>
      </c>
      <c r="N118" s="299" t="s">
        <v>497</v>
      </c>
      <c r="O118" s="322" t="s">
        <v>2554</v>
      </c>
      <c r="P118" s="300">
        <v>31599.38</v>
      </c>
      <c r="Q118" s="299">
        <f t="shared" si="1"/>
        <v>39</v>
      </c>
      <c r="R118" s="299" t="s">
        <v>9198</v>
      </c>
      <c r="S118" s="299" t="s">
        <v>9171</v>
      </c>
      <c r="T118" s="198"/>
      <c r="U118" s="198"/>
      <c r="V118" s="198"/>
      <c r="W118" s="198"/>
      <c r="X118" s="198"/>
      <c r="Y118" s="198"/>
      <c r="Z118" s="198"/>
    </row>
    <row r="119" ht="91.5" customHeight="1">
      <c r="A119" s="370">
        <v>41034.0</v>
      </c>
      <c r="B119" s="292" t="s">
        <v>715</v>
      </c>
      <c r="C119" s="299">
        <v>4355.0</v>
      </c>
      <c r="D119" s="285" t="s">
        <v>10795</v>
      </c>
      <c r="E119" s="287" t="s">
        <v>10796</v>
      </c>
      <c r="F119" s="288">
        <v>45922.0</v>
      </c>
      <c r="G119" s="288">
        <v>45917.0</v>
      </c>
      <c r="H119" s="288">
        <v>45917.0</v>
      </c>
      <c r="I119" s="288">
        <v>45929.0</v>
      </c>
      <c r="J119" s="288">
        <v>45929.0</v>
      </c>
      <c r="K119" s="285"/>
      <c r="L119" s="485"/>
      <c r="M119" s="290" t="s">
        <v>10797</v>
      </c>
      <c r="N119" s="299" t="s">
        <v>497</v>
      </c>
      <c r="O119" s="322" t="s">
        <v>2554</v>
      </c>
      <c r="P119" s="300">
        <v>34197.5</v>
      </c>
      <c r="Q119" s="299">
        <f t="shared" si="1"/>
        <v>39</v>
      </c>
      <c r="R119" s="299" t="s">
        <v>9198</v>
      </c>
      <c r="S119" s="299" t="s">
        <v>9171</v>
      </c>
      <c r="T119" s="198"/>
      <c r="U119" s="198"/>
      <c r="V119" s="198"/>
      <c r="W119" s="198"/>
      <c r="X119" s="198"/>
      <c r="Y119" s="198"/>
      <c r="Z119" s="198"/>
    </row>
    <row r="120" ht="91.5" customHeight="1">
      <c r="A120" s="370">
        <v>41023.0</v>
      </c>
      <c r="B120" s="292" t="s">
        <v>715</v>
      </c>
      <c r="C120" s="299">
        <v>5252.0</v>
      </c>
      <c r="D120" s="285" t="s">
        <v>10798</v>
      </c>
      <c r="E120" s="287" t="s">
        <v>10799</v>
      </c>
      <c r="F120" s="288">
        <v>45922.0</v>
      </c>
      <c r="G120" s="288">
        <v>45950.0</v>
      </c>
      <c r="H120" s="288">
        <v>45931.0</v>
      </c>
      <c r="I120" s="288">
        <v>45931.0</v>
      </c>
      <c r="J120" s="288">
        <v>45931.0</v>
      </c>
      <c r="K120" s="285"/>
      <c r="L120" s="485"/>
      <c r="M120" s="290" t="s">
        <v>10800</v>
      </c>
      <c r="N120" s="299" t="s">
        <v>497</v>
      </c>
      <c r="O120" s="322" t="s">
        <v>2554</v>
      </c>
      <c r="P120" s="300">
        <v>23250.0</v>
      </c>
      <c r="Q120" s="299">
        <f t="shared" si="1"/>
        <v>39</v>
      </c>
      <c r="R120" s="299" t="s">
        <v>9170</v>
      </c>
      <c r="S120" s="299" t="s">
        <v>9171</v>
      </c>
      <c r="T120" s="198"/>
      <c r="U120" s="198"/>
      <c r="V120" s="198"/>
      <c r="W120" s="198"/>
      <c r="X120" s="198"/>
      <c r="Y120" s="198"/>
      <c r="Z120" s="198"/>
    </row>
    <row r="121" ht="91.5" customHeight="1">
      <c r="A121" s="370">
        <v>40851.0</v>
      </c>
      <c r="B121" s="292" t="s">
        <v>715</v>
      </c>
      <c r="C121" s="299">
        <v>4355.0</v>
      </c>
      <c r="D121" s="285" t="s">
        <v>10801</v>
      </c>
      <c r="E121" s="287" t="s">
        <v>10609</v>
      </c>
      <c r="F121" s="288">
        <v>45922.0</v>
      </c>
      <c r="G121" s="288">
        <v>45917.0</v>
      </c>
      <c r="H121" s="288">
        <v>45917.0</v>
      </c>
      <c r="I121" s="288">
        <v>45930.0</v>
      </c>
      <c r="J121" s="288">
        <v>45930.0</v>
      </c>
      <c r="K121" s="285"/>
      <c r="L121" s="485"/>
      <c r="M121" s="290" t="s">
        <v>10802</v>
      </c>
      <c r="N121" s="299" t="s">
        <v>497</v>
      </c>
      <c r="O121" s="322" t="s">
        <v>2554</v>
      </c>
      <c r="P121" s="300">
        <v>35972.3</v>
      </c>
      <c r="Q121" s="299">
        <f t="shared" si="1"/>
        <v>39</v>
      </c>
      <c r="R121" s="299" t="s">
        <v>9198</v>
      </c>
      <c r="S121" s="299" t="s">
        <v>9171</v>
      </c>
      <c r="T121" s="198"/>
      <c r="U121" s="198"/>
      <c r="V121" s="198"/>
      <c r="W121" s="198"/>
      <c r="X121" s="198"/>
      <c r="Y121" s="198"/>
      <c r="Z121" s="198"/>
    </row>
    <row r="122" ht="91.5" customHeight="1">
      <c r="A122" s="370">
        <v>41176.0</v>
      </c>
      <c r="B122" s="292" t="s">
        <v>715</v>
      </c>
      <c r="C122" s="299">
        <v>4501.0</v>
      </c>
      <c r="D122" s="285" t="s">
        <v>10803</v>
      </c>
      <c r="E122" s="287" t="s">
        <v>10770</v>
      </c>
      <c r="F122" s="288">
        <v>45920.0</v>
      </c>
      <c r="G122" s="288">
        <v>45930.0</v>
      </c>
      <c r="H122" s="288">
        <v>45924.0</v>
      </c>
      <c r="I122" s="288">
        <v>45924.0</v>
      </c>
      <c r="J122" s="288">
        <v>45924.0</v>
      </c>
      <c r="K122" s="285"/>
      <c r="L122" s="485"/>
      <c r="M122" s="290" t="s">
        <v>10804</v>
      </c>
      <c r="N122" s="299" t="s">
        <v>497</v>
      </c>
      <c r="O122" s="322" t="s">
        <v>2554</v>
      </c>
      <c r="P122" s="300">
        <v>32625.0</v>
      </c>
      <c r="Q122" s="299">
        <f t="shared" si="1"/>
        <v>38</v>
      </c>
      <c r="R122" s="299" t="s">
        <v>9170</v>
      </c>
      <c r="S122" s="299" t="s">
        <v>9171</v>
      </c>
      <c r="T122" s="198"/>
      <c r="U122" s="198"/>
      <c r="V122" s="198"/>
      <c r="W122" s="198"/>
      <c r="X122" s="198"/>
      <c r="Y122" s="198"/>
      <c r="Z122" s="198"/>
    </row>
    <row r="123" ht="91.5" customHeight="1">
      <c r="A123" s="370">
        <v>41022.0</v>
      </c>
      <c r="B123" s="292" t="s">
        <v>715</v>
      </c>
      <c r="C123" s="299">
        <v>4501.0</v>
      </c>
      <c r="D123" s="285" t="s">
        <v>10805</v>
      </c>
      <c r="E123" s="287" t="s">
        <v>10770</v>
      </c>
      <c r="F123" s="288">
        <v>45920.0</v>
      </c>
      <c r="G123" s="288">
        <v>46013.0</v>
      </c>
      <c r="H123" s="288">
        <v>45926.0</v>
      </c>
      <c r="I123" s="288">
        <v>45926.0</v>
      </c>
      <c r="J123" s="288">
        <v>45926.0</v>
      </c>
      <c r="K123" s="285"/>
      <c r="L123" s="485"/>
      <c r="M123" s="290" t="s">
        <v>10806</v>
      </c>
      <c r="N123" s="299" t="s">
        <v>497</v>
      </c>
      <c r="O123" s="322" t="s">
        <v>2554</v>
      </c>
      <c r="P123" s="300">
        <v>32625.0</v>
      </c>
      <c r="Q123" s="299">
        <f t="shared" si="1"/>
        <v>38</v>
      </c>
      <c r="R123" s="299" t="s">
        <v>9170</v>
      </c>
      <c r="S123" s="299" t="s">
        <v>9171</v>
      </c>
      <c r="T123" s="198"/>
      <c r="U123" s="198"/>
      <c r="V123" s="198"/>
      <c r="W123" s="198"/>
      <c r="X123" s="198"/>
      <c r="Y123" s="198"/>
      <c r="Z123" s="198"/>
    </row>
    <row r="124" ht="91.5" customHeight="1">
      <c r="A124" s="370">
        <v>41167.0</v>
      </c>
      <c r="B124" s="292" t="s">
        <v>715</v>
      </c>
      <c r="C124" s="299">
        <v>5250.0</v>
      </c>
      <c r="D124" s="285" t="s">
        <v>10807</v>
      </c>
      <c r="E124" s="287" t="s">
        <v>10808</v>
      </c>
      <c r="F124" s="288">
        <v>45920.0</v>
      </c>
      <c r="G124" s="288">
        <v>45916.0</v>
      </c>
      <c r="H124" s="288">
        <v>45916.0</v>
      </c>
      <c r="I124" s="288">
        <v>45925.0</v>
      </c>
      <c r="J124" s="288">
        <v>45925.0</v>
      </c>
      <c r="K124" s="285"/>
      <c r="L124" s="485"/>
      <c r="M124" s="290" t="s">
        <v>10809</v>
      </c>
      <c r="N124" s="299" t="s">
        <v>497</v>
      </c>
      <c r="O124" s="322" t="s">
        <v>2554</v>
      </c>
      <c r="P124" s="300">
        <v>29849.5</v>
      </c>
      <c r="Q124" s="299">
        <f t="shared" si="1"/>
        <v>38</v>
      </c>
      <c r="R124" s="299" t="s">
        <v>9198</v>
      </c>
      <c r="S124" s="299" t="s">
        <v>9171</v>
      </c>
      <c r="T124" s="198"/>
      <c r="U124" s="198"/>
      <c r="V124" s="198"/>
      <c r="W124" s="198"/>
      <c r="X124" s="198"/>
      <c r="Y124" s="198"/>
      <c r="Z124" s="198"/>
    </row>
    <row r="125" ht="91.5" customHeight="1">
      <c r="A125" s="370">
        <v>40711.0</v>
      </c>
      <c r="B125" s="285" t="s">
        <v>21</v>
      </c>
      <c r="C125" s="299">
        <v>1250.0</v>
      </c>
      <c r="D125" s="285" t="s">
        <v>10810</v>
      </c>
      <c r="E125" s="287" t="s">
        <v>10790</v>
      </c>
      <c r="F125" s="288">
        <v>45919.0</v>
      </c>
      <c r="G125" s="288">
        <v>45925.0</v>
      </c>
      <c r="H125" s="288">
        <v>45925.0</v>
      </c>
      <c r="I125" s="288">
        <v>45926.0</v>
      </c>
      <c r="J125" s="288">
        <v>45926.0</v>
      </c>
      <c r="K125" s="573" t="s">
        <v>10811</v>
      </c>
      <c r="L125" s="296" t="s">
        <v>9178</v>
      </c>
      <c r="M125" s="290" t="s">
        <v>10812</v>
      </c>
      <c r="N125" s="299" t="s">
        <v>4635</v>
      </c>
      <c r="O125" s="322" t="s">
        <v>2621</v>
      </c>
      <c r="P125" s="300">
        <v>27530.5</v>
      </c>
      <c r="Q125" s="299">
        <f t="shared" si="1"/>
        <v>38</v>
      </c>
      <c r="R125" s="299"/>
      <c r="S125" s="299" t="s">
        <v>8430</v>
      </c>
      <c r="T125" s="198"/>
      <c r="U125" s="198"/>
      <c r="V125" s="198"/>
      <c r="W125" s="198"/>
      <c r="X125" s="198"/>
      <c r="Y125" s="198"/>
      <c r="Z125" s="198"/>
    </row>
    <row r="126" ht="91.5" customHeight="1">
      <c r="A126" s="370">
        <v>41161.0</v>
      </c>
      <c r="B126" s="292" t="s">
        <v>25</v>
      </c>
      <c r="C126" s="285">
        <v>2275.0</v>
      </c>
      <c r="D126" s="285" t="s">
        <v>10813</v>
      </c>
      <c r="E126" s="287" t="s">
        <v>10562</v>
      </c>
      <c r="F126" s="288">
        <v>45919.0</v>
      </c>
      <c r="G126" s="288">
        <v>45915.0</v>
      </c>
      <c r="H126" s="288">
        <v>45915.0</v>
      </c>
      <c r="I126" s="288">
        <v>45922.0</v>
      </c>
      <c r="J126" s="288">
        <v>45922.0</v>
      </c>
      <c r="K126" s="285"/>
      <c r="L126" s="485"/>
      <c r="M126" s="576" t="s">
        <v>10814</v>
      </c>
      <c r="N126" s="299" t="s">
        <v>497</v>
      </c>
      <c r="O126" s="322" t="s">
        <v>2554</v>
      </c>
      <c r="P126" s="300">
        <v>35831.5</v>
      </c>
      <c r="Q126" s="299">
        <f t="shared" si="1"/>
        <v>38</v>
      </c>
      <c r="R126" s="299" t="s">
        <v>9198</v>
      </c>
      <c r="S126" s="299" t="s">
        <v>9171</v>
      </c>
      <c r="T126" s="198"/>
      <c r="U126" s="198"/>
      <c r="V126" s="198"/>
      <c r="W126" s="198"/>
      <c r="X126" s="198"/>
      <c r="Y126" s="198"/>
      <c r="Z126" s="198"/>
    </row>
    <row r="127" ht="91.5" customHeight="1">
      <c r="A127" s="370">
        <v>41021.0</v>
      </c>
      <c r="B127" s="292" t="s">
        <v>715</v>
      </c>
      <c r="C127" s="299">
        <v>5251.0</v>
      </c>
      <c r="D127" s="285" t="s">
        <v>10815</v>
      </c>
      <c r="E127" s="287" t="s">
        <v>10816</v>
      </c>
      <c r="F127" s="288">
        <v>45916.0</v>
      </c>
      <c r="G127" s="288">
        <v>45930.0</v>
      </c>
      <c r="H127" s="288">
        <v>45918.0</v>
      </c>
      <c r="I127" s="288">
        <v>45918.0</v>
      </c>
      <c r="J127" s="288">
        <v>45918.0</v>
      </c>
      <c r="K127" s="285"/>
      <c r="L127" s="485"/>
      <c r="M127" s="290" t="s">
        <v>10817</v>
      </c>
      <c r="N127" s="299" t="s">
        <v>497</v>
      </c>
      <c r="O127" s="322" t="s">
        <v>2554</v>
      </c>
      <c r="P127" s="300">
        <v>22312.5</v>
      </c>
      <c r="Q127" s="299">
        <f t="shared" si="1"/>
        <v>38</v>
      </c>
      <c r="R127" s="299" t="s">
        <v>9170</v>
      </c>
      <c r="S127" s="299" t="s">
        <v>9171</v>
      </c>
      <c r="T127" s="198"/>
      <c r="U127" s="198"/>
      <c r="V127" s="198"/>
      <c r="W127" s="198"/>
      <c r="X127" s="198"/>
      <c r="Y127" s="198"/>
      <c r="Z127" s="198"/>
    </row>
    <row r="128" ht="91.5" customHeight="1">
      <c r="A128" s="370">
        <v>40856.0</v>
      </c>
      <c r="B128" s="292" t="s">
        <v>715</v>
      </c>
      <c r="C128" s="299">
        <v>5251.0</v>
      </c>
      <c r="D128" s="285" t="s">
        <v>10818</v>
      </c>
      <c r="E128" s="287" t="s">
        <v>10539</v>
      </c>
      <c r="F128" s="288">
        <v>45916.0</v>
      </c>
      <c r="G128" s="288">
        <v>45930.0</v>
      </c>
      <c r="H128" s="288">
        <v>45922.0</v>
      </c>
      <c r="I128" s="288">
        <v>45922.0</v>
      </c>
      <c r="J128" s="288">
        <v>45922.0</v>
      </c>
      <c r="K128" s="285"/>
      <c r="L128" s="485"/>
      <c r="M128" s="290" t="s">
        <v>10819</v>
      </c>
      <c r="N128" s="299" t="s">
        <v>497</v>
      </c>
      <c r="O128" s="322" t="s">
        <v>2554</v>
      </c>
      <c r="P128" s="300">
        <v>26250.0</v>
      </c>
      <c r="Q128" s="299">
        <f t="shared" si="1"/>
        <v>38</v>
      </c>
      <c r="R128" s="299" t="s">
        <v>9170</v>
      </c>
      <c r="S128" s="299" t="s">
        <v>9171</v>
      </c>
      <c r="T128" s="198"/>
      <c r="U128" s="198"/>
      <c r="V128" s="198"/>
      <c r="W128" s="198"/>
      <c r="X128" s="198"/>
      <c r="Y128" s="198"/>
      <c r="Z128" s="198"/>
    </row>
    <row r="129" ht="96.0" customHeight="1">
      <c r="A129" s="370">
        <v>41163.0</v>
      </c>
      <c r="B129" s="292" t="s">
        <v>715</v>
      </c>
      <c r="C129" s="299">
        <v>2396.0</v>
      </c>
      <c r="D129" s="285" t="s">
        <v>10820</v>
      </c>
      <c r="E129" s="287" t="s">
        <v>10617</v>
      </c>
      <c r="F129" s="288">
        <v>45916.0</v>
      </c>
      <c r="G129" s="288">
        <v>45930.0</v>
      </c>
      <c r="H129" s="288">
        <v>45923.0</v>
      </c>
      <c r="I129" s="288">
        <v>45923.0</v>
      </c>
      <c r="J129" s="288">
        <v>45923.0</v>
      </c>
      <c r="K129" s="285"/>
      <c r="L129" s="485"/>
      <c r="M129" s="290" t="s">
        <v>10821</v>
      </c>
      <c r="N129" s="299" t="s">
        <v>497</v>
      </c>
      <c r="O129" s="322" t="s">
        <v>2554</v>
      </c>
      <c r="P129" s="300">
        <v>42169.6</v>
      </c>
      <c r="Q129" s="299">
        <f t="shared" si="1"/>
        <v>38</v>
      </c>
      <c r="R129" s="299" t="s">
        <v>9198</v>
      </c>
      <c r="S129" s="299" t="s">
        <v>9171</v>
      </c>
      <c r="T129" s="198"/>
      <c r="U129" s="198"/>
      <c r="V129" s="198"/>
      <c r="W129" s="198"/>
      <c r="X129" s="198"/>
      <c r="Y129" s="198"/>
      <c r="Z129" s="198"/>
    </row>
    <row r="130" ht="91.5" customHeight="1">
      <c r="A130" s="370">
        <v>41125.0</v>
      </c>
      <c r="B130" s="292" t="s">
        <v>715</v>
      </c>
      <c r="C130" s="299">
        <v>5250.0</v>
      </c>
      <c r="D130" s="285" t="s">
        <v>10822</v>
      </c>
      <c r="E130" s="287" t="s">
        <v>10808</v>
      </c>
      <c r="F130" s="288">
        <v>45916.0</v>
      </c>
      <c r="G130" s="288">
        <v>45923.0</v>
      </c>
      <c r="H130" s="288">
        <v>45919.0</v>
      </c>
      <c r="I130" s="288">
        <v>45919.0</v>
      </c>
      <c r="J130" s="288">
        <v>45919.0</v>
      </c>
      <c r="K130" s="285"/>
      <c r="L130" s="485"/>
      <c r="M130" s="290" t="s">
        <v>10823</v>
      </c>
      <c r="N130" s="299" t="s">
        <v>497</v>
      </c>
      <c r="O130" s="322" t="s">
        <v>2554</v>
      </c>
      <c r="P130" s="300">
        <v>29849.5</v>
      </c>
      <c r="Q130" s="299">
        <f t="shared" si="1"/>
        <v>38</v>
      </c>
      <c r="R130" s="299" t="s">
        <v>9198</v>
      </c>
      <c r="S130" s="299" t="s">
        <v>9171</v>
      </c>
      <c r="T130" s="198"/>
      <c r="U130" s="198"/>
      <c r="V130" s="198"/>
      <c r="W130" s="198"/>
      <c r="X130" s="198"/>
      <c r="Y130" s="198"/>
      <c r="Z130" s="198"/>
    </row>
    <row r="131" ht="91.5" customHeight="1">
      <c r="A131" s="370">
        <v>41124.0</v>
      </c>
      <c r="B131" s="292" t="s">
        <v>715</v>
      </c>
      <c r="C131" s="299">
        <v>2275.0</v>
      </c>
      <c r="D131" s="285" t="s">
        <v>10824</v>
      </c>
      <c r="E131" s="287" t="s">
        <v>10604</v>
      </c>
      <c r="F131" s="288">
        <v>45916.0</v>
      </c>
      <c r="G131" s="288">
        <v>45923.0</v>
      </c>
      <c r="H131" s="288">
        <v>45919.0</v>
      </c>
      <c r="I131" s="288">
        <v>45919.0</v>
      </c>
      <c r="J131" s="288">
        <v>45919.0</v>
      </c>
      <c r="K131" s="285"/>
      <c r="L131" s="572"/>
      <c r="M131" s="290" t="s">
        <v>10825</v>
      </c>
      <c r="N131" s="299" t="s">
        <v>497</v>
      </c>
      <c r="O131" s="322" t="s">
        <v>2554</v>
      </c>
      <c r="P131" s="300">
        <v>35490.0</v>
      </c>
      <c r="Q131" s="299">
        <f t="shared" si="1"/>
        <v>38</v>
      </c>
      <c r="R131" s="299" t="s">
        <v>9198</v>
      </c>
      <c r="S131" s="299" t="s">
        <v>9171</v>
      </c>
      <c r="T131" s="198"/>
      <c r="U131" s="198"/>
      <c r="V131" s="198"/>
      <c r="W131" s="198"/>
      <c r="X131" s="198"/>
      <c r="Y131" s="198"/>
      <c r="Z131" s="198"/>
    </row>
    <row r="132" ht="95.25" customHeight="1">
      <c r="A132" s="370">
        <v>41160.0</v>
      </c>
      <c r="B132" s="285" t="s">
        <v>21</v>
      </c>
      <c r="C132" s="299">
        <v>4355.0</v>
      </c>
      <c r="D132" s="285" t="s">
        <v>10826</v>
      </c>
      <c r="E132" s="287" t="s">
        <v>10827</v>
      </c>
      <c r="F132" s="288">
        <v>45916.0</v>
      </c>
      <c r="G132" s="288">
        <v>46049.0</v>
      </c>
      <c r="H132" s="288">
        <v>45923.0</v>
      </c>
      <c r="I132" s="288">
        <v>45923.0</v>
      </c>
      <c r="J132" s="288">
        <v>45923.0</v>
      </c>
      <c r="K132" s="285" t="s">
        <v>5270</v>
      </c>
      <c r="L132" s="285" t="s">
        <v>9178</v>
      </c>
      <c r="M132" s="290" t="s">
        <v>10828</v>
      </c>
      <c r="N132" s="299" t="s">
        <v>497</v>
      </c>
      <c r="O132" s="322" t="s">
        <v>2554</v>
      </c>
      <c r="P132" s="300">
        <v>30049.5</v>
      </c>
      <c r="Q132" s="299">
        <f t="shared" si="1"/>
        <v>38</v>
      </c>
      <c r="R132" s="299" t="s">
        <v>9198</v>
      </c>
      <c r="S132" s="299" t="s">
        <v>9171</v>
      </c>
      <c r="T132" s="198"/>
      <c r="U132" s="198"/>
      <c r="V132" s="198"/>
      <c r="W132" s="198"/>
      <c r="X132" s="198"/>
      <c r="Y132" s="198"/>
      <c r="Z132" s="198"/>
    </row>
    <row r="133" ht="91.5" customHeight="1">
      <c r="A133" s="370">
        <v>40645.0</v>
      </c>
      <c r="B133" s="285" t="s">
        <v>21</v>
      </c>
      <c r="C133" s="299">
        <v>3992.0</v>
      </c>
      <c r="D133" s="285" t="s">
        <v>10829</v>
      </c>
      <c r="E133" s="287" t="s">
        <v>3903</v>
      </c>
      <c r="F133" s="288">
        <v>45915.0</v>
      </c>
      <c r="G133" s="288">
        <v>45911.0</v>
      </c>
      <c r="H133" s="288">
        <v>45911.0</v>
      </c>
      <c r="I133" s="288">
        <v>45917.0</v>
      </c>
      <c r="J133" s="288">
        <v>45917.0</v>
      </c>
      <c r="K133" s="573" t="s">
        <v>10830</v>
      </c>
      <c r="L133" s="296" t="s">
        <v>9178</v>
      </c>
      <c r="M133" s="290" t="s">
        <v>10831</v>
      </c>
      <c r="N133" s="299" t="s">
        <v>4635</v>
      </c>
      <c r="O133" s="322" t="s">
        <v>4169</v>
      </c>
      <c r="P133" s="300">
        <v>133421.76</v>
      </c>
      <c r="Q133" s="299">
        <f t="shared" si="1"/>
        <v>38</v>
      </c>
      <c r="R133" s="299"/>
      <c r="S133" s="299" t="s">
        <v>10487</v>
      </c>
      <c r="T133" s="198"/>
      <c r="U133" s="198"/>
      <c r="V133" s="198"/>
      <c r="W133" s="198"/>
      <c r="X133" s="198"/>
      <c r="Y133" s="198"/>
      <c r="Z133" s="198"/>
    </row>
    <row r="134" ht="91.5" customHeight="1">
      <c r="A134" s="370">
        <v>40137.0</v>
      </c>
      <c r="B134" s="292" t="s">
        <v>25</v>
      </c>
      <c r="C134" s="285" t="s">
        <v>10832</v>
      </c>
      <c r="D134" s="285" t="s">
        <v>10833</v>
      </c>
      <c r="E134" s="287" t="s">
        <v>6395</v>
      </c>
      <c r="F134" s="288">
        <v>45910.0</v>
      </c>
      <c r="G134" s="288">
        <v>45915.0</v>
      </c>
      <c r="H134" s="288">
        <v>45915.0</v>
      </c>
      <c r="I134" s="288">
        <v>45922.0</v>
      </c>
      <c r="J134" s="288">
        <v>45922.0</v>
      </c>
      <c r="K134" s="285"/>
      <c r="L134" s="485"/>
      <c r="M134" s="290" t="s">
        <v>10834</v>
      </c>
      <c r="N134" s="299" t="s">
        <v>4635</v>
      </c>
      <c r="O134" s="322" t="s">
        <v>4912</v>
      </c>
      <c r="P134" s="300">
        <v>164962.5</v>
      </c>
      <c r="Q134" s="299">
        <f t="shared" si="1"/>
        <v>37</v>
      </c>
      <c r="R134" s="299"/>
      <c r="S134" s="299" t="s">
        <v>10487</v>
      </c>
      <c r="T134" s="198"/>
      <c r="U134" s="198"/>
      <c r="V134" s="198"/>
      <c r="W134" s="198"/>
      <c r="X134" s="198"/>
      <c r="Y134" s="198"/>
      <c r="Z134" s="198"/>
    </row>
    <row r="135" ht="91.5" customHeight="1">
      <c r="A135" s="370">
        <v>40847.0</v>
      </c>
      <c r="B135" s="292" t="s">
        <v>715</v>
      </c>
      <c r="C135" s="299">
        <v>4355.0</v>
      </c>
      <c r="D135" s="285" t="s">
        <v>10835</v>
      </c>
      <c r="E135" s="287" t="s">
        <v>10609</v>
      </c>
      <c r="F135" s="288">
        <v>45910.0</v>
      </c>
      <c r="G135" s="288">
        <v>45923.0</v>
      </c>
      <c r="H135" s="288">
        <v>45915.0</v>
      </c>
      <c r="I135" s="288">
        <v>45915.0</v>
      </c>
      <c r="J135" s="288">
        <v>45915.0</v>
      </c>
      <c r="K135" s="285"/>
      <c r="L135" s="485"/>
      <c r="M135" s="290" t="s">
        <v>10836</v>
      </c>
      <c r="N135" s="299" t="s">
        <v>497</v>
      </c>
      <c r="O135" s="322" t="s">
        <v>2554</v>
      </c>
      <c r="P135" s="300">
        <v>35972.3</v>
      </c>
      <c r="Q135" s="299">
        <f t="shared" si="1"/>
        <v>37</v>
      </c>
      <c r="R135" s="299" t="s">
        <v>9198</v>
      </c>
      <c r="S135" s="299" t="s">
        <v>9171</v>
      </c>
      <c r="T135" s="198"/>
      <c r="U135" s="198"/>
      <c r="V135" s="198"/>
      <c r="W135" s="198"/>
      <c r="X135" s="198"/>
      <c r="Y135" s="198"/>
      <c r="Z135" s="198"/>
    </row>
    <row r="136" ht="98.25" customHeight="1">
      <c r="A136" s="370">
        <v>40941.0</v>
      </c>
      <c r="B136" s="292" t="s">
        <v>715</v>
      </c>
      <c r="C136" s="299">
        <v>5250.0</v>
      </c>
      <c r="D136" s="285" t="s">
        <v>10837</v>
      </c>
      <c r="E136" s="287" t="s">
        <v>10838</v>
      </c>
      <c r="F136" s="288">
        <v>45910.0</v>
      </c>
      <c r="G136" s="288">
        <v>45923.0</v>
      </c>
      <c r="H136" s="288">
        <v>45917.0</v>
      </c>
      <c r="I136" s="288">
        <v>45917.0</v>
      </c>
      <c r="J136" s="288">
        <v>45917.0</v>
      </c>
      <c r="K136" s="285"/>
      <c r="L136" s="17"/>
      <c r="M136" s="290" t="s">
        <v>10839</v>
      </c>
      <c r="N136" s="299" t="s">
        <v>497</v>
      </c>
      <c r="O136" s="322" t="s">
        <v>2554</v>
      </c>
      <c r="P136" s="300">
        <v>29849.5</v>
      </c>
      <c r="Q136" s="299">
        <f t="shared" si="1"/>
        <v>37</v>
      </c>
      <c r="R136" s="299" t="s">
        <v>9198</v>
      </c>
      <c r="S136" s="299" t="s">
        <v>9171</v>
      </c>
      <c r="T136" s="198"/>
      <c r="U136" s="198"/>
      <c r="V136" s="198"/>
      <c r="W136" s="198"/>
      <c r="X136" s="198"/>
      <c r="Y136" s="198"/>
      <c r="Z136" s="198"/>
    </row>
    <row r="137" ht="91.5" customHeight="1">
      <c r="A137" s="370">
        <v>41001.0</v>
      </c>
      <c r="B137" s="299" t="s">
        <v>715</v>
      </c>
      <c r="C137" s="285">
        <v>5251.0</v>
      </c>
      <c r="D137" s="285" t="s">
        <v>10840</v>
      </c>
      <c r="E137" s="287" t="s">
        <v>10816</v>
      </c>
      <c r="F137" s="288">
        <v>45910.0</v>
      </c>
      <c r="G137" s="288">
        <v>45923.0</v>
      </c>
      <c r="H137" s="288">
        <v>45916.0</v>
      </c>
      <c r="I137" s="288">
        <v>45916.0</v>
      </c>
      <c r="J137" s="288">
        <v>45916.0</v>
      </c>
      <c r="K137" s="285"/>
      <c r="L137" s="485"/>
      <c r="M137" s="290" t="s">
        <v>10841</v>
      </c>
      <c r="N137" s="299" t="s">
        <v>497</v>
      </c>
      <c r="O137" s="322" t="s">
        <v>2554</v>
      </c>
      <c r="P137" s="300">
        <v>22312.5</v>
      </c>
      <c r="Q137" s="299">
        <f t="shared" si="1"/>
        <v>37</v>
      </c>
      <c r="R137" s="299" t="s">
        <v>9170</v>
      </c>
      <c r="S137" s="299" t="s">
        <v>9171</v>
      </c>
      <c r="T137" s="198"/>
      <c r="U137" s="198"/>
      <c r="V137" s="198"/>
      <c r="W137" s="198"/>
      <c r="X137" s="198"/>
      <c r="Y137" s="198"/>
      <c r="Z137" s="198"/>
    </row>
    <row r="138" ht="91.5" customHeight="1">
      <c r="A138" s="370">
        <v>40855.0</v>
      </c>
      <c r="B138" s="292" t="s">
        <v>715</v>
      </c>
      <c r="C138" s="299">
        <v>5251.0</v>
      </c>
      <c r="D138" s="285" t="s">
        <v>10842</v>
      </c>
      <c r="E138" s="287" t="s">
        <v>10539</v>
      </c>
      <c r="F138" s="288">
        <v>45910.0</v>
      </c>
      <c r="G138" s="288">
        <v>45923.0</v>
      </c>
      <c r="H138" s="288">
        <v>45917.0</v>
      </c>
      <c r="I138" s="288">
        <v>45917.0</v>
      </c>
      <c r="J138" s="288">
        <v>45917.0</v>
      </c>
      <c r="K138" s="285"/>
      <c r="L138" s="485"/>
      <c r="M138" s="290" t="s">
        <v>10843</v>
      </c>
      <c r="N138" s="299" t="s">
        <v>497</v>
      </c>
      <c r="O138" s="322" t="s">
        <v>2554</v>
      </c>
      <c r="P138" s="300">
        <v>26250.0</v>
      </c>
      <c r="Q138" s="299">
        <f t="shared" si="1"/>
        <v>37</v>
      </c>
      <c r="R138" s="299" t="s">
        <v>9170</v>
      </c>
      <c r="S138" s="299" t="s">
        <v>9171</v>
      </c>
      <c r="T138" s="198"/>
      <c r="U138" s="198"/>
      <c r="V138" s="198"/>
      <c r="W138" s="198"/>
      <c r="X138" s="198"/>
      <c r="Y138" s="198"/>
      <c r="Z138" s="198"/>
    </row>
    <row r="139" ht="91.5" customHeight="1">
      <c r="A139" s="370" t="s">
        <v>10844</v>
      </c>
      <c r="B139" s="292" t="s">
        <v>25</v>
      </c>
      <c r="C139" s="299">
        <v>508.0</v>
      </c>
      <c r="D139" s="285" t="s">
        <v>10845</v>
      </c>
      <c r="E139" s="287" t="s">
        <v>4641</v>
      </c>
      <c r="F139" s="288">
        <v>45910.0</v>
      </c>
      <c r="G139" s="288">
        <v>45908.0</v>
      </c>
      <c r="H139" s="288">
        <v>45908.0</v>
      </c>
      <c r="I139" s="288">
        <v>45915.0</v>
      </c>
      <c r="J139" s="288">
        <v>45915.0</v>
      </c>
      <c r="K139" s="285"/>
      <c r="L139" s="485"/>
      <c r="M139" s="290" t="s">
        <v>10846</v>
      </c>
      <c r="N139" s="299" t="s">
        <v>497</v>
      </c>
      <c r="O139" s="322" t="s">
        <v>2538</v>
      </c>
      <c r="P139" s="300">
        <v>86528.0</v>
      </c>
      <c r="Q139" s="299">
        <f t="shared" si="1"/>
        <v>37</v>
      </c>
      <c r="R139" s="299"/>
      <c r="S139" s="299" t="s">
        <v>10487</v>
      </c>
      <c r="T139" s="198"/>
      <c r="U139" s="198"/>
      <c r="V139" s="198"/>
      <c r="W139" s="198"/>
      <c r="X139" s="198"/>
      <c r="Y139" s="198"/>
      <c r="Z139" s="198"/>
    </row>
    <row r="140" ht="91.5" customHeight="1">
      <c r="A140" s="370">
        <v>40609.0</v>
      </c>
      <c r="B140" s="292" t="s">
        <v>25</v>
      </c>
      <c r="C140" s="299">
        <v>5250.0</v>
      </c>
      <c r="D140" s="285" t="s">
        <v>10847</v>
      </c>
      <c r="E140" s="287" t="s">
        <v>10848</v>
      </c>
      <c r="F140" s="288">
        <v>45910.0</v>
      </c>
      <c r="G140" s="288">
        <v>45953.0</v>
      </c>
      <c r="H140" s="288">
        <v>45916.0</v>
      </c>
      <c r="I140" s="288">
        <v>45916.0</v>
      </c>
      <c r="J140" s="288">
        <v>45916.0</v>
      </c>
      <c r="K140" s="285"/>
      <c r="L140" s="572"/>
      <c r="M140" s="290" t="s">
        <v>10849</v>
      </c>
      <c r="N140" s="299" t="s">
        <v>497</v>
      </c>
      <c r="O140" s="322" t="s">
        <v>2554</v>
      </c>
      <c r="P140" s="300">
        <v>29849.5</v>
      </c>
      <c r="Q140" s="299">
        <f t="shared" si="1"/>
        <v>37</v>
      </c>
      <c r="R140" s="299" t="s">
        <v>9198</v>
      </c>
      <c r="S140" s="299" t="s">
        <v>9171</v>
      </c>
      <c r="T140" s="198"/>
      <c r="U140" s="198"/>
      <c r="V140" s="198"/>
      <c r="W140" s="198"/>
      <c r="X140" s="198"/>
      <c r="Y140" s="198"/>
      <c r="Z140" s="198"/>
    </row>
    <row r="141" ht="103.5" customHeight="1">
      <c r="A141" s="370">
        <v>40965.0</v>
      </c>
      <c r="B141" s="285" t="s">
        <v>21</v>
      </c>
      <c r="C141" s="299">
        <v>4355.0</v>
      </c>
      <c r="D141" s="285" t="s">
        <v>10850</v>
      </c>
      <c r="E141" s="287" t="s">
        <v>10643</v>
      </c>
      <c r="F141" s="288">
        <v>45909.0</v>
      </c>
      <c r="G141" s="288">
        <v>46049.0</v>
      </c>
      <c r="H141" s="288">
        <v>45915.0</v>
      </c>
      <c r="I141" s="288">
        <v>45915.0</v>
      </c>
      <c r="J141" s="288">
        <v>45915.0</v>
      </c>
      <c r="K141" s="285" t="s">
        <v>5270</v>
      </c>
      <c r="L141" s="572" t="s">
        <v>9178</v>
      </c>
      <c r="M141" s="290" t="s">
        <v>10851</v>
      </c>
      <c r="N141" s="299" t="s">
        <v>497</v>
      </c>
      <c r="O141" s="322" t="s">
        <v>2554</v>
      </c>
      <c r="P141" s="300">
        <v>33010.22</v>
      </c>
      <c r="Q141" s="299">
        <f t="shared" si="1"/>
        <v>37</v>
      </c>
      <c r="R141" s="299" t="s">
        <v>9198</v>
      </c>
      <c r="S141" s="299" t="s">
        <v>9171</v>
      </c>
      <c r="T141" s="198"/>
      <c r="U141" s="198"/>
      <c r="V141" s="198"/>
      <c r="W141" s="198"/>
      <c r="X141" s="198"/>
      <c r="Y141" s="198"/>
      <c r="Z141" s="198"/>
    </row>
    <row r="142" ht="91.5" customHeight="1">
      <c r="A142" s="370">
        <v>41091.0</v>
      </c>
      <c r="B142" s="285" t="s">
        <v>21</v>
      </c>
      <c r="C142" s="299" t="s">
        <v>5977</v>
      </c>
      <c r="D142" s="285" t="s">
        <v>10852</v>
      </c>
      <c r="E142" s="287" t="s">
        <v>10853</v>
      </c>
      <c r="F142" s="288">
        <v>45909.0</v>
      </c>
      <c r="G142" s="285" t="s">
        <v>4841</v>
      </c>
      <c r="H142" s="288">
        <v>45915.0</v>
      </c>
      <c r="I142" s="288">
        <v>45915.0</v>
      </c>
      <c r="J142" s="288">
        <v>45915.0</v>
      </c>
      <c r="K142" s="285" t="s">
        <v>4841</v>
      </c>
      <c r="L142" s="485"/>
      <c r="M142" s="290" t="s">
        <v>10854</v>
      </c>
      <c r="N142" s="299" t="s">
        <v>4635</v>
      </c>
      <c r="O142" s="322" t="s">
        <v>2538</v>
      </c>
      <c r="P142" s="300">
        <v>25420.0</v>
      </c>
      <c r="Q142" s="299">
        <f t="shared" si="1"/>
        <v>37</v>
      </c>
      <c r="R142" s="299"/>
      <c r="S142" s="299" t="s">
        <v>10487</v>
      </c>
      <c r="T142" s="198"/>
      <c r="U142" s="198"/>
      <c r="V142" s="198"/>
      <c r="W142" s="198"/>
      <c r="X142" s="198"/>
      <c r="Y142" s="198"/>
      <c r="Z142" s="198"/>
    </row>
    <row r="143" ht="91.5" customHeight="1">
      <c r="A143" s="370">
        <v>41083.0</v>
      </c>
      <c r="B143" s="292" t="s">
        <v>25</v>
      </c>
      <c r="C143" s="299">
        <v>2136.0</v>
      </c>
      <c r="D143" s="299" t="s">
        <v>10855</v>
      </c>
      <c r="E143" s="287" t="s">
        <v>3740</v>
      </c>
      <c r="F143" s="288">
        <v>45906.0</v>
      </c>
      <c r="G143" s="288">
        <v>45901.0</v>
      </c>
      <c r="H143" s="288">
        <v>45901.0</v>
      </c>
      <c r="I143" s="288">
        <v>45909.0</v>
      </c>
      <c r="J143" s="288">
        <v>45909.0</v>
      </c>
      <c r="K143" s="285"/>
      <c r="L143" s="485"/>
      <c r="M143" s="290" t="s">
        <v>10856</v>
      </c>
      <c r="N143" s="299" t="s">
        <v>4745</v>
      </c>
      <c r="O143" s="322" t="s">
        <v>4711</v>
      </c>
      <c r="P143" s="300">
        <v>45091.71</v>
      </c>
      <c r="Q143" s="299">
        <f t="shared" si="1"/>
        <v>36</v>
      </c>
      <c r="R143" s="299"/>
      <c r="S143" s="299" t="s">
        <v>10487</v>
      </c>
      <c r="T143" s="198"/>
      <c r="U143" s="198"/>
      <c r="V143" s="198"/>
      <c r="W143" s="198"/>
      <c r="X143" s="198"/>
      <c r="Y143" s="198"/>
      <c r="Z143" s="198"/>
    </row>
    <row r="144" ht="91.5" customHeight="1">
      <c r="A144" s="370">
        <v>41109.0</v>
      </c>
      <c r="B144" s="292" t="s">
        <v>25</v>
      </c>
      <c r="C144" s="299">
        <v>980.0</v>
      </c>
      <c r="D144" s="285" t="s">
        <v>10857</v>
      </c>
      <c r="E144" s="287" t="s">
        <v>9322</v>
      </c>
      <c r="F144" s="288">
        <v>45904.0</v>
      </c>
      <c r="G144" s="288">
        <v>45901.0</v>
      </c>
      <c r="H144" s="288">
        <v>45901.0</v>
      </c>
      <c r="I144" s="288">
        <v>45909.0</v>
      </c>
      <c r="J144" s="288">
        <v>45909.0</v>
      </c>
      <c r="K144" s="285"/>
      <c r="L144" s="485"/>
      <c r="M144" s="290" t="s">
        <v>10858</v>
      </c>
      <c r="N144" s="299" t="s">
        <v>497</v>
      </c>
      <c r="O144" s="322" t="s">
        <v>4853</v>
      </c>
      <c r="P144" s="300">
        <v>21758.94</v>
      </c>
      <c r="Q144" s="299">
        <f t="shared" si="1"/>
        <v>36</v>
      </c>
      <c r="R144" s="299"/>
      <c r="S144" s="299" t="s">
        <v>10487</v>
      </c>
      <c r="T144" s="198"/>
      <c r="U144" s="198"/>
      <c r="V144" s="198"/>
      <c r="W144" s="198"/>
      <c r="X144" s="198"/>
      <c r="Y144" s="198"/>
      <c r="Z144" s="198"/>
    </row>
    <row r="145" ht="91.5" customHeight="1">
      <c r="A145" s="370">
        <v>41039.0</v>
      </c>
      <c r="B145" s="292" t="s">
        <v>715</v>
      </c>
      <c r="C145" s="299">
        <v>2275.0</v>
      </c>
      <c r="D145" s="285" t="s">
        <v>10859</v>
      </c>
      <c r="E145" s="287" t="s">
        <v>10860</v>
      </c>
      <c r="F145" s="305">
        <v>45902.0</v>
      </c>
      <c r="G145" s="305">
        <v>45897.0</v>
      </c>
      <c r="H145" s="305">
        <v>45897.0</v>
      </c>
      <c r="I145" s="305">
        <v>45910.0</v>
      </c>
      <c r="J145" s="288">
        <v>45910.0</v>
      </c>
      <c r="K145" s="285"/>
      <c r="L145" s="485"/>
      <c r="M145" s="290" t="s">
        <v>10861</v>
      </c>
      <c r="N145" s="299" t="s">
        <v>497</v>
      </c>
      <c r="O145" s="322" t="s">
        <v>2554</v>
      </c>
      <c r="P145" s="300">
        <v>35840.0</v>
      </c>
      <c r="Q145" s="299">
        <f t="shared" si="1"/>
        <v>36</v>
      </c>
      <c r="R145" s="299" t="s">
        <v>9198</v>
      </c>
      <c r="S145" s="299" t="s">
        <v>9171</v>
      </c>
      <c r="T145" s="198"/>
      <c r="U145" s="198"/>
      <c r="V145" s="198"/>
      <c r="W145" s="198"/>
      <c r="X145" s="198"/>
      <c r="Y145" s="198"/>
      <c r="Z145" s="198"/>
    </row>
    <row r="146" ht="91.5" customHeight="1">
      <c r="A146" s="370">
        <v>40853.0</v>
      </c>
      <c r="B146" s="292" t="s">
        <v>715</v>
      </c>
      <c r="C146" s="299">
        <v>5250.0</v>
      </c>
      <c r="D146" s="285" t="s">
        <v>10862</v>
      </c>
      <c r="E146" s="287" t="s">
        <v>10677</v>
      </c>
      <c r="F146" s="305">
        <v>45902.0</v>
      </c>
      <c r="G146" s="305">
        <v>45897.0</v>
      </c>
      <c r="H146" s="305">
        <v>45897.0</v>
      </c>
      <c r="I146" s="305">
        <v>45908.0</v>
      </c>
      <c r="J146" s="288">
        <v>45908.0</v>
      </c>
      <c r="K146" s="285"/>
      <c r="L146" s="485"/>
      <c r="M146" s="290" t="s">
        <v>10863</v>
      </c>
      <c r="N146" s="299" t="s">
        <v>497</v>
      </c>
      <c r="O146" s="322" t="s">
        <v>2554</v>
      </c>
      <c r="P146" s="300">
        <v>29849.5</v>
      </c>
      <c r="Q146" s="299">
        <f t="shared" si="1"/>
        <v>36</v>
      </c>
      <c r="R146" s="299" t="s">
        <v>9198</v>
      </c>
      <c r="S146" s="299" t="s">
        <v>9171</v>
      </c>
      <c r="T146" s="198"/>
      <c r="U146" s="198"/>
      <c r="V146" s="198"/>
      <c r="W146" s="198"/>
      <c r="X146" s="198"/>
      <c r="Y146" s="198"/>
      <c r="Z146" s="198"/>
    </row>
    <row r="147" ht="91.5" customHeight="1">
      <c r="A147" s="370">
        <v>40852.0</v>
      </c>
      <c r="B147" s="292" t="s">
        <v>715</v>
      </c>
      <c r="C147" s="299">
        <v>5250.0</v>
      </c>
      <c r="D147" s="285" t="s">
        <v>10864</v>
      </c>
      <c r="E147" s="287" t="s">
        <v>10808</v>
      </c>
      <c r="F147" s="305">
        <v>45902.0</v>
      </c>
      <c r="G147" s="305">
        <v>45897.0</v>
      </c>
      <c r="H147" s="305">
        <v>45897.0</v>
      </c>
      <c r="I147" s="305">
        <v>45909.0</v>
      </c>
      <c r="J147" s="288">
        <v>45909.0</v>
      </c>
      <c r="K147" s="285"/>
      <c r="L147" s="572"/>
      <c r="M147" s="290" t="s">
        <v>10865</v>
      </c>
      <c r="N147" s="299" t="s">
        <v>497</v>
      </c>
      <c r="O147" s="322" t="s">
        <v>2554</v>
      </c>
      <c r="P147" s="300">
        <v>29849.5</v>
      </c>
      <c r="Q147" s="299">
        <f t="shared" si="1"/>
        <v>36</v>
      </c>
      <c r="R147" s="299" t="s">
        <v>9198</v>
      </c>
      <c r="S147" s="299" t="s">
        <v>9171</v>
      </c>
      <c r="T147" s="198"/>
      <c r="U147" s="198"/>
      <c r="V147" s="198"/>
      <c r="W147" s="198"/>
      <c r="X147" s="198"/>
      <c r="Y147" s="198"/>
      <c r="Z147" s="198"/>
    </row>
    <row r="148" ht="91.5" customHeight="1">
      <c r="A148" s="370">
        <v>41033.0</v>
      </c>
      <c r="B148" s="285" t="s">
        <v>21</v>
      </c>
      <c r="C148" s="299">
        <v>4355.0</v>
      </c>
      <c r="D148" s="285" t="s">
        <v>10866</v>
      </c>
      <c r="E148" s="287" t="s">
        <v>10609</v>
      </c>
      <c r="F148" s="288">
        <v>45900.0</v>
      </c>
      <c r="G148" s="305">
        <v>45896.0</v>
      </c>
      <c r="H148" s="305">
        <v>45896.0</v>
      </c>
      <c r="I148" s="305">
        <v>45909.0</v>
      </c>
      <c r="J148" s="288">
        <v>45909.0</v>
      </c>
      <c r="K148" s="285" t="s">
        <v>5270</v>
      </c>
      <c r="L148" s="572" t="s">
        <v>9178</v>
      </c>
      <c r="M148" s="290" t="s">
        <v>10867</v>
      </c>
      <c r="N148" s="299" t="s">
        <v>497</v>
      </c>
      <c r="O148" s="322" t="s">
        <v>2554</v>
      </c>
      <c r="P148" s="300">
        <v>35972.3</v>
      </c>
      <c r="Q148" s="299">
        <f t="shared" si="1"/>
        <v>36</v>
      </c>
      <c r="R148" s="299" t="s">
        <v>9198</v>
      </c>
      <c r="S148" s="299" t="s">
        <v>9171</v>
      </c>
      <c r="T148" s="198"/>
      <c r="U148" s="198"/>
      <c r="V148" s="198"/>
      <c r="W148" s="198"/>
      <c r="X148" s="198"/>
      <c r="Y148" s="198"/>
      <c r="Z148" s="198"/>
    </row>
    <row r="149" ht="91.5" customHeight="1">
      <c r="A149" s="370">
        <v>41154.0</v>
      </c>
      <c r="B149" s="285" t="s">
        <v>21</v>
      </c>
      <c r="C149" s="299">
        <v>5250.0</v>
      </c>
      <c r="D149" s="285" t="s">
        <v>10868</v>
      </c>
      <c r="E149" s="287" t="s">
        <v>10869</v>
      </c>
      <c r="F149" s="288">
        <v>45900.0</v>
      </c>
      <c r="G149" s="305">
        <v>45896.0</v>
      </c>
      <c r="H149" s="305">
        <v>45896.0</v>
      </c>
      <c r="I149" s="305">
        <v>45909.0</v>
      </c>
      <c r="J149" s="288">
        <v>45909.0</v>
      </c>
      <c r="K149" s="285" t="s">
        <v>5270</v>
      </c>
      <c r="L149" s="572" t="s">
        <v>9178</v>
      </c>
      <c r="M149" s="290" t="s">
        <v>10870</v>
      </c>
      <c r="N149" s="299" t="s">
        <v>497</v>
      </c>
      <c r="O149" s="322" t="s">
        <v>2554</v>
      </c>
      <c r="P149" s="300">
        <v>29849.5</v>
      </c>
      <c r="Q149" s="299">
        <f t="shared" si="1"/>
        <v>36</v>
      </c>
      <c r="R149" s="299" t="s">
        <v>9198</v>
      </c>
      <c r="S149" s="299" t="s">
        <v>9171</v>
      </c>
      <c r="T149" s="198"/>
      <c r="U149" s="198"/>
      <c r="V149" s="198"/>
      <c r="W149" s="198"/>
      <c r="X149" s="198"/>
      <c r="Y149" s="198"/>
      <c r="Z149" s="198"/>
    </row>
    <row r="150" ht="91.5" customHeight="1">
      <c r="A150" s="370">
        <v>40942.0</v>
      </c>
      <c r="B150" s="285" t="s">
        <v>21</v>
      </c>
      <c r="C150" s="299">
        <v>5250.0</v>
      </c>
      <c r="D150" s="285" t="s">
        <v>10871</v>
      </c>
      <c r="E150" s="287" t="s">
        <v>10838</v>
      </c>
      <c r="F150" s="288">
        <v>45900.0</v>
      </c>
      <c r="G150" s="305">
        <v>45896.0</v>
      </c>
      <c r="H150" s="305">
        <v>45896.0</v>
      </c>
      <c r="I150" s="305">
        <v>45908.0</v>
      </c>
      <c r="J150" s="288">
        <v>45908.0</v>
      </c>
      <c r="K150" s="285" t="s">
        <v>5270</v>
      </c>
      <c r="L150" s="572" t="s">
        <v>9178</v>
      </c>
      <c r="M150" s="290" t="s">
        <v>10872</v>
      </c>
      <c r="N150" s="299" t="s">
        <v>497</v>
      </c>
      <c r="O150" s="322" t="s">
        <v>2554</v>
      </c>
      <c r="P150" s="300">
        <v>29849.5</v>
      </c>
      <c r="Q150" s="299">
        <f t="shared" si="1"/>
        <v>36</v>
      </c>
      <c r="R150" s="299" t="s">
        <v>9198</v>
      </c>
      <c r="S150" s="299" t="s">
        <v>9171</v>
      </c>
      <c r="T150" s="198"/>
      <c r="U150" s="198"/>
      <c r="V150" s="198"/>
      <c r="W150" s="198"/>
      <c r="X150" s="198"/>
      <c r="Y150" s="198"/>
      <c r="Z150" s="198"/>
    </row>
    <row r="151" ht="91.5" customHeight="1">
      <c r="A151" s="370">
        <v>41134.0</v>
      </c>
      <c r="B151" s="285" t="s">
        <v>21</v>
      </c>
      <c r="C151" s="299">
        <v>4355.0</v>
      </c>
      <c r="D151" s="285" t="s">
        <v>10873</v>
      </c>
      <c r="E151" s="287" t="s">
        <v>10827</v>
      </c>
      <c r="F151" s="288">
        <v>45898.0</v>
      </c>
      <c r="G151" s="305">
        <v>45894.0</v>
      </c>
      <c r="H151" s="305">
        <v>45894.0</v>
      </c>
      <c r="I151" s="305">
        <v>45905.0</v>
      </c>
      <c r="J151" s="288">
        <v>45905.0</v>
      </c>
      <c r="K151" s="285" t="s">
        <v>5270</v>
      </c>
      <c r="L151" s="572" t="s">
        <v>9178</v>
      </c>
      <c r="M151" s="290" t="s">
        <v>10874</v>
      </c>
      <c r="N151" s="299" t="s">
        <v>497</v>
      </c>
      <c r="O151" s="322" t="s">
        <v>2554</v>
      </c>
      <c r="P151" s="300">
        <v>30049.5</v>
      </c>
      <c r="Q151" s="299">
        <f t="shared" si="1"/>
        <v>35</v>
      </c>
      <c r="R151" s="299" t="s">
        <v>9198</v>
      </c>
      <c r="S151" s="299" t="s">
        <v>9171</v>
      </c>
      <c r="T151" s="198"/>
      <c r="U151" s="198"/>
      <c r="V151" s="198"/>
      <c r="W151" s="198"/>
      <c r="X151" s="198"/>
      <c r="Y151" s="198"/>
      <c r="Z151" s="198"/>
    </row>
    <row r="152" ht="91.5" customHeight="1">
      <c r="A152" s="370">
        <v>40619.0</v>
      </c>
      <c r="B152" s="285" t="s">
        <v>21</v>
      </c>
      <c r="C152" s="299">
        <v>4355.0</v>
      </c>
      <c r="D152" s="285" t="s">
        <v>10875</v>
      </c>
      <c r="E152" s="287" t="s">
        <v>10719</v>
      </c>
      <c r="F152" s="288">
        <v>45898.0</v>
      </c>
      <c r="G152" s="305">
        <v>45894.0</v>
      </c>
      <c r="H152" s="305">
        <v>45894.0</v>
      </c>
      <c r="I152" s="305">
        <v>45905.0</v>
      </c>
      <c r="J152" s="288">
        <v>45905.0</v>
      </c>
      <c r="K152" s="285" t="s">
        <v>5270</v>
      </c>
      <c r="L152" s="572" t="s">
        <v>9178</v>
      </c>
      <c r="M152" s="290" t="s">
        <v>10876</v>
      </c>
      <c r="N152" s="299" t="s">
        <v>497</v>
      </c>
      <c r="O152" s="322" t="s">
        <v>2554</v>
      </c>
      <c r="P152" s="300">
        <v>32024.22</v>
      </c>
      <c r="Q152" s="299">
        <f t="shared" si="1"/>
        <v>35</v>
      </c>
      <c r="R152" s="299" t="s">
        <v>9198</v>
      </c>
      <c r="S152" s="299" t="s">
        <v>9171</v>
      </c>
      <c r="T152" s="198"/>
      <c r="U152" s="198"/>
      <c r="V152" s="198"/>
      <c r="W152" s="198"/>
      <c r="X152" s="198"/>
      <c r="Y152" s="198"/>
      <c r="Z152" s="198"/>
    </row>
    <row r="153" ht="91.5" customHeight="1">
      <c r="A153" s="370">
        <v>40964.0</v>
      </c>
      <c r="B153" s="285" t="s">
        <v>21</v>
      </c>
      <c r="C153" s="299">
        <v>4355.0</v>
      </c>
      <c r="D153" s="285" t="s">
        <v>10877</v>
      </c>
      <c r="E153" s="287" t="s">
        <v>10643</v>
      </c>
      <c r="F153" s="288">
        <v>45893.0</v>
      </c>
      <c r="G153" s="305">
        <v>45888.0</v>
      </c>
      <c r="H153" s="305">
        <v>45888.0</v>
      </c>
      <c r="I153" s="305">
        <v>45898.0</v>
      </c>
      <c r="J153" s="288">
        <v>45898.0</v>
      </c>
      <c r="K153" s="285" t="s">
        <v>5270</v>
      </c>
      <c r="L153" s="285" t="s">
        <v>9178</v>
      </c>
      <c r="M153" s="290" t="s">
        <v>10878</v>
      </c>
      <c r="N153" s="299" t="s">
        <v>497</v>
      </c>
      <c r="O153" s="322" t="s">
        <v>2554</v>
      </c>
      <c r="P153" s="300">
        <v>34129.5</v>
      </c>
      <c r="Q153" s="299">
        <f t="shared" si="1"/>
        <v>35</v>
      </c>
      <c r="R153" s="299" t="s">
        <v>9198</v>
      </c>
      <c r="S153" s="299" t="s">
        <v>9171</v>
      </c>
      <c r="T153" s="198"/>
      <c r="U153" s="198"/>
      <c r="V153" s="198"/>
      <c r="W153" s="198"/>
      <c r="X153" s="198"/>
      <c r="Y153" s="198"/>
      <c r="Z153" s="198"/>
    </row>
    <row r="154" ht="91.5" customHeight="1">
      <c r="A154" s="370">
        <v>41015.0</v>
      </c>
      <c r="B154" s="285" t="s">
        <v>21</v>
      </c>
      <c r="C154" s="299">
        <v>4501.0</v>
      </c>
      <c r="D154" s="285" t="s">
        <v>10879</v>
      </c>
      <c r="E154" s="287" t="s">
        <v>10770</v>
      </c>
      <c r="F154" s="288">
        <v>45892.0</v>
      </c>
      <c r="G154" s="288">
        <v>45888.0</v>
      </c>
      <c r="H154" s="288">
        <v>45888.0</v>
      </c>
      <c r="I154" s="288">
        <v>45896.0</v>
      </c>
      <c r="J154" s="288">
        <v>45896.0</v>
      </c>
      <c r="K154" s="285" t="s">
        <v>4841</v>
      </c>
      <c r="M154" s="290" t="s">
        <v>10880</v>
      </c>
      <c r="N154" s="299" t="s">
        <v>497</v>
      </c>
      <c r="O154" s="322" t="s">
        <v>2554</v>
      </c>
      <c r="P154" s="300">
        <v>32625.0</v>
      </c>
      <c r="Q154" s="299">
        <f t="shared" si="1"/>
        <v>34</v>
      </c>
      <c r="R154" s="299" t="s">
        <v>9170</v>
      </c>
      <c r="S154" s="299" t="s">
        <v>9171</v>
      </c>
      <c r="T154" s="198"/>
      <c r="U154" s="198"/>
      <c r="V154" s="198"/>
      <c r="W154" s="198"/>
      <c r="X154" s="198"/>
      <c r="Y154" s="198"/>
      <c r="Z154" s="198"/>
    </row>
    <row r="155" ht="91.5" customHeight="1">
      <c r="A155" s="370">
        <v>41017.0</v>
      </c>
      <c r="B155" s="285" t="s">
        <v>21</v>
      </c>
      <c r="C155" s="299">
        <v>4501.0</v>
      </c>
      <c r="D155" s="285" t="s">
        <v>10881</v>
      </c>
      <c r="E155" s="287" t="s">
        <v>10882</v>
      </c>
      <c r="F155" s="288">
        <v>45890.0</v>
      </c>
      <c r="G155" s="288">
        <v>45887.0</v>
      </c>
      <c r="H155" s="288">
        <v>45887.0</v>
      </c>
      <c r="I155" s="288">
        <v>45896.0</v>
      </c>
      <c r="J155" s="288">
        <v>45896.0</v>
      </c>
      <c r="K155" s="285" t="s">
        <v>5270</v>
      </c>
      <c r="L155" s="572" t="s">
        <v>9178</v>
      </c>
      <c r="M155" s="290" t="s">
        <v>10883</v>
      </c>
      <c r="N155" s="299" t="s">
        <v>497</v>
      </c>
      <c r="O155" s="322" t="s">
        <v>2554</v>
      </c>
      <c r="P155" s="300">
        <v>32962.5</v>
      </c>
      <c r="Q155" s="299">
        <f t="shared" si="1"/>
        <v>34</v>
      </c>
      <c r="R155" s="299" t="s">
        <v>9170</v>
      </c>
      <c r="S155" s="299" t="s">
        <v>9171</v>
      </c>
      <c r="T155" s="198"/>
      <c r="U155" s="198"/>
      <c r="V155" s="198"/>
      <c r="W155" s="198"/>
      <c r="X155" s="198"/>
      <c r="Y155" s="198"/>
      <c r="Z155" s="198"/>
    </row>
    <row r="156" ht="91.5" customHeight="1">
      <c r="A156" s="370">
        <v>41016.0</v>
      </c>
      <c r="B156" s="285" t="s">
        <v>21</v>
      </c>
      <c r="C156" s="299">
        <v>4501.0</v>
      </c>
      <c r="D156" s="285" t="s">
        <v>10884</v>
      </c>
      <c r="E156" s="287" t="s">
        <v>10770</v>
      </c>
      <c r="F156" s="288">
        <v>45890.0</v>
      </c>
      <c r="G156" s="288">
        <v>45887.0</v>
      </c>
      <c r="H156" s="288">
        <v>45887.0</v>
      </c>
      <c r="I156" s="288">
        <v>45897.0</v>
      </c>
      <c r="J156" s="288">
        <v>45897.0</v>
      </c>
      <c r="K156" s="285" t="s">
        <v>5270</v>
      </c>
      <c r="L156" s="572" t="s">
        <v>9178</v>
      </c>
      <c r="M156" s="290" t="s">
        <v>10885</v>
      </c>
      <c r="N156" s="299" t="s">
        <v>497</v>
      </c>
      <c r="O156" s="322" t="s">
        <v>2554</v>
      </c>
      <c r="P156" s="300">
        <v>32625.0</v>
      </c>
      <c r="Q156" s="299">
        <f t="shared" si="1"/>
        <v>34</v>
      </c>
      <c r="R156" s="299" t="s">
        <v>9170</v>
      </c>
      <c r="S156" s="299" t="s">
        <v>9171</v>
      </c>
      <c r="T156" s="198"/>
      <c r="U156" s="198"/>
      <c r="V156" s="198"/>
      <c r="W156" s="198"/>
      <c r="X156" s="198"/>
      <c r="Y156" s="198"/>
      <c r="Z156" s="198"/>
    </row>
    <row r="157" ht="91.5" customHeight="1">
      <c r="A157" s="370">
        <v>41009.0</v>
      </c>
      <c r="B157" s="285" t="s">
        <v>21</v>
      </c>
      <c r="C157" s="299">
        <v>5252.0</v>
      </c>
      <c r="D157" s="285" t="s">
        <v>10886</v>
      </c>
      <c r="E157" s="287" t="s">
        <v>10887</v>
      </c>
      <c r="F157" s="288">
        <v>45890.0</v>
      </c>
      <c r="G157" s="288">
        <v>45887.0</v>
      </c>
      <c r="H157" s="288">
        <v>45887.0</v>
      </c>
      <c r="I157" s="288">
        <v>45897.0</v>
      </c>
      <c r="J157" s="288">
        <v>45897.0</v>
      </c>
      <c r="K157" s="285" t="s">
        <v>5270</v>
      </c>
      <c r="L157" s="572" t="s">
        <v>9178</v>
      </c>
      <c r="M157" s="290" t="s">
        <v>10888</v>
      </c>
      <c r="N157" s="299" t="s">
        <v>497</v>
      </c>
      <c r="O157" s="322" t="s">
        <v>2554</v>
      </c>
      <c r="P157" s="300">
        <v>25125.0</v>
      </c>
      <c r="Q157" s="299">
        <f t="shared" si="1"/>
        <v>34</v>
      </c>
      <c r="R157" s="299" t="s">
        <v>9170</v>
      </c>
      <c r="S157" s="299" t="s">
        <v>9171</v>
      </c>
      <c r="T157" s="198"/>
      <c r="U157" s="198"/>
      <c r="V157" s="198"/>
      <c r="W157" s="198"/>
      <c r="X157" s="198"/>
      <c r="Y157" s="198"/>
      <c r="Z157" s="198"/>
    </row>
    <row r="158" ht="91.5" customHeight="1">
      <c r="A158" s="370">
        <v>41038.0</v>
      </c>
      <c r="B158" s="292" t="s">
        <v>715</v>
      </c>
      <c r="C158" s="299">
        <v>5250.0</v>
      </c>
      <c r="D158" s="285" t="s">
        <v>10889</v>
      </c>
      <c r="E158" s="287" t="s">
        <v>10890</v>
      </c>
      <c r="F158" s="305">
        <v>45888.0</v>
      </c>
      <c r="G158" s="288">
        <v>45882.0</v>
      </c>
      <c r="H158" s="288">
        <v>45882.0</v>
      </c>
      <c r="I158" s="288">
        <v>45894.0</v>
      </c>
      <c r="J158" s="288">
        <v>45894.0</v>
      </c>
      <c r="K158" s="285"/>
      <c r="L158" s="485"/>
      <c r="M158" s="290" t="s">
        <v>10891</v>
      </c>
      <c r="N158" s="299" t="s">
        <v>497</v>
      </c>
      <c r="O158" s="322" t="s">
        <v>2554</v>
      </c>
      <c r="P158" s="300">
        <v>29849.5</v>
      </c>
      <c r="Q158" s="299">
        <f t="shared" si="1"/>
        <v>34</v>
      </c>
      <c r="R158" s="299" t="s">
        <v>9198</v>
      </c>
      <c r="S158" s="299" t="s">
        <v>9171</v>
      </c>
      <c r="T158" s="198"/>
      <c r="U158" s="198"/>
      <c r="V158" s="198"/>
      <c r="W158" s="198"/>
      <c r="X158" s="198"/>
      <c r="Y158" s="198"/>
      <c r="Z158" s="198"/>
    </row>
    <row r="159" ht="91.5" customHeight="1">
      <c r="A159" s="370">
        <v>41037.0</v>
      </c>
      <c r="B159" s="292" t="s">
        <v>715</v>
      </c>
      <c r="C159" s="299">
        <v>5250.0</v>
      </c>
      <c r="D159" s="285" t="s">
        <v>10892</v>
      </c>
      <c r="E159" s="287" t="s">
        <v>10808</v>
      </c>
      <c r="F159" s="288">
        <v>45887.0</v>
      </c>
      <c r="G159" s="288">
        <v>45881.0</v>
      </c>
      <c r="H159" s="288">
        <v>45881.0</v>
      </c>
      <c r="I159" s="288">
        <v>45894.0</v>
      </c>
      <c r="J159" s="372">
        <v>45894.0</v>
      </c>
      <c r="K159" s="285"/>
      <c r="L159" s="485"/>
      <c r="M159" s="290" t="s">
        <v>10893</v>
      </c>
      <c r="N159" s="299" t="s">
        <v>497</v>
      </c>
      <c r="O159" s="322" t="s">
        <v>2554</v>
      </c>
      <c r="P159" s="300">
        <v>29849.5</v>
      </c>
      <c r="Q159" s="299">
        <f t="shared" si="1"/>
        <v>34</v>
      </c>
      <c r="R159" s="299" t="s">
        <v>9198</v>
      </c>
      <c r="S159" s="299" t="s">
        <v>9171</v>
      </c>
      <c r="T159" s="198"/>
      <c r="U159" s="198"/>
      <c r="V159" s="198"/>
      <c r="W159" s="198"/>
      <c r="X159" s="198"/>
      <c r="Y159" s="198"/>
      <c r="Z159" s="198"/>
    </row>
    <row r="160" ht="91.5" customHeight="1">
      <c r="A160" s="370">
        <v>41036.0</v>
      </c>
      <c r="B160" s="292" t="s">
        <v>715</v>
      </c>
      <c r="C160" s="299">
        <v>5250.0</v>
      </c>
      <c r="D160" s="285" t="s">
        <v>10894</v>
      </c>
      <c r="E160" s="287" t="s">
        <v>10808</v>
      </c>
      <c r="F160" s="288">
        <v>45887.0</v>
      </c>
      <c r="G160" s="288">
        <v>45881.0</v>
      </c>
      <c r="H160" s="288">
        <v>45881.0</v>
      </c>
      <c r="I160" s="288">
        <v>45891.0</v>
      </c>
      <c r="J160" s="288">
        <v>45891.0</v>
      </c>
      <c r="K160" s="285"/>
      <c r="L160" s="17"/>
      <c r="M160" s="290" t="s">
        <v>10895</v>
      </c>
      <c r="N160" s="299" t="s">
        <v>497</v>
      </c>
      <c r="O160" s="322" t="s">
        <v>2554</v>
      </c>
      <c r="P160" s="300">
        <v>29849.5</v>
      </c>
      <c r="Q160" s="299">
        <f t="shared" si="1"/>
        <v>34</v>
      </c>
      <c r="R160" s="299" t="s">
        <v>9198</v>
      </c>
      <c r="S160" s="299" t="s">
        <v>9171</v>
      </c>
      <c r="T160" s="198"/>
      <c r="U160" s="198"/>
      <c r="V160" s="198"/>
      <c r="W160" s="198"/>
      <c r="X160" s="198"/>
      <c r="Y160" s="198"/>
      <c r="Z160" s="198"/>
    </row>
    <row r="161" ht="91.5" customHeight="1">
      <c r="A161" s="370">
        <v>40668.0</v>
      </c>
      <c r="B161" s="299" t="s">
        <v>6501</v>
      </c>
      <c r="C161" s="285">
        <v>2598.0</v>
      </c>
      <c r="D161" s="285" t="s">
        <v>10896</v>
      </c>
      <c r="E161" s="287" t="s">
        <v>10897</v>
      </c>
      <c r="F161" s="288">
        <v>45887.0</v>
      </c>
      <c r="G161" s="288">
        <v>45883.0</v>
      </c>
      <c r="H161" s="288">
        <v>45883.0</v>
      </c>
      <c r="I161" s="288">
        <v>45895.0</v>
      </c>
      <c r="J161" s="288">
        <v>45895.0</v>
      </c>
      <c r="K161" s="285"/>
      <c r="L161" s="572"/>
      <c r="M161" s="290" t="s">
        <v>10898</v>
      </c>
      <c r="N161" s="299" t="s">
        <v>497</v>
      </c>
      <c r="O161" s="322" t="s">
        <v>2554</v>
      </c>
      <c r="P161" s="300">
        <v>45153.0</v>
      </c>
      <c r="Q161" s="299">
        <f t="shared" si="1"/>
        <v>34</v>
      </c>
      <c r="R161" s="299" t="s">
        <v>9170</v>
      </c>
      <c r="S161" s="299" t="s">
        <v>9171</v>
      </c>
      <c r="T161" s="198"/>
      <c r="U161" s="198"/>
      <c r="V161" s="198"/>
      <c r="W161" s="198"/>
      <c r="X161" s="198"/>
      <c r="Y161" s="198"/>
      <c r="Z161" s="198"/>
    </row>
    <row r="162" ht="91.5" customHeight="1">
      <c r="A162" s="370">
        <v>40966.0</v>
      </c>
      <c r="B162" s="285" t="s">
        <v>21</v>
      </c>
      <c r="C162" s="285">
        <v>4355.0</v>
      </c>
      <c r="D162" s="285" t="s">
        <v>10899</v>
      </c>
      <c r="E162" s="287" t="s">
        <v>10596</v>
      </c>
      <c r="F162" s="288">
        <v>45886.0</v>
      </c>
      <c r="G162" s="288">
        <v>45880.0</v>
      </c>
      <c r="H162" s="288">
        <v>45880.0</v>
      </c>
      <c r="I162" s="288">
        <v>45890.0</v>
      </c>
      <c r="J162" s="288">
        <v>45890.0</v>
      </c>
      <c r="K162" s="285" t="s">
        <v>5270</v>
      </c>
      <c r="L162" s="572" t="s">
        <v>9178</v>
      </c>
      <c r="M162" s="290" t="s">
        <v>10900</v>
      </c>
      <c r="N162" s="299" t="s">
        <v>497</v>
      </c>
      <c r="O162" s="322" t="s">
        <v>2554</v>
      </c>
      <c r="P162" s="300">
        <v>30049.5</v>
      </c>
      <c r="Q162" s="299">
        <f t="shared" si="1"/>
        <v>34</v>
      </c>
      <c r="R162" s="299" t="s">
        <v>9198</v>
      </c>
      <c r="S162" s="299" t="s">
        <v>9171</v>
      </c>
      <c r="T162" s="198"/>
      <c r="U162" s="198"/>
      <c r="V162" s="198"/>
      <c r="W162" s="198"/>
      <c r="X162" s="198"/>
      <c r="Y162" s="198"/>
      <c r="Z162" s="198"/>
    </row>
    <row r="163" ht="91.5" customHeight="1">
      <c r="A163" s="370">
        <v>41031.0</v>
      </c>
      <c r="B163" s="285" t="s">
        <v>21</v>
      </c>
      <c r="C163" s="285">
        <v>4355.0</v>
      </c>
      <c r="D163" s="285" t="s">
        <v>10901</v>
      </c>
      <c r="E163" s="287" t="s">
        <v>10596</v>
      </c>
      <c r="F163" s="288">
        <v>45886.0</v>
      </c>
      <c r="G163" s="288">
        <v>45880.0</v>
      </c>
      <c r="H163" s="288">
        <v>45880.0</v>
      </c>
      <c r="I163" s="288">
        <v>45889.0</v>
      </c>
      <c r="J163" s="288">
        <v>45889.0</v>
      </c>
      <c r="K163" s="285" t="s">
        <v>5270</v>
      </c>
      <c r="L163" s="572" t="s">
        <v>9178</v>
      </c>
      <c r="M163" s="290" t="s">
        <v>10902</v>
      </c>
      <c r="N163" s="299" t="s">
        <v>497</v>
      </c>
      <c r="O163" s="322" t="s">
        <v>2554</v>
      </c>
      <c r="P163" s="300">
        <v>30049.5</v>
      </c>
      <c r="Q163" s="299">
        <f t="shared" si="1"/>
        <v>34</v>
      </c>
      <c r="R163" s="299" t="s">
        <v>9198</v>
      </c>
      <c r="S163" s="299" t="s">
        <v>9171</v>
      </c>
      <c r="T163" s="198"/>
      <c r="U163" s="198"/>
      <c r="V163" s="198"/>
      <c r="W163" s="198"/>
      <c r="X163" s="198"/>
      <c r="Y163" s="198"/>
      <c r="Z163" s="198"/>
    </row>
    <row r="164" ht="91.5" customHeight="1">
      <c r="A164" s="370">
        <v>40673.0</v>
      </c>
      <c r="B164" s="292" t="s">
        <v>715</v>
      </c>
      <c r="C164" s="299">
        <v>5072.0</v>
      </c>
      <c r="D164" s="285" t="s">
        <v>10903</v>
      </c>
      <c r="E164" s="287" t="s">
        <v>10904</v>
      </c>
      <c r="F164" s="305">
        <v>45885.0</v>
      </c>
      <c r="G164" s="288">
        <v>45882.0</v>
      </c>
      <c r="H164" s="288">
        <v>45882.0</v>
      </c>
      <c r="I164" s="288">
        <v>45890.0</v>
      </c>
      <c r="J164" s="288">
        <v>45890.0</v>
      </c>
      <c r="K164" s="285"/>
      <c r="L164" s="17"/>
      <c r="M164" s="290" t="s">
        <v>10905</v>
      </c>
      <c r="N164" s="299" t="s">
        <v>4635</v>
      </c>
      <c r="O164" s="322" t="s">
        <v>2621</v>
      </c>
      <c r="P164" s="300">
        <v>46284.58</v>
      </c>
      <c r="Q164" s="299">
        <f t="shared" si="1"/>
        <v>33</v>
      </c>
      <c r="R164" s="299"/>
      <c r="S164" s="299" t="s">
        <v>10487</v>
      </c>
      <c r="T164" s="198"/>
      <c r="U164" s="198"/>
      <c r="V164" s="198"/>
      <c r="W164" s="198"/>
      <c r="X164" s="198"/>
      <c r="Y164" s="198"/>
      <c r="Z164" s="198"/>
    </row>
    <row r="165" ht="91.5" customHeight="1">
      <c r="A165" s="370">
        <v>40809.0</v>
      </c>
      <c r="B165" s="299" t="s">
        <v>715</v>
      </c>
      <c r="C165" s="285">
        <v>1855.0</v>
      </c>
      <c r="D165" s="285" t="s">
        <v>10906</v>
      </c>
      <c r="E165" s="287" t="s">
        <v>10907</v>
      </c>
      <c r="F165" s="288">
        <v>45884.0</v>
      </c>
      <c r="G165" s="288">
        <v>45880.0</v>
      </c>
      <c r="H165" s="288">
        <v>45880.0</v>
      </c>
      <c r="I165" s="288">
        <v>45888.0</v>
      </c>
      <c r="J165" s="288">
        <v>45888.0</v>
      </c>
      <c r="K165" s="285"/>
      <c r="L165" s="17"/>
      <c r="M165" s="290" t="s">
        <v>10908</v>
      </c>
      <c r="N165" s="299" t="s">
        <v>497</v>
      </c>
      <c r="O165" s="322" t="s">
        <v>2604</v>
      </c>
      <c r="P165" s="300">
        <v>62542.42</v>
      </c>
      <c r="Q165" s="299">
        <f t="shared" si="1"/>
        <v>33</v>
      </c>
      <c r="R165" s="299"/>
      <c r="S165" s="299" t="s">
        <v>10487</v>
      </c>
      <c r="T165" s="198"/>
      <c r="U165" s="198"/>
      <c r="V165" s="198"/>
      <c r="W165" s="198"/>
      <c r="X165" s="198"/>
      <c r="Y165" s="198"/>
      <c r="Z165" s="198"/>
    </row>
    <row r="166" ht="91.5" customHeight="1">
      <c r="A166" s="370">
        <v>40854.0</v>
      </c>
      <c r="B166" s="299" t="s">
        <v>715</v>
      </c>
      <c r="C166" s="285">
        <v>5251.0</v>
      </c>
      <c r="D166" s="285" t="s">
        <v>10909</v>
      </c>
      <c r="E166" s="287" t="s">
        <v>10539</v>
      </c>
      <c r="F166" s="288">
        <v>45884.0</v>
      </c>
      <c r="G166" s="288">
        <v>45880.0</v>
      </c>
      <c r="H166" s="288">
        <v>45880.0</v>
      </c>
      <c r="I166" s="288">
        <v>45889.0</v>
      </c>
      <c r="J166" s="288">
        <v>45889.0</v>
      </c>
      <c r="K166" s="285"/>
      <c r="L166" s="485"/>
      <c r="M166" s="290" t="s">
        <v>10910</v>
      </c>
      <c r="N166" s="299" t="s">
        <v>497</v>
      </c>
      <c r="O166" s="322" t="s">
        <v>2554</v>
      </c>
      <c r="P166" s="300">
        <v>26250.0</v>
      </c>
      <c r="Q166" s="299">
        <f t="shared" si="1"/>
        <v>33</v>
      </c>
      <c r="R166" s="299" t="s">
        <v>9170</v>
      </c>
      <c r="S166" s="299" t="s">
        <v>9171</v>
      </c>
      <c r="T166" s="198"/>
      <c r="U166" s="198"/>
      <c r="V166" s="198"/>
      <c r="W166" s="198"/>
      <c r="X166" s="198"/>
      <c r="Y166" s="198"/>
      <c r="Z166" s="198"/>
    </row>
    <row r="167" ht="91.5" customHeight="1">
      <c r="A167" s="370">
        <v>41020.0</v>
      </c>
      <c r="B167" s="292" t="s">
        <v>25</v>
      </c>
      <c r="C167" s="299">
        <v>5251.0</v>
      </c>
      <c r="D167" s="577" t="s">
        <v>10911</v>
      </c>
      <c r="E167" s="287" t="s">
        <v>10539</v>
      </c>
      <c r="F167" s="288">
        <v>45883.0</v>
      </c>
      <c r="G167" s="288">
        <v>45880.0</v>
      </c>
      <c r="H167" s="288">
        <v>45880.0</v>
      </c>
      <c r="I167" s="288">
        <v>45890.0</v>
      </c>
      <c r="J167" s="288">
        <v>45890.0</v>
      </c>
      <c r="K167" s="285"/>
      <c r="L167" s="485"/>
      <c r="M167" s="290" t="s">
        <v>10912</v>
      </c>
      <c r="N167" s="299" t="s">
        <v>497</v>
      </c>
      <c r="O167" s="322" t="s">
        <v>2554</v>
      </c>
      <c r="P167" s="300">
        <v>26250.0</v>
      </c>
      <c r="Q167" s="299">
        <f t="shared" si="1"/>
        <v>33</v>
      </c>
      <c r="R167" s="299" t="s">
        <v>9170</v>
      </c>
      <c r="S167" s="299" t="s">
        <v>9171</v>
      </c>
      <c r="T167" s="198"/>
      <c r="U167" s="198"/>
      <c r="V167" s="198"/>
      <c r="W167" s="198"/>
      <c r="X167" s="198"/>
      <c r="Y167" s="198"/>
      <c r="Z167" s="198"/>
    </row>
    <row r="168" ht="91.5" customHeight="1">
      <c r="A168" s="370">
        <v>41019.0</v>
      </c>
      <c r="B168" s="292" t="s">
        <v>25</v>
      </c>
      <c r="C168" s="299">
        <v>4501.0</v>
      </c>
      <c r="D168" s="285" t="s">
        <v>10913</v>
      </c>
      <c r="E168" s="287" t="s">
        <v>10536</v>
      </c>
      <c r="F168" s="288">
        <v>45883.0</v>
      </c>
      <c r="G168" s="288">
        <v>45880.0</v>
      </c>
      <c r="H168" s="288">
        <v>45880.0</v>
      </c>
      <c r="I168" s="288">
        <v>45889.0</v>
      </c>
      <c r="J168" s="288">
        <v>45889.0</v>
      </c>
      <c r="K168" s="285"/>
      <c r="L168" s="285"/>
      <c r="M168" s="290" t="s">
        <v>10914</v>
      </c>
      <c r="N168" s="299" t="s">
        <v>497</v>
      </c>
      <c r="O168" s="322" t="s">
        <v>2554</v>
      </c>
      <c r="P168" s="300">
        <v>33187.5</v>
      </c>
      <c r="Q168" s="299">
        <f t="shared" si="1"/>
        <v>33</v>
      </c>
      <c r="R168" s="299" t="s">
        <v>9170</v>
      </c>
      <c r="S168" s="299" t="s">
        <v>9171</v>
      </c>
      <c r="T168" s="198"/>
      <c r="U168" s="198"/>
      <c r="V168" s="198"/>
      <c r="W168" s="198"/>
      <c r="X168" s="198"/>
      <c r="Y168" s="198"/>
      <c r="Z168" s="198"/>
    </row>
    <row r="169" ht="91.5" customHeight="1">
      <c r="A169" s="370">
        <v>41236.0</v>
      </c>
      <c r="B169" s="285" t="s">
        <v>21</v>
      </c>
      <c r="C169" s="299">
        <v>1100.0</v>
      </c>
      <c r="D169" s="285" t="s">
        <v>10915</v>
      </c>
      <c r="E169" s="578" t="s">
        <v>10916</v>
      </c>
      <c r="F169" s="288">
        <v>45882.0</v>
      </c>
      <c r="G169" s="288">
        <v>45880.0</v>
      </c>
      <c r="H169" s="288">
        <v>45882.0</v>
      </c>
      <c r="I169" s="288">
        <v>45888.0</v>
      </c>
      <c r="J169" s="288">
        <v>45888.0</v>
      </c>
      <c r="K169" s="428" t="s">
        <v>4916</v>
      </c>
      <c r="L169" s="579"/>
      <c r="M169" s="290" t="s">
        <v>10917</v>
      </c>
      <c r="N169" s="299" t="s">
        <v>4635</v>
      </c>
      <c r="O169" s="322" t="s">
        <v>2621</v>
      </c>
      <c r="P169" s="300">
        <v>81586.0</v>
      </c>
      <c r="Q169" s="299">
        <f t="shared" si="1"/>
        <v>33</v>
      </c>
      <c r="R169" s="299"/>
      <c r="S169" s="299" t="s">
        <v>10487</v>
      </c>
      <c r="T169" s="198"/>
      <c r="U169" s="198"/>
      <c r="V169" s="198"/>
      <c r="W169" s="198"/>
      <c r="X169" s="198"/>
      <c r="Y169" s="198"/>
      <c r="Z169" s="198"/>
    </row>
    <row r="170" ht="91.5" customHeight="1">
      <c r="A170" s="370">
        <v>40689.0</v>
      </c>
      <c r="B170" s="299" t="s">
        <v>715</v>
      </c>
      <c r="C170" s="285">
        <v>1250.0</v>
      </c>
      <c r="D170" s="285" t="s">
        <v>10918</v>
      </c>
      <c r="E170" s="287" t="s">
        <v>10919</v>
      </c>
      <c r="F170" s="288">
        <v>45879.0</v>
      </c>
      <c r="G170" s="288">
        <v>45882.0</v>
      </c>
      <c r="H170" s="288">
        <v>45882.0</v>
      </c>
      <c r="I170" s="288">
        <v>45882.0</v>
      </c>
      <c r="J170" s="288">
        <v>45882.0</v>
      </c>
      <c r="K170" s="285"/>
      <c r="L170" s="485"/>
      <c r="M170" s="290" t="s">
        <v>10920</v>
      </c>
      <c r="N170" s="299" t="s">
        <v>4635</v>
      </c>
      <c r="O170" s="322" t="s">
        <v>2621</v>
      </c>
      <c r="P170" s="300">
        <v>27848.8</v>
      </c>
      <c r="Q170" s="299">
        <f t="shared" si="1"/>
        <v>33</v>
      </c>
      <c r="R170" s="299"/>
      <c r="S170" s="299" t="s">
        <v>8430</v>
      </c>
      <c r="T170" s="198"/>
      <c r="U170" s="198"/>
      <c r="V170" s="198"/>
      <c r="W170" s="198"/>
      <c r="X170" s="198"/>
      <c r="Y170" s="198"/>
      <c r="Z170" s="198"/>
    </row>
    <row r="171" ht="91.5" customHeight="1">
      <c r="A171" s="370" t="s">
        <v>10921</v>
      </c>
      <c r="B171" s="292" t="s">
        <v>25</v>
      </c>
      <c r="C171" s="299">
        <v>510.0</v>
      </c>
      <c r="D171" s="285" t="s">
        <v>10922</v>
      </c>
      <c r="E171" s="287" t="s">
        <v>4641</v>
      </c>
      <c r="F171" s="305">
        <v>45878.0</v>
      </c>
      <c r="G171" s="288">
        <v>45877.0</v>
      </c>
      <c r="H171" s="288">
        <v>45877.0</v>
      </c>
      <c r="I171" s="288">
        <v>45887.0</v>
      </c>
      <c r="J171" s="288">
        <v>45887.0</v>
      </c>
      <c r="K171" s="285"/>
      <c r="L171" s="485"/>
      <c r="M171" s="290" t="s">
        <v>10923</v>
      </c>
      <c r="N171" s="299" t="s">
        <v>497</v>
      </c>
      <c r="O171" s="322" t="s">
        <v>2538</v>
      </c>
      <c r="P171" s="300">
        <v>81648.0</v>
      </c>
      <c r="Q171" s="299">
        <f t="shared" si="1"/>
        <v>32</v>
      </c>
      <c r="R171" s="299"/>
      <c r="S171" s="299" t="s">
        <v>10487</v>
      </c>
      <c r="T171" s="198"/>
      <c r="U171" s="198"/>
      <c r="V171" s="198"/>
      <c r="W171" s="198"/>
      <c r="X171" s="198"/>
      <c r="Y171" s="198"/>
      <c r="Z171" s="198"/>
    </row>
    <row r="172" ht="91.5" customHeight="1">
      <c r="A172" s="370">
        <v>41004.0</v>
      </c>
      <c r="B172" s="299" t="s">
        <v>715</v>
      </c>
      <c r="C172" s="299">
        <v>940.0</v>
      </c>
      <c r="D172" s="299" t="s">
        <v>10924</v>
      </c>
      <c r="E172" s="287" t="s">
        <v>10590</v>
      </c>
      <c r="F172" s="288">
        <v>45875.0</v>
      </c>
      <c r="G172" s="288">
        <v>45869.0</v>
      </c>
      <c r="H172" s="288">
        <v>45869.0</v>
      </c>
      <c r="I172" s="288">
        <v>45880.0</v>
      </c>
      <c r="J172" s="288">
        <v>45880.0</v>
      </c>
      <c r="K172" s="285"/>
      <c r="L172" s="485"/>
      <c r="M172" s="290" t="s">
        <v>10925</v>
      </c>
      <c r="N172" s="299" t="s">
        <v>4635</v>
      </c>
      <c r="O172" s="322" t="s">
        <v>2621</v>
      </c>
      <c r="P172" s="300">
        <v>39594.8</v>
      </c>
      <c r="Q172" s="299">
        <f t="shared" si="1"/>
        <v>32</v>
      </c>
      <c r="R172" s="299"/>
      <c r="S172" s="299" t="s">
        <v>8430</v>
      </c>
      <c r="T172" s="198"/>
      <c r="U172" s="198"/>
      <c r="V172" s="198"/>
      <c r="W172" s="198"/>
      <c r="X172" s="198"/>
      <c r="Y172" s="198"/>
      <c r="Z172" s="198"/>
    </row>
    <row r="173" ht="87.75" customHeight="1">
      <c r="A173" s="370">
        <v>41032.0</v>
      </c>
      <c r="B173" s="285" t="s">
        <v>21</v>
      </c>
      <c r="C173" s="285">
        <v>4355.0</v>
      </c>
      <c r="D173" s="285" t="s">
        <v>10926</v>
      </c>
      <c r="E173" s="287" t="s">
        <v>10596</v>
      </c>
      <c r="F173" s="288">
        <v>45874.0</v>
      </c>
      <c r="G173" s="288">
        <v>45869.0</v>
      </c>
      <c r="H173" s="288">
        <v>45869.0</v>
      </c>
      <c r="I173" s="288">
        <v>45881.0</v>
      </c>
      <c r="J173" s="288">
        <v>45881.0</v>
      </c>
      <c r="K173" s="285" t="s">
        <v>5270</v>
      </c>
      <c r="L173" s="572" t="s">
        <v>9178</v>
      </c>
      <c r="M173" s="290" t="s">
        <v>10927</v>
      </c>
      <c r="N173" s="299" t="s">
        <v>497</v>
      </c>
      <c r="O173" s="322" t="s">
        <v>2554</v>
      </c>
      <c r="P173" s="300">
        <v>30049.5</v>
      </c>
      <c r="Q173" s="299">
        <f t="shared" si="1"/>
        <v>32</v>
      </c>
      <c r="R173" s="299" t="s">
        <v>9198</v>
      </c>
      <c r="S173" s="299" t="s">
        <v>9171</v>
      </c>
      <c r="T173" s="198"/>
      <c r="U173" s="198"/>
      <c r="V173" s="198"/>
      <c r="W173" s="198"/>
      <c r="X173" s="198"/>
      <c r="Y173" s="198"/>
      <c r="Z173" s="198"/>
    </row>
    <row r="174" ht="91.5" customHeight="1">
      <c r="A174" s="370">
        <v>41014.0</v>
      </c>
      <c r="B174" s="285" t="s">
        <v>21</v>
      </c>
      <c r="C174" s="299">
        <v>4501.0</v>
      </c>
      <c r="D174" s="285" t="s">
        <v>10928</v>
      </c>
      <c r="E174" s="287" t="s">
        <v>10929</v>
      </c>
      <c r="F174" s="288">
        <v>45874.0</v>
      </c>
      <c r="G174" s="288">
        <v>45870.0</v>
      </c>
      <c r="H174" s="288">
        <v>45870.0</v>
      </c>
      <c r="I174" s="288">
        <v>45880.0</v>
      </c>
      <c r="J174" s="288">
        <v>45880.0</v>
      </c>
      <c r="K174" s="285" t="s">
        <v>5270</v>
      </c>
      <c r="L174" s="572" t="s">
        <v>9178</v>
      </c>
      <c r="M174" s="290" t="s">
        <v>10930</v>
      </c>
      <c r="N174" s="299" t="s">
        <v>497</v>
      </c>
      <c r="O174" s="322" t="s">
        <v>2554</v>
      </c>
      <c r="P174" s="300">
        <v>32962.5</v>
      </c>
      <c r="Q174" s="299">
        <f t="shared" si="1"/>
        <v>32</v>
      </c>
      <c r="R174" s="299" t="s">
        <v>9170</v>
      </c>
      <c r="S174" s="299" t="s">
        <v>9171</v>
      </c>
      <c r="T174" s="198"/>
      <c r="U174" s="198"/>
      <c r="V174" s="198"/>
      <c r="W174" s="198"/>
      <c r="X174" s="198"/>
      <c r="Y174" s="198"/>
      <c r="Z174" s="198"/>
    </row>
    <row r="175" ht="91.5" customHeight="1">
      <c r="A175" s="370">
        <v>41202.0</v>
      </c>
      <c r="B175" s="292" t="s">
        <v>10194</v>
      </c>
      <c r="C175" s="299" t="s">
        <v>10931</v>
      </c>
      <c r="D175" s="299" t="s">
        <v>10932</v>
      </c>
      <c r="E175" s="287" t="s">
        <v>9371</v>
      </c>
      <c r="F175" s="288">
        <v>45873.0</v>
      </c>
      <c r="G175" s="285" t="s">
        <v>4841</v>
      </c>
      <c r="H175" s="288">
        <v>45887.0</v>
      </c>
      <c r="I175" s="288">
        <v>45887.0</v>
      </c>
      <c r="J175" s="288">
        <v>45887.0</v>
      </c>
      <c r="K175" s="285" t="s">
        <v>4841</v>
      </c>
      <c r="L175" s="485"/>
      <c r="M175" s="290" t="s">
        <v>10933</v>
      </c>
      <c r="N175" s="299" t="s">
        <v>497</v>
      </c>
      <c r="O175" s="322" t="s">
        <v>2628</v>
      </c>
      <c r="P175" s="300">
        <v>26159.4</v>
      </c>
      <c r="Q175" s="299">
        <f t="shared" si="1"/>
        <v>32</v>
      </c>
      <c r="R175" s="299"/>
      <c r="S175" s="299" t="s">
        <v>10487</v>
      </c>
      <c r="T175" s="198"/>
      <c r="U175" s="198"/>
      <c r="V175" s="198"/>
      <c r="W175" s="198"/>
      <c r="X175" s="198"/>
      <c r="Y175" s="198"/>
      <c r="Z175" s="198"/>
    </row>
    <row r="176" ht="91.5" customHeight="1">
      <c r="A176" s="370">
        <v>41018.0</v>
      </c>
      <c r="B176" s="292" t="s">
        <v>25</v>
      </c>
      <c r="C176" s="299">
        <v>5251.0</v>
      </c>
      <c r="D176" s="285" t="s">
        <v>10934</v>
      </c>
      <c r="E176" s="287" t="s">
        <v>10539</v>
      </c>
      <c r="F176" s="288">
        <v>45871.0</v>
      </c>
      <c r="G176" s="288">
        <v>45870.0</v>
      </c>
      <c r="H176" s="288">
        <v>45870.0</v>
      </c>
      <c r="I176" s="288">
        <v>45876.0</v>
      </c>
      <c r="J176" s="288">
        <v>45876.0</v>
      </c>
      <c r="K176" s="285"/>
      <c r="L176" s="285"/>
      <c r="M176" s="290" t="s">
        <v>10935</v>
      </c>
      <c r="N176" s="299" t="s">
        <v>497</v>
      </c>
      <c r="O176" s="322" t="s">
        <v>2554</v>
      </c>
      <c r="P176" s="300">
        <v>26250.0</v>
      </c>
      <c r="Q176" s="299">
        <f t="shared" si="1"/>
        <v>31</v>
      </c>
      <c r="R176" s="299" t="s">
        <v>9170</v>
      </c>
      <c r="S176" s="299" t="s">
        <v>9171</v>
      </c>
      <c r="T176" s="198"/>
      <c r="U176" s="198"/>
      <c r="V176" s="198"/>
      <c r="W176" s="198"/>
      <c r="X176" s="198"/>
      <c r="Y176" s="198"/>
      <c r="Z176" s="198"/>
    </row>
    <row r="177" ht="91.5" customHeight="1">
      <c r="A177" s="370">
        <v>41051.0</v>
      </c>
      <c r="B177" s="285" t="s">
        <v>21</v>
      </c>
      <c r="C177" s="285">
        <v>560.0</v>
      </c>
      <c r="D177" s="285" t="s">
        <v>10936</v>
      </c>
      <c r="E177" s="287" t="s">
        <v>10937</v>
      </c>
      <c r="F177" s="288">
        <v>45871.0</v>
      </c>
      <c r="G177" s="288">
        <v>45867.0</v>
      </c>
      <c r="H177" s="288">
        <v>45867.0</v>
      </c>
      <c r="I177" s="288">
        <v>45877.0</v>
      </c>
      <c r="J177" s="288">
        <v>45877.0</v>
      </c>
      <c r="K177" s="573" t="s">
        <v>4916</v>
      </c>
      <c r="L177" s="296"/>
      <c r="M177" s="290" t="s">
        <v>10938</v>
      </c>
      <c r="N177" s="299" t="s">
        <v>4635</v>
      </c>
      <c r="O177" s="322" t="s">
        <v>2621</v>
      </c>
      <c r="P177" s="300">
        <v>55425.9</v>
      </c>
      <c r="Q177" s="299">
        <f t="shared" si="1"/>
        <v>31</v>
      </c>
      <c r="R177" s="299"/>
      <c r="S177" s="299" t="s">
        <v>10487</v>
      </c>
      <c r="T177" s="198"/>
      <c r="U177" s="198"/>
      <c r="V177" s="198"/>
      <c r="W177" s="198"/>
      <c r="X177" s="198"/>
      <c r="Y177" s="198"/>
      <c r="Z177" s="198"/>
    </row>
    <row r="178" ht="91.5" customHeight="1">
      <c r="A178" s="370">
        <v>40722.0</v>
      </c>
      <c r="B178" s="285" t="s">
        <v>21</v>
      </c>
      <c r="C178" s="285">
        <v>1726.0</v>
      </c>
      <c r="D178" s="285" t="s">
        <v>10939</v>
      </c>
      <c r="E178" s="287" t="s">
        <v>9194</v>
      </c>
      <c r="F178" s="288">
        <v>45870.0</v>
      </c>
      <c r="G178" s="288">
        <v>45870.0</v>
      </c>
      <c r="H178" s="288">
        <v>45870.0</v>
      </c>
      <c r="I178" s="288">
        <v>45875.0</v>
      </c>
      <c r="J178" s="288">
        <v>45875.0</v>
      </c>
      <c r="K178" s="573" t="s">
        <v>5270</v>
      </c>
      <c r="L178" s="574" t="s">
        <v>9178</v>
      </c>
      <c r="M178" s="290" t="s">
        <v>10940</v>
      </c>
      <c r="N178" s="299" t="s">
        <v>497</v>
      </c>
      <c r="O178" s="322" t="s">
        <v>2604</v>
      </c>
      <c r="P178" s="300">
        <v>61800.68</v>
      </c>
      <c r="Q178" s="299">
        <f t="shared" si="1"/>
        <v>31</v>
      </c>
      <c r="R178" s="299"/>
      <c r="S178" s="299" t="s">
        <v>10487</v>
      </c>
      <c r="T178" s="198"/>
      <c r="U178" s="198"/>
      <c r="V178" s="198"/>
      <c r="W178" s="198"/>
      <c r="X178" s="198"/>
      <c r="Y178" s="198"/>
      <c r="Z178" s="198"/>
    </row>
    <row r="179" ht="91.5" customHeight="1">
      <c r="A179" s="370">
        <v>40995.0</v>
      </c>
      <c r="B179" s="292" t="s">
        <v>715</v>
      </c>
      <c r="C179" s="285">
        <v>1870.0</v>
      </c>
      <c r="D179" s="285" t="s">
        <v>10941</v>
      </c>
      <c r="E179" s="287" t="s">
        <v>3812</v>
      </c>
      <c r="F179" s="288">
        <v>45867.0</v>
      </c>
      <c r="G179" s="288">
        <v>45861.0</v>
      </c>
      <c r="H179" s="288">
        <v>45861.0</v>
      </c>
      <c r="I179" s="288">
        <v>45869.0</v>
      </c>
      <c r="J179" s="288">
        <v>45869.0</v>
      </c>
      <c r="K179" s="285"/>
      <c r="L179" s="17"/>
      <c r="M179" s="290" t="s">
        <v>10942</v>
      </c>
      <c r="N179" s="299" t="s">
        <v>6366</v>
      </c>
      <c r="O179" s="322" t="s">
        <v>4662</v>
      </c>
      <c r="P179" s="300">
        <v>130789.0</v>
      </c>
      <c r="Q179" s="299">
        <f t="shared" si="1"/>
        <v>31</v>
      </c>
      <c r="R179" s="299"/>
      <c r="S179" s="299" t="s">
        <v>10487</v>
      </c>
      <c r="T179" s="198"/>
      <c r="U179" s="198"/>
      <c r="V179" s="198"/>
      <c r="W179" s="198"/>
      <c r="X179" s="198"/>
      <c r="Y179" s="198"/>
      <c r="Z179" s="198"/>
    </row>
    <row r="180" ht="91.5" customHeight="1">
      <c r="A180" s="370">
        <v>40848.0</v>
      </c>
      <c r="B180" s="299" t="s">
        <v>715</v>
      </c>
      <c r="C180" s="285">
        <v>5250.0</v>
      </c>
      <c r="D180" s="285" t="s">
        <v>10943</v>
      </c>
      <c r="E180" s="287" t="s">
        <v>10808</v>
      </c>
      <c r="F180" s="288">
        <v>45867.0</v>
      </c>
      <c r="G180" s="372">
        <v>45861.0</v>
      </c>
      <c r="H180" s="372">
        <v>45861.0</v>
      </c>
      <c r="I180" s="372">
        <v>45870.0</v>
      </c>
      <c r="J180" s="288">
        <v>45870.0</v>
      </c>
      <c r="K180" s="285"/>
      <c r="L180" s="572"/>
      <c r="M180" s="290" t="s">
        <v>10944</v>
      </c>
      <c r="N180" s="299" t="s">
        <v>497</v>
      </c>
      <c r="O180" s="322" t="s">
        <v>2554</v>
      </c>
      <c r="P180" s="300">
        <v>29860.42</v>
      </c>
      <c r="Q180" s="299">
        <f t="shared" si="1"/>
        <v>31</v>
      </c>
      <c r="R180" s="299" t="s">
        <v>9198</v>
      </c>
      <c r="S180" s="299" t="s">
        <v>9171</v>
      </c>
      <c r="T180" s="198"/>
      <c r="U180" s="198"/>
      <c r="V180" s="198"/>
      <c r="W180" s="198"/>
      <c r="X180" s="198"/>
      <c r="Y180" s="198"/>
      <c r="Z180" s="198"/>
    </row>
    <row r="181" ht="91.5" customHeight="1">
      <c r="A181" s="370">
        <v>40624.0</v>
      </c>
      <c r="B181" s="285" t="s">
        <v>21</v>
      </c>
      <c r="C181" s="285">
        <v>5251.0</v>
      </c>
      <c r="D181" s="285" t="s">
        <v>10945</v>
      </c>
      <c r="E181" s="287" t="s">
        <v>10539</v>
      </c>
      <c r="F181" s="288">
        <v>45866.0</v>
      </c>
      <c r="G181" s="288">
        <v>45863.0</v>
      </c>
      <c r="H181" s="288">
        <v>45863.0</v>
      </c>
      <c r="I181" s="288">
        <v>45873.0</v>
      </c>
      <c r="J181" s="288">
        <v>45873.0</v>
      </c>
      <c r="K181" s="285" t="s">
        <v>5270</v>
      </c>
      <c r="L181" s="572" t="s">
        <v>9178</v>
      </c>
      <c r="M181" s="290" t="s">
        <v>10946</v>
      </c>
      <c r="N181" s="299" t="s">
        <v>497</v>
      </c>
      <c r="O181" s="322" t="s">
        <v>2554</v>
      </c>
      <c r="P181" s="300">
        <v>26250.0</v>
      </c>
      <c r="Q181" s="299">
        <f t="shared" si="1"/>
        <v>31</v>
      </c>
      <c r="R181" s="299" t="s">
        <v>9170</v>
      </c>
      <c r="S181" s="299" t="s">
        <v>9171</v>
      </c>
      <c r="T181" s="198"/>
      <c r="U181" s="198"/>
      <c r="V181" s="198"/>
      <c r="W181" s="198"/>
      <c r="X181" s="198"/>
      <c r="Y181" s="198"/>
      <c r="Z181" s="198"/>
    </row>
    <row r="182" ht="91.5" customHeight="1">
      <c r="A182" s="370">
        <v>40218.0</v>
      </c>
      <c r="B182" s="299" t="s">
        <v>715</v>
      </c>
      <c r="C182" s="285">
        <v>2413.0</v>
      </c>
      <c r="D182" s="285" t="s">
        <v>10947</v>
      </c>
      <c r="E182" s="287" t="s">
        <v>10617</v>
      </c>
      <c r="F182" s="288">
        <v>45866.0</v>
      </c>
      <c r="G182" s="372">
        <v>45861.0</v>
      </c>
      <c r="H182" s="372">
        <v>45861.0</v>
      </c>
      <c r="I182" s="372">
        <v>45873.0</v>
      </c>
      <c r="J182" s="288">
        <v>45873.0</v>
      </c>
      <c r="K182" s="285"/>
      <c r="L182" s="17"/>
      <c r="M182" s="290" t="s">
        <v>10948</v>
      </c>
      <c r="N182" s="299" t="s">
        <v>497</v>
      </c>
      <c r="O182" s="322" t="s">
        <v>2554</v>
      </c>
      <c r="P182" s="300">
        <v>42468.8</v>
      </c>
      <c r="Q182" s="299">
        <f t="shared" si="1"/>
        <v>31</v>
      </c>
      <c r="R182" s="299" t="s">
        <v>9198</v>
      </c>
      <c r="S182" s="299" t="s">
        <v>9171</v>
      </c>
      <c r="T182" s="198"/>
      <c r="U182" s="198"/>
      <c r="V182" s="198"/>
      <c r="W182" s="198"/>
      <c r="X182" s="198"/>
      <c r="Y182" s="198"/>
      <c r="Z182" s="198"/>
    </row>
    <row r="183" ht="91.5" customHeight="1">
      <c r="A183" s="370">
        <v>40849.0</v>
      </c>
      <c r="B183" s="299" t="s">
        <v>715</v>
      </c>
      <c r="C183" s="285">
        <v>5250.0</v>
      </c>
      <c r="D183" s="285" t="s">
        <v>10949</v>
      </c>
      <c r="E183" s="287" t="s">
        <v>10950</v>
      </c>
      <c r="F183" s="288">
        <v>45866.0</v>
      </c>
      <c r="G183" s="580">
        <v>45861.0</v>
      </c>
      <c r="H183" s="580">
        <v>45861.0</v>
      </c>
      <c r="I183" s="580">
        <v>45870.0</v>
      </c>
      <c r="J183" s="288">
        <v>45870.0</v>
      </c>
      <c r="K183" s="285"/>
      <c r="L183" s="17"/>
      <c r="M183" s="290" t="s">
        <v>10951</v>
      </c>
      <c r="N183" s="299" t="s">
        <v>497</v>
      </c>
      <c r="O183" s="322" t="s">
        <v>2554</v>
      </c>
      <c r="P183" s="300">
        <v>29860.42</v>
      </c>
      <c r="Q183" s="299">
        <f t="shared" si="1"/>
        <v>31</v>
      </c>
      <c r="R183" s="299" t="s">
        <v>9198</v>
      </c>
      <c r="S183" s="299" t="s">
        <v>9171</v>
      </c>
      <c r="T183" s="198"/>
      <c r="U183" s="198"/>
      <c r="V183" s="198"/>
      <c r="W183" s="198"/>
      <c r="X183" s="198"/>
      <c r="Y183" s="198"/>
      <c r="Z183" s="198"/>
    </row>
    <row r="184" ht="91.5" customHeight="1">
      <c r="A184" s="370">
        <v>40511.0</v>
      </c>
      <c r="B184" s="299" t="s">
        <v>6501</v>
      </c>
      <c r="C184" s="285">
        <v>940.0</v>
      </c>
      <c r="D184" s="285" t="s">
        <v>10952</v>
      </c>
      <c r="E184" s="287" t="s">
        <v>10953</v>
      </c>
      <c r="F184" s="580">
        <v>45865.0</v>
      </c>
      <c r="G184" s="580">
        <v>45862.0</v>
      </c>
      <c r="H184" s="580">
        <v>45862.0</v>
      </c>
      <c r="I184" s="580">
        <v>45870.0</v>
      </c>
      <c r="J184" s="288">
        <v>45870.0</v>
      </c>
      <c r="K184" s="285"/>
      <c r="L184" s="17"/>
      <c r="M184" s="290" t="s">
        <v>10954</v>
      </c>
      <c r="N184" s="299" t="s">
        <v>4635</v>
      </c>
      <c r="O184" s="322" t="s">
        <v>2621</v>
      </c>
      <c r="P184" s="300">
        <v>58866.0</v>
      </c>
      <c r="Q184" s="299">
        <f t="shared" si="1"/>
        <v>31</v>
      </c>
      <c r="R184" s="299"/>
      <c r="S184" s="299" t="s">
        <v>8430</v>
      </c>
      <c r="T184" s="198"/>
      <c r="U184" s="198"/>
      <c r="V184" s="198"/>
      <c r="W184" s="198"/>
      <c r="X184" s="198"/>
      <c r="Y184" s="198"/>
      <c r="Z184" s="198"/>
    </row>
    <row r="185" ht="91.5" customHeight="1">
      <c r="A185" s="370">
        <v>40267.0</v>
      </c>
      <c r="B185" s="299" t="s">
        <v>6501</v>
      </c>
      <c r="C185" s="285">
        <v>940.0</v>
      </c>
      <c r="D185" s="285" t="s">
        <v>10955</v>
      </c>
      <c r="E185" s="287" t="s">
        <v>10956</v>
      </c>
      <c r="F185" s="288">
        <v>45865.0</v>
      </c>
      <c r="G185" s="580">
        <v>45861.0</v>
      </c>
      <c r="H185" s="580">
        <v>45861.0</v>
      </c>
      <c r="I185" s="580">
        <v>45869.0</v>
      </c>
      <c r="J185" s="288">
        <v>45869.0</v>
      </c>
      <c r="K185" s="285"/>
      <c r="L185" s="572"/>
      <c r="M185" s="290" t="s">
        <v>10957</v>
      </c>
      <c r="N185" s="299" t="s">
        <v>4635</v>
      </c>
      <c r="O185" s="322" t="s">
        <v>2621</v>
      </c>
      <c r="P185" s="300">
        <v>39663.6</v>
      </c>
      <c r="Q185" s="299">
        <f t="shared" si="1"/>
        <v>31</v>
      </c>
      <c r="R185" s="299"/>
      <c r="S185" s="299" t="s">
        <v>8430</v>
      </c>
      <c r="T185" s="198"/>
      <c r="U185" s="198"/>
      <c r="V185" s="198"/>
      <c r="W185" s="198"/>
      <c r="X185" s="198"/>
      <c r="Y185" s="198"/>
      <c r="Z185" s="198"/>
    </row>
    <row r="186" ht="91.5" customHeight="1">
      <c r="A186" s="370">
        <v>41006.0</v>
      </c>
      <c r="B186" s="285" t="s">
        <v>21</v>
      </c>
      <c r="C186" s="299">
        <v>930.0</v>
      </c>
      <c r="D186" s="285" t="s">
        <v>10958</v>
      </c>
      <c r="E186" s="287" t="s">
        <v>10959</v>
      </c>
      <c r="F186" s="372">
        <v>45865.0</v>
      </c>
      <c r="G186" s="580">
        <v>45866.0</v>
      </c>
      <c r="H186" s="580">
        <v>45862.0</v>
      </c>
      <c r="I186" s="580">
        <v>45869.0</v>
      </c>
      <c r="J186" s="288">
        <v>45869.0</v>
      </c>
      <c r="K186" s="285" t="s">
        <v>10960</v>
      </c>
      <c r="L186" s="572" t="s">
        <v>9178</v>
      </c>
      <c r="M186" s="290" t="s">
        <v>10961</v>
      </c>
      <c r="N186" s="299" t="s">
        <v>497</v>
      </c>
      <c r="O186" s="322" t="s">
        <v>2621</v>
      </c>
      <c r="P186" s="291">
        <v>69136.45</v>
      </c>
      <c r="Q186" s="299">
        <f t="shared" si="1"/>
        <v>31</v>
      </c>
      <c r="R186" s="299"/>
      <c r="S186" s="299" t="s">
        <v>8430</v>
      </c>
      <c r="T186" s="198"/>
      <c r="U186" s="198"/>
      <c r="V186" s="198"/>
      <c r="W186" s="198"/>
      <c r="X186" s="198"/>
      <c r="Y186" s="198"/>
      <c r="Z186" s="198"/>
    </row>
    <row r="187" ht="91.5" customHeight="1">
      <c r="A187" s="370">
        <v>41005.0</v>
      </c>
      <c r="B187" s="292" t="s">
        <v>25</v>
      </c>
      <c r="C187" s="299">
        <v>940.0</v>
      </c>
      <c r="D187" s="285" t="s">
        <v>10962</v>
      </c>
      <c r="E187" s="287" t="s">
        <v>10963</v>
      </c>
      <c r="F187" s="288">
        <v>45865.0</v>
      </c>
      <c r="G187" s="372">
        <v>45866.0</v>
      </c>
      <c r="H187" s="372">
        <v>45866.0</v>
      </c>
      <c r="I187" s="372">
        <v>45873.0</v>
      </c>
      <c r="J187" s="288">
        <v>45873.0</v>
      </c>
      <c r="K187" s="285"/>
      <c r="L187" s="581"/>
      <c r="M187" s="290" t="s">
        <v>10964</v>
      </c>
      <c r="N187" s="299" t="s">
        <v>4635</v>
      </c>
      <c r="O187" s="322" t="s">
        <v>2621</v>
      </c>
      <c r="P187" s="300">
        <v>38660.5</v>
      </c>
      <c r="Q187" s="299">
        <f t="shared" si="1"/>
        <v>31</v>
      </c>
      <c r="R187" s="299"/>
      <c r="S187" s="299" t="s">
        <v>8430</v>
      </c>
      <c r="T187" s="198"/>
      <c r="U187" s="198"/>
      <c r="V187" s="198"/>
      <c r="W187" s="198"/>
      <c r="X187" s="198"/>
      <c r="Y187" s="198"/>
      <c r="Z187" s="198"/>
    </row>
    <row r="188" ht="91.5" customHeight="1">
      <c r="A188" s="370">
        <v>41111.0</v>
      </c>
      <c r="B188" s="285" t="s">
        <v>21</v>
      </c>
      <c r="C188" s="285">
        <v>1100.0</v>
      </c>
      <c r="D188" s="285" t="s">
        <v>10965</v>
      </c>
      <c r="E188" s="287" t="s">
        <v>10966</v>
      </c>
      <c r="F188" s="288">
        <v>45864.0</v>
      </c>
      <c r="G188" s="288">
        <v>45863.0</v>
      </c>
      <c r="H188" s="288">
        <v>45863.0</v>
      </c>
      <c r="I188" s="288">
        <v>45869.0</v>
      </c>
      <c r="J188" s="288">
        <v>45869.0</v>
      </c>
      <c r="K188" s="573" t="s">
        <v>4916</v>
      </c>
      <c r="L188" s="579"/>
      <c r="M188" s="290" t="s">
        <v>10967</v>
      </c>
      <c r="N188" s="299" t="s">
        <v>4635</v>
      </c>
      <c r="O188" s="322" t="s">
        <v>2621</v>
      </c>
      <c r="P188" s="300">
        <v>86058.4</v>
      </c>
      <c r="Q188" s="299">
        <f t="shared" si="1"/>
        <v>30</v>
      </c>
      <c r="R188" s="299"/>
      <c r="S188" s="299" t="s">
        <v>10487</v>
      </c>
      <c r="T188" s="198"/>
      <c r="U188" s="198"/>
      <c r="V188" s="198"/>
      <c r="W188" s="198"/>
      <c r="X188" s="198"/>
      <c r="Y188" s="198"/>
      <c r="Z188" s="198"/>
    </row>
    <row r="189" ht="91.5" customHeight="1">
      <c r="A189" s="370">
        <v>40692.0</v>
      </c>
      <c r="B189" s="299" t="s">
        <v>715</v>
      </c>
      <c r="C189" s="285">
        <v>940.0</v>
      </c>
      <c r="D189" s="285" t="s">
        <v>10968</v>
      </c>
      <c r="E189" s="287" t="s">
        <v>10969</v>
      </c>
      <c r="F189" s="288">
        <v>45863.0</v>
      </c>
      <c r="G189" s="372">
        <v>45860.0</v>
      </c>
      <c r="H189" s="372">
        <v>45860.0</v>
      </c>
      <c r="I189" s="372">
        <v>45867.0</v>
      </c>
      <c r="J189" s="288">
        <v>45867.0</v>
      </c>
      <c r="K189" s="285"/>
      <c r="L189" s="572"/>
      <c r="M189" s="290" t="s">
        <v>10970</v>
      </c>
      <c r="N189" s="299" t="s">
        <v>4635</v>
      </c>
      <c r="O189" s="322" t="s">
        <v>2621</v>
      </c>
      <c r="P189" s="300">
        <v>40084.8</v>
      </c>
      <c r="Q189" s="299">
        <f t="shared" si="1"/>
        <v>30</v>
      </c>
      <c r="R189" s="299"/>
      <c r="S189" s="299" t="s">
        <v>8430</v>
      </c>
      <c r="T189" s="198"/>
      <c r="U189" s="198"/>
      <c r="V189" s="198"/>
      <c r="W189" s="198"/>
      <c r="X189" s="198"/>
      <c r="Y189" s="198"/>
      <c r="Z189" s="198"/>
    </row>
    <row r="190" ht="91.5" customHeight="1">
      <c r="A190" s="370">
        <v>40678.0</v>
      </c>
      <c r="B190" s="285" t="s">
        <v>21</v>
      </c>
      <c r="C190" s="299">
        <v>5251.0</v>
      </c>
      <c r="D190" s="285" t="s">
        <v>10971</v>
      </c>
      <c r="E190" s="287" t="s">
        <v>10539</v>
      </c>
      <c r="F190" s="288">
        <v>45862.0</v>
      </c>
      <c r="G190" s="372">
        <v>45863.0</v>
      </c>
      <c r="H190" s="372">
        <v>45863.0</v>
      </c>
      <c r="I190" s="372">
        <v>45869.0</v>
      </c>
      <c r="J190" s="288">
        <v>45869.0</v>
      </c>
      <c r="K190" s="285" t="s">
        <v>5270</v>
      </c>
      <c r="L190" s="572" t="s">
        <v>9178</v>
      </c>
      <c r="M190" s="290" t="s">
        <v>10972</v>
      </c>
      <c r="N190" s="299" t="s">
        <v>497</v>
      </c>
      <c r="O190" s="322" t="s">
        <v>2554</v>
      </c>
      <c r="P190" s="300">
        <v>26250.0</v>
      </c>
      <c r="Q190" s="299">
        <f t="shared" si="1"/>
        <v>30</v>
      </c>
      <c r="R190" s="299" t="s">
        <v>9170</v>
      </c>
      <c r="S190" s="299" t="s">
        <v>9171</v>
      </c>
      <c r="T190" s="198"/>
      <c r="U190" s="198"/>
      <c r="V190" s="198"/>
      <c r="W190" s="198"/>
      <c r="X190" s="198"/>
      <c r="Y190" s="198"/>
      <c r="Z190" s="198"/>
    </row>
    <row r="191" ht="91.5" customHeight="1">
      <c r="A191" s="370">
        <v>41049.0</v>
      </c>
      <c r="B191" s="285" t="s">
        <v>21</v>
      </c>
      <c r="C191" s="285">
        <v>981.0</v>
      </c>
      <c r="D191" s="367" t="s">
        <v>10973</v>
      </c>
      <c r="E191" s="287" t="s">
        <v>10974</v>
      </c>
      <c r="F191" s="288">
        <v>45862.0</v>
      </c>
      <c r="G191" s="288">
        <v>45861.0</v>
      </c>
      <c r="H191" s="288">
        <v>45860.0</v>
      </c>
      <c r="I191" s="288">
        <v>45868.0</v>
      </c>
      <c r="J191" s="372">
        <v>45868.0</v>
      </c>
      <c r="K191" s="285" t="s">
        <v>4841</v>
      </c>
      <c r="L191" s="485"/>
      <c r="M191" s="290" t="s">
        <v>10975</v>
      </c>
      <c r="N191" s="299" t="s">
        <v>497</v>
      </c>
      <c r="O191" s="322" t="s">
        <v>2628</v>
      </c>
      <c r="P191" s="300">
        <v>249916.0</v>
      </c>
      <c r="Q191" s="299">
        <f t="shared" si="1"/>
        <v>30</v>
      </c>
      <c r="R191" s="299"/>
      <c r="S191" s="299" t="s">
        <v>10487</v>
      </c>
      <c r="T191" s="198"/>
      <c r="U191" s="198"/>
      <c r="V191" s="198"/>
      <c r="W191" s="198"/>
      <c r="X191" s="198"/>
      <c r="Y191" s="198"/>
      <c r="Z191" s="198"/>
    </row>
    <row r="192" ht="91.5" customHeight="1">
      <c r="A192" s="370">
        <v>41184.0</v>
      </c>
      <c r="B192" s="285" t="s">
        <v>21</v>
      </c>
      <c r="C192" s="299" t="s">
        <v>4732</v>
      </c>
      <c r="D192" s="285" t="s">
        <v>10976</v>
      </c>
      <c r="E192" s="287" t="s">
        <v>10977</v>
      </c>
      <c r="F192" s="288">
        <v>45862.0</v>
      </c>
      <c r="G192" s="288">
        <v>45859.0</v>
      </c>
      <c r="H192" s="288">
        <v>45859.0</v>
      </c>
      <c r="I192" s="288">
        <v>45868.0</v>
      </c>
      <c r="J192" s="288">
        <v>45868.0</v>
      </c>
      <c r="K192" s="285" t="s">
        <v>4841</v>
      </c>
      <c r="L192" s="485"/>
      <c r="M192" s="290" t="s">
        <v>10978</v>
      </c>
      <c r="N192" s="299" t="s">
        <v>4635</v>
      </c>
      <c r="O192" s="322" t="s">
        <v>2621</v>
      </c>
      <c r="P192" s="300">
        <v>29664.66</v>
      </c>
      <c r="Q192" s="299">
        <f t="shared" si="1"/>
        <v>30</v>
      </c>
      <c r="R192" s="299"/>
      <c r="S192" s="299" t="s">
        <v>10487</v>
      </c>
      <c r="T192" s="198"/>
      <c r="U192" s="198"/>
      <c r="V192" s="198"/>
      <c r="W192" s="198"/>
      <c r="X192" s="198"/>
      <c r="Y192" s="198"/>
      <c r="Z192" s="198"/>
    </row>
    <row r="193" ht="91.5" customHeight="1">
      <c r="A193" s="370">
        <v>40968.0</v>
      </c>
      <c r="B193" s="292" t="s">
        <v>25</v>
      </c>
      <c r="C193" s="299" t="s">
        <v>8034</v>
      </c>
      <c r="D193" s="285" t="s">
        <v>10979</v>
      </c>
      <c r="E193" s="287" t="s">
        <v>10980</v>
      </c>
      <c r="F193" s="288">
        <v>45861.0</v>
      </c>
      <c r="G193" s="285" t="s">
        <v>4841</v>
      </c>
      <c r="H193" s="285" t="s">
        <v>4841</v>
      </c>
      <c r="I193" s="288">
        <v>45869.0</v>
      </c>
      <c r="J193" s="288">
        <v>45869.0</v>
      </c>
      <c r="K193" s="285"/>
      <c r="L193" s="572"/>
      <c r="M193" s="290" t="s">
        <v>10981</v>
      </c>
      <c r="N193" s="299" t="s">
        <v>497</v>
      </c>
      <c r="O193" s="322" t="s">
        <v>2538</v>
      </c>
      <c r="P193" s="300">
        <v>72480.0</v>
      </c>
      <c r="Q193" s="299">
        <f t="shared" si="1"/>
        <v>30</v>
      </c>
      <c r="R193" s="299"/>
      <c r="S193" s="299" t="s">
        <v>10487</v>
      </c>
      <c r="T193" s="198"/>
      <c r="U193" s="198"/>
      <c r="V193" s="198"/>
      <c r="W193" s="198"/>
      <c r="X193" s="198"/>
      <c r="Y193" s="198"/>
      <c r="Z193" s="198"/>
    </row>
    <row r="194" ht="91.5" customHeight="1">
      <c r="A194" s="575">
        <v>40625.0</v>
      </c>
      <c r="B194" s="285" t="s">
        <v>21</v>
      </c>
      <c r="C194" s="285">
        <v>4500.0</v>
      </c>
      <c r="D194" s="285" t="s">
        <v>10982</v>
      </c>
      <c r="E194" s="287" t="s">
        <v>10882</v>
      </c>
      <c r="F194" s="288">
        <v>45861.0</v>
      </c>
      <c r="G194" s="372">
        <v>45854.0</v>
      </c>
      <c r="H194" s="372">
        <v>45854.0</v>
      </c>
      <c r="I194" s="372">
        <v>45868.0</v>
      </c>
      <c r="J194" s="288">
        <v>45868.0</v>
      </c>
      <c r="K194" s="285" t="s">
        <v>5270</v>
      </c>
      <c r="L194" s="572" t="s">
        <v>9178</v>
      </c>
      <c r="M194" s="290" t="s">
        <v>10983</v>
      </c>
      <c r="N194" s="299" t="s">
        <v>497</v>
      </c>
      <c r="O194" s="322" t="s">
        <v>2554</v>
      </c>
      <c r="P194" s="300">
        <v>33187.5</v>
      </c>
      <c r="Q194" s="299">
        <f t="shared" si="1"/>
        <v>30</v>
      </c>
      <c r="R194" s="299" t="s">
        <v>9170</v>
      </c>
      <c r="S194" s="299" t="s">
        <v>9171</v>
      </c>
      <c r="T194" s="198"/>
      <c r="U194" s="198"/>
      <c r="V194" s="198"/>
      <c r="W194" s="198"/>
      <c r="X194" s="198"/>
      <c r="Y194" s="198"/>
      <c r="Z194" s="198"/>
    </row>
    <row r="195" ht="91.5" customHeight="1">
      <c r="A195" s="575">
        <v>40621.0</v>
      </c>
      <c r="B195" s="285" t="s">
        <v>21</v>
      </c>
      <c r="C195" s="285">
        <v>4500.0</v>
      </c>
      <c r="D195" s="285" t="s">
        <v>10984</v>
      </c>
      <c r="E195" s="287" t="s">
        <v>10882</v>
      </c>
      <c r="F195" s="288">
        <v>45861.0</v>
      </c>
      <c r="G195" s="372">
        <v>45854.0</v>
      </c>
      <c r="H195" s="372">
        <v>45854.0</v>
      </c>
      <c r="I195" s="372">
        <v>45868.0</v>
      </c>
      <c r="J195" s="288">
        <v>45868.0</v>
      </c>
      <c r="K195" s="285" t="s">
        <v>5270</v>
      </c>
      <c r="L195" s="572" t="s">
        <v>9178</v>
      </c>
      <c r="M195" s="424" t="s">
        <v>10985</v>
      </c>
      <c r="N195" s="299" t="s">
        <v>497</v>
      </c>
      <c r="O195" s="322" t="s">
        <v>2554</v>
      </c>
      <c r="P195" s="300">
        <v>33187.5</v>
      </c>
      <c r="Q195" s="299">
        <f t="shared" si="1"/>
        <v>30</v>
      </c>
      <c r="R195" s="299" t="s">
        <v>9170</v>
      </c>
      <c r="S195" s="299" t="s">
        <v>9171</v>
      </c>
      <c r="T195" s="198"/>
      <c r="U195" s="198"/>
      <c r="V195" s="198"/>
      <c r="W195" s="198"/>
      <c r="X195" s="198"/>
      <c r="Y195" s="198"/>
      <c r="Z195" s="198"/>
    </row>
    <row r="196" ht="91.5" customHeight="1">
      <c r="A196" s="575">
        <v>40801.0</v>
      </c>
      <c r="B196" s="285" t="s">
        <v>21</v>
      </c>
      <c r="C196" s="285">
        <v>930.0</v>
      </c>
      <c r="D196" s="285" t="s">
        <v>10986</v>
      </c>
      <c r="E196" s="287" t="s">
        <v>10987</v>
      </c>
      <c r="F196" s="288">
        <v>45860.0</v>
      </c>
      <c r="G196" s="580">
        <v>45860.0</v>
      </c>
      <c r="H196" s="580">
        <v>45860.0</v>
      </c>
      <c r="I196" s="580">
        <v>45866.0</v>
      </c>
      <c r="J196" s="288">
        <v>45866.0</v>
      </c>
      <c r="K196" s="573" t="s">
        <v>4916</v>
      </c>
      <c r="L196" s="582"/>
      <c r="M196" s="290" t="s">
        <v>10988</v>
      </c>
      <c r="N196" s="299" t="s">
        <v>4635</v>
      </c>
      <c r="O196" s="322" t="s">
        <v>2621</v>
      </c>
      <c r="P196" s="300">
        <v>68482.0</v>
      </c>
      <c r="Q196" s="299">
        <f t="shared" si="1"/>
        <v>30</v>
      </c>
      <c r="R196" s="299"/>
      <c r="S196" s="299" t="s">
        <v>8430</v>
      </c>
      <c r="T196" s="198"/>
      <c r="U196" s="198"/>
      <c r="V196" s="198"/>
      <c r="W196" s="198"/>
      <c r="X196" s="198"/>
      <c r="Y196" s="198"/>
      <c r="Z196" s="198"/>
    </row>
    <row r="197" ht="91.5" customHeight="1">
      <c r="A197" s="575">
        <v>40550.0</v>
      </c>
      <c r="B197" s="299" t="s">
        <v>25</v>
      </c>
      <c r="C197" s="285">
        <v>5024.0</v>
      </c>
      <c r="D197" s="285" t="s">
        <v>10989</v>
      </c>
      <c r="E197" s="287" t="s">
        <v>10574</v>
      </c>
      <c r="F197" s="288">
        <v>45859.0</v>
      </c>
      <c r="G197" s="372">
        <v>45854.0</v>
      </c>
      <c r="H197" s="372">
        <v>45854.0</v>
      </c>
      <c r="I197" s="372">
        <v>45863.0</v>
      </c>
      <c r="J197" s="372">
        <v>45863.0</v>
      </c>
      <c r="K197" s="285"/>
      <c r="L197" s="17"/>
      <c r="M197" s="290" t="s">
        <v>10990</v>
      </c>
      <c r="N197" s="299" t="s">
        <v>4635</v>
      </c>
      <c r="O197" s="322" t="s">
        <v>2621</v>
      </c>
      <c r="P197" s="300">
        <v>42683.68</v>
      </c>
      <c r="Q197" s="299">
        <f t="shared" si="1"/>
        <v>30</v>
      </c>
      <c r="R197" s="299"/>
      <c r="S197" s="299" t="s">
        <v>10487</v>
      </c>
      <c r="T197" s="198"/>
      <c r="U197" s="198"/>
      <c r="V197" s="198"/>
      <c r="W197" s="198"/>
      <c r="X197" s="198"/>
      <c r="Y197" s="198"/>
      <c r="Z197" s="198"/>
    </row>
    <row r="198" ht="91.5" customHeight="1">
      <c r="A198" s="370">
        <v>40841.0</v>
      </c>
      <c r="B198" s="285" t="s">
        <v>21</v>
      </c>
      <c r="C198" s="285">
        <v>4355.0</v>
      </c>
      <c r="D198" s="285" t="s">
        <v>10991</v>
      </c>
      <c r="E198" s="287" t="s">
        <v>10796</v>
      </c>
      <c r="F198" s="288">
        <v>45859.0</v>
      </c>
      <c r="G198" s="372">
        <v>45852.0</v>
      </c>
      <c r="H198" s="372">
        <v>45852.0</v>
      </c>
      <c r="I198" s="372">
        <v>45863.0</v>
      </c>
      <c r="J198" s="372">
        <v>45863.0</v>
      </c>
      <c r="K198" s="285" t="s">
        <v>5270</v>
      </c>
      <c r="L198" s="572" t="s">
        <v>9178</v>
      </c>
      <c r="M198" s="290" t="s">
        <v>10992</v>
      </c>
      <c r="N198" s="299" t="s">
        <v>497</v>
      </c>
      <c r="O198" s="322" t="s">
        <v>2554</v>
      </c>
      <c r="P198" s="300">
        <v>33011.58</v>
      </c>
      <c r="Q198" s="299">
        <f t="shared" si="1"/>
        <v>30</v>
      </c>
      <c r="R198" s="299" t="s">
        <v>9198</v>
      </c>
      <c r="S198" s="299" t="s">
        <v>9171</v>
      </c>
      <c r="T198" s="198"/>
      <c r="U198" s="198"/>
      <c r="V198" s="198"/>
      <c r="W198" s="198"/>
      <c r="X198" s="198"/>
      <c r="Y198" s="198"/>
      <c r="Z198" s="198"/>
    </row>
    <row r="199" ht="91.5" customHeight="1">
      <c r="A199" s="370">
        <v>40878.0</v>
      </c>
      <c r="B199" s="285" t="s">
        <v>21</v>
      </c>
      <c r="C199" s="285">
        <v>1800.0</v>
      </c>
      <c r="D199" s="285" t="s">
        <v>10993</v>
      </c>
      <c r="E199" s="287" t="s">
        <v>3740</v>
      </c>
      <c r="F199" s="288">
        <v>45854.0</v>
      </c>
      <c r="G199" s="372">
        <v>45852.0</v>
      </c>
      <c r="H199" s="372">
        <v>45851.0</v>
      </c>
      <c r="I199" s="372">
        <v>45860.0</v>
      </c>
      <c r="J199" s="372">
        <v>45860.0</v>
      </c>
      <c r="K199" s="573" t="s">
        <v>4916</v>
      </c>
      <c r="L199" s="582"/>
      <c r="M199" s="290" t="s">
        <v>10994</v>
      </c>
      <c r="N199" s="299" t="s">
        <v>4745</v>
      </c>
      <c r="O199" s="322" t="s">
        <v>4711</v>
      </c>
      <c r="P199" s="300">
        <v>38169.72</v>
      </c>
      <c r="Q199" s="299">
        <f t="shared" si="1"/>
        <v>29</v>
      </c>
      <c r="R199" s="299"/>
      <c r="S199" s="299" t="s">
        <v>10487</v>
      </c>
      <c r="T199" s="198"/>
      <c r="U199" s="198"/>
      <c r="V199" s="198"/>
      <c r="W199" s="198"/>
      <c r="X199" s="198"/>
      <c r="Y199" s="198"/>
      <c r="Z199" s="198"/>
    </row>
    <row r="200" ht="91.5" customHeight="1">
      <c r="A200" s="370">
        <v>41008.0</v>
      </c>
      <c r="B200" s="285" t="s">
        <v>21</v>
      </c>
      <c r="C200" s="285">
        <v>974.0</v>
      </c>
      <c r="D200" s="285" t="s">
        <v>10995</v>
      </c>
      <c r="E200" s="583" t="s">
        <v>10996</v>
      </c>
      <c r="F200" s="288">
        <v>45852.0</v>
      </c>
      <c r="G200" s="372">
        <v>45849.0</v>
      </c>
      <c r="H200" s="372">
        <v>45848.0</v>
      </c>
      <c r="I200" s="372">
        <v>45855.0</v>
      </c>
      <c r="J200" s="372">
        <v>45855.0</v>
      </c>
      <c r="K200" s="285" t="s">
        <v>4841</v>
      </c>
      <c r="M200" s="290" t="s">
        <v>10997</v>
      </c>
      <c r="N200" s="299" t="s">
        <v>497</v>
      </c>
      <c r="O200" s="322" t="s">
        <v>2628</v>
      </c>
      <c r="P200" s="300">
        <v>311962.0</v>
      </c>
      <c r="Q200" s="299">
        <f t="shared" si="1"/>
        <v>29</v>
      </c>
      <c r="R200" s="299"/>
      <c r="S200" s="299" t="s">
        <v>10487</v>
      </c>
      <c r="T200" s="198"/>
      <c r="U200" s="198"/>
      <c r="V200" s="198"/>
      <c r="W200" s="198"/>
      <c r="X200" s="198"/>
      <c r="Y200" s="198"/>
      <c r="Z200" s="198"/>
    </row>
    <row r="201" ht="91.5" customHeight="1">
      <c r="A201" s="370">
        <v>40994.0</v>
      </c>
      <c r="B201" s="285" t="s">
        <v>21</v>
      </c>
      <c r="C201" s="285">
        <v>798.0</v>
      </c>
      <c r="D201" s="285" t="s">
        <v>10998</v>
      </c>
      <c r="E201" s="287" t="s">
        <v>10999</v>
      </c>
      <c r="F201" s="288">
        <v>45851.0</v>
      </c>
      <c r="G201" s="305">
        <v>45848.0</v>
      </c>
      <c r="H201" s="305">
        <v>45848.0</v>
      </c>
      <c r="I201" s="305">
        <v>45859.0</v>
      </c>
      <c r="J201" s="305">
        <v>45859.0</v>
      </c>
      <c r="K201" s="285" t="s">
        <v>5270</v>
      </c>
      <c r="L201" s="572" t="s">
        <v>9178</v>
      </c>
      <c r="M201" s="424" t="s">
        <v>11000</v>
      </c>
      <c r="N201" s="299" t="s">
        <v>6366</v>
      </c>
      <c r="O201" s="322" t="s">
        <v>2621</v>
      </c>
      <c r="P201" s="300">
        <v>34771.0</v>
      </c>
      <c r="Q201" s="299">
        <f t="shared" si="1"/>
        <v>29</v>
      </c>
      <c r="R201" s="299"/>
      <c r="S201" s="299" t="s">
        <v>10487</v>
      </c>
      <c r="T201" s="198"/>
      <c r="U201" s="198"/>
      <c r="V201" s="198"/>
      <c r="W201" s="198"/>
      <c r="X201" s="198"/>
      <c r="Y201" s="198"/>
      <c r="Z201" s="198"/>
    </row>
    <row r="202" ht="91.5" customHeight="1">
      <c r="A202" s="575">
        <v>40840.0</v>
      </c>
      <c r="B202" s="285" t="s">
        <v>21</v>
      </c>
      <c r="C202" s="285">
        <v>2275.0</v>
      </c>
      <c r="D202" s="285" t="s">
        <v>11001</v>
      </c>
      <c r="E202" s="287" t="s">
        <v>10860</v>
      </c>
      <c r="F202" s="288">
        <v>45849.0</v>
      </c>
      <c r="G202" s="288">
        <v>45846.0</v>
      </c>
      <c r="H202" s="288">
        <v>45846.0</v>
      </c>
      <c r="I202" s="372">
        <v>45855.0</v>
      </c>
      <c r="J202" s="372">
        <v>45855.0</v>
      </c>
      <c r="K202" s="285" t="s">
        <v>5270</v>
      </c>
      <c r="L202" s="572" t="s">
        <v>9178</v>
      </c>
      <c r="M202" s="290" t="s">
        <v>11002</v>
      </c>
      <c r="N202" s="299" t="s">
        <v>497</v>
      </c>
      <c r="O202" s="322" t="s">
        <v>2554</v>
      </c>
      <c r="P202" s="300">
        <v>35945.0</v>
      </c>
      <c r="Q202" s="299">
        <f t="shared" si="1"/>
        <v>28</v>
      </c>
      <c r="R202" s="299" t="s">
        <v>9198</v>
      </c>
      <c r="S202" s="299" t="s">
        <v>9171</v>
      </c>
      <c r="T202" s="198"/>
      <c r="U202" s="198"/>
      <c r="V202" s="198"/>
      <c r="W202" s="198"/>
      <c r="X202" s="198"/>
      <c r="Y202" s="198"/>
      <c r="Z202" s="198"/>
    </row>
    <row r="203" ht="91.5" customHeight="1">
      <c r="A203" s="575">
        <v>40850.0</v>
      </c>
      <c r="B203" s="299" t="s">
        <v>6501</v>
      </c>
      <c r="C203" s="285">
        <v>2413.0</v>
      </c>
      <c r="D203" s="285" t="s">
        <v>11003</v>
      </c>
      <c r="E203" s="583" t="s">
        <v>11004</v>
      </c>
      <c r="F203" s="288">
        <v>45848.0</v>
      </c>
      <c r="G203" s="372">
        <v>45846.0</v>
      </c>
      <c r="H203" s="372">
        <v>45848.0</v>
      </c>
      <c r="I203" s="372">
        <v>45856.0</v>
      </c>
      <c r="J203" s="372">
        <v>45856.0</v>
      </c>
      <c r="K203" s="285"/>
      <c r="L203" s="17"/>
      <c r="M203" s="290" t="s">
        <v>11005</v>
      </c>
      <c r="N203" s="299" t="s">
        <v>497</v>
      </c>
      <c r="O203" s="322" t="s">
        <v>2554</v>
      </c>
      <c r="P203" s="300">
        <v>60083.7</v>
      </c>
      <c r="Q203" s="299">
        <f t="shared" si="1"/>
        <v>28</v>
      </c>
      <c r="R203" s="299" t="s">
        <v>9198</v>
      </c>
      <c r="S203" s="299" t="s">
        <v>9171</v>
      </c>
      <c r="T203" s="198"/>
      <c r="U203" s="198"/>
      <c r="V203" s="198"/>
      <c r="W203" s="198"/>
      <c r="X203" s="198"/>
      <c r="Y203" s="198"/>
      <c r="Z203" s="198"/>
    </row>
    <row r="204" ht="91.5" customHeight="1">
      <c r="A204" s="575">
        <v>40846.0</v>
      </c>
      <c r="B204" s="299" t="s">
        <v>715</v>
      </c>
      <c r="C204" s="285">
        <v>4355.0</v>
      </c>
      <c r="D204" s="285" t="s">
        <v>11006</v>
      </c>
      <c r="E204" s="287" t="s">
        <v>10796</v>
      </c>
      <c r="F204" s="288">
        <v>45848.0</v>
      </c>
      <c r="G204" s="288">
        <v>45846.0</v>
      </c>
      <c r="H204" s="288">
        <v>45846.0</v>
      </c>
      <c r="I204" s="372">
        <v>45852.0</v>
      </c>
      <c r="J204" s="372">
        <v>45852.0</v>
      </c>
      <c r="K204" s="285"/>
      <c r="L204" s="17"/>
      <c r="M204" s="290" t="s">
        <v>11007</v>
      </c>
      <c r="N204" s="299" t="s">
        <v>497</v>
      </c>
      <c r="O204" s="322" t="s">
        <v>2554</v>
      </c>
      <c r="P204" s="300">
        <v>35236.54</v>
      </c>
      <c r="Q204" s="299">
        <f t="shared" si="1"/>
        <v>28</v>
      </c>
      <c r="R204" s="299" t="s">
        <v>9198</v>
      </c>
      <c r="S204" s="299" t="s">
        <v>9171</v>
      </c>
      <c r="T204" s="198"/>
      <c r="U204" s="198"/>
      <c r="V204" s="198"/>
      <c r="W204" s="198"/>
      <c r="X204" s="198"/>
      <c r="Y204" s="198"/>
      <c r="Z204" s="198"/>
    </row>
    <row r="205" ht="91.5" customHeight="1">
      <c r="A205" s="575">
        <v>40622.0</v>
      </c>
      <c r="B205" s="299" t="s">
        <v>715</v>
      </c>
      <c r="C205" s="285">
        <v>4501.0</v>
      </c>
      <c r="D205" s="285" t="s">
        <v>11008</v>
      </c>
      <c r="E205" s="287" t="s">
        <v>7438</v>
      </c>
      <c r="F205" s="288">
        <v>45848.0</v>
      </c>
      <c r="G205" s="372">
        <v>45846.0</v>
      </c>
      <c r="H205" s="372">
        <v>45846.0</v>
      </c>
      <c r="I205" s="372">
        <v>45855.0</v>
      </c>
      <c r="J205" s="288">
        <v>45855.0</v>
      </c>
      <c r="K205" s="285"/>
      <c r="L205" s="17"/>
      <c r="M205" s="290" t="s">
        <v>11009</v>
      </c>
      <c r="N205" s="299" t="s">
        <v>497</v>
      </c>
      <c r="O205" s="322" t="s">
        <v>2554</v>
      </c>
      <c r="P205" s="300">
        <v>29857.5</v>
      </c>
      <c r="Q205" s="299">
        <f t="shared" si="1"/>
        <v>28</v>
      </c>
      <c r="R205" s="299" t="s">
        <v>9170</v>
      </c>
      <c r="S205" s="299" t="s">
        <v>9171</v>
      </c>
      <c r="T205" s="198"/>
      <c r="U205" s="198"/>
      <c r="V205" s="198"/>
      <c r="W205" s="198"/>
      <c r="X205" s="198"/>
      <c r="Y205" s="198"/>
      <c r="Z205" s="198"/>
    </row>
    <row r="206" ht="91.5" customHeight="1">
      <c r="A206" s="575">
        <v>40669.0</v>
      </c>
      <c r="B206" s="299" t="s">
        <v>715</v>
      </c>
      <c r="C206" s="285">
        <v>5251.0</v>
      </c>
      <c r="D206" s="285" t="s">
        <v>11010</v>
      </c>
      <c r="E206" s="583" t="s">
        <v>4637</v>
      </c>
      <c r="F206" s="288">
        <v>45848.0</v>
      </c>
      <c r="G206" s="288">
        <v>45846.0</v>
      </c>
      <c r="H206" s="288">
        <v>45846.0</v>
      </c>
      <c r="I206" s="372">
        <v>45853.0</v>
      </c>
      <c r="J206" s="372">
        <v>45853.0</v>
      </c>
      <c r="K206" s="285"/>
      <c r="L206" s="17"/>
      <c r="M206" s="290" t="s">
        <v>11011</v>
      </c>
      <c r="N206" s="299" t="s">
        <v>497</v>
      </c>
      <c r="O206" s="322" t="s">
        <v>2554</v>
      </c>
      <c r="P206" s="300">
        <v>26250.0</v>
      </c>
      <c r="Q206" s="299">
        <f t="shared" si="1"/>
        <v>28</v>
      </c>
      <c r="R206" s="299" t="s">
        <v>9170</v>
      </c>
      <c r="S206" s="299" t="s">
        <v>9171</v>
      </c>
      <c r="T206" s="198"/>
      <c r="U206" s="198"/>
      <c r="V206" s="198"/>
      <c r="W206" s="198"/>
      <c r="X206" s="198"/>
      <c r="Y206" s="198"/>
      <c r="Z206" s="198"/>
    </row>
    <row r="207" ht="91.5" customHeight="1">
      <c r="A207" s="370">
        <v>41065.0</v>
      </c>
      <c r="B207" s="286" t="s">
        <v>25</v>
      </c>
      <c r="C207" s="285">
        <v>2750.0</v>
      </c>
      <c r="D207" s="285" t="s">
        <v>11012</v>
      </c>
      <c r="E207" s="287" t="s">
        <v>10614</v>
      </c>
      <c r="F207" s="288">
        <v>45847.0</v>
      </c>
      <c r="G207" s="372">
        <v>45846.0</v>
      </c>
      <c r="H207" s="372">
        <v>45846.0</v>
      </c>
      <c r="I207" s="372">
        <v>45855.0</v>
      </c>
      <c r="J207" s="372">
        <v>45855.0</v>
      </c>
      <c r="K207" s="285"/>
      <c r="L207" s="17"/>
      <c r="M207" s="290" t="s">
        <v>11013</v>
      </c>
      <c r="N207" s="299" t="s">
        <v>4635</v>
      </c>
      <c r="O207" s="322" t="s">
        <v>2621</v>
      </c>
      <c r="P207" s="300">
        <v>35200.0</v>
      </c>
      <c r="Q207" s="299">
        <f t="shared" si="1"/>
        <v>28</v>
      </c>
      <c r="R207" s="299"/>
      <c r="S207" s="299" t="s">
        <v>10487</v>
      </c>
      <c r="T207" s="198"/>
      <c r="U207" s="198"/>
      <c r="V207" s="198"/>
      <c r="W207" s="198"/>
      <c r="X207" s="198"/>
      <c r="Y207" s="198"/>
      <c r="Z207" s="198"/>
    </row>
    <row r="208" ht="91.5" customHeight="1">
      <c r="A208" s="575">
        <v>40763.0</v>
      </c>
      <c r="B208" s="299" t="s">
        <v>715</v>
      </c>
      <c r="C208" s="285">
        <v>2595.0</v>
      </c>
      <c r="D208" s="367" t="s">
        <v>11014</v>
      </c>
      <c r="E208" s="287" t="s">
        <v>11015</v>
      </c>
      <c r="F208" s="288">
        <v>45847.0</v>
      </c>
      <c r="G208" s="372">
        <v>45846.0</v>
      </c>
      <c r="H208" s="372">
        <v>45848.0</v>
      </c>
      <c r="I208" s="372">
        <v>45853.0</v>
      </c>
      <c r="J208" s="288">
        <v>45853.0</v>
      </c>
      <c r="K208" s="285"/>
      <c r="L208" s="17"/>
      <c r="M208" s="290" t="s">
        <v>11016</v>
      </c>
      <c r="N208" s="299" t="s">
        <v>497</v>
      </c>
      <c r="O208" s="322" t="s">
        <v>2554</v>
      </c>
      <c r="P208" s="300">
        <v>49045.5</v>
      </c>
      <c r="Q208" s="299">
        <f t="shared" si="1"/>
        <v>28</v>
      </c>
      <c r="R208" s="299" t="s">
        <v>9170</v>
      </c>
      <c r="S208" s="299" t="s">
        <v>9171</v>
      </c>
      <c r="T208" s="198"/>
      <c r="U208" s="198"/>
      <c r="V208" s="198"/>
      <c r="W208" s="198"/>
      <c r="X208" s="198"/>
      <c r="Y208" s="198"/>
      <c r="Z208" s="198"/>
    </row>
    <row r="209" ht="91.5" customHeight="1">
      <c r="A209" s="531">
        <v>40650.0</v>
      </c>
      <c r="B209" s="299" t="s">
        <v>715</v>
      </c>
      <c r="C209" s="285">
        <v>600.0</v>
      </c>
      <c r="D209" s="367" t="s">
        <v>11017</v>
      </c>
      <c r="E209" s="287" t="s">
        <v>11018</v>
      </c>
      <c r="F209" s="305">
        <v>45846.0</v>
      </c>
      <c r="G209" s="580">
        <v>45845.0</v>
      </c>
      <c r="H209" s="580">
        <v>45845.0</v>
      </c>
      <c r="I209" s="580">
        <v>45849.0</v>
      </c>
      <c r="J209" s="580">
        <v>45849.0</v>
      </c>
      <c r="K209" s="285"/>
      <c r="L209" s="485"/>
      <c r="M209" s="290" t="s">
        <v>11019</v>
      </c>
      <c r="N209" s="285" t="s">
        <v>497</v>
      </c>
      <c r="O209" s="294" t="s">
        <v>2538</v>
      </c>
      <c r="P209" s="300">
        <v>105800.0</v>
      </c>
      <c r="Q209" s="299">
        <f t="shared" si="1"/>
        <v>28</v>
      </c>
      <c r="R209" s="299"/>
      <c r="S209" s="299" t="s">
        <v>10487</v>
      </c>
      <c r="T209" s="198"/>
      <c r="U209" s="198"/>
      <c r="V209" s="198"/>
      <c r="W209" s="198"/>
      <c r="X209" s="198"/>
      <c r="Y209" s="198"/>
      <c r="Z209" s="198"/>
    </row>
    <row r="210" ht="91.5" customHeight="1">
      <c r="A210" s="370">
        <v>40672.0</v>
      </c>
      <c r="B210" s="299" t="s">
        <v>715</v>
      </c>
      <c r="C210" s="285">
        <v>5092.0</v>
      </c>
      <c r="D210" s="367" t="s">
        <v>11020</v>
      </c>
      <c r="E210" s="287" t="s">
        <v>11021</v>
      </c>
      <c r="F210" s="288">
        <v>45846.0</v>
      </c>
      <c r="G210" s="288">
        <v>45845.0</v>
      </c>
      <c r="H210" s="288">
        <v>45845.0</v>
      </c>
      <c r="I210" s="372">
        <v>45848.0</v>
      </c>
      <c r="J210" s="372">
        <v>45848.0</v>
      </c>
      <c r="K210" s="285"/>
      <c r="L210" s="581"/>
      <c r="M210" s="290" t="s">
        <v>11022</v>
      </c>
      <c r="N210" s="299" t="s">
        <v>4635</v>
      </c>
      <c r="O210" s="322" t="s">
        <v>2621</v>
      </c>
      <c r="P210" s="300">
        <v>47808.84</v>
      </c>
      <c r="Q210" s="299">
        <v>29.0</v>
      </c>
      <c r="R210" s="299"/>
      <c r="S210" s="299" t="s">
        <v>10487</v>
      </c>
      <c r="T210" s="198"/>
      <c r="U210" s="198"/>
      <c r="V210" s="198"/>
      <c r="W210" s="198"/>
      <c r="X210" s="198"/>
      <c r="Y210" s="198"/>
      <c r="Z210" s="198"/>
    </row>
    <row r="211" ht="91.5" customHeight="1">
      <c r="A211" s="370">
        <v>40987.0</v>
      </c>
      <c r="B211" s="292" t="s">
        <v>21</v>
      </c>
      <c r="C211" s="285">
        <v>840.0</v>
      </c>
      <c r="D211" s="285" t="s">
        <v>11023</v>
      </c>
      <c r="E211" s="287" t="s">
        <v>2751</v>
      </c>
      <c r="F211" s="288">
        <v>45846.0</v>
      </c>
      <c r="G211" s="288">
        <v>45842.0</v>
      </c>
      <c r="H211" s="288">
        <v>45842.0</v>
      </c>
      <c r="I211" s="372">
        <v>45853.0</v>
      </c>
      <c r="J211" s="288">
        <v>45853.0</v>
      </c>
      <c r="K211" s="573" t="s">
        <v>4916</v>
      </c>
      <c r="L211" s="579"/>
      <c r="M211" s="290" t="s">
        <v>11024</v>
      </c>
      <c r="N211" s="299" t="s">
        <v>6366</v>
      </c>
      <c r="O211" s="322" t="s">
        <v>2621</v>
      </c>
      <c r="P211" s="300">
        <v>20318.4</v>
      </c>
      <c r="Q211" s="299">
        <v>29.0</v>
      </c>
      <c r="R211" s="299"/>
      <c r="S211" s="299" t="s">
        <v>10487</v>
      </c>
      <c r="T211" s="198"/>
      <c r="U211" s="198"/>
      <c r="V211" s="198"/>
      <c r="W211" s="198"/>
      <c r="X211" s="198"/>
      <c r="Y211" s="198"/>
      <c r="Z211" s="198"/>
    </row>
    <row r="212" ht="91.5" customHeight="1">
      <c r="A212" s="370">
        <v>40735.0</v>
      </c>
      <c r="B212" s="299" t="s">
        <v>25</v>
      </c>
      <c r="C212" s="285">
        <v>1245.0</v>
      </c>
      <c r="D212" s="285" t="s">
        <v>11025</v>
      </c>
      <c r="E212" s="287" t="s">
        <v>3740</v>
      </c>
      <c r="F212" s="288">
        <v>45844.0</v>
      </c>
      <c r="G212" s="305">
        <v>45841.0</v>
      </c>
      <c r="H212" s="580">
        <v>45849.0</v>
      </c>
      <c r="I212" s="305">
        <v>45852.0</v>
      </c>
      <c r="J212" s="305">
        <v>45854.0</v>
      </c>
      <c r="K212" s="285"/>
      <c r="L212" s="581"/>
      <c r="M212" s="290" t="s">
        <v>11026</v>
      </c>
      <c r="N212" s="299" t="s">
        <v>4745</v>
      </c>
      <c r="O212" s="322" t="s">
        <v>4711</v>
      </c>
      <c r="P212" s="300">
        <v>25799.32</v>
      </c>
      <c r="Q212" s="299">
        <f t="shared" ref="Q212:Q397" si="2">WEEKNUM($F212)</f>
        <v>28</v>
      </c>
      <c r="R212" s="299"/>
      <c r="S212" s="299" t="s">
        <v>10487</v>
      </c>
      <c r="T212" s="198"/>
      <c r="U212" s="198"/>
      <c r="V212" s="198"/>
      <c r="W212" s="198"/>
      <c r="X212" s="198"/>
      <c r="Y212" s="198"/>
      <c r="Z212" s="198"/>
    </row>
    <row r="213" ht="91.5" customHeight="1">
      <c r="A213" s="370">
        <v>40800.0</v>
      </c>
      <c r="B213" s="285" t="s">
        <v>21</v>
      </c>
      <c r="C213" s="285">
        <v>1190.0</v>
      </c>
      <c r="D213" s="285" t="s">
        <v>11027</v>
      </c>
      <c r="E213" s="287" t="s">
        <v>11028</v>
      </c>
      <c r="F213" s="288">
        <v>45844.0</v>
      </c>
      <c r="G213" s="566">
        <v>45848.0</v>
      </c>
      <c r="H213" s="372">
        <v>45849.0</v>
      </c>
      <c r="I213" s="372">
        <v>45852.0</v>
      </c>
      <c r="J213" s="288">
        <v>45852.0</v>
      </c>
      <c r="K213" s="573" t="s">
        <v>4916</v>
      </c>
      <c r="L213" s="584"/>
      <c r="M213" s="290" t="s">
        <v>11029</v>
      </c>
      <c r="N213" s="299" t="s">
        <v>4635</v>
      </c>
      <c r="O213" s="322" t="s">
        <v>2621</v>
      </c>
      <c r="P213" s="300">
        <v>52335.85</v>
      </c>
      <c r="Q213" s="299">
        <f t="shared" si="2"/>
        <v>28</v>
      </c>
      <c r="R213" s="299"/>
      <c r="S213" s="299" t="s">
        <v>8430</v>
      </c>
      <c r="T213" s="198"/>
      <c r="U213" s="198"/>
      <c r="V213" s="198"/>
      <c r="W213" s="198"/>
      <c r="X213" s="198"/>
      <c r="Y213" s="198"/>
      <c r="Z213" s="198"/>
    </row>
    <row r="214" ht="91.5" customHeight="1">
      <c r="A214" s="370">
        <v>40551.0</v>
      </c>
      <c r="B214" s="299" t="s">
        <v>25</v>
      </c>
      <c r="C214" s="285">
        <v>5000.0</v>
      </c>
      <c r="D214" s="285" t="s">
        <v>11030</v>
      </c>
      <c r="E214" s="287" t="s">
        <v>11031</v>
      </c>
      <c r="F214" s="288">
        <v>45839.0</v>
      </c>
      <c r="G214" s="288">
        <v>45835.0</v>
      </c>
      <c r="H214" s="288">
        <v>45835.0</v>
      </c>
      <c r="I214" s="372">
        <v>45847.0</v>
      </c>
      <c r="J214" s="305">
        <v>45847.0</v>
      </c>
      <c r="K214" s="549"/>
      <c r="L214" s="17"/>
      <c r="M214" s="290" t="s">
        <v>11032</v>
      </c>
      <c r="N214" s="299" t="s">
        <v>4635</v>
      </c>
      <c r="O214" s="322" t="s">
        <v>2621</v>
      </c>
      <c r="P214" s="300">
        <v>47365.0</v>
      </c>
      <c r="Q214" s="299">
        <f t="shared" si="2"/>
        <v>27</v>
      </c>
      <c r="R214" s="299"/>
      <c r="S214" s="299" t="s">
        <v>10487</v>
      </c>
      <c r="T214" s="198"/>
      <c r="U214" s="198"/>
      <c r="V214" s="198"/>
      <c r="W214" s="198"/>
      <c r="X214" s="198"/>
      <c r="Y214" s="198"/>
      <c r="Z214" s="198"/>
    </row>
    <row r="215" ht="91.5" customHeight="1">
      <c r="A215" s="370">
        <v>40710.0</v>
      </c>
      <c r="B215" s="299" t="s">
        <v>25</v>
      </c>
      <c r="C215" s="285">
        <v>940.0</v>
      </c>
      <c r="D215" s="285" t="s">
        <v>11033</v>
      </c>
      <c r="E215" s="287" t="s">
        <v>11034</v>
      </c>
      <c r="F215" s="288">
        <v>45839.0</v>
      </c>
      <c r="G215" s="288">
        <v>45838.0</v>
      </c>
      <c r="H215" s="288">
        <v>45838.0</v>
      </c>
      <c r="I215" s="288">
        <v>45845.0</v>
      </c>
      <c r="J215" s="288">
        <v>45845.0</v>
      </c>
      <c r="K215" s="285"/>
      <c r="L215" s="17"/>
      <c r="M215" s="290" t="s">
        <v>11035</v>
      </c>
      <c r="N215" s="299" t="s">
        <v>4635</v>
      </c>
      <c r="O215" s="322" t="s">
        <v>2621</v>
      </c>
      <c r="P215" s="300">
        <v>38842.8</v>
      </c>
      <c r="Q215" s="299">
        <f t="shared" si="2"/>
        <v>27</v>
      </c>
      <c r="R215" s="299"/>
      <c r="S215" s="299" t="s">
        <v>8430</v>
      </c>
      <c r="T215" s="198"/>
      <c r="U215" s="198"/>
      <c r="V215" s="198"/>
      <c r="W215" s="198"/>
      <c r="X215" s="198"/>
      <c r="Y215" s="198"/>
      <c r="Z215" s="198"/>
    </row>
    <row r="216" ht="91.5" customHeight="1">
      <c r="A216" s="370">
        <v>40879.0</v>
      </c>
      <c r="B216" s="299" t="s">
        <v>715</v>
      </c>
      <c r="C216" s="285">
        <v>1920.0</v>
      </c>
      <c r="D216" s="285" t="s">
        <v>11036</v>
      </c>
      <c r="E216" s="287" t="s">
        <v>3740</v>
      </c>
      <c r="F216" s="288">
        <v>45836.0</v>
      </c>
      <c r="G216" s="288">
        <v>45831.0</v>
      </c>
      <c r="H216" s="288">
        <v>45831.0</v>
      </c>
      <c r="I216" s="288">
        <v>45840.0</v>
      </c>
      <c r="J216" s="288">
        <v>45840.0</v>
      </c>
      <c r="K216" s="285"/>
      <c r="L216" s="17"/>
      <c r="M216" s="290" t="s">
        <v>11037</v>
      </c>
      <c r="N216" s="299" t="s">
        <v>4745</v>
      </c>
      <c r="O216" s="322" t="s">
        <v>4711</v>
      </c>
      <c r="P216" s="300">
        <v>41510.57</v>
      </c>
      <c r="Q216" s="299">
        <f t="shared" si="2"/>
        <v>26</v>
      </c>
      <c r="R216" s="299"/>
      <c r="S216" s="299" t="s">
        <v>10487</v>
      </c>
      <c r="T216" s="198"/>
      <c r="U216" s="198"/>
      <c r="V216" s="198"/>
      <c r="W216" s="198"/>
      <c r="X216" s="198"/>
      <c r="Y216" s="198"/>
      <c r="Z216" s="198"/>
    </row>
    <row r="217" ht="91.5" customHeight="1">
      <c r="A217" s="370">
        <v>40549.0</v>
      </c>
      <c r="B217" s="299" t="s">
        <v>715</v>
      </c>
      <c r="C217" s="285">
        <v>5028.0</v>
      </c>
      <c r="D217" s="367" t="s">
        <v>11038</v>
      </c>
      <c r="E217" s="287" t="s">
        <v>11039</v>
      </c>
      <c r="F217" s="288">
        <v>45836.0</v>
      </c>
      <c r="G217" s="288">
        <v>45831.0</v>
      </c>
      <c r="H217" s="288">
        <v>45831.0</v>
      </c>
      <c r="I217" s="288">
        <v>45840.0</v>
      </c>
      <c r="J217" s="288">
        <v>45840.0</v>
      </c>
      <c r="K217" s="285"/>
      <c r="L217" s="17"/>
      <c r="M217" s="290" t="s">
        <v>11040</v>
      </c>
      <c r="N217" s="299" t="s">
        <v>4635</v>
      </c>
      <c r="O217" s="299" t="s">
        <v>2621</v>
      </c>
      <c r="P217" s="300">
        <v>42485.28</v>
      </c>
      <c r="Q217" s="299">
        <f t="shared" si="2"/>
        <v>26</v>
      </c>
      <c r="R217" s="299"/>
      <c r="S217" s="299" t="s">
        <v>10487</v>
      </c>
      <c r="T217" s="198"/>
      <c r="U217" s="198"/>
      <c r="V217" s="198"/>
      <c r="W217" s="198"/>
      <c r="X217" s="198"/>
      <c r="Y217" s="198"/>
      <c r="Z217" s="198"/>
    </row>
    <row r="218" ht="91.5" customHeight="1">
      <c r="A218" s="370">
        <v>40690.0</v>
      </c>
      <c r="B218" s="299" t="s">
        <v>715</v>
      </c>
      <c r="C218" s="285">
        <v>1250.0</v>
      </c>
      <c r="D218" s="367" t="s">
        <v>11041</v>
      </c>
      <c r="E218" s="287" t="s">
        <v>11042</v>
      </c>
      <c r="F218" s="288">
        <v>45836.0</v>
      </c>
      <c r="G218" s="288">
        <v>45833.0</v>
      </c>
      <c r="H218" s="288">
        <v>45833.0</v>
      </c>
      <c r="I218" s="288">
        <v>45839.0</v>
      </c>
      <c r="J218" s="305">
        <v>45839.0</v>
      </c>
      <c r="K218" s="285"/>
      <c r="L218" s="572"/>
      <c r="M218" s="290" t="s">
        <v>11043</v>
      </c>
      <c r="N218" s="299" t="s">
        <v>4635</v>
      </c>
      <c r="O218" s="322" t="s">
        <v>2621</v>
      </c>
      <c r="P218" s="300">
        <v>28663.8</v>
      </c>
      <c r="Q218" s="299">
        <f t="shared" si="2"/>
        <v>26</v>
      </c>
      <c r="R218" s="299"/>
      <c r="S218" s="299" t="s">
        <v>8430</v>
      </c>
      <c r="T218" s="198"/>
      <c r="U218" s="198"/>
      <c r="V218" s="198"/>
      <c r="W218" s="198"/>
      <c r="X218" s="198"/>
      <c r="Y218" s="198"/>
      <c r="Z218" s="198"/>
    </row>
    <row r="219" ht="91.5" customHeight="1">
      <c r="A219" s="370">
        <v>40721.0</v>
      </c>
      <c r="B219" s="285" t="s">
        <v>21</v>
      </c>
      <c r="C219" s="285">
        <v>1495.0</v>
      </c>
      <c r="D219" s="285" t="s">
        <v>11044</v>
      </c>
      <c r="E219" s="287" t="s">
        <v>9657</v>
      </c>
      <c r="F219" s="288">
        <v>45829.0</v>
      </c>
      <c r="G219" s="372">
        <v>45824.0</v>
      </c>
      <c r="H219" s="372">
        <v>45824.0</v>
      </c>
      <c r="I219" s="372">
        <v>45834.0</v>
      </c>
      <c r="J219" s="288">
        <v>45834.0</v>
      </c>
      <c r="K219" s="285" t="s">
        <v>5270</v>
      </c>
      <c r="L219" s="572" t="s">
        <v>9178</v>
      </c>
      <c r="M219" s="290" t="s">
        <v>11045</v>
      </c>
      <c r="N219" s="299" t="s">
        <v>497</v>
      </c>
      <c r="O219" s="322" t="s">
        <v>2604</v>
      </c>
      <c r="P219" s="300">
        <v>54669.6</v>
      </c>
      <c r="Q219" s="299">
        <f t="shared" si="2"/>
        <v>25</v>
      </c>
      <c r="R219" s="299"/>
      <c r="S219" s="299" t="s">
        <v>10487</v>
      </c>
      <c r="T219" s="198"/>
      <c r="U219" s="198"/>
      <c r="V219" s="198"/>
      <c r="W219" s="198"/>
      <c r="X219" s="198"/>
      <c r="Y219" s="198"/>
      <c r="Z219" s="198"/>
    </row>
    <row r="220" ht="91.5" customHeight="1">
      <c r="A220" s="370">
        <v>40839.0</v>
      </c>
      <c r="B220" s="285" t="s">
        <v>21</v>
      </c>
      <c r="C220" s="285">
        <v>4355.0</v>
      </c>
      <c r="D220" s="285" t="s">
        <v>11046</v>
      </c>
      <c r="E220" s="287" t="s">
        <v>10609</v>
      </c>
      <c r="F220" s="288">
        <v>45829.0</v>
      </c>
      <c r="G220" s="288">
        <v>45824.0</v>
      </c>
      <c r="H220" s="288">
        <v>45824.0</v>
      </c>
      <c r="I220" s="288">
        <v>45835.0</v>
      </c>
      <c r="J220" s="288">
        <v>45835.0</v>
      </c>
      <c r="K220" s="285" t="s">
        <v>5270</v>
      </c>
      <c r="L220" s="572" t="s">
        <v>9178</v>
      </c>
      <c r="M220" s="290" t="s">
        <v>11047</v>
      </c>
      <c r="N220" s="299" t="s">
        <v>497</v>
      </c>
      <c r="O220" s="322" t="s">
        <v>2554</v>
      </c>
      <c r="P220" s="300">
        <v>33972.3</v>
      </c>
      <c r="Q220" s="299">
        <f t="shared" si="2"/>
        <v>25</v>
      </c>
      <c r="R220" s="299" t="s">
        <v>9198</v>
      </c>
      <c r="S220" s="299" t="s">
        <v>9171</v>
      </c>
      <c r="T220" s="198"/>
      <c r="U220" s="198"/>
      <c r="V220" s="198"/>
      <c r="W220" s="198"/>
      <c r="X220" s="198"/>
      <c r="Y220" s="198"/>
      <c r="Z220" s="198"/>
    </row>
    <row r="221" ht="91.5" customHeight="1">
      <c r="A221" s="370">
        <v>40838.0</v>
      </c>
      <c r="B221" s="285" t="s">
        <v>21</v>
      </c>
      <c r="C221" s="285">
        <v>4355.0</v>
      </c>
      <c r="D221" s="285" t="s">
        <v>11048</v>
      </c>
      <c r="E221" s="287" t="s">
        <v>10609</v>
      </c>
      <c r="F221" s="288">
        <v>45829.0</v>
      </c>
      <c r="G221" s="288">
        <v>45824.0</v>
      </c>
      <c r="H221" s="288">
        <v>45824.0</v>
      </c>
      <c r="I221" s="288">
        <v>45833.0</v>
      </c>
      <c r="J221" s="288">
        <v>45833.0</v>
      </c>
      <c r="K221" s="285" t="s">
        <v>5270</v>
      </c>
      <c r="L221" s="572" t="s">
        <v>9178</v>
      </c>
      <c r="M221" s="290" t="s">
        <v>11049</v>
      </c>
      <c r="N221" s="299" t="s">
        <v>497</v>
      </c>
      <c r="O221" s="322" t="s">
        <v>2554</v>
      </c>
      <c r="P221" s="300">
        <v>35972.3</v>
      </c>
      <c r="Q221" s="299">
        <f t="shared" si="2"/>
        <v>25</v>
      </c>
      <c r="R221" s="299" t="s">
        <v>9198</v>
      </c>
      <c r="S221" s="299" t="s">
        <v>9171</v>
      </c>
      <c r="T221" s="198"/>
      <c r="U221" s="198"/>
      <c r="V221" s="198"/>
      <c r="W221" s="198"/>
      <c r="X221" s="198"/>
      <c r="Y221" s="198"/>
      <c r="Z221" s="198"/>
    </row>
    <row r="222" ht="91.5" customHeight="1">
      <c r="A222" s="370">
        <v>40691.0</v>
      </c>
      <c r="B222" s="299" t="s">
        <v>715</v>
      </c>
      <c r="C222" s="285">
        <v>1250.0</v>
      </c>
      <c r="D222" s="285" t="s">
        <v>11050</v>
      </c>
      <c r="E222" s="287" t="s">
        <v>11051</v>
      </c>
      <c r="F222" s="288">
        <v>45829.0</v>
      </c>
      <c r="G222" s="288">
        <v>45825.0</v>
      </c>
      <c r="H222" s="288">
        <v>45825.0</v>
      </c>
      <c r="I222" s="288">
        <v>45832.0</v>
      </c>
      <c r="J222" s="288">
        <v>45832.0</v>
      </c>
      <c r="K222" s="285"/>
      <c r="L222" s="17"/>
      <c r="M222" s="290" t="s">
        <v>11052</v>
      </c>
      <c r="N222" s="299" t="s">
        <v>4635</v>
      </c>
      <c r="O222" s="322" t="s">
        <v>2621</v>
      </c>
      <c r="P222" s="300">
        <v>28356.8</v>
      </c>
      <c r="Q222" s="299">
        <f t="shared" si="2"/>
        <v>25</v>
      </c>
      <c r="R222" s="299"/>
      <c r="S222" s="299" t="s">
        <v>8430</v>
      </c>
      <c r="T222" s="198"/>
      <c r="U222" s="198"/>
      <c r="V222" s="198"/>
      <c r="W222" s="198"/>
      <c r="X222" s="198"/>
      <c r="Y222" s="198"/>
      <c r="Z222" s="198"/>
    </row>
    <row r="223" ht="91.5" customHeight="1">
      <c r="A223" s="370">
        <v>40623.0</v>
      </c>
      <c r="B223" s="299" t="s">
        <v>715</v>
      </c>
      <c r="C223" s="285">
        <v>5251.0</v>
      </c>
      <c r="D223" s="285" t="s">
        <v>11053</v>
      </c>
      <c r="E223" s="287" t="s">
        <v>4637</v>
      </c>
      <c r="F223" s="288">
        <v>45827.0</v>
      </c>
      <c r="G223" s="288">
        <v>45824.0</v>
      </c>
      <c r="H223" s="288">
        <v>45824.0</v>
      </c>
      <c r="I223" s="288">
        <v>45831.0</v>
      </c>
      <c r="J223" s="580">
        <v>45831.0</v>
      </c>
      <c r="K223" s="285"/>
      <c r="L223" s="17"/>
      <c r="M223" s="290" t="s">
        <v>11054</v>
      </c>
      <c r="N223" s="299" t="s">
        <v>497</v>
      </c>
      <c r="O223" s="322" t="s">
        <v>2554</v>
      </c>
      <c r="P223" s="300">
        <v>26250.0</v>
      </c>
      <c r="Q223" s="299">
        <f t="shared" si="2"/>
        <v>25</v>
      </c>
      <c r="R223" s="299" t="s">
        <v>9170</v>
      </c>
      <c r="S223" s="299" t="s">
        <v>9171</v>
      </c>
      <c r="T223" s="198"/>
      <c r="U223" s="198"/>
      <c r="V223" s="198"/>
      <c r="W223" s="198"/>
      <c r="X223" s="198"/>
      <c r="Y223" s="198"/>
      <c r="Z223" s="198"/>
    </row>
    <row r="224" ht="91.5" customHeight="1">
      <c r="A224" s="370">
        <v>40618.0</v>
      </c>
      <c r="B224" s="299" t="s">
        <v>715</v>
      </c>
      <c r="C224" s="285">
        <v>1306.0</v>
      </c>
      <c r="D224" s="285" t="s">
        <v>11055</v>
      </c>
      <c r="E224" s="287" t="s">
        <v>10677</v>
      </c>
      <c r="F224" s="288">
        <v>45827.0</v>
      </c>
      <c r="G224" s="288">
        <v>45824.0</v>
      </c>
      <c r="H224" s="288">
        <v>45824.0</v>
      </c>
      <c r="I224" s="288">
        <v>45834.0</v>
      </c>
      <c r="J224" s="288">
        <v>45834.0</v>
      </c>
      <c r="K224" s="285"/>
      <c r="L224" s="17"/>
      <c r="M224" s="290" t="s">
        <v>11056</v>
      </c>
      <c r="N224" s="299" t="s">
        <v>497</v>
      </c>
      <c r="O224" s="322" t="s">
        <v>2554</v>
      </c>
      <c r="P224" s="300">
        <v>44795.8</v>
      </c>
      <c r="Q224" s="299">
        <f t="shared" si="2"/>
        <v>25</v>
      </c>
      <c r="R224" s="299" t="s">
        <v>9198</v>
      </c>
      <c r="S224" s="299" t="s">
        <v>9171</v>
      </c>
      <c r="T224" s="198"/>
      <c r="U224" s="198"/>
      <c r="V224" s="198"/>
      <c r="W224" s="198"/>
      <c r="X224" s="198"/>
      <c r="Y224" s="198"/>
      <c r="Z224" s="198"/>
    </row>
    <row r="225" ht="91.5" customHeight="1">
      <c r="A225" s="370">
        <v>40612.0</v>
      </c>
      <c r="B225" s="299" t="s">
        <v>715</v>
      </c>
      <c r="C225" s="285">
        <v>4355.0</v>
      </c>
      <c r="D225" s="285" t="s">
        <v>11057</v>
      </c>
      <c r="E225" s="287" t="s">
        <v>10596</v>
      </c>
      <c r="F225" s="288">
        <v>45827.0</v>
      </c>
      <c r="G225" s="288">
        <v>45824.0</v>
      </c>
      <c r="H225" s="288">
        <v>45824.0</v>
      </c>
      <c r="I225" s="288">
        <v>45833.0</v>
      </c>
      <c r="J225" s="288">
        <v>45833.0</v>
      </c>
      <c r="K225" s="285"/>
      <c r="L225" s="17"/>
      <c r="M225" s="290" t="s">
        <v>11058</v>
      </c>
      <c r="N225" s="299" t="s">
        <v>497</v>
      </c>
      <c r="O225" s="322" t="s">
        <v>2554</v>
      </c>
      <c r="P225" s="300">
        <v>30049.5</v>
      </c>
      <c r="Q225" s="299">
        <f t="shared" si="2"/>
        <v>25</v>
      </c>
      <c r="R225" s="299" t="s">
        <v>9198</v>
      </c>
      <c r="S225" s="299" t="s">
        <v>9171</v>
      </c>
      <c r="T225" s="198"/>
      <c r="U225" s="198"/>
      <c r="V225" s="198"/>
      <c r="W225" s="198"/>
      <c r="X225" s="198"/>
      <c r="Y225" s="198"/>
      <c r="Z225" s="198"/>
    </row>
    <row r="226" ht="91.5" customHeight="1">
      <c r="A226" s="370">
        <v>40136.0</v>
      </c>
      <c r="B226" s="299" t="s">
        <v>25</v>
      </c>
      <c r="C226" s="285" t="s">
        <v>11059</v>
      </c>
      <c r="D226" s="285" t="s">
        <v>11060</v>
      </c>
      <c r="E226" s="287" t="s">
        <v>6546</v>
      </c>
      <c r="F226" s="288">
        <v>45826.0</v>
      </c>
      <c r="G226" s="288">
        <v>45825.0</v>
      </c>
      <c r="H226" s="288">
        <v>45825.0</v>
      </c>
      <c r="I226" s="288">
        <v>45834.0</v>
      </c>
      <c r="J226" s="288">
        <v>45834.0</v>
      </c>
      <c r="K226" s="549"/>
      <c r="L226" s="17"/>
      <c r="M226" s="290" t="s">
        <v>11061</v>
      </c>
      <c r="N226" s="299" t="s">
        <v>4635</v>
      </c>
      <c r="O226" s="322" t="s">
        <v>4912</v>
      </c>
      <c r="P226" s="300">
        <v>175875.0</v>
      </c>
      <c r="Q226" s="299">
        <f t="shared" si="2"/>
        <v>25</v>
      </c>
      <c r="R226" s="299"/>
      <c r="S226" s="299" t="s">
        <v>10487</v>
      </c>
      <c r="T226" s="198"/>
      <c r="U226" s="198"/>
      <c r="V226" s="198"/>
      <c r="W226" s="198"/>
      <c r="X226" s="198"/>
      <c r="Y226" s="198"/>
      <c r="Z226" s="198"/>
    </row>
    <row r="227" ht="91.5" customHeight="1">
      <c r="A227" s="531">
        <v>40777.0</v>
      </c>
      <c r="B227" s="299" t="s">
        <v>715</v>
      </c>
      <c r="C227" s="285">
        <v>1200.0</v>
      </c>
      <c r="D227" s="285" t="s">
        <v>11062</v>
      </c>
      <c r="E227" s="287" t="s">
        <v>11063</v>
      </c>
      <c r="F227" s="288">
        <v>45823.0</v>
      </c>
      <c r="G227" s="288">
        <v>45832.0</v>
      </c>
      <c r="H227" s="288">
        <v>45832.0</v>
      </c>
      <c r="I227" s="288">
        <v>45832.0</v>
      </c>
      <c r="J227" s="288">
        <v>45832.0</v>
      </c>
      <c r="K227" s="285"/>
      <c r="L227" s="572"/>
      <c r="M227" s="290" t="s">
        <v>11064</v>
      </c>
      <c r="N227" s="531" t="s">
        <v>6600</v>
      </c>
      <c r="O227" s="322" t="s">
        <v>11065</v>
      </c>
      <c r="P227" s="300">
        <v>131567.4</v>
      </c>
      <c r="Q227" s="299">
        <f t="shared" si="2"/>
        <v>25</v>
      </c>
      <c r="R227" s="299"/>
      <c r="S227" s="299" t="s">
        <v>10487</v>
      </c>
      <c r="T227" s="198"/>
      <c r="U227" s="198"/>
      <c r="V227" s="198"/>
      <c r="W227" s="198"/>
      <c r="X227" s="198"/>
      <c r="Y227" s="198"/>
      <c r="Z227" s="198"/>
    </row>
    <row r="228" ht="91.5" customHeight="1">
      <c r="A228" s="370">
        <v>40720.0</v>
      </c>
      <c r="B228" s="285" t="s">
        <v>21</v>
      </c>
      <c r="C228" s="285">
        <v>950.0</v>
      </c>
      <c r="D228" s="285" t="s">
        <v>11066</v>
      </c>
      <c r="E228" s="287" t="s">
        <v>11067</v>
      </c>
      <c r="F228" s="288">
        <v>45823.0</v>
      </c>
      <c r="G228" s="288">
        <v>45818.0</v>
      </c>
      <c r="H228" s="288">
        <v>45818.0</v>
      </c>
      <c r="I228" s="288">
        <v>45831.0</v>
      </c>
      <c r="J228" s="288">
        <v>45831.0</v>
      </c>
      <c r="K228" s="285" t="s">
        <v>5270</v>
      </c>
      <c r="L228" s="572" t="s">
        <v>9178</v>
      </c>
      <c r="M228" s="290" t="s">
        <v>11068</v>
      </c>
      <c r="N228" s="299" t="s">
        <v>497</v>
      </c>
      <c r="O228" s="322" t="s">
        <v>2604</v>
      </c>
      <c r="P228" s="300">
        <v>46128.0</v>
      </c>
      <c r="Q228" s="299">
        <f t="shared" si="2"/>
        <v>25</v>
      </c>
      <c r="R228" s="299"/>
      <c r="S228" s="299" t="s">
        <v>10487</v>
      </c>
      <c r="T228" s="198"/>
      <c r="U228" s="198"/>
      <c r="V228" s="198"/>
      <c r="W228" s="198"/>
      <c r="X228" s="198"/>
      <c r="Y228" s="198"/>
      <c r="Z228" s="198"/>
    </row>
    <row r="229" ht="91.5" customHeight="1">
      <c r="A229" s="370">
        <v>40708.0</v>
      </c>
      <c r="B229" s="285" t="s">
        <v>21</v>
      </c>
      <c r="C229" s="285">
        <v>1260.0</v>
      </c>
      <c r="D229" s="285" t="s">
        <v>11069</v>
      </c>
      <c r="E229" s="287" t="s">
        <v>11070</v>
      </c>
      <c r="F229" s="288">
        <v>45820.0</v>
      </c>
      <c r="G229" s="288">
        <v>45817.0</v>
      </c>
      <c r="H229" s="288">
        <v>45817.0</v>
      </c>
      <c r="I229" s="288">
        <v>45826.0</v>
      </c>
      <c r="J229" s="288">
        <v>45826.0</v>
      </c>
      <c r="K229" s="573" t="s">
        <v>4916</v>
      </c>
      <c r="L229" s="585"/>
      <c r="M229" s="290" t="s">
        <v>11071</v>
      </c>
      <c r="N229" s="299" t="s">
        <v>4635</v>
      </c>
      <c r="O229" s="322" t="s">
        <v>2621</v>
      </c>
      <c r="P229" s="300">
        <v>28168.3</v>
      </c>
      <c r="Q229" s="299">
        <f t="shared" si="2"/>
        <v>24</v>
      </c>
      <c r="R229" s="299"/>
      <c r="S229" s="299" t="s">
        <v>8430</v>
      </c>
      <c r="T229" s="198"/>
      <c r="U229" s="198"/>
      <c r="V229" s="198"/>
      <c r="W229" s="198"/>
      <c r="X229" s="198"/>
      <c r="Y229" s="198"/>
      <c r="Z229" s="198"/>
    </row>
    <row r="230" ht="91.5" customHeight="1">
      <c r="A230" s="370">
        <v>40617.0</v>
      </c>
      <c r="B230" s="299" t="s">
        <v>715</v>
      </c>
      <c r="C230" s="285">
        <v>2413.0</v>
      </c>
      <c r="D230" s="285" t="s">
        <v>11072</v>
      </c>
      <c r="E230" s="287" t="s">
        <v>10617</v>
      </c>
      <c r="F230" s="288">
        <v>45817.0</v>
      </c>
      <c r="G230" s="288">
        <v>45813.0</v>
      </c>
      <c r="H230" s="288">
        <v>45813.0</v>
      </c>
      <c r="I230" s="288">
        <v>45819.0</v>
      </c>
      <c r="J230" s="288">
        <v>45819.0</v>
      </c>
      <c r="K230" s="285"/>
      <c r="L230" s="17"/>
      <c r="M230" s="290" t="s">
        <v>11073</v>
      </c>
      <c r="N230" s="299" t="s">
        <v>497</v>
      </c>
      <c r="O230" s="322" t="s">
        <v>2554</v>
      </c>
      <c r="P230" s="300">
        <v>42468.8</v>
      </c>
      <c r="Q230" s="299">
        <f t="shared" si="2"/>
        <v>24</v>
      </c>
      <c r="R230" s="299" t="s">
        <v>9198</v>
      </c>
      <c r="S230" s="299" t="s">
        <v>9171</v>
      </c>
      <c r="T230" s="198"/>
      <c r="U230" s="198"/>
      <c r="V230" s="198"/>
      <c r="W230" s="198"/>
      <c r="X230" s="198"/>
      <c r="Y230" s="198"/>
      <c r="Z230" s="198"/>
    </row>
    <row r="231" ht="91.5" customHeight="1">
      <c r="A231" s="370">
        <v>40616.0</v>
      </c>
      <c r="B231" s="299" t="s">
        <v>715</v>
      </c>
      <c r="C231" s="285">
        <v>4355.0</v>
      </c>
      <c r="D231" s="285" t="s">
        <v>11074</v>
      </c>
      <c r="E231" s="287" t="s">
        <v>10719</v>
      </c>
      <c r="F231" s="288">
        <v>45817.0</v>
      </c>
      <c r="G231" s="288">
        <v>45814.0</v>
      </c>
      <c r="H231" s="288">
        <v>45814.0</v>
      </c>
      <c r="I231" s="288">
        <v>45821.0</v>
      </c>
      <c r="J231" s="288">
        <v>45821.0</v>
      </c>
      <c r="K231" s="285"/>
      <c r="L231" s="17"/>
      <c r="M231" s="290" t="s">
        <v>11075</v>
      </c>
      <c r="N231" s="299" t="s">
        <v>497</v>
      </c>
      <c r="O231" s="322" t="s">
        <v>2554</v>
      </c>
      <c r="P231" s="300">
        <v>31530.54</v>
      </c>
      <c r="Q231" s="299">
        <f t="shared" si="2"/>
        <v>24</v>
      </c>
      <c r="R231" s="299" t="s">
        <v>9198</v>
      </c>
      <c r="S231" s="299" t="s">
        <v>9171</v>
      </c>
      <c r="T231" s="198"/>
      <c r="U231" s="198"/>
      <c r="V231" s="198"/>
      <c r="W231" s="198"/>
      <c r="X231" s="198"/>
      <c r="Y231" s="198"/>
      <c r="Z231" s="198"/>
    </row>
    <row r="232" ht="91.5" customHeight="1">
      <c r="A232" s="370">
        <v>40608.0</v>
      </c>
      <c r="B232" s="299" t="s">
        <v>715</v>
      </c>
      <c r="C232" s="285">
        <v>4355.0</v>
      </c>
      <c r="D232" s="285" t="s">
        <v>11076</v>
      </c>
      <c r="E232" s="287" t="s">
        <v>10719</v>
      </c>
      <c r="F232" s="288">
        <v>45817.0</v>
      </c>
      <c r="G232" s="288">
        <v>45813.0</v>
      </c>
      <c r="H232" s="288">
        <v>45813.0</v>
      </c>
      <c r="I232" s="288">
        <v>45820.0</v>
      </c>
      <c r="J232" s="288">
        <v>45820.0</v>
      </c>
      <c r="K232" s="285"/>
      <c r="L232" s="17"/>
      <c r="M232" s="290" t="s">
        <v>11077</v>
      </c>
      <c r="N232" s="299" t="s">
        <v>497</v>
      </c>
      <c r="O232" s="322" t="s">
        <v>2554</v>
      </c>
      <c r="P232" s="300">
        <v>31529.18</v>
      </c>
      <c r="Q232" s="299">
        <f t="shared" si="2"/>
        <v>24</v>
      </c>
      <c r="R232" s="299" t="s">
        <v>9198</v>
      </c>
      <c r="S232" s="299" t="s">
        <v>9171</v>
      </c>
      <c r="T232" s="198"/>
      <c r="U232" s="198"/>
      <c r="V232" s="198"/>
      <c r="W232" s="198"/>
      <c r="X232" s="198"/>
      <c r="Y232" s="198"/>
      <c r="Z232" s="198"/>
    </row>
    <row r="233" ht="91.5" customHeight="1">
      <c r="A233" s="370">
        <v>40706.0</v>
      </c>
      <c r="B233" s="299" t="s">
        <v>25</v>
      </c>
      <c r="C233" s="285">
        <v>755.0</v>
      </c>
      <c r="D233" s="285" t="s">
        <v>11078</v>
      </c>
      <c r="E233" s="287" t="s">
        <v>4641</v>
      </c>
      <c r="F233" s="288">
        <v>45816.0</v>
      </c>
      <c r="G233" s="305">
        <v>45817.0</v>
      </c>
      <c r="H233" s="305">
        <v>45817.0</v>
      </c>
      <c r="I233" s="305">
        <v>45818.0</v>
      </c>
      <c r="J233" s="580">
        <v>45818.0</v>
      </c>
      <c r="K233" s="285"/>
      <c r="L233" s="17"/>
      <c r="M233" s="290" t="s">
        <v>11079</v>
      </c>
      <c r="N233" s="299" t="s">
        <v>497</v>
      </c>
      <c r="O233" s="322" t="s">
        <v>2628</v>
      </c>
      <c r="P233" s="300">
        <v>66771.6</v>
      </c>
      <c r="Q233" s="299">
        <f t="shared" si="2"/>
        <v>24</v>
      </c>
      <c r="R233" s="299"/>
      <c r="S233" s="299" t="s">
        <v>10487</v>
      </c>
      <c r="T233" s="198"/>
      <c r="U233" s="198"/>
      <c r="V233" s="198"/>
      <c r="W233" s="198"/>
      <c r="X233" s="198"/>
      <c r="Y233" s="198"/>
      <c r="Z233" s="198"/>
    </row>
    <row r="234" ht="91.5" customHeight="1">
      <c r="A234" s="370">
        <v>40468.0</v>
      </c>
      <c r="B234" s="299" t="s">
        <v>25</v>
      </c>
      <c r="C234" s="285">
        <v>2275.0</v>
      </c>
      <c r="D234" s="285" t="s">
        <v>11080</v>
      </c>
      <c r="E234" s="287" t="s">
        <v>10860</v>
      </c>
      <c r="F234" s="288">
        <v>45813.0</v>
      </c>
      <c r="G234" s="288">
        <v>45810.0</v>
      </c>
      <c r="H234" s="288">
        <v>45810.0</v>
      </c>
      <c r="I234" s="288">
        <v>45819.0</v>
      </c>
      <c r="J234" s="288">
        <v>45819.0</v>
      </c>
      <c r="K234" s="285"/>
      <c r="L234" s="17"/>
      <c r="M234" s="290" t="s">
        <v>11081</v>
      </c>
      <c r="N234" s="299" t="s">
        <v>497</v>
      </c>
      <c r="O234" s="322" t="s">
        <v>2554</v>
      </c>
      <c r="P234" s="300">
        <v>35503.0</v>
      </c>
      <c r="Q234" s="299">
        <f t="shared" si="2"/>
        <v>23</v>
      </c>
      <c r="R234" s="299" t="s">
        <v>9198</v>
      </c>
      <c r="S234" s="299" t="s">
        <v>9171</v>
      </c>
      <c r="T234" s="198"/>
      <c r="U234" s="198"/>
      <c r="V234" s="198"/>
      <c r="W234" s="198"/>
      <c r="X234" s="198"/>
      <c r="Y234" s="198"/>
      <c r="Z234" s="198"/>
    </row>
    <row r="235" ht="91.5" customHeight="1">
      <c r="A235" s="370">
        <v>40699.0</v>
      </c>
      <c r="B235" s="299" t="s">
        <v>715</v>
      </c>
      <c r="C235" s="285">
        <v>880.0</v>
      </c>
      <c r="D235" s="285" t="s">
        <v>11082</v>
      </c>
      <c r="E235" s="287" t="s">
        <v>3812</v>
      </c>
      <c r="F235" s="288">
        <v>45812.0</v>
      </c>
      <c r="G235" s="288">
        <v>45806.0</v>
      </c>
      <c r="H235" s="288">
        <v>45806.0</v>
      </c>
      <c r="I235" s="288">
        <v>45814.0</v>
      </c>
      <c r="J235" s="288">
        <v>45814.0</v>
      </c>
      <c r="K235" s="285"/>
      <c r="L235" s="572"/>
      <c r="M235" s="290" t="s">
        <v>11083</v>
      </c>
      <c r="N235" s="299" t="s">
        <v>6366</v>
      </c>
      <c r="O235" s="322" t="s">
        <v>4662</v>
      </c>
      <c r="P235" s="300">
        <v>61298.0</v>
      </c>
      <c r="Q235" s="299">
        <f t="shared" si="2"/>
        <v>23</v>
      </c>
      <c r="R235" s="299"/>
      <c r="S235" s="299" t="s">
        <v>10487</v>
      </c>
      <c r="T235" s="198"/>
      <c r="U235" s="198"/>
      <c r="V235" s="198"/>
      <c r="W235" s="198"/>
      <c r="X235" s="198"/>
      <c r="Y235" s="198"/>
      <c r="Z235" s="198"/>
    </row>
    <row r="236" ht="91.5" customHeight="1">
      <c r="A236" s="370">
        <v>40446.0</v>
      </c>
      <c r="B236" s="285" t="s">
        <v>21</v>
      </c>
      <c r="C236" s="285">
        <v>4355.0</v>
      </c>
      <c r="D236" s="285" t="s">
        <v>11084</v>
      </c>
      <c r="E236" s="287" t="s">
        <v>10596</v>
      </c>
      <c r="F236" s="288">
        <v>45811.0</v>
      </c>
      <c r="G236" s="288">
        <v>45806.0</v>
      </c>
      <c r="H236" s="288">
        <v>45806.0</v>
      </c>
      <c r="I236" s="288">
        <v>45817.0</v>
      </c>
      <c r="J236" s="288">
        <v>45817.0</v>
      </c>
      <c r="K236" s="285" t="s">
        <v>5270</v>
      </c>
      <c r="L236" s="572" t="s">
        <v>9178</v>
      </c>
      <c r="M236" s="290" t="s">
        <v>11085</v>
      </c>
      <c r="N236" s="299" t="s">
        <v>497</v>
      </c>
      <c r="O236" s="322" t="s">
        <v>2554</v>
      </c>
      <c r="P236" s="300">
        <v>30049.5</v>
      </c>
      <c r="Q236" s="299">
        <f t="shared" si="2"/>
        <v>23</v>
      </c>
      <c r="R236" s="299" t="s">
        <v>9198</v>
      </c>
      <c r="S236" s="299" t="s">
        <v>9171</v>
      </c>
      <c r="T236" s="198"/>
      <c r="U236" s="198"/>
      <c r="V236" s="198"/>
      <c r="W236" s="198"/>
      <c r="X236" s="198"/>
      <c r="Y236" s="198"/>
      <c r="Z236" s="198"/>
    </row>
    <row r="237" ht="91.5" customHeight="1">
      <c r="A237" s="370">
        <v>40635.0</v>
      </c>
      <c r="B237" s="299" t="s">
        <v>715</v>
      </c>
      <c r="C237" s="285">
        <v>654.0</v>
      </c>
      <c r="D237" s="285" t="s">
        <v>11086</v>
      </c>
      <c r="E237" s="287" t="s">
        <v>4743</v>
      </c>
      <c r="F237" s="288">
        <v>45809.0</v>
      </c>
      <c r="G237" s="288">
        <v>45803.0</v>
      </c>
      <c r="H237" s="288">
        <v>45803.0</v>
      </c>
      <c r="I237" s="288">
        <v>45813.0</v>
      </c>
      <c r="J237" s="288">
        <v>45813.0</v>
      </c>
      <c r="K237" s="285"/>
      <c r="L237" s="17"/>
      <c r="M237" s="290" t="s">
        <v>11087</v>
      </c>
      <c r="N237" s="299" t="s">
        <v>4745</v>
      </c>
      <c r="O237" s="322" t="s">
        <v>4746</v>
      </c>
      <c r="P237" s="300">
        <v>82904.4</v>
      </c>
      <c r="Q237" s="299">
        <f t="shared" si="2"/>
        <v>23</v>
      </c>
      <c r="R237" s="299"/>
      <c r="S237" s="299" t="s">
        <v>10487</v>
      </c>
      <c r="T237" s="198"/>
      <c r="U237" s="198"/>
      <c r="V237" s="198"/>
      <c r="W237" s="198"/>
      <c r="X237" s="198"/>
      <c r="Y237" s="198"/>
      <c r="Z237" s="198"/>
    </row>
    <row r="238" ht="91.5" customHeight="1">
      <c r="A238" s="370">
        <v>40650.0</v>
      </c>
      <c r="B238" s="299" t="s">
        <v>715</v>
      </c>
      <c r="C238" s="285">
        <v>601.0</v>
      </c>
      <c r="D238" s="285" t="s">
        <v>11088</v>
      </c>
      <c r="E238" s="287" t="s">
        <v>11089</v>
      </c>
      <c r="F238" s="288">
        <v>45807.0</v>
      </c>
      <c r="G238" s="288">
        <v>45804.0</v>
      </c>
      <c r="H238" s="288">
        <v>45810.0</v>
      </c>
      <c r="I238" s="288">
        <v>45813.0</v>
      </c>
      <c r="J238" s="288">
        <v>45813.0</v>
      </c>
      <c r="K238" s="285"/>
      <c r="L238" s="572"/>
      <c r="M238" s="290" t="s">
        <v>11090</v>
      </c>
      <c r="N238" s="299" t="s">
        <v>497</v>
      </c>
      <c r="O238" s="322" t="s">
        <v>4169</v>
      </c>
      <c r="P238" s="300">
        <v>171000.0</v>
      </c>
      <c r="Q238" s="299">
        <f t="shared" si="2"/>
        <v>22</v>
      </c>
      <c r="R238" s="299"/>
      <c r="S238" s="299" t="s">
        <v>10487</v>
      </c>
      <c r="T238" s="198"/>
      <c r="U238" s="198"/>
      <c r="V238" s="198"/>
      <c r="W238" s="198"/>
      <c r="X238" s="198"/>
      <c r="Y238" s="198"/>
      <c r="Z238" s="198"/>
    </row>
    <row r="239" ht="91.5" customHeight="1">
      <c r="A239" s="370">
        <v>40613.0</v>
      </c>
      <c r="B239" s="285" t="s">
        <v>21</v>
      </c>
      <c r="C239" s="285">
        <v>4355.0</v>
      </c>
      <c r="D239" s="285" t="s">
        <v>11091</v>
      </c>
      <c r="E239" s="287" t="s">
        <v>10643</v>
      </c>
      <c r="F239" s="288">
        <v>45807.0</v>
      </c>
      <c r="G239" s="288">
        <v>45804.0</v>
      </c>
      <c r="H239" s="288">
        <v>45804.0</v>
      </c>
      <c r="I239" s="288">
        <v>45812.0</v>
      </c>
      <c r="J239" s="288">
        <v>45812.0</v>
      </c>
      <c r="K239" s="285" t="s">
        <v>5270</v>
      </c>
      <c r="L239" s="572" t="s">
        <v>9178</v>
      </c>
      <c r="M239" s="290" t="s">
        <v>11092</v>
      </c>
      <c r="N239" s="299" t="s">
        <v>497</v>
      </c>
      <c r="O239" s="322" t="s">
        <v>2554</v>
      </c>
      <c r="P239" s="300">
        <v>33010.22</v>
      </c>
      <c r="Q239" s="299">
        <f t="shared" si="2"/>
        <v>22</v>
      </c>
      <c r="R239" s="299" t="s">
        <v>9198</v>
      </c>
      <c r="S239" s="299" t="s">
        <v>9171</v>
      </c>
      <c r="T239" s="198"/>
      <c r="U239" s="198"/>
      <c r="V239" s="198"/>
      <c r="W239" s="198"/>
      <c r="X239" s="198"/>
      <c r="Y239" s="198"/>
      <c r="Z239" s="198"/>
    </row>
    <row r="240" ht="91.5" customHeight="1">
      <c r="A240" s="370">
        <v>40615.0</v>
      </c>
      <c r="B240" s="299" t="s">
        <v>715</v>
      </c>
      <c r="C240" s="285">
        <v>1306.0</v>
      </c>
      <c r="D240" s="285" t="s">
        <v>11093</v>
      </c>
      <c r="E240" s="287" t="s">
        <v>10808</v>
      </c>
      <c r="F240" s="288">
        <v>45806.0</v>
      </c>
      <c r="G240" s="288">
        <v>45803.0</v>
      </c>
      <c r="H240" s="288">
        <v>45803.0</v>
      </c>
      <c r="I240" s="288">
        <v>45812.0</v>
      </c>
      <c r="J240" s="288">
        <v>45812.0</v>
      </c>
      <c r="K240" s="285"/>
      <c r="L240" s="17"/>
      <c r="M240" s="290" t="s">
        <v>11094</v>
      </c>
      <c r="N240" s="299" t="s">
        <v>497</v>
      </c>
      <c r="O240" s="322" t="s">
        <v>2554</v>
      </c>
      <c r="P240" s="300">
        <v>44795.8</v>
      </c>
      <c r="Q240" s="299">
        <f t="shared" si="2"/>
        <v>22</v>
      </c>
      <c r="R240" s="299" t="s">
        <v>9198</v>
      </c>
      <c r="S240" s="299" t="s">
        <v>9171</v>
      </c>
      <c r="T240" s="198"/>
      <c r="U240" s="198"/>
      <c r="V240" s="198"/>
      <c r="W240" s="198"/>
      <c r="X240" s="198"/>
      <c r="Y240" s="198"/>
      <c r="Z240" s="198"/>
    </row>
    <row r="241" ht="91.5" customHeight="1">
      <c r="A241" s="370">
        <v>40614.0</v>
      </c>
      <c r="B241" s="299" t="s">
        <v>715</v>
      </c>
      <c r="C241" s="285">
        <v>2275.0</v>
      </c>
      <c r="D241" s="285" t="s">
        <v>11095</v>
      </c>
      <c r="E241" s="287" t="s">
        <v>10860</v>
      </c>
      <c r="F241" s="288">
        <v>45806.0</v>
      </c>
      <c r="G241" s="288">
        <v>45803.0</v>
      </c>
      <c r="H241" s="288">
        <v>45803.0</v>
      </c>
      <c r="I241" s="288">
        <v>45811.0</v>
      </c>
      <c r="J241" s="288">
        <v>45811.0</v>
      </c>
      <c r="K241" s="285"/>
      <c r="L241" s="17"/>
      <c r="M241" s="290" t="s">
        <v>11096</v>
      </c>
      <c r="N241" s="299" t="s">
        <v>497</v>
      </c>
      <c r="O241" s="322" t="s">
        <v>2554</v>
      </c>
      <c r="P241" s="300">
        <v>36248.0</v>
      </c>
      <c r="Q241" s="299">
        <f t="shared" si="2"/>
        <v>22</v>
      </c>
      <c r="R241" s="299" t="s">
        <v>9198</v>
      </c>
      <c r="S241" s="299" t="s">
        <v>9171</v>
      </c>
      <c r="T241" s="198"/>
      <c r="U241" s="198"/>
      <c r="V241" s="198"/>
      <c r="W241" s="198"/>
      <c r="X241" s="198"/>
      <c r="Y241" s="198"/>
      <c r="Z241" s="198"/>
    </row>
    <row r="242" ht="91.5" customHeight="1">
      <c r="A242" s="370">
        <v>40610.0</v>
      </c>
      <c r="B242" s="299" t="s">
        <v>715</v>
      </c>
      <c r="C242" s="285">
        <v>1306.0</v>
      </c>
      <c r="D242" s="285" t="s">
        <v>11097</v>
      </c>
      <c r="E242" s="287" t="s">
        <v>10950</v>
      </c>
      <c r="F242" s="288">
        <v>45801.0</v>
      </c>
      <c r="G242" s="288">
        <v>45795.0</v>
      </c>
      <c r="H242" s="288">
        <v>45795.0</v>
      </c>
      <c r="I242" s="288">
        <v>45805.0</v>
      </c>
      <c r="J242" s="288">
        <v>45805.0</v>
      </c>
      <c r="K242" s="285"/>
      <c r="L242" s="572"/>
      <c r="M242" s="290" t="s">
        <v>11098</v>
      </c>
      <c r="N242" s="299" t="s">
        <v>497</v>
      </c>
      <c r="O242" s="322" t="s">
        <v>2554</v>
      </c>
      <c r="P242" s="300">
        <v>44795.8</v>
      </c>
      <c r="Q242" s="299">
        <f t="shared" si="2"/>
        <v>21</v>
      </c>
      <c r="R242" s="299" t="s">
        <v>9198</v>
      </c>
      <c r="S242" s="299" t="s">
        <v>9171</v>
      </c>
      <c r="T242" s="198"/>
      <c r="U242" s="198"/>
      <c r="V242" s="198"/>
      <c r="W242" s="198"/>
      <c r="X242" s="198"/>
      <c r="Y242" s="198"/>
      <c r="Z242" s="198"/>
    </row>
    <row r="243" ht="91.5" customHeight="1">
      <c r="A243" s="370">
        <v>40435.0</v>
      </c>
      <c r="B243" s="285" t="s">
        <v>21</v>
      </c>
      <c r="C243" s="285">
        <v>4500.0</v>
      </c>
      <c r="D243" s="285" t="s">
        <v>11099</v>
      </c>
      <c r="E243" s="287" t="s">
        <v>4690</v>
      </c>
      <c r="F243" s="288">
        <v>45797.0</v>
      </c>
      <c r="G243" s="288">
        <v>45792.0</v>
      </c>
      <c r="H243" s="288">
        <v>45792.0</v>
      </c>
      <c r="I243" s="288">
        <v>45804.0</v>
      </c>
      <c r="J243" s="288">
        <v>45804.0</v>
      </c>
      <c r="K243" s="285" t="s">
        <v>5270</v>
      </c>
      <c r="L243" s="572" t="s">
        <v>9178</v>
      </c>
      <c r="M243" s="290" t="s">
        <v>11100</v>
      </c>
      <c r="N243" s="299" t="s">
        <v>497</v>
      </c>
      <c r="O243" s="322" t="s">
        <v>2554</v>
      </c>
      <c r="P243" s="300">
        <v>32625.0</v>
      </c>
      <c r="Q243" s="299">
        <f t="shared" si="2"/>
        <v>21</v>
      </c>
      <c r="R243" s="299" t="s">
        <v>9170</v>
      </c>
      <c r="S243" s="299" t="s">
        <v>9171</v>
      </c>
      <c r="T243" s="198"/>
      <c r="U243" s="198"/>
      <c r="V243" s="198"/>
      <c r="W243" s="198"/>
      <c r="X243" s="198"/>
      <c r="Y243" s="198"/>
      <c r="Z243" s="198"/>
    </row>
    <row r="244" ht="91.5" customHeight="1">
      <c r="A244" s="370">
        <v>40434.0</v>
      </c>
      <c r="B244" s="285" t="s">
        <v>21</v>
      </c>
      <c r="C244" s="285">
        <v>4500.0</v>
      </c>
      <c r="D244" s="285" t="s">
        <v>11101</v>
      </c>
      <c r="E244" s="287" t="s">
        <v>7438</v>
      </c>
      <c r="F244" s="288">
        <v>45797.0</v>
      </c>
      <c r="G244" s="288">
        <v>45792.0</v>
      </c>
      <c r="H244" s="288">
        <v>45792.0</v>
      </c>
      <c r="I244" s="288">
        <v>45804.0</v>
      </c>
      <c r="J244" s="288">
        <v>45804.0</v>
      </c>
      <c r="K244" s="285" t="s">
        <v>5270</v>
      </c>
      <c r="L244" s="572" t="s">
        <v>9178</v>
      </c>
      <c r="M244" s="290" t="s">
        <v>11102</v>
      </c>
      <c r="N244" s="299" t="s">
        <v>497</v>
      </c>
      <c r="O244" s="322" t="s">
        <v>2554</v>
      </c>
      <c r="P244" s="300">
        <v>32875.0</v>
      </c>
      <c r="Q244" s="299">
        <f t="shared" si="2"/>
        <v>21</v>
      </c>
      <c r="R244" s="299" t="s">
        <v>9170</v>
      </c>
      <c r="S244" s="299" t="s">
        <v>9171</v>
      </c>
      <c r="T244" s="198"/>
      <c r="U244" s="198"/>
      <c r="V244" s="198"/>
      <c r="W244" s="198"/>
      <c r="X244" s="198"/>
      <c r="Y244" s="198"/>
      <c r="Z244" s="198"/>
    </row>
    <row r="245" ht="91.5" customHeight="1">
      <c r="A245" s="370">
        <v>40433.0</v>
      </c>
      <c r="B245" s="285" t="s">
        <v>21</v>
      </c>
      <c r="C245" s="285">
        <v>1250.0</v>
      </c>
      <c r="D245" s="285" t="s">
        <v>11103</v>
      </c>
      <c r="E245" s="287" t="s">
        <v>4637</v>
      </c>
      <c r="F245" s="288">
        <v>45797.0</v>
      </c>
      <c r="G245" s="288">
        <v>45792.0</v>
      </c>
      <c r="H245" s="288">
        <v>45792.0</v>
      </c>
      <c r="I245" s="288">
        <v>45800.0</v>
      </c>
      <c r="J245" s="288">
        <v>45800.0</v>
      </c>
      <c r="K245" s="285" t="s">
        <v>5270</v>
      </c>
      <c r="L245" s="572" t="s">
        <v>9178</v>
      </c>
      <c r="M245" s="290" t="s">
        <v>11104</v>
      </c>
      <c r="N245" s="299" t="s">
        <v>497</v>
      </c>
      <c r="O245" s="322" t="s">
        <v>2554</v>
      </c>
      <c r="P245" s="300">
        <v>36250.0</v>
      </c>
      <c r="Q245" s="299">
        <f t="shared" si="2"/>
        <v>21</v>
      </c>
      <c r="R245" s="299" t="s">
        <v>9170</v>
      </c>
      <c r="S245" s="299" t="s">
        <v>9171</v>
      </c>
      <c r="T245" s="198"/>
      <c r="U245" s="198"/>
      <c r="V245" s="198"/>
      <c r="W245" s="198"/>
      <c r="X245" s="198"/>
      <c r="Y245" s="198"/>
      <c r="Z245" s="198"/>
    </row>
    <row r="246" ht="91.5" customHeight="1">
      <c r="A246" s="370" t="s">
        <v>11105</v>
      </c>
      <c r="B246" s="299" t="s">
        <v>25</v>
      </c>
      <c r="C246" s="285">
        <v>674.0</v>
      </c>
      <c r="D246" s="285" t="s">
        <v>11106</v>
      </c>
      <c r="E246" s="287" t="s">
        <v>11107</v>
      </c>
      <c r="F246" s="288">
        <v>45795.0</v>
      </c>
      <c r="G246" s="288">
        <v>45792.0</v>
      </c>
      <c r="H246" s="288">
        <v>45798.0</v>
      </c>
      <c r="I246" s="288">
        <v>45799.0</v>
      </c>
      <c r="J246" s="288">
        <v>45799.0</v>
      </c>
      <c r="K246" s="285"/>
      <c r="L246" s="17"/>
      <c r="M246" s="290" t="s">
        <v>11108</v>
      </c>
      <c r="N246" s="299" t="s">
        <v>4745</v>
      </c>
      <c r="O246" s="322" t="s">
        <v>4746</v>
      </c>
      <c r="P246" s="300">
        <v>151797.6</v>
      </c>
      <c r="Q246" s="299">
        <f t="shared" si="2"/>
        <v>21</v>
      </c>
      <c r="R246" s="299"/>
      <c r="S246" s="299" t="s">
        <v>10487</v>
      </c>
      <c r="T246" s="198"/>
      <c r="U246" s="198"/>
      <c r="V246" s="198"/>
      <c r="W246" s="198"/>
      <c r="X246" s="198"/>
      <c r="Y246" s="198"/>
      <c r="Z246" s="198"/>
    </row>
    <row r="247" ht="91.5" customHeight="1">
      <c r="A247" s="370">
        <v>40175.0</v>
      </c>
      <c r="B247" s="299" t="s">
        <v>715</v>
      </c>
      <c r="C247" s="285">
        <v>2413.0</v>
      </c>
      <c r="D247" s="285" t="s">
        <v>11109</v>
      </c>
      <c r="E247" s="287" t="s">
        <v>10617</v>
      </c>
      <c r="F247" s="288">
        <v>45794.0</v>
      </c>
      <c r="G247" s="288">
        <v>45790.0</v>
      </c>
      <c r="H247" s="288">
        <v>45790.0</v>
      </c>
      <c r="I247" s="288">
        <v>45797.0</v>
      </c>
      <c r="J247" s="288">
        <v>45797.0</v>
      </c>
      <c r="K247" s="285"/>
      <c r="L247" s="17"/>
      <c r="M247" s="290" t="s">
        <v>11110</v>
      </c>
      <c r="N247" s="299" t="s">
        <v>497</v>
      </c>
      <c r="O247" s="322" t="s">
        <v>2554</v>
      </c>
      <c r="P247" s="300">
        <v>42468.8</v>
      </c>
      <c r="Q247" s="299">
        <f t="shared" si="2"/>
        <v>20</v>
      </c>
      <c r="R247" s="299" t="s">
        <v>9198</v>
      </c>
      <c r="S247" s="299" t="s">
        <v>9171</v>
      </c>
      <c r="T247" s="198"/>
      <c r="U247" s="198"/>
      <c r="V247" s="198"/>
      <c r="W247" s="198"/>
      <c r="X247" s="198"/>
      <c r="Y247" s="198"/>
      <c r="Z247" s="198"/>
    </row>
    <row r="248" ht="91.5" customHeight="1">
      <c r="A248" s="370">
        <v>40442.0</v>
      </c>
      <c r="B248" s="299" t="s">
        <v>715</v>
      </c>
      <c r="C248" s="285">
        <v>2275.0</v>
      </c>
      <c r="D248" s="285" t="s">
        <v>11111</v>
      </c>
      <c r="E248" s="287" t="s">
        <v>10860</v>
      </c>
      <c r="F248" s="288">
        <v>45794.0</v>
      </c>
      <c r="G248" s="288">
        <v>45790.0</v>
      </c>
      <c r="H248" s="288">
        <v>45790.0</v>
      </c>
      <c r="I248" s="288">
        <v>45798.0</v>
      </c>
      <c r="J248" s="288">
        <v>45798.0</v>
      </c>
      <c r="K248" s="285"/>
      <c r="L248" s="17"/>
      <c r="M248" s="290" t="s">
        <v>11112</v>
      </c>
      <c r="N248" s="299" t="s">
        <v>497</v>
      </c>
      <c r="O248" s="322" t="s">
        <v>2554</v>
      </c>
      <c r="P248" s="300">
        <v>36058.5</v>
      </c>
      <c r="Q248" s="299">
        <f t="shared" si="2"/>
        <v>20</v>
      </c>
      <c r="R248" s="299" t="s">
        <v>9198</v>
      </c>
      <c r="S248" s="299" t="s">
        <v>9171</v>
      </c>
      <c r="T248" s="198"/>
      <c r="U248" s="198"/>
      <c r="V248" s="198"/>
      <c r="W248" s="198"/>
      <c r="X248" s="198"/>
      <c r="Y248" s="198"/>
      <c r="Z248" s="198"/>
    </row>
    <row r="249" ht="91.5" customHeight="1">
      <c r="A249" s="370">
        <v>40438.0</v>
      </c>
      <c r="B249" s="299" t="s">
        <v>715</v>
      </c>
      <c r="C249" s="285">
        <v>1250.0</v>
      </c>
      <c r="D249" s="285" t="s">
        <v>11113</v>
      </c>
      <c r="E249" s="287" t="s">
        <v>11114</v>
      </c>
      <c r="F249" s="288">
        <v>45789.0</v>
      </c>
      <c r="G249" s="288">
        <v>45784.0</v>
      </c>
      <c r="H249" s="288">
        <v>45784.0</v>
      </c>
      <c r="I249" s="288">
        <v>45796.0</v>
      </c>
      <c r="J249" s="288">
        <v>45796.0</v>
      </c>
      <c r="K249" s="285"/>
      <c r="L249" s="17"/>
      <c r="M249" s="290" t="s">
        <v>11115</v>
      </c>
      <c r="N249" s="299" t="s">
        <v>497</v>
      </c>
      <c r="O249" s="322" t="s">
        <v>2554</v>
      </c>
      <c r="P249" s="300">
        <v>34062.5</v>
      </c>
      <c r="Q249" s="299">
        <f t="shared" si="2"/>
        <v>20</v>
      </c>
      <c r="R249" s="299" t="s">
        <v>9170</v>
      </c>
      <c r="S249" s="299" t="s">
        <v>9171</v>
      </c>
      <c r="T249" s="198"/>
      <c r="U249" s="198"/>
      <c r="V249" s="198"/>
      <c r="W249" s="198"/>
      <c r="X249" s="198"/>
      <c r="Y249" s="198"/>
      <c r="Z249" s="198"/>
    </row>
    <row r="250" ht="91.5" customHeight="1">
      <c r="A250" s="370">
        <v>40330.0</v>
      </c>
      <c r="B250" s="285" t="s">
        <v>21</v>
      </c>
      <c r="C250" s="285">
        <v>4500.0</v>
      </c>
      <c r="D250" s="285" t="s">
        <v>11116</v>
      </c>
      <c r="E250" s="287" t="s">
        <v>7438</v>
      </c>
      <c r="F250" s="288">
        <v>45787.0</v>
      </c>
      <c r="G250" s="288">
        <v>45783.0</v>
      </c>
      <c r="H250" s="288">
        <v>45790.0</v>
      </c>
      <c r="I250" s="288">
        <v>45797.0</v>
      </c>
      <c r="J250" s="288">
        <v>45792.0</v>
      </c>
      <c r="K250" s="285" t="s">
        <v>4841</v>
      </c>
      <c r="L250" s="17"/>
      <c r="M250" s="290" t="s">
        <v>11117</v>
      </c>
      <c r="N250" s="299" t="s">
        <v>497</v>
      </c>
      <c r="O250" s="322" t="s">
        <v>2554</v>
      </c>
      <c r="P250" s="300">
        <v>33187.5</v>
      </c>
      <c r="Q250" s="299">
        <f t="shared" si="2"/>
        <v>19</v>
      </c>
      <c r="R250" s="299" t="s">
        <v>9170</v>
      </c>
      <c r="S250" s="299" t="s">
        <v>9171</v>
      </c>
      <c r="T250" s="198"/>
      <c r="U250" s="198"/>
      <c r="V250" s="198"/>
      <c r="W250" s="198"/>
      <c r="X250" s="198"/>
      <c r="Y250" s="198"/>
      <c r="Z250" s="198"/>
    </row>
    <row r="251" ht="91.5" customHeight="1">
      <c r="A251" s="370" t="s">
        <v>11118</v>
      </c>
      <c r="B251" s="299" t="s">
        <v>715</v>
      </c>
      <c r="C251" s="285" t="s">
        <v>11119</v>
      </c>
      <c r="D251" s="285" t="s">
        <v>11120</v>
      </c>
      <c r="E251" s="287" t="s">
        <v>7415</v>
      </c>
      <c r="F251" s="288">
        <v>45787.0</v>
      </c>
      <c r="G251" s="288">
        <v>45782.0</v>
      </c>
      <c r="H251" s="288">
        <v>45782.0</v>
      </c>
      <c r="I251" s="288">
        <v>45793.0</v>
      </c>
      <c r="J251" s="285" t="s">
        <v>11121</v>
      </c>
      <c r="K251" s="285"/>
      <c r="L251" s="581"/>
      <c r="M251" s="290" t="s">
        <v>11122</v>
      </c>
      <c r="N251" s="285" t="s">
        <v>6366</v>
      </c>
      <c r="O251" s="322" t="s">
        <v>2628</v>
      </c>
      <c r="P251" s="300">
        <v>247459.8</v>
      </c>
      <c r="Q251" s="299">
        <f t="shared" si="2"/>
        <v>19</v>
      </c>
      <c r="R251" s="299"/>
      <c r="S251" s="299" t="s">
        <v>10487</v>
      </c>
      <c r="T251" s="198"/>
      <c r="U251" s="198"/>
      <c r="V251" s="198"/>
      <c r="W251" s="198"/>
      <c r="X251" s="198"/>
      <c r="Y251" s="198"/>
      <c r="Z251" s="198"/>
    </row>
    <row r="252" ht="91.5" customHeight="1">
      <c r="A252" s="370">
        <v>40502.0</v>
      </c>
      <c r="B252" s="285" t="s">
        <v>21</v>
      </c>
      <c r="C252" s="285">
        <v>1130.0</v>
      </c>
      <c r="D252" s="285" t="s">
        <v>11123</v>
      </c>
      <c r="E252" s="287" t="s">
        <v>11124</v>
      </c>
      <c r="F252" s="288">
        <v>45786.0</v>
      </c>
      <c r="G252" s="288">
        <v>45782.0</v>
      </c>
      <c r="H252" s="288">
        <v>45783.0</v>
      </c>
      <c r="I252" s="288">
        <v>45790.0</v>
      </c>
      <c r="J252" s="288">
        <v>45790.0</v>
      </c>
      <c r="K252" s="573" t="s">
        <v>4916</v>
      </c>
      <c r="L252" s="582"/>
      <c r="M252" s="290" t="s">
        <v>11125</v>
      </c>
      <c r="N252" s="299" t="s">
        <v>4635</v>
      </c>
      <c r="O252" s="322" t="s">
        <v>2621</v>
      </c>
      <c r="P252" s="300">
        <v>57432.9</v>
      </c>
      <c r="Q252" s="299">
        <f t="shared" si="2"/>
        <v>19</v>
      </c>
      <c r="R252" s="299"/>
      <c r="S252" s="299" t="s">
        <v>8430</v>
      </c>
      <c r="T252" s="198"/>
      <c r="U252" s="198"/>
      <c r="V252" s="198"/>
      <c r="W252" s="198"/>
      <c r="X252" s="198"/>
      <c r="Y252" s="198"/>
      <c r="Z252" s="198"/>
    </row>
    <row r="253" ht="91.5" customHeight="1">
      <c r="A253" s="370">
        <v>40473.0</v>
      </c>
      <c r="B253" s="299" t="s">
        <v>715</v>
      </c>
      <c r="C253" s="285">
        <v>1800.0</v>
      </c>
      <c r="D253" s="285" t="s">
        <v>11126</v>
      </c>
      <c r="E253" s="287" t="s">
        <v>2751</v>
      </c>
      <c r="F253" s="288">
        <v>45785.0</v>
      </c>
      <c r="G253" s="288">
        <v>45782.0</v>
      </c>
      <c r="H253" s="288">
        <v>45782.0</v>
      </c>
      <c r="I253" s="288">
        <v>45791.0</v>
      </c>
      <c r="J253" s="288">
        <v>45791.0</v>
      </c>
      <c r="K253" s="285"/>
      <c r="L253" s="586"/>
      <c r="M253" s="290" t="s">
        <v>11127</v>
      </c>
      <c r="N253" s="299" t="s">
        <v>6366</v>
      </c>
      <c r="O253" s="322" t="s">
        <v>2621</v>
      </c>
      <c r="P253" s="300">
        <v>40608.0</v>
      </c>
      <c r="Q253" s="299">
        <f t="shared" si="2"/>
        <v>19</v>
      </c>
      <c r="R253" s="299"/>
      <c r="S253" s="299" t="s">
        <v>10487</v>
      </c>
      <c r="T253" s="198"/>
      <c r="U253" s="198"/>
      <c r="V253" s="198"/>
      <c r="W253" s="198"/>
      <c r="X253" s="198"/>
      <c r="Y253" s="198"/>
      <c r="Z253" s="198"/>
    </row>
    <row r="254" ht="91.5" customHeight="1">
      <c r="A254" s="370">
        <v>40445.0</v>
      </c>
      <c r="B254" s="285" t="s">
        <v>21</v>
      </c>
      <c r="C254" s="285">
        <v>1306.0</v>
      </c>
      <c r="D254" s="285" t="s">
        <v>11128</v>
      </c>
      <c r="E254" s="287" t="s">
        <v>11129</v>
      </c>
      <c r="F254" s="288">
        <v>45785.0</v>
      </c>
      <c r="G254" s="288">
        <v>45782.0</v>
      </c>
      <c r="H254" s="288">
        <v>45782.0</v>
      </c>
      <c r="I254" s="288">
        <v>45791.0</v>
      </c>
      <c r="J254" s="288">
        <v>45791.0</v>
      </c>
      <c r="K254" s="285" t="s">
        <v>5270</v>
      </c>
      <c r="L254" s="586" t="s">
        <v>9178</v>
      </c>
      <c r="M254" s="290" t="s">
        <v>11130</v>
      </c>
      <c r="N254" s="299" t="s">
        <v>497</v>
      </c>
      <c r="O254" s="322" t="s">
        <v>2554</v>
      </c>
      <c r="P254" s="300">
        <v>45415.2</v>
      </c>
      <c r="Q254" s="299">
        <f t="shared" si="2"/>
        <v>19</v>
      </c>
      <c r="R254" s="299" t="s">
        <v>9198</v>
      </c>
      <c r="S254" s="299" t="s">
        <v>9171</v>
      </c>
      <c r="T254" s="198"/>
      <c r="U254" s="198"/>
      <c r="V254" s="198"/>
      <c r="W254" s="198"/>
      <c r="X254" s="198"/>
      <c r="Y254" s="198"/>
      <c r="Z254" s="198"/>
    </row>
    <row r="255" ht="91.5" customHeight="1">
      <c r="A255" s="370">
        <v>40688.0</v>
      </c>
      <c r="B255" s="299" t="s">
        <v>715</v>
      </c>
      <c r="C255" s="285">
        <v>1250.0</v>
      </c>
      <c r="D255" s="285" t="s">
        <v>11131</v>
      </c>
      <c r="E255" s="287" t="s">
        <v>11132</v>
      </c>
      <c r="F255" s="288">
        <v>45780.0</v>
      </c>
      <c r="G255" s="288">
        <v>45776.0</v>
      </c>
      <c r="H255" s="288">
        <v>45776.0</v>
      </c>
      <c r="I255" s="288">
        <v>45785.0</v>
      </c>
      <c r="J255" s="288">
        <v>45785.0</v>
      </c>
      <c r="K255" s="285"/>
      <c r="L255" s="17"/>
      <c r="M255" s="290" t="s">
        <v>11133</v>
      </c>
      <c r="N255" s="299" t="s">
        <v>4635</v>
      </c>
      <c r="O255" s="322" t="s">
        <v>2621</v>
      </c>
      <c r="P255" s="300">
        <v>29968.0</v>
      </c>
      <c r="Q255" s="299">
        <f t="shared" si="2"/>
        <v>18</v>
      </c>
      <c r="R255" s="299"/>
      <c r="S255" s="299" t="s">
        <v>8430</v>
      </c>
      <c r="T255" s="198"/>
      <c r="U255" s="198"/>
      <c r="V255" s="198"/>
      <c r="W255" s="198"/>
      <c r="X255" s="198"/>
      <c r="Y255" s="198"/>
      <c r="Z255" s="198"/>
    </row>
    <row r="256" ht="91.5" customHeight="1">
      <c r="A256" s="370">
        <v>40671.0</v>
      </c>
      <c r="B256" s="299" t="s">
        <v>715</v>
      </c>
      <c r="C256" s="285">
        <v>5092.0</v>
      </c>
      <c r="D256" s="285" t="s">
        <v>11134</v>
      </c>
      <c r="E256" s="287" t="s">
        <v>11135</v>
      </c>
      <c r="F256" s="288">
        <v>45780.0</v>
      </c>
      <c r="G256" s="288">
        <v>45774.0</v>
      </c>
      <c r="H256" s="288">
        <v>45774.0</v>
      </c>
      <c r="I256" s="288">
        <v>45785.0</v>
      </c>
      <c r="J256" s="288">
        <v>45785.0</v>
      </c>
      <c r="K256" s="285"/>
      <c r="L256" s="586"/>
      <c r="M256" s="290" t="s">
        <v>11136</v>
      </c>
      <c r="N256" s="299" t="s">
        <v>4635</v>
      </c>
      <c r="O256" s="322" t="s">
        <v>2621</v>
      </c>
      <c r="P256" s="300">
        <v>46016.84</v>
      </c>
      <c r="Q256" s="299">
        <f t="shared" si="2"/>
        <v>18</v>
      </c>
      <c r="R256" s="299"/>
      <c r="S256" s="299" t="s">
        <v>10487</v>
      </c>
      <c r="T256" s="198"/>
      <c r="U256" s="198"/>
      <c r="V256" s="198"/>
      <c r="W256" s="198"/>
      <c r="X256" s="198"/>
      <c r="Y256" s="198"/>
      <c r="Z256" s="198"/>
    </row>
    <row r="257" ht="91.5" customHeight="1">
      <c r="A257" s="370">
        <v>40444.0</v>
      </c>
      <c r="B257" s="285" t="s">
        <v>21</v>
      </c>
      <c r="C257" s="285">
        <v>4355.0</v>
      </c>
      <c r="D257" s="285" t="s">
        <v>11137</v>
      </c>
      <c r="E257" s="287" t="s">
        <v>10796</v>
      </c>
      <c r="F257" s="288">
        <v>45779.0</v>
      </c>
      <c r="G257" s="288">
        <v>45776.0</v>
      </c>
      <c r="H257" s="288">
        <v>45776.0</v>
      </c>
      <c r="I257" s="288">
        <v>45785.0</v>
      </c>
      <c r="J257" s="288">
        <v>45785.0</v>
      </c>
      <c r="K257" s="285" t="s">
        <v>5270</v>
      </c>
      <c r="L257" s="586" t="s">
        <v>9178</v>
      </c>
      <c r="M257" s="290" t="s">
        <v>11138</v>
      </c>
      <c r="N257" s="299" t="s">
        <v>497</v>
      </c>
      <c r="O257" s="322" t="s">
        <v>2554</v>
      </c>
      <c r="P257" s="300">
        <v>33041.5</v>
      </c>
      <c r="Q257" s="299">
        <f t="shared" si="2"/>
        <v>18</v>
      </c>
      <c r="R257" s="299" t="s">
        <v>9198</v>
      </c>
      <c r="S257" s="299" t="s">
        <v>9171</v>
      </c>
      <c r="T257" s="198"/>
      <c r="U257" s="198"/>
      <c r="V257" s="198"/>
      <c r="W257" s="198"/>
      <c r="X257" s="198"/>
      <c r="Y257" s="198"/>
      <c r="Z257" s="198"/>
    </row>
    <row r="258" ht="91.5" customHeight="1">
      <c r="A258" s="370">
        <v>40443.0</v>
      </c>
      <c r="B258" s="285" t="s">
        <v>21</v>
      </c>
      <c r="C258" s="285">
        <v>4355.0</v>
      </c>
      <c r="D258" s="285" t="s">
        <v>11139</v>
      </c>
      <c r="E258" s="287" t="s">
        <v>10596</v>
      </c>
      <c r="F258" s="288">
        <v>45779.0</v>
      </c>
      <c r="G258" s="288">
        <v>45774.0</v>
      </c>
      <c r="H258" s="288">
        <v>45774.0</v>
      </c>
      <c r="I258" s="288">
        <v>45785.0</v>
      </c>
      <c r="J258" s="288">
        <v>45785.0</v>
      </c>
      <c r="K258" s="285" t="s">
        <v>5270</v>
      </c>
      <c r="L258" s="586" t="s">
        <v>9178</v>
      </c>
      <c r="M258" s="290" t="s">
        <v>11140</v>
      </c>
      <c r="N258" s="299" t="s">
        <v>497</v>
      </c>
      <c r="O258" s="322" t="s">
        <v>2554</v>
      </c>
      <c r="P258" s="300">
        <v>30049.5</v>
      </c>
      <c r="Q258" s="299">
        <f t="shared" si="2"/>
        <v>18</v>
      </c>
      <c r="R258" s="299" t="s">
        <v>9198</v>
      </c>
      <c r="S258" s="299" t="s">
        <v>9171</v>
      </c>
      <c r="T258" s="198"/>
      <c r="U258" s="198"/>
      <c r="V258" s="198"/>
      <c r="W258" s="198"/>
      <c r="X258" s="198"/>
      <c r="Y258" s="198"/>
      <c r="Z258" s="198"/>
    </row>
    <row r="259" ht="91.5" customHeight="1">
      <c r="A259" s="370">
        <v>40436.0</v>
      </c>
      <c r="B259" s="299" t="s">
        <v>715</v>
      </c>
      <c r="C259" s="285">
        <v>4500.0</v>
      </c>
      <c r="D259" s="285" t="s">
        <v>11141</v>
      </c>
      <c r="E259" s="287" t="s">
        <v>7438</v>
      </c>
      <c r="F259" s="288">
        <v>45777.0</v>
      </c>
      <c r="G259" s="288">
        <v>45775.0</v>
      </c>
      <c r="H259" s="288">
        <v>45775.0</v>
      </c>
      <c r="I259" s="288">
        <v>45782.0</v>
      </c>
      <c r="J259" s="288">
        <v>45782.0</v>
      </c>
      <c r="K259" s="285"/>
      <c r="L259" s="17"/>
      <c r="M259" s="290" t="s">
        <v>11142</v>
      </c>
      <c r="N259" s="299" t="s">
        <v>497</v>
      </c>
      <c r="O259" s="322" t="s">
        <v>2554</v>
      </c>
      <c r="P259" s="300">
        <v>33187.5</v>
      </c>
      <c r="Q259" s="299">
        <f t="shared" si="2"/>
        <v>18</v>
      </c>
      <c r="R259" s="299" t="s">
        <v>9170</v>
      </c>
      <c r="S259" s="299" t="s">
        <v>9171</v>
      </c>
      <c r="T259" s="198"/>
      <c r="U259" s="198"/>
      <c r="V259" s="198"/>
      <c r="W259" s="198"/>
      <c r="X259" s="198"/>
      <c r="Y259" s="198"/>
      <c r="Z259" s="198"/>
    </row>
    <row r="260" ht="91.5" customHeight="1">
      <c r="A260" s="370">
        <v>40437.0</v>
      </c>
      <c r="B260" s="299" t="s">
        <v>715</v>
      </c>
      <c r="C260" s="285">
        <v>1250.0</v>
      </c>
      <c r="D260" s="285" t="s">
        <v>11143</v>
      </c>
      <c r="E260" s="287" t="s">
        <v>4637</v>
      </c>
      <c r="F260" s="288">
        <v>45777.0</v>
      </c>
      <c r="G260" s="288">
        <v>45775.0</v>
      </c>
      <c r="H260" s="288">
        <v>45775.0</v>
      </c>
      <c r="I260" s="288">
        <v>45783.0</v>
      </c>
      <c r="J260" s="288">
        <v>45783.0</v>
      </c>
      <c r="K260" s="285"/>
      <c r="L260" s="17"/>
      <c r="M260" s="290" t="s">
        <v>11144</v>
      </c>
      <c r="N260" s="299" t="s">
        <v>497</v>
      </c>
      <c r="O260" s="322" t="s">
        <v>2554</v>
      </c>
      <c r="P260" s="300">
        <v>36250.0</v>
      </c>
      <c r="Q260" s="299">
        <f t="shared" si="2"/>
        <v>18</v>
      </c>
      <c r="R260" s="299" t="s">
        <v>9170</v>
      </c>
      <c r="S260" s="299" t="s">
        <v>9171</v>
      </c>
      <c r="T260" s="198"/>
      <c r="U260" s="198"/>
      <c r="V260" s="198"/>
      <c r="W260" s="198"/>
      <c r="X260" s="198"/>
      <c r="Y260" s="198"/>
      <c r="Z260" s="198"/>
    </row>
    <row r="261" ht="91.5" customHeight="1">
      <c r="A261" s="370">
        <v>40248.0</v>
      </c>
      <c r="B261" s="299" t="s">
        <v>715</v>
      </c>
      <c r="C261" s="285">
        <v>2578.0</v>
      </c>
      <c r="D261" s="285" t="s">
        <v>11145</v>
      </c>
      <c r="E261" s="287" t="s">
        <v>11146</v>
      </c>
      <c r="F261" s="288">
        <v>45777.0</v>
      </c>
      <c r="G261" s="288">
        <v>45774.0</v>
      </c>
      <c r="H261" s="288">
        <v>45774.0</v>
      </c>
      <c r="I261" s="288">
        <v>45784.0</v>
      </c>
      <c r="J261" s="288">
        <v>46880.0</v>
      </c>
      <c r="K261" s="285"/>
      <c r="L261" s="17"/>
      <c r="M261" s="290" t="s">
        <v>11147</v>
      </c>
      <c r="N261" s="299" t="s">
        <v>497</v>
      </c>
      <c r="O261" s="322" t="s">
        <v>2554</v>
      </c>
      <c r="P261" s="300">
        <v>57489.4</v>
      </c>
      <c r="Q261" s="299">
        <f t="shared" si="2"/>
        <v>18</v>
      </c>
      <c r="R261" s="299" t="s">
        <v>9198</v>
      </c>
      <c r="S261" s="299" t="s">
        <v>9171</v>
      </c>
      <c r="T261" s="198"/>
      <c r="U261" s="198"/>
      <c r="V261" s="198"/>
      <c r="W261" s="198"/>
      <c r="X261" s="198"/>
      <c r="Y261" s="198"/>
      <c r="Z261" s="198"/>
    </row>
    <row r="262" ht="91.5" customHeight="1">
      <c r="A262" s="370">
        <v>40349.0</v>
      </c>
      <c r="B262" s="299" t="s">
        <v>715</v>
      </c>
      <c r="C262" s="285">
        <v>565.0</v>
      </c>
      <c r="D262" s="285" t="s">
        <v>11148</v>
      </c>
      <c r="E262" s="287" t="s">
        <v>5313</v>
      </c>
      <c r="F262" s="288">
        <v>45773.0</v>
      </c>
      <c r="G262" s="288">
        <v>45768.0</v>
      </c>
      <c r="H262" s="288">
        <v>45768.0</v>
      </c>
      <c r="I262" s="288">
        <v>45777.0</v>
      </c>
      <c r="J262" s="288">
        <v>45777.0</v>
      </c>
      <c r="K262" s="285"/>
      <c r="L262" s="581"/>
      <c r="M262" s="290" t="s">
        <v>11149</v>
      </c>
      <c r="N262" s="299" t="s">
        <v>4635</v>
      </c>
      <c r="O262" s="322" t="s">
        <v>2621</v>
      </c>
      <c r="P262" s="300">
        <v>60957.85</v>
      </c>
      <c r="Q262" s="299">
        <f t="shared" si="2"/>
        <v>17</v>
      </c>
      <c r="R262" s="299"/>
      <c r="S262" s="299" t="s">
        <v>10487</v>
      </c>
      <c r="T262" s="198"/>
      <c r="U262" s="198"/>
      <c r="V262" s="198"/>
      <c r="W262" s="198"/>
      <c r="X262" s="198"/>
      <c r="Y262" s="198"/>
      <c r="Z262" s="198"/>
    </row>
    <row r="263" ht="91.5" customHeight="1">
      <c r="A263" s="370">
        <v>40350.0</v>
      </c>
      <c r="B263" s="285" t="s">
        <v>21</v>
      </c>
      <c r="C263" s="285">
        <v>1100.0</v>
      </c>
      <c r="D263" s="285" t="s">
        <v>11150</v>
      </c>
      <c r="E263" s="287" t="s">
        <v>11151</v>
      </c>
      <c r="F263" s="288">
        <v>45772.0</v>
      </c>
      <c r="G263" s="288">
        <v>45769.0</v>
      </c>
      <c r="H263" s="288">
        <v>45769.0</v>
      </c>
      <c r="I263" s="288">
        <v>45777.0</v>
      </c>
      <c r="J263" s="288">
        <v>45777.0</v>
      </c>
      <c r="K263" s="573" t="s">
        <v>4916</v>
      </c>
      <c r="L263" s="582"/>
      <c r="M263" s="290" t="s">
        <v>11152</v>
      </c>
      <c r="N263" s="299" t="s">
        <v>4635</v>
      </c>
      <c r="O263" s="322" t="s">
        <v>2621</v>
      </c>
      <c r="P263" s="300">
        <v>88026.4</v>
      </c>
      <c r="Q263" s="299">
        <f t="shared" si="2"/>
        <v>17</v>
      </c>
      <c r="R263" s="299"/>
      <c r="S263" s="299" t="s">
        <v>10487</v>
      </c>
      <c r="T263" s="198"/>
      <c r="U263" s="198"/>
      <c r="V263" s="198"/>
      <c r="W263" s="198"/>
      <c r="X263" s="198"/>
      <c r="Y263" s="198"/>
      <c r="Z263" s="198"/>
    </row>
    <row r="264" ht="91.5" customHeight="1">
      <c r="A264" s="370">
        <v>40670.0</v>
      </c>
      <c r="B264" s="299" t="s">
        <v>6501</v>
      </c>
      <c r="C264" s="285">
        <v>940.0</v>
      </c>
      <c r="D264" s="285" t="s">
        <v>11153</v>
      </c>
      <c r="E264" s="287" t="s">
        <v>11154</v>
      </c>
      <c r="F264" s="288">
        <v>45772.0</v>
      </c>
      <c r="G264" s="288">
        <v>45768.0</v>
      </c>
      <c r="H264" s="288">
        <v>45768.0</v>
      </c>
      <c r="I264" s="288">
        <v>45782.0</v>
      </c>
      <c r="J264" s="288">
        <v>45782.0</v>
      </c>
      <c r="K264" s="285"/>
      <c r="L264" s="17"/>
      <c r="M264" s="290" t="s">
        <v>11155</v>
      </c>
      <c r="N264" s="299" t="s">
        <v>4635</v>
      </c>
      <c r="O264" s="322" t="s">
        <v>2621</v>
      </c>
      <c r="P264" s="300">
        <v>39633.6</v>
      </c>
      <c r="Q264" s="299">
        <f t="shared" si="2"/>
        <v>17</v>
      </c>
      <c r="R264" s="299"/>
      <c r="S264" s="299" t="s">
        <v>8430</v>
      </c>
      <c r="T264" s="198"/>
      <c r="U264" s="198"/>
      <c r="V264" s="198"/>
      <c r="W264" s="198"/>
      <c r="X264" s="198"/>
      <c r="Y264" s="198"/>
      <c r="Z264" s="198"/>
    </row>
    <row r="265" ht="91.5" customHeight="1">
      <c r="A265" s="370">
        <v>40510.0</v>
      </c>
      <c r="B265" s="299" t="s">
        <v>6501</v>
      </c>
      <c r="C265" s="285">
        <v>940.0</v>
      </c>
      <c r="D265" s="285" t="s">
        <v>11156</v>
      </c>
      <c r="E265" s="287" t="s">
        <v>11157</v>
      </c>
      <c r="F265" s="288">
        <v>45771.0</v>
      </c>
      <c r="G265" s="288">
        <v>45763.0</v>
      </c>
      <c r="H265" s="288">
        <v>45763.0</v>
      </c>
      <c r="I265" s="288">
        <v>45775.0</v>
      </c>
      <c r="J265" s="288">
        <v>45775.0</v>
      </c>
      <c r="K265" s="285"/>
      <c r="L265" s="17"/>
      <c r="M265" s="290" t="s">
        <v>11158</v>
      </c>
      <c r="N265" s="299" t="s">
        <v>4635</v>
      </c>
      <c r="O265" s="322" t="s">
        <v>2621</v>
      </c>
      <c r="P265" s="300">
        <v>42317.3</v>
      </c>
      <c r="Q265" s="299">
        <f t="shared" si="2"/>
        <v>17</v>
      </c>
      <c r="R265" s="299"/>
      <c r="S265" s="299" t="s">
        <v>8430</v>
      </c>
      <c r="T265" s="198"/>
      <c r="U265" s="198"/>
      <c r="V265" s="198"/>
      <c r="W265" s="198"/>
      <c r="X265" s="198"/>
      <c r="Y265" s="198"/>
      <c r="Z265" s="198"/>
    </row>
    <row r="266" ht="91.5" customHeight="1">
      <c r="A266" s="370">
        <v>40328.0</v>
      </c>
      <c r="B266" s="285" t="s">
        <v>21</v>
      </c>
      <c r="C266" s="285">
        <v>4500.0</v>
      </c>
      <c r="D266" s="285" t="s">
        <v>11159</v>
      </c>
      <c r="E266" s="287" t="s">
        <v>7438</v>
      </c>
      <c r="F266" s="288">
        <v>45768.0</v>
      </c>
      <c r="G266" s="288">
        <v>45764.0</v>
      </c>
      <c r="H266" s="288">
        <v>45764.0</v>
      </c>
      <c r="I266" s="288">
        <v>45772.0</v>
      </c>
      <c r="J266" s="288">
        <v>45772.0</v>
      </c>
      <c r="K266" s="285" t="s">
        <v>4841</v>
      </c>
      <c r="L266" s="17"/>
      <c r="M266" s="290" t="s">
        <v>11160</v>
      </c>
      <c r="N266" s="299" t="s">
        <v>497</v>
      </c>
      <c r="O266" s="322" t="s">
        <v>2554</v>
      </c>
      <c r="P266" s="300">
        <v>33187.5</v>
      </c>
      <c r="Q266" s="299">
        <f t="shared" si="2"/>
        <v>17</v>
      </c>
      <c r="R266" s="299" t="s">
        <v>9170</v>
      </c>
      <c r="S266" s="299" t="s">
        <v>9171</v>
      </c>
      <c r="T266" s="198"/>
      <c r="U266" s="198"/>
      <c r="V266" s="198"/>
      <c r="W266" s="198"/>
      <c r="X266" s="198"/>
      <c r="Y266" s="198"/>
      <c r="Z266" s="198"/>
    </row>
    <row r="267" ht="91.5" customHeight="1">
      <c r="A267" s="370">
        <v>40760.0</v>
      </c>
      <c r="B267" s="299" t="s">
        <v>715</v>
      </c>
      <c r="C267" s="285">
        <v>1600.0</v>
      </c>
      <c r="D267" s="285" t="s">
        <v>11161</v>
      </c>
      <c r="E267" s="287" t="s">
        <v>11162</v>
      </c>
      <c r="F267" s="288">
        <v>45765.0</v>
      </c>
      <c r="G267" s="288">
        <v>45764.0</v>
      </c>
      <c r="H267" s="288">
        <v>45764.0</v>
      </c>
      <c r="I267" s="288">
        <v>45770.0</v>
      </c>
      <c r="J267" s="288">
        <v>45770.0</v>
      </c>
      <c r="K267" s="285"/>
      <c r="L267" s="17"/>
      <c r="M267" s="290" t="s">
        <v>11163</v>
      </c>
      <c r="N267" s="299" t="s">
        <v>497</v>
      </c>
      <c r="O267" s="322" t="s">
        <v>2621</v>
      </c>
      <c r="P267" s="300">
        <v>44993.0</v>
      </c>
      <c r="Q267" s="299">
        <f t="shared" si="2"/>
        <v>16</v>
      </c>
      <c r="R267" s="299"/>
      <c r="S267" s="299" t="s">
        <v>10487</v>
      </c>
      <c r="T267" s="198"/>
      <c r="U267" s="198"/>
      <c r="V267" s="198"/>
      <c r="W267" s="198"/>
      <c r="X267" s="198"/>
      <c r="Y267" s="198"/>
      <c r="Z267" s="198"/>
    </row>
    <row r="268" ht="91.5" customHeight="1">
      <c r="A268" s="370">
        <v>40222.0</v>
      </c>
      <c r="B268" s="299" t="s">
        <v>715</v>
      </c>
      <c r="C268" s="285">
        <v>1306.0</v>
      </c>
      <c r="D268" s="285" t="s">
        <v>11164</v>
      </c>
      <c r="E268" s="287" t="s">
        <v>10869</v>
      </c>
      <c r="F268" s="288">
        <v>45762.0</v>
      </c>
      <c r="G268" s="288">
        <v>45754.0</v>
      </c>
      <c r="H268" s="288">
        <v>45754.0</v>
      </c>
      <c r="I268" s="288">
        <v>45769.0</v>
      </c>
      <c r="J268" s="288">
        <v>45769.0</v>
      </c>
      <c r="K268" s="285"/>
      <c r="L268" s="17"/>
      <c r="M268" s="290" t="s">
        <v>11165</v>
      </c>
      <c r="N268" s="299" t="s">
        <v>497</v>
      </c>
      <c r="O268" s="322" t="s">
        <v>2554</v>
      </c>
      <c r="P268" s="300">
        <v>44795.8</v>
      </c>
      <c r="Q268" s="299">
        <f t="shared" si="2"/>
        <v>16</v>
      </c>
      <c r="R268" s="299" t="s">
        <v>9198</v>
      </c>
      <c r="S268" s="299" t="s">
        <v>9171</v>
      </c>
      <c r="T268" s="198"/>
      <c r="U268" s="198"/>
      <c r="V268" s="198"/>
      <c r="W268" s="198"/>
      <c r="X268" s="198"/>
      <c r="Y268" s="198"/>
      <c r="Z268" s="198"/>
    </row>
    <row r="269" ht="91.5" customHeight="1">
      <c r="A269" s="370">
        <v>40221.0</v>
      </c>
      <c r="B269" s="299" t="s">
        <v>715</v>
      </c>
      <c r="C269" s="285">
        <v>1306.0</v>
      </c>
      <c r="D269" s="285" t="s">
        <v>11166</v>
      </c>
      <c r="E269" s="287" t="s">
        <v>10763</v>
      </c>
      <c r="F269" s="288">
        <v>45762.0</v>
      </c>
      <c r="G269" s="288">
        <v>45754.0</v>
      </c>
      <c r="H269" s="288">
        <v>45754.0</v>
      </c>
      <c r="I269" s="288">
        <v>45770.0</v>
      </c>
      <c r="J269" s="288">
        <v>45770.0</v>
      </c>
      <c r="K269" s="285"/>
      <c r="L269" s="485"/>
      <c r="M269" s="290" t="s">
        <v>11167</v>
      </c>
      <c r="N269" s="299" t="s">
        <v>497</v>
      </c>
      <c r="O269" s="322" t="s">
        <v>2554</v>
      </c>
      <c r="P269" s="300">
        <v>46036.5</v>
      </c>
      <c r="Q269" s="299">
        <f t="shared" si="2"/>
        <v>16</v>
      </c>
      <c r="R269" s="299" t="s">
        <v>9198</v>
      </c>
      <c r="S269" s="299" t="s">
        <v>9171</v>
      </c>
      <c r="T269" s="198"/>
      <c r="U269" s="198"/>
      <c r="V269" s="198"/>
      <c r="W269" s="198"/>
      <c r="X269" s="198"/>
      <c r="Y269" s="198"/>
      <c r="Z269" s="198"/>
    </row>
    <row r="270" ht="91.5" customHeight="1">
      <c r="A270" s="370">
        <v>40220.0</v>
      </c>
      <c r="B270" s="299" t="s">
        <v>715</v>
      </c>
      <c r="C270" s="285">
        <v>1306.0</v>
      </c>
      <c r="D270" s="285" t="s">
        <v>11168</v>
      </c>
      <c r="E270" s="287" t="s">
        <v>10757</v>
      </c>
      <c r="F270" s="288">
        <v>45762.0</v>
      </c>
      <c r="G270" s="288">
        <v>45753.0</v>
      </c>
      <c r="H270" s="288">
        <v>45753.0</v>
      </c>
      <c r="I270" s="288">
        <v>45769.0</v>
      </c>
      <c r="J270" s="288">
        <v>45769.0</v>
      </c>
      <c r="K270" s="285"/>
      <c r="L270" s="285"/>
      <c r="M270" s="290" t="s">
        <v>11169</v>
      </c>
      <c r="N270" s="299" t="s">
        <v>497</v>
      </c>
      <c r="O270" s="322" t="s">
        <v>2554</v>
      </c>
      <c r="P270" s="300">
        <v>44795.8</v>
      </c>
      <c r="Q270" s="299">
        <f t="shared" si="2"/>
        <v>16</v>
      </c>
      <c r="R270" s="299" t="s">
        <v>9198</v>
      </c>
      <c r="S270" s="299" t="s">
        <v>9171</v>
      </c>
      <c r="T270" s="198"/>
      <c r="U270" s="198"/>
      <c r="V270" s="198"/>
      <c r="W270" s="198"/>
      <c r="X270" s="198"/>
      <c r="Y270" s="198"/>
      <c r="Z270" s="198"/>
    </row>
    <row r="271" ht="91.5" customHeight="1">
      <c r="A271" s="370" t="s">
        <v>11170</v>
      </c>
      <c r="B271" s="285" t="s">
        <v>21</v>
      </c>
      <c r="C271" s="285">
        <v>307.0</v>
      </c>
      <c r="D271" s="285" t="s">
        <v>11171</v>
      </c>
      <c r="E271" s="287" t="s">
        <v>4743</v>
      </c>
      <c r="F271" s="288">
        <v>45762.0</v>
      </c>
      <c r="G271" s="288">
        <v>45765.0</v>
      </c>
      <c r="H271" s="288">
        <v>45765.0</v>
      </c>
      <c r="I271" s="288">
        <v>45768.0</v>
      </c>
      <c r="J271" s="288">
        <v>45768.0</v>
      </c>
      <c r="K271" s="285" t="s">
        <v>11172</v>
      </c>
      <c r="L271" s="285" t="s">
        <v>9178</v>
      </c>
      <c r="M271" s="290" t="s">
        <v>11173</v>
      </c>
      <c r="N271" s="299" t="s">
        <v>4745</v>
      </c>
      <c r="O271" s="322" t="s">
        <v>4746</v>
      </c>
      <c r="P271" s="300">
        <v>99570.8</v>
      </c>
      <c r="Q271" s="299">
        <f t="shared" si="2"/>
        <v>16</v>
      </c>
      <c r="R271" s="299"/>
      <c r="S271" s="299" t="s">
        <v>10487</v>
      </c>
      <c r="T271" s="198"/>
      <c r="U271" s="198"/>
      <c r="V271" s="198"/>
      <c r="W271" s="198"/>
      <c r="X271" s="198"/>
      <c r="Y271" s="198"/>
      <c r="Z271" s="198"/>
    </row>
    <row r="272" ht="91.5" customHeight="1">
      <c r="A272" s="370">
        <v>40250.0</v>
      </c>
      <c r="B272" s="285" t="s">
        <v>21</v>
      </c>
      <c r="C272" s="285">
        <v>1306.0</v>
      </c>
      <c r="D272" s="285" t="s">
        <v>11174</v>
      </c>
      <c r="E272" s="287" t="s">
        <v>9378</v>
      </c>
      <c r="F272" s="288">
        <v>45761.0</v>
      </c>
      <c r="G272" s="288">
        <v>45754.0</v>
      </c>
      <c r="H272" s="288">
        <v>45754.0</v>
      </c>
      <c r="I272" s="288">
        <v>45768.0</v>
      </c>
      <c r="J272" s="288">
        <v>45768.0</v>
      </c>
      <c r="K272" s="285" t="s">
        <v>5270</v>
      </c>
      <c r="L272" s="285" t="s">
        <v>9178</v>
      </c>
      <c r="M272" s="290" t="s">
        <v>11175</v>
      </c>
      <c r="N272" s="299" t="s">
        <v>497</v>
      </c>
      <c r="O272" s="322" t="s">
        <v>2554</v>
      </c>
      <c r="P272" s="300">
        <v>44795.8</v>
      </c>
      <c r="Q272" s="299">
        <f t="shared" si="2"/>
        <v>16</v>
      </c>
      <c r="R272" s="299" t="s">
        <v>9198</v>
      </c>
      <c r="S272" s="299" t="s">
        <v>9171</v>
      </c>
      <c r="T272" s="198"/>
      <c r="U272" s="198"/>
      <c r="V272" s="198"/>
      <c r="W272" s="198"/>
      <c r="X272" s="198"/>
      <c r="Y272" s="198"/>
      <c r="Z272" s="198"/>
    </row>
    <row r="273" ht="91.5" customHeight="1">
      <c r="A273" s="370">
        <v>40346.0</v>
      </c>
      <c r="B273" s="299" t="s">
        <v>715</v>
      </c>
      <c r="C273" s="285">
        <v>1100.0</v>
      </c>
      <c r="D273" s="285" t="s">
        <v>11176</v>
      </c>
      <c r="E273" s="287" t="s">
        <v>9215</v>
      </c>
      <c r="F273" s="288">
        <v>45759.0</v>
      </c>
      <c r="G273" s="288">
        <v>45756.0</v>
      </c>
      <c r="H273" s="288">
        <v>45756.0</v>
      </c>
      <c r="I273" s="288">
        <v>45762.0</v>
      </c>
      <c r="J273" s="288">
        <v>45762.0</v>
      </c>
      <c r="K273" s="285"/>
      <c r="L273" s="17"/>
      <c r="M273" s="290" t="s">
        <v>11177</v>
      </c>
      <c r="N273" s="299" t="s">
        <v>4635</v>
      </c>
      <c r="O273" s="322" t="s">
        <v>2621</v>
      </c>
      <c r="P273" s="300">
        <v>80988.1</v>
      </c>
      <c r="Q273" s="299">
        <f t="shared" si="2"/>
        <v>15</v>
      </c>
      <c r="R273" s="299"/>
      <c r="S273" s="299" t="s">
        <v>10487</v>
      </c>
      <c r="T273" s="198"/>
      <c r="U273" s="198"/>
      <c r="V273" s="198"/>
      <c r="W273" s="198"/>
      <c r="X273" s="198"/>
      <c r="Y273" s="198"/>
      <c r="Z273" s="198"/>
    </row>
    <row r="274" ht="91.5" customHeight="1">
      <c r="A274" s="370">
        <v>40327.0</v>
      </c>
      <c r="B274" s="299" t="s">
        <v>715</v>
      </c>
      <c r="C274" s="285">
        <v>1250.0</v>
      </c>
      <c r="D274" s="285" t="s">
        <v>11178</v>
      </c>
      <c r="E274" s="287" t="s">
        <v>4637</v>
      </c>
      <c r="F274" s="288">
        <v>45759.0</v>
      </c>
      <c r="G274" s="288">
        <v>45756.0</v>
      </c>
      <c r="H274" s="288">
        <v>45756.0</v>
      </c>
      <c r="I274" s="288">
        <v>45763.0</v>
      </c>
      <c r="J274" s="288">
        <v>45763.0</v>
      </c>
      <c r="K274" s="285"/>
      <c r="L274" s="17"/>
      <c r="M274" s="290" t="s">
        <v>11179</v>
      </c>
      <c r="N274" s="299" t="s">
        <v>497</v>
      </c>
      <c r="O274" s="322" t="s">
        <v>2554</v>
      </c>
      <c r="P274" s="300">
        <v>36250.0</v>
      </c>
      <c r="Q274" s="299">
        <f t="shared" si="2"/>
        <v>15</v>
      </c>
      <c r="R274" s="299" t="s">
        <v>9170</v>
      </c>
      <c r="S274" s="299" t="s">
        <v>9171</v>
      </c>
      <c r="T274" s="198"/>
      <c r="U274" s="198"/>
      <c r="V274" s="198"/>
      <c r="W274" s="198"/>
      <c r="X274" s="198"/>
      <c r="Y274" s="198"/>
      <c r="Z274" s="198"/>
    </row>
    <row r="275" ht="91.5" customHeight="1">
      <c r="A275" s="370">
        <v>40283.0</v>
      </c>
      <c r="B275" s="299" t="s">
        <v>715</v>
      </c>
      <c r="C275" s="285">
        <v>1050.0</v>
      </c>
      <c r="D275" s="285" t="s">
        <v>11180</v>
      </c>
      <c r="E275" s="287" t="s">
        <v>11181</v>
      </c>
      <c r="F275" s="288">
        <v>45758.0</v>
      </c>
      <c r="G275" s="288">
        <v>45754.0</v>
      </c>
      <c r="H275" s="288">
        <v>45754.0</v>
      </c>
      <c r="I275" s="288">
        <v>45762.0</v>
      </c>
      <c r="J275" s="288">
        <v>45762.0</v>
      </c>
      <c r="K275" s="285"/>
      <c r="L275" s="17"/>
      <c r="M275" s="290" t="s">
        <v>11182</v>
      </c>
      <c r="N275" s="299" t="s">
        <v>4635</v>
      </c>
      <c r="O275" s="322" t="s">
        <v>2621</v>
      </c>
      <c r="P275" s="300">
        <v>33766.0</v>
      </c>
      <c r="Q275" s="299">
        <f t="shared" si="2"/>
        <v>15</v>
      </c>
      <c r="R275" s="299"/>
      <c r="S275" s="299" t="s">
        <v>8430</v>
      </c>
      <c r="T275" s="198"/>
      <c r="U275" s="198"/>
      <c r="V275" s="198"/>
      <c r="W275" s="198"/>
      <c r="X275" s="198"/>
      <c r="Y275" s="198"/>
      <c r="Z275" s="198"/>
    </row>
    <row r="276" ht="91.5" customHeight="1">
      <c r="A276" s="370">
        <v>40653.0</v>
      </c>
      <c r="B276" s="299" t="s">
        <v>25</v>
      </c>
      <c r="C276" s="285" t="s">
        <v>11183</v>
      </c>
      <c r="D276" s="285" t="s">
        <v>11184</v>
      </c>
      <c r="E276" s="287" t="s">
        <v>11185</v>
      </c>
      <c r="F276" s="288">
        <v>45757.0</v>
      </c>
      <c r="G276" s="285" t="s">
        <v>4841</v>
      </c>
      <c r="H276" s="285" t="s">
        <v>4841</v>
      </c>
      <c r="I276" s="288">
        <v>45768.0</v>
      </c>
      <c r="J276" s="288">
        <v>45768.0</v>
      </c>
      <c r="K276" s="285"/>
      <c r="L276" s="17"/>
      <c r="M276" s="290" t="s">
        <v>11186</v>
      </c>
      <c r="N276" s="299" t="s">
        <v>497</v>
      </c>
      <c r="O276" s="322" t="s">
        <v>2538</v>
      </c>
      <c r="P276" s="300">
        <v>41600.0</v>
      </c>
      <c r="Q276" s="299">
        <f t="shared" si="2"/>
        <v>15</v>
      </c>
      <c r="R276" s="299"/>
      <c r="S276" s="299" t="s">
        <v>10487</v>
      </c>
      <c r="T276" s="198"/>
      <c r="U276" s="198"/>
      <c r="V276" s="198"/>
      <c r="W276" s="198"/>
      <c r="X276" s="198"/>
      <c r="Y276" s="198"/>
      <c r="Z276" s="198"/>
    </row>
    <row r="277" ht="91.5" customHeight="1">
      <c r="A277" s="370">
        <v>40281.0</v>
      </c>
      <c r="B277" s="299" t="s">
        <v>715</v>
      </c>
      <c r="C277" s="285">
        <v>940.0</v>
      </c>
      <c r="D277" s="285" t="s">
        <v>11187</v>
      </c>
      <c r="E277" s="287" t="s">
        <v>11188</v>
      </c>
      <c r="F277" s="288">
        <v>45756.0</v>
      </c>
      <c r="G277" s="288">
        <v>45754.0</v>
      </c>
      <c r="H277" s="288">
        <v>45754.0</v>
      </c>
      <c r="I277" s="288">
        <v>45764.0</v>
      </c>
      <c r="J277" s="288">
        <v>45764.0</v>
      </c>
      <c r="K277" s="285"/>
      <c r="L277" s="285"/>
      <c r="M277" s="290" t="s">
        <v>11189</v>
      </c>
      <c r="N277" s="299" t="s">
        <v>4635</v>
      </c>
      <c r="O277" s="322" t="s">
        <v>2621</v>
      </c>
      <c r="P277" s="300">
        <v>40304.8</v>
      </c>
      <c r="Q277" s="299">
        <f t="shared" si="2"/>
        <v>15</v>
      </c>
      <c r="R277" s="299"/>
      <c r="S277" s="299" t="s">
        <v>8430</v>
      </c>
      <c r="T277" s="198"/>
      <c r="U277" s="198"/>
      <c r="V277" s="198"/>
      <c r="W277" s="198"/>
      <c r="X277" s="198"/>
      <c r="Y277" s="198"/>
      <c r="Z277" s="198"/>
    </row>
    <row r="278" ht="91.5" customHeight="1">
      <c r="A278" s="370">
        <v>40172.0</v>
      </c>
      <c r="B278" s="299" t="s">
        <v>715</v>
      </c>
      <c r="C278" s="285">
        <v>2578.0</v>
      </c>
      <c r="D278" s="285" t="s">
        <v>11190</v>
      </c>
      <c r="E278" s="287" t="s">
        <v>11191</v>
      </c>
      <c r="F278" s="288">
        <v>45753.0</v>
      </c>
      <c r="G278" s="288">
        <v>45748.0</v>
      </c>
      <c r="H278" s="288">
        <v>45748.0</v>
      </c>
      <c r="I278" s="288">
        <v>45758.0</v>
      </c>
      <c r="J278" s="288">
        <v>45758.0</v>
      </c>
      <c r="K278" s="285" t="s">
        <v>5270</v>
      </c>
      <c r="L278" s="285" t="s">
        <v>9178</v>
      </c>
      <c r="M278" s="290" t="s">
        <v>11192</v>
      </c>
      <c r="N278" s="299" t="s">
        <v>497</v>
      </c>
      <c r="O278" s="322" t="s">
        <v>2554</v>
      </c>
      <c r="P278" s="300">
        <v>58546.66</v>
      </c>
      <c r="Q278" s="299">
        <f t="shared" si="2"/>
        <v>15</v>
      </c>
      <c r="R278" s="299" t="s">
        <v>9198</v>
      </c>
      <c r="S278" s="299" t="s">
        <v>9171</v>
      </c>
      <c r="T278" s="198"/>
      <c r="U278" s="198"/>
      <c r="V278" s="198"/>
      <c r="W278" s="198"/>
      <c r="X278" s="198"/>
      <c r="Y278" s="198"/>
      <c r="Z278" s="198"/>
    </row>
    <row r="279" ht="91.5" customHeight="1">
      <c r="A279" s="370">
        <v>40472.0</v>
      </c>
      <c r="B279" s="285" t="s">
        <v>21</v>
      </c>
      <c r="C279" s="285">
        <v>1803.0</v>
      </c>
      <c r="D279" s="285" t="s">
        <v>11193</v>
      </c>
      <c r="E279" s="287" t="s">
        <v>10521</v>
      </c>
      <c r="F279" s="288">
        <v>45753.0</v>
      </c>
      <c r="G279" s="288">
        <v>45747.0</v>
      </c>
      <c r="H279" s="288">
        <v>45747.0</v>
      </c>
      <c r="I279" s="288">
        <v>45758.0</v>
      </c>
      <c r="J279" s="288">
        <v>45758.0</v>
      </c>
      <c r="K279" s="285" t="s">
        <v>5270</v>
      </c>
      <c r="L279" s="285" t="s">
        <v>9178</v>
      </c>
      <c r="M279" s="290" t="s">
        <v>11194</v>
      </c>
      <c r="N279" s="299" t="s">
        <v>6366</v>
      </c>
      <c r="O279" s="322" t="s">
        <v>2621</v>
      </c>
      <c r="P279" s="300">
        <v>40608.0</v>
      </c>
      <c r="Q279" s="299">
        <f t="shared" si="2"/>
        <v>15</v>
      </c>
      <c r="R279" s="299"/>
      <c r="S279" s="299" t="s">
        <v>10487</v>
      </c>
      <c r="T279" s="366"/>
      <c r="U279" s="366"/>
      <c r="V279" s="366"/>
      <c r="W279" s="366"/>
      <c r="X279" s="366"/>
      <c r="Y279" s="366"/>
      <c r="Z279" s="366"/>
    </row>
    <row r="280" ht="91.5" customHeight="1">
      <c r="A280" s="370">
        <v>40219.0</v>
      </c>
      <c r="B280" s="299" t="s">
        <v>715</v>
      </c>
      <c r="C280" s="285">
        <v>1306.0</v>
      </c>
      <c r="D280" s="285" t="s">
        <v>11195</v>
      </c>
      <c r="E280" s="287" t="s">
        <v>4713</v>
      </c>
      <c r="F280" s="288">
        <v>45751.0</v>
      </c>
      <c r="G280" s="288">
        <v>45747.0</v>
      </c>
      <c r="H280" s="288">
        <v>45747.0</v>
      </c>
      <c r="I280" s="288">
        <v>45755.0</v>
      </c>
      <c r="J280" s="288">
        <v>45755.0</v>
      </c>
      <c r="K280" s="285"/>
      <c r="L280" s="285"/>
      <c r="M280" s="290" t="s">
        <v>11196</v>
      </c>
      <c r="N280" s="299" t="s">
        <v>497</v>
      </c>
      <c r="O280" s="322" t="s">
        <v>2554</v>
      </c>
      <c r="P280" s="300">
        <v>44795.8</v>
      </c>
      <c r="Q280" s="299">
        <f t="shared" si="2"/>
        <v>14</v>
      </c>
      <c r="R280" s="299" t="s">
        <v>9198</v>
      </c>
      <c r="S280" s="299" t="s">
        <v>9171</v>
      </c>
      <c r="T280" s="198"/>
      <c r="U280" s="198"/>
      <c r="V280" s="198"/>
      <c r="W280" s="198"/>
      <c r="X280" s="198"/>
      <c r="Y280" s="198"/>
      <c r="Z280" s="198"/>
    </row>
    <row r="281" ht="91.5" customHeight="1">
      <c r="A281" s="370">
        <v>40545.0</v>
      </c>
      <c r="B281" s="285" t="s">
        <v>21</v>
      </c>
      <c r="C281" s="285">
        <v>5000.0</v>
      </c>
      <c r="D281" s="285" t="s">
        <v>11197</v>
      </c>
      <c r="E281" s="287" t="s">
        <v>11198</v>
      </c>
      <c r="F281" s="288">
        <v>45751.0</v>
      </c>
      <c r="G281" s="288">
        <v>45747.0</v>
      </c>
      <c r="H281" s="288">
        <v>45747.0</v>
      </c>
      <c r="I281" s="288">
        <v>45756.0</v>
      </c>
      <c r="J281" s="288">
        <v>45756.0</v>
      </c>
      <c r="K281" s="285" t="s">
        <v>11199</v>
      </c>
      <c r="L281" s="285" t="s">
        <v>9178</v>
      </c>
      <c r="M281" s="290" t="s">
        <v>11200</v>
      </c>
      <c r="N281" s="299" t="s">
        <v>4635</v>
      </c>
      <c r="O281" s="322" t="s">
        <v>2621</v>
      </c>
      <c r="P281" s="300">
        <v>45863.0</v>
      </c>
      <c r="Q281" s="299">
        <f t="shared" si="2"/>
        <v>14</v>
      </c>
      <c r="R281" s="299"/>
      <c r="S281" s="299" t="s">
        <v>10487</v>
      </c>
      <c r="T281" s="366"/>
      <c r="U281" s="366"/>
      <c r="V281" s="366"/>
      <c r="W281" s="366"/>
      <c r="X281" s="366"/>
      <c r="Y281" s="366"/>
      <c r="Z281" s="366"/>
    </row>
    <row r="282" ht="91.5" customHeight="1">
      <c r="A282" s="370">
        <v>40501.0</v>
      </c>
      <c r="B282" s="285" t="s">
        <v>21</v>
      </c>
      <c r="C282" s="285">
        <v>1250.0</v>
      </c>
      <c r="D282" s="285" t="s">
        <v>11201</v>
      </c>
      <c r="E282" s="287" t="s">
        <v>11202</v>
      </c>
      <c r="F282" s="288">
        <v>45751.0</v>
      </c>
      <c r="G282" s="288">
        <v>45747.0</v>
      </c>
      <c r="H282" s="288">
        <v>45750.0</v>
      </c>
      <c r="I282" s="288">
        <v>45757.0</v>
      </c>
      <c r="J282" s="288">
        <v>45757.0</v>
      </c>
      <c r="K282" s="285" t="s">
        <v>11203</v>
      </c>
      <c r="L282" s="285" t="s">
        <v>9178</v>
      </c>
      <c r="M282" s="290" t="s">
        <v>11204</v>
      </c>
      <c r="N282" s="299" t="s">
        <v>4635</v>
      </c>
      <c r="O282" s="322" t="s">
        <v>2621</v>
      </c>
      <c r="P282" s="300">
        <v>28710.5</v>
      </c>
      <c r="Q282" s="299">
        <f t="shared" si="2"/>
        <v>14</v>
      </c>
      <c r="R282" s="299"/>
      <c r="S282" s="299" t="s">
        <v>8430</v>
      </c>
      <c r="T282" s="366"/>
      <c r="U282" s="366"/>
      <c r="V282" s="366"/>
      <c r="W282" s="366"/>
      <c r="X282" s="366"/>
      <c r="Y282" s="366"/>
      <c r="Z282" s="366"/>
    </row>
    <row r="283" ht="91.5" customHeight="1">
      <c r="A283" s="370">
        <v>40246.0</v>
      </c>
      <c r="B283" s="299" t="s">
        <v>25</v>
      </c>
      <c r="C283" s="285">
        <v>1306.0</v>
      </c>
      <c r="D283" s="285" t="s">
        <v>11205</v>
      </c>
      <c r="E283" s="287" t="s">
        <v>11206</v>
      </c>
      <c r="F283" s="288">
        <v>45751.0</v>
      </c>
      <c r="G283" s="288">
        <v>45747.0</v>
      </c>
      <c r="H283" s="288">
        <v>45747.0</v>
      </c>
      <c r="I283" s="288">
        <v>45756.0</v>
      </c>
      <c r="J283" s="288">
        <v>45756.0</v>
      </c>
      <c r="K283" s="285"/>
      <c r="L283" s="17"/>
      <c r="M283" s="290" t="s">
        <v>11207</v>
      </c>
      <c r="N283" s="299" t="s">
        <v>497</v>
      </c>
      <c r="O283" s="322" t="s">
        <v>2554</v>
      </c>
      <c r="P283" s="300">
        <v>45099.8</v>
      </c>
      <c r="Q283" s="299">
        <f t="shared" si="2"/>
        <v>14</v>
      </c>
      <c r="R283" s="299" t="s">
        <v>9198</v>
      </c>
      <c r="S283" s="299" t="s">
        <v>9171</v>
      </c>
      <c r="T283" s="198"/>
      <c r="U283" s="198"/>
      <c r="V283" s="198"/>
      <c r="W283" s="198"/>
      <c r="X283" s="198"/>
      <c r="Y283" s="198"/>
      <c r="Z283" s="198"/>
    </row>
    <row r="284" ht="91.5" customHeight="1">
      <c r="A284" s="370">
        <v>40546.0</v>
      </c>
      <c r="B284" s="299" t="s">
        <v>25</v>
      </c>
      <c r="C284" s="285">
        <v>5000.0</v>
      </c>
      <c r="D284" s="285" t="s">
        <v>11208</v>
      </c>
      <c r="E284" s="287" t="s">
        <v>10491</v>
      </c>
      <c r="F284" s="288">
        <v>45749.0</v>
      </c>
      <c r="G284" s="288">
        <v>45747.0</v>
      </c>
      <c r="H284" s="288">
        <v>45747.0</v>
      </c>
      <c r="I284" s="288">
        <v>45757.0</v>
      </c>
      <c r="J284" s="288">
        <v>45757.0</v>
      </c>
      <c r="K284" s="285"/>
      <c r="L284" s="17"/>
      <c r="M284" s="290" t="s">
        <v>11209</v>
      </c>
      <c r="N284" s="299" t="s">
        <v>4635</v>
      </c>
      <c r="O284" s="322" t="s">
        <v>2621</v>
      </c>
      <c r="P284" s="300">
        <v>45870.0</v>
      </c>
      <c r="Q284" s="299">
        <f t="shared" si="2"/>
        <v>14</v>
      </c>
      <c r="R284" s="299"/>
      <c r="S284" s="299" t="s">
        <v>10487</v>
      </c>
      <c r="T284" s="198"/>
      <c r="U284" s="198"/>
      <c r="V284" s="198"/>
      <c r="W284" s="198"/>
      <c r="X284" s="198"/>
      <c r="Y284" s="198"/>
      <c r="Z284" s="198"/>
    </row>
    <row r="285" ht="91.5" customHeight="1">
      <c r="A285" s="370">
        <v>40500.0</v>
      </c>
      <c r="B285" s="299" t="s">
        <v>25</v>
      </c>
      <c r="C285" s="285">
        <v>1250.0</v>
      </c>
      <c r="D285" s="285" t="s">
        <v>11210</v>
      </c>
      <c r="E285" s="287" t="s">
        <v>11211</v>
      </c>
      <c r="F285" s="288">
        <v>45749.0</v>
      </c>
      <c r="G285" s="288">
        <v>45747.0</v>
      </c>
      <c r="H285" s="288">
        <v>45747.0</v>
      </c>
      <c r="I285" s="288">
        <v>45755.0</v>
      </c>
      <c r="J285" s="288">
        <v>45755.0</v>
      </c>
      <c r="K285" s="285"/>
      <c r="L285" s="17"/>
      <c r="M285" s="290" t="s">
        <v>11212</v>
      </c>
      <c r="N285" s="299" t="s">
        <v>4635</v>
      </c>
      <c r="O285" s="322" t="s">
        <v>2621</v>
      </c>
      <c r="P285" s="300">
        <v>28760.5</v>
      </c>
      <c r="Q285" s="299">
        <f t="shared" si="2"/>
        <v>14</v>
      </c>
      <c r="R285" s="299"/>
      <c r="S285" s="299" t="s">
        <v>8430</v>
      </c>
      <c r="T285" s="198"/>
      <c r="U285" s="198"/>
      <c r="V285" s="198"/>
      <c r="W285" s="198"/>
      <c r="X285" s="198"/>
      <c r="Y285" s="198"/>
      <c r="Z285" s="198"/>
    </row>
    <row r="286" ht="91.5" customHeight="1">
      <c r="A286" s="370">
        <v>40570.0</v>
      </c>
      <c r="B286" s="285" t="s">
        <v>21</v>
      </c>
      <c r="C286" s="285">
        <v>2750.0</v>
      </c>
      <c r="D286" s="285" t="s">
        <v>11213</v>
      </c>
      <c r="E286" s="287" t="s">
        <v>10614</v>
      </c>
      <c r="F286" s="288">
        <v>45747.0</v>
      </c>
      <c r="G286" s="288">
        <v>45747.0</v>
      </c>
      <c r="H286" s="288">
        <v>45747.0</v>
      </c>
      <c r="I286" s="288">
        <v>45755.0</v>
      </c>
      <c r="J286" s="288">
        <v>45755.0</v>
      </c>
      <c r="K286" s="285" t="s">
        <v>4841</v>
      </c>
      <c r="L286" s="285"/>
      <c r="M286" s="290" t="s">
        <v>11214</v>
      </c>
      <c r="N286" s="299" t="s">
        <v>4635</v>
      </c>
      <c r="O286" s="322" t="s">
        <v>2621</v>
      </c>
      <c r="P286" s="300">
        <v>35200.0</v>
      </c>
      <c r="Q286" s="299">
        <f t="shared" si="2"/>
        <v>14</v>
      </c>
      <c r="R286" s="299"/>
      <c r="S286" s="299" t="s">
        <v>10487</v>
      </c>
      <c r="T286" s="198"/>
      <c r="U286" s="198"/>
      <c r="V286" s="198"/>
      <c r="W286" s="198"/>
      <c r="X286" s="198"/>
      <c r="Y286" s="198"/>
      <c r="Z286" s="198"/>
    </row>
    <row r="287" ht="91.5" customHeight="1">
      <c r="A287" s="370">
        <v>40249.0</v>
      </c>
      <c r="B287" s="285" t="s">
        <v>21</v>
      </c>
      <c r="C287" s="285">
        <v>2275.0</v>
      </c>
      <c r="D287" s="285" t="s">
        <v>11215</v>
      </c>
      <c r="E287" s="287" t="s">
        <v>10860</v>
      </c>
      <c r="F287" s="288">
        <v>45747.0</v>
      </c>
      <c r="G287" s="288">
        <v>45742.0</v>
      </c>
      <c r="H287" s="288">
        <v>45742.0</v>
      </c>
      <c r="I287" s="288">
        <v>45751.0</v>
      </c>
      <c r="J287" s="288">
        <v>45751.0</v>
      </c>
      <c r="K287" s="285" t="s">
        <v>5270</v>
      </c>
      <c r="L287" s="285" t="s">
        <v>9178</v>
      </c>
      <c r="M287" s="290" t="s">
        <v>11216</v>
      </c>
      <c r="N287" s="299" t="s">
        <v>497</v>
      </c>
      <c r="O287" s="322" t="s">
        <v>2554</v>
      </c>
      <c r="P287" s="300">
        <v>35740.0</v>
      </c>
      <c r="Q287" s="299">
        <f t="shared" si="2"/>
        <v>14</v>
      </c>
      <c r="R287" s="299" t="s">
        <v>9198</v>
      </c>
      <c r="S287" s="299" t="s">
        <v>9171</v>
      </c>
      <c r="T287" s="198"/>
      <c r="U287" s="198"/>
      <c r="V287" s="198"/>
      <c r="W287" s="198"/>
      <c r="X287" s="198"/>
      <c r="Y287" s="198"/>
      <c r="Z287" s="198"/>
    </row>
    <row r="288" ht="91.5" customHeight="1">
      <c r="A288" s="370">
        <v>40278.0</v>
      </c>
      <c r="B288" s="299" t="s">
        <v>715</v>
      </c>
      <c r="C288" s="285">
        <v>940.0</v>
      </c>
      <c r="D288" s="285" t="s">
        <v>11217</v>
      </c>
      <c r="E288" s="287" t="s">
        <v>11188</v>
      </c>
      <c r="F288" s="288">
        <v>45746.0</v>
      </c>
      <c r="G288" s="288">
        <v>45742.0</v>
      </c>
      <c r="H288" s="288">
        <v>45742.0</v>
      </c>
      <c r="I288" s="288">
        <v>45749.0</v>
      </c>
      <c r="J288" s="288">
        <v>45749.0</v>
      </c>
      <c r="K288" s="285"/>
      <c r="L288" s="31"/>
      <c r="M288" s="290" t="s">
        <v>11218</v>
      </c>
      <c r="N288" s="299" t="s">
        <v>4635</v>
      </c>
      <c r="O288" s="322" t="s">
        <v>2621</v>
      </c>
      <c r="P288" s="300">
        <v>40549.8</v>
      </c>
      <c r="Q288" s="299">
        <f t="shared" si="2"/>
        <v>14</v>
      </c>
      <c r="R288" s="299"/>
      <c r="S288" s="299" t="s">
        <v>8430</v>
      </c>
      <c r="T288" s="198"/>
      <c r="U288" s="198"/>
      <c r="V288" s="198"/>
      <c r="W288" s="198"/>
      <c r="X288" s="198"/>
      <c r="Y288" s="198"/>
      <c r="Z288" s="198"/>
    </row>
    <row r="289" ht="91.5" customHeight="1">
      <c r="A289" s="370">
        <v>40030.0</v>
      </c>
      <c r="B289" s="299" t="s">
        <v>715</v>
      </c>
      <c r="C289" s="285">
        <v>4356.0</v>
      </c>
      <c r="D289" s="285" t="s">
        <v>11219</v>
      </c>
      <c r="E289" s="287" t="s">
        <v>7479</v>
      </c>
      <c r="F289" s="288">
        <v>45745.0</v>
      </c>
      <c r="G289" s="288">
        <v>45739.0</v>
      </c>
      <c r="H289" s="288">
        <v>45739.0</v>
      </c>
      <c r="I289" s="288">
        <v>45749.0</v>
      </c>
      <c r="J289" s="288">
        <v>45749.0</v>
      </c>
      <c r="K289" s="285"/>
      <c r="L289" s="17"/>
      <c r="M289" s="290" t="s">
        <v>11220</v>
      </c>
      <c r="N289" s="299" t="s">
        <v>497</v>
      </c>
      <c r="O289" s="322" t="s">
        <v>2554</v>
      </c>
      <c r="P289" s="300">
        <v>34005.84</v>
      </c>
      <c r="Q289" s="299">
        <f t="shared" si="2"/>
        <v>13</v>
      </c>
      <c r="R289" s="299" t="s">
        <v>9198</v>
      </c>
      <c r="S289" s="299" t="s">
        <v>9171</v>
      </c>
      <c r="T289" s="366"/>
      <c r="U289" s="366"/>
      <c r="V289" s="366"/>
      <c r="W289" s="366"/>
      <c r="X289" s="366"/>
      <c r="Y289" s="366"/>
      <c r="Z289" s="366"/>
    </row>
    <row r="290" ht="91.5" customHeight="1">
      <c r="A290" s="370">
        <v>40321.0</v>
      </c>
      <c r="B290" s="299" t="s">
        <v>25</v>
      </c>
      <c r="C290" s="285">
        <v>940.0</v>
      </c>
      <c r="D290" s="285" t="s">
        <v>11221</v>
      </c>
      <c r="E290" s="287" t="s">
        <v>11222</v>
      </c>
      <c r="F290" s="288">
        <v>45743.0</v>
      </c>
      <c r="G290" s="288">
        <v>45740.0</v>
      </c>
      <c r="H290" s="288">
        <v>45740.0</v>
      </c>
      <c r="I290" s="288">
        <v>45750.0</v>
      </c>
      <c r="J290" s="372">
        <v>45750.0</v>
      </c>
      <c r="K290" s="285"/>
      <c r="L290" s="17"/>
      <c r="M290" s="290" t="s">
        <v>11223</v>
      </c>
      <c r="N290" s="299" t="s">
        <v>4635</v>
      </c>
      <c r="O290" s="322" t="s">
        <v>2621</v>
      </c>
      <c r="P290" s="300">
        <v>39809.0</v>
      </c>
      <c r="Q290" s="299">
        <f t="shared" si="2"/>
        <v>13</v>
      </c>
      <c r="R290" s="299"/>
      <c r="S290" s="299" t="s">
        <v>8430</v>
      </c>
      <c r="T290" s="198"/>
      <c r="U290" s="198"/>
      <c r="V290" s="198"/>
      <c r="W290" s="198"/>
      <c r="X290" s="198"/>
      <c r="Y290" s="198"/>
      <c r="Z290" s="198"/>
    </row>
    <row r="291" ht="91.5" customHeight="1">
      <c r="A291" s="370">
        <v>40247.0</v>
      </c>
      <c r="B291" s="299" t="s">
        <v>25</v>
      </c>
      <c r="C291" s="285">
        <v>2578.0</v>
      </c>
      <c r="D291" s="285" t="s">
        <v>11224</v>
      </c>
      <c r="E291" s="287" t="s">
        <v>10617</v>
      </c>
      <c r="F291" s="288">
        <v>45743.0</v>
      </c>
      <c r="G291" s="288">
        <v>45739.0</v>
      </c>
      <c r="H291" s="288">
        <v>45739.0</v>
      </c>
      <c r="I291" s="288">
        <v>45749.0</v>
      </c>
      <c r="J291" s="288">
        <v>45749.0</v>
      </c>
      <c r="K291" s="285"/>
      <c r="L291" s="17"/>
      <c r="M291" s="290" t="s">
        <v>11225</v>
      </c>
      <c r="N291" s="299" t="s">
        <v>497</v>
      </c>
      <c r="O291" s="322" t="s">
        <v>2554</v>
      </c>
      <c r="P291" s="300">
        <v>57824.4</v>
      </c>
      <c r="Q291" s="299">
        <f t="shared" si="2"/>
        <v>13</v>
      </c>
      <c r="R291" s="299" t="s">
        <v>9198</v>
      </c>
      <c r="S291" s="299" t="s">
        <v>9171</v>
      </c>
      <c r="T291" s="198"/>
      <c r="U291" s="198"/>
      <c r="V291" s="198"/>
      <c r="W291" s="198"/>
      <c r="X291" s="198"/>
      <c r="Y291" s="198"/>
      <c r="Z291" s="198"/>
    </row>
    <row r="292" ht="91.5" customHeight="1">
      <c r="A292" s="370">
        <v>40242.0</v>
      </c>
      <c r="B292" s="299" t="s">
        <v>25</v>
      </c>
      <c r="C292" s="285">
        <v>2413.0</v>
      </c>
      <c r="D292" s="285" t="s">
        <v>11226</v>
      </c>
      <c r="E292" s="287" t="s">
        <v>10617</v>
      </c>
      <c r="F292" s="288">
        <v>45743.0</v>
      </c>
      <c r="G292" s="288">
        <v>45739.0</v>
      </c>
      <c r="H292" s="288">
        <v>45739.0</v>
      </c>
      <c r="I292" s="288">
        <v>45748.0</v>
      </c>
      <c r="J292" s="288">
        <v>45748.0</v>
      </c>
      <c r="K292" s="285"/>
      <c r="L292" s="17"/>
      <c r="M292" s="290" t="s">
        <v>11227</v>
      </c>
      <c r="N292" s="299" t="s">
        <v>497</v>
      </c>
      <c r="O292" s="322" t="s">
        <v>2554</v>
      </c>
      <c r="P292" s="300">
        <v>42468.8</v>
      </c>
      <c r="Q292" s="299">
        <f t="shared" si="2"/>
        <v>13</v>
      </c>
      <c r="R292" s="299" t="s">
        <v>9198</v>
      </c>
      <c r="S292" s="299" t="s">
        <v>9171</v>
      </c>
      <c r="T292" s="198"/>
      <c r="U292" s="198"/>
      <c r="V292" s="198"/>
      <c r="W292" s="198"/>
      <c r="X292" s="198"/>
      <c r="Y292" s="198"/>
      <c r="Z292" s="198"/>
    </row>
    <row r="293" ht="91.5" customHeight="1">
      <c r="A293" s="370">
        <v>40325.0</v>
      </c>
      <c r="B293" s="299" t="s">
        <v>715</v>
      </c>
      <c r="C293" s="285">
        <v>1250.0</v>
      </c>
      <c r="D293" s="285" t="s">
        <v>11228</v>
      </c>
      <c r="E293" s="287" t="s">
        <v>4637</v>
      </c>
      <c r="F293" s="288">
        <v>45743.0</v>
      </c>
      <c r="G293" s="288">
        <v>45740.0</v>
      </c>
      <c r="H293" s="288">
        <v>45740.0</v>
      </c>
      <c r="I293" s="288">
        <v>45747.0</v>
      </c>
      <c r="J293" s="288">
        <v>45747.0</v>
      </c>
      <c r="K293" s="285"/>
      <c r="L293" s="17"/>
      <c r="M293" s="290" t="s">
        <v>11229</v>
      </c>
      <c r="N293" s="299" t="s">
        <v>497</v>
      </c>
      <c r="O293" s="322" t="s">
        <v>2554</v>
      </c>
      <c r="P293" s="300">
        <v>36250.0</v>
      </c>
      <c r="Q293" s="299">
        <f t="shared" si="2"/>
        <v>13</v>
      </c>
      <c r="R293" s="299" t="s">
        <v>9170</v>
      </c>
      <c r="S293" s="299" t="s">
        <v>9171</v>
      </c>
      <c r="T293" s="198"/>
      <c r="U293" s="198"/>
      <c r="V293" s="198"/>
      <c r="W293" s="198"/>
      <c r="X293" s="198"/>
      <c r="Y293" s="198"/>
      <c r="Z293" s="198"/>
    </row>
    <row r="294" ht="91.5" customHeight="1">
      <c r="A294" s="370">
        <v>40324.0</v>
      </c>
      <c r="B294" s="299" t="s">
        <v>715</v>
      </c>
      <c r="C294" s="285">
        <v>4500.0</v>
      </c>
      <c r="D294" s="285" t="s">
        <v>11230</v>
      </c>
      <c r="E294" s="287" t="s">
        <v>4690</v>
      </c>
      <c r="F294" s="288">
        <v>45743.0</v>
      </c>
      <c r="G294" s="288">
        <v>45740.0</v>
      </c>
      <c r="H294" s="288">
        <v>45740.0</v>
      </c>
      <c r="I294" s="288">
        <v>45748.0</v>
      </c>
      <c r="J294" s="288">
        <v>45748.0</v>
      </c>
      <c r="K294" s="285"/>
      <c r="L294" s="17"/>
      <c r="M294" s="290" t="s">
        <v>11231</v>
      </c>
      <c r="N294" s="299" t="s">
        <v>497</v>
      </c>
      <c r="O294" s="322" t="s">
        <v>2554</v>
      </c>
      <c r="P294" s="300">
        <v>32625.0</v>
      </c>
      <c r="Q294" s="299">
        <f t="shared" si="2"/>
        <v>13</v>
      </c>
      <c r="R294" s="299" t="s">
        <v>9170</v>
      </c>
      <c r="S294" s="299" t="s">
        <v>9171</v>
      </c>
      <c r="T294" s="198"/>
      <c r="U294" s="198"/>
      <c r="V294" s="198"/>
      <c r="W294" s="198"/>
      <c r="X294" s="198"/>
      <c r="Y294" s="198"/>
      <c r="Z294" s="198"/>
    </row>
    <row r="295" ht="91.5" customHeight="1">
      <c r="A295" s="370">
        <v>40280.0</v>
      </c>
      <c r="B295" s="299" t="s">
        <v>715</v>
      </c>
      <c r="C295" s="285">
        <v>950.0</v>
      </c>
      <c r="D295" s="285" t="s">
        <v>11232</v>
      </c>
      <c r="E295" s="287" t="s">
        <v>11233</v>
      </c>
      <c r="F295" s="288">
        <v>45742.0</v>
      </c>
      <c r="G295" s="288">
        <v>45740.0</v>
      </c>
      <c r="H295" s="288">
        <v>45740.0</v>
      </c>
      <c r="I295" s="288">
        <v>45744.0</v>
      </c>
      <c r="J295" s="288">
        <v>45744.0</v>
      </c>
      <c r="K295" s="285"/>
      <c r="L295" s="285"/>
      <c r="M295" s="290" t="s">
        <v>11234</v>
      </c>
      <c r="N295" s="299" t="s">
        <v>4635</v>
      </c>
      <c r="O295" s="322" t="s">
        <v>2621</v>
      </c>
      <c r="P295" s="300">
        <v>39205.0</v>
      </c>
      <c r="Q295" s="299">
        <f t="shared" si="2"/>
        <v>13</v>
      </c>
      <c r="R295" s="299"/>
      <c r="S295" s="299" t="s">
        <v>8430</v>
      </c>
      <c r="T295" s="198"/>
      <c r="U295" s="198"/>
      <c r="V295" s="198"/>
      <c r="W295" s="198"/>
      <c r="X295" s="198"/>
      <c r="Y295" s="198"/>
      <c r="Z295" s="198"/>
    </row>
    <row r="296" ht="91.5" customHeight="1">
      <c r="A296" s="370">
        <v>39652.0</v>
      </c>
      <c r="B296" s="285" t="s">
        <v>21</v>
      </c>
      <c r="C296" s="285">
        <v>2205.0</v>
      </c>
      <c r="D296" s="285" t="s">
        <v>11235</v>
      </c>
      <c r="E296" s="287" t="s">
        <v>10497</v>
      </c>
      <c r="F296" s="288">
        <v>45739.0</v>
      </c>
      <c r="G296" s="288">
        <v>45734.0</v>
      </c>
      <c r="H296" s="288">
        <v>45734.0</v>
      </c>
      <c r="I296" s="288">
        <v>45748.0</v>
      </c>
      <c r="J296" s="288">
        <v>45748.0</v>
      </c>
      <c r="K296" s="285" t="s">
        <v>11236</v>
      </c>
      <c r="L296" s="285" t="s">
        <v>9178</v>
      </c>
      <c r="M296" s="290" t="s">
        <v>11237</v>
      </c>
      <c r="N296" s="299" t="s">
        <v>497</v>
      </c>
      <c r="O296" s="322" t="s">
        <v>2604</v>
      </c>
      <c r="P296" s="300">
        <v>68074.37</v>
      </c>
      <c r="Q296" s="299">
        <f t="shared" si="2"/>
        <v>13</v>
      </c>
      <c r="R296" s="299"/>
      <c r="S296" s="299" t="s">
        <v>10487</v>
      </c>
      <c r="T296" s="366"/>
      <c r="U296" s="366"/>
      <c r="V296" s="366"/>
      <c r="W296" s="366"/>
      <c r="X296" s="366"/>
      <c r="Y296" s="366"/>
      <c r="Z296" s="366"/>
    </row>
    <row r="297" ht="91.5" customHeight="1">
      <c r="A297" s="370">
        <v>40345.0</v>
      </c>
      <c r="B297" s="299" t="s">
        <v>715</v>
      </c>
      <c r="C297" s="285">
        <v>1100.0</v>
      </c>
      <c r="D297" s="367" t="s">
        <v>11238</v>
      </c>
      <c r="E297" s="287" t="s">
        <v>9215</v>
      </c>
      <c r="F297" s="288">
        <v>45738.0</v>
      </c>
      <c r="G297" s="288">
        <v>45735.0</v>
      </c>
      <c r="H297" s="288">
        <v>45735.0</v>
      </c>
      <c r="I297" s="288">
        <v>45741.0</v>
      </c>
      <c r="J297" s="288">
        <v>45741.0</v>
      </c>
      <c r="K297" s="285"/>
      <c r="L297" s="17"/>
      <c r="M297" s="290" t="s">
        <v>11239</v>
      </c>
      <c r="N297" s="299" t="s">
        <v>4635</v>
      </c>
      <c r="O297" s="322" t="s">
        <v>2621</v>
      </c>
      <c r="P297" s="300">
        <v>80988.1</v>
      </c>
      <c r="Q297" s="299">
        <f t="shared" si="2"/>
        <v>12</v>
      </c>
      <c r="R297" s="299"/>
      <c r="S297" s="299" t="s">
        <v>10487</v>
      </c>
      <c r="T297" s="198"/>
      <c r="U297" s="198"/>
      <c r="V297" s="198"/>
      <c r="W297" s="198"/>
      <c r="X297" s="198"/>
      <c r="Y297" s="198"/>
      <c r="Z297" s="198"/>
    </row>
    <row r="298" ht="91.5" customHeight="1">
      <c r="A298" s="370">
        <v>40276.0</v>
      </c>
      <c r="B298" s="299" t="s">
        <v>715</v>
      </c>
      <c r="C298" s="285">
        <v>940.0</v>
      </c>
      <c r="D298" s="285" t="s">
        <v>11240</v>
      </c>
      <c r="E298" s="287" t="s">
        <v>11222</v>
      </c>
      <c r="F298" s="288">
        <v>45738.0</v>
      </c>
      <c r="G298" s="288">
        <v>45734.0</v>
      </c>
      <c r="H298" s="288">
        <v>45734.0</v>
      </c>
      <c r="I298" s="288">
        <v>45742.0</v>
      </c>
      <c r="J298" s="288">
        <v>45742.0</v>
      </c>
      <c r="K298" s="285"/>
      <c r="L298" s="17"/>
      <c r="M298" s="290" t="s">
        <v>11241</v>
      </c>
      <c r="N298" s="299" t="s">
        <v>4635</v>
      </c>
      <c r="O298" s="322" t="s">
        <v>2621</v>
      </c>
      <c r="P298" s="300">
        <v>41284.8</v>
      </c>
      <c r="Q298" s="299">
        <f t="shared" si="2"/>
        <v>12</v>
      </c>
      <c r="R298" s="299"/>
      <c r="S298" s="299" t="s">
        <v>8430</v>
      </c>
      <c r="T298" s="198"/>
      <c r="U298" s="198"/>
      <c r="V298" s="198"/>
      <c r="W298" s="198"/>
      <c r="X298" s="198"/>
      <c r="Y298" s="198"/>
      <c r="Z298" s="198"/>
    </row>
    <row r="299" ht="91.5" customHeight="1">
      <c r="A299" s="370">
        <v>40217.0</v>
      </c>
      <c r="B299" s="285" t="s">
        <v>21</v>
      </c>
      <c r="C299" s="285">
        <v>4356.0</v>
      </c>
      <c r="D299" s="285" t="s">
        <v>11242</v>
      </c>
      <c r="E299" s="287" t="s">
        <v>7523</v>
      </c>
      <c r="F299" s="288">
        <v>45738.0</v>
      </c>
      <c r="G299" s="288">
        <v>45732.0</v>
      </c>
      <c r="H299" s="288">
        <v>45732.0</v>
      </c>
      <c r="I299" s="288">
        <v>45743.0</v>
      </c>
      <c r="J299" s="288">
        <v>45743.0</v>
      </c>
      <c r="K299" s="285" t="s">
        <v>4841</v>
      </c>
      <c r="L299" s="285"/>
      <c r="M299" s="290" t="s">
        <v>11243</v>
      </c>
      <c r="N299" s="299" t="s">
        <v>497</v>
      </c>
      <c r="O299" s="322" t="s">
        <v>2554</v>
      </c>
      <c r="P299" s="300">
        <v>30056.4</v>
      </c>
      <c r="Q299" s="299">
        <f t="shared" si="2"/>
        <v>12</v>
      </c>
      <c r="R299" s="299" t="s">
        <v>9198</v>
      </c>
      <c r="S299" s="299" t="s">
        <v>9171</v>
      </c>
      <c r="T299" s="198"/>
      <c r="U299" s="198"/>
      <c r="V299" s="198"/>
      <c r="W299" s="198"/>
      <c r="X299" s="198"/>
      <c r="Y299" s="198"/>
      <c r="Z299" s="198"/>
    </row>
    <row r="300" ht="91.5" customHeight="1">
      <c r="A300" s="370">
        <v>40339.0</v>
      </c>
      <c r="B300" s="285" t="s">
        <v>21</v>
      </c>
      <c r="C300" s="285">
        <v>1070.0</v>
      </c>
      <c r="D300" s="285" t="s">
        <v>11244</v>
      </c>
      <c r="E300" s="287" t="s">
        <v>11245</v>
      </c>
      <c r="F300" s="288">
        <v>45738.0</v>
      </c>
      <c r="G300" s="288">
        <v>45733.0</v>
      </c>
      <c r="H300" s="288">
        <v>45736.0</v>
      </c>
      <c r="I300" s="288">
        <v>45748.0</v>
      </c>
      <c r="J300" s="288">
        <v>45748.0</v>
      </c>
      <c r="K300" s="285" t="s">
        <v>11246</v>
      </c>
      <c r="L300" s="285" t="s">
        <v>9178</v>
      </c>
      <c r="M300" s="290" t="s">
        <v>11247</v>
      </c>
      <c r="N300" s="299" t="s">
        <v>4635</v>
      </c>
      <c r="O300" s="322" t="s">
        <v>2621</v>
      </c>
      <c r="P300" s="300">
        <v>61730.9</v>
      </c>
      <c r="Q300" s="299">
        <f t="shared" si="2"/>
        <v>12</v>
      </c>
      <c r="R300" s="299"/>
      <c r="S300" s="299" t="s">
        <v>8430</v>
      </c>
      <c r="T300" s="198"/>
      <c r="U300" s="198"/>
      <c r="V300" s="198"/>
      <c r="W300" s="198"/>
      <c r="X300" s="198"/>
      <c r="Y300" s="198"/>
      <c r="Z300" s="198"/>
    </row>
    <row r="301" ht="91.5" customHeight="1">
      <c r="A301" s="370">
        <v>39928.0</v>
      </c>
      <c r="B301" s="299" t="s">
        <v>715</v>
      </c>
      <c r="C301" s="285">
        <v>5055.0</v>
      </c>
      <c r="D301" s="285" t="s">
        <v>11248</v>
      </c>
      <c r="E301" s="287" t="s">
        <v>11249</v>
      </c>
      <c r="F301" s="288">
        <v>45735.0</v>
      </c>
      <c r="G301" s="288">
        <v>45732.0</v>
      </c>
      <c r="H301" s="288">
        <v>45732.0</v>
      </c>
      <c r="I301" s="288">
        <v>45737.0</v>
      </c>
      <c r="J301" s="288">
        <v>45737.0</v>
      </c>
      <c r="K301" s="285"/>
      <c r="L301" s="17"/>
      <c r="M301" s="290" t="s">
        <v>11250</v>
      </c>
      <c r="N301" s="299" t="s">
        <v>4635</v>
      </c>
      <c r="O301" s="322" t="s">
        <v>2621</v>
      </c>
      <c r="P301" s="300">
        <v>48413.12</v>
      </c>
      <c r="Q301" s="299">
        <f t="shared" si="2"/>
        <v>12</v>
      </c>
      <c r="R301" s="299"/>
      <c r="S301" s="299" t="s">
        <v>10487</v>
      </c>
      <c r="T301" s="198"/>
      <c r="U301" s="198"/>
      <c r="V301" s="198"/>
      <c r="W301" s="198"/>
      <c r="X301" s="198"/>
      <c r="Y301" s="198"/>
      <c r="Z301" s="198"/>
    </row>
    <row r="302" ht="91.5" customHeight="1">
      <c r="A302" s="370">
        <v>40173.0</v>
      </c>
      <c r="B302" s="285" t="s">
        <v>21</v>
      </c>
      <c r="C302" s="285">
        <v>4356.0</v>
      </c>
      <c r="D302" s="285" t="s">
        <v>11251</v>
      </c>
      <c r="E302" s="287" t="s">
        <v>7479</v>
      </c>
      <c r="F302" s="288">
        <v>45733.0</v>
      </c>
      <c r="G302" s="288">
        <v>45728.0</v>
      </c>
      <c r="H302" s="288">
        <v>45728.0</v>
      </c>
      <c r="I302" s="288">
        <v>45742.0</v>
      </c>
      <c r="J302" s="288">
        <v>45742.0</v>
      </c>
      <c r="K302" s="285" t="s">
        <v>4841</v>
      </c>
      <c r="L302" s="17"/>
      <c r="M302" s="290" t="s">
        <v>11252</v>
      </c>
      <c r="N302" s="299" t="s">
        <v>497</v>
      </c>
      <c r="O302" s="322" t="s">
        <v>2554</v>
      </c>
      <c r="P302" s="300">
        <v>33018.48</v>
      </c>
      <c r="Q302" s="299">
        <f t="shared" si="2"/>
        <v>12</v>
      </c>
      <c r="R302" s="299" t="s">
        <v>9198</v>
      </c>
      <c r="S302" s="299" t="s">
        <v>9171</v>
      </c>
      <c r="T302" s="198"/>
      <c r="U302" s="198"/>
      <c r="V302" s="198"/>
      <c r="W302" s="198"/>
      <c r="X302" s="198"/>
      <c r="Y302" s="198"/>
      <c r="Z302" s="198"/>
    </row>
    <row r="303" ht="91.5" customHeight="1">
      <c r="A303" s="370">
        <v>40326.0</v>
      </c>
      <c r="B303" s="285" t="s">
        <v>21</v>
      </c>
      <c r="C303" s="285">
        <v>4500.0</v>
      </c>
      <c r="D303" s="285" t="s">
        <v>11253</v>
      </c>
      <c r="E303" s="287" t="s">
        <v>7438</v>
      </c>
      <c r="F303" s="288">
        <v>45733.0</v>
      </c>
      <c r="G303" s="288">
        <v>45730.0</v>
      </c>
      <c r="H303" s="288">
        <v>45730.0</v>
      </c>
      <c r="I303" s="288">
        <v>45741.0</v>
      </c>
      <c r="J303" s="288">
        <v>45741.0</v>
      </c>
      <c r="K303" s="285" t="s">
        <v>4841</v>
      </c>
      <c r="L303" s="285"/>
      <c r="M303" s="290" t="s">
        <v>11254</v>
      </c>
      <c r="N303" s="299" t="s">
        <v>497</v>
      </c>
      <c r="O303" s="322" t="s">
        <v>2554</v>
      </c>
      <c r="P303" s="300">
        <v>33187.5</v>
      </c>
      <c r="Q303" s="299">
        <f t="shared" si="2"/>
        <v>12</v>
      </c>
      <c r="R303" s="299" t="s">
        <v>9170</v>
      </c>
      <c r="S303" s="299" t="s">
        <v>9171</v>
      </c>
      <c r="T303" s="198"/>
      <c r="U303" s="198"/>
      <c r="V303" s="198"/>
      <c r="W303" s="198"/>
      <c r="X303" s="198"/>
      <c r="Y303" s="198"/>
      <c r="Z303" s="198"/>
    </row>
    <row r="304" ht="91.5" customHeight="1">
      <c r="A304" s="370">
        <v>40424.0</v>
      </c>
      <c r="B304" s="285" t="s">
        <v>21</v>
      </c>
      <c r="C304" s="285">
        <v>1230.0</v>
      </c>
      <c r="D304" s="285" t="s">
        <v>11255</v>
      </c>
      <c r="E304" s="287" t="s">
        <v>5211</v>
      </c>
      <c r="F304" s="288">
        <v>45733.0</v>
      </c>
      <c r="G304" s="288">
        <v>45728.0</v>
      </c>
      <c r="H304" s="288">
        <v>45728.0</v>
      </c>
      <c r="I304" s="288">
        <v>45742.0</v>
      </c>
      <c r="J304" s="288">
        <v>45742.0</v>
      </c>
      <c r="K304" s="285" t="s">
        <v>11256</v>
      </c>
      <c r="L304" s="285" t="s">
        <v>9178</v>
      </c>
      <c r="M304" s="290" t="s">
        <v>11257</v>
      </c>
      <c r="N304" s="299" t="s">
        <v>497</v>
      </c>
      <c r="O304" s="322" t="s">
        <v>2604</v>
      </c>
      <c r="P304" s="300">
        <v>19574.1</v>
      </c>
      <c r="Q304" s="299">
        <f t="shared" si="2"/>
        <v>12</v>
      </c>
      <c r="R304" s="299"/>
      <c r="S304" s="299" t="s">
        <v>10487</v>
      </c>
      <c r="T304" s="198"/>
      <c r="U304" s="198"/>
      <c r="V304" s="198"/>
      <c r="W304" s="198"/>
      <c r="X304" s="198"/>
      <c r="Y304" s="198"/>
      <c r="Z304" s="198"/>
    </row>
    <row r="305" ht="91.5" customHeight="1">
      <c r="A305" s="370">
        <v>40474.0</v>
      </c>
      <c r="B305" s="299" t="s">
        <v>25</v>
      </c>
      <c r="C305" s="285">
        <v>1800.0</v>
      </c>
      <c r="D305" s="285" t="s">
        <v>11258</v>
      </c>
      <c r="E305" s="287" t="s">
        <v>10521</v>
      </c>
      <c r="F305" s="288">
        <v>45733.0</v>
      </c>
      <c r="G305" s="288">
        <v>45728.0</v>
      </c>
      <c r="H305" s="288">
        <v>45728.0</v>
      </c>
      <c r="I305" s="288">
        <v>45736.0</v>
      </c>
      <c r="J305" s="288">
        <v>45736.0</v>
      </c>
      <c r="K305" s="285"/>
      <c r="L305" s="17"/>
      <c r="M305" s="290" t="s">
        <v>11259</v>
      </c>
      <c r="N305" s="299" t="s">
        <v>6366</v>
      </c>
      <c r="O305" s="322" t="s">
        <v>2621</v>
      </c>
      <c r="P305" s="300">
        <v>40608.0</v>
      </c>
      <c r="Q305" s="299">
        <f t="shared" si="2"/>
        <v>12</v>
      </c>
      <c r="R305" s="299"/>
      <c r="S305" s="299" t="s">
        <v>10487</v>
      </c>
      <c r="T305" s="198"/>
      <c r="U305" s="198"/>
      <c r="V305" s="198"/>
      <c r="W305" s="198"/>
      <c r="X305" s="198"/>
      <c r="Y305" s="198"/>
      <c r="Z305" s="198"/>
    </row>
    <row r="306" ht="91.5" customHeight="1">
      <c r="A306" s="370">
        <v>40032.0</v>
      </c>
      <c r="B306" s="299" t="s">
        <v>715</v>
      </c>
      <c r="C306" s="285">
        <v>1306.0</v>
      </c>
      <c r="D306" s="285" t="s">
        <v>11260</v>
      </c>
      <c r="E306" s="287" t="s">
        <v>4681</v>
      </c>
      <c r="F306" s="288">
        <v>45730.0</v>
      </c>
      <c r="G306" s="288">
        <v>45724.0</v>
      </c>
      <c r="H306" s="288">
        <v>45724.0</v>
      </c>
      <c r="I306" s="288">
        <v>45736.0</v>
      </c>
      <c r="J306" s="288">
        <v>45736.0</v>
      </c>
      <c r="K306" s="285"/>
      <c r="L306" s="17"/>
      <c r="M306" s="290" t="s">
        <v>11261</v>
      </c>
      <c r="N306" s="299" t="s">
        <v>497</v>
      </c>
      <c r="O306" s="322" t="s">
        <v>2554</v>
      </c>
      <c r="P306" s="300">
        <v>44795.8</v>
      </c>
      <c r="Q306" s="299">
        <f t="shared" si="2"/>
        <v>11</v>
      </c>
      <c r="R306" s="299" t="s">
        <v>9198</v>
      </c>
      <c r="S306" s="299" t="s">
        <v>9171</v>
      </c>
      <c r="T306" s="198"/>
      <c r="U306" s="198"/>
      <c r="V306" s="198"/>
      <c r="W306" s="198"/>
      <c r="X306" s="198"/>
      <c r="Y306" s="198"/>
      <c r="Z306" s="198"/>
    </row>
    <row r="307" ht="99.75" customHeight="1">
      <c r="A307" s="370">
        <v>40329.0</v>
      </c>
      <c r="B307" s="299" t="s">
        <v>25</v>
      </c>
      <c r="C307" s="285">
        <v>1250.0</v>
      </c>
      <c r="D307" s="285" t="s">
        <v>11262</v>
      </c>
      <c r="E307" s="287" t="s">
        <v>4637</v>
      </c>
      <c r="F307" s="288">
        <v>45729.0</v>
      </c>
      <c r="G307" s="288">
        <v>45726.0</v>
      </c>
      <c r="H307" s="288">
        <v>45726.0</v>
      </c>
      <c r="I307" s="288">
        <v>45735.0</v>
      </c>
      <c r="J307" s="288">
        <v>45735.0</v>
      </c>
      <c r="K307" s="285"/>
      <c r="L307" s="17"/>
      <c r="M307" s="290" t="s">
        <v>11263</v>
      </c>
      <c r="N307" s="299" t="s">
        <v>497</v>
      </c>
      <c r="O307" s="322" t="s">
        <v>2554</v>
      </c>
      <c r="P307" s="300">
        <v>36250.0</v>
      </c>
      <c r="Q307" s="299">
        <f t="shared" si="2"/>
        <v>11</v>
      </c>
      <c r="R307" s="299" t="s">
        <v>9170</v>
      </c>
      <c r="S307" s="299" t="s">
        <v>9171</v>
      </c>
      <c r="T307" s="198"/>
      <c r="U307" s="198"/>
      <c r="V307" s="198"/>
      <c r="W307" s="198"/>
      <c r="X307" s="198"/>
      <c r="Y307" s="198"/>
      <c r="Z307" s="198"/>
    </row>
    <row r="308" ht="92.25" customHeight="1">
      <c r="A308" s="370">
        <v>40266.0</v>
      </c>
      <c r="B308" s="299" t="s">
        <v>6501</v>
      </c>
      <c r="C308" s="285">
        <v>940.0</v>
      </c>
      <c r="D308" s="285" t="s">
        <v>11264</v>
      </c>
      <c r="E308" s="287" t="s">
        <v>11265</v>
      </c>
      <c r="F308" s="288">
        <v>45729.0</v>
      </c>
      <c r="G308" s="288">
        <v>45726.0</v>
      </c>
      <c r="H308" s="288">
        <v>45726.0</v>
      </c>
      <c r="I308" s="288">
        <v>45735.0</v>
      </c>
      <c r="J308" s="288">
        <v>45735.0</v>
      </c>
      <c r="K308" s="285"/>
      <c r="L308" s="17"/>
      <c r="M308" s="290" t="s">
        <v>11266</v>
      </c>
      <c r="N308" s="299" t="s">
        <v>4635</v>
      </c>
      <c r="O308" s="322" t="s">
        <v>2621</v>
      </c>
      <c r="P308" s="300">
        <v>43517.3</v>
      </c>
      <c r="Q308" s="299">
        <f t="shared" si="2"/>
        <v>11</v>
      </c>
      <c r="R308" s="299"/>
      <c r="S308" s="299" t="s">
        <v>8430</v>
      </c>
      <c r="T308" s="198"/>
      <c r="U308" s="198"/>
      <c r="V308" s="198"/>
      <c r="W308" s="198"/>
      <c r="X308" s="198"/>
      <c r="Y308" s="198"/>
      <c r="Z308" s="198"/>
    </row>
    <row r="309" ht="98.25" customHeight="1">
      <c r="A309" s="370">
        <v>40323.0</v>
      </c>
      <c r="B309" s="299" t="s">
        <v>715</v>
      </c>
      <c r="C309" s="285">
        <v>2400.0</v>
      </c>
      <c r="D309" s="285" t="s">
        <v>11267</v>
      </c>
      <c r="E309" s="287" t="s">
        <v>4796</v>
      </c>
      <c r="F309" s="288">
        <v>45727.0</v>
      </c>
      <c r="G309" s="288">
        <v>45722.0</v>
      </c>
      <c r="H309" s="288">
        <v>45722.0</v>
      </c>
      <c r="I309" s="288">
        <v>45735.0</v>
      </c>
      <c r="J309" s="288">
        <v>45735.0</v>
      </c>
      <c r="K309" s="285"/>
      <c r="L309" s="285"/>
      <c r="M309" s="290" t="s">
        <v>11268</v>
      </c>
      <c r="N309" s="299" t="s">
        <v>497</v>
      </c>
      <c r="O309" s="322" t="s">
        <v>2554</v>
      </c>
      <c r="P309" s="300">
        <v>41592.0</v>
      </c>
      <c r="Q309" s="299">
        <f t="shared" si="2"/>
        <v>11</v>
      </c>
      <c r="R309" s="299" t="s">
        <v>9170</v>
      </c>
      <c r="S309" s="299" t="s">
        <v>9171</v>
      </c>
      <c r="T309" s="198"/>
      <c r="U309" s="198"/>
      <c r="V309" s="198"/>
      <c r="W309" s="198"/>
      <c r="X309" s="198"/>
      <c r="Y309" s="198"/>
      <c r="Z309" s="198"/>
    </row>
    <row r="310" ht="91.5" customHeight="1">
      <c r="A310" s="370">
        <v>40167.0</v>
      </c>
      <c r="B310" s="285" t="s">
        <v>21</v>
      </c>
      <c r="C310" s="285">
        <v>4356.0</v>
      </c>
      <c r="D310" s="285" t="s">
        <v>11269</v>
      </c>
      <c r="E310" s="287" t="s">
        <v>6358</v>
      </c>
      <c r="F310" s="288">
        <v>45726.0</v>
      </c>
      <c r="G310" s="288">
        <v>45722.0</v>
      </c>
      <c r="H310" s="288">
        <v>45722.0</v>
      </c>
      <c r="I310" s="288">
        <v>45730.0</v>
      </c>
      <c r="J310" s="288">
        <v>45730.0</v>
      </c>
      <c r="K310" s="285" t="s">
        <v>5270</v>
      </c>
      <c r="L310" s="285" t="s">
        <v>9178</v>
      </c>
      <c r="M310" s="290" t="s">
        <v>11270</v>
      </c>
      <c r="N310" s="299" t="s">
        <v>497</v>
      </c>
      <c r="O310" s="322" t="s">
        <v>2554</v>
      </c>
      <c r="P310" s="300">
        <v>30056.4</v>
      </c>
      <c r="Q310" s="299">
        <f t="shared" si="2"/>
        <v>11</v>
      </c>
      <c r="R310" s="299" t="s">
        <v>9198</v>
      </c>
      <c r="S310" s="299" t="s">
        <v>9171</v>
      </c>
      <c r="T310" s="366"/>
      <c r="U310" s="366"/>
      <c r="V310" s="366"/>
      <c r="W310" s="366"/>
      <c r="X310" s="366"/>
      <c r="Y310" s="366"/>
      <c r="Z310" s="366"/>
    </row>
    <row r="311" ht="91.5" customHeight="1">
      <c r="A311" s="370">
        <v>40158.0</v>
      </c>
      <c r="B311" s="285" t="s">
        <v>21</v>
      </c>
      <c r="C311" s="285">
        <v>2578.0</v>
      </c>
      <c r="D311" s="285" t="s">
        <v>11271</v>
      </c>
      <c r="E311" s="287" t="s">
        <v>11272</v>
      </c>
      <c r="F311" s="288">
        <v>45726.0</v>
      </c>
      <c r="G311" s="288">
        <v>45722.0</v>
      </c>
      <c r="H311" s="288">
        <v>45722.0</v>
      </c>
      <c r="I311" s="288">
        <v>45730.0</v>
      </c>
      <c r="J311" s="288">
        <v>45730.0</v>
      </c>
      <c r="K311" s="285" t="s">
        <v>5270</v>
      </c>
      <c r="L311" s="285" t="s">
        <v>9178</v>
      </c>
      <c r="M311" s="290" t="s">
        <v>11273</v>
      </c>
      <c r="N311" s="299" t="s">
        <v>497</v>
      </c>
      <c r="O311" s="322" t="s">
        <v>2554</v>
      </c>
      <c r="P311" s="300">
        <v>57921.55</v>
      </c>
      <c r="Q311" s="299">
        <f t="shared" si="2"/>
        <v>11</v>
      </c>
      <c r="R311" s="299" t="s">
        <v>9198</v>
      </c>
      <c r="S311" s="299" t="s">
        <v>9171</v>
      </c>
      <c r="T311" s="366"/>
      <c r="U311" s="366"/>
      <c r="V311" s="366"/>
      <c r="W311" s="366"/>
      <c r="X311" s="366"/>
      <c r="Y311" s="366"/>
      <c r="Z311" s="366"/>
    </row>
    <row r="312" ht="91.5" customHeight="1">
      <c r="A312" s="370">
        <v>40170.0</v>
      </c>
      <c r="B312" s="299" t="s">
        <v>25</v>
      </c>
      <c r="C312" s="285">
        <v>1306.0</v>
      </c>
      <c r="D312" s="285" t="s">
        <v>11274</v>
      </c>
      <c r="E312" s="287" t="s">
        <v>11275</v>
      </c>
      <c r="F312" s="288">
        <v>45725.0</v>
      </c>
      <c r="G312" s="288">
        <v>45721.0</v>
      </c>
      <c r="H312" s="288">
        <v>45721.0</v>
      </c>
      <c r="I312" s="288">
        <v>45729.0</v>
      </c>
      <c r="J312" s="288">
        <v>45729.0</v>
      </c>
      <c r="K312" s="285"/>
      <c r="L312" s="17"/>
      <c r="M312" s="290" t="s">
        <v>11276</v>
      </c>
      <c r="N312" s="299" t="s">
        <v>497</v>
      </c>
      <c r="O312" s="322" t="s">
        <v>2554</v>
      </c>
      <c r="P312" s="300">
        <v>46036.5</v>
      </c>
      <c r="Q312" s="299">
        <f t="shared" si="2"/>
        <v>11</v>
      </c>
      <c r="R312" s="299" t="s">
        <v>9198</v>
      </c>
      <c r="S312" s="299" t="s">
        <v>9171</v>
      </c>
      <c r="T312" s="198"/>
      <c r="U312" s="198"/>
      <c r="V312" s="198"/>
      <c r="W312" s="198"/>
      <c r="X312" s="198"/>
      <c r="Y312" s="198"/>
      <c r="Z312" s="198"/>
    </row>
    <row r="313" ht="91.5" customHeight="1">
      <c r="A313" s="370">
        <v>39777.0</v>
      </c>
      <c r="B313" s="299" t="s">
        <v>715</v>
      </c>
      <c r="C313" s="285">
        <v>1000.0</v>
      </c>
      <c r="D313" s="285" t="s">
        <v>11277</v>
      </c>
      <c r="E313" s="287" t="s">
        <v>11278</v>
      </c>
      <c r="F313" s="288">
        <v>45725.0</v>
      </c>
      <c r="G313" s="288">
        <v>45720.0</v>
      </c>
      <c r="H313" s="288">
        <v>45720.0</v>
      </c>
      <c r="I313" s="288">
        <v>45729.0</v>
      </c>
      <c r="J313" s="288">
        <v>45729.0</v>
      </c>
      <c r="K313" s="285"/>
      <c r="L313" s="17"/>
      <c r="M313" s="290" t="s">
        <v>11279</v>
      </c>
      <c r="N313" s="299" t="s">
        <v>4635</v>
      </c>
      <c r="O313" s="322" t="s">
        <v>2621</v>
      </c>
      <c r="P313" s="300">
        <v>34850.0</v>
      </c>
      <c r="Q313" s="299">
        <f t="shared" si="2"/>
        <v>11</v>
      </c>
      <c r="R313" s="299"/>
      <c r="S313" s="299" t="s">
        <v>8430</v>
      </c>
      <c r="T313" s="198"/>
      <c r="U313" s="198"/>
      <c r="V313" s="198"/>
      <c r="W313" s="198"/>
      <c r="X313" s="198"/>
      <c r="Y313" s="198"/>
      <c r="Z313" s="198"/>
    </row>
    <row r="314" ht="91.5" customHeight="1">
      <c r="A314" s="370">
        <v>40275.0</v>
      </c>
      <c r="B314" s="299" t="s">
        <v>715</v>
      </c>
      <c r="C314" s="285">
        <v>940.0</v>
      </c>
      <c r="D314" s="285" t="s">
        <v>11280</v>
      </c>
      <c r="E314" s="287" t="s">
        <v>11222</v>
      </c>
      <c r="F314" s="288">
        <v>45723.0</v>
      </c>
      <c r="G314" s="288">
        <v>45720.0</v>
      </c>
      <c r="H314" s="288">
        <v>45720.0</v>
      </c>
      <c r="I314" s="288">
        <v>45729.0</v>
      </c>
      <c r="J314" s="288">
        <v>45729.0</v>
      </c>
      <c r="K314" s="285"/>
      <c r="L314" s="285"/>
      <c r="M314" s="290" t="s">
        <v>11281</v>
      </c>
      <c r="N314" s="299" t="s">
        <v>4635</v>
      </c>
      <c r="O314" s="322" t="s">
        <v>2621</v>
      </c>
      <c r="P314" s="300">
        <v>41284.8</v>
      </c>
      <c r="Q314" s="299">
        <f t="shared" si="2"/>
        <v>10</v>
      </c>
      <c r="R314" s="299"/>
      <c r="S314" s="299" t="s">
        <v>8430</v>
      </c>
      <c r="T314" s="198"/>
      <c r="U314" s="198"/>
      <c r="V314" s="198"/>
      <c r="W314" s="198"/>
      <c r="X314" s="198"/>
      <c r="Y314" s="198"/>
      <c r="Z314" s="198"/>
    </row>
    <row r="315" ht="91.5" customHeight="1">
      <c r="A315" s="370">
        <v>40159.0</v>
      </c>
      <c r="B315" s="285" t="s">
        <v>21</v>
      </c>
      <c r="C315" s="285">
        <v>2141.0</v>
      </c>
      <c r="D315" s="285" t="s">
        <v>11282</v>
      </c>
      <c r="E315" s="287" t="s">
        <v>11283</v>
      </c>
      <c r="F315" s="288">
        <v>45723.0</v>
      </c>
      <c r="G315" s="288">
        <v>45719.0</v>
      </c>
      <c r="H315" s="288">
        <v>45723.0</v>
      </c>
      <c r="I315" s="288">
        <v>45728.0</v>
      </c>
      <c r="J315" s="288">
        <v>45728.0</v>
      </c>
      <c r="K315" s="285" t="s">
        <v>5270</v>
      </c>
      <c r="L315" s="285" t="s">
        <v>9178</v>
      </c>
      <c r="M315" s="290" t="s">
        <v>11284</v>
      </c>
      <c r="N315" s="299" t="s">
        <v>497</v>
      </c>
      <c r="O315" s="322" t="s">
        <v>2554</v>
      </c>
      <c r="P315" s="300">
        <v>41188.6</v>
      </c>
      <c r="Q315" s="299">
        <f t="shared" si="2"/>
        <v>10</v>
      </c>
      <c r="R315" s="299" t="s">
        <v>9198</v>
      </c>
      <c r="S315" s="299" t="s">
        <v>9171</v>
      </c>
      <c r="T315" s="366"/>
      <c r="U315" s="366"/>
      <c r="V315" s="366"/>
      <c r="W315" s="366"/>
      <c r="X315" s="366"/>
      <c r="Y315" s="366"/>
      <c r="Z315" s="366"/>
    </row>
    <row r="316" ht="91.5" customHeight="1">
      <c r="A316" s="370">
        <v>40168.0</v>
      </c>
      <c r="B316" s="285" t="s">
        <v>21</v>
      </c>
      <c r="C316" s="285">
        <v>1306.0</v>
      </c>
      <c r="D316" s="285" t="s">
        <v>11285</v>
      </c>
      <c r="E316" s="287" t="s">
        <v>9587</v>
      </c>
      <c r="F316" s="288">
        <v>45723.0</v>
      </c>
      <c r="G316" s="288">
        <v>45719.0</v>
      </c>
      <c r="H316" s="288">
        <v>45723.0</v>
      </c>
      <c r="I316" s="288">
        <v>45729.0</v>
      </c>
      <c r="J316" s="288">
        <v>45729.0</v>
      </c>
      <c r="K316" s="285" t="s">
        <v>5270</v>
      </c>
      <c r="L316" s="285" t="s">
        <v>9178</v>
      </c>
      <c r="M316" s="290" t="s">
        <v>11286</v>
      </c>
      <c r="N316" s="299" t="s">
        <v>497</v>
      </c>
      <c r="O316" s="322" t="s">
        <v>2554</v>
      </c>
      <c r="P316" s="300">
        <v>44795.8</v>
      </c>
      <c r="Q316" s="299">
        <f t="shared" si="2"/>
        <v>10</v>
      </c>
      <c r="R316" s="299" t="s">
        <v>9198</v>
      </c>
      <c r="S316" s="299" t="s">
        <v>9171</v>
      </c>
      <c r="T316" s="366"/>
      <c r="U316" s="366"/>
      <c r="V316" s="366"/>
      <c r="W316" s="366"/>
      <c r="X316" s="366"/>
      <c r="Y316" s="366"/>
      <c r="Z316" s="366"/>
    </row>
    <row r="317" ht="91.5" customHeight="1">
      <c r="A317" s="370">
        <v>40322.0</v>
      </c>
      <c r="B317" s="299" t="s">
        <v>25</v>
      </c>
      <c r="C317" s="285">
        <v>1250.0</v>
      </c>
      <c r="D317" s="285" t="s">
        <v>11287</v>
      </c>
      <c r="E317" s="287" t="s">
        <v>4637</v>
      </c>
      <c r="F317" s="288">
        <v>45722.0</v>
      </c>
      <c r="G317" s="288">
        <v>45719.0</v>
      </c>
      <c r="H317" s="288">
        <v>45719.0</v>
      </c>
      <c r="I317" s="288">
        <v>45728.0</v>
      </c>
      <c r="J317" s="288">
        <v>45728.0</v>
      </c>
      <c r="K317" s="285"/>
      <c r="L317" s="17"/>
      <c r="M317" s="290" t="s">
        <v>11288</v>
      </c>
      <c r="N317" s="299" t="s">
        <v>497</v>
      </c>
      <c r="O317" s="322" t="s">
        <v>2554</v>
      </c>
      <c r="P317" s="300">
        <v>36250.0</v>
      </c>
      <c r="Q317" s="299">
        <f t="shared" si="2"/>
        <v>10</v>
      </c>
      <c r="R317" s="299" t="s">
        <v>9170</v>
      </c>
      <c r="S317" s="299" t="s">
        <v>9171</v>
      </c>
      <c r="T317" s="198"/>
      <c r="U317" s="198"/>
      <c r="V317" s="198"/>
      <c r="W317" s="198"/>
      <c r="X317" s="198"/>
      <c r="Y317" s="198"/>
      <c r="Z317" s="198"/>
    </row>
    <row r="318" ht="91.5" customHeight="1">
      <c r="A318" s="370">
        <v>40320.0</v>
      </c>
      <c r="B318" s="299" t="s">
        <v>25</v>
      </c>
      <c r="C318" s="285">
        <v>940.0</v>
      </c>
      <c r="D318" s="285" t="s">
        <v>11289</v>
      </c>
      <c r="E318" s="287" t="s">
        <v>10590</v>
      </c>
      <c r="F318" s="288">
        <v>45722.0</v>
      </c>
      <c r="G318" s="288">
        <v>45720.0</v>
      </c>
      <c r="H318" s="288">
        <v>45720.0</v>
      </c>
      <c r="I318" s="288">
        <v>45726.0</v>
      </c>
      <c r="J318" s="288">
        <v>45726.0</v>
      </c>
      <c r="K318" s="285"/>
      <c r="L318" s="17"/>
      <c r="M318" s="290" t="s">
        <v>11290</v>
      </c>
      <c r="N318" s="299" t="s">
        <v>4635</v>
      </c>
      <c r="O318" s="322" t="s">
        <v>2621</v>
      </c>
      <c r="P318" s="300">
        <v>39074.0</v>
      </c>
      <c r="Q318" s="299">
        <f t="shared" si="2"/>
        <v>10</v>
      </c>
      <c r="R318" s="299"/>
      <c r="S318" s="299" t="s">
        <v>8430</v>
      </c>
      <c r="T318" s="198"/>
      <c r="U318" s="198"/>
      <c r="V318" s="198"/>
      <c r="W318" s="198"/>
      <c r="X318" s="198"/>
      <c r="Y318" s="198"/>
      <c r="Z318" s="198"/>
    </row>
    <row r="319" ht="91.5" customHeight="1">
      <c r="A319" s="370">
        <v>40272.0</v>
      </c>
      <c r="B319" s="299" t="s">
        <v>715</v>
      </c>
      <c r="C319" s="285">
        <v>940.0</v>
      </c>
      <c r="D319" s="285" t="s">
        <v>11291</v>
      </c>
      <c r="E319" s="287" t="s">
        <v>3743</v>
      </c>
      <c r="F319" s="288">
        <v>45721.0</v>
      </c>
      <c r="G319" s="288">
        <v>45716.0</v>
      </c>
      <c r="H319" s="288">
        <v>45716.0</v>
      </c>
      <c r="I319" s="288">
        <v>45727.0</v>
      </c>
      <c r="J319" s="288">
        <v>45727.0</v>
      </c>
      <c r="K319" s="285"/>
      <c r="L319" s="285"/>
      <c r="M319" s="290" t="s">
        <v>11292</v>
      </c>
      <c r="N319" s="299" t="s">
        <v>4635</v>
      </c>
      <c r="O319" s="322" t="s">
        <v>2621</v>
      </c>
      <c r="P319" s="300">
        <v>41284.8</v>
      </c>
      <c r="Q319" s="299">
        <f t="shared" si="2"/>
        <v>10</v>
      </c>
      <c r="R319" s="299"/>
      <c r="S319" s="299" t="s">
        <v>8430</v>
      </c>
      <c r="T319" s="198"/>
      <c r="U319" s="198"/>
      <c r="V319" s="198"/>
      <c r="W319" s="198"/>
      <c r="X319" s="198"/>
      <c r="Y319" s="198"/>
      <c r="Z319" s="198"/>
    </row>
    <row r="320" ht="91.5" customHeight="1">
      <c r="A320" s="370">
        <v>40166.0</v>
      </c>
      <c r="B320" s="299" t="s">
        <v>715</v>
      </c>
      <c r="C320" s="285">
        <v>2413.0</v>
      </c>
      <c r="D320" s="285" t="s">
        <v>11293</v>
      </c>
      <c r="E320" s="287" t="s">
        <v>7448</v>
      </c>
      <c r="F320" s="288">
        <v>45717.0</v>
      </c>
      <c r="G320" s="288">
        <v>45711.0</v>
      </c>
      <c r="H320" s="288">
        <v>45711.0</v>
      </c>
      <c r="I320" s="288">
        <v>45723.0</v>
      </c>
      <c r="J320" s="288">
        <v>45723.0</v>
      </c>
      <c r="K320" s="285" t="s">
        <v>5270</v>
      </c>
      <c r="L320" s="285" t="s">
        <v>9178</v>
      </c>
      <c r="M320" s="290" t="s">
        <v>11294</v>
      </c>
      <c r="N320" s="299" t="s">
        <v>497</v>
      </c>
      <c r="O320" s="322" t="s">
        <v>2554</v>
      </c>
      <c r="P320" s="300">
        <v>42951.2</v>
      </c>
      <c r="Q320" s="299">
        <f t="shared" si="2"/>
        <v>9</v>
      </c>
      <c r="R320" s="299" t="s">
        <v>9198</v>
      </c>
      <c r="S320" s="299" t="s">
        <v>9171</v>
      </c>
      <c r="T320" s="198"/>
      <c r="U320" s="198"/>
      <c r="V320" s="198"/>
      <c r="W320" s="198"/>
      <c r="X320" s="198"/>
      <c r="Y320" s="198"/>
      <c r="Z320" s="198"/>
    </row>
    <row r="321" ht="91.5" customHeight="1">
      <c r="A321" s="370">
        <v>40028.0</v>
      </c>
      <c r="B321" s="299" t="s">
        <v>715</v>
      </c>
      <c r="C321" s="285">
        <v>1306.0</v>
      </c>
      <c r="D321" s="285" t="s">
        <v>11295</v>
      </c>
      <c r="E321" s="287" t="s">
        <v>9921</v>
      </c>
      <c r="F321" s="288">
        <v>45717.0</v>
      </c>
      <c r="G321" s="288">
        <v>45711.0</v>
      </c>
      <c r="H321" s="288">
        <v>45711.0</v>
      </c>
      <c r="I321" s="288">
        <v>45722.0</v>
      </c>
      <c r="J321" s="288">
        <v>45722.0</v>
      </c>
      <c r="K321" s="285"/>
      <c r="L321" s="285"/>
      <c r="M321" s="290" t="s">
        <v>11296</v>
      </c>
      <c r="N321" s="299" t="s">
        <v>497</v>
      </c>
      <c r="O321" s="322" t="s">
        <v>2554</v>
      </c>
      <c r="P321" s="300">
        <v>44795.8</v>
      </c>
      <c r="Q321" s="299">
        <f t="shared" si="2"/>
        <v>9</v>
      </c>
      <c r="R321" s="299" t="s">
        <v>9198</v>
      </c>
      <c r="S321" s="299" t="s">
        <v>9171</v>
      </c>
      <c r="T321" s="198"/>
      <c r="U321" s="198"/>
      <c r="V321" s="198"/>
      <c r="W321" s="198"/>
      <c r="X321" s="198"/>
      <c r="Y321" s="198"/>
      <c r="Z321" s="198"/>
    </row>
    <row r="322" ht="91.5" customHeight="1">
      <c r="A322" s="370">
        <v>39749.0</v>
      </c>
      <c r="B322" s="299" t="s">
        <v>715</v>
      </c>
      <c r="C322" s="285">
        <v>2275.0</v>
      </c>
      <c r="D322" s="285" t="s">
        <v>11297</v>
      </c>
      <c r="E322" s="287" t="s">
        <v>7760</v>
      </c>
      <c r="F322" s="288">
        <v>45717.0</v>
      </c>
      <c r="G322" s="288">
        <v>45711.0</v>
      </c>
      <c r="H322" s="288">
        <v>45711.0</v>
      </c>
      <c r="I322" s="288">
        <v>45723.0</v>
      </c>
      <c r="J322" s="288">
        <v>45723.0</v>
      </c>
      <c r="K322" s="285" t="s">
        <v>5270</v>
      </c>
      <c r="L322" s="285" t="s">
        <v>9178</v>
      </c>
      <c r="M322" s="290" t="s">
        <v>11298</v>
      </c>
      <c r="N322" s="299" t="s">
        <v>497</v>
      </c>
      <c r="O322" s="322" t="s">
        <v>2554</v>
      </c>
      <c r="P322" s="300">
        <v>35490.0</v>
      </c>
      <c r="Q322" s="299">
        <f t="shared" si="2"/>
        <v>9</v>
      </c>
      <c r="R322" s="299" t="s">
        <v>9198</v>
      </c>
      <c r="S322" s="299" t="s">
        <v>9171</v>
      </c>
      <c r="T322" s="198"/>
      <c r="U322" s="198"/>
      <c r="V322" s="198"/>
      <c r="W322" s="198"/>
      <c r="X322" s="198"/>
      <c r="Y322" s="198"/>
      <c r="Z322" s="198"/>
    </row>
    <row r="323" ht="91.5" customHeight="1">
      <c r="A323" s="370">
        <v>40161.0</v>
      </c>
      <c r="B323" s="285" t="s">
        <v>21</v>
      </c>
      <c r="C323" s="285">
        <v>4356.0</v>
      </c>
      <c r="D323" s="285" t="s">
        <v>11299</v>
      </c>
      <c r="E323" s="287" t="s">
        <v>4644</v>
      </c>
      <c r="F323" s="288">
        <v>45717.0</v>
      </c>
      <c r="G323" s="288">
        <v>45711.0</v>
      </c>
      <c r="H323" s="288">
        <v>45711.0</v>
      </c>
      <c r="I323" s="288">
        <v>45722.0</v>
      </c>
      <c r="J323" s="288">
        <v>45722.0</v>
      </c>
      <c r="K323" s="285" t="s">
        <v>4841</v>
      </c>
      <c r="L323" s="31"/>
      <c r="M323" s="290" t="s">
        <v>11300</v>
      </c>
      <c r="N323" s="299" t="s">
        <v>497</v>
      </c>
      <c r="O323" s="322" t="s">
        <v>2554</v>
      </c>
      <c r="P323" s="300">
        <v>30056.4</v>
      </c>
      <c r="Q323" s="299">
        <f t="shared" si="2"/>
        <v>9</v>
      </c>
      <c r="R323" s="299" t="s">
        <v>9198</v>
      </c>
      <c r="S323" s="299" t="s">
        <v>9171</v>
      </c>
      <c r="T323" s="366"/>
      <c r="U323" s="366"/>
      <c r="V323" s="366"/>
      <c r="W323" s="366"/>
      <c r="X323" s="366"/>
      <c r="Y323" s="366"/>
      <c r="Z323" s="366"/>
    </row>
    <row r="324" ht="91.5" customHeight="1">
      <c r="A324" s="370">
        <v>40026.0</v>
      </c>
      <c r="B324" s="285" t="s">
        <v>21</v>
      </c>
      <c r="C324" s="285">
        <v>2578.0</v>
      </c>
      <c r="D324" s="285" t="s">
        <v>11301</v>
      </c>
      <c r="E324" s="287" t="s">
        <v>11302</v>
      </c>
      <c r="F324" s="288">
        <v>45716.0</v>
      </c>
      <c r="G324" s="288">
        <v>45712.0</v>
      </c>
      <c r="H324" s="288">
        <v>45712.0</v>
      </c>
      <c r="I324" s="288">
        <v>45722.0</v>
      </c>
      <c r="J324" s="288">
        <v>45722.0</v>
      </c>
      <c r="K324" s="285" t="s">
        <v>4841</v>
      </c>
      <c r="L324" s="31"/>
      <c r="M324" s="290" t="s">
        <v>11303</v>
      </c>
      <c r="N324" s="299" t="s">
        <v>497</v>
      </c>
      <c r="O324" s="322" t="s">
        <v>2554</v>
      </c>
      <c r="P324" s="300">
        <v>58159.4</v>
      </c>
      <c r="Q324" s="299">
        <f t="shared" si="2"/>
        <v>9</v>
      </c>
      <c r="R324" s="299" t="s">
        <v>9198</v>
      </c>
      <c r="S324" s="299" t="s">
        <v>9171</v>
      </c>
      <c r="T324" s="366"/>
      <c r="U324" s="366"/>
      <c r="V324" s="366"/>
      <c r="W324" s="366"/>
      <c r="X324" s="366"/>
      <c r="Y324" s="366"/>
      <c r="Z324" s="366"/>
    </row>
    <row r="325" ht="91.5" customHeight="1">
      <c r="A325" s="370">
        <v>40163.0</v>
      </c>
      <c r="B325" s="285" t="s">
        <v>21</v>
      </c>
      <c r="C325" s="285">
        <v>1306.0</v>
      </c>
      <c r="D325" s="285" t="s">
        <v>11304</v>
      </c>
      <c r="E325" s="287" t="s">
        <v>11305</v>
      </c>
      <c r="F325" s="288">
        <v>45716.0</v>
      </c>
      <c r="G325" s="288">
        <v>45708.0</v>
      </c>
      <c r="H325" s="288">
        <v>45708.0</v>
      </c>
      <c r="I325" s="288">
        <v>45722.0</v>
      </c>
      <c r="J325" s="288">
        <v>45722.0</v>
      </c>
      <c r="K325" s="285" t="s">
        <v>4841</v>
      </c>
      <c r="L325" s="17"/>
      <c r="M325" s="290" t="s">
        <v>11306</v>
      </c>
      <c r="N325" s="299" t="s">
        <v>497</v>
      </c>
      <c r="O325" s="322" t="s">
        <v>2554</v>
      </c>
      <c r="P325" s="300">
        <v>46036.5</v>
      </c>
      <c r="Q325" s="299">
        <f t="shared" si="2"/>
        <v>9</v>
      </c>
      <c r="R325" s="299" t="s">
        <v>9198</v>
      </c>
      <c r="S325" s="299" t="s">
        <v>9171</v>
      </c>
      <c r="T325" s="366"/>
      <c r="U325" s="366"/>
      <c r="V325" s="366"/>
      <c r="W325" s="366"/>
      <c r="X325" s="366"/>
      <c r="Y325" s="366"/>
      <c r="Z325" s="366"/>
    </row>
    <row r="326" ht="91.5" customHeight="1">
      <c r="A326" s="370">
        <v>40031.0</v>
      </c>
      <c r="B326" s="299" t="s">
        <v>715</v>
      </c>
      <c r="C326" s="285">
        <v>4356.0</v>
      </c>
      <c r="D326" s="285" t="s">
        <v>11307</v>
      </c>
      <c r="E326" s="287" t="s">
        <v>7581</v>
      </c>
      <c r="F326" s="288">
        <v>45715.0</v>
      </c>
      <c r="G326" s="288">
        <v>45708.0</v>
      </c>
      <c r="H326" s="288">
        <v>45708.0</v>
      </c>
      <c r="I326" s="288">
        <v>45693.0</v>
      </c>
      <c r="J326" s="288">
        <v>45721.0</v>
      </c>
      <c r="K326" s="285"/>
      <c r="L326" s="285"/>
      <c r="M326" s="290" t="s">
        <v>11308</v>
      </c>
      <c r="N326" s="299" t="s">
        <v>497</v>
      </c>
      <c r="O326" s="322" t="s">
        <v>2554</v>
      </c>
      <c r="P326" s="300">
        <v>30056.4</v>
      </c>
      <c r="Q326" s="299">
        <f t="shared" si="2"/>
        <v>9</v>
      </c>
      <c r="R326" s="299" t="s">
        <v>9198</v>
      </c>
      <c r="S326" s="299" t="s">
        <v>9171</v>
      </c>
      <c r="T326" s="198"/>
      <c r="U326" s="198"/>
      <c r="V326" s="198"/>
      <c r="W326" s="198"/>
      <c r="X326" s="198"/>
      <c r="Y326" s="198"/>
      <c r="Z326" s="198"/>
    </row>
    <row r="327" ht="91.5" customHeight="1">
      <c r="A327" s="370">
        <v>39860.0</v>
      </c>
      <c r="B327" s="285" t="s">
        <v>21</v>
      </c>
      <c r="C327" s="285">
        <v>1150.0</v>
      </c>
      <c r="D327" s="285" t="s">
        <v>11309</v>
      </c>
      <c r="E327" s="287" t="s">
        <v>11310</v>
      </c>
      <c r="F327" s="305">
        <v>45715.0</v>
      </c>
      <c r="G327" s="288">
        <v>45707.0</v>
      </c>
      <c r="H327" s="288">
        <v>45707.0</v>
      </c>
      <c r="I327" s="288">
        <v>45693.0</v>
      </c>
      <c r="J327" s="288">
        <v>45721.0</v>
      </c>
      <c r="K327" s="285" t="s">
        <v>11311</v>
      </c>
      <c r="L327" s="285" t="s">
        <v>9178</v>
      </c>
      <c r="M327" s="290" t="s">
        <v>11312</v>
      </c>
      <c r="N327" s="299" t="s">
        <v>4635</v>
      </c>
      <c r="O327" s="322" t="s">
        <v>2621</v>
      </c>
      <c r="P327" s="300">
        <v>84637.5</v>
      </c>
      <c r="Q327" s="299">
        <f t="shared" si="2"/>
        <v>9</v>
      </c>
      <c r="R327" s="299"/>
      <c r="S327" s="299" t="s">
        <v>10487</v>
      </c>
      <c r="T327" s="366"/>
      <c r="U327" s="366"/>
      <c r="V327" s="366"/>
      <c r="W327" s="366"/>
      <c r="X327" s="366"/>
      <c r="Y327" s="366"/>
      <c r="Z327" s="366"/>
    </row>
    <row r="328" ht="91.5" customHeight="1">
      <c r="A328" s="370">
        <v>40273.0</v>
      </c>
      <c r="B328" s="299" t="s">
        <v>715</v>
      </c>
      <c r="C328" s="285">
        <v>940.0</v>
      </c>
      <c r="D328" s="285" t="s">
        <v>11313</v>
      </c>
      <c r="E328" s="287" t="s">
        <v>9666</v>
      </c>
      <c r="F328" s="288">
        <v>45714.0</v>
      </c>
      <c r="G328" s="288">
        <v>45707.0</v>
      </c>
      <c r="H328" s="288">
        <v>45707.0</v>
      </c>
      <c r="I328" s="288">
        <v>45726.0</v>
      </c>
      <c r="J328" s="288">
        <v>45726.0</v>
      </c>
      <c r="K328" s="285"/>
      <c r="L328" s="581"/>
      <c r="M328" s="290" t="s">
        <v>11314</v>
      </c>
      <c r="N328" s="299" t="s">
        <v>4635</v>
      </c>
      <c r="O328" s="322" t="s">
        <v>2621</v>
      </c>
      <c r="P328" s="300">
        <v>40696.8</v>
      </c>
      <c r="Q328" s="299">
        <f t="shared" si="2"/>
        <v>9</v>
      </c>
      <c r="R328" s="299"/>
      <c r="S328" s="299" t="s">
        <v>8430</v>
      </c>
      <c r="T328" s="198"/>
      <c r="U328" s="198"/>
      <c r="V328" s="198"/>
      <c r="W328" s="198"/>
      <c r="X328" s="198"/>
      <c r="Y328" s="198"/>
      <c r="Z328" s="198"/>
    </row>
    <row r="329" ht="91.5" customHeight="1">
      <c r="A329" s="370">
        <v>40421.0</v>
      </c>
      <c r="B329" s="285" t="s">
        <v>21</v>
      </c>
      <c r="C329" s="285">
        <v>1981.0</v>
      </c>
      <c r="D329" s="285" t="s">
        <v>11315</v>
      </c>
      <c r="E329" s="287" t="s">
        <v>9331</v>
      </c>
      <c r="F329" s="288">
        <v>45713.0</v>
      </c>
      <c r="G329" s="288">
        <v>45708.0</v>
      </c>
      <c r="H329" s="288">
        <v>45708.0</v>
      </c>
      <c r="I329" s="288">
        <v>45720.0</v>
      </c>
      <c r="J329" s="288">
        <v>45720.0</v>
      </c>
      <c r="K329" s="285" t="s">
        <v>4841</v>
      </c>
      <c r="L329" s="17"/>
      <c r="M329" s="290" t="s">
        <v>11316</v>
      </c>
      <c r="N329" s="299" t="s">
        <v>497</v>
      </c>
      <c r="O329" s="322" t="s">
        <v>2628</v>
      </c>
      <c r="P329" s="300">
        <v>87344.0</v>
      </c>
      <c r="Q329" s="299">
        <f t="shared" si="2"/>
        <v>9</v>
      </c>
      <c r="R329" s="299"/>
      <c r="S329" s="299" t="s">
        <v>10487</v>
      </c>
      <c r="T329" s="366"/>
      <c r="U329" s="366"/>
      <c r="V329" s="366"/>
      <c r="W329" s="366"/>
      <c r="X329" s="366"/>
      <c r="Y329" s="366"/>
      <c r="Z329" s="366"/>
    </row>
    <row r="330" ht="91.5" customHeight="1">
      <c r="A330" s="370">
        <v>40160.0</v>
      </c>
      <c r="B330" s="299" t="s">
        <v>715</v>
      </c>
      <c r="C330" s="285">
        <v>4356.0</v>
      </c>
      <c r="D330" s="285" t="s">
        <v>11317</v>
      </c>
      <c r="E330" s="287" t="s">
        <v>7581</v>
      </c>
      <c r="F330" s="288">
        <v>45710.0</v>
      </c>
      <c r="G330" s="288">
        <v>45705.0</v>
      </c>
      <c r="H330" s="288">
        <v>45705.0</v>
      </c>
      <c r="I330" s="288">
        <v>45720.0</v>
      </c>
      <c r="J330" s="288">
        <v>45720.0</v>
      </c>
      <c r="K330" s="285"/>
      <c r="L330" s="17"/>
      <c r="M330" s="290" t="s">
        <v>11318</v>
      </c>
      <c r="N330" s="299" t="s">
        <v>497</v>
      </c>
      <c r="O330" s="322" t="s">
        <v>2554</v>
      </c>
      <c r="P330" s="300">
        <v>30056.4</v>
      </c>
      <c r="Q330" s="299">
        <f t="shared" si="2"/>
        <v>8</v>
      </c>
      <c r="R330" s="299" t="s">
        <v>9198</v>
      </c>
      <c r="S330" s="299" t="s">
        <v>9171</v>
      </c>
      <c r="T330" s="198"/>
      <c r="U330" s="198"/>
      <c r="V330" s="198"/>
      <c r="W330" s="198"/>
      <c r="X330" s="198"/>
      <c r="Y330" s="198"/>
      <c r="Z330" s="198"/>
    </row>
    <row r="331" ht="91.5" customHeight="1">
      <c r="A331" s="370">
        <v>40033.0</v>
      </c>
      <c r="B331" s="299" t="s">
        <v>715</v>
      </c>
      <c r="C331" s="285">
        <v>1306.0</v>
      </c>
      <c r="D331" s="285" t="s">
        <v>11319</v>
      </c>
      <c r="E331" s="287" t="s">
        <v>8007</v>
      </c>
      <c r="F331" s="288">
        <v>45710.0</v>
      </c>
      <c r="G331" s="288">
        <v>45705.0</v>
      </c>
      <c r="H331" s="288">
        <v>45705.0</v>
      </c>
      <c r="I331" s="288">
        <v>45720.0</v>
      </c>
      <c r="J331" s="288">
        <v>45720.0</v>
      </c>
      <c r="K331" s="285"/>
      <c r="L331" s="17"/>
      <c r="M331" s="290" t="s">
        <v>11320</v>
      </c>
      <c r="N331" s="299" t="s">
        <v>497</v>
      </c>
      <c r="O331" s="322" t="s">
        <v>2554</v>
      </c>
      <c r="P331" s="300">
        <v>47277.2</v>
      </c>
      <c r="Q331" s="299">
        <f t="shared" si="2"/>
        <v>8</v>
      </c>
      <c r="R331" s="299" t="s">
        <v>9198</v>
      </c>
      <c r="S331" s="299" t="s">
        <v>9171</v>
      </c>
      <c r="T331" s="198"/>
      <c r="U331" s="198"/>
      <c r="V331" s="198"/>
      <c r="W331" s="198"/>
      <c r="X331" s="198"/>
      <c r="Y331" s="198"/>
      <c r="Z331" s="198"/>
    </row>
    <row r="332" ht="91.5" customHeight="1">
      <c r="A332" s="370">
        <v>40164.0</v>
      </c>
      <c r="B332" s="299" t="s">
        <v>25</v>
      </c>
      <c r="C332" s="285">
        <v>1306.0</v>
      </c>
      <c r="D332" s="367" t="s">
        <v>11321</v>
      </c>
      <c r="E332" s="287" t="s">
        <v>7323</v>
      </c>
      <c r="F332" s="288">
        <v>45710.0</v>
      </c>
      <c r="G332" s="288">
        <v>45705.0</v>
      </c>
      <c r="H332" s="288">
        <v>45705.0</v>
      </c>
      <c r="I332" s="288">
        <v>45713.0</v>
      </c>
      <c r="J332" s="288">
        <v>45714.0</v>
      </c>
      <c r="K332" s="285"/>
      <c r="L332" s="17"/>
      <c r="M332" s="290" t="s">
        <v>11322</v>
      </c>
      <c r="N332" s="299" t="s">
        <v>497</v>
      </c>
      <c r="O332" s="322" t="s">
        <v>2554</v>
      </c>
      <c r="P332" s="300">
        <v>44795.8</v>
      </c>
      <c r="Q332" s="299">
        <f t="shared" si="2"/>
        <v>8</v>
      </c>
      <c r="R332" s="299" t="s">
        <v>9198</v>
      </c>
      <c r="S332" s="299" t="s">
        <v>9171</v>
      </c>
      <c r="T332" s="198"/>
      <c r="U332" s="198"/>
      <c r="V332" s="198"/>
      <c r="W332" s="198"/>
      <c r="X332" s="198"/>
      <c r="Y332" s="198"/>
      <c r="Z332" s="198"/>
    </row>
    <row r="333" ht="91.5" customHeight="1">
      <c r="A333" s="370">
        <v>39752.0</v>
      </c>
      <c r="B333" s="299" t="s">
        <v>715</v>
      </c>
      <c r="C333" s="285">
        <v>1306.0</v>
      </c>
      <c r="D333" s="285" t="s">
        <v>11323</v>
      </c>
      <c r="E333" s="287" t="s">
        <v>11275</v>
      </c>
      <c r="F333" s="288">
        <v>45708.0</v>
      </c>
      <c r="G333" s="288">
        <v>45700.0</v>
      </c>
      <c r="H333" s="288">
        <v>45700.0</v>
      </c>
      <c r="I333" s="288">
        <v>45714.0</v>
      </c>
      <c r="J333" s="288">
        <v>45714.0</v>
      </c>
      <c r="K333" s="285"/>
      <c r="L333" s="17"/>
      <c r="M333" s="290" t="s">
        <v>11324</v>
      </c>
      <c r="N333" s="299" t="s">
        <v>497</v>
      </c>
      <c r="O333" s="322" t="s">
        <v>2554</v>
      </c>
      <c r="P333" s="300">
        <v>45365.8</v>
      </c>
      <c r="Q333" s="299">
        <f t="shared" si="2"/>
        <v>8</v>
      </c>
      <c r="R333" s="299" t="s">
        <v>9198</v>
      </c>
      <c r="S333" s="299" t="s">
        <v>9171</v>
      </c>
      <c r="T333" s="198"/>
      <c r="U333" s="198"/>
      <c r="V333" s="198"/>
      <c r="W333" s="198"/>
      <c r="X333" s="198"/>
      <c r="Y333" s="198"/>
      <c r="Z333" s="198"/>
    </row>
    <row r="334" ht="91.5" customHeight="1">
      <c r="A334" s="370">
        <v>40029.0</v>
      </c>
      <c r="B334" s="299" t="s">
        <v>715</v>
      </c>
      <c r="C334" s="285">
        <v>4356.0</v>
      </c>
      <c r="D334" s="285" t="s">
        <v>11325</v>
      </c>
      <c r="E334" s="287" t="s">
        <v>4644</v>
      </c>
      <c r="F334" s="288">
        <v>45708.0</v>
      </c>
      <c r="G334" s="288">
        <v>45726.0</v>
      </c>
      <c r="H334" s="288">
        <v>45714.0</v>
      </c>
      <c r="I334" s="288">
        <v>45714.0</v>
      </c>
      <c r="J334" s="288">
        <v>45714.0</v>
      </c>
      <c r="K334" s="285"/>
      <c r="L334" s="17"/>
      <c r="M334" s="290" t="s">
        <v>11326</v>
      </c>
      <c r="N334" s="299" t="s">
        <v>497</v>
      </c>
      <c r="O334" s="322" t="s">
        <v>2554</v>
      </c>
      <c r="P334" s="300">
        <v>30056.4</v>
      </c>
      <c r="Q334" s="299">
        <f t="shared" si="2"/>
        <v>8</v>
      </c>
      <c r="R334" s="299" t="s">
        <v>9198</v>
      </c>
      <c r="S334" s="299" t="s">
        <v>9171</v>
      </c>
      <c r="T334" s="198"/>
      <c r="U334" s="198"/>
      <c r="V334" s="198"/>
      <c r="W334" s="198"/>
      <c r="X334" s="198"/>
      <c r="Y334" s="198"/>
      <c r="Z334" s="198"/>
    </row>
    <row r="335" ht="91.5" customHeight="1">
      <c r="A335" s="370">
        <v>40361.0</v>
      </c>
      <c r="B335" s="299" t="s">
        <v>715</v>
      </c>
      <c r="C335" s="285">
        <v>1776.0</v>
      </c>
      <c r="D335" s="285" t="s">
        <v>11327</v>
      </c>
      <c r="E335" s="287" t="s">
        <v>3740</v>
      </c>
      <c r="F335" s="288">
        <v>45707.0</v>
      </c>
      <c r="G335" s="288">
        <v>45699.0</v>
      </c>
      <c r="H335" s="288">
        <v>45699.0</v>
      </c>
      <c r="I335" s="288">
        <v>45709.0</v>
      </c>
      <c r="J335" s="288">
        <v>45709.0</v>
      </c>
      <c r="K335" s="285"/>
      <c r="L335" s="581"/>
      <c r="M335" s="290" t="s">
        <v>11328</v>
      </c>
      <c r="N335" s="299" t="s">
        <v>4745</v>
      </c>
      <c r="O335" s="322" t="s">
        <v>4711</v>
      </c>
      <c r="P335" s="300">
        <v>37660.79</v>
      </c>
      <c r="Q335" s="299">
        <f t="shared" si="2"/>
        <v>8</v>
      </c>
      <c r="R335" s="299"/>
      <c r="S335" s="299" t="s">
        <v>10487</v>
      </c>
      <c r="T335" s="198"/>
      <c r="U335" s="198"/>
      <c r="V335" s="198"/>
      <c r="W335" s="198"/>
      <c r="X335" s="198"/>
      <c r="Y335" s="198"/>
      <c r="Z335" s="198"/>
    </row>
    <row r="336" ht="91.5" customHeight="1">
      <c r="A336" s="370">
        <v>39747.0</v>
      </c>
      <c r="B336" s="299" t="s">
        <v>715</v>
      </c>
      <c r="C336" s="285">
        <v>4356.0</v>
      </c>
      <c r="D336" s="285" t="s">
        <v>11329</v>
      </c>
      <c r="E336" s="287" t="s">
        <v>9312</v>
      </c>
      <c r="F336" s="288">
        <v>45706.0</v>
      </c>
      <c r="G336" s="288">
        <v>45697.0</v>
      </c>
      <c r="H336" s="288">
        <v>45697.0</v>
      </c>
      <c r="I336" s="288">
        <v>45713.0</v>
      </c>
      <c r="J336" s="288">
        <v>45713.0</v>
      </c>
      <c r="K336" s="285"/>
      <c r="L336" s="31"/>
      <c r="M336" s="290" t="s">
        <v>11330</v>
      </c>
      <c r="N336" s="299" t="s">
        <v>497</v>
      </c>
      <c r="O336" s="322" t="s">
        <v>2554</v>
      </c>
      <c r="P336" s="300">
        <v>31537.44</v>
      </c>
      <c r="Q336" s="299">
        <f t="shared" si="2"/>
        <v>8</v>
      </c>
      <c r="R336" s="299" t="s">
        <v>9198</v>
      </c>
      <c r="S336" s="299" t="s">
        <v>9171</v>
      </c>
      <c r="T336" s="366"/>
      <c r="U336" s="366"/>
      <c r="V336" s="366"/>
      <c r="W336" s="366"/>
      <c r="X336" s="366"/>
      <c r="Y336" s="366"/>
      <c r="Z336" s="366"/>
    </row>
    <row r="337" ht="91.5" customHeight="1">
      <c r="A337" s="370">
        <v>39767.0</v>
      </c>
      <c r="B337" s="285" t="s">
        <v>21</v>
      </c>
      <c r="C337" s="285">
        <v>4500.0</v>
      </c>
      <c r="D337" s="285" t="s">
        <v>11331</v>
      </c>
      <c r="E337" s="287" t="s">
        <v>7438</v>
      </c>
      <c r="F337" s="288">
        <v>45703.0</v>
      </c>
      <c r="G337" s="288">
        <v>45698.0</v>
      </c>
      <c r="H337" s="288">
        <v>45698.0</v>
      </c>
      <c r="I337" s="288">
        <v>45709.0</v>
      </c>
      <c r="J337" s="288">
        <v>45709.0</v>
      </c>
      <c r="K337" s="285" t="s">
        <v>4841</v>
      </c>
      <c r="L337" s="17"/>
      <c r="M337" s="290" t="s">
        <v>11332</v>
      </c>
      <c r="N337" s="299" t="s">
        <v>497</v>
      </c>
      <c r="O337" s="322" t="s">
        <v>2554</v>
      </c>
      <c r="P337" s="300">
        <v>33187.5</v>
      </c>
      <c r="Q337" s="299">
        <f t="shared" si="2"/>
        <v>7</v>
      </c>
      <c r="R337" s="299" t="s">
        <v>9170</v>
      </c>
      <c r="S337" s="299" t="s">
        <v>9171</v>
      </c>
      <c r="T337" s="366"/>
      <c r="U337" s="366"/>
      <c r="V337" s="366"/>
      <c r="W337" s="366"/>
      <c r="X337" s="366"/>
      <c r="Y337" s="366"/>
      <c r="Z337" s="366"/>
    </row>
    <row r="338" ht="91.5" customHeight="1">
      <c r="A338" s="370">
        <v>40450.0</v>
      </c>
      <c r="B338" s="299" t="s">
        <v>25</v>
      </c>
      <c r="C338" s="285" t="s">
        <v>11333</v>
      </c>
      <c r="D338" s="285" t="s">
        <v>11334</v>
      </c>
      <c r="E338" s="287" t="s">
        <v>4641</v>
      </c>
      <c r="F338" s="288">
        <v>45702.0</v>
      </c>
      <c r="G338" s="288">
        <v>45698.0</v>
      </c>
      <c r="H338" s="288">
        <v>45698.0</v>
      </c>
      <c r="I338" s="288">
        <v>45709.0</v>
      </c>
      <c r="J338" s="288">
        <v>45709.0</v>
      </c>
      <c r="K338" s="285"/>
      <c r="L338" s="17"/>
      <c r="M338" s="290" t="s">
        <v>11335</v>
      </c>
      <c r="N338" s="299" t="s">
        <v>497</v>
      </c>
      <c r="O338" s="322" t="s">
        <v>2538</v>
      </c>
      <c r="P338" s="300">
        <v>66192.0</v>
      </c>
      <c r="Q338" s="299">
        <f t="shared" si="2"/>
        <v>7</v>
      </c>
      <c r="R338" s="299"/>
      <c r="S338" s="299" t="s">
        <v>10487</v>
      </c>
      <c r="T338" s="198"/>
      <c r="U338" s="198"/>
      <c r="V338" s="198"/>
      <c r="W338" s="198"/>
      <c r="X338" s="198"/>
      <c r="Y338" s="198"/>
      <c r="Z338" s="198"/>
    </row>
    <row r="339" ht="91.5" customHeight="1">
      <c r="A339" s="370">
        <v>39766.0</v>
      </c>
      <c r="B339" s="299" t="s">
        <v>715</v>
      </c>
      <c r="C339" s="285">
        <v>4500.0</v>
      </c>
      <c r="D339" s="285" t="s">
        <v>11336</v>
      </c>
      <c r="E339" s="287" t="s">
        <v>7438</v>
      </c>
      <c r="F339" s="288">
        <v>45702.0</v>
      </c>
      <c r="G339" s="288">
        <v>45698.0</v>
      </c>
      <c r="H339" s="288">
        <v>45698.0</v>
      </c>
      <c r="I339" s="288">
        <v>45707.0</v>
      </c>
      <c r="J339" s="288">
        <v>45707.0</v>
      </c>
      <c r="K339" s="285"/>
      <c r="L339" s="285"/>
      <c r="M339" s="290" t="s">
        <v>11337</v>
      </c>
      <c r="N339" s="299" t="s">
        <v>497</v>
      </c>
      <c r="O339" s="322" t="s">
        <v>2554</v>
      </c>
      <c r="P339" s="300">
        <v>33187.5</v>
      </c>
      <c r="Q339" s="299">
        <f t="shared" si="2"/>
        <v>7</v>
      </c>
      <c r="R339" s="299" t="s">
        <v>9170</v>
      </c>
      <c r="S339" s="299" t="s">
        <v>9171</v>
      </c>
      <c r="T339" s="198"/>
      <c r="U339" s="198"/>
      <c r="V339" s="198"/>
      <c r="W339" s="198"/>
      <c r="X339" s="198"/>
      <c r="Y339" s="198"/>
      <c r="Z339" s="198"/>
    </row>
    <row r="340" ht="91.5" customHeight="1">
      <c r="A340" s="370">
        <v>40338.0</v>
      </c>
      <c r="B340" s="285" t="s">
        <v>21</v>
      </c>
      <c r="C340" s="285">
        <v>1052.0</v>
      </c>
      <c r="D340" s="285" t="s">
        <v>11338</v>
      </c>
      <c r="E340" s="287" t="s">
        <v>11339</v>
      </c>
      <c r="F340" s="288">
        <v>45701.0</v>
      </c>
      <c r="G340" s="288">
        <v>45698.0</v>
      </c>
      <c r="H340" s="288">
        <v>45698.0</v>
      </c>
      <c r="I340" s="288">
        <v>45708.0</v>
      </c>
      <c r="J340" s="288">
        <v>45708.0</v>
      </c>
      <c r="K340" s="285" t="s">
        <v>11340</v>
      </c>
      <c r="L340" s="285" t="s">
        <v>9178</v>
      </c>
      <c r="M340" s="290" t="s">
        <v>11341</v>
      </c>
      <c r="N340" s="299" t="s">
        <v>4635</v>
      </c>
      <c r="O340" s="322" t="s">
        <v>2621</v>
      </c>
      <c r="P340" s="300">
        <v>63065.22</v>
      </c>
      <c r="Q340" s="299">
        <f t="shared" si="2"/>
        <v>7</v>
      </c>
      <c r="R340" s="299"/>
      <c r="S340" s="299" t="s">
        <v>8430</v>
      </c>
      <c r="T340" s="366"/>
      <c r="U340" s="366"/>
      <c r="V340" s="366"/>
      <c r="W340" s="366"/>
      <c r="X340" s="366"/>
      <c r="Y340" s="366"/>
      <c r="Z340" s="366"/>
    </row>
    <row r="341" ht="91.5" customHeight="1">
      <c r="A341" s="370">
        <v>39765.0</v>
      </c>
      <c r="B341" s="285" t="s">
        <v>21</v>
      </c>
      <c r="C341" s="285">
        <v>1250.0</v>
      </c>
      <c r="D341" s="285" t="s">
        <v>11342</v>
      </c>
      <c r="E341" s="287" t="s">
        <v>4637</v>
      </c>
      <c r="F341" s="288">
        <v>45700.0</v>
      </c>
      <c r="G341" s="288">
        <v>45692.0</v>
      </c>
      <c r="H341" s="288">
        <v>45692.0</v>
      </c>
      <c r="I341" s="288">
        <v>45707.0</v>
      </c>
      <c r="J341" s="288">
        <v>45707.0</v>
      </c>
      <c r="K341" s="285" t="s">
        <v>4841</v>
      </c>
      <c r="L341" s="17"/>
      <c r="M341" s="290" t="s">
        <v>11343</v>
      </c>
      <c r="N341" s="299" t="s">
        <v>497</v>
      </c>
      <c r="O341" s="322" t="s">
        <v>2554</v>
      </c>
      <c r="P341" s="300">
        <v>36250.0</v>
      </c>
      <c r="Q341" s="299">
        <f t="shared" si="2"/>
        <v>7</v>
      </c>
      <c r="R341" s="299" t="s">
        <v>9170</v>
      </c>
      <c r="S341" s="299" t="s">
        <v>9171</v>
      </c>
      <c r="T341" s="366"/>
      <c r="U341" s="366"/>
      <c r="V341" s="366"/>
      <c r="W341" s="366"/>
      <c r="X341" s="366"/>
      <c r="Y341" s="366"/>
      <c r="Z341" s="366"/>
    </row>
    <row r="342" ht="91.5" customHeight="1">
      <c r="A342" s="370">
        <v>40279.0</v>
      </c>
      <c r="B342" s="299" t="s">
        <v>715</v>
      </c>
      <c r="C342" s="285">
        <v>970.0</v>
      </c>
      <c r="D342" s="285" t="s">
        <v>11344</v>
      </c>
      <c r="E342" s="287" t="s">
        <v>11345</v>
      </c>
      <c r="F342" s="288">
        <v>45699.0</v>
      </c>
      <c r="G342" s="288">
        <v>45715.0</v>
      </c>
      <c r="H342" s="288">
        <v>45706.0</v>
      </c>
      <c r="I342" s="288">
        <v>45706.0</v>
      </c>
      <c r="J342" s="288">
        <v>45706.0</v>
      </c>
      <c r="K342" s="285"/>
      <c r="L342" s="17"/>
      <c r="M342" s="290" t="s">
        <v>11346</v>
      </c>
      <c r="N342" s="299" t="s">
        <v>4635</v>
      </c>
      <c r="O342" s="322" t="s">
        <v>2621</v>
      </c>
      <c r="P342" s="300">
        <v>40295.8</v>
      </c>
      <c r="Q342" s="299">
        <f t="shared" si="2"/>
        <v>7</v>
      </c>
      <c r="R342" s="299"/>
      <c r="S342" s="299" t="s">
        <v>8430</v>
      </c>
      <c r="T342" s="198"/>
      <c r="U342" s="198"/>
      <c r="V342" s="198"/>
      <c r="W342" s="198"/>
      <c r="X342" s="198"/>
      <c r="Y342" s="198"/>
      <c r="Z342" s="198"/>
    </row>
    <row r="343" ht="91.5" customHeight="1">
      <c r="A343" s="370">
        <v>39743.0</v>
      </c>
      <c r="B343" s="299" t="s">
        <v>715</v>
      </c>
      <c r="C343" s="285">
        <v>1306.0</v>
      </c>
      <c r="D343" s="285" t="s">
        <v>11347</v>
      </c>
      <c r="E343" s="287" t="s">
        <v>7323</v>
      </c>
      <c r="F343" s="288">
        <v>45695.0</v>
      </c>
      <c r="G343" s="288">
        <v>45691.0</v>
      </c>
      <c r="H343" s="288">
        <v>45691.0</v>
      </c>
      <c r="I343" s="288">
        <v>45701.0</v>
      </c>
      <c r="J343" s="288">
        <v>45701.0</v>
      </c>
      <c r="K343" s="285"/>
      <c r="L343" s="581"/>
      <c r="M343" s="290" t="s">
        <v>11348</v>
      </c>
      <c r="N343" s="299" t="s">
        <v>497</v>
      </c>
      <c r="O343" s="322" t="s">
        <v>2554</v>
      </c>
      <c r="P343" s="300">
        <v>44795.8</v>
      </c>
      <c r="Q343" s="299">
        <f t="shared" si="2"/>
        <v>6</v>
      </c>
      <c r="R343" s="299" t="s">
        <v>9198</v>
      </c>
      <c r="S343" s="299" t="s">
        <v>9171</v>
      </c>
      <c r="T343" s="198"/>
      <c r="U343" s="198"/>
      <c r="V343" s="198"/>
      <c r="W343" s="198"/>
      <c r="X343" s="198"/>
      <c r="Y343" s="198"/>
      <c r="Z343" s="198"/>
    </row>
    <row r="344" ht="91.5" customHeight="1">
      <c r="A344" s="370">
        <v>39763.0</v>
      </c>
      <c r="B344" s="299" t="s">
        <v>715</v>
      </c>
      <c r="C344" s="285">
        <v>1250.0</v>
      </c>
      <c r="D344" s="285" t="s">
        <v>11349</v>
      </c>
      <c r="E344" s="287" t="s">
        <v>4637</v>
      </c>
      <c r="F344" s="288">
        <v>45695.0</v>
      </c>
      <c r="G344" s="288">
        <v>45691.0</v>
      </c>
      <c r="H344" s="288">
        <v>45691.0</v>
      </c>
      <c r="I344" s="288">
        <v>45701.0</v>
      </c>
      <c r="J344" s="288">
        <v>45701.0</v>
      </c>
      <c r="K344" s="285"/>
      <c r="L344" s="17"/>
      <c r="M344" s="290" t="s">
        <v>11350</v>
      </c>
      <c r="N344" s="299" t="s">
        <v>497</v>
      </c>
      <c r="O344" s="322" t="s">
        <v>2554</v>
      </c>
      <c r="P344" s="300">
        <v>36250.0</v>
      </c>
      <c r="Q344" s="299">
        <f t="shared" si="2"/>
        <v>6</v>
      </c>
      <c r="R344" s="299" t="s">
        <v>9170</v>
      </c>
      <c r="S344" s="299" t="s">
        <v>9171</v>
      </c>
      <c r="T344" s="366"/>
      <c r="U344" s="366"/>
      <c r="V344" s="366"/>
      <c r="W344" s="366"/>
      <c r="X344" s="366"/>
      <c r="Y344" s="366"/>
      <c r="Z344" s="366"/>
    </row>
    <row r="345" ht="91.5" customHeight="1">
      <c r="A345" s="370">
        <v>39653.0</v>
      </c>
      <c r="B345" s="299" t="s">
        <v>715</v>
      </c>
      <c r="C345" s="285">
        <v>1480.0</v>
      </c>
      <c r="D345" s="285" t="s">
        <v>11351</v>
      </c>
      <c r="E345" s="287" t="s">
        <v>7283</v>
      </c>
      <c r="F345" s="288">
        <v>45695.0</v>
      </c>
      <c r="G345" s="288">
        <v>45686.0</v>
      </c>
      <c r="H345" s="288">
        <v>45686.0</v>
      </c>
      <c r="I345" s="288">
        <v>45700.0</v>
      </c>
      <c r="J345" s="288">
        <v>45700.0</v>
      </c>
      <c r="K345" s="285"/>
      <c r="L345" s="285"/>
      <c r="M345" s="290" t="s">
        <v>11352</v>
      </c>
      <c r="N345" s="299" t="s">
        <v>497</v>
      </c>
      <c r="O345" s="322" t="s">
        <v>2604</v>
      </c>
      <c r="P345" s="300">
        <v>52285.64</v>
      </c>
      <c r="Q345" s="299">
        <f t="shared" si="2"/>
        <v>6</v>
      </c>
      <c r="R345" s="299"/>
      <c r="S345" s="299" t="s">
        <v>10487</v>
      </c>
      <c r="T345" s="198"/>
      <c r="U345" s="198"/>
      <c r="V345" s="198"/>
      <c r="W345" s="198"/>
      <c r="X345" s="198"/>
      <c r="Y345" s="198"/>
      <c r="Z345" s="198"/>
    </row>
    <row r="346" ht="91.5" customHeight="1">
      <c r="A346" s="370">
        <v>39907.0</v>
      </c>
      <c r="B346" s="285" t="s">
        <v>21</v>
      </c>
      <c r="C346" s="285">
        <v>5035.0</v>
      </c>
      <c r="D346" s="285" t="s">
        <v>11353</v>
      </c>
      <c r="E346" s="287" t="s">
        <v>11354</v>
      </c>
      <c r="F346" s="288">
        <v>45695.0</v>
      </c>
      <c r="G346" s="288">
        <v>45690.0</v>
      </c>
      <c r="H346" s="288">
        <v>45690.0</v>
      </c>
      <c r="I346" s="288">
        <v>45701.0</v>
      </c>
      <c r="J346" s="288">
        <v>45701.0</v>
      </c>
      <c r="K346" s="285" t="s">
        <v>11355</v>
      </c>
      <c r="L346" s="285" t="s">
        <v>9178</v>
      </c>
      <c r="M346" s="290" t="s">
        <v>11356</v>
      </c>
      <c r="N346" s="299" t="s">
        <v>4635</v>
      </c>
      <c r="O346" s="322" t="s">
        <v>2621</v>
      </c>
      <c r="P346" s="300">
        <v>43457.18</v>
      </c>
      <c r="Q346" s="299">
        <f t="shared" si="2"/>
        <v>6</v>
      </c>
      <c r="R346" s="299"/>
      <c r="S346" s="299" t="s">
        <v>10487</v>
      </c>
      <c r="T346" s="366"/>
      <c r="U346" s="366"/>
      <c r="V346" s="366"/>
      <c r="W346" s="366"/>
      <c r="X346" s="366"/>
      <c r="Y346" s="366"/>
      <c r="Z346" s="366"/>
    </row>
    <row r="347" ht="91.5" customHeight="1">
      <c r="A347" s="370">
        <v>40241.0</v>
      </c>
      <c r="B347" s="299" t="s">
        <v>25</v>
      </c>
      <c r="C347" s="285">
        <v>910.0</v>
      </c>
      <c r="D347" s="285" t="s">
        <v>11357</v>
      </c>
      <c r="E347" s="287" t="s">
        <v>3812</v>
      </c>
      <c r="F347" s="288">
        <v>45694.0</v>
      </c>
      <c r="G347" s="288">
        <v>45686.0</v>
      </c>
      <c r="H347" s="288">
        <v>45686.0</v>
      </c>
      <c r="I347" s="288">
        <v>45700.0</v>
      </c>
      <c r="J347" s="288">
        <v>45700.0</v>
      </c>
      <c r="K347" s="285"/>
      <c r="L347" s="581"/>
      <c r="M347" s="290" t="s">
        <v>11358</v>
      </c>
      <c r="N347" s="299" t="s">
        <v>6366</v>
      </c>
      <c r="O347" s="322" t="s">
        <v>4662</v>
      </c>
      <c r="P347" s="300">
        <v>59185.32</v>
      </c>
      <c r="Q347" s="299">
        <f t="shared" si="2"/>
        <v>6</v>
      </c>
      <c r="R347" s="299"/>
      <c r="S347" s="299" t="s">
        <v>10487</v>
      </c>
      <c r="T347" s="366"/>
      <c r="U347" s="366"/>
      <c r="V347" s="366"/>
      <c r="W347" s="366"/>
      <c r="X347" s="366"/>
      <c r="Y347" s="366"/>
      <c r="Z347" s="366"/>
    </row>
    <row r="348" ht="91.5" customHeight="1">
      <c r="A348" s="370">
        <v>40027.0</v>
      </c>
      <c r="B348" s="299" t="s">
        <v>715</v>
      </c>
      <c r="C348" s="285">
        <v>1306.0</v>
      </c>
      <c r="D348" s="285" t="s">
        <v>11359</v>
      </c>
      <c r="E348" s="287" t="s">
        <v>4681</v>
      </c>
      <c r="F348" s="288">
        <v>45690.0</v>
      </c>
      <c r="G348" s="288">
        <v>45683.0</v>
      </c>
      <c r="H348" s="288">
        <v>45683.0</v>
      </c>
      <c r="I348" s="288">
        <v>45698.0</v>
      </c>
      <c r="J348" s="288">
        <v>45698.0</v>
      </c>
      <c r="K348" s="285"/>
      <c r="L348" s="581"/>
      <c r="M348" s="290" t="s">
        <v>11360</v>
      </c>
      <c r="N348" s="299" t="s">
        <v>497</v>
      </c>
      <c r="O348" s="322" t="s">
        <v>2554</v>
      </c>
      <c r="P348" s="300">
        <v>44795.8</v>
      </c>
      <c r="Q348" s="299">
        <f t="shared" si="2"/>
        <v>6</v>
      </c>
      <c r="R348" s="299" t="s">
        <v>9198</v>
      </c>
      <c r="S348" s="299" t="s">
        <v>9171</v>
      </c>
      <c r="T348" s="366"/>
      <c r="U348" s="366"/>
      <c r="V348" s="366"/>
      <c r="W348" s="366"/>
      <c r="X348" s="366"/>
      <c r="Y348" s="366"/>
      <c r="Z348" s="366"/>
    </row>
    <row r="349" ht="91.5" customHeight="1">
      <c r="A349" s="370">
        <v>40271.0</v>
      </c>
      <c r="B349" s="299" t="s">
        <v>715</v>
      </c>
      <c r="C349" s="285">
        <v>940.0</v>
      </c>
      <c r="D349" s="285" t="s">
        <v>11361</v>
      </c>
      <c r="E349" s="287" t="s">
        <v>3743</v>
      </c>
      <c r="F349" s="288">
        <v>45689.0</v>
      </c>
      <c r="G349" s="288">
        <v>45688.0</v>
      </c>
      <c r="H349" s="288">
        <v>45688.0</v>
      </c>
      <c r="I349" s="288">
        <v>45695.0</v>
      </c>
      <c r="J349" s="288">
        <v>45695.0</v>
      </c>
      <c r="K349" s="285"/>
      <c r="L349" s="581"/>
      <c r="M349" s="290" t="s">
        <v>11362</v>
      </c>
      <c r="N349" s="299" t="s">
        <v>4635</v>
      </c>
      <c r="O349" s="322" t="s">
        <v>2621</v>
      </c>
      <c r="P349" s="300">
        <v>41284.8</v>
      </c>
      <c r="Q349" s="299">
        <f t="shared" si="2"/>
        <v>5</v>
      </c>
      <c r="R349" s="299"/>
      <c r="S349" s="299" t="s">
        <v>8430</v>
      </c>
      <c r="T349" s="366"/>
      <c r="U349" s="366"/>
      <c r="V349" s="366"/>
      <c r="W349" s="366"/>
      <c r="X349" s="366"/>
      <c r="Y349" s="366"/>
      <c r="Z349" s="366"/>
    </row>
    <row r="350" ht="85.5" customHeight="1">
      <c r="A350" s="370">
        <v>40319.0</v>
      </c>
      <c r="B350" s="299" t="s">
        <v>25</v>
      </c>
      <c r="C350" s="285">
        <v>970.0</v>
      </c>
      <c r="D350" s="285" t="s">
        <v>11363</v>
      </c>
      <c r="E350" s="287" t="s">
        <v>11364</v>
      </c>
      <c r="F350" s="288">
        <v>45688.0</v>
      </c>
      <c r="G350" s="288">
        <v>45684.0</v>
      </c>
      <c r="H350" s="288">
        <v>45684.0</v>
      </c>
      <c r="I350" s="288">
        <v>45693.0</v>
      </c>
      <c r="J350" s="288">
        <v>45693.0</v>
      </c>
      <c r="K350" s="285"/>
      <c r="L350" s="17"/>
      <c r="M350" s="290" t="s">
        <v>11365</v>
      </c>
      <c r="N350" s="299" t="s">
        <v>4635</v>
      </c>
      <c r="O350" s="322" t="s">
        <v>2621</v>
      </c>
      <c r="P350" s="300">
        <v>38118.2</v>
      </c>
      <c r="Q350" s="299">
        <f t="shared" si="2"/>
        <v>5</v>
      </c>
      <c r="R350" s="299"/>
      <c r="S350" s="299" t="s">
        <v>8430</v>
      </c>
      <c r="T350" s="366"/>
      <c r="U350" s="366"/>
      <c r="V350" s="366"/>
      <c r="W350" s="366"/>
      <c r="X350" s="366"/>
      <c r="Y350" s="366"/>
      <c r="Z350" s="366"/>
    </row>
    <row r="351" ht="91.5" customHeight="1">
      <c r="A351" s="370">
        <v>39741.0</v>
      </c>
      <c r="B351" s="299" t="s">
        <v>6501</v>
      </c>
      <c r="C351" s="285">
        <v>2413.0</v>
      </c>
      <c r="D351" s="285" t="s">
        <v>11366</v>
      </c>
      <c r="E351" s="287" t="s">
        <v>11367</v>
      </c>
      <c r="F351" s="288">
        <v>45688.0</v>
      </c>
      <c r="G351" s="288">
        <v>45679.0</v>
      </c>
      <c r="H351" s="288">
        <v>45679.0</v>
      </c>
      <c r="I351" s="288">
        <v>45694.0</v>
      </c>
      <c r="J351" s="288">
        <v>45694.0</v>
      </c>
      <c r="K351" s="285"/>
      <c r="L351" s="285"/>
      <c r="M351" s="290" t="s">
        <v>11368</v>
      </c>
      <c r="N351" s="299" t="s">
        <v>497</v>
      </c>
      <c r="O351" s="322" t="s">
        <v>2554</v>
      </c>
      <c r="P351" s="300">
        <v>60083.7</v>
      </c>
      <c r="Q351" s="299">
        <f t="shared" si="2"/>
        <v>5</v>
      </c>
      <c r="R351" s="299" t="s">
        <v>9198</v>
      </c>
      <c r="S351" s="299" t="s">
        <v>9171</v>
      </c>
      <c r="T351" s="198"/>
      <c r="U351" s="198"/>
      <c r="V351" s="198"/>
      <c r="W351" s="198"/>
      <c r="X351" s="198"/>
      <c r="Y351" s="198"/>
      <c r="Z351" s="198"/>
    </row>
    <row r="352" ht="99.75" customHeight="1">
      <c r="A352" s="370">
        <v>40337.0</v>
      </c>
      <c r="B352" s="285" t="s">
        <v>21</v>
      </c>
      <c r="C352" s="285">
        <v>1028.0</v>
      </c>
      <c r="D352" s="285" t="s">
        <v>11369</v>
      </c>
      <c r="E352" s="287" t="s">
        <v>11370</v>
      </c>
      <c r="F352" s="288">
        <v>45687.0</v>
      </c>
      <c r="G352" s="288">
        <v>45684.0</v>
      </c>
      <c r="H352" s="288">
        <v>45684.0</v>
      </c>
      <c r="I352" s="288">
        <v>45694.0</v>
      </c>
      <c r="J352" s="288">
        <v>45694.0</v>
      </c>
      <c r="K352" s="285" t="s">
        <v>11371</v>
      </c>
      <c r="L352" s="285" t="s">
        <v>9178</v>
      </c>
      <c r="M352" s="290" t="s">
        <v>11372</v>
      </c>
      <c r="N352" s="299" t="s">
        <v>4635</v>
      </c>
      <c r="O352" s="322" t="s">
        <v>2621</v>
      </c>
      <c r="P352" s="300">
        <v>63733.28</v>
      </c>
      <c r="Q352" s="299">
        <f t="shared" si="2"/>
        <v>5</v>
      </c>
      <c r="R352" s="299"/>
      <c r="S352" s="299" t="s">
        <v>8430</v>
      </c>
      <c r="T352" s="366"/>
      <c r="U352" s="366"/>
      <c r="V352" s="366"/>
      <c r="W352" s="366"/>
      <c r="X352" s="366"/>
      <c r="Y352" s="366"/>
      <c r="Z352" s="366"/>
    </row>
    <row r="353" ht="91.5" customHeight="1">
      <c r="A353" s="370">
        <v>39640.0</v>
      </c>
      <c r="B353" s="299" t="s">
        <v>715</v>
      </c>
      <c r="C353" s="285">
        <v>2578.0</v>
      </c>
      <c r="D353" s="285" t="s">
        <v>11373</v>
      </c>
      <c r="E353" s="287" t="s">
        <v>9223</v>
      </c>
      <c r="F353" s="288">
        <v>45687.0</v>
      </c>
      <c r="G353" s="288">
        <v>45680.0</v>
      </c>
      <c r="H353" s="288">
        <v>45680.0</v>
      </c>
      <c r="I353" s="288">
        <v>45694.0</v>
      </c>
      <c r="J353" s="288">
        <v>45694.0</v>
      </c>
      <c r="K353" s="285"/>
      <c r="L353" s="581"/>
      <c r="M353" s="290" t="s">
        <v>11374</v>
      </c>
      <c r="N353" s="299" t="s">
        <v>497</v>
      </c>
      <c r="O353" s="322" t="s">
        <v>2554</v>
      </c>
      <c r="P353" s="300">
        <v>57854.55</v>
      </c>
      <c r="Q353" s="299">
        <f t="shared" si="2"/>
        <v>5</v>
      </c>
      <c r="R353" s="299" t="s">
        <v>9198</v>
      </c>
      <c r="S353" s="299" t="s">
        <v>9171</v>
      </c>
      <c r="T353" s="198"/>
      <c r="U353" s="198"/>
      <c r="V353" s="198"/>
      <c r="W353" s="198"/>
      <c r="X353" s="198"/>
      <c r="Y353" s="198"/>
      <c r="Z353" s="198"/>
    </row>
    <row r="354" ht="91.5" customHeight="1">
      <c r="A354" s="370">
        <v>39751.0</v>
      </c>
      <c r="B354" s="299" t="s">
        <v>25</v>
      </c>
      <c r="C354" s="285">
        <v>1306.0</v>
      </c>
      <c r="D354" s="285" t="s">
        <v>11375</v>
      </c>
      <c r="E354" s="287" t="s">
        <v>9429</v>
      </c>
      <c r="F354" s="288">
        <v>45687.0</v>
      </c>
      <c r="G354" s="288">
        <v>45683.0</v>
      </c>
      <c r="H354" s="288">
        <v>45683.0</v>
      </c>
      <c r="I354" s="288">
        <v>45693.0</v>
      </c>
      <c r="J354" s="288">
        <v>45693.0</v>
      </c>
      <c r="K354" s="285"/>
      <c r="L354" s="285"/>
      <c r="M354" s="290" t="s">
        <v>11376</v>
      </c>
      <c r="N354" s="299" t="s">
        <v>497</v>
      </c>
      <c r="O354" s="322" t="s">
        <v>2554</v>
      </c>
      <c r="P354" s="300">
        <v>44795.8</v>
      </c>
      <c r="Q354" s="299">
        <f t="shared" si="2"/>
        <v>5</v>
      </c>
      <c r="R354" s="299" t="s">
        <v>9198</v>
      </c>
      <c r="S354" s="299" t="s">
        <v>9171</v>
      </c>
      <c r="T354" s="366"/>
      <c r="U354" s="366"/>
      <c r="V354" s="366"/>
      <c r="W354" s="366"/>
      <c r="X354" s="366"/>
      <c r="Y354" s="366"/>
      <c r="Z354" s="366"/>
    </row>
    <row r="355" ht="91.5" customHeight="1">
      <c r="A355" s="370">
        <v>39750.0</v>
      </c>
      <c r="B355" s="299" t="s">
        <v>25</v>
      </c>
      <c r="C355" s="285">
        <v>2275.0</v>
      </c>
      <c r="D355" s="285" t="s">
        <v>11377</v>
      </c>
      <c r="E355" s="287" t="s">
        <v>4667</v>
      </c>
      <c r="F355" s="288">
        <v>45687.0</v>
      </c>
      <c r="G355" s="288">
        <v>45683.0</v>
      </c>
      <c r="H355" s="288">
        <v>45683.0</v>
      </c>
      <c r="I355" s="288">
        <v>45692.0</v>
      </c>
      <c r="J355" s="288">
        <v>45692.0</v>
      </c>
      <c r="K355" s="285" t="s">
        <v>5270</v>
      </c>
      <c r="L355" s="285" t="s">
        <v>9178</v>
      </c>
      <c r="M355" s="290" t="s">
        <v>11378</v>
      </c>
      <c r="N355" s="299" t="s">
        <v>497</v>
      </c>
      <c r="O355" s="322" t="s">
        <v>2554</v>
      </c>
      <c r="P355" s="300">
        <v>36058.5</v>
      </c>
      <c r="Q355" s="299">
        <f t="shared" si="2"/>
        <v>5</v>
      </c>
      <c r="R355" s="299" t="s">
        <v>9198</v>
      </c>
      <c r="S355" s="299" t="s">
        <v>9171</v>
      </c>
      <c r="T355" s="198"/>
      <c r="U355" s="198"/>
      <c r="V355" s="198"/>
      <c r="W355" s="198"/>
      <c r="X355" s="198"/>
      <c r="Y355" s="198"/>
      <c r="Z355" s="198"/>
    </row>
    <row r="356" ht="91.5" customHeight="1">
      <c r="A356" s="370">
        <v>39768.0</v>
      </c>
      <c r="B356" s="299" t="s">
        <v>25</v>
      </c>
      <c r="C356" s="285">
        <v>1745.0</v>
      </c>
      <c r="D356" s="285" t="s">
        <v>11379</v>
      </c>
      <c r="E356" s="287" t="s">
        <v>9309</v>
      </c>
      <c r="F356" s="288">
        <v>45685.0</v>
      </c>
      <c r="G356" s="288">
        <v>45684.0</v>
      </c>
      <c r="H356" s="288">
        <v>45684.0</v>
      </c>
      <c r="I356" s="288">
        <v>45691.0</v>
      </c>
      <c r="J356" s="288">
        <v>45691.0</v>
      </c>
      <c r="K356" s="285"/>
      <c r="L356" s="17"/>
      <c r="M356" s="290" t="s">
        <v>11380</v>
      </c>
      <c r="N356" s="299" t="s">
        <v>497</v>
      </c>
      <c r="O356" s="322" t="s">
        <v>2554</v>
      </c>
      <c r="P356" s="300">
        <v>40860.55</v>
      </c>
      <c r="Q356" s="299">
        <f t="shared" si="2"/>
        <v>5</v>
      </c>
      <c r="R356" s="299" t="s">
        <v>9170</v>
      </c>
      <c r="S356" s="299" t="s">
        <v>9171</v>
      </c>
      <c r="T356" s="366"/>
      <c r="U356" s="366"/>
      <c r="V356" s="366"/>
      <c r="W356" s="366"/>
      <c r="X356" s="366"/>
      <c r="Y356" s="366"/>
      <c r="Z356" s="366"/>
    </row>
    <row r="357" ht="84.75" customHeight="1">
      <c r="A357" s="370">
        <v>40265.0</v>
      </c>
      <c r="B357" s="299" t="s">
        <v>6501</v>
      </c>
      <c r="C357" s="285">
        <v>940.0</v>
      </c>
      <c r="D357" s="285" t="s">
        <v>11381</v>
      </c>
      <c r="E357" s="287" t="s">
        <v>11382</v>
      </c>
      <c r="F357" s="288">
        <v>45685.0</v>
      </c>
      <c r="G357" s="288">
        <v>45730.0</v>
      </c>
      <c r="H357" s="288">
        <v>45691.0</v>
      </c>
      <c r="I357" s="288">
        <v>45691.0</v>
      </c>
      <c r="J357" s="288">
        <v>45691.0</v>
      </c>
      <c r="K357" s="285"/>
      <c r="L357" s="581"/>
      <c r="M357" s="290" t="s">
        <v>11383</v>
      </c>
      <c r="N357" s="299" t="s">
        <v>4635</v>
      </c>
      <c r="O357" s="322" t="s">
        <v>2621</v>
      </c>
      <c r="P357" s="300">
        <v>56978.1</v>
      </c>
      <c r="Q357" s="299">
        <f t="shared" si="2"/>
        <v>5</v>
      </c>
      <c r="R357" s="299"/>
      <c r="S357" s="299" t="s">
        <v>8430</v>
      </c>
      <c r="T357" s="198"/>
      <c r="U357" s="198"/>
      <c r="V357" s="198"/>
      <c r="W357" s="198"/>
      <c r="X357" s="198"/>
      <c r="Y357" s="198"/>
      <c r="Z357" s="198"/>
    </row>
    <row r="358" ht="87.75" customHeight="1">
      <c r="A358" s="370">
        <v>40425.0</v>
      </c>
      <c r="B358" s="285" t="s">
        <v>21</v>
      </c>
      <c r="C358" s="285" t="s">
        <v>11384</v>
      </c>
      <c r="D358" s="285" t="s">
        <v>11385</v>
      </c>
      <c r="E358" s="287" t="s">
        <v>11162</v>
      </c>
      <c r="F358" s="288">
        <v>45684.0</v>
      </c>
      <c r="G358" s="288">
        <v>45677.0</v>
      </c>
      <c r="H358" s="288">
        <v>45677.0</v>
      </c>
      <c r="I358" s="288">
        <v>45692.0</v>
      </c>
      <c r="J358" s="288">
        <v>45692.0</v>
      </c>
      <c r="K358" s="285" t="s">
        <v>4841</v>
      </c>
      <c r="L358" s="581"/>
      <c r="M358" s="290" t="s">
        <v>11386</v>
      </c>
      <c r="N358" s="299" t="s">
        <v>497</v>
      </c>
      <c r="O358" s="322" t="s">
        <v>2621</v>
      </c>
      <c r="P358" s="300">
        <v>3078.0</v>
      </c>
      <c r="Q358" s="299">
        <f t="shared" si="2"/>
        <v>5</v>
      </c>
      <c r="R358" s="299"/>
      <c r="S358" s="299" t="s">
        <v>10487</v>
      </c>
      <c r="T358" s="366"/>
      <c r="U358" s="366"/>
      <c r="V358" s="366"/>
      <c r="W358" s="366"/>
      <c r="X358" s="366"/>
      <c r="Y358" s="366"/>
      <c r="Z358" s="366"/>
    </row>
    <row r="359" ht="91.5" customHeight="1">
      <c r="A359" s="370">
        <v>40135.0</v>
      </c>
      <c r="B359" s="299" t="s">
        <v>25</v>
      </c>
      <c r="C359" s="285">
        <v>629.0</v>
      </c>
      <c r="D359" s="285" t="s">
        <v>11387</v>
      </c>
      <c r="E359" s="287" t="s">
        <v>4743</v>
      </c>
      <c r="F359" s="288">
        <v>45682.0</v>
      </c>
      <c r="G359" s="288">
        <v>45687.0</v>
      </c>
      <c r="H359" s="288">
        <v>45685.0</v>
      </c>
      <c r="I359" s="288">
        <v>45685.0</v>
      </c>
      <c r="J359" s="288">
        <v>45685.0</v>
      </c>
      <c r="K359" s="285"/>
      <c r="L359" s="31"/>
      <c r="M359" s="290" t="s">
        <v>11388</v>
      </c>
      <c r="N359" s="299" t="s">
        <v>4745</v>
      </c>
      <c r="O359" s="322" t="s">
        <v>4746</v>
      </c>
      <c r="P359" s="300">
        <v>85742.4</v>
      </c>
      <c r="Q359" s="299">
        <f t="shared" si="2"/>
        <v>4</v>
      </c>
      <c r="R359" s="299"/>
      <c r="S359" s="299" t="s">
        <v>10487</v>
      </c>
      <c r="T359" s="366"/>
      <c r="U359" s="366"/>
      <c r="V359" s="366"/>
      <c r="W359" s="366"/>
      <c r="X359" s="366"/>
      <c r="Y359" s="366"/>
      <c r="Z359" s="366"/>
    </row>
    <row r="360" ht="91.5" customHeight="1">
      <c r="A360" s="370">
        <v>40019.0</v>
      </c>
      <c r="B360" s="285" t="s">
        <v>21</v>
      </c>
      <c r="C360" s="285">
        <v>2400.0</v>
      </c>
      <c r="D360" s="285" t="s">
        <v>11389</v>
      </c>
      <c r="E360" s="287" t="s">
        <v>4796</v>
      </c>
      <c r="F360" s="288">
        <v>45682.0</v>
      </c>
      <c r="G360" s="288">
        <v>45677.0</v>
      </c>
      <c r="H360" s="288">
        <v>45677.0</v>
      </c>
      <c r="I360" s="288">
        <v>45686.0</v>
      </c>
      <c r="J360" s="288">
        <v>45686.0</v>
      </c>
      <c r="K360" s="285" t="s">
        <v>4841</v>
      </c>
      <c r="L360" s="31"/>
      <c r="M360" s="290" t="s">
        <v>11390</v>
      </c>
      <c r="N360" s="299" t="s">
        <v>497</v>
      </c>
      <c r="O360" s="322" t="s">
        <v>2554</v>
      </c>
      <c r="P360" s="300">
        <v>41592.0</v>
      </c>
      <c r="Q360" s="299">
        <f t="shared" si="2"/>
        <v>4</v>
      </c>
      <c r="R360" s="299" t="s">
        <v>9170</v>
      </c>
      <c r="S360" s="299" t="s">
        <v>9171</v>
      </c>
      <c r="T360" s="366"/>
      <c r="U360" s="366"/>
      <c r="V360" s="366"/>
      <c r="W360" s="366"/>
      <c r="X360" s="366"/>
      <c r="Y360" s="366"/>
      <c r="Z360" s="366"/>
    </row>
    <row r="361" ht="91.5" customHeight="1">
      <c r="A361" s="370">
        <v>39760.0</v>
      </c>
      <c r="B361" s="285" t="s">
        <v>21</v>
      </c>
      <c r="C361" s="285">
        <v>4500.0</v>
      </c>
      <c r="D361" s="285" t="s">
        <v>11391</v>
      </c>
      <c r="E361" s="287" t="s">
        <v>4658</v>
      </c>
      <c r="F361" s="288">
        <v>45682.0</v>
      </c>
      <c r="G361" s="288">
        <v>45677.0</v>
      </c>
      <c r="H361" s="288">
        <v>45677.0</v>
      </c>
      <c r="I361" s="288">
        <v>45687.0</v>
      </c>
      <c r="J361" s="288">
        <v>45687.0</v>
      </c>
      <c r="K361" s="285" t="s">
        <v>4841</v>
      </c>
      <c r="L361" s="17"/>
      <c r="M361" s="290" t="s">
        <v>11392</v>
      </c>
      <c r="N361" s="299" t="s">
        <v>497</v>
      </c>
      <c r="O361" s="322" t="s">
        <v>2554</v>
      </c>
      <c r="P361" s="300">
        <v>33750.0</v>
      </c>
      <c r="Q361" s="299">
        <f t="shared" si="2"/>
        <v>4</v>
      </c>
      <c r="R361" s="299" t="s">
        <v>9170</v>
      </c>
      <c r="S361" s="299" t="s">
        <v>9171</v>
      </c>
      <c r="T361" s="366"/>
      <c r="U361" s="366"/>
      <c r="V361" s="366"/>
      <c r="W361" s="366"/>
      <c r="X361" s="366"/>
      <c r="Y361" s="366"/>
      <c r="Z361" s="366"/>
    </row>
    <row r="362" ht="91.5" customHeight="1">
      <c r="A362" s="370">
        <v>39737.0</v>
      </c>
      <c r="B362" s="299" t="s">
        <v>715</v>
      </c>
      <c r="C362" s="285">
        <v>4356.0</v>
      </c>
      <c r="D362" s="285" t="s">
        <v>11393</v>
      </c>
      <c r="E362" s="287" t="s">
        <v>7479</v>
      </c>
      <c r="F362" s="288">
        <v>45682.0</v>
      </c>
      <c r="G362" s="288">
        <v>45677.0</v>
      </c>
      <c r="H362" s="288">
        <v>45677.0</v>
      </c>
      <c r="I362" s="288">
        <v>45688.0</v>
      </c>
      <c r="J362" s="288">
        <v>45688.0</v>
      </c>
      <c r="K362" s="285"/>
      <c r="L362" s="581"/>
      <c r="M362" s="290" t="s">
        <v>11394</v>
      </c>
      <c r="N362" s="299" t="s">
        <v>497</v>
      </c>
      <c r="O362" s="322" t="s">
        <v>2554</v>
      </c>
      <c r="P362" s="300">
        <v>33018.48</v>
      </c>
      <c r="Q362" s="299">
        <f t="shared" si="2"/>
        <v>4</v>
      </c>
      <c r="R362" s="299" t="s">
        <v>9198</v>
      </c>
      <c r="S362" s="299" t="s">
        <v>9171</v>
      </c>
      <c r="T362" s="198"/>
      <c r="U362" s="198"/>
      <c r="V362" s="198"/>
      <c r="W362" s="198"/>
      <c r="X362" s="198"/>
      <c r="Y362" s="198"/>
      <c r="Z362" s="198"/>
    </row>
    <row r="363" ht="91.5" customHeight="1">
      <c r="A363" s="370">
        <v>39774.0</v>
      </c>
      <c r="B363" s="299" t="s">
        <v>715</v>
      </c>
      <c r="C363" s="285">
        <v>1000.0</v>
      </c>
      <c r="D363" s="285" t="s">
        <v>11395</v>
      </c>
      <c r="E363" s="287" t="s">
        <v>11396</v>
      </c>
      <c r="F363" s="288">
        <v>45682.0</v>
      </c>
      <c r="G363" s="288">
        <v>45672.0</v>
      </c>
      <c r="H363" s="288">
        <v>45672.0</v>
      </c>
      <c r="I363" s="288">
        <v>45691.0</v>
      </c>
      <c r="J363" s="288">
        <v>45691.0</v>
      </c>
      <c r="K363" s="285"/>
      <c r="L363" s="17"/>
      <c r="M363" s="290" t="s">
        <v>11397</v>
      </c>
      <c r="N363" s="299" t="s">
        <v>4635</v>
      </c>
      <c r="O363" s="322" t="s">
        <v>2621</v>
      </c>
      <c r="P363" s="300">
        <v>36320.0</v>
      </c>
      <c r="Q363" s="299">
        <f t="shared" si="2"/>
        <v>4</v>
      </c>
      <c r="R363" s="299"/>
      <c r="S363" s="299" t="s">
        <v>8430</v>
      </c>
      <c r="T363" s="366"/>
      <c r="U363" s="366"/>
      <c r="V363" s="366"/>
      <c r="W363" s="366"/>
      <c r="X363" s="366"/>
      <c r="Y363" s="366"/>
      <c r="Z363" s="366"/>
    </row>
    <row r="364" ht="91.5" customHeight="1">
      <c r="A364" s="370">
        <v>40206.0</v>
      </c>
      <c r="B364" s="299" t="s">
        <v>715</v>
      </c>
      <c r="C364" s="285">
        <v>565.0</v>
      </c>
      <c r="D364" s="285" t="s">
        <v>11398</v>
      </c>
      <c r="E364" s="287" t="s">
        <v>9364</v>
      </c>
      <c r="F364" s="288">
        <v>45682.0</v>
      </c>
      <c r="G364" s="288">
        <v>45674.0</v>
      </c>
      <c r="H364" s="288">
        <v>45678.0</v>
      </c>
      <c r="I364" s="288">
        <v>45686.0</v>
      </c>
      <c r="J364" s="288">
        <v>45686.0</v>
      </c>
      <c r="K364" s="285"/>
      <c r="L364" s="17"/>
      <c r="M364" s="290" t="s">
        <v>11399</v>
      </c>
      <c r="N364" s="299" t="s">
        <v>4635</v>
      </c>
      <c r="O364" s="322" t="s">
        <v>2621</v>
      </c>
      <c r="P364" s="300">
        <v>59401.75</v>
      </c>
      <c r="Q364" s="299">
        <f t="shared" si="2"/>
        <v>4</v>
      </c>
      <c r="R364" s="299"/>
      <c r="S364" s="299" t="s">
        <v>10487</v>
      </c>
      <c r="T364" s="198"/>
      <c r="U364" s="198"/>
      <c r="V364" s="198"/>
      <c r="W364" s="198"/>
      <c r="X364" s="198"/>
      <c r="Y364" s="198"/>
      <c r="Z364" s="198"/>
    </row>
    <row r="365" ht="91.5" customHeight="1">
      <c r="A365" s="370">
        <v>39776.0</v>
      </c>
      <c r="B365" s="299" t="s">
        <v>715</v>
      </c>
      <c r="C365" s="285">
        <v>960.0</v>
      </c>
      <c r="D365" s="285" t="s">
        <v>11400</v>
      </c>
      <c r="E365" s="287" t="s">
        <v>11401</v>
      </c>
      <c r="F365" s="288">
        <v>45682.0</v>
      </c>
      <c r="G365" s="288">
        <v>45694.0</v>
      </c>
      <c r="H365" s="288">
        <v>45693.0</v>
      </c>
      <c r="I365" s="288">
        <v>45693.0</v>
      </c>
      <c r="J365" s="288">
        <v>45693.0</v>
      </c>
      <c r="K365" s="285"/>
      <c r="L365" s="31"/>
      <c r="M365" s="290" t="s">
        <v>11402</v>
      </c>
      <c r="N365" s="299" t="s">
        <v>4635</v>
      </c>
      <c r="O365" s="322" t="s">
        <v>2621</v>
      </c>
      <c r="P365" s="300">
        <v>38991.2</v>
      </c>
      <c r="Q365" s="299">
        <f t="shared" si="2"/>
        <v>4</v>
      </c>
      <c r="R365" s="299"/>
      <c r="S365" s="299" t="s">
        <v>8430</v>
      </c>
      <c r="T365" s="198"/>
      <c r="U365" s="198"/>
      <c r="V365" s="198"/>
      <c r="W365" s="198"/>
      <c r="X365" s="198"/>
      <c r="Y365" s="198"/>
      <c r="Z365" s="198"/>
    </row>
    <row r="366" ht="91.5" customHeight="1">
      <c r="A366" s="370">
        <v>40296.0</v>
      </c>
      <c r="B366" s="285" t="s">
        <v>21</v>
      </c>
      <c r="C366" s="285" t="s">
        <v>11403</v>
      </c>
      <c r="D366" s="285" t="s">
        <v>11404</v>
      </c>
      <c r="E366" s="287" t="s">
        <v>11405</v>
      </c>
      <c r="F366" s="288">
        <v>45678.0</v>
      </c>
      <c r="G366" s="288">
        <v>45673.0</v>
      </c>
      <c r="H366" s="288">
        <v>45685.0</v>
      </c>
      <c r="I366" s="288" t="s">
        <v>11406</v>
      </c>
      <c r="J366" s="288">
        <v>45685.0</v>
      </c>
      <c r="K366" s="285" t="s">
        <v>4841</v>
      </c>
      <c r="L366" s="31"/>
      <c r="M366" s="290" t="s">
        <v>11407</v>
      </c>
      <c r="N366" s="299" t="s">
        <v>4635</v>
      </c>
      <c r="O366" s="322" t="s">
        <v>2621</v>
      </c>
      <c r="P366" s="300">
        <v>22549.16</v>
      </c>
      <c r="Q366" s="299">
        <f t="shared" si="2"/>
        <v>4</v>
      </c>
      <c r="R366" s="299"/>
      <c r="S366" s="299" t="s">
        <v>10487</v>
      </c>
      <c r="T366" s="366"/>
      <c r="U366" s="366"/>
      <c r="V366" s="366"/>
      <c r="W366" s="366"/>
      <c r="X366" s="366"/>
      <c r="Y366" s="366"/>
      <c r="Z366" s="366"/>
    </row>
    <row r="367" ht="91.5" customHeight="1">
      <c r="A367" s="370">
        <v>40020.0</v>
      </c>
      <c r="B367" s="285" t="s">
        <v>21</v>
      </c>
      <c r="C367" s="285">
        <v>4356.0</v>
      </c>
      <c r="D367" s="285" t="s">
        <v>11408</v>
      </c>
      <c r="E367" s="287" t="s">
        <v>6358</v>
      </c>
      <c r="F367" s="288">
        <v>45678.0</v>
      </c>
      <c r="G367" s="288">
        <v>45673.0</v>
      </c>
      <c r="H367" s="288">
        <v>45673.0</v>
      </c>
      <c r="I367" s="288">
        <v>45687.0</v>
      </c>
      <c r="J367" s="288">
        <v>45687.0</v>
      </c>
      <c r="K367" s="285" t="s">
        <v>4841</v>
      </c>
      <c r="L367" s="31"/>
      <c r="M367" s="290" t="s">
        <v>11409</v>
      </c>
      <c r="N367" s="299" t="s">
        <v>497</v>
      </c>
      <c r="O367" s="322" t="s">
        <v>2554</v>
      </c>
      <c r="P367" s="300">
        <v>30056.4</v>
      </c>
      <c r="Q367" s="299">
        <f t="shared" si="2"/>
        <v>4</v>
      </c>
      <c r="R367" s="299" t="s">
        <v>9198</v>
      </c>
      <c r="S367" s="299" t="s">
        <v>9171</v>
      </c>
      <c r="T367" s="366"/>
      <c r="U367" s="366"/>
      <c r="V367" s="366"/>
      <c r="W367" s="366"/>
      <c r="X367" s="366"/>
      <c r="Y367" s="366"/>
      <c r="Z367" s="366"/>
    </row>
    <row r="368" ht="81.75" customHeight="1">
      <c r="A368" s="370">
        <v>39764.0</v>
      </c>
      <c r="B368" s="285" t="s">
        <v>21</v>
      </c>
      <c r="C368" s="285">
        <v>4500.0</v>
      </c>
      <c r="D368" s="285" t="s">
        <v>11410</v>
      </c>
      <c r="E368" s="287" t="s">
        <v>11411</v>
      </c>
      <c r="F368" s="288">
        <v>45678.0</v>
      </c>
      <c r="G368" s="288">
        <v>45673.0</v>
      </c>
      <c r="H368" s="288">
        <v>45673.0</v>
      </c>
      <c r="I368" s="288">
        <v>45685.0</v>
      </c>
      <c r="J368" s="288">
        <v>45685.0</v>
      </c>
      <c r="K368" s="285" t="s">
        <v>4841</v>
      </c>
      <c r="L368" s="285"/>
      <c r="M368" s="290" t="s">
        <v>11412</v>
      </c>
      <c r="N368" s="299" t="s">
        <v>497</v>
      </c>
      <c r="O368" s="322" t="s">
        <v>2554</v>
      </c>
      <c r="P368" s="300">
        <v>33187.5</v>
      </c>
      <c r="Q368" s="299">
        <f t="shared" si="2"/>
        <v>4</v>
      </c>
      <c r="R368" s="299" t="s">
        <v>9170</v>
      </c>
      <c r="S368" s="299" t="s">
        <v>9171</v>
      </c>
      <c r="T368" s="366"/>
      <c r="U368" s="366"/>
      <c r="V368" s="366"/>
      <c r="W368" s="366"/>
      <c r="X368" s="366"/>
      <c r="Y368" s="366"/>
      <c r="Z368" s="366"/>
    </row>
    <row r="369" ht="77.25" customHeight="1">
      <c r="A369" s="370">
        <v>39748.0</v>
      </c>
      <c r="B369" s="285" t="s">
        <v>21</v>
      </c>
      <c r="C369" s="285">
        <v>4356.0</v>
      </c>
      <c r="D369" s="285" t="s">
        <v>11413</v>
      </c>
      <c r="E369" s="287" t="s">
        <v>4644</v>
      </c>
      <c r="F369" s="288">
        <v>45678.0</v>
      </c>
      <c r="G369" s="288">
        <v>45673.0</v>
      </c>
      <c r="H369" s="288">
        <v>45673.0</v>
      </c>
      <c r="I369" s="288">
        <v>45686.0</v>
      </c>
      <c r="J369" s="288">
        <v>45686.0</v>
      </c>
      <c r="K369" s="285" t="s">
        <v>5270</v>
      </c>
      <c r="L369" s="285" t="s">
        <v>9178</v>
      </c>
      <c r="M369" s="290" t="s">
        <v>11414</v>
      </c>
      <c r="N369" s="299" t="s">
        <v>497</v>
      </c>
      <c r="O369" s="322" t="s">
        <v>2554</v>
      </c>
      <c r="P369" s="300">
        <v>30056.4</v>
      </c>
      <c r="Q369" s="299">
        <f t="shared" si="2"/>
        <v>4</v>
      </c>
      <c r="R369" s="299" t="s">
        <v>9198</v>
      </c>
      <c r="S369" s="299" t="s">
        <v>9171</v>
      </c>
      <c r="T369" s="366"/>
      <c r="U369" s="366"/>
      <c r="V369" s="366"/>
      <c r="W369" s="366"/>
      <c r="X369" s="366"/>
      <c r="Y369" s="366"/>
      <c r="Z369" s="366"/>
    </row>
    <row r="370" ht="91.5" customHeight="1">
      <c r="A370" s="370">
        <v>39736.0</v>
      </c>
      <c r="B370" s="299" t="s">
        <v>715</v>
      </c>
      <c r="C370" s="285">
        <v>4356.0</v>
      </c>
      <c r="D370" s="285" t="s">
        <v>11415</v>
      </c>
      <c r="E370" s="287" t="s">
        <v>7523</v>
      </c>
      <c r="F370" s="288">
        <v>45676.0</v>
      </c>
      <c r="G370" s="288">
        <v>45671.0</v>
      </c>
      <c r="H370" s="288">
        <v>45671.0</v>
      </c>
      <c r="I370" s="288">
        <v>45685.0</v>
      </c>
      <c r="J370" s="288">
        <v>45685.0</v>
      </c>
      <c r="K370" s="285"/>
      <c r="L370" s="31"/>
      <c r="M370" s="290" t="s">
        <v>11416</v>
      </c>
      <c r="N370" s="299" t="s">
        <v>497</v>
      </c>
      <c r="O370" s="322" t="s">
        <v>2554</v>
      </c>
      <c r="P370" s="300">
        <v>30056.4</v>
      </c>
      <c r="Q370" s="299">
        <f t="shared" si="2"/>
        <v>4</v>
      </c>
      <c r="R370" s="299" t="s">
        <v>9198</v>
      </c>
      <c r="S370" s="299" t="s">
        <v>9171</v>
      </c>
      <c r="T370" s="198"/>
      <c r="U370" s="198"/>
      <c r="V370" s="198"/>
      <c r="W370" s="198"/>
      <c r="X370" s="198"/>
      <c r="Y370" s="198"/>
      <c r="Z370" s="198"/>
    </row>
    <row r="371" ht="91.5" customHeight="1">
      <c r="A371" s="370">
        <v>39636.0</v>
      </c>
      <c r="B371" s="299" t="s">
        <v>715</v>
      </c>
      <c r="C371" s="285">
        <v>2413.0</v>
      </c>
      <c r="D371" s="285" t="s">
        <v>11417</v>
      </c>
      <c r="E371" s="287" t="s">
        <v>7448</v>
      </c>
      <c r="F371" s="288">
        <v>45676.0</v>
      </c>
      <c r="G371" s="288">
        <v>45671.0</v>
      </c>
      <c r="H371" s="288">
        <v>45671.0</v>
      </c>
      <c r="I371" s="288">
        <v>45687.0</v>
      </c>
      <c r="J371" s="288">
        <v>45687.0</v>
      </c>
      <c r="K371" s="285"/>
      <c r="L371" s="17"/>
      <c r="M371" s="290" t="s">
        <v>11418</v>
      </c>
      <c r="N371" s="299" t="s">
        <v>497</v>
      </c>
      <c r="O371" s="322" t="s">
        <v>2554</v>
      </c>
      <c r="P371" s="300">
        <v>42951.2</v>
      </c>
      <c r="Q371" s="299">
        <f t="shared" si="2"/>
        <v>4</v>
      </c>
      <c r="R371" s="299" t="s">
        <v>9198</v>
      </c>
      <c r="S371" s="299" t="s">
        <v>9171</v>
      </c>
      <c r="T371" s="366"/>
      <c r="U371" s="366"/>
      <c r="V371" s="366"/>
      <c r="W371" s="366"/>
      <c r="X371" s="366"/>
      <c r="Y371" s="366"/>
      <c r="Z371" s="366"/>
    </row>
    <row r="372" ht="91.5" customHeight="1">
      <c r="A372" s="370">
        <v>40303.0</v>
      </c>
      <c r="B372" s="299" t="s">
        <v>25</v>
      </c>
      <c r="C372" s="285" t="s">
        <v>11419</v>
      </c>
      <c r="D372" s="285" t="s">
        <v>11420</v>
      </c>
      <c r="E372" s="287" t="s">
        <v>11421</v>
      </c>
      <c r="F372" s="288">
        <v>45673.0</v>
      </c>
      <c r="G372" s="285" t="s">
        <v>4841</v>
      </c>
      <c r="H372" s="285" t="s">
        <v>4841</v>
      </c>
      <c r="I372" s="288">
        <v>45684.0</v>
      </c>
      <c r="J372" s="288">
        <v>45684.0</v>
      </c>
      <c r="K372" s="285"/>
      <c r="L372" s="285"/>
      <c r="M372" s="290" t="s">
        <v>11422</v>
      </c>
      <c r="N372" s="299" t="s">
        <v>497</v>
      </c>
      <c r="O372" s="322" t="s">
        <v>2538</v>
      </c>
      <c r="P372" s="300">
        <v>58560.0</v>
      </c>
      <c r="Q372" s="299">
        <f t="shared" si="2"/>
        <v>3</v>
      </c>
      <c r="R372" s="299"/>
      <c r="S372" s="299" t="s">
        <v>10487</v>
      </c>
      <c r="T372" s="198"/>
      <c r="U372" s="198"/>
      <c r="V372" s="198"/>
      <c r="W372" s="198"/>
      <c r="X372" s="198"/>
      <c r="Y372" s="198"/>
      <c r="Z372" s="198"/>
    </row>
    <row r="373" ht="91.5" customHeight="1">
      <c r="A373" s="370">
        <v>40118.0</v>
      </c>
      <c r="B373" s="285" t="s">
        <v>21</v>
      </c>
      <c r="C373" s="285">
        <v>1800.0</v>
      </c>
      <c r="D373" s="285" t="s">
        <v>11423</v>
      </c>
      <c r="E373" s="287" t="s">
        <v>3740</v>
      </c>
      <c r="F373" s="288">
        <v>45672.0</v>
      </c>
      <c r="G373" s="288">
        <v>45666.0</v>
      </c>
      <c r="H373" s="288">
        <v>45666.0</v>
      </c>
      <c r="I373" s="288">
        <v>45691.0</v>
      </c>
      <c r="J373" s="288">
        <v>45691.0</v>
      </c>
      <c r="K373" s="285" t="s">
        <v>11424</v>
      </c>
      <c r="L373" s="285" t="s">
        <v>9178</v>
      </c>
      <c r="M373" s="290" t="s">
        <v>11425</v>
      </c>
      <c r="N373" s="299" t="s">
        <v>4745</v>
      </c>
      <c r="O373" s="322" t="s">
        <v>4711</v>
      </c>
      <c r="P373" s="300">
        <v>38169.72</v>
      </c>
      <c r="Q373" s="299">
        <f t="shared" si="2"/>
        <v>3</v>
      </c>
      <c r="R373" s="299"/>
      <c r="S373" s="299" t="s">
        <v>10487</v>
      </c>
      <c r="T373" s="366"/>
      <c r="U373" s="366"/>
      <c r="V373" s="366"/>
      <c r="W373" s="366"/>
      <c r="X373" s="366"/>
      <c r="Y373" s="366"/>
      <c r="Z373" s="366"/>
    </row>
    <row r="374" ht="91.5" customHeight="1">
      <c r="A374" s="370">
        <v>39632.0</v>
      </c>
      <c r="B374" s="299" t="s">
        <v>715</v>
      </c>
      <c r="C374" s="285">
        <v>1306.0</v>
      </c>
      <c r="D374" s="285" t="s">
        <v>11426</v>
      </c>
      <c r="E374" s="287" t="s">
        <v>7418</v>
      </c>
      <c r="F374" s="288">
        <v>45672.0</v>
      </c>
      <c r="G374" s="288">
        <v>45660.0</v>
      </c>
      <c r="H374" s="288">
        <v>45660.0</v>
      </c>
      <c r="I374" s="288">
        <v>45681.0</v>
      </c>
      <c r="J374" s="288">
        <v>45681.0</v>
      </c>
      <c r="K374" s="285"/>
      <c r="L374" s="17"/>
      <c r="M374" s="290" t="s">
        <v>11427</v>
      </c>
      <c r="N374" s="299" t="s">
        <v>497</v>
      </c>
      <c r="O374" s="322" t="s">
        <v>2554</v>
      </c>
      <c r="P374" s="300">
        <v>44795.8</v>
      </c>
      <c r="Q374" s="299">
        <f t="shared" si="2"/>
        <v>3</v>
      </c>
      <c r="R374" s="299" t="s">
        <v>9198</v>
      </c>
      <c r="S374" s="299" t="s">
        <v>9171</v>
      </c>
      <c r="T374" s="366"/>
      <c r="U374" s="366"/>
      <c r="V374" s="366"/>
      <c r="W374" s="366"/>
      <c r="X374" s="366"/>
      <c r="Y374" s="366"/>
      <c r="Z374" s="366"/>
    </row>
    <row r="375" ht="91.5" customHeight="1">
      <c r="A375" s="370">
        <v>39757.0</v>
      </c>
      <c r="B375" s="299" t="s">
        <v>715</v>
      </c>
      <c r="C375" s="285">
        <v>1250.0</v>
      </c>
      <c r="D375" s="285" t="s">
        <v>11428</v>
      </c>
      <c r="E375" s="287" t="s">
        <v>4637</v>
      </c>
      <c r="F375" s="288">
        <v>45672.0</v>
      </c>
      <c r="G375" s="288">
        <v>45663.0</v>
      </c>
      <c r="H375" s="288">
        <v>45663.0</v>
      </c>
      <c r="I375" s="288">
        <v>45679.0</v>
      </c>
      <c r="J375" s="288">
        <v>45679.0</v>
      </c>
      <c r="K375" s="285"/>
      <c r="L375" s="17"/>
      <c r="M375" s="290" t="s">
        <v>11429</v>
      </c>
      <c r="N375" s="299" t="s">
        <v>497</v>
      </c>
      <c r="O375" s="322" t="s">
        <v>2554</v>
      </c>
      <c r="P375" s="300">
        <v>36250.0</v>
      </c>
      <c r="Q375" s="299">
        <f t="shared" si="2"/>
        <v>3</v>
      </c>
      <c r="R375" s="299" t="s">
        <v>9170</v>
      </c>
      <c r="S375" s="299" t="s">
        <v>9171</v>
      </c>
      <c r="T375" s="198"/>
      <c r="U375" s="198"/>
      <c r="V375" s="198"/>
      <c r="W375" s="198"/>
      <c r="X375" s="198"/>
      <c r="Y375" s="198"/>
      <c r="Z375" s="198"/>
    </row>
    <row r="376" ht="91.5" customHeight="1">
      <c r="A376" s="370">
        <v>39756.0</v>
      </c>
      <c r="B376" s="299" t="s">
        <v>715</v>
      </c>
      <c r="C376" s="285">
        <v>4500.0</v>
      </c>
      <c r="D376" s="285" t="s">
        <v>11430</v>
      </c>
      <c r="E376" s="287" t="s">
        <v>7438</v>
      </c>
      <c r="F376" s="288">
        <v>45672.0</v>
      </c>
      <c r="G376" s="288">
        <v>45663.0</v>
      </c>
      <c r="H376" s="288">
        <v>45663.0</v>
      </c>
      <c r="I376" s="288">
        <v>45681.0</v>
      </c>
      <c r="J376" s="288">
        <v>45681.0</v>
      </c>
      <c r="K376" s="285"/>
      <c r="L376" s="31"/>
      <c r="M376" s="290" t="s">
        <v>11431</v>
      </c>
      <c r="N376" s="299" t="s">
        <v>497</v>
      </c>
      <c r="O376" s="322" t="s">
        <v>2554</v>
      </c>
      <c r="P376" s="300">
        <v>33187.5</v>
      </c>
      <c r="Q376" s="299">
        <f t="shared" si="2"/>
        <v>3</v>
      </c>
      <c r="R376" s="299" t="s">
        <v>9170</v>
      </c>
      <c r="S376" s="299" t="s">
        <v>9171</v>
      </c>
      <c r="T376" s="198"/>
      <c r="U376" s="198"/>
      <c r="V376" s="198"/>
      <c r="W376" s="198"/>
      <c r="X376" s="198"/>
      <c r="Y376" s="198"/>
      <c r="Z376" s="198"/>
    </row>
    <row r="377" ht="91.5" customHeight="1">
      <c r="A377" s="370">
        <v>39926.0</v>
      </c>
      <c r="B377" s="299" t="s">
        <v>715</v>
      </c>
      <c r="C377" s="285" t="s">
        <v>5590</v>
      </c>
      <c r="D377" s="285" t="s">
        <v>11432</v>
      </c>
      <c r="E377" s="287" t="s">
        <v>11433</v>
      </c>
      <c r="F377" s="288">
        <v>45672.0</v>
      </c>
      <c r="G377" s="288">
        <v>45660.0</v>
      </c>
      <c r="H377" s="288">
        <v>45660.0</v>
      </c>
      <c r="I377" s="288">
        <v>45680.0</v>
      </c>
      <c r="J377" s="288">
        <v>45680.0</v>
      </c>
      <c r="K377" s="285"/>
      <c r="L377" s="581"/>
      <c r="M377" s="290" t="s">
        <v>11434</v>
      </c>
      <c r="N377" s="299" t="s">
        <v>497</v>
      </c>
      <c r="O377" s="322" t="s">
        <v>2554</v>
      </c>
      <c r="P377" s="300">
        <v>30045.92</v>
      </c>
      <c r="Q377" s="299">
        <f t="shared" si="2"/>
        <v>3</v>
      </c>
      <c r="R377" s="299" t="s">
        <v>9198</v>
      </c>
      <c r="S377" s="299" t="s">
        <v>9171</v>
      </c>
      <c r="T377" s="366"/>
      <c r="U377" s="366"/>
      <c r="V377" s="366"/>
      <c r="W377" s="366"/>
      <c r="X377" s="366"/>
      <c r="Y377" s="366"/>
      <c r="Z377" s="366"/>
    </row>
    <row r="378" ht="91.5" customHeight="1">
      <c r="A378" s="370">
        <v>39738.0</v>
      </c>
      <c r="B378" s="299" t="s">
        <v>715</v>
      </c>
      <c r="C378" s="285">
        <v>4356.0</v>
      </c>
      <c r="D378" s="285" t="s">
        <v>11435</v>
      </c>
      <c r="E378" s="287" t="s">
        <v>7690</v>
      </c>
      <c r="F378" s="288">
        <v>45672.0</v>
      </c>
      <c r="G378" s="288">
        <v>45671.0</v>
      </c>
      <c r="H378" s="288">
        <v>45671.0</v>
      </c>
      <c r="I378" s="288">
        <v>45680.0</v>
      </c>
      <c r="J378" s="288">
        <v>45680.0</v>
      </c>
      <c r="K378" s="285"/>
      <c r="L378" s="581"/>
      <c r="M378" s="290" t="s">
        <v>11436</v>
      </c>
      <c r="N378" s="299" t="s">
        <v>497</v>
      </c>
      <c r="O378" s="322" t="s">
        <v>2554</v>
      </c>
      <c r="P378" s="300">
        <v>35980.56</v>
      </c>
      <c r="Q378" s="299">
        <f t="shared" si="2"/>
        <v>3</v>
      </c>
      <c r="R378" s="299" t="s">
        <v>9198</v>
      </c>
      <c r="S378" s="299" t="s">
        <v>9171</v>
      </c>
      <c r="T378" s="366"/>
      <c r="U378" s="366"/>
      <c r="V378" s="366"/>
      <c r="W378" s="366"/>
      <c r="X378" s="366"/>
      <c r="Y378" s="366"/>
      <c r="Z378" s="366"/>
    </row>
    <row r="379" ht="91.5" customHeight="1">
      <c r="A379" s="370">
        <v>39633.0</v>
      </c>
      <c r="B379" s="299" t="s">
        <v>715</v>
      </c>
      <c r="C379" s="285">
        <v>1306.0</v>
      </c>
      <c r="D379" s="285" t="s">
        <v>11437</v>
      </c>
      <c r="E379" s="287" t="s">
        <v>11438</v>
      </c>
      <c r="F379" s="288">
        <v>45672.0</v>
      </c>
      <c r="G379" s="288">
        <v>45671.0</v>
      </c>
      <c r="H379" s="288">
        <v>45671.0</v>
      </c>
      <c r="I379" s="288">
        <v>45679.0</v>
      </c>
      <c r="J379" s="288">
        <v>45679.0</v>
      </c>
      <c r="K379" s="285"/>
      <c r="L379" s="581"/>
      <c r="M379" s="290" t="s">
        <v>11439</v>
      </c>
      <c r="N379" s="299" t="s">
        <v>497</v>
      </c>
      <c r="O379" s="322" t="s">
        <v>2554</v>
      </c>
      <c r="P379" s="300">
        <v>45447.5</v>
      </c>
      <c r="Q379" s="299">
        <f t="shared" si="2"/>
        <v>3</v>
      </c>
      <c r="R379" s="299" t="s">
        <v>9198</v>
      </c>
      <c r="S379" s="299" t="s">
        <v>9171</v>
      </c>
      <c r="T379" s="366"/>
      <c r="U379" s="366"/>
      <c r="V379" s="366"/>
      <c r="W379" s="366"/>
      <c r="X379" s="366"/>
      <c r="Y379" s="366"/>
      <c r="Z379" s="366"/>
    </row>
    <row r="380" ht="91.5" customHeight="1">
      <c r="A380" s="370">
        <v>39859.0</v>
      </c>
      <c r="B380" s="299" t="s">
        <v>715</v>
      </c>
      <c r="C380" s="285">
        <v>1150.0</v>
      </c>
      <c r="D380" s="285" t="s">
        <v>11440</v>
      </c>
      <c r="E380" s="287" t="s">
        <v>11441</v>
      </c>
      <c r="F380" s="288">
        <v>45670.0</v>
      </c>
      <c r="G380" s="288">
        <v>45678.0</v>
      </c>
      <c r="H380" s="288">
        <v>45674.0</v>
      </c>
      <c r="I380" s="288">
        <v>45677.0</v>
      </c>
      <c r="J380" s="288">
        <v>45677.0</v>
      </c>
      <c r="K380" s="285"/>
      <c r="L380" s="17"/>
      <c r="M380" s="290" t="s">
        <v>11442</v>
      </c>
      <c r="N380" s="299" t="s">
        <v>4635</v>
      </c>
      <c r="O380" s="322" t="s">
        <v>2621</v>
      </c>
      <c r="P380" s="300">
        <v>86439.5</v>
      </c>
      <c r="Q380" s="299">
        <f t="shared" si="2"/>
        <v>3</v>
      </c>
      <c r="R380" s="299"/>
      <c r="S380" s="299" t="s">
        <v>10487</v>
      </c>
      <c r="T380" s="366"/>
      <c r="U380" s="366"/>
      <c r="V380" s="366"/>
      <c r="W380" s="366"/>
      <c r="X380" s="366"/>
      <c r="Y380" s="366"/>
      <c r="Z380" s="366"/>
    </row>
    <row r="381" ht="91.5" customHeight="1">
      <c r="A381" s="370">
        <v>39762.0</v>
      </c>
      <c r="B381" s="299" t="s">
        <v>715</v>
      </c>
      <c r="C381" s="285">
        <v>4500.0</v>
      </c>
      <c r="D381" s="285" t="s">
        <v>11443</v>
      </c>
      <c r="E381" s="287" t="s">
        <v>7448</v>
      </c>
      <c r="F381" s="288">
        <v>45669.0</v>
      </c>
      <c r="G381" s="288">
        <v>45667.0</v>
      </c>
      <c r="H381" s="288">
        <v>45667.0</v>
      </c>
      <c r="I381" s="288">
        <v>45674.0</v>
      </c>
      <c r="J381" s="288">
        <v>45674.0</v>
      </c>
      <c r="K381" s="285"/>
      <c r="L381" s="31"/>
      <c r="M381" s="290" t="s">
        <v>11444</v>
      </c>
      <c r="N381" s="299" t="s">
        <v>497</v>
      </c>
      <c r="O381" s="322" t="s">
        <v>2554</v>
      </c>
      <c r="P381" s="300">
        <v>33187.5</v>
      </c>
      <c r="Q381" s="299">
        <f t="shared" si="2"/>
        <v>3</v>
      </c>
      <c r="R381" s="299" t="s">
        <v>9170</v>
      </c>
      <c r="S381" s="299" t="s">
        <v>9171</v>
      </c>
      <c r="T381" s="198"/>
      <c r="U381" s="198"/>
      <c r="V381" s="198"/>
      <c r="W381" s="198"/>
      <c r="X381" s="198"/>
      <c r="Y381" s="198"/>
      <c r="Z381" s="198"/>
    </row>
    <row r="382" ht="91.5" customHeight="1">
      <c r="A382" s="370">
        <v>39739.0</v>
      </c>
      <c r="B382" s="285" t="s">
        <v>21</v>
      </c>
      <c r="C382" s="285">
        <v>4356.0</v>
      </c>
      <c r="D382" s="285" t="s">
        <v>11445</v>
      </c>
      <c r="E382" s="287" t="s">
        <v>7479</v>
      </c>
      <c r="F382" s="288">
        <v>45669.0</v>
      </c>
      <c r="G382" s="288">
        <v>45671.0</v>
      </c>
      <c r="H382" s="288">
        <v>45671.0</v>
      </c>
      <c r="I382" s="288">
        <v>45681.0</v>
      </c>
      <c r="J382" s="288">
        <v>45681.0</v>
      </c>
      <c r="K382" s="285" t="s">
        <v>4841</v>
      </c>
      <c r="L382" s="31"/>
      <c r="M382" s="290" t="s">
        <v>11446</v>
      </c>
      <c r="N382" s="299" t="s">
        <v>497</v>
      </c>
      <c r="O382" s="322" t="s">
        <v>2554</v>
      </c>
      <c r="P382" s="300">
        <v>33018.48</v>
      </c>
      <c r="Q382" s="299">
        <f t="shared" si="2"/>
        <v>3</v>
      </c>
      <c r="R382" s="299" t="s">
        <v>9198</v>
      </c>
      <c r="S382" s="299" t="s">
        <v>9171</v>
      </c>
      <c r="T382" s="366"/>
      <c r="U382" s="366"/>
      <c r="V382" s="366"/>
      <c r="W382" s="366"/>
      <c r="X382" s="366"/>
      <c r="Y382" s="366"/>
      <c r="Z382" s="366"/>
    </row>
    <row r="383" ht="91.5" customHeight="1">
      <c r="A383" s="370">
        <v>39639.0</v>
      </c>
      <c r="B383" s="285" t="s">
        <v>21</v>
      </c>
      <c r="C383" s="285">
        <v>4356.0</v>
      </c>
      <c r="D383" s="285" t="s">
        <v>11447</v>
      </c>
      <c r="E383" s="287" t="s">
        <v>7581</v>
      </c>
      <c r="F383" s="288">
        <v>45669.0</v>
      </c>
      <c r="G383" s="288">
        <v>45671.0</v>
      </c>
      <c r="H383" s="288">
        <v>45671.0</v>
      </c>
      <c r="I383" s="288">
        <v>45678.0</v>
      </c>
      <c r="J383" s="288">
        <v>45678.0</v>
      </c>
      <c r="K383" s="285" t="s">
        <v>4841</v>
      </c>
      <c r="L383" s="31"/>
      <c r="M383" s="290" t="s">
        <v>11448</v>
      </c>
      <c r="N383" s="299" t="s">
        <v>497</v>
      </c>
      <c r="O383" s="322" t="s">
        <v>2554</v>
      </c>
      <c r="P383" s="300">
        <v>30056.4</v>
      </c>
      <c r="Q383" s="299">
        <f t="shared" si="2"/>
        <v>3</v>
      </c>
      <c r="R383" s="299" t="s">
        <v>9198</v>
      </c>
      <c r="S383" s="299" t="s">
        <v>9171</v>
      </c>
      <c r="T383" s="366"/>
      <c r="U383" s="366"/>
      <c r="V383" s="366"/>
      <c r="W383" s="366"/>
      <c r="X383" s="366"/>
      <c r="Y383" s="366"/>
      <c r="Z383" s="366"/>
    </row>
    <row r="384" ht="91.5" customHeight="1">
      <c r="A384" s="370">
        <v>39742.0</v>
      </c>
      <c r="B384" s="285" t="s">
        <v>21</v>
      </c>
      <c r="C384" s="285">
        <v>4356.0</v>
      </c>
      <c r="D384" s="285" t="s">
        <v>11449</v>
      </c>
      <c r="E384" s="287" t="s">
        <v>4644</v>
      </c>
      <c r="F384" s="288">
        <v>45669.0</v>
      </c>
      <c r="G384" s="288">
        <v>45671.0</v>
      </c>
      <c r="H384" s="288">
        <v>45671.0</v>
      </c>
      <c r="I384" s="288">
        <v>45674.0</v>
      </c>
      <c r="J384" s="288">
        <v>45674.0</v>
      </c>
      <c r="K384" s="285" t="s">
        <v>4841</v>
      </c>
      <c r="L384" s="285"/>
      <c r="M384" s="290" t="s">
        <v>11450</v>
      </c>
      <c r="N384" s="299" t="s">
        <v>497</v>
      </c>
      <c r="O384" s="322" t="s">
        <v>2554</v>
      </c>
      <c r="P384" s="300">
        <v>30056.4</v>
      </c>
      <c r="Q384" s="299">
        <f t="shared" si="2"/>
        <v>3</v>
      </c>
      <c r="R384" s="299" t="s">
        <v>9198</v>
      </c>
      <c r="S384" s="299" t="s">
        <v>9171</v>
      </c>
      <c r="T384" s="366"/>
      <c r="U384" s="366"/>
      <c r="V384" s="366"/>
      <c r="W384" s="366"/>
      <c r="X384" s="366"/>
      <c r="Y384" s="366"/>
      <c r="Z384" s="366"/>
    </row>
    <row r="385" ht="91.5" customHeight="1">
      <c r="A385" s="370">
        <v>39746.0</v>
      </c>
      <c r="B385" s="285" t="s">
        <v>21</v>
      </c>
      <c r="C385" s="285">
        <v>4356.0</v>
      </c>
      <c r="D385" s="285" t="s">
        <v>11451</v>
      </c>
      <c r="E385" s="287" t="s">
        <v>11452</v>
      </c>
      <c r="F385" s="288">
        <v>45669.0</v>
      </c>
      <c r="G385" s="288">
        <v>45671.0</v>
      </c>
      <c r="H385" s="288">
        <v>45671.0</v>
      </c>
      <c r="I385" s="288">
        <v>45673.0</v>
      </c>
      <c r="J385" s="288">
        <v>45673.0</v>
      </c>
      <c r="K385" s="285" t="s">
        <v>5270</v>
      </c>
      <c r="L385" s="285" t="s">
        <v>9178</v>
      </c>
      <c r="M385" s="290" t="s">
        <v>11453</v>
      </c>
      <c r="N385" s="299" t="s">
        <v>497</v>
      </c>
      <c r="O385" s="322" t="s">
        <v>2554</v>
      </c>
      <c r="P385" s="300">
        <v>31537.44</v>
      </c>
      <c r="Q385" s="299">
        <f t="shared" si="2"/>
        <v>3</v>
      </c>
      <c r="R385" s="299" t="s">
        <v>9198</v>
      </c>
      <c r="S385" s="299" t="s">
        <v>9171</v>
      </c>
      <c r="T385" s="366"/>
      <c r="U385" s="366"/>
      <c r="V385" s="366"/>
      <c r="W385" s="366"/>
      <c r="X385" s="366"/>
      <c r="Y385" s="366"/>
      <c r="Z385" s="366"/>
    </row>
    <row r="386" ht="91.5" customHeight="1">
      <c r="A386" s="370">
        <v>39927.0</v>
      </c>
      <c r="B386" s="299" t="s">
        <v>715</v>
      </c>
      <c r="C386" s="285">
        <v>5384.0</v>
      </c>
      <c r="D386" s="285" t="s">
        <v>11454</v>
      </c>
      <c r="E386" s="287" t="s">
        <v>11455</v>
      </c>
      <c r="F386" s="288">
        <v>45668.0</v>
      </c>
      <c r="G386" s="288">
        <v>45666.0</v>
      </c>
      <c r="H386" s="288">
        <v>45666.0</v>
      </c>
      <c r="I386" s="288">
        <v>45678.0</v>
      </c>
      <c r="J386" s="288">
        <v>45678.0</v>
      </c>
      <c r="K386" s="285"/>
      <c r="L386" s="17"/>
      <c r="M386" s="290" t="s">
        <v>11456</v>
      </c>
      <c r="N386" s="299" t="s">
        <v>4635</v>
      </c>
      <c r="O386" s="322" t="s">
        <v>2621</v>
      </c>
      <c r="P386" s="300">
        <v>46952.08</v>
      </c>
      <c r="Q386" s="299">
        <f t="shared" si="2"/>
        <v>2</v>
      </c>
      <c r="R386" s="299"/>
      <c r="S386" s="299" t="s">
        <v>10487</v>
      </c>
      <c r="T386" s="198"/>
      <c r="U386" s="198"/>
      <c r="V386" s="198"/>
      <c r="W386" s="198"/>
      <c r="X386" s="198"/>
      <c r="Y386" s="198"/>
      <c r="Z386" s="198"/>
    </row>
    <row r="387" ht="91.5" customHeight="1">
      <c r="A387" s="370">
        <v>39775.0</v>
      </c>
      <c r="B387" s="299" t="s">
        <v>715</v>
      </c>
      <c r="C387" s="285">
        <v>940.0</v>
      </c>
      <c r="D387" s="285" t="s">
        <v>11457</v>
      </c>
      <c r="E387" s="287" t="s">
        <v>11188</v>
      </c>
      <c r="F387" s="288">
        <v>45668.0</v>
      </c>
      <c r="G387" s="288">
        <v>45665.0</v>
      </c>
      <c r="H387" s="288">
        <v>45665.0</v>
      </c>
      <c r="I387" s="288">
        <v>45671.0</v>
      </c>
      <c r="J387" s="288">
        <v>45671.0</v>
      </c>
      <c r="K387" s="285"/>
      <c r="L387" s="17"/>
      <c r="M387" s="290" t="s">
        <v>11458</v>
      </c>
      <c r="N387" s="299" t="s">
        <v>4635</v>
      </c>
      <c r="O387" s="322" t="s">
        <v>2621</v>
      </c>
      <c r="P387" s="300">
        <v>40145.55</v>
      </c>
      <c r="Q387" s="299">
        <f t="shared" si="2"/>
        <v>2</v>
      </c>
      <c r="R387" s="299"/>
      <c r="S387" s="299" t="s">
        <v>8430</v>
      </c>
      <c r="T387" s="198"/>
      <c r="U387" s="198"/>
      <c r="V387" s="198"/>
      <c r="W387" s="198"/>
      <c r="X387" s="198"/>
      <c r="Y387" s="198"/>
      <c r="Z387" s="198"/>
    </row>
    <row r="388" ht="91.5" customHeight="1">
      <c r="A388" s="370">
        <v>39794.0</v>
      </c>
      <c r="B388" s="299" t="s">
        <v>25</v>
      </c>
      <c r="C388" s="285">
        <v>1100.0</v>
      </c>
      <c r="D388" s="285" t="s">
        <v>11459</v>
      </c>
      <c r="E388" s="287" t="s">
        <v>11460</v>
      </c>
      <c r="F388" s="288">
        <v>45668.0</v>
      </c>
      <c r="G388" s="288">
        <v>45665.0</v>
      </c>
      <c r="H388" s="288">
        <v>45665.0</v>
      </c>
      <c r="I388" s="288">
        <v>45673.0</v>
      </c>
      <c r="J388" s="288">
        <v>45673.0</v>
      </c>
      <c r="K388" s="285"/>
      <c r="L388" s="17"/>
      <c r="M388" s="290" t="s">
        <v>11461</v>
      </c>
      <c r="N388" s="299" t="s">
        <v>4635</v>
      </c>
      <c r="O388" s="322" t="s">
        <v>2621</v>
      </c>
      <c r="P388" s="300">
        <v>29388.5</v>
      </c>
      <c r="Q388" s="299">
        <f t="shared" si="2"/>
        <v>2</v>
      </c>
      <c r="R388" s="299"/>
      <c r="S388" s="299" t="s">
        <v>8430</v>
      </c>
      <c r="T388" s="198"/>
      <c r="U388" s="198"/>
      <c r="V388" s="198"/>
      <c r="W388" s="198"/>
      <c r="X388" s="198"/>
      <c r="Y388" s="198"/>
      <c r="Z388" s="198"/>
    </row>
    <row r="389" ht="91.5" customHeight="1">
      <c r="A389" s="370">
        <v>39637.0</v>
      </c>
      <c r="B389" s="299" t="s">
        <v>715</v>
      </c>
      <c r="C389" s="285">
        <v>2413.0</v>
      </c>
      <c r="D389" s="285" t="s">
        <v>11462</v>
      </c>
      <c r="E389" s="287" t="s">
        <v>7476</v>
      </c>
      <c r="F389" s="288">
        <v>45667.0</v>
      </c>
      <c r="G389" s="288">
        <v>45651.0</v>
      </c>
      <c r="H389" s="288">
        <v>45651.0</v>
      </c>
      <c r="I389" s="288">
        <v>45673.0</v>
      </c>
      <c r="J389" s="288">
        <v>45673.0</v>
      </c>
      <c r="K389" s="285"/>
      <c r="L389" s="17"/>
      <c r="M389" s="290" t="s">
        <v>11463</v>
      </c>
      <c r="N389" s="299" t="s">
        <v>497</v>
      </c>
      <c r="O389" s="322" t="s">
        <v>2554</v>
      </c>
      <c r="P389" s="300">
        <v>42468.8</v>
      </c>
      <c r="Q389" s="299">
        <f t="shared" si="2"/>
        <v>2</v>
      </c>
      <c r="R389" s="299" t="s">
        <v>9198</v>
      </c>
      <c r="S389" s="299" t="s">
        <v>9171</v>
      </c>
      <c r="T389" s="198"/>
      <c r="U389" s="198"/>
      <c r="V389" s="198"/>
      <c r="W389" s="198"/>
      <c r="X389" s="198"/>
      <c r="Y389" s="198"/>
      <c r="Z389" s="198"/>
    </row>
    <row r="390" ht="91.5" customHeight="1">
      <c r="A390" s="370">
        <v>39629.0</v>
      </c>
      <c r="B390" s="299" t="s">
        <v>715</v>
      </c>
      <c r="C390" s="285">
        <v>1306.0</v>
      </c>
      <c r="D390" s="285" t="s">
        <v>11464</v>
      </c>
      <c r="E390" s="287" t="s">
        <v>11433</v>
      </c>
      <c r="F390" s="288">
        <v>45667.0</v>
      </c>
      <c r="G390" s="288">
        <v>45651.0</v>
      </c>
      <c r="H390" s="288">
        <v>45651.0</v>
      </c>
      <c r="I390" s="288">
        <v>45674.0</v>
      </c>
      <c r="J390" s="288">
        <v>45674.0</v>
      </c>
      <c r="K390" s="285"/>
      <c r="L390" s="17"/>
      <c r="M390" s="290" t="s">
        <v>11465</v>
      </c>
      <c r="N390" s="299" t="s">
        <v>497</v>
      </c>
      <c r="O390" s="322" t="s">
        <v>2554</v>
      </c>
      <c r="P390" s="300">
        <v>45417.1</v>
      </c>
      <c r="Q390" s="299">
        <f t="shared" si="2"/>
        <v>2</v>
      </c>
      <c r="R390" s="299" t="s">
        <v>9198</v>
      </c>
      <c r="S390" s="299" t="s">
        <v>9171</v>
      </c>
      <c r="T390" s="198"/>
      <c r="U390" s="198"/>
      <c r="V390" s="198"/>
      <c r="W390" s="198"/>
      <c r="X390" s="198"/>
      <c r="Y390" s="198"/>
      <c r="Z390" s="198"/>
    </row>
    <row r="391" ht="91.5" customHeight="1">
      <c r="A391" s="370">
        <v>39631.0</v>
      </c>
      <c r="B391" s="299" t="s">
        <v>715</v>
      </c>
      <c r="C391" s="285">
        <v>1306.0</v>
      </c>
      <c r="D391" s="285" t="s">
        <v>11466</v>
      </c>
      <c r="E391" s="287" t="s">
        <v>4681</v>
      </c>
      <c r="F391" s="288">
        <v>45667.0</v>
      </c>
      <c r="G391" s="288">
        <v>45651.0</v>
      </c>
      <c r="H391" s="288">
        <v>45651.0</v>
      </c>
      <c r="I391" s="288">
        <v>45672.0</v>
      </c>
      <c r="J391" s="288">
        <v>45672.0</v>
      </c>
      <c r="K391" s="285"/>
      <c r="L391" s="17"/>
      <c r="M391" s="290" t="s">
        <v>11467</v>
      </c>
      <c r="N391" s="299" t="s">
        <v>497</v>
      </c>
      <c r="O391" s="322" t="s">
        <v>2554</v>
      </c>
      <c r="P391" s="300">
        <v>44795.8</v>
      </c>
      <c r="Q391" s="299">
        <f t="shared" si="2"/>
        <v>2</v>
      </c>
      <c r="R391" s="299" t="s">
        <v>9198</v>
      </c>
      <c r="S391" s="299" t="s">
        <v>9171</v>
      </c>
      <c r="T391" s="198"/>
      <c r="U391" s="198"/>
      <c r="V391" s="198"/>
      <c r="W391" s="198"/>
      <c r="X391" s="198"/>
      <c r="Y391" s="198"/>
      <c r="Z391" s="198"/>
    </row>
    <row r="392" ht="91.5" customHeight="1">
      <c r="A392" s="370">
        <v>40291.0</v>
      </c>
      <c r="B392" s="299" t="s">
        <v>25</v>
      </c>
      <c r="C392" s="285">
        <v>1220.0</v>
      </c>
      <c r="D392" s="285" t="s">
        <v>11468</v>
      </c>
      <c r="E392" s="287" t="s">
        <v>9331</v>
      </c>
      <c r="F392" s="288">
        <v>45666.0</v>
      </c>
      <c r="G392" s="288">
        <v>45715.0</v>
      </c>
      <c r="H392" s="288">
        <v>45673.0</v>
      </c>
      <c r="I392" s="288">
        <v>45673.0</v>
      </c>
      <c r="J392" s="288">
        <v>45673.0</v>
      </c>
      <c r="K392" s="285"/>
      <c r="L392" s="17"/>
      <c r="M392" s="290" t="s">
        <v>11469</v>
      </c>
      <c r="N392" s="299" t="s">
        <v>497</v>
      </c>
      <c r="O392" s="322" t="s">
        <v>2628</v>
      </c>
      <c r="P392" s="300">
        <v>85222.0</v>
      </c>
      <c r="Q392" s="299">
        <f t="shared" si="2"/>
        <v>2</v>
      </c>
      <c r="R392" s="299"/>
      <c r="S392" s="299" t="s">
        <v>10487</v>
      </c>
      <c r="T392" s="198"/>
      <c r="U392" s="198"/>
      <c r="V392" s="198"/>
      <c r="W392" s="198"/>
      <c r="X392" s="198"/>
      <c r="Y392" s="198"/>
      <c r="Z392" s="198"/>
    </row>
    <row r="393" ht="94.5" customHeight="1">
      <c r="A393" s="370">
        <v>39793.0</v>
      </c>
      <c r="B393" s="299" t="s">
        <v>25</v>
      </c>
      <c r="C393" s="285">
        <v>1065.0</v>
      </c>
      <c r="D393" s="285" t="s">
        <v>11470</v>
      </c>
      <c r="E393" s="287" t="s">
        <v>11471</v>
      </c>
      <c r="F393" s="288">
        <v>45665.0</v>
      </c>
      <c r="G393" s="288">
        <v>45665.0</v>
      </c>
      <c r="H393" s="288">
        <v>45685.0</v>
      </c>
      <c r="I393" s="288">
        <v>45687.0</v>
      </c>
      <c r="J393" s="288">
        <v>45687.0</v>
      </c>
      <c r="K393" s="285"/>
      <c r="L393" s="17"/>
      <c r="M393" s="290" t="s">
        <v>11472</v>
      </c>
      <c r="N393" s="299" t="s">
        <v>4635</v>
      </c>
      <c r="O393" s="322" t="s">
        <v>2621</v>
      </c>
      <c r="P393" s="300">
        <v>33349.95</v>
      </c>
      <c r="Q393" s="299">
        <f t="shared" si="2"/>
        <v>2</v>
      </c>
      <c r="R393" s="299"/>
      <c r="S393" s="299" t="s">
        <v>8430</v>
      </c>
      <c r="T393" s="198"/>
      <c r="U393" s="198"/>
      <c r="V393" s="198"/>
      <c r="W393" s="198"/>
      <c r="X393" s="198"/>
      <c r="Y393" s="198"/>
      <c r="Z393" s="198"/>
    </row>
    <row r="394" ht="91.5" customHeight="1">
      <c r="A394" s="370">
        <v>39627.0</v>
      </c>
      <c r="B394" s="299" t="s">
        <v>715</v>
      </c>
      <c r="C394" s="285">
        <v>2413.0</v>
      </c>
      <c r="D394" s="285" t="s">
        <v>11473</v>
      </c>
      <c r="E394" s="287" t="s">
        <v>7957</v>
      </c>
      <c r="F394" s="288">
        <v>45659.0</v>
      </c>
      <c r="G394" s="288">
        <v>45644.0</v>
      </c>
      <c r="H394" s="288">
        <v>45644.0</v>
      </c>
      <c r="I394" s="288">
        <v>45666.0</v>
      </c>
      <c r="J394" s="288">
        <v>45666.0</v>
      </c>
      <c r="K394" s="285"/>
      <c r="L394" s="17"/>
      <c r="M394" s="290" t="s">
        <v>11474</v>
      </c>
      <c r="N394" s="299" t="s">
        <v>497</v>
      </c>
      <c r="O394" s="322" t="s">
        <v>2554</v>
      </c>
      <c r="P394" s="300">
        <v>43434.0</v>
      </c>
      <c r="Q394" s="299">
        <f t="shared" si="2"/>
        <v>1</v>
      </c>
      <c r="R394" s="299" t="s">
        <v>9198</v>
      </c>
      <c r="S394" s="299" t="s">
        <v>9171</v>
      </c>
      <c r="T394" s="366"/>
      <c r="U394" s="366"/>
      <c r="V394" s="366"/>
      <c r="W394" s="366"/>
      <c r="X394" s="366"/>
      <c r="Y394" s="366"/>
      <c r="Z394" s="366"/>
    </row>
    <row r="395" ht="91.5" customHeight="1">
      <c r="A395" s="370">
        <v>39855.0</v>
      </c>
      <c r="B395" s="299" t="s">
        <v>715</v>
      </c>
      <c r="C395" s="285">
        <v>1250.0</v>
      </c>
      <c r="D395" s="285" t="s">
        <v>11475</v>
      </c>
      <c r="E395" s="287" t="s">
        <v>9218</v>
      </c>
      <c r="F395" s="288">
        <v>45659.0</v>
      </c>
      <c r="G395" s="288">
        <v>45644.0</v>
      </c>
      <c r="H395" s="288">
        <v>45644.0</v>
      </c>
      <c r="I395" s="288">
        <v>45665.0</v>
      </c>
      <c r="J395" s="288">
        <v>45665.0</v>
      </c>
      <c r="K395" s="285"/>
      <c r="L395" s="17"/>
      <c r="M395" s="290" t="s">
        <v>11476</v>
      </c>
      <c r="N395" s="299" t="s">
        <v>497</v>
      </c>
      <c r="O395" s="322" t="s">
        <v>2554</v>
      </c>
      <c r="P395" s="300">
        <v>31875.0</v>
      </c>
      <c r="Q395" s="299">
        <f t="shared" si="2"/>
        <v>1</v>
      </c>
      <c r="R395" s="299" t="s">
        <v>9170</v>
      </c>
      <c r="S395" s="299" t="s">
        <v>9171</v>
      </c>
      <c r="T395" s="366"/>
      <c r="U395" s="366"/>
      <c r="V395" s="366"/>
      <c r="W395" s="366"/>
      <c r="X395" s="366"/>
      <c r="Y395" s="366"/>
      <c r="Z395" s="366"/>
    </row>
    <row r="396" ht="91.5" customHeight="1">
      <c r="A396" s="370">
        <v>39755.0</v>
      </c>
      <c r="B396" s="299" t="s">
        <v>715</v>
      </c>
      <c r="C396" s="285">
        <v>1754.0</v>
      </c>
      <c r="D396" s="285" t="s">
        <v>11477</v>
      </c>
      <c r="E396" s="287" t="s">
        <v>11478</v>
      </c>
      <c r="F396" s="288">
        <v>45659.0</v>
      </c>
      <c r="G396" s="288">
        <v>45644.0</v>
      </c>
      <c r="H396" s="288">
        <v>45644.0</v>
      </c>
      <c r="I396" s="288">
        <v>45664.0</v>
      </c>
      <c r="J396" s="288">
        <v>45664.0</v>
      </c>
      <c r="K396" s="285"/>
      <c r="L396" s="285"/>
      <c r="M396" s="290" t="s">
        <v>11479</v>
      </c>
      <c r="N396" s="299" t="s">
        <v>497</v>
      </c>
      <c r="O396" s="322" t="s">
        <v>2554</v>
      </c>
      <c r="P396" s="300">
        <v>40686.55</v>
      </c>
      <c r="Q396" s="299">
        <f t="shared" si="2"/>
        <v>1</v>
      </c>
      <c r="R396" s="299" t="s">
        <v>9170</v>
      </c>
      <c r="S396" s="299" t="s">
        <v>9171</v>
      </c>
      <c r="T396" s="366"/>
      <c r="U396" s="366"/>
      <c r="V396" s="366"/>
      <c r="W396" s="366"/>
      <c r="X396" s="366"/>
      <c r="Y396" s="366"/>
      <c r="Z396" s="366"/>
    </row>
    <row r="397" ht="91.5" customHeight="1">
      <c r="A397" s="370">
        <v>39759.0</v>
      </c>
      <c r="B397" s="285" t="s">
        <v>21</v>
      </c>
      <c r="C397" s="285">
        <v>4500.0</v>
      </c>
      <c r="D397" s="285" t="s">
        <v>11480</v>
      </c>
      <c r="E397" s="287" t="s">
        <v>4690</v>
      </c>
      <c r="F397" s="288">
        <v>45659.0</v>
      </c>
      <c r="G397" s="288">
        <v>45656.0</v>
      </c>
      <c r="H397" s="288">
        <v>45656.0</v>
      </c>
      <c r="I397" s="288">
        <v>45663.0</v>
      </c>
      <c r="J397" s="288">
        <v>45673.0</v>
      </c>
      <c r="K397" s="285" t="s">
        <v>4841</v>
      </c>
      <c r="L397" s="328"/>
      <c r="M397" s="290" t="s">
        <v>11481</v>
      </c>
      <c r="N397" s="285" t="s">
        <v>497</v>
      </c>
      <c r="O397" s="322" t="s">
        <v>2554</v>
      </c>
      <c r="P397" s="300">
        <v>32625.0</v>
      </c>
      <c r="Q397" s="299">
        <f t="shared" si="2"/>
        <v>1</v>
      </c>
      <c r="R397" s="299" t="s">
        <v>9170</v>
      </c>
      <c r="S397" s="299" t="s">
        <v>9171</v>
      </c>
      <c r="T397" s="366"/>
      <c r="U397" s="366"/>
      <c r="V397" s="366"/>
      <c r="W397" s="366"/>
      <c r="X397" s="366"/>
      <c r="Y397" s="366"/>
      <c r="Z397" s="366"/>
    </row>
    <row r="398" ht="91.5" customHeight="1">
      <c r="A398" s="436"/>
      <c r="B398" s="328"/>
      <c r="C398" s="328"/>
      <c r="D398" s="328"/>
      <c r="E398" s="326"/>
      <c r="F398" s="333"/>
      <c r="G398" s="333"/>
      <c r="H398" s="333"/>
      <c r="I398" s="333"/>
      <c r="J398" s="333"/>
      <c r="K398" s="328"/>
      <c r="L398" s="328"/>
      <c r="M398" s="341"/>
      <c r="N398" s="328"/>
      <c r="O398" s="436"/>
      <c r="P398" s="437"/>
      <c r="Q398" s="436"/>
      <c r="R398" s="436"/>
      <c r="S398" s="436"/>
      <c r="T398" s="366"/>
      <c r="U398" s="366"/>
      <c r="V398" s="366"/>
      <c r="W398" s="366"/>
      <c r="X398" s="366"/>
      <c r="Y398" s="366"/>
      <c r="Z398" s="366"/>
    </row>
    <row r="399" ht="91.5" customHeight="1">
      <c r="A399" s="436"/>
      <c r="B399" s="328"/>
      <c r="C399" s="328"/>
      <c r="D399" s="328"/>
      <c r="E399" s="326"/>
      <c r="F399" s="333"/>
      <c r="G399" s="333"/>
      <c r="H399" s="333"/>
      <c r="I399" s="333"/>
      <c r="J399" s="333"/>
      <c r="K399" s="328"/>
      <c r="L399" s="328"/>
      <c r="M399" s="341"/>
      <c r="N399" s="328"/>
      <c r="O399" s="436"/>
      <c r="P399" s="437"/>
      <c r="Q399" s="436"/>
      <c r="R399" s="436"/>
      <c r="S399" s="436"/>
      <c r="T399" s="366"/>
      <c r="U399" s="366"/>
      <c r="V399" s="366"/>
      <c r="W399" s="366"/>
      <c r="X399" s="366"/>
      <c r="Y399" s="366"/>
      <c r="Z399" s="366"/>
    </row>
    <row r="400" ht="91.5" customHeight="1">
      <c r="A400" s="436"/>
      <c r="B400" s="328"/>
      <c r="C400" s="328"/>
      <c r="D400" s="328"/>
      <c r="E400" s="326"/>
      <c r="F400" s="333"/>
      <c r="G400" s="333"/>
      <c r="H400" s="333"/>
      <c r="I400" s="333"/>
      <c r="J400" s="333"/>
      <c r="K400" s="328"/>
      <c r="L400" s="328"/>
      <c r="M400" s="341"/>
      <c r="N400" s="328"/>
      <c r="O400" s="436"/>
      <c r="P400" s="437"/>
      <c r="Q400" s="436"/>
      <c r="R400" s="436"/>
      <c r="S400" s="436"/>
      <c r="T400" s="366"/>
      <c r="U400" s="366"/>
      <c r="V400" s="366"/>
      <c r="W400" s="366"/>
      <c r="X400" s="366"/>
      <c r="Y400" s="366"/>
      <c r="Z400" s="366"/>
    </row>
    <row r="401" ht="91.5" customHeight="1">
      <c r="A401" s="436"/>
      <c r="B401" s="328"/>
      <c r="C401" s="328"/>
      <c r="D401" s="328"/>
      <c r="E401" s="326"/>
      <c r="F401" s="333"/>
      <c r="G401" s="333"/>
      <c r="H401" s="333"/>
      <c r="I401" s="333"/>
      <c r="J401" s="333"/>
      <c r="K401" s="328"/>
      <c r="L401" s="328"/>
      <c r="M401" s="341"/>
      <c r="N401" s="328"/>
      <c r="O401" s="436"/>
      <c r="P401" s="437"/>
      <c r="Q401" s="436"/>
      <c r="R401" s="436"/>
      <c r="S401" s="436"/>
      <c r="T401" s="366"/>
      <c r="U401" s="366"/>
      <c r="V401" s="366"/>
      <c r="W401" s="366"/>
      <c r="X401" s="366"/>
      <c r="Y401" s="366"/>
      <c r="Z401" s="366"/>
    </row>
    <row r="402" ht="91.5" customHeight="1">
      <c r="A402" s="436"/>
      <c r="B402" s="328"/>
      <c r="C402" s="328"/>
      <c r="D402" s="328"/>
      <c r="E402" s="326"/>
      <c r="F402" s="333"/>
      <c r="G402" s="333"/>
      <c r="H402" s="333"/>
      <c r="I402" s="333"/>
      <c r="J402" s="333"/>
      <c r="K402" s="328"/>
      <c r="L402" s="328"/>
      <c r="M402" s="341"/>
      <c r="N402" s="328"/>
      <c r="O402" s="436"/>
      <c r="P402" s="437"/>
      <c r="Q402" s="436"/>
      <c r="R402" s="436"/>
      <c r="S402" s="436"/>
      <c r="T402" s="366"/>
      <c r="U402" s="366"/>
      <c r="V402" s="366"/>
      <c r="W402" s="366"/>
      <c r="X402" s="366"/>
      <c r="Y402" s="366"/>
      <c r="Z402" s="366"/>
    </row>
    <row r="403" ht="91.5" customHeight="1">
      <c r="A403" s="436"/>
      <c r="B403" s="328"/>
      <c r="C403" s="328"/>
      <c r="D403" s="328"/>
      <c r="E403" s="326"/>
      <c r="F403" s="333"/>
      <c r="G403" s="333"/>
      <c r="H403" s="333"/>
      <c r="I403" s="333"/>
      <c r="J403" s="333"/>
      <c r="K403" s="328"/>
      <c r="L403" s="328"/>
      <c r="M403" s="341"/>
      <c r="N403" s="328"/>
      <c r="O403" s="436"/>
      <c r="P403" s="437"/>
      <c r="Q403" s="436"/>
      <c r="R403" s="436"/>
      <c r="S403" s="436"/>
      <c r="T403" s="366"/>
      <c r="U403" s="366"/>
      <c r="V403" s="366"/>
      <c r="W403" s="366"/>
      <c r="X403" s="366"/>
      <c r="Y403" s="366"/>
      <c r="Z403" s="366"/>
    </row>
    <row r="404" ht="91.5" customHeight="1">
      <c r="A404" s="436"/>
      <c r="B404" s="328"/>
      <c r="C404" s="328"/>
      <c r="D404" s="328"/>
      <c r="E404" s="326"/>
      <c r="F404" s="333"/>
      <c r="G404" s="333"/>
      <c r="H404" s="333"/>
      <c r="I404" s="333"/>
      <c r="J404" s="333"/>
      <c r="K404" s="328"/>
      <c r="L404" s="328"/>
      <c r="M404" s="341"/>
      <c r="N404" s="328"/>
      <c r="O404" s="436"/>
      <c r="P404" s="437"/>
      <c r="Q404" s="436"/>
      <c r="R404" s="436"/>
      <c r="S404" s="436"/>
      <c r="T404" s="366"/>
      <c r="U404" s="366"/>
      <c r="V404" s="366"/>
      <c r="W404" s="366"/>
      <c r="X404" s="366"/>
      <c r="Y404" s="366"/>
      <c r="Z404" s="366"/>
    </row>
    <row r="405" ht="91.5" customHeight="1">
      <c r="A405" s="436"/>
      <c r="B405" s="328"/>
      <c r="C405" s="328"/>
      <c r="D405" s="328"/>
      <c r="E405" s="326"/>
      <c r="F405" s="333"/>
      <c r="G405" s="333"/>
      <c r="H405" s="333"/>
      <c r="I405" s="333"/>
      <c r="J405" s="333"/>
      <c r="K405" s="328"/>
      <c r="L405" s="328"/>
      <c r="M405" s="341"/>
      <c r="N405" s="328"/>
      <c r="O405" s="436"/>
      <c r="P405" s="437"/>
      <c r="Q405" s="436"/>
      <c r="R405" s="436"/>
      <c r="S405" s="436"/>
      <c r="T405" s="366"/>
      <c r="U405" s="366"/>
      <c r="V405" s="366"/>
      <c r="W405" s="366"/>
      <c r="X405" s="366"/>
      <c r="Y405" s="366"/>
      <c r="Z405" s="366"/>
    </row>
    <row r="406" ht="91.5" customHeight="1">
      <c r="A406" s="436"/>
      <c r="B406" s="328"/>
      <c r="C406" s="328"/>
      <c r="D406" s="328"/>
      <c r="E406" s="326"/>
      <c r="F406" s="333"/>
      <c r="G406" s="333"/>
      <c r="H406" s="333"/>
      <c r="I406" s="333"/>
      <c r="J406" s="333"/>
      <c r="K406" s="328"/>
      <c r="L406" s="328"/>
      <c r="M406" s="341"/>
      <c r="N406" s="328"/>
      <c r="O406" s="436"/>
      <c r="P406" s="437"/>
      <c r="Q406" s="436"/>
      <c r="R406" s="436"/>
      <c r="S406" s="436"/>
      <c r="T406" s="366"/>
      <c r="U406" s="366"/>
      <c r="V406" s="366"/>
      <c r="W406" s="366"/>
      <c r="X406" s="366"/>
      <c r="Y406" s="366"/>
      <c r="Z406" s="366"/>
    </row>
    <row r="407" ht="91.5" customHeight="1">
      <c r="A407" s="436"/>
      <c r="B407" s="328"/>
      <c r="C407" s="328"/>
      <c r="D407" s="328"/>
      <c r="E407" s="326"/>
      <c r="F407" s="333"/>
      <c r="G407" s="333"/>
      <c r="H407" s="333"/>
      <c r="I407" s="333"/>
      <c r="J407" s="333"/>
      <c r="K407" s="328"/>
      <c r="L407" s="328"/>
      <c r="M407" s="341"/>
      <c r="N407" s="328"/>
      <c r="O407" s="436"/>
      <c r="P407" s="437"/>
      <c r="Q407" s="436"/>
      <c r="R407" s="436"/>
      <c r="S407" s="436"/>
      <c r="T407" s="366"/>
      <c r="U407" s="366"/>
      <c r="V407" s="366"/>
      <c r="W407" s="366"/>
      <c r="X407" s="366"/>
      <c r="Y407" s="366"/>
      <c r="Z407" s="366"/>
    </row>
    <row r="408" ht="91.5" customHeight="1">
      <c r="A408" s="436"/>
      <c r="B408" s="328"/>
      <c r="C408" s="328"/>
      <c r="D408" s="328"/>
      <c r="E408" s="326"/>
      <c r="F408" s="333"/>
      <c r="G408" s="333"/>
      <c r="H408" s="333"/>
      <c r="I408" s="333"/>
      <c r="J408" s="333"/>
      <c r="K408" s="328"/>
      <c r="L408" s="328"/>
      <c r="M408" s="341"/>
      <c r="N408" s="328"/>
      <c r="O408" s="436"/>
      <c r="P408" s="437"/>
      <c r="Q408" s="436"/>
      <c r="R408" s="436"/>
      <c r="S408" s="436"/>
      <c r="T408" s="366"/>
      <c r="U408" s="366"/>
      <c r="V408" s="366"/>
      <c r="W408" s="366"/>
      <c r="X408" s="366"/>
      <c r="Y408" s="366"/>
      <c r="Z408" s="366"/>
    </row>
    <row r="409" ht="91.5" customHeight="1">
      <c r="A409" s="436"/>
      <c r="B409" s="328"/>
      <c r="C409" s="328"/>
      <c r="D409" s="328"/>
      <c r="E409" s="326"/>
      <c r="F409" s="333"/>
      <c r="G409" s="333"/>
      <c r="H409" s="333"/>
      <c r="I409" s="333"/>
      <c r="J409" s="333"/>
      <c r="K409" s="328"/>
      <c r="L409" s="328"/>
      <c r="M409" s="341"/>
      <c r="N409" s="328"/>
      <c r="O409" s="436"/>
      <c r="P409" s="437"/>
      <c r="Q409" s="436"/>
      <c r="R409" s="436"/>
      <c r="S409" s="436"/>
      <c r="T409" s="366"/>
      <c r="U409" s="366"/>
      <c r="V409" s="366"/>
      <c r="W409" s="366"/>
      <c r="X409" s="366"/>
      <c r="Y409" s="366"/>
      <c r="Z409" s="366"/>
    </row>
    <row r="410" ht="91.5" customHeight="1">
      <c r="A410" s="436"/>
      <c r="B410" s="328"/>
      <c r="C410" s="328"/>
      <c r="D410" s="328"/>
      <c r="E410" s="326"/>
      <c r="F410" s="333"/>
      <c r="G410" s="333"/>
      <c r="H410" s="333"/>
      <c r="I410" s="333"/>
      <c r="J410" s="333"/>
      <c r="K410" s="328"/>
      <c r="L410" s="328"/>
      <c r="M410" s="341"/>
      <c r="N410" s="328"/>
      <c r="O410" s="436"/>
      <c r="P410" s="437"/>
      <c r="Q410" s="436"/>
      <c r="R410" s="436"/>
      <c r="S410" s="436"/>
      <c r="T410" s="366"/>
      <c r="U410" s="366"/>
      <c r="V410" s="366"/>
      <c r="W410" s="366"/>
      <c r="X410" s="366"/>
      <c r="Y410" s="366"/>
      <c r="Z410" s="366"/>
    </row>
    <row r="411" ht="91.5" customHeight="1">
      <c r="A411" s="436"/>
      <c r="B411" s="328"/>
      <c r="C411" s="328"/>
      <c r="D411" s="328"/>
      <c r="E411" s="326"/>
      <c r="F411" s="333"/>
      <c r="G411" s="333"/>
      <c r="H411" s="333"/>
      <c r="I411" s="333"/>
      <c r="J411" s="333"/>
      <c r="K411" s="328"/>
      <c r="L411" s="328"/>
      <c r="M411" s="341"/>
      <c r="N411" s="328"/>
      <c r="O411" s="436"/>
      <c r="P411" s="437"/>
      <c r="Q411" s="436"/>
      <c r="R411" s="436"/>
      <c r="S411" s="436"/>
      <c r="T411" s="366"/>
      <c r="U411" s="366"/>
      <c r="V411" s="366"/>
      <c r="W411" s="366"/>
      <c r="X411" s="366"/>
      <c r="Y411" s="366"/>
      <c r="Z411" s="366"/>
    </row>
    <row r="412" ht="91.5" customHeight="1">
      <c r="A412" s="436"/>
      <c r="B412" s="328"/>
      <c r="C412" s="328"/>
      <c r="D412" s="328"/>
      <c r="E412" s="326"/>
      <c r="F412" s="333"/>
      <c r="G412" s="333"/>
      <c r="H412" s="333"/>
      <c r="I412" s="333"/>
      <c r="J412" s="333"/>
      <c r="K412" s="328"/>
      <c r="L412" s="328"/>
      <c r="M412" s="341"/>
      <c r="N412" s="328"/>
      <c r="O412" s="436"/>
      <c r="P412" s="437"/>
      <c r="Q412" s="436"/>
      <c r="R412" s="436"/>
      <c r="S412" s="436"/>
      <c r="T412" s="366"/>
      <c r="U412" s="366"/>
      <c r="V412" s="366"/>
      <c r="W412" s="366"/>
      <c r="X412" s="366"/>
      <c r="Y412" s="366"/>
      <c r="Z412" s="366"/>
    </row>
    <row r="413" ht="91.5" customHeight="1">
      <c r="A413" s="436"/>
      <c r="B413" s="328"/>
      <c r="C413" s="328"/>
      <c r="D413" s="328"/>
      <c r="E413" s="326"/>
      <c r="F413" s="333"/>
      <c r="G413" s="333"/>
      <c r="H413" s="333"/>
      <c r="I413" s="333"/>
      <c r="J413" s="333"/>
      <c r="K413" s="328"/>
      <c r="L413" s="328"/>
      <c r="M413" s="341"/>
      <c r="N413" s="328"/>
      <c r="O413" s="436"/>
      <c r="P413" s="437"/>
      <c r="Q413" s="436"/>
      <c r="R413" s="436"/>
      <c r="S413" s="436"/>
      <c r="T413" s="366"/>
      <c r="U413" s="366"/>
      <c r="V413" s="366"/>
      <c r="W413" s="366"/>
      <c r="X413" s="366"/>
      <c r="Y413" s="366"/>
      <c r="Z413" s="366"/>
    </row>
    <row r="414" ht="91.5" customHeight="1">
      <c r="A414" s="436"/>
      <c r="B414" s="328"/>
      <c r="C414" s="328"/>
      <c r="D414" s="328"/>
      <c r="E414" s="326"/>
      <c r="F414" s="333"/>
      <c r="G414" s="333"/>
      <c r="H414" s="333"/>
      <c r="I414" s="333"/>
      <c r="J414" s="333"/>
      <c r="K414" s="328"/>
      <c r="L414" s="328"/>
      <c r="M414" s="341"/>
      <c r="N414" s="328"/>
      <c r="O414" s="436"/>
      <c r="P414" s="437"/>
      <c r="Q414" s="436"/>
      <c r="R414" s="436"/>
      <c r="S414" s="436"/>
      <c r="T414" s="366"/>
      <c r="U414" s="366"/>
      <c r="V414" s="366"/>
      <c r="W414" s="366"/>
      <c r="X414" s="366"/>
      <c r="Y414" s="366"/>
      <c r="Z414" s="366"/>
    </row>
    <row r="415" ht="91.5" customHeight="1">
      <c r="A415" s="436"/>
      <c r="B415" s="328"/>
      <c r="C415" s="328"/>
      <c r="D415" s="328"/>
      <c r="E415" s="326"/>
      <c r="F415" s="333"/>
      <c r="G415" s="333"/>
      <c r="H415" s="333"/>
      <c r="I415" s="333"/>
      <c r="J415" s="333"/>
      <c r="K415" s="328"/>
      <c r="L415" s="328"/>
      <c r="M415" s="341"/>
      <c r="N415" s="328"/>
      <c r="O415" s="436"/>
      <c r="P415" s="437"/>
      <c r="Q415" s="436"/>
      <c r="R415" s="436"/>
      <c r="S415" s="436"/>
      <c r="T415" s="366"/>
      <c r="U415" s="366"/>
      <c r="V415" s="366"/>
      <c r="W415" s="366"/>
      <c r="X415" s="366"/>
      <c r="Y415" s="366"/>
      <c r="Z415" s="366"/>
    </row>
    <row r="416" ht="91.5" customHeight="1">
      <c r="A416" s="436"/>
      <c r="B416" s="328"/>
      <c r="C416" s="328"/>
      <c r="D416" s="328"/>
      <c r="E416" s="326"/>
      <c r="F416" s="333"/>
      <c r="G416" s="333"/>
      <c r="H416" s="333"/>
      <c r="I416" s="333"/>
      <c r="J416" s="333"/>
      <c r="K416" s="328"/>
      <c r="L416" s="328"/>
      <c r="M416" s="341"/>
      <c r="N416" s="328"/>
      <c r="O416" s="436"/>
      <c r="P416" s="437"/>
      <c r="Q416" s="436"/>
      <c r="R416" s="436"/>
      <c r="S416" s="436"/>
      <c r="T416" s="366"/>
      <c r="U416" s="366"/>
      <c r="V416" s="366"/>
      <c r="W416" s="366"/>
      <c r="X416" s="366"/>
      <c r="Y416" s="366"/>
      <c r="Z416" s="366"/>
    </row>
    <row r="417" ht="91.5" customHeight="1">
      <c r="A417" s="436"/>
      <c r="B417" s="328"/>
      <c r="C417" s="328"/>
      <c r="D417" s="328"/>
      <c r="E417" s="326"/>
      <c r="F417" s="333"/>
      <c r="G417" s="333"/>
      <c r="H417" s="333"/>
      <c r="I417" s="333"/>
      <c r="J417" s="333"/>
      <c r="K417" s="328"/>
      <c r="L417" s="328"/>
      <c r="M417" s="341"/>
      <c r="N417" s="328"/>
      <c r="O417" s="436"/>
      <c r="P417" s="437"/>
      <c r="Q417" s="436"/>
      <c r="R417" s="436"/>
      <c r="S417" s="436"/>
      <c r="T417" s="366"/>
      <c r="U417" s="366"/>
      <c r="V417" s="366"/>
      <c r="W417" s="366"/>
      <c r="X417" s="366"/>
      <c r="Y417" s="366"/>
      <c r="Z417" s="366"/>
    </row>
    <row r="418" ht="91.5" customHeight="1">
      <c r="A418" s="436"/>
      <c r="B418" s="328"/>
      <c r="C418" s="328"/>
      <c r="D418" s="328"/>
      <c r="E418" s="326"/>
      <c r="F418" s="333"/>
      <c r="G418" s="333"/>
      <c r="H418" s="333"/>
      <c r="I418" s="333"/>
      <c r="J418" s="333"/>
      <c r="K418" s="328"/>
      <c r="L418" s="328"/>
      <c r="M418" s="341"/>
      <c r="N418" s="328"/>
      <c r="O418" s="436"/>
      <c r="P418" s="437"/>
      <c r="Q418" s="436"/>
      <c r="R418" s="436"/>
      <c r="S418" s="436"/>
      <c r="T418" s="366"/>
      <c r="U418" s="366"/>
      <c r="V418" s="366"/>
      <c r="W418" s="366"/>
      <c r="X418" s="366"/>
      <c r="Y418" s="366"/>
      <c r="Z418" s="366"/>
    </row>
    <row r="419" ht="91.5" customHeight="1">
      <c r="A419" s="436"/>
      <c r="B419" s="328"/>
      <c r="C419" s="328"/>
      <c r="D419" s="328"/>
      <c r="E419" s="326"/>
      <c r="F419" s="333"/>
      <c r="G419" s="333"/>
      <c r="H419" s="333"/>
      <c r="I419" s="333"/>
      <c r="J419" s="333"/>
      <c r="K419" s="328"/>
      <c r="L419" s="328"/>
      <c r="M419" s="341"/>
      <c r="N419" s="328"/>
      <c r="O419" s="436"/>
      <c r="P419" s="437"/>
      <c r="Q419" s="436"/>
      <c r="R419" s="436"/>
      <c r="S419" s="436"/>
      <c r="T419" s="366"/>
      <c r="U419" s="366"/>
      <c r="V419" s="366"/>
      <c r="W419" s="366"/>
      <c r="X419" s="366"/>
      <c r="Y419" s="366"/>
      <c r="Z419" s="366"/>
    </row>
    <row r="420" ht="91.5" customHeight="1">
      <c r="A420" s="436"/>
      <c r="B420" s="328"/>
      <c r="C420" s="328"/>
      <c r="D420" s="328"/>
      <c r="E420" s="326"/>
      <c r="F420" s="333"/>
      <c r="G420" s="333"/>
      <c r="H420" s="333"/>
      <c r="I420" s="333"/>
      <c r="J420" s="333"/>
      <c r="K420" s="328"/>
      <c r="L420" s="328"/>
      <c r="M420" s="341"/>
      <c r="N420" s="328"/>
      <c r="O420" s="436"/>
      <c r="P420" s="437"/>
      <c r="Q420" s="436"/>
      <c r="R420" s="436"/>
      <c r="S420" s="436"/>
      <c r="T420" s="366"/>
      <c r="U420" s="366"/>
      <c r="V420" s="366"/>
      <c r="W420" s="366"/>
      <c r="X420" s="366"/>
      <c r="Y420" s="366"/>
      <c r="Z420" s="366"/>
    </row>
    <row r="421" ht="91.5" customHeight="1">
      <c r="A421" s="436"/>
      <c r="B421" s="328"/>
      <c r="C421" s="328"/>
      <c r="D421" s="328"/>
      <c r="E421" s="326"/>
      <c r="F421" s="333"/>
      <c r="G421" s="333"/>
      <c r="H421" s="333"/>
      <c r="I421" s="333"/>
      <c r="J421" s="333"/>
      <c r="K421" s="328"/>
      <c r="L421" s="328"/>
      <c r="M421" s="341"/>
      <c r="N421" s="328"/>
      <c r="O421" s="436"/>
      <c r="P421" s="437"/>
      <c r="Q421" s="436"/>
      <c r="R421" s="436"/>
      <c r="S421" s="436"/>
      <c r="T421" s="366"/>
      <c r="U421" s="366"/>
      <c r="V421" s="366"/>
      <c r="W421" s="366"/>
      <c r="X421" s="366"/>
      <c r="Y421" s="366"/>
      <c r="Z421" s="366"/>
    </row>
    <row r="422" ht="91.5" customHeight="1">
      <c r="A422" s="436"/>
      <c r="B422" s="328"/>
      <c r="C422" s="328"/>
      <c r="D422" s="328"/>
      <c r="E422" s="326"/>
      <c r="F422" s="333"/>
      <c r="G422" s="333"/>
      <c r="H422" s="333"/>
      <c r="I422" s="333"/>
      <c r="J422" s="333"/>
      <c r="K422" s="328"/>
      <c r="L422" s="328"/>
      <c r="M422" s="341"/>
      <c r="N422" s="328"/>
      <c r="O422" s="436"/>
      <c r="P422" s="437"/>
      <c r="Q422" s="436"/>
      <c r="R422" s="436"/>
      <c r="S422" s="436"/>
      <c r="T422" s="366"/>
      <c r="U422" s="366"/>
      <c r="V422" s="366"/>
      <c r="W422" s="366"/>
      <c r="X422" s="366"/>
      <c r="Y422" s="366"/>
      <c r="Z422" s="366"/>
    </row>
    <row r="423" ht="91.5" customHeight="1">
      <c r="A423" s="436"/>
      <c r="B423" s="328"/>
      <c r="C423" s="328"/>
      <c r="D423" s="328"/>
      <c r="E423" s="326"/>
      <c r="F423" s="333"/>
      <c r="G423" s="333"/>
      <c r="H423" s="333"/>
      <c r="I423" s="333"/>
      <c r="J423" s="333"/>
      <c r="K423" s="328"/>
      <c r="L423" s="328"/>
      <c r="M423" s="341"/>
      <c r="N423" s="328"/>
      <c r="O423" s="436"/>
      <c r="P423" s="437"/>
      <c r="Q423" s="436"/>
      <c r="R423" s="436"/>
      <c r="S423" s="436"/>
      <c r="T423" s="366"/>
      <c r="U423" s="366"/>
      <c r="V423" s="366"/>
      <c r="W423" s="366"/>
      <c r="X423" s="366"/>
      <c r="Y423" s="366"/>
      <c r="Z423" s="366"/>
    </row>
    <row r="424" ht="91.5" customHeight="1">
      <c r="A424" s="436"/>
      <c r="B424" s="328"/>
      <c r="C424" s="328"/>
      <c r="D424" s="328"/>
      <c r="E424" s="326"/>
      <c r="F424" s="333"/>
      <c r="G424" s="333"/>
      <c r="H424" s="333"/>
      <c r="I424" s="333"/>
      <c r="J424" s="333"/>
      <c r="K424" s="328"/>
      <c r="L424" s="328"/>
      <c r="M424" s="341"/>
      <c r="N424" s="328"/>
      <c r="O424" s="436"/>
      <c r="P424" s="437"/>
      <c r="Q424" s="436"/>
      <c r="R424" s="436"/>
      <c r="S424" s="436"/>
      <c r="T424" s="366"/>
      <c r="U424" s="366"/>
      <c r="V424" s="366"/>
      <c r="W424" s="366"/>
      <c r="X424" s="366"/>
      <c r="Y424" s="366"/>
      <c r="Z424" s="366"/>
    </row>
    <row r="425" ht="91.5" customHeight="1">
      <c r="A425" s="436"/>
      <c r="B425" s="328"/>
      <c r="C425" s="328"/>
      <c r="D425" s="328"/>
      <c r="E425" s="326"/>
      <c r="F425" s="333"/>
      <c r="G425" s="333"/>
      <c r="H425" s="333"/>
      <c r="I425" s="333"/>
      <c r="J425" s="333"/>
      <c r="K425" s="328"/>
      <c r="L425" s="328"/>
      <c r="M425" s="341"/>
      <c r="N425" s="328"/>
      <c r="O425" s="436"/>
      <c r="P425" s="437"/>
      <c r="Q425" s="436"/>
      <c r="R425" s="436"/>
      <c r="S425" s="436"/>
      <c r="T425" s="366"/>
      <c r="U425" s="366"/>
      <c r="V425" s="366"/>
      <c r="W425" s="366"/>
      <c r="X425" s="366"/>
      <c r="Y425" s="366"/>
      <c r="Z425" s="366"/>
    </row>
    <row r="426" ht="91.5" customHeight="1">
      <c r="A426" s="436"/>
      <c r="B426" s="328"/>
      <c r="C426" s="328"/>
      <c r="D426" s="328"/>
      <c r="E426" s="326"/>
      <c r="F426" s="333"/>
      <c r="G426" s="333"/>
      <c r="H426" s="333"/>
      <c r="I426" s="333"/>
      <c r="J426" s="333"/>
      <c r="K426" s="328"/>
      <c r="L426" s="328"/>
      <c r="M426" s="341"/>
      <c r="N426" s="328"/>
      <c r="O426" s="436"/>
      <c r="P426" s="437"/>
      <c r="Q426" s="436"/>
      <c r="R426" s="436"/>
      <c r="S426" s="436"/>
      <c r="T426" s="366"/>
      <c r="U426" s="366"/>
      <c r="V426" s="366"/>
      <c r="W426" s="366"/>
      <c r="X426" s="366"/>
      <c r="Y426" s="366"/>
      <c r="Z426" s="366"/>
    </row>
    <row r="427" ht="91.5" customHeight="1">
      <c r="A427" s="436"/>
      <c r="B427" s="328"/>
      <c r="C427" s="328"/>
      <c r="D427" s="328"/>
      <c r="E427" s="326"/>
      <c r="F427" s="333"/>
      <c r="G427" s="333"/>
      <c r="H427" s="333"/>
      <c r="I427" s="333"/>
      <c r="J427" s="333"/>
      <c r="K427" s="328"/>
      <c r="L427" s="328"/>
      <c r="M427" s="341"/>
      <c r="N427" s="328"/>
      <c r="O427" s="436"/>
      <c r="P427" s="437"/>
      <c r="Q427" s="436"/>
      <c r="R427" s="436"/>
      <c r="S427" s="436"/>
      <c r="T427" s="366"/>
      <c r="U427" s="366"/>
      <c r="V427" s="366"/>
      <c r="W427" s="366"/>
      <c r="X427" s="366"/>
      <c r="Y427" s="366"/>
      <c r="Z427" s="366"/>
    </row>
    <row r="428" ht="91.5" customHeight="1">
      <c r="A428" s="436"/>
      <c r="B428" s="328"/>
      <c r="C428" s="328"/>
      <c r="D428" s="328"/>
      <c r="E428" s="326"/>
      <c r="F428" s="333"/>
      <c r="G428" s="333"/>
      <c r="H428" s="333"/>
      <c r="I428" s="333"/>
      <c r="J428" s="333"/>
      <c r="K428" s="328"/>
      <c r="L428" s="328"/>
      <c r="M428" s="341"/>
      <c r="N428" s="328"/>
      <c r="O428" s="436"/>
      <c r="P428" s="437"/>
      <c r="Q428" s="436"/>
      <c r="R428" s="436"/>
      <c r="S428" s="436"/>
      <c r="T428" s="366"/>
      <c r="U428" s="366"/>
      <c r="V428" s="366"/>
      <c r="W428" s="366"/>
      <c r="X428" s="366"/>
      <c r="Y428" s="366"/>
      <c r="Z428" s="366"/>
    </row>
    <row r="429" ht="91.5" customHeight="1">
      <c r="A429" s="436"/>
      <c r="B429" s="328"/>
      <c r="C429" s="328"/>
      <c r="D429" s="328"/>
      <c r="E429" s="326"/>
      <c r="F429" s="333"/>
      <c r="G429" s="333"/>
      <c r="H429" s="333"/>
      <c r="I429" s="333"/>
      <c r="J429" s="333"/>
      <c r="K429" s="328"/>
      <c r="L429" s="328"/>
      <c r="M429" s="341"/>
      <c r="N429" s="328"/>
      <c r="O429" s="436"/>
      <c r="P429" s="437"/>
      <c r="Q429" s="436"/>
      <c r="R429" s="436"/>
      <c r="S429" s="436"/>
      <c r="T429" s="366"/>
      <c r="U429" s="366"/>
      <c r="V429" s="366"/>
      <c r="W429" s="366"/>
      <c r="X429" s="366"/>
      <c r="Y429" s="366"/>
      <c r="Z429" s="366"/>
    </row>
    <row r="430" ht="91.5" customHeight="1">
      <c r="A430" s="436"/>
      <c r="B430" s="328"/>
      <c r="C430" s="328"/>
      <c r="D430" s="328"/>
      <c r="E430" s="326"/>
      <c r="F430" s="333"/>
      <c r="G430" s="333"/>
      <c r="H430" s="333"/>
      <c r="I430" s="333"/>
      <c r="J430" s="333"/>
      <c r="K430" s="328"/>
      <c r="L430" s="328"/>
      <c r="M430" s="341"/>
      <c r="N430" s="328"/>
      <c r="O430" s="436"/>
      <c r="P430" s="437"/>
      <c r="Q430" s="436"/>
      <c r="R430" s="436"/>
      <c r="S430" s="436"/>
      <c r="T430" s="366"/>
      <c r="U430" s="366"/>
      <c r="V430" s="366"/>
      <c r="W430" s="366"/>
      <c r="X430" s="366"/>
      <c r="Y430" s="366"/>
      <c r="Z430" s="366"/>
    </row>
    <row r="431" ht="91.5" customHeight="1">
      <c r="A431" s="436"/>
      <c r="B431" s="328"/>
      <c r="C431" s="328"/>
      <c r="D431" s="328"/>
      <c r="E431" s="326"/>
      <c r="F431" s="333"/>
      <c r="G431" s="333"/>
      <c r="H431" s="333"/>
      <c r="I431" s="333"/>
      <c r="J431" s="333"/>
      <c r="K431" s="328"/>
      <c r="L431" s="328"/>
      <c r="M431" s="341"/>
      <c r="N431" s="328"/>
      <c r="O431" s="436"/>
      <c r="P431" s="437"/>
      <c r="Q431" s="436"/>
      <c r="R431" s="436"/>
      <c r="S431" s="436"/>
      <c r="T431" s="366"/>
      <c r="U431" s="366"/>
      <c r="V431" s="366"/>
      <c r="W431" s="366"/>
      <c r="X431" s="366"/>
      <c r="Y431" s="366"/>
      <c r="Z431" s="366"/>
    </row>
    <row r="432" ht="91.5" customHeight="1">
      <c r="A432" s="436"/>
      <c r="B432" s="328"/>
      <c r="C432" s="328"/>
      <c r="D432" s="328"/>
      <c r="E432" s="326"/>
      <c r="F432" s="333"/>
      <c r="G432" s="333"/>
      <c r="H432" s="333"/>
      <c r="I432" s="333"/>
      <c r="J432" s="333"/>
      <c r="K432" s="328"/>
      <c r="L432" s="328"/>
      <c r="M432" s="341"/>
      <c r="N432" s="328"/>
      <c r="O432" s="436"/>
      <c r="P432" s="437"/>
      <c r="Q432" s="436"/>
      <c r="R432" s="436"/>
      <c r="S432" s="436"/>
      <c r="T432" s="366"/>
      <c r="U432" s="366"/>
      <c r="V432" s="366"/>
      <c r="W432" s="366"/>
      <c r="X432" s="366"/>
      <c r="Y432" s="366"/>
      <c r="Z432" s="366"/>
    </row>
    <row r="433" ht="91.5" customHeight="1">
      <c r="A433" s="436"/>
      <c r="B433" s="328"/>
      <c r="C433" s="328"/>
      <c r="D433" s="328"/>
      <c r="E433" s="326"/>
      <c r="F433" s="333"/>
      <c r="G433" s="333"/>
      <c r="H433" s="333"/>
      <c r="I433" s="333"/>
      <c r="J433" s="333"/>
      <c r="K433" s="328"/>
      <c r="L433" s="328"/>
      <c r="M433" s="341"/>
      <c r="N433" s="328"/>
      <c r="O433" s="436"/>
      <c r="P433" s="437"/>
      <c r="Q433" s="436"/>
      <c r="R433" s="436"/>
      <c r="S433" s="436"/>
      <c r="T433" s="366"/>
      <c r="U433" s="366"/>
      <c r="V433" s="366"/>
      <c r="W433" s="366"/>
      <c r="X433" s="366"/>
      <c r="Y433" s="366"/>
      <c r="Z433" s="366"/>
    </row>
    <row r="434" ht="91.5" customHeight="1">
      <c r="A434" s="436"/>
      <c r="B434" s="328"/>
      <c r="C434" s="328"/>
      <c r="D434" s="328"/>
      <c r="E434" s="326"/>
      <c r="F434" s="333"/>
      <c r="G434" s="333"/>
      <c r="H434" s="333"/>
      <c r="I434" s="333"/>
      <c r="J434" s="333"/>
      <c r="K434" s="328"/>
      <c r="L434" s="328"/>
      <c r="M434" s="341"/>
      <c r="N434" s="328"/>
      <c r="O434" s="436"/>
      <c r="P434" s="437"/>
      <c r="Q434" s="436"/>
      <c r="R434" s="436"/>
      <c r="S434" s="436"/>
      <c r="T434" s="366"/>
      <c r="U434" s="366"/>
      <c r="V434" s="366"/>
      <c r="W434" s="366"/>
      <c r="X434" s="366"/>
      <c r="Y434" s="366"/>
      <c r="Z434" s="366"/>
    </row>
    <row r="435" ht="91.5" customHeight="1">
      <c r="A435" s="436"/>
      <c r="B435" s="328"/>
      <c r="C435" s="328"/>
      <c r="D435" s="328"/>
      <c r="E435" s="326"/>
      <c r="F435" s="333"/>
      <c r="G435" s="333"/>
      <c r="H435" s="333"/>
      <c r="I435" s="333"/>
      <c r="J435" s="333"/>
      <c r="K435" s="328"/>
      <c r="L435" s="328"/>
      <c r="M435" s="341"/>
      <c r="N435" s="328"/>
      <c r="O435" s="436"/>
      <c r="P435" s="437"/>
      <c r="Q435" s="436"/>
      <c r="R435" s="436"/>
      <c r="S435" s="436"/>
      <c r="T435" s="366"/>
      <c r="U435" s="366"/>
      <c r="V435" s="366"/>
      <c r="W435" s="366"/>
      <c r="X435" s="366"/>
      <c r="Y435" s="366"/>
      <c r="Z435" s="366"/>
    </row>
    <row r="436" ht="91.5" customHeight="1">
      <c r="A436" s="436"/>
      <c r="B436" s="328"/>
      <c r="C436" s="328"/>
      <c r="D436" s="328"/>
      <c r="E436" s="326"/>
      <c r="F436" s="333"/>
      <c r="G436" s="333"/>
      <c r="H436" s="333"/>
      <c r="I436" s="333"/>
      <c r="J436" s="333"/>
      <c r="K436" s="328"/>
      <c r="L436" s="328"/>
      <c r="M436" s="341"/>
      <c r="N436" s="328"/>
      <c r="O436" s="436"/>
      <c r="P436" s="437"/>
      <c r="Q436" s="436"/>
      <c r="R436" s="436"/>
      <c r="S436" s="436"/>
      <c r="T436" s="366"/>
      <c r="U436" s="366"/>
      <c r="V436" s="366"/>
      <c r="W436" s="366"/>
      <c r="X436" s="366"/>
      <c r="Y436" s="366"/>
      <c r="Z436" s="366"/>
    </row>
    <row r="437" ht="91.5" customHeight="1">
      <c r="A437" s="436"/>
      <c r="B437" s="328"/>
      <c r="C437" s="328"/>
      <c r="D437" s="328"/>
      <c r="E437" s="326"/>
      <c r="F437" s="333"/>
      <c r="G437" s="333"/>
      <c r="H437" s="333"/>
      <c r="I437" s="333"/>
      <c r="J437" s="333"/>
      <c r="K437" s="328"/>
      <c r="L437" s="328"/>
      <c r="M437" s="341"/>
      <c r="N437" s="328"/>
      <c r="O437" s="436"/>
      <c r="P437" s="437"/>
      <c r="Q437" s="436"/>
      <c r="R437" s="436"/>
      <c r="S437" s="436"/>
      <c r="T437" s="366"/>
      <c r="U437" s="366"/>
      <c r="V437" s="366"/>
      <c r="W437" s="366"/>
      <c r="X437" s="366"/>
      <c r="Y437" s="366"/>
      <c r="Z437" s="366"/>
    </row>
    <row r="438" ht="91.5" customHeight="1">
      <c r="A438" s="436"/>
      <c r="B438" s="328"/>
      <c r="C438" s="328"/>
      <c r="D438" s="328"/>
      <c r="E438" s="326"/>
      <c r="F438" s="333"/>
      <c r="G438" s="333"/>
      <c r="H438" s="333"/>
      <c r="I438" s="333"/>
      <c r="J438" s="333"/>
      <c r="K438" s="328"/>
      <c r="L438" s="328"/>
      <c r="M438" s="341"/>
      <c r="N438" s="328"/>
      <c r="O438" s="436"/>
      <c r="P438" s="437"/>
      <c r="Q438" s="436"/>
      <c r="R438" s="436"/>
      <c r="S438" s="436"/>
      <c r="T438" s="366"/>
      <c r="U438" s="366"/>
      <c r="V438" s="366"/>
      <c r="W438" s="366"/>
      <c r="X438" s="366"/>
      <c r="Y438" s="366"/>
      <c r="Z438" s="366"/>
    </row>
    <row r="439" ht="91.5" customHeight="1">
      <c r="A439" s="436"/>
      <c r="B439" s="328"/>
      <c r="C439" s="328"/>
      <c r="D439" s="328"/>
      <c r="E439" s="326"/>
      <c r="F439" s="333"/>
      <c r="G439" s="333"/>
      <c r="H439" s="333"/>
      <c r="I439" s="333"/>
      <c r="J439" s="333"/>
      <c r="K439" s="328"/>
      <c r="L439" s="328"/>
      <c r="M439" s="341"/>
      <c r="N439" s="328"/>
      <c r="O439" s="436"/>
      <c r="P439" s="437"/>
      <c r="Q439" s="436"/>
      <c r="R439" s="436"/>
      <c r="S439" s="436"/>
      <c r="T439" s="366"/>
      <c r="U439" s="366"/>
      <c r="V439" s="366"/>
      <c r="W439" s="366"/>
      <c r="X439" s="366"/>
      <c r="Y439" s="366"/>
      <c r="Z439" s="366"/>
    </row>
    <row r="440" ht="91.5" customHeight="1">
      <c r="A440" s="436"/>
      <c r="B440" s="328"/>
      <c r="C440" s="328"/>
      <c r="D440" s="328"/>
      <c r="E440" s="326"/>
      <c r="F440" s="333"/>
      <c r="G440" s="333"/>
      <c r="H440" s="333"/>
      <c r="I440" s="333"/>
      <c r="J440" s="333"/>
      <c r="K440" s="328"/>
      <c r="L440" s="328"/>
      <c r="M440" s="341"/>
      <c r="N440" s="328"/>
      <c r="O440" s="436"/>
      <c r="P440" s="437"/>
      <c r="Q440" s="436"/>
      <c r="R440" s="436"/>
      <c r="S440" s="436"/>
      <c r="T440" s="366"/>
      <c r="U440" s="366"/>
      <c r="V440" s="366"/>
      <c r="W440" s="366"/>
      <c r="X440" s="366"/>
      <c r="Y440" s="366"/>
      <c r="Z440" s="366"/>
    </row>
    <row r="441" ht="91.5" customHeight="1">
      <c r="A441" s="436"/>
      <c r="B441" s="328"/>
      <c r="C441" s="328"/>
      <c r="D441" s="328"/>
      <c r="E441" s="326"/>
      <c r="F441" s="333"/>
      <c r="G441" s="333"/>
      <c r="H441" s="333"/>
      <c r="I441" s="333"/>
      <c r="J441" s="333"/>
      <c r="K441" s="328"/>
      <c r="L441" s="328"/>
      <c r="M441" s="341"/>
      <c r="N441" s="328"/>
      <c r="O441" s="436"/>
      <c r="P441" s="437"/>
      <c r="Q441" s="436"/>
      <c r="R441" s="436"/>
      <c r="S441" s="436"/>
      <c r="T441" s="366"/>
      <c r="U441" s="366"/>
      <c r="V441" s="366"/>
      <c r="W441" s="366"/>
      <c r="X441" s="366"/>
      <c r="Y441" s="366"/>
      <c r="Z441" s="366"/>
    </row>
    <row r="442" ht="91.5" customHeight="1">
      <c r="A442" s="436"/>
      <c r="B442" s="328"/>
      <c r="C442" s="328"/>
      <c r="D442" s="328"/>
      <c r="E442" s="326"/>
      <c r="F442" s="333"/>
      <c r="G442" s="333"/>
      <c r="H442" s="333"/>
      <c r="I442" s="333"/>
      <c r="J442" s="333"/>
      <c r="K442" s="328"/>
      <c r="L442" s="328"/>
      <c r="M442" s="341"/>
      <c r="N442" s="328"/>
      <c r="O442" s="436"/>
      <c r="P442" s="437"/>
      <c r="Q442" s="436"/>
      <c r="R442" s="436"/>
      <c r="S442" s="436"/>
      <c r="T442" s="366"/>
      <c r="U442" s="366"/>
      <c r="V442" s="366"/>
      <c r="W442" s="366"/>
      <c r="X442" s="366"/>
      <c r="Y442" s="366"/>
      <c r="Z442" s="366"/>
    </row>
    <row r="443" ht="91.5" customHeight="1">
      <c r="A443" s="436"/>
      <c r="B443" s="328"/>
      <c r="C443" s="328"/>
      <c r="D443" s="328"/>
      <c r="E443" s="326"/>
      <c r="F443" s="333"/>
      <c r="G443" s="333"/>
      <c r="H443" s="333"/>
      <c r="I443" s="333"/>
      <c r="J443" s="333"/>
      <c r="K443" s="328"/>
      <c r="L443" s="328"/>
      <c r="M443" s="341"/>
      <c r="N443" s="328"/>
      <c r="O443" s="436"/>
      <c r="P443" s="437"/>
      <c r="Q443" s="436"/>
      <c r="R443" s="436"/>
      <c r="S443" s="436"/>
      <c r="T443" s="366"/>
      <c r="U443" s="366"/>
      <c r="V443" s="366"/>
      <c r="W443" s="366"/>
      <c r="X443" s="366"/>
      <c r="Y443" s="366"/>
      <c r="Z443" s="366"/>
    </row>
    <row r="444" ht="91.5" customHeight="1">
      <c r="A444" s="436"/>
      <c r="B444" s="328"/>
      <c r="C444" s="328"/>
      <c r="D444" s="328"/>
      <c r="E444" s="326"/>
      <c r="F444" s="333"/>
      <c r="G444" s="333"/>
      <c r="H444" s="333"/>
      <c r="I444" s="333"/>
      <c r="J444" s="333"/>
      <c r="K444" s="328"/>
      <c r="L444" s="328"/>
      <c r="M444" s="341"/>
      <c r="N444" s="328"/>
      <c r="O444" s="436"/>
      <c r="P444" s="437"/>
      <c r="Q444" s="436"/>
      <c r="R444" s="436"/>
      <c r="S444" s="436"/>
      <c r="T444" s="366"/>
      <c r="U444" s="366"/>
      <c r="V444" s="366"/>
      <c r="W444" s="366"/>
      <c r="X444" s="366"/>
      <c r="Y444" s="366"/>
      <c r="Z444" s="366"/>
    </row>
    <row r="445" ht="91.5" customHeight="1">
      <c r="A445" s="436"/>
      <c r="B445" s="328"/>
      <c r="C445" s="328"/>
      <c r="D445" s="328"/>
      <c r="E445" s="326"/>
      <c r="F445" s="333"/>
      <c r="G445" s="333"/>
      <c r="H445" s="333"/>
      <c r="I445" s="333"/>
      <c r="J445" s="333"/>
      <c r="K445" s="328"/>
      <c r="L445" s="328"/>
      <c r="M445" s="341"/>
      <c r="N445" s="328"/>
      <c r="O445" s="436"/>
      <c r="P445" s="437"/>
      <c r="Q445" s="436"/>
      <c r="R445" s="436"/>
      <c r="S445" s="436"/>
      <c r="T445" s="366"/>
      <c r="U445" s="366"/>
      <c r="V445" s="366"/>
      <c r="W445" s="366"/>
      <c r="X445" s="366"/>
      <c r="Y445" s="366"/>
      <c r="Z445" s="366"/>
    </row>
    <row r="446" ht="91.5" customHeight="1">
      <c r="A446" s="436"/>
      <c r="B446" s="328"/>
      <c r="C446" s="328"/>
      <c r="D446" s="328"/>
      <c r="E446" s="326"/>
      <c r="F446" s="333"/>
      <c r="G446" s="333"/>
      <c r="H446" s="333"/>
      <c r="I446" s="333"/>
      <c r="J446" s="333"/>
      <c r="K446" s="328"/>
      <c r="L446" s="328"/>
      <c r="M446" s="341"/>
      <c r="N446" s="328"/>
      <c r="O446" s="436"/>
      <c r="P446" s="437"/>
      <c r="Q446" s="436"/>
      <c r="R446" s="436"/>
      <c r="S446" s="436"/>
      <c r="T446" s="366"/>
      <c r="U446" s="366"/>
      <c r="V446" s="366"/>
      <c r="W446" s="366"/>
      <c r="X446" s="366"/>
      <c r="Y446" s="366"/>
      <c r="Z446" s="366"/>
    </row>
    <row r="447" ht="91.5" customHeight="1">
      <c r="A447" s="436"/>
      <c r="B447" s="328"/>
      <c r="C447" s="328"/>
      <c r="D447" s="328"/>
      <c r="E447" s="326"/>
      <c r="F447" s="333"/>
      <c r="G447" s="333"/>
      <c r="H447" s="333"/>
      <c r="I447" s="333"/>
      <c r="J447" s="333"/>
      <c r="K447" s="328"/>
      <c r="L447" s="328"/>
      <c r="M447" s="341"/>
      <c r="N447" s="328"/>
      <c r="O447" s="436"/>
      <c r="P447" s="437"/>
      <c r="Q447" s="436"/>
      <c r="R447" s="436"/>
      <c r="S447" s="436"/>
      <c r="T447" s="366"/>
      <c r="U447" s="366"/>
      <c r="V447" s="366"/>
      <c r="W447" s="366"/>
      <c r="X447" s="366"/>
      <c r="Y447" s="366"/>
      <c r="Z447" s="366"/>
    </row>
    <row r="448" ht="91.5" customHeight="1">
      <c r="A448" s="436"/>
      <c r="B448" s="328"/>
      <c r="C448" s="328"/>
      <c r="D448" s="328"/>
      <c r="E448" s="326"/>
      <c r="F448" s="333"/>
      <c r="G448" s="333"/>
      <c r="H448" s="333"/>
      <c r="I448" s="333"/>
      <c r="J448" s="333"/>
      <c r="K448" s="328"/>
      <c r="L448" s="328"/>
      <c r="M448" s="341"/>
      <c r="N448" s="328"/>
      <c r="O448" s="436"/>
      <c r="P448" s="437"/>
      <c r="Q448" s="436"/>
      <c r="R448" s="436"/>
      <c r="S448" s="436"/>
      <c r="T448" s="366"/>
      <c r="U448" s="366"/>
      <c r="V448" s="366"/>
      <c r="W448" s="366"/>
      <c r="X448" s="366"/>
      <c r="Y448" s="366"/>
      <c r="Z448" s="366"/>
    </row>
    <row r="449" ht="91.5" customHeight="1">
      <c r="A449" s="436"/>
      <c r="B449" s="328"/>
      <c r="C449" s="328"/>
      <c r="D449" s="328"/>
      <c r="E449" s="326"/>
      <c r="F449" s="333"/>
      <c r="G449" s="333"/>
      <c r="H449" s="333"/>
      <c r="I449" s="333"/>
      <c r="J449" s="333"/>
      <c r="K449" s="328"/>
      <c r="L449" s="328"/>
      <c r="M449" s="341"/>
      <c r="N449" s="328"/>
      <c r="O449" s="436"/>
      <c r="P449" s="437"/>
      <c r="Q449" s="436"/>
      <c r="R449" s="436"/>
      <c r="S449" s="436"/>
      <c r="T449" s="366"/>
      <c r="U449" s="366"/>
      <c r="V449" s="366"/>
      <c r="W449" s="366"/>
      <c r="X449" s="366"/>
      <c r="Y449" s="366"/>
      <c r="Z449" s="366"/>
    </row>
    <row r="450" ht="91.5" customHeight="1">
      <c r="A450" s="436"/>
      <c r="B450" s="328"/>
      <c r="C450" s="328"/>
      <c r="D450" s="328"/>
      <c r="E450" s="326"/>
      <c r="F450" s="333"/>
      <c r="G450" s="333"/>
      <c r="H450" s="333"/>
      <c r="I450" s="333"/>
      <c r="J450" s="333"/>
      <c r="K450" s="328"/>
      <c r="L450" s="328"/>
      <c r="M450" s="341"/>
      <c r="N450" s="328"/>
      <c r="O450" s="436"/>
      <c r="P450" s="437"/>
      <c r="Q450" s="436"/>
      <c r="R450" s="436"/>
      <c r="S450" s="436"/>
      <c r="T450" s="366"/>
      <c r="U450" s="366"/>
      <c r="V450" s="366"/>
      <c r="W450" s="366"/>
      <c r="X450" s="366"/>
      <c r="Y450" s="366"/>
      <c r="Z450" s="366"/>
    </row>
    <row r="451" ht="91.5" customHeight="1">
      <c r="A451" s="436"/>
      <c r="B451" s="328"/>
      <c r="C451" s="328"/>
      <c r="D451" s="328"/>
      <c r="E451" s="326"/>
      <c r="F451" s="333"/>
      <c r="G451" s="333"/>
      <c r="H451" s="333"/>
      <c r="I451" s="333"/>
      <c r="J451" s="333"/>
      <c r="K451" s="328"/>
      <c r="L451" s="328"/>
      <c r="M451" s="341"/>
      <c r="N451" s="328"/>
      <c r="O451" s="436"/>
      <c r="P451" s="437"/>
      <c r="Q451" s="436"/>
      <c r="R451" s="436"/>
      <c r="S451" s="436"/>
      <c r="T451" s="366"/>
      <c r="U451" s="366"/>
      <c r="V451" s="366"/>
      <c r="W451" s="366"/>
      <c r="X451" s="366"/>
      <c r="Y451" s="366"/>
      <c r="Z451" s="366"/>
    </row>
    <row r="452" ht="91.5" customHeight="1">
      <c r="A452" s="436"/>
      <c r="B452" s="328"/>
      <c r="C452" s="328"/>
      <c r="D452" s="328"/>
      <c r="E452" s="326"/>
      <c r="F452" s="333"/>
      <c r="G452" s="333"/>
      <c r="H452" s="333"/>
      <c r="I452" s="333"/>
      <c r="J452" s="333"/>
      <c r="K452" s="328"/>
      <c r="L452" s="328"/>
      <c r="M452" s="341"/>
      <c r="N452" s="328"/>
      <c r="O452" s="436"/>
      <c r="P452" s="437"/>
      <c r="Q452" s="436"/>
      <c r="R452" s="436"/>
      <c r="S452" s="436"/>
      <c r="T452" s="366"/>
      <c r="U452" s="366"/>
      <c r="V452" s="366"/>
      <c r="W452" s="366"/>
      <c r="X452" s="366"/>
      <c r="Y452" s="366"/>
      <c r="Z452" s="366"/>
    </row>
    <row r="453" ht="91.5" customHeight="1">
      <c r="A453" s="436"/>
      <c r="B453" s="328"/>
      <c r="C453" s="328"/>
      <c r="D453" s="328"/>
      <c r="E453" s="326"/>
      <c r="F453" s="333"/>
      <c r="G453" s="333"/>
      <c r="H453" s="333"/>
      <c r="I453" s="333"/>
      <c r="J453" s="333"/>
      <c r="K453" s="328"/>
      <c r="L453" s="328"/>
      <c r="M453" s="341"/>
      <c r="N453" s="328"/>
      <c r="O453" s="436"/>
      <c r="P453" s="437"/>
      <c r="Q453" s="436"/>
      <c r="R453" s="436"/>
      <c r="S453" s="436"/>
      <c r="T453" s="366"/>
      <c r="U453" s="366"/>
      <c r="V453" s="366"/>
      <c r="W453" s="366"/>
      <c r="X453" s="366"/>
      <c r="Y453" s="366"/>
      <c r="Z453" s="366"/>
    </row>
    <row r="454" ht="91.5" customHeight="1">
      <c r="A454" s="436"/>
      <c r="B454" s="328"/>
      <c r="C454" s="328"/>
      <c r="D454" s="328"/>
      <c r="E454" s="326"/>
      <c r="F454" s="333"/>
      <c r="G454" s="333"/>
      <c r="H454" s="333"/>
      <c r="I454" s="333"/>
      <c r="J454" s="333"/>
      <c r="K454" s="328"/>
      <c r="L454" s="328"/>
      <c r="M454" s="341"/>
      <c r="N454" s="328"/>
      <c r="O454" s="436"/>
      <c r="P454" s="437"/>
      <c r="Q454" s="436"/>
      <c r="R454" s="436"/>
      <c r="S454" s="436"/>
      <c r="T454" s="366"/>
      <c r="U454" s="366"/>
      <c r="V454" s="366"/>
      <c r="W454" s="366"/>
      <c r="X454" s="366"/>
      <c r="Y454" s="366"/>
      <c r="Z454" s="366"/>
    </row>
    <row r="455" ht="91.5" customHeight="1">
      <c r="A455" s="436"/>
      <c r="B455" s="328"/>
      <c r="C455" s="328"/>
      <c r="D455" s="328"/>
      <c r="E455" s="326"/>
      <c r="F455" s="333"/>
      <c r="G455" s="333"/>
      <c r="H455" s="333"/>
      <c r="I455" s="333"/>
      <c r="J455" s="333"/>
      <c r="K455" s="328"/>
      <c r="L455" s="328"/>
      <c r="M455" s="341"/>
      <c r="N455" s="328"/>
      <c r="O455" s="436"/>
      <c r="P455" s="437"/>
      <c r="Q455" s="436"/>
      <c r="R455" s="436"/>
      <c r="S455" s="436"/>
      <c r="T455" s="366"/>
      <c r="U455" s="366"/>
      <c r="V455" s="366"/>
      <c r="W455" s="366"/>
      <c r="X455" s="366"/>
      <c r="Y455" s="366"/>
      <c r="Z455" s="366"/>
    </row>
    <row r="456" ht="91.5" customHeight="1">
      <c r="A456" s="436"/>
      <c r="B456" s="328"/>
      <c r="C456" s="328"/>
      <c r="D456" s="328"/>
      <c r="E456" s="326"/>
      <c r="F456" s="333"/>
      <c r="G456" s="333"/>
      <c r="H456" s="333"/>
      <c r="I456" s="333"/>
      <c r="J456" s="333"/>
      <c r="K456" s="328"/>
      <c r="L456" s="328"/>
      <c r="M456" s="341"/>
      <c r="N456" s="328"/>
      <c r="O456" s="436"/>
      <c r="P456" s="437"/>
      <c r="Q456" s="436"/>
      <c r="R456" s="436"/>
      <c r="S456" s="436"/>
      <c r="T456" s="366"/>
      <c r="U456" s="366"/>
      <c r="V456" s="366"/>
      <c r="W456" s="366"/>
      <c r="X456" s="366"/>
      <c r="Y456" s="366"/>
      <c r="Z456" s="366"/>
    </row>
    <row r="457" ht="91.5" customHeight="1">
      <c r="A457" s="436"/>
      <c r="B457" s="328"/>
      <c r="C457" s="328"/>
      <c r="D457" s="328"/>
      <c r="E457" s="326"/>
      <c r="F457" s="333"/>
      <c r="G457" s="333"/>
      <c r="H457" s="333"/>
      <c r="I457" s="333"/>
      <c r="J457" s="333"/>
      <c r="K457" s="328"/>
      <c r="L457" s="328"/>
      <c r="M457" s="341"/>
      <c r="N457" s="328"/>
      <c r="O457" s="436"/>
      <c r="P457" s="437"/>
      <c r="Q457" s="436"/>
      <c r="R457" s="436"/>
      <c r="S457" s="436"/>
      <c r="T457" s="366"/>
      <c r="U457" s="366"/>
      <c r="V457" s="366"/>
      <c r="W457" s="366"/>
      <c r="X457" s="366"/>
      <c r="Y457" s="366"/>
      <c r="Z457" s="366"/>
    </row>
    <row r="458" ht="91.5" customHeight="1">
      <c r="A458" s="436"/>
      <c r="B458" s="328"/>
      <c r="C458" s="328"/>
      <c r="D458" s="328"/>
      <c r="E458" s="326"/>
      <c r="F458" s="333"/>
      <c r="G458" s="333"/>
      <c r="H458" s="333"/>
      <c r="I458" s="333"/>
      <c r="J458" s="333"/>
      <c r="K458" s="328"/>
      <c r="L458" s="328"/>
      <c r="M458" s="341"/>
      <c r="N458" s="328"/>
      <c r="O458" s="436"/>
      <c r="P458" s="437"/>
      <c r="Q458" s="436"/>
      <c r="R458" s="436"/>
      <c r="S458" s="436"/>
      <c r="T458" s="366"/>
      <c r="U458" s="366"/>
      <c r="V458" s="366"/>
      <c r="W458" s="366"/>
      <c r="X458" s="366"/>
      <c r="Y458" s="366"/>
      <c r="Z458" s="366"/>
    </row>
    <row r="459" ht="91.5" customHeight="1">
      <c r="A459" s="436"/>
      <c r="B459" s="328"/>
      <c r="C459" s="328"/>
      <c r="D459" s="328"/>
      <c r="E459" s="326"/>
      <c r="F459" s="333"/>
      <c r="G459" s="333"/>
      <c r="H459" s="333"/>
      <c r="I459" s="333"/>
      <c r="J459" s="333"/>
      <c r="K459" s="328"/>
      <c r="L459" s="328"/>
      <c r="M459" s="341"/>
      <c r="N459" s="328"/>
      <c r="O459" s="436"/>
      <c r="P459" s="437"/>
      <c r="Q459" s="436"/>
      <c r="R459" s="436"/>
      <c r="S459" s="436"/>
      <c r="T459" s="366"/>
      <c r="U459" s="366"/>
      <c r="V459" s="366"/>
      <c r="W459" s="366"/>
      <c r="X459" s="366"/>
      <c r="Y459" s="366"/>
      <c r="Z459" s="366"/>
    </row>
    <row r="460" ht="91.5" customHeight="1">
      <c r="A460" s="436"/>
      <c r="B460" s="328"/>
      <c r="C460" s="328"/>
      <c r="D460" s="328"/>
      <c r="E460" s="326"/>
      <c r="F460" s="333"/>
      <c r="G460" s="333"/>
      <c r="H460" s="333"/>
      <c r="I460" s="333"/>
      <c r="J460" s="333"/>
      <c r="K460" s="328"/>
      <c r="L460" s="328"/>
      <c r="M460" s="341"/>
      <c r="N460" s="328"/>
      <c r="O460" s="436"/>
      <c r="P460" s="437"/>
      <c r="Q460" s="436"/>
      <c r="R460" s="436"/>
      <c r="S460" s="436"/>
      <c r="T460" s="366"/>
      <c r="U460" s="366"/>
      <c r="V460" s="366"/>
      <c r="W460" s="366"/>
      <c r="X460" s="366"/>
      <c r="Y460" s="366"/>
      <c r="Z460" s="366"/>
    </row>
    <row r="461" ht="91.5" customHeight="1">
      <c r="A461" s="436"/>
      <c r="B461" s="328"/>
      <c r="C461" s="328"/>
      <c r="D461" s="328"/>
      <c r="E461" s="326"/>
      <c r="F461" s="333"/>
      <c r="G461" s="333"/>
      <c r="H461" s="333"/>
      <c r="I461" s="333"/>
      <c r="J461" s="333"/>
      <c r="K461" s="328"/>
      <c r="L461" s="328"/>
      <c r="M461" s="341"/>
      <c r="N461" s="328"/>
      <c r="O461" s="436"/>
      <c r="P461" s="437"/>
      <c r="Q461" s="436"/>
      <c r="R461" s="436"/>
      <c r="S461" s="436"/>
      <c r="T461" s="366"/>
      <c r="U461" s="366"/>
      <c r="V461" s="366"/>
      <c r="W461" s="366"/>
      <c r="X461" s="366"/>
      <c r="Y461" s="366"/>
      <c r="Z461" s="366"/>
    </row>
    <row r="462" ht="91.5" customHeight="1">
      <c r="A462" s="436"/>
      <c r="B462" s="328"/>
      <c r="C462" s="328"/>
      <c r="D462" s="328"/>
      <c r="E462" s="326"/>
      <c r="F462" s="333"/>
      <c r="G462" s="333"/>
      <c r="H462" s="333"/>
      <c r="I462" s="333"/>
      <c r="J462" s="333"/>
      <c r="K462" s="328"/>
      <c r="L462" s="328"/>
      <c r="M462" s="341"/>
      <c r="N462" s="328"/>
      <c r="O462" s="436"/>
      <c r="P462" s="437"/>
      <c r="Q462" s="436"/>
      <c r="R462" s="436"/>
      <c r="S462" s="436"/>
      <c r="T462" s="366"/>
      <c r="U462" s="366"/>
      <c r="V462" s="366"/>
      <c r="W462" s="366"/>
      <c r="X462" s="366"/>
      <c r="Y462" s="366"/>
      <c r="Z462" s="366"/>
    </row>
    <row r="463" ht="91.5" customHeight="1">
      <c r="A463" s="436"/>
      <c r="B463" s="328"/>
      <c r="C463" s="328"/>
      <c r="D463" s="328"/>
      <c r="E463" s="326"/>
      <c r="F463" s="333"/>
      <c r="G463" s="333"/>
      <c r="H463" s="333"/>
      <c r="I463" s="333"/>
      <c r="J463" s="333"/>
      <c r="K463" s="328"/>
      <c r="L463" s="328"/>
      <c r="M463" s="341"/>
      <c r="N463" s="328"/>
      <c r="O463" s="436"/>
      <c r="P463" s="437"/>
      <c r="Q463" s="436"/>
      <c r="R463" s="436"/>
      <c r="S463" s="436"/>
      <c r="T463" s="366"/>
      <c r="U463" s="366"/>
      <c r="V463" s="366"/>
      <c r="W463" s="366"/>
      <c r="X463" s="366"/>
      <c r="Y463" s="366"/>
      <c r="Z463" s="366"/>
    </row>
    <row r="464" ht="91.5" customHeight="1">
      <c r="A464" s="436"/>
      <c r="B464" s="328"/>
      <c r="C464" s="328"/>
      <c r="D464" s="328"/>
      <c r="E464" s="326"/>
      <c r="F464" s="333"/>
      <c r="G464" s="333"/>
      <c r="H464" s="333"/>
      <c r="I464" s="333"/>
      <c r="J464" s="333"/>
      <c r="K464" s="328"/>
      <c r="L464" s="328"/>
      <c r="M464" s="341"/>
      <c r="N464" s="328"/>
      <c r="O464" s="436"/>
      <c r="P464" s="437"/>
      <c r="Q464" s="436"/>
      <c r="R464" s="436"/>
      <c r="S464" s="436"/>
      <c r="T464" s="366"/>
      <c r="U464" s="366"/>
      <c r="V464" s="366"/>
      <c r="W464" s="366"/>
      <c r="X464" s="366"/>
      <c r="Y464" s="366"/>
      <c r="Z464" s="366"/>
    </row>
    <row r="465" ht="91.5" customHeight="1">
      <c r="A465" s="436"/>
      <c r="B465" s="328"/>
      <c r="C465" s="328"/>
      <c r="D465" s="328"/>
      <c r="E465" s="326"/>
      <c r="F465" s="333"/>
      <c r="G465" s="333"/>
      <c r="H465" s="333"/>
      <c r="I465" s="333"/>
      <c r="J465" s="333"/>
      <c r="K465" s="328"/>
      <c r="L465" s="328"/>
      <c r="M465" s="341"/>
      <c r="N465" s="328"/>
      <c r="O465" s="436"/>
      <c r="P465" s="437"/>
      <c r="Q465" s="436"/>
      <c r="R465" s="436"/>
      <c r="S465" s="436"/>
      <c r="T465" s="366"/>
      <c r="U465" s="366"/>
      <c r="V465" s="366"/>
      <c r="W465" s="366"/>
      <c r="X465" s="366"/>
      <c r="Y465" s="366"/>
      <c r="Z465" s="366"/>
    </row>
    <row r="466" ht="91.5" customHeight="1">
      <c r="A466" s="436"/>
      <c r="B466" s="328"/>
      <c r="C466" s="328"/>
      <c r="D466" s="328"/>
      <c r="E466" s="326"/>
      <c r="F466" s="333"/>
      <c r="G466" s="333"/>
      <c r="H466" s="333"/>
      <c r="I466" s="333"/>
      <c r="J466" s="333"/>
      <c r="K466" s="328"/>
      <c r="L466" s="328"/>
      <c r="M466" s="341"/>
      <c r="N466" s="328"/>
      <c r="O466" s="436"/>
      <c r="P466" s="437"/>
      <c r="Q466" s="436"/>
      <c r="R466" s="436"/>
      <c r="S466" s="436"/>
      <c r="T466" s="366"/>
      <c r="U466" s="366"/>
      <c r="V466" s="366"/>
      <c r="W466" s="366"/>
      <c r="X466" s="366"/>
      <c r="Y466" s="366"/>
      <c r="Z466" s="366"/>
    </row>
    <row r="467" ht="91.5" customHeight="1">
      <c r="A467" s="436"/>
      <c r="B467" s="328"/>
      <c r="C467" s="328"/>
      <c r="D467" s="328"/>
      <c r="E467" s="326"/>
      <c r="F467" s="333"/>
      <c r="G467" s="333"/>
      <c r="H467" s="333"/>
      <c r="I467" s="333"/>
      <c r="J467" s="333"/>
      <c r="K467" s="328"/>
      <c r="L467" s="328"/>
      <c r="M467" s="341"/>
      <c r="N467" s="328"/>
      <c r="O467" s="436"/>
      <c r="P467" s="437"/>
      <c r="Q467" s="436"/>
      <c r="R467" s="436"/>
      <c r="S467" s="436"/>
      <c r="T467" s="366"/>
      <c r="U467" s="366"/>
      <c r="V467" s="366"/>
      <c r="W467" s="366"/>
      <c r="X467" s="366"/>
      <c r="Y467" s="366"/>
      <c r="Z467" s="366"/>
    </row>
    <row r="468" ht="91.5" customHeight="1">
      <c r="A468" s="436"/>
      <c r="B468" s="328"/>
      <c r="C468" s="328"/>
      <c r="D468" s="328"/>
      <c r="E468" s="326"/>
      <c r="F468" s="333"/>
      <c r="G468" s="333"/>
      <c r="H468" s="333"/>
      <c r="I468" s="333"/>
      <c r="J468" s="333"/>
      <c r="K468" s="328"/>
      <c r="L468" s="328"/>
      <c r="M468" s="341"/>
      <c r="N468" s="328"/>
      <c r="O468" s="436"/>
      <c r="P468" s="437"/>
      <c r="Q468" s="436"/>
      <c r="R468" s="436"/>
      <c r="S468" s="436"/>
      <c r="T468" s="366"/>
      <c r="U468" s="366"/>
      <c r="V468" s="366"/>
      <c r="W468" s="366"/>
      <c r="X468" s="366"/>
      <c r="Y468" s="366"/>
      <c r="Z468" s="366"/>
    </row>
    <row r="469" ht="91.5" customHeight="1">
      <c r="A469" s="436"/>
      <c r="B469" s="328"/>
      <c r="C469" s="328"/>
      <c r="D469" s="328"/>
      <c r="E469" s="326"/>
      <c r="F469" s="333"/>
      <c r="G469" s="333"/>
      <c r="H469" s="333"/>
      <c r="I469" s="333"/>
      <c r="J469" s="333"/>
      <c r="K469" s="328"/>
      <c r="L469" s="328"/>
      <c r="M469" s="341"/>
      <c r="N469" s="328"/>
      <c r="O469" s="436"/>
      <c r="P469" s="437"/>
      <c r="Q469" s="436"/>
      <c r="R469" s="436"/>
      <c r="S469" s="436"/>
      <c r="T469" s="366"/>
      <c r="U469" s="366"/>
      <c r="V469" s="366"/>
      <c r="W469" s="366"/>
      <c r="X469" s="366"/>
      <c r="Y469" s="366"/>
      <c r="Z469" s="366"/>
    </row>
    <row r="470" ht="91.5" customHeight="1">
      <c r="A470" s="436"/>
      <c r="B470" s="328"/>
      <c r="C470" s="328"/>
      <c r="D470" s="328"/>
      <c r="E470" s="326"/>
      <c r="F470" s="333"/>
      <c r="G470" s="333"/>
      <c r="H470" s="333"/>
      <c r="I470" s="333"/>
      <c r="J470" s="333"/>
      <c r="K470" s="328"/>
      <c r="L470" s="328"/>
      <c r="M470" s="341"/>
      <c r="N470" s="328"/>
      <c r="O470" s="436"/>
      <c r="P470" s="437"/>
      <c r="Q470" s="436"/>
      <c r="R470" s="436"/>
      <c r="S470" s="436"/>
      <c r="T470" s="366"/>
      <c r="U470" s="366"/>
      <c r="V470" s="366"/>
      <c r="W470" s="366"/>
      <c r="X470" s="366"/>
      <c r="Y470" s="366"/>
      <c r="Z470" s="366"/>
    </row>
    <row r="471" ht="91.5" customHeight="1">
      <c r="A471" s="436"/>
      <c r="B471" s="328"/>
      <c r="C471" s="328"/>
      <c r="D471" s="328"/>
      <c r="E471" s="326"/>
      <c r="F471" s="333"/>
      <c r="G471" s="333"/>
      <c r="H471" s="333"/>
      <c r="I471" s="333"/>
      <c r="J471" s="333"/>
      <c r="K471" s="328"/>
      <c r="L471" s="328"/>
      <c r="M471" s="341"/>
      <c r="N471" s="328"/>
      <c r="O471" s="436"/>
      <c r="P471" s="437"/>
      <c r="Q471" s="436"/>
      <c r="R471" s="436"/>
      <c r="S471" s="436"/>
      <c r="T471" s="366"/>
      <c r="U471" s="366"/>
      <c r="V471" s="366"/>
      <c r="W471" s="366"/>
      <c r="X471" s="366"/>
      <c r="Y471" s="366"/>
      <c r="Z471" s="366"/>
    </row>
    <row r="472" ht="91.5" customHeight="1">
      <c r="A472" s="436"/>
      <c r="B472" s="328"/>
      <c r="C472" s="328"/>
      <c r="D472" s="328"/>
      <c r="E472" s="326"/>
      <c r="F472" s="333"/>
      <c r="G472" s="333"/>
      <c r="H472" s="333"/>
      <c r="I472" s="333"/>
      <c r="J472" s="333"/>
      <c r="K472" s="328"/>
      <c r="L472" s="328"/>
      <c r="M472" s="341"/>
      <c r="N472" s="328"/>
      <c r="O472" s="436"/>
      <c r="P472" s="437"/>
      <c r="Q472" s="436"/>
      <c r="R472" s="436"/>
      <c r="S472" s="436"/>
      <c r="T472" s="366"/>
      <c r="U472" s="366"/>
      <c r="V472" s="366"/>
      <c r="W472" s="366"/>
      <c r="X472" s="366"/>
      <c r="Y472" s="366"/>
      <c r="Z472" s="366"/>
    </row>
    <row r="473" ht="91.5" customHeight="1">
      <c r="A473" s="436"/>
      <c r="B473" s="328"/>
      <c r="C473" s="328"/>
      <c r="D473" s="328"/>
      <c r="E473" s="326"/>
      <c r="F473" s="333"/>
      <c r="G473" s="333"/>
      <c r="H473" s="333"/>
      <c r="I473" s="333"/>
      <c r="J473" s="333"/>
      <c r="K473" s="328"/>
      <c r="L473" s="328"/>
      <c r="M473" s="341"/>
      <c r="N473" s="328"/>
      <c r="O473" s="436"/>
      <c r="P473" s="437"/>
      <c r="Q473" s="436"/>
      <c r="R473" s="436"/>
      <c r="S473" s="436"/>
      <c r="T473" s="366"/>
      <c r="U473" s="366"/>
      <c r="V473" s="366"/>
      <c r="W473" s="366"/>
      <c r="X473" s="366"/>
      <c r="Y473" s="366"/>
      <c r="Z473" s="366"/>
    </row>
    <row r="474" ht="91.5" customHeight="1">
      <c r="A474" s="436"/>
      <c r="B474" s="328"/>
      <c r="C474" s="328"/>
      <c r="D474" s="328"/>
      <c r="E474" s="326"/>
      <c r="F474" s="333"/>
      <c r="G474" s="333"/>
      <c r="H474" s="333"/>
      <c r="I474" s="333"/>
      <c r="J474" s="333"/>
      <c r="K474" s="328"/>
      <c r="L474" s="328"/>
      <c r="M474" s="341"/>
      <c r="N474" s="328"/>
      <c r="O474" s="436"/>
      <c r="P474" s="437"/>
      <c r="Q474" s="436"/>
      <c r="R474" s="436"/>
      <c r="S474" s="436"/>
      <c r="T474" s="366"/>
      <c r="U474" s="366"/>
      <c r="V474" s="366"/>
      <c r="W474" s="366"/>
      <c r="X474" s="366"/>
      <c r="Y474" s="366"/>
      <c r="Z474" s="366"/>
    </row>
    <row r="475" ht="91.5" customHeight="1">
      <c r="A475" s="436"/>
      <c r="B475" s="328"/>
      <c r="C475" s="328"/>
      <c r="D475" s="328"/>
      <c r="E475" s="326"/>
      <c r="F475" s="333"/>
      <c r="G475" s="333"/>
      <c r="H475" s="333"/>
      <c r="I475" s="333"/>
      <c r="J475" s="333"/>
      <c r="K475" s="328"/>
      <c r="L475" s="328"/>
      <c r="M475" s="341"/>
      <c r="N475" s="328"/>
      <c r="O475" s="436"/>
      <c r="P475" s="437"/>
      <c r="Q475" s="436"/>
      <c r="R475" s="436"/>
      <c r="S475" s="436"/>
      <c r="T475" s="366"/>
      <c r="U475" s="366"/>
      <c r="V475" s="366"/>
      <c r="W475" s="366"/>
      <c r="X475" s="366"/>
      <c r="Y475" s="366"/>
      <c r="Z475" s="366"/>
    </row>
    <row r="476" ht="91.5" customHeight="1">
      <c r="A476" s="436"/>
      <c r="B476" s="328"/>
      <c r="C476" s="328"/>
      <c r="D476" s="328"/>
      <c r="E476" s="326"/>
      <c r="F476" s="333"/>
      <c r="G476" s="333"/>
      <c r="H476" s="333"/>
      <c r="I476" s="333"/>
      <c r="J476" s="333"/>
      <c r="K476" s="328"/>
      <c r="L476" s="328"/>
      <c r="M476" s="341"/>
      <c r="N476" s="328"/>
      <c r="O476" s="436"/>
      <c r="P476" s="437"/>
      <c r="Q476" s="436"/>
      <c r="R476" s="436"/>
      <c r="S476" s="436"/>
      <c r="T476" s="366"/>
      <c r="U476" s="366"/>
      <c r="V476" s="366"/>
      <c r="W476" s="366"/>
      <c r="X476" s="366"/>
      <c r="Y476" s="366"/>
      <c r="Z476" s="366"/>
    </row>
    <row r="477" ht="91.5" customHeight="1">
      <c r="A477" s="436"/>
      <c r="B477" s="328"/>
      <c r="C477" s="328"/>
      <c r="D477" s="328"/>
      <c r="E477" s="326"/>
      <c r="F477" s="333"/>
      <c r="G477" s="333"/>
      <c r="H477" s="333"/>
      <c r="I477" s="333"/>
      <c r="J477" s="333"/>
      <c r="K477" s="328"/>
      <c r="L477" s="328"/>
      <c r="M477" s="341"/>
      <c r="N477" s="328"/>
      <c r="O477" s="436"/>
      <c r="P477" s="437"/>
      <c r="Q477" s="436"/>
      <c r="R477" s="436"/>
      <c r="S477" s="436"/>
      <c r="T477" s="366"/>
      <c r="U477" s="366"/>
      <c r="V477" s="366"/>
      <c r="W477" s="366"/>
      <c r="X477" s="366"/>
      <c r="Y477" s="366"/>
      <c r="Z477" s="366"/>
    </row>
    <row r="478" ht="91.5" customHeight="1">
      <c r="A478" s="436"/>
      <c r="B478" s="328"/>
      <c r="C478" s="328"/>
      <c r="D478" s="328"/>
      <c r="E478" s="326"/>
      <c r="F478" s="333"/>
      <c r="G478" s="333"/>
      <c r="H478" s="333"/>
      <c r="I478" s="333"/>
      <c r="J478" s="333"/>
      <c r="K478" s="328"/>
      <c r="L478" s="328"/>
      <c r="M478" s="341"/>
      <c r="N478" s="328"/>
      <c r="O478" s="436"/>
      <c r="P478" s="437"/>
      <c r="Q478" s="436"/>
      <c r="R478" s="436"/>
      <c r="S478" s="436"/>
      <c r="T478" s="366"/>
      <c r="U478" s="366"/>
      <c r="V478" s="366"/>
      <c r="W478" s="366"/>
      <c r="X478" s="366"/>
      <c r="Y478" s="366"/>
      <c r="Z478" s="366"/>
    </row>
    <row r="479" ht="91.5" customHeight="1">
      <c r="A479" s="436"/>
      <c r="B479" s="328"/>
      <c r="C479" s="328"/>
      <c r="D479" s="328"/>
      <c r="E479" s="326"/>
      <c r="F479" s="333"/>
      <c r="G479" s="333"/>
      <c r="H479" s="333"/>
      <c r="I479" s="333"/>
      <c r="J479" s="333"/>
      <c r="K479" s="328"/>
      <c r="L479" s="328"/>
      <c r="M479" s="341"/>
      <c r="N479" s="328"/>
      <c r="O479" s="436"/>
      <c r="P479" s="437"/>
      <c r="Q479" s="436"/>
      <c r="R479" s="436"/>
      <c r="S479" s="436"/>
      <c r="T479" s="366"/>
      <c r="U479" s="366"/>
      <c r="V479" s="366"/>
      <c r="W479" s="366"/>
      <c r="X479" s="366"/>
      <c r="Y479" s="366"/>
      <c r="Z479" s="366"/>
    </row>
    <row r="480" ht="91.5" customHeight="1">
      <c r="A480" s="436"/>
      <c r="B480" s="328"/>
      <c r="C480" s="328"/>
      <c r="D480" s="328"/>
      <c r="E480" s="326"/>
      <c r="F480" s="333"/>
      <c r="G480" s="333"/>
      <c r="H480" s="333"/>
      <c r="I480" s="333"/>
      <c r="J480" s="333"/>
      <c r="K480" s="328"/>
      <c r="L480" s="328"/>
      <c r="M480" s="341"/>
      <c r="N480" s="328"/>
      <c r="O480" s="436"/>
      <c r="P480" s="437"/>
      <c r="Q480" s="436"/>
      <c r="R480" s="436"/>
      <c r="S480" s="436"/>
      <c r="T480" s="366"/>
      <c r="U480" s="366"/>
      <c r="V480" s="366"/>
      <c r="W480" s="366"/>
      <c r="X480" s="366"/>
      <c r="Y480" s="366"/>
      <c r="Z480" s="366"/>
    </row>
    <row r="481" ht="91.5" customHeight="1">
      <c r="A481" s="436"/>
      <c r="B481" s="328"/>
      <c r="C481" s="328"/>
      <c r="D481" s="328"/>
      <c r="E481" s="326"/>
      <c r="F481" s="333"/>
      <c r="G481" s="333"/>
      <c r="H481" s="333"/>
      <c r="I481" s="333"/>
      <c r="J481" s="333"/>
      <c r="K481" s="328"/>
      <c r="L481" s="328"/>
      <c r="M481" s="341"/>
      <c r="N481" s="328"/>
      <c r="O481" s="436"/>
      <c r="P481" s="437"/>
      <c r="Q481" s="436"/>
      <c r="R481" s="436"/>
      <c r="S481" s="436"/>
      <c r="T481" s="366"/>
      <c r="U481" s="366"/>
      <c r="V481" s="366"/>
      <c r="W481" s="366"/>
      <c r="X481" s="366"/>
      <c r="Y481" s="366"/>
      <c r="Z481" s="366"/>
    </row>
    <row r="482" ht="91.5" customHeight="1">
      <c r="A482" s="436"/>
      <c r="B482" s="328"/>
      <c r="C482" s="328"/>
      <c r="D482" s="328"/>
      <c r="E482" s="326"/>
      <c r="F482" s="333"/>
      <c r="G482" s="333"/>
      <c r="H482" s="333"/>
      <c r="I482" s="333"/>
      <c r="J482" s="333"/>
      <c r="K482" s="328"/>
      <c r="L482" s="328"/>
      <c r="M482" s="341"/>
      <c r="N482" s="328"/>
      <c r="O482" s="436"/>
      <c r="P482" s="437"/>
      <c r="Q482" s="436"/>
      <c r="R482" s="436"/>
      <c r="S482" s="436"/>
      <c r="T482" s="366"/>
      <c r="U482" s="366"/>
      <c r="V482" s="366"/>
      <c r="W482" s="366"/>
      <c r="X482" s="366"/>
      <c r="Y482" s="366"/>
      <c r="Z482" s="366"/>
    </row>
    <row r="483" ht="91.5" customHeight="1">
      <c r="A483" s="436"/>
      <c r="B483" s="328"/>
      <c r="C483" s="328"/>
      <c r="D483" s="328"/>
      <c r="E483" s="326"/>
      <c r="F483" s="333"/>
      <c r="G483" s="333"/>
      <c r="H483" s="333"/>
      <c r="I483" s="333"/>
      <c r="J483" s="333"/>
      <c r="K483" s="328"/>
      <c r="L483" s="328"/>
      <c r="M483" s="341"/>
      <c r="N483" s="328"/>
      <c r="O483" s="436"/>
      <c r="P483" s="437"/>
      <c r="Q483" s="436"/>
      <c r="R483" s="436"/>
      <c r="S483" s="436"/>
      <c r="T483" s="366"/>
      <c r="U483" s="366"/>
      <c r="V483" s="366"/>
      <c r="W483" s="366"/>
      <c r="X483" s="366"/>
      <c r="Y483" s="366"/>
      <c r="Z483" s="366"/>
    </row>
    <row r="484" ht="91.5" customHeight="1">
      <c r="A484" s="436"/>
      <c r="B484" s="328"/>
      <c r="C484" s="328"/>
      <c r="D484" s="328"/>
      <c r="E484" s="326"/>
      <c r="F484" s="333"/>
      <c r="G484" s="333"/>
      <c r="H484" s="333"/>
      <c r="I484" s="333"/>
      <c r="J484" s="333"/>
      <c r="K484" s="328"/>
      <c r="L484" s="328"/>
      <c r="M484" s="341"/>
      <c r="N484" s="328"/>
      <c r="O484" s="436"/>
      <c r="P484" s="437"/>
      <c r="Q484" s="436"/>
      <c r="R484" s="436"/>
      <c r="S484" s="436"/>
      <c r="T484" s="366"/>
      <c r="U484" s="366"/>
      <c r="V484" s="366"/>
      <c r="W484" s="366"/>
      <c r="X484" s="366"/>
      <c r="Y484" s="366"/>
      <c r="Z484" s="366"/>
    </row>
    <row r="485" ht="91.5" customHeight="1">
      <c r="A485" s="436"/>
      <c r="B485" s="328"/>
      <c r="C485" s="328"/>
      <c r="D485" s="328"/>
      <c r="E485" s="326"/>
      <c r="F485" s="333"/>
      <c r="G485" s="333"/>
      <c r="H485" s="333"/>
      <c r="I485" s="333"/>
      <c r="J485" s="333"/>
      <c r="K485" s="328"/>
      <c r="L485" s="328"/>
      <c r="M485" s="341"/>
      <c r="N485" s="328"/>
      <c r="O485" s="436"/>
      <c r="P485" s="437"/>
      <c r="Q485" s="436"/>
      <c r="R485" s="436"/>
      <c r="S485" s="436"/>
      <c r="T485" s="366"/>
      <c r="U485" s="366"/>
      <c r="V485" s="366"/>
      <c r="W485" s="366"/>
      <c r="X485" s="366"/>
      <c r="Y485" s="366"/>
      <c r="Z485" s="366"/>
    </row>
    <row r="486" ht="91.5" customHeight="1">
      <c r="A486" s="436"/>
      <c r="B486" s="328"/>
      <c r="C486" s="328"/>
      <c r="D486" s="328"/>
      <c r="E486" s="326"/>
      <c r="F486" s="333"/>
      <c r="G486" s="333"/>
      <c r="H486" s="333"/>
      <c r="I486" s="333"/>
      <c r="J486" s="333"/>
      <c r="K486" s="328"/>
      <c r="L486" s="328"/>
      <c r="M486" s="341"/>
      <c r="N486" s="328"/>
      <c r="O486" s="436"/>
      <c r="P486" s="437"/>
      <c r="Q486" s="436"/>
      <c r="R486" s="436"/>
      <c r="S486" s="436"/>
      <c r="T486" s="366"/>
      <c r="U486" s="366"/>
      <c r="V486" s="366"/>
      <c r="W486" s="366"/>
      <c r="X486" s="366"/>
      <c r="Y486" s="366"/>
      <c r="Z486" s="366"/>
    </row>
    <row r="487" ht="91.5" customHeight="1">
      <c r="A487" s="436"/>
      <c r="B487" s="328"/>
      <c r="C487" s="328"/>
      <c r="D487" s="328"/>
      <c r="E487" s="326"/>
      <c r="F487" s="333"/>
      <c r="G487" s="333"/>
      <c r="H487" s="333"/>
      <c r="I487" s="333"/>
      <c r="J487" s="333"/>
      <c r="K487" s="328"/>
      <c r="L487" s="328"/>
      <c r="M487" s="341"/>
      <c r="N487" s="328"/>
      <c r="O487" s="436"/>
      <c r="P487" s="437"/>
      <c r="Q487" s="436"/>
      <c r="R487" s="436"/>
      <c r="S487" s="436"/>
      <c r="T487" s="366"/>
      <c r="U487" s="366"/>
      <c r="V487" s="366"/>
      <c r="W487" s="366"/>
      <c r="X487" s="366"/>
      <c r="Y487" s="366"/>
      <c r="Z487" s="366"/>
    </row>
    <row r="488" ht="91.5" customHeight="1">
      <c r="A488" s="436"/>
      <c r="B488" s="328"/>
      <c r="C488" s="328"/>
      <c r="D488" s="328"/>
      <c r="E488" s="326"/>
      <c r="F488" s="333"/>
      <c r="G488" s="333"/>
      <c r="H488" s="333"/>
      <c r="I488" s="333"/>
      <c r="J488" s="333"/>
      <c r="K488" s="328"/>
      <c r="L488" s="328"/>
      <c r="M488" s="341"/>
      <c r="N488" s="328"/>
      <c r="O488" s="436"/>
      <c r="P488" s="437"/>
      <c r="Q488" s="436"/>
      <c r="R488" s="436"/>
      <c r="S488" s="436"/>
      <c r="T488" s="366"/>
      <c r="U488" s="366"/>
      <c r="V488" s="366"/>
      <c r="W488" s="366"/>
      <c r="X488" s="366"/>
      <c r="Y488" s="366"/>
      <c r="Z488" s="366"/>
    </row>
    <row r="489" ht="91.5" customHeight="1">
      <c r="A489" s="436"/>
      <c r="B489" s="328"/>
      <c r="C489" s="328"/>
      <c r="D489" s="328"/>
      <c r="E489" s="326"/>
      <c r="F489" s="333"/>
      <c r="G489" s="333"/>
      <c r="H489" s="333"/>
      <c r="I489" s="333"/>
      <c r="J489" s="333"/>
      <c r="K489" s="328"/>
      <c r="L489" s="328"/>
      <c r="M489" s="341"/>
      <c r="N489" s="328"/>
      <c r="O489" s="436"/>
      <c r="P489" s="437"/>
      <c r="Q489" s="436"/>
      <c r="R489" s="436"/>
      <c r="S489" s="436"/>
      <c r="T489" s="366"/>
      <c r="U489" s="366"/>
      <c r="V489" s="366"/>
      <c r="W489" s="366"/>
      <c r="X489" s="366"/>
      <c r="Y489" s="366"/>
      <c r="Z489" s="366"/>
    </row>
    <row r="490" ht="91.5" customHeight="1">
      <c r="A490" s="436"/>
      <c r="B490" s="328"/>
      <c r="C490" s="328"/>
      <c r="D490" s="328"/>
      <c r="E490" s="326"/>
      <c r="F490" s="333"/>
      <c r="G490" s="333"/>
      <c r="H490" s="333"/>
      <c r="I490" s="333"/>
      <c r="J490" s="333"/>
      <c r="K490" s="328"/>
      <c r="L490" s="328"/>
      <c r="M490" s="341"/>
      <c r="N490" s="328"/>
      <c r="O490" s="436"/>
      <c r="P490" s="437"/>
      <c r="Q490" s="436"/>
      <c r="R490" s="436"/>
      <c r="S490" s="436"/>
      <c r="T490" s="366"/>
      <c r="U490" s="366"/>
      <c r="V490" s="366"/>
      <c r="W490" s="366"/>
      <c r="X490" s="366"/>
      <c r="Y490" s="366"/>
      <c r="Z490" s="366"/>
    </row>
    <row r="491" ht="91.5" customHeight="1">
      <c r="A491" s="436"/>
      <c r="B491" s="328"/>
      <c r="C491" s="328"/>
      <c r="D491" s="328"/>
      <c r="E491" s="326"/>
      <c r="F491" s="333"/>
      <c r="G491" s="333"/>
      <c r="H491" s="333"/>
      <c r="I491" s="333"/>
      <c r="J491" s="333"/>
      <c r="K491" s="328"/>
      <c r="L491" s="328"/>
      <c r="M491" s="341"/>
      <c r="N491" s="328"/>
      <c r="O491" s="436"/>
      <c r="P491" s="437"/>
      <c r="Q491" s="436"/>
      <c r="R491" s="436"/>
      <c r="S491" s="436"/>
      <c r="T491" s="366"/>
      <c r="U491" s="366"/>
      <c r="V491" s="366"/>
      <c r="W491" s="366"/>
      <c r="X491" s="366"/>
      <c r="Y491" s="366"/>
      <c r="Z491" s="366"/>
    </row>
    <row r="492" ht="91.5" customHeight="1">
      <c r="A492" s="436"/>
      <c r="B492" s="328"/>
      <c r="C492" s="328"/>
      <c r="D492" s="328"/>
      <c r="E492" s="326"/>
      <c r="F492" s="333"/>
      <c r="G492" s="333"/>
      <c r="H492" s="333"/>
      <c r="I492" s="333"/>
      <c r="J492" s="333"/>
      <c r="K492" s="328"/>
      <c r="L492" s="328"/>
      <c r="M492" s="341"/>
      <c r="N492" s="328"/>
      <c r="O492" s="436"/>
      <c r="P492" s="437"/>
      <c r="Q492" s="436"/>
      <c r="R492" s="436"/>
      <c r="S492" s="436"/>
      <c r="T492" s="366"/>
      <c r="U492" s="366"/>
      <c r="V492" s="366"/>
      <c r="W492" s="366"/>
      <c r="X492" s="366"/>
      <c r="Y492" s="366"/>
      <c r="Z492" s="366"/>
    </row>
    <row r="493" ht="91.5" customHeight="1">
      <c r="A493" s="436"/>
      <c r="B493" s="328"/>
      <c r="C493" s="328"/>
      <c r="D493" s="328"/>
      <c r="E493" s="326"/>
      <c r="F493" s="333"/>
      <c r="G493" s="333"/>
      <c r="H493" s="333"/>
      <c r="I493" s="333"/>
      <c r="J493" s="333"/>
      <c r="K493" s="328"/>
      <c r="L493" s="328"/>
      <c r="M493" s="341"/>
      <c r="N493" s="328"/>
      <c r="O493" s="436"/>
      <c r="P493" s="437"/>
      <c r="Q493" s="436"/>
      <c r="R493" s="436"/>
      <c r="S493" s="436"/>
      <c r="T493" s="366"/>
      <c r="U493" s="366"/>
      <c r="V493" s="366"/>
      <c r="W493" s="366"/>
      <c r="X493" s="366"/>
      <c r="Y493" s="366"/>
      <c r="Z493" s="366"/>
    </row>
    <row r="494" ht="91.5" customHeight="1">
      <c r="A494" s="436"/>
      <c r="B494" s="328"/>
      <c r="C494" s="328"/>
      <c r="D494" s="328"/>
      <c r="E494" s="326"/>
      <c r="F494" s="333"/>
      <c r="G494" s="333"/>
      <c r="H494" s="333"/>
      <c r="I494" s="333"/>
      <c r="J494" s="333"/>
      <c r="K494" s="328"/>
      <c r="L494" s="328"/>
      <c r="M494" s="341"/>
      <c r="N494" s="328"/>
      <c r="O494" s="436"/>
      <c r="P494" s="437"/>
      <c r="Q494" s="436"/>
      <c r="R494" s="436"/>
      <c r="S494" s="436"/>
      <c r="T494" s="366"/>
      <c r="U494" s="366"/>
      <c r="V494" s="366"/>
      <c r="W494" s="366"/>
      <c r="X494" s="366"/>
      <c r="Y494" s="366"/>
      <c r="Z494" s="366"/>
    </row>
    <row r="495" ht="91.5" customHeight="1">
      <c r="A495" s="436"/>
      <c r="B495" s="328"/>
      <c r="C495" s="328"/>
      <c r="D495" s="328"/>
      <c r="E495" s="326"/>
      <c r="F495" s="333"/>
      <c r="G495" s="333"/>
      <c r="H495" s="333"/>
      <c r="I495" s="333"/>
      <c r="J495" s="333"/>
      <c r="K495" s="328"/>
      <c r="L495" s="328"/>
      <c r="M495" s="341"/>
      <c r="N495" s="328"/>
      <c r="O495" s="436"/>
      <c r="P495" s="437"/>
      <c r="Q495" s="436"/>
      <c r="R495" s="436"/>
      <c r="S495" s="436"/>
      <c r="T495" s="366"/>
      <c r="U495" s="366"/>
      <c r="V495" s="366"/>
      <c r="W495" s="366"/>
      <c r="X495" s="366"/>
      <c r="Y495" s="366"/>
      <c r="Z495" s="366"/>
    </row>
    <row r="496" ht="91.5" customHeight="1">
      <c r="A496" s="436"/>
      <c r="B496" s="328"/>
      <c r="C496" s="328"/>
      <c r="D496" s="328"/>
      <c r="E496" s="326"/>
      <c r="F496" s="333"/>
      <c r="G496" s="333"/>
      <c r="H496" s="333"/>
      <c r="I496" s="333"/>
      <c r="J496" s="333"/>
      <c r="K496" s="328"/>
      <c r="L496" s="328"/>
      <c r="M496" s="341"/>
      <c r="N496" s="328"/>
      <c r="O496" s="436"/>
      <c r="P496" s="437"/>
      <c r="Q496" s="436"/>
      <c r="R496" s="436"/>
      <c r="S496" s="436"/>
      <c r="T496" s="366"/>
      <c r="U496" s="366"/>
      <c r="V496" s="366"/>
      <c r="W496" s="366"/>
      <c r="X496" s="366"/>
      <c r="Y496" s="366"/>
      <c r="Z496" s="366"/>
    </row>
    <row r="497" ht="91.5" customHeight="1">
      <c r="A497" s="436"/>
      <c r="B497" s="328"/>
      <c r="C497" s="328"/>
      <c r="D497" s="328"/>
      <c r="E497" s="326"/>
      <c r="F497" s="333"/>
      <c r="G497" s="333"/>
      <c r="H497" s="333"/>
      <c r="I497" s="333"/>
      <c r="J497" s="333"/>
      <c r="K497" s="328"/>
      <c r="L497" s="328"/>
      <c r="M497" s="341"/>
      <c r="N497" s="328"/>
      <c r="O497" s="436"/>
      <c r="P497" s="437"/>
      <c r="Q497" s="436"/>
      <c r="R497" s="436"/>
      <c r="S497" s="436"/>
      <c r="T497" s="366"/>
      <c r="U497" s="366"/>
      <c r="V497" s="366"/>
      <c r="W497" s="366"/>
      <c r="X497" s="366"/>
      <c r="Y497" s="366"/>
      <c r="Z497" s="366"/>
    </row>
    <row r="498" ht="91.5" customHeight="1">
      <c r="A498" s="436"/>
      <c r="B498" s="328"/>
      <c r="C498" s="328"/>
      <c r="D498" s="328"/>
      <c r="E498" s="326"/>
      <c r="F498" s="333"/>
      <c r="G498" s="333"/>
      <c r="H498" s="333"/>
      <c r="I498" s="333"/>
      <c r="J498" s="333"/>
      <c r="K498" s="328"/>
      <c r="L498" s="328"/>
      <c r="M498" s="341"/>
      <c r="N498" s="328"/>
      <c r="O498" s="436"/>
      <c r="P498" s="437"/>
      <c r="Q498" s="436"/>
      <c r="R498" s="436"/>
      <c r="S498" s="436"/>
      <c r="T498" s="366"/>
      <c r="U498" s="366"/>
      <c r="V498" s="366"/>
      <c r="W498" s="366"/>
      <c r="X498" s="366"/>
      <c r="Y498" s="366"/>
      <c r="Z498" s="366"/>
    </row>
    <row r="499" ht="91.5" customHeight="1">
      <c r="A499" s="436"/>
      <c r="B499" s="328"/>
      <c r="C499" s="328"/>
      <c r="D499" s="328"/>
      <c r="E499" s="326"/>
      <c r="F499" s="333"/>
      <c r="G499" s="333"/>
      <c r="H499" s="333"/>
      <c r="I499" s="333"/>
      <c r="J499" s="333"/>
      <c r="K499" s="328"/>
      <c r="L499" s="328"/>
      <c r="M499" s="341"/>
      <c r="N499" s="328"/>
      <c r="O499" s="436"/>
      <c r="P499" s="437"/>
      <c r="Q499" s="436"/>
      <c r="R499" s="436"/>
      <c r="S499" s="436"/>
      <c r="T499" s="366"/>
      <c r="U499" s="366"/>
      <c r="V499" s="366"/>
      <c r="W499" s="366"/>
      <c r="X499" s="366"/>
      <c r="Y499" s="366"/>
      <c r="Z499" s="366"/>
    </row>
    <row r="500" ht="91.5" customHeight="1">
      <c r="A500" s="436"/>
      <c r="B500" s="328"/>
      <c r="C500" s="328"/>
      <c r="D500" s="328"/>
      <c r="E500" s="326"/>
      <c r="F500" s="333"/>
      <c r="G500" s="333"/>
      <c r="H500" s="333"/>
      <c r="I500" s="333"/>
      <c r="J500" s="333"/>
      <c r="K500" s="328"/>
      <c r="L500" s="328"/>
      <c r="M500" s="341"/>
      <c r="N500" s="328"/>
      <c r="O500" s="436"/>
      <c r="P500" s="437"/>
      <c r="Q500" s="436"/>
      <c r="R500" s="436"/>
      <c r="S500" s="436"/>
      <c r="T500" s="366"/>
      <c r="U500" s="366"/>
      <c r="V500" s="366"/>
      <c r="W500" s="366"/>
      <c r="X500" s="366"/>
      <c r="Y500" s="366"/>
      <c r="Z500" s="366"/>
    </row>
    <row r="501" ht="91.5" customHeight="1">
      <c r="A501" s="436"/>
      <c r="B501" s="328"/>
      <c r="C501" s="328"/>
      <c r="D501" s="328"/>
      <c r="E501" s="326"/>
      <c r="F501" s="333"/>
      <c r="G501" s="333"/>
      <c r="H501" s="333"/>
      <c r="I501" s="333"/>
      <c r="J501" s="333"/>
      <c r="K501" s="328"/>
      <c r="L501" s="328"/>
      <c r="M501" s="341"/>
      <c r="N501" s="328"/>
      <c r="O501" s="436"/>
      <c r="P501" s="437"/>
      <c r="Q501" s="436"/>
      <c r="R501" s="436"/>
      <c r="S501" s="436"/>
      <c r="T501" s="366"/>
      <c r="U501" s="366"/>
      <c r="V501" s="366"/>
      <c r="W501" s="366"/>
      <c r="X501" s="366"/>
      <c r="Y501" s="366"/>
      <c r="Z501" s="366"/>
    </row>
    <row r="502" ht="91.5" customHeight="1">
      <c r="A502" s="436"/>
      <c r="B502" s="328"/>
      <c r="C502" s="328"/>
      <c r="D502" s="328"/>
      <c r="E502" s="326"/>
      <c r="F502" s="333"/>
      <c r="G502" s="333"/>
      <c r="H502" s="333"/>
      <c r="I502" s="333"/>
      <c r="J502" s="333"/>
      <c r="K502" s="328"/>
      <c r="L502" s="328"/>
      <c r="M502" s="341"/>
      <c r="N502" s="328"/>
      <c r="O502" s="436"/>
      <c r="P502" s="437"/>
      <c r="Q502" s="436"/>
      <c r="R502" s="436"/>
      <c r="S502" s="436"/>
      <c r="T502" s="366"/>
      <c r="U502" s="366"/>
      <c r="V502" s="366"/>
      <c r="W502" s="366"/>
      <c r="X502" s="366"/>
      <c r="Y502" s="366"/>
      <c r="Z502" s="366"/>
    </row>
    <row r="503" ht="91.5" customHeight="1">
      <c r="A503" s="436"/>
      <c r="B503" s="328"/>
      <c r="C503" s="328"/>
      <c r="D503" s="328"/>
      <c r="E503" s="326"/>
      <c r="F503" s="333"/>
      <c r="G503" s="333"/>
      <c r="H503" s="333"/>
      <c r="I503" s="333"/>
      <c r="J503" s="333"/>
      <c r="K503" s="328"/>
      <c r="L503" s="328"/>
      <c r="M503" s="341"/>
      <c r="N503" s="328"/>
      <c r="O503" s="436"/>
      <c r="P503" s="437"/>
      <c r="Q503" s="436"/>
      <c r="R503" s="436"/>
      <c r="S503" s="436"/>
      <c r="T503" s="366"/>
      <c r="U503" s="366"/>
      <c r="V503" s="366"/>
      <c r="W503" s="366"/>
      <c r="X503" s="366"/>
      <c r="Y503" s="366"/>
      <c r="Z503" s="366"/>
    </row>
    <row r="504" ht="91.5" customHeight="1">
      <c r="A504" s="436"/>
      <c r="B504" s="328"/>
      <c r="C504" s="328"/>
      <c r="D504" s="328"/>
      <c r="E504" s="326"/>
      <c r="F504" s="333"/>
      <c r="G504" s="333"/>
      <c r="H504" s="333"/>
      <c r="I504" s="333"/>
      <c r="J504" s="333"/>
      <c r="K504" s="328"/>
      <c r="L504" s="328"/>
      <c r="M504" s="341"/>
      <c r="N504" s="328"/>
      <c r="O504" s="436"/>
      <c r="P504" s="437"/>
      <c r="Q504" s="436"/>
      <c r="R504" s="436"/>
      <c r="S504" s="436"/>
      <c r="T504" s="366"/>
      <c r="U504" s="366"/>
      <c r="V504" s="366"/>
      <c r="W504" s="366"/>
      <c r="X504" s="366"/>
      <c r="Y504" s="366"/>
      <c r="Z504" s="366"/>
    </row>
    <row r="505" ht="91.5" customHeight="1">
      <c r="A505" s="436"/>
      <c r="B505" s="328"/>
      <c r="C505" s="328"/>
      <c r="D505" s="328"/>
      <c r="E505" s="326"/>
      <c r="F505" s="333"/>
      <c r="G505" s="333"/>
      <c r="H505" s="333"/>
      <c r="I505" s="333"/>
      <c r="J505" s="333"/>
      <c r="K505" s="328"/>
      <c r="L505" s="328"/>
      <c r="M505" s="341"/>
      <c r="N505" s="328"/>
      <c r="O505" s="436"/>
      <c r="P505" s="437"/>
      <c r="Q505" s="436"/>
      <c r="R505" s="436"/>
      <c r="S505" s="436"/>
      <c r="T505" s="366"/>
      <c r="U505" s="366"/>
      <c r="V505" s="366"/>
      <c r="W505" s="366"/>
      <c r="X505" s="366"/>
      <c r="Y505" s="366"/>
      <c r="Z505" s="366"/>
    </row>
    <row r="506" ht="91.5" customHeight="1">
      <c r="A506" s="436"/>
      <c r="B506" s="328"/>
      <c r="C506" s="328"/>
      <c r="D506" s="328"/>
      <c r="E506" s="326"/>
      <c r="F506" s="333"/>
      <c r="G506" s="333"/>
      <c r="H506" s="333"/>
      <c r="I506" s="333"/>
      <c r="J506" s="333"/>
      <c r="K506" s="328"/>
      <c r="L506" s="328"/>
      <c r="M506" s="341"/>
      <c r="N506" s="328"/>
      <c r="O506" s="436"/>
      <c r="P506" s="437"/>
      <c r="Q506" s="436"/>
      <c r="R506" s="436"/>
      <c r="S506" s="436"/>
      <c r="T506" s="366"/>
      <c r="U506" s="366"/>
      <c r="V506" s="366"/>
      <c r="W506" s="366"/>
      <c r="X506" s="366"/>
      <c r="Y506" s="366"/>
      <c r="Z506" s="366"/>
    </row>
    <row r="507" ht="91.5" customHeight="1">
      <c r="A507" s="436"/>
      <c r="B507" s="328"/>
      <c r="C507" s="328"/>
      <c r="D507" s="328"/>
      <c r="E507" s="326"/>
      <c r="F507" s="333"/>
      <c r="G507" s="333"/>
      <c r="H507" s="333"/>
      <c r="I507" s="333"/>
      <c r="J507" s="333"/>
      <c r="K507" s="328"/>
      <c r="L507" s="328"/>
      <c r="M507" s="341"/>
      <c r="N507" s="328"/>
      <c r="O507" s="436"/>
      <c r="P507" s="437"/>
      <c r="Q507" s="436"/>
      <c r="R507" s="436"/>
      <c r="S507" s="436"/>
      <c r="T507" s="366"/>
      <c r="U507" s="366"/>
      <c r="V507" s="366"/>
      <c r="W507" s="366"/>
      <c r="X507" s="366"/>
      <c r="Y507" s="366"/>
      <c r="Z507" s="366"/>
    </row>
    <row r="508" ht="91.5" customHeight="1">
      <c r="A508" s="436"/>
      <c r="B508" s="328"/>
      <c r="C508" s="328"/>
      <c r="D508" s="328"/>
      <c r="E508" s="326"/>
      <c r="F508" s="333"/>
      <c r="G508" s="333"/>
      <c r="H508" s="333"/>
      <c r="I508" s="333"/>
      <c r="J508" s="333"/>
      <c r="K508" s="328"/>
      <c r="L508" s="328"/>
      <c r="M508" s="341"/>
      <c r="N508" s="328"/>
      <c r="O508" s="436"/>
      <c r="P508" s="437"/>
      <c r="Q508" s="436"/>
      <c r="R508" s="436"/>
      <c r="S508" s="436"/>
      <c r="T508" s="366"/>
      <c r="U508" s="366"/>
      <c r="V508" s="366"/>
      <c r="W508" s="366"/>
      <c r="X508" s="366"/>
      <c r="Y508" s="366"/>
      <c r="Z508" s="366"/>
    </row>
    <row r="509" ht="91.5" customHeight="1">
      <c r="A509" s="436"/>
      <c r="B509" s="328"/>
      <c r="C509" s="328"/>
      <c r="D509" s="328"/>
      <c r="E509" s="326"/>
      <c r="F509" s="333"/>
      <c r="G509" s="333"/>
      <c r="H509" s="333"/>
      <c r="I509" s="333"/>
      <c r="J509" s="333"/>
      <c r="K509" s="328"/>
      <c r="L509" s="328"/>
      <c r="M509" s="341"/>
      <c r="N509" s="328"/>
      <c r="O509" s="436"/>
      <c r="P509" s="437"/>
      <c r="Q509" s="436"/>
      <c r="R509" s="436"/>
      <c r="S509" s="436"/>
      <c r="T509" s="366"/>
      <c r="U509" s="366"/>
      <c r="V509" s="366"/>
      <c r="W509" s="366"/>
      <c r="X509" s="366"/>
      <c r="Y509" s="366"/>
      <c r="Z509" s="366"/>
    </row>
    <row r="510" ht="91.5" customHeight="1">
      <c r="A510" s="436"/>
      <c r="B510" s="328"/>
      <c r="C510" s="328"/>
      <c r="D510" s="328"/>
      <c r="E510" s="326"/>
      <c r="F510" s="333"/>
      <c r="G510" s="333"/>
      <c r="H510" s="333"/>
      <c r="I510" s="333"/>
      <c r="J510" s="333"/>
      <c r="K510" s="328"/>
      <c r="L510" s="328"/>
      <c r="M510" s="341"/>
      <c r="N510" s="328"/>
      <c r="O510" s="436"/>
      <c r="P510" s="437"/>
      <c r="Q510" s="436"/>
      <c r="R510" s="436"/>
      <c r="S510" s="436"/>
      <c r="T510" s="366"/>
      <c r="U510" s="366"/>
      <c r="V510" s="366"/>
      <c r="W510" s="366"/>
      <c r="X510" s="366"/>
      <c r="Y510" s="366"/>
      <c r="Z510" s="366"/>
    </row>
    <row r="511" ht="91.5" customHeight="1">
      <c r="A511" s="436"/>
      <c r="B511" s="328"/>
      <c r="C511" s="328"/>
      <c r="D511" s="328"/>
      <c r="E511" s="326"/>
      <c r="F511" s="333"/>
      <c r="G511" s="333"/>
      <c r="H511" s="333"/>
      <c r="I511" s="333"/>
      <c r="J511" s="333"/>
      <c r="K511" s="328"/>
      <c r="L511" s="328"/>
      <c r="M511" s="341"/>
      <c r="N511" s="328"/>
      <c r="O511" s="436"/>
      <c r="P511" s="437"/>
      <c r="Q511" s="436"/>
      <c r="R511" s="436"/>
      <c r="S511" s="436"/>
      <c r="T511" s="366"/>
      <c r="U511" s="366"/>
      <c r="V511" s="366"/>
      <c r="W511" s="366"/>
      <c r="X511" s="366"/>
      <c r="Y511" s="366"/>
      <c r="Z511" s="366"/>
    </row>
    <row r="512" ht="91.5" customHeight="1">
      <c r="A512" s="436"/>
      <c r="B512" s="328"/>
      <c r="C512" s="328"/>
      <c r="D512" s="328"/>
      <c r="E512" s="326"/>
      <c r="F512" s="333"/>
      <c r="G512" s="333"/>
      <c r="H512" s="333"/>
      <c r="I512" s="333"/>
      <c r="J512" s="333"/>
      <c r="K512" s="328"/>
      <c r="L512" s="328"/>
      <c r="M512" s="341"/>
      <c r="N512" s="328"/>
      <c r="O512" s="436"/>
      <c r="P512" s="437"/>
      <c r="Q512" s="436"/>
      <c r="R512" s="436"/>
      <c r="S512" s="436"/>
      <c r="T512" s="366"/>
      <c r="U512" s="366"/>
      <c r="V512" s="366"/>
      <c r="W512" s="366"/>
      <c r="X512" s="366"/>
      <c r="Y512" s="366"/>
      <c r="Z512" s="366"/>
    </row>
    <row r="513" ht="91.5" customHeight="1">
      <c r="A513" s="436"/>
      <c r="B513" s="328"/>
      <c r="C513" s="328"/>
      <c r="D513" s="328"/>
      <c r="E513" s="326"/>
      <c r="F513" s="333"/>
      <c r="G513" s="333"/>
      <c r="H513" s="333"/>
      <c r="I513" s="333"/>
      <c r="J513" s="333"/>
      <c r="K513" s="328"/>
      <c r="L513" s="328"/>
      <c r="M513" s="341"/>
      <c r="N513" s="328"/>
      <c r="O513" s="436"/>
      <c r="P513" s="437"/>
      <c r="Q513" s="436"/>
      <c r="R513" s="436"/>
      <c r="S513" s="436"/>
      <c r="T513" s="366"/>
      <c r="U513" s="366"/>
      <c r="V513" s="366"/>
      <c r="W513" s="366"/>
      <c r="X513" s="366"/>
      <c r="Y513" s="366"/>
      <c r="Z513" s="366"/>
    </row>
    <row r="514" ht="91.5" customHeight="1">
      <c r="A514" s="436"/>
      <c r="B514" s="328"/>
      <c r="C514" s="328"/>
      <c r="D514" s="328"/>
      <c r="E514" s="326"/>
      <c r="F514" s="333"/>
      <c r="G514" s="333"/>
      <c r="H514" s="333"/>
      <c r="I514" s="333"/>
      <c r="J514" s="333"/>
      <c r="K514" s="328"/>
      <c r="L514" s="328"/>
      <c r="M514" s="341"/>
      <c r="N514" s="328"/>
      <c r="O514" s="436"/>
      <c r="P514" s="437"/>
      <c r="Q514" s="436"/>
      <c r="R514" s="436"/>
      <c r="S514" s="436"/>
      <c r="T514" s="366"/>
      <c r="U514" s="366"/>
      <c r="V514" s="366"/>
      <c r="W514" s="366"/>
      <c r="X514" s="366"/>
      <c r="Y514" s="366"/>
      <c r="Z514" s="366"/>
    </row>
    <row r="515" ht="91.5" customHeight="1">
      <c r="A515" s="436"/>
      <c r="B515" s="328"/>
      <c r="C515" s="328"/>
      <c r="D515" s="328"/>
      <c r="E515" s="326"/>
      <c r="F515" s="333"/>
      <c r="G515" s="333"/>
      <c r="H515" s="333"/>
      <c r="I515" s="333"/>
      <c r="J515" s="333"/>
      <c r="K515" s="328"/>
      <c r="L515" s="328"/>
      <c r="M515" s="341"/>
      <c r="N515" s="328"/>
      <c r="O515" s="436"/>
      <c r="P515" s="437"/>
      <c r="Q515" s="436"/>
      <c r="R515" s="436"/>
      <c r="S515" s="436"/>
      <c r="T515" s="366"/>
      <c r="U515" s="366"/>
      <c r="V515" s="366"/>
      <c r="W515" s="366"/>
      <c r="X515" s="366"/>
      <c r="Y515" s="366"/>
      <c r="Z515" s="366"/>
    </row>
    <row r="516" ht="91.5" customHeight="1">
      <c r="A516" s="436"/>
      <c r="B516" s="328"/>
      <c r="C516" s="328"/>
      <c r="D516" s="328"/>
      <c r="E516" s="326"/>
      <c r="F516" s="333"/>
      <c r="G516" s="333"/>
      <c r="H516" s="333"/>
      <c r="I516" s="333"/>
      <c r="J516" s="333"/>
      <c r="K516" s="328"/>
      <c r="L516" s="328"/>
      <c r="M516" s="341"/>
      <c r="N516" s="328"/>
      <c r="O516" s="436"/>
      <c r="P516" s="437"/>
      <c r="Q516" s="436"/>
      <c r="R516" s="436"/>
      <c r="S516" s="436"/>
      <c r="T516" s="366"/>
      <c r="U516" s="366"/>
      <c r="V516" s="366"/>
      <c r="W516" s="366"/>
      <c r="X516" s="366"/>
      <c r="Y516" s="366"/>
      <c r="Z516" s="366"/>
    </row>
    <row r="517" ht="91.5" customHeight="1">
      <c r="A517" s="436"/>
      <c r="B517" s="328"/>
      <c r="C517" s="328"/>
      <c r="D517" s="328"/>
      <c r="E517" s="326"/>
      <c r="F517" s="333"/>
      <c r="G517" s="333"/>
      <c r="H517" s="333"/>
      <c r="I517" s="333"/>
      <c r="J517" s="333"/>
      <c r="K517" s="328"/>
      <c r="L517" s="328"/>
      <c r="M517" s="341"/>
      <c r="N517" s="328"/>
      <c r="O517" s="436"/>
      <c r="P517" s="437"/>
      <c r="Q517" s="436"/>
      <c r="R517" s="436"/>
      <c r="S517" s="436"/>
      <c r="T517" s="366"/>
      <c r="U517" s="366"/>
      <c r="V517" s="366"/>
      <c r="W517" s="366"/>
      <c r="X517" s="366"/>
      <c r="Y517" s="366"/>
      <c r="Z517" s="366"/>
    </row>
    <row r="518" ht="91.5" customHeight="1">
      <c r="A518" s="436"/>
      <c r="B518" s="328"/>
      <c r="C518" s="328"/>
      <c r="D518" s="328"/>
      <c r="E518" s="326"/>
      <c r="F518" s="333"/>
      <c r="G518" s="333"/>
      <c r="H518" s="333"/>
      <c r="I518" s="333"/>
      <c r="J518" s="333"/>
      <c r="K518" s="328"/>
      <c r="L518" s="328"/>
      <c r="M518" s="341"/>
      <c r="N518" s="328"/>
      <c r="O518" s="436"/>
      <c r="P518" s="437"/>
      <c r="Q518" s="436"/>
      <c r="R518" s="436"/>
      <c r="S518" s="436"/>
      <c r="T518" s="366"/>
      <c r="U518" s="366"/>
      <c r="V518" s="366"/>
      <c r="W518" s="366"/>
      <c r="X518" s="366"/>
      <c r="Y518" s="366"/>
      <c r="Z518" s="366"/>
    </row>
    <row r="519" ht="91.5" customHeight="1">
      <c r="A519" s="436"/>
      <c r="B519" s="328"/>
      <c r="C519" s="328"/>
      <c r="D519" s="328"/>
      <c r="E519" s="326"/>
      <c r="F519" s="333"/>
      <c r="G519" s="333"/>
      <c r="H519" s="333"/>
      <c r="I519" s="333"/>
      <c r="J519" s="333"/>
      <c r="K519" s="328"/>
      <c r="L519" s="328"/>
      <c r="M519" s="341"/>
      <c r="N519" s="328"/>
      <c r="O519" s="436"/>
      <c r="P519" s="437"/>
      <c r="Q519" s="436"/>
      <c r="R519" s="436"/>
      <c r="S519" s="436"/>
      <c r="T519" s="366"/>
      <c r="U519" s="366"/>
      <c r="V519" s="366"/>
      <c r="W519" s="366"/>
      <c r="X519" s="366"/>
      <c r="Y519" s="366"/>
      <c r="Z519" s="366"/>
    </row>
    <row r="520" ht="91.5" customHeight="1">
      <c r="A520" s="436"/>
      <c r="B520" s="328"/>
      <c r="C520" s="328"/>
      <c r="D520" s="328"/>
      <c r="E520" s="326"/>
      <c r="F520" s="333"/>
      <c r="G520" s="333"/>
      <c r="H520" s="333"/>
      <c r="I520" s="333"/>
      <c r="J520" s="333"/>
      <c r="K520" s="328"/>
      <c r="L520" s="328"/>
      <c r="M520" s="341"/>
      <c r="N520" s="328"/>
      <c r="O520" s="436"/>
      <c r="P520" s="437"/>
      <c r="Q520" s="436"/>
      <c r="R520" s="436"/>
      <c r="S520" s="436"/>
      <c r="T520" s="366"/>
      <c r="U520" s="366"/>
      <c r="V520" s="366"/>
      <c r="W520" s="366"/>
      <c r="X520" s="366"/>
      <c r="Y520" s="366"/>
      <c r="Z520" s="366"/>
    </row>
    <row r="521" ht="91.5" customHeight="1">
      <c r="A521" s="436"/>
      <c r="B521" s="328"/>
      <c r="C521" s="328"/>
      <c r="D521" s="328"/>
      <c r="E521" s="326"/>
      <c r="F521" s="333"/>
      <c r="G521" s="333"/>
      <c r="H521" s="333"/>
      <c r="I521" s="333"/>
      <c r="J521" s="333"/>
      <c r="K521" s="328"/>
      <c r="L521" s="328"/>
      <c r="M521" s="341"/>
      <c r="N521" s="328"/>
      <c r="O521" s="436"/>
      <c r="P521" s="437"/>
      <c r="Q521" s="436"/>
      <c r="R521" s="436"/>
      <c r="S521" s="436"/>
      <c r="T521" s="366"/>
      <c r="U521" s="366"/>
      <c r="V521" s="366"/>
      <c r="W521" s="366"/>
      <c r="X521" s="366"/>
      <c r="Y521" s="366"/>
      <c r="Z521" s="366"/>
    </row>
    <row r="522" ht="91.5" customHeight="1">
      <c r="A522" s="436"/>
      <c r="B522" s="328"/>
      <c r="C522" s="328"/>
      <c r="D522" s="328"/>
      <c r="E522" s="326"/>
      <c r="F522" s="333"/>
      <c r="G522" s="333"/>
      <c r="H522" s="333"/>
      <c r="I522" s="333"/>
      <c r="J522" s="333"/>
      <c r="K522" s="328"/>
      <c r="L522" s="328"/>
      <c r="M522" s="341"/>
      <c r="N522" s="328"/>
      <c r="O522" s="436"/>
      <c r="P522" s="437"/>
      <c r="Q522" s="436"/>
      <c r="R522" s="436"/>
      <c r="S522" s="436"/>
      <c r="T522" s="366"/>
      <c r="U522" s="366"/>
      <c r="V522" s="366"/>
      <c r="W522" s="366"/>
      <c r="X522" s="366"/>
      <c r="Y522" s="366"/>
      <c r="Z522" s="366"/>
    </row>
    <row r="523" ht="91.5" customHeight="1">
      <c r="A523" s="436"/>
      <c r="B523" s="328"/>
      <c r="C523" s="328"/>
      <c r="D523" s="328"/>
      <c r="E523" s="326"/>
      <c r="F523" s="333"/>
      <c r="G523" s="333"/>
      <c r="H523" s="333"/>
      <c r="I523" s="333"/>
      <c r="J523" s="333"/>
      <c r="K523" s="328"/>
      <c r="L523" s="328"/>
      <c r="M523" s="341"/>
      <c r="N523" s="328"/>
      <c r="O523" s="436"/>
      <c r="P523" s="437"/>
      <c r="Q523" s="436"/>
      <c r="R523" s="436"/>
      <c r="S523" s="436"/>
      <c r="T523" s="366"/>
      <c r="U523" s="366"/>
      <c r="V523" s="366"/>
      <c r="W523" s="366"/>
      <c r="X523" s="366"/>
      <c r="Y523" s="366"/>
      <c r="Z523" s="366"/>
    </row>
    <row r="524" ht="91.5" customHeight="1">
      <c r="A524" s="436"/>
      <c r="B524" s="328"/>
      <c r="C524" s="328"/>
      <c r="D524" s="328"/>
      <c r="E524" s="326"/>
      <c r="F524" s="333"/>
      <c r="G524" s="333"/>
      <c r="H524" s="333"/>
      <c r="I524" s="333"/>
      <c r="J524" s="333"/>
      <c r="K524" s="328"/>
      <c r="L524" s="328"/>
      <c r="M524" s="341"/>
      <c r="N524" s="328"/>
      <c r="O524" s="436"/>
      <c r="P524" s="437"/>
      <c r="Q524" s="436"/>
      <c r="R524" s="436"/>
      <c r="S524" s="436"/>
      <c r="T524" s="366"/>
      <c r="U524" s="366"/>
      <c r="V524" s="366"/>
      <c r="W524" s="366"/>
      <c r="X524" s="366"/>
      <c r="Y524" s="366"/>
      <c r="Z524" s="366"/>
    </row>
    <row r="525" ht="91.5" customHeight="1">
      <c r="A525" s="436"/>
      <c r="B525" s="328"/>
      <c r="C525" s="328"/>
      <c r="D525" s="328"/>
      <c r="E525" s="326"/>
      <c r="F525" s="333"/>
      <c r="G525" s="333"/>
      <c r="H525" s="333"/>
      <c r="I525" s="333"/>
      <c r="J525" s="333"/>
      <c r="K525" s="328"/>
      <c r="L525" s="328"/>
      <c r="M525" s="341"/>
      <c r="N525" s="328"/>
      <c r="O525" s="436"/>
      <c r="P525" s="437"/>
      <c r="Q525" s="436"/>
      <c r="R525" s="436"/>
      <c r="S525" s="436"/>
      <c r="T525" s="366"/>
      <c r="U525" s="366"/>
      <c r="V525" s="366"/>
      <c r="W525" s="366"/>
      <c r="X525" s="366"/>
      <c r="Y525" s="366"/>
      <c r="Z525" s="366"/>
    </row>
    <row r="526" ht="91.5" customHeight="1">
      <c r="A526" s="436"/>
      <c r="B526" s="328"/>
      <c r="C526" s="328"/>
      <c r="D526" s="328"/>
      <c r="E526" s="326"/>
      <c r="F526" s="333"/>
      <c r="G526" s="333"/>
      <c r="H526" s="333"/>
      <c r="I526" s="333"/>
      <c r="J526" s="333"/>
      <c r="K526" s="328"/>
      <c r="L526" s="328"/>
      <c r="M526" s="341"/>
      <c r="N526" s="328"/>
      <c r="O526" s="436"/>
      <c r="P526" s="437"/>
      <c r="Q526" s="436"/>
      <c r="R526" s="436"/>
      <c r="S526" s="436"/>
      <c r="T526" s="366"/>
      <c r="U526" s="366"/>
      <c r="V526" s="366"/>
      <c r="W526" s="366"/>
      <c r="X526" s="366"/>
      <c r="Y526" s="366"/>
      <c r="Z526" s="366"/>
    </row>
    <row r="527" ht="91.5" customHeight="1">
      <c r="A527" s="436"/>
      <c r="B527" s="328"/>
      <c r="C527" s="328"/>
      <c r="D527" s="328"/>
      <c r="E527" s="326"/>
      <c r="F527" s="333"/>
      <c r="G527" s="333"/>
      <c r="H527" s="333"/>
      <c r="I527" s="333"/>
      <c r="J527" s="333"/>
      <c r="K527" s="328"/>
      <c r="L527" s="328"/>
      <c r="M527" s="341"/>
      <c r="N527" s="328"/>
      <c r="O527" s="436"/>
      <c r="P527" s="437"/>
      <c r="Q527" s="436"/>
      <c r="R527" s="436"/>
      <c r="S527" s="436"/>
      <c r="T527" s="366"/>
      <c r="U527" s="366"/>
      <c r="V527" s="366"/>
      <c r="W527" s="366"/>
      <c r="X527" s="366"/>
      <c r="Y527" s="366"/>
      <c r="Z527" s="366"/>
    </row>
    <row r="528" ht="91.5" customHeight="1">
      <c r="A528" s="436"/>
      <c r="B528" s="328"/>
      <c r="C528" s="328"/>
      <c r="D528" s="328"/>
      <c r="E528" s="326"/>
      <c r="F528" s="333"/>
      <c r="G528" s="333"/>
      <c r="H528" s="333"/>
      <c r="I528" s="333"/>
      <c r="J528" s="333"/>
      <c r="K528" s="328"/>
      <c r="L528" s="328"/>
      <c r="M528" s="341"/>
      <c r="N528" s="328"/>
      <c r="O528" s="436"/>
      <c r="P528" s="437"/>
      <c r="Q528" s="436"/>
      <c r="R528" s="436"/>
      <c r="S528" s="436"/>
      <c r="T528" s="366"/>
      <c r="U528" s="366"/>
      <c r="V528" s="366"/>
      <c r="W528" s="366"/>
      <c r="X528" s="366"/>
      <c r="Y528" s="366"/>
      <c r="Z528" s="366"/>
    </row>
    <row r="529" ht="91.5" customHeight="1">
      <c r="A529" s="436"/>
      <c r="B529" s="328"/>
      <c r="C529" s="328"/>
      <c r="D529" s="328"/>
      <c r="E529" s="326"/>
      <c r="F529" s="333"/>
      <c r="G529" s="333"/>
      <c r="H529" s="333"/>
      <c r="I529" s="333"/>
      <c r="J529" s="333"/>
      <c r="K529" s="328"/>
      <c r="L529" s="328"/>
      <c r="M529" s="341"/>
      <c r="N529" s="328"/>
      <c r="O529" s="436"/>
      <c r="P529" s="437"/>
      <c r="Q529" s="436"/>
      <c r="R529" s="436"/>
      <c r="S529" s="436"/>
      <c r="T529" s="366"/>
      <c r="U529" s="366"/>
      <c r="V529" s="366"/>
      <c r="W529" s="366"/>
      <c r="X529" s="366"/>
      <c r="Y529" s="366"/>
      <c r="Z529" s="366"/>
    </row>
    <row r="530" ht="91.5" customHeight="1">
      <c r="A530" s="436"/>
      <c r="B530" s="328"/>
      <c r="C530" s="328"/>
      <c r="D530" s="328"/>
      <c r="E530" s="326"/>
      <c r="F530" s="333"/>
      <c r="G530" s="333"/>
      <c r="H530" s="333"/>
      <c r="I530" s="333"/>
      <c r="J530" s="333"/>
      <c r="K530" s="328"/>
      <c r="L530" s="328"/>
      <c r="M530" s="341"/>
      <c r="N530" s="328"/>
      <c r="O530" s="436"/>
      <c r="P530" s="437"/>
      <c r="Q530" s="436"/>
      <c r="R530" s="436"/>
      <c r="S530" s="436"/>
      <c r="T530" s="366"/>
      <c r="U530" s="366"/>
      <c r="V530" s="366"/>
      <c r="W530" s="366"/>
      <c r="X530" s="366"/>
      <c r="Y530" s="366"/>
      <c r="Z530" s="366"/>
    </row>
    <row r="531" ht="91.5" customHeight="1">
      <c r="A531" s="436"/>
      <c r="B531" s="328"/>
      <c r="C531" s="328"/>
      <c r="D531" s="328"/>
      <c r="E531" s="326"/>
      <c r="F531" s="333"/>
      <c r="G531" s="333"/>
      <c r="H531" s="333"/>
      <c r="I531" s="333"/>
      <c r="J531" s="333"/>
      <c r="K531" s="328"/>
      <c r="L531" s="328"/>
      <c r="M531" s="341"/>
      <c r="N531" s="328"/>
      <c r="O531" s="436"/>
      <c r="P531" s="437"/>
      <c r="Q531" s="436"/>
      <c r="R531" s="436"/>
      <c r="S531" s="436"/>
      <c r="T531" s="366"/>
      <c r="U531" s="366"/>
      <c r="V531" s="366"/>
      <c r="W531" s="366"/>
      <c r="X531" s="366"/>
      <c r="Y531" s="366"/>
      <c r="Z531" s="366"/>
    </row>
    <row r="532" ht="91.5" customHeight="1">
      <c r="A532" s="436"/>
      <c r="B532" s="328"/>
      <c r="C532" s="328"/>
      <c r="D532" s="328"/>
      <c r="E532" s="326"/>
      <c r="F532" s="333"/>
      <c r="G532" s="333"/>
      <c r="H532" s="333"/>
      <c r="I532" s="333"/>
      <c r="J532" s="333"/>
      <c r="K532" s="328"/>
      <c r="L532" s="328"/>
      <c r="M532" s="341"/>
      <c r="N532" s="328"/>
      <c r="O532" s="436"/>
      <c r="P532" s="437"/>
      <c r="Q532" s="436"/>
      <c r="R532" s="436"/>
      <c r="S532" s="436"/>
      <c r="T532" s="366"/>
      <c r="U532" s="366"/>
      <c r="V532" s="366"/>
      <c r="W532" s="366"/>
      <c r="X532" s="366"/>
      <c r="Y532" s="366"/>
      <c r="Z532" s="366"/>
    </row>
    <row r="533" ht="91.5" customHeight="1">
      <c r="A533" s="436"/>
      <c r="B533" s="328"/>
      <c r="C533" s="328"/>
      <c r="D533" s="328"/>
      <c r="E533" s="326"/>
      <c r="F533" s="333"/>
      <c r="G533" s="333"/>
      <c r="H533" s="333"/>
      <c r="I533" s="333"/>
      <c r="J533" s="333"/>
      <c r="K533" s="328"/>
      <c r="L533" s="328"/>
      <c r="M533" s="341"/>
      <c r="N533" s="328"/>
      <c r="O533" s="436"/>
      <c r="P533" s="437"/>
      <c r="Q533" s="436"/>
      <c r="R533" s="436"/>
      <c r="S533" s="436"/>
      <c r="T533" s="366"/>
      <c r="U533" s="366"/>
      <c r="V533" s="366"/>
      <c r="W533" s="366"/>
      <c r="X533" s="366"/>
      <c r="Y533" s="366"/>
      <c r="Z533" s="366"/>
    </row>
    <row r="534" ht="91.5" customHeight="1">
      <c r="A534" s="436"/>
      <c r="B534" s="328"/>
      <c r="C534" s="328"/>
      <c r="D534" s="328"/>
      <c r="E534" s="326"/>
      <c r="F534" s="333"/>
      <c r="G534" s="333"/>
      <c r="H534" s="333"/>
      <c r="I534" s="333"/>
      <c r="J534" s="333"/>
      <c r="K534" s="328"/>
      <c r="L534" s="328"/>
      <c r="M534" s="341"/>
      <c r="N534" s="328"/>
      <c r="O534" s="436"/>
      <c r="P534" s="437"/>
      <c r="Q534" s="436"/>
      <c r="R534" s="436"/>
      <c r="S534" s="436"/>
      <c r="T534" s="366"/>
      <c r="U534" s="366"/>
      <c r="V534" s="366"/>
      <c r="W534" s="366"/>
      <c r="X534" s="366"/>
      <c r="Y534" s="366"/>
      <c r="Z534" s="366"/>
    </row>
    <row r="535" ht="91.5" customHeight="1">
      <c r="A535" s="436"/>
      <c r="B535" s="328"/>
      <c r="C535" s="328"/>
      <c r="D535" s="328"/>
      <c r="E535" s="326"/>
      <c r="F535" s="333"/>
      <c r="G535" s="333"/>
      <c r="H535" s="333"/>
      <c r="I535" s="333"/>
      <c r="J535" s="333"/>
      <c r="K535" s="328"/>
      <c r="L535" s="328"/>
      <c r="M535" s="341"/>
      <c r="N535" s="328"/>
      <c r="O535" s="436"/>
      <c r="P535" s="437"/>
      <c r="Q535" s="436"/>
      <c r="R535" s="436"/>
      <c r="S535" s="436"/>
      <c r="T535" s="366"/>
      <c r="U535" s="366"/>
      <c r="V535" s="366"/>
      <c r="W535" s="366"/>
      <c r="X535" s="366"/>
      <c r="Y535" s="366"/>
      <c r="Z535" s="366"/>
    </row>
    <row r="536" ht="91.5" customHeight="1">
      <c r="A536" s="436"/>
      <c r="B536" s="328"/>
      <c r="C536" s="328"/>
      <c r="D536" s="328"/>
      <c r="E536" s="326"/>
      <c r="F536" s="333"/>
      <c r="G536" s="333"/>
      <c r="H536" s="333"/>
      <c r="I536" s="333"/>
      <c r="J536" s="333"/>
      <c r="K536" s="328"/>
      <c r="L536" s="328"/>
      <c r="M536" s="341"/>
      <c r="N536" s="328"/>
      <c r="O536" s="436"/>
      <c r="P536" s="437"/>
      <c r="Q536" s="436"/>
      <c r="R536" s="436"/>
      <c r="S536" s="436"/>
      <c r="T536" s="366"/>
      <c r="U536" s="366"/>
      <c r="V536" s="366"/>
      <c r="W536" s="366"/>
      <c r="X536" s="366"/>
      <c r="Y536" s="366"/>
      <c r="Z536" s="366"/>
    </row>
    <row r="537" ht="91.5" customHeight="1">
      <c r="A537" s="436"/>
      <c r="B537" s="328"/>
      <c r="C537" s="328"/>
      <c r="D537" s="328"/>
      <c r="E537" s="326"/>
      <c r="F537" s="333"/>
      <c r="G537" s="333"/>
      <c r="H537" s="333"/>
      <c r="I537" s="333"/>
      <c r="J537" s="333"/>
      <c r="K537" s="328"/>
      <c r="L537" s="328"/>
      <c r="M537" s="341"/>
      <c r="N537" s="328"/>
      <c r="O537" s="436"/>
      <c r="P537" s="437"/>
      <c r="Q537" s="436"/>
      <c r="R537" s="436"/>
      <c r="S537" s="436"/>
      <c r="T537" s="366"/>
      <c r="U537" s="366"/>
      <c r="V537" s="366"/>
      <c r="W537" s="366"/>
      <c r="X537" s="366"/>
      <c r="Y537" s="366"/>
      <c r="Z537" s="366"/>
    </row>
    <row r="538" ht="91.5" customHeight="1">
      <c r="A538" s="436"/>
      <c r="B538" s="328"/>
      <c r="C538" s="328"/>
      <c r="D538" s="328"/>
      <c r="E538" s="326"/>
      <c r="F538" s="333"/>
      <c r="G538" s="333"/>
      <c r="H538" s="333"/>
      <c r="I538" s="333"/>
      <c r="J538" s="333"/>
      <c r="K538" s="328"/>
      <c r="L538" s="328"/>
      <c r="M538" s="341"/>
      <c r="N538" s="328"/>
      <c r="O538" s="436"/>
      <c r="P538" s="437"/>
      <c r="Q538" s="436"/>
      <c r="R538" s="436"/>
      <c r="S538" s="436"/>
      <c r="T538" s="366"/>
      <c r="U538" s="366"/>
      <c r="V538" s="366"/>
      <c r="W538" s="366"/>
      <c r="X538" s="366"/>
      <c r="Y538" s="366"/>
      <c r="Z538" s="366"/>
    </row>
    <row r="539" ht="91.5" customHeight="1">
      <c r="A539" s="436"/>
      <c r="B539" s="328"/>
      <c r="C539" s="328"/>
      <c r="D539" s="328"/>
      <c r="E539" s="326"/>
      <c r="F539" s="333"/>
      <c r="G539" s="333"/>
      <c r="H539" s="333"/>
      <c r="I539" s="333"/>
      <c r="J539" s="333"/>
      <c r="K539" s="328"/>
      <c r="L539" s="328"/>
      <c r="M539" s="341"/>
      <c r="N539" s="328"/>
      <c r="O539" s="436"/>
      <c r="P539" s="437"/>
      <c r="Q539" s="436"/>
      <c r="R539" s="436"/>
      <c r="S539" s="436"/>
      <c r="T539" s="366"/>
      <c r="U539" s="366"/>
      <c r="V539" s="366"/>
      <c r="W539" s="366"/>
      <c r="X539" s="366"/>
      <c r="Y539" s="366"/>
      <c r="Z539" s="366"/>
    </row>
    <row r="540" ht="91.5" customHeight="1">
      <c r="A540" s="436"/>
      <c r="B540" s="328"/>
      <c r="C540" s="328"/>
      <c r="D540" s="328"/>
      <c r="E540" s="326"/>
      <c r="F540" s="333"/>
      <c r="G540" s="333"/>
      <c r="H540" s="333"/>
      <c r="I540" s="333"/>
      <c r="J540" s="333"/>
      <c r="K540" s="328"/>
      <c r="L540" s="328"/>
      <c r="M540" s="341"/>
      <c r="N540" s="328"/>
      <c r="O540" s="436"/>
      <c r="P540" s="437"/>
      <c r="Q540" s="436"/>
      <c r="R540" s="436"/>
      <c r="S540" s="436"/>
      <c r="T540" s="366"/>
      <c r="U540" s="366"/>
      <c r="V540" s="366"/>
      <c r="W540" s="366"/>
      <c r="X540" s="366"/>
      <c r="Y540" s="366"/>
      <c r="Z540" s="366"/>
    </row>
    <row r="541" ht="91.5" customHeight="1">
      <c r="A541" s="436"/>
      <c r="B541" s="328"/>
      <c r="C541" s="328"/>
      <c r="D541" s="328"/>
      <c r="E541" s="326"/>
      <c r="F541" s="333"/>
      <c r="G541" s="333"/>
      <c r="H541" s="333"/>
      <c r="I541" s="333"/>
      <c r="J541" s="333"/>
      <c r="K541" s="328"/>
      <c r="L541" s="328"/>
      <c r="M541" s="341"/>
      <c r="N541" s="328"/>
      <c r="O541" s="436"/>
      <c r="P541" s="437"/>
      <c r="Q541" s="436"/>
      <c r="R541" s="436"/>
      <c r="S541" s="436"/>
      <c r="T541" s="366"/>
      <c r="U541" s="366"/>
      <c r="V541" s="366"/>
      <c r="W541" s="366"/>
      <c r="X541" s="366"/>
      <c r="Y541" s="366"/>
      <c r="Z541" s="366"/>
    </row>
    <row r="542" ht="91.5" customHeight="1">
      <c r="A542" s="436"/>
      <c r="B542" s="328"/>
      <c r="C542" s="328"/>
      <c r="D542" s="328"/>
      <c r="E542" s="326"/>
      <c r="F542" s="333"/>
      <c r="G542" s="333"/>
      <c r="H542" s="333"/>
      <c r="I542" s="333"/>
      <c r="J542" s="333"/>
      <c r="K542" s="328"/>
      <c r="L542" s="328"/>
      <c r="M542" s="341"/>
      <c r="N542" s="328"/>
      <c r="O542" s="436"/>
      <c r="P542" s="437"/>
      <c r="Q542" s="436"/>
      <c r="R542" s="436"/>
      <c r="S542" s="436"/>
      <c r="T542" s="366"/>
      <c r="U542" s="366"/>
      <c r="V542" s="366"/>
      <c r="W542" s="366"/>
      <c r="X542" s="366"/>
      <c r="Y542" s="366"/>
      <c r="Z542" s="366"/>
    </row>
    <row r="543" ht="91.5" customHeight="1">
      <c r="A543" s="436"/>
      <c r="B543" s="328"/>
      <c r="C543" s="328"/>
      <c r="D543" s="328"/>
      <c r="E543" s="326"/>
      <c r="F543" s="333"/>
      <c r="G543" s="333"/>
      <c r="H543" s="333"/>
      <c r="I543" s="333"/>
      <c r="J543" s="333"/>
      <c r="K543" s="328"/>
      <c r="L543" s="328"/>
      <c r="M543" s="341"/>
      <c r="N543" s="328"/>
      <c r="O543" s="436"/>
      <c r="P543" s="437"/>
      <c r="Q543" s="436"/>
      <c r="R543" s="436"/>
      <c r="S543" s="436"/>
      <c r="T543" s="366"/>
      <c r="U543" s="366"/>
      <c r="V543" s="366"/>
      <c r="W543" s="366"/>
      <c r="X543" s="366"/>
      <c r="Y543" s="366"/>
      <c r="Z543" s="366"/>
    </row>
    <row r="544" ht="91.5" customHeight="1">
      <c r="A544" s="436"/>
      <c r="B544" s="328"/>
      <c r="C544" s="328"/>
      <c r="D544" s="328"/>
      <c r="E544" s="326"/>
      <c r="F544" s="333"/>
      <c r="G544" s="333"/>
      <c r="H544" s="333"/>
      <c r="I544" s="333"/>
      <c r="J544" s="333"/>
      <c r="K544" s="328"/>
      <c r="L544" s="328"/>
      <c r="M544" s="341"/>
      <c r="N544" s="328"/>
      <c r="O544" s="436"/>
      <c r="P544" s="437"/>
      <c r="Q544" s="436"/>
      <c r="R544" s="436"/>
      <c r="S544" s="436"/>
      <c r="T544" s="366"/>
      <c r="U544" s="366"/>
      <c r="V544" s="366"/>
      <c r="W544" s="366"/>
      <c r="X544" s="366"/>
      <c r="Y544" s="366"/>
      <c r="Z544" s="366"/>
    </row>
    <row r="545" ht="91.5" customHeight="1">
      <c r="A545" s="436"/>
      <c r="B545" s="328"/>
      <c r="C545" s="328"/>
      <c r="D545" s="328"/>
      <c r="E545" s="326"/>
      <c r="F545" s="333"/>
      <c r="G545" s="333"/>
      <c r="H545" s="333"/>
      <c r="I545" s="333"/>
      <c r="J545" s="333"/>
      <c r="K545" s="328"/>
      <c r="L545" s="328"/>
      <c r="M545" s="341"/>
      <c r="N545" s="328"/>
      <c r="O545" s="436"/>
      <c r="P545" s="437"/>
      <c r="Q545" s="436"/>
      <c r="R545" s="436"/>
      <c r="S545" s="436"/>
      <c r="T545" s="366"/>
      <c r="U545" s="366"/>
      <c r="V545" s="366"/>
      <c r="W545" s="366"/>
      <c r="X545" s="366"/>
      <c r="Y545" s="366"/>
      <c r="Z545" s="366"/>
    </row>
    <row r="546" ht="91.5" customHeight="1">
      <c r="A546" s="436"/>
      <c r="B546" s="328"/>
      <c r="C546" s="328"/>
      <c r="D546" s="328"/>
      <c r="E546" s="326"/>
      <c r="F546" s="333"/>
      <c r="G546" s="333"/>
      <c r="H546" s="333"/>
      <c r="I546" s="333"/>
      <c r="J546" s="333"/>
      <c r="K546" s="328"/>
      <c r="L546" s="328"/>
      <c r="M546" s="341"/>
      <c r="N546" s="328"/>
      <c r="O546" s="436"/>
      <c r="P546" s="437"/>
      <c r="Q546" s="436"/>
      <c r="R546" s="436"/>
      <c r="S546" s="436"/>
      <c r="T546" s="366"/>
      <c r="U546" s="366"/>
      <c r="V546" s="366"/>
      <c r="W546" s="366"/>
      <c r="X546" s="366"/>
      <c r="Y546" s="366"/>
      <c r="Z546" s="366"/>
    </row>
    <row r="547" ht="91.5" customHeight="1">
      <c r="A547" s="436"/>
      <c r="B547" s="328"/>
      <c r="C547" s="328"/>
      <c r="D547" s="328"/>
      <c r="E547" s="326"/>
      <c r="F547" s="333"/>
      <c r="G547" s="333"/>
      <c r="H547" s="333"/>
      <c r="I547" s="333"/>
      <c r="J547" s="333"/>
      <c r="K547" s="328"/>
      <c r="L547" s="328"/>
      <c r="M547" s="341"/>
      <c r="N547" s="328"/>
      <c r="O547" s="436"/>
      <c r="P547" s="437"/>
      <c r="Q547" s="436"/>
      <c r="R547" s="436"/>
      <c r="S547" s="436"/>
      <c r="T547" s="366"/>
      <c r="U547" s="366"/>
      <c r="V547" s="366"/>
      <c r="W547" s="366"/>
      <c r="X547" s="366"/>
      <c r="Y547" s="366"/>
      <c r="Z547" s="366"/>
    </row>
    <row r="548" ht="91.5" customHeight="1">
      <c r="A548" s="436"/>
      <c r="B548" s="328"/>
      <c r="C548" s="328"/>
      <c r="D548" s="328"/>
      <c r="E548" s="326"/>
      <c r="F548" s="333"/>
      <c r="G548" s="333"/>
      <c r="H548" s="333"/>
      <c r="I548" s="333"/>
      <c r="J548" s="333"/>
      <c r="K548" s="328"/>
      <c r="L548" s="328"/>
      <c r="M548" s="341"/>
      <c r="N548" s="328"/>
      <c r="O548" s="436"/>
      <c r="P548" s="437"/>
      <c r="Q548" s="436"/>
      <c r="R548" s="436"/>
      <c r="S548" s="436"/>
      <c r="T548" s="366"/>
      <c r="U548" s="366"/>
      <c r="V548" s="366"/>
      <c r="W548" s="366"/>
      <c r="X548" s="366"/>
      <c r="Y548" s="366"/>
      <c r="Z548" s="366"/>
    </row>
    <row r="549" ht="91.5" customHeight="1">
      <c r="A549" s="436"/>
      <c r="B549" s="328"/>
      <c r="C549" s="328"/>
      <c r="D549" s="328"/>
      <c r="E549" s="326"/>
      <c r="F549" s="333"/>
      <c r="G549" s="333"/>
      <c r="H549" s="333"/>
      <c r="I549" s="333"/>
      <c r="J549" s="333"/>
      <c r="K549" s="328"/>
      <c r="L549" s="328"/>
      <c r="M549" s="341"/>
      <c r="N549" s="328"/>
      <c r="O549" s="436"/>
      <c r="P549" s="437"/>
      <c r="Q549" s="436"/>
      <c r="R549" s="436"/>
      <c r="S549" s="436"/>
      <c r="T549" s="366"/>
      <c r="U549" s="366"/>
      <c r="V549" s="366"/>
      <c r="W549" s="366"/>
      <c r="X549" s="366"/>
      <c r="Y549" s="366"/>
      <c r="Z549" s="366"/>
    </row>
    <row r="550" ht="91.5" customHeight="1">
      <c r="A550" s="436"/>
      <c r="B550" s="328"/>
      <c r="C550" s="328"/>
      <c r="D550" s="328"/>
      <c r="E550" s="326"/>
      <c r="F550" s="333"/>
      <c r="G550" s="333"/>
      <c r="H550" s="333"/>
      <c r="I550" s="333"/>
      <c r="J550" s="333"/>
      <c r="K550" s="328"/>
      <c r="L550" s="328"/>
      <c r="M550" s="341"/>
      <c r="N550" s="328"/>
      <c r="O550" s="436"/>
      <c r="P550" s="437"/>
      <c r="Q550" s="436"/>
      <c r="R550" s="436"/>
      <c r="S550" s="436"/>
      <c r="T550" s="366"/>
      <c r="U550" s="366"/>
      <c r="V550" s="366"/>
      <c r="W550" s="366"/>
      <c r="X550" s="366"/>
      <c r="Y550" s="366"/>
      <c r="Z550" s="366"/>
    </row>
    <row r="551" ht="91.5" customHeight="1">
      <c r="A551" s="436"/>
      <c r="B551" s="328"/>
      <c r="C551" s="328"/>
      <c r="D551" s="328"/>
      <c r="E551" s="326"/>
      <c r="F551" s="333"/>
      <c r="G551" s="333"/>
      <c r="H551" s="333"/>
      <c r="I551" s="333"/>
      <c r="J551" s="333"/>
      <c r="K551" s="328"/>
      <c r="L551" s="328"/>
      <c r="M551" s="341"/>
      <c r="N551" s="328"/>
      <c r="O551" s="436"/>
      <c r="P551" s="437"/>
      <c r="Q551" s="436"/>
      <c r="R551" s="436"/>
      <c r="S551" s="436"/>
      <c r="T551" s="366"/>
      <c r="U551" s="366"/>
      <c r="V551" s="366"/>
      <c r="W551" s="366"/>
      <c r="X551" s="366"/>
      <c r="Y551" s="366"/>
      <c r="Z551" s="366"/>
    </row>
    <row r="552" ht="91.5" customHeight="1">
      <c r="A552" s="436"/>
      <c r="B552" s="328"/>
      <c r="C552" s="328"/>
      <c r="D552" s="328"/>
      <c r="E552" s="326"/>
      <c r="F552" s="333"/>
      <c r="G552" s="333"/>
      <c r="H552" s="333"/>
      <c r="I552" s="333"/>
      <c r="J552" s="333"/>
      <c r="K552" s="328"/>
      <c r="L552" s="328"/>
      <c r="M552" s="341"/>
      <c r="N552" s="328"/>
      <c r="O552" s="436"/>
      <c r="P552" s="437"/>
      <c r="Q552" s="436"/>
      <c r="R552" s="436"/>
      <c r="S552" s="436"/>
      <c r="T552" s="366"/>
      <c r="U552" s="366"/>
      <c r="V552" s="366"/>
      <c r="W552" s="366"/>
      <c r="X552" s="366"/>
      <c r="Y552" s="366"/>
      <c r="Z552" s="366"/>
    </row>
    <row r="553" ht="91.5" customHeight="1">
      <c r="A553" s="436"/>
      <c r="B553" s="328"/>
      <c r="C553" s="328"/>
      <c r="D553" s="328"/>
      <c r="E553" s="326"/>
      <c r="F553" s="333"/>
      <c r="G553" s="333"/>
      <c r="H553" s="333"/>
      <c r="I553" s="333"/>
      <c r="J553" s="333"/>
      <c r="K553" s="328"/>
      <c r="L553" s="328"/>
      <c r="M553" s="341"/>
      <c r="N553" s="328"/>
      <c r="O553" s="436"/>
      <c r="P553" s="437"/>
      <c r="Q553" s="436"/>
      <c r="R553" s="436"/>
      <c r="S553" s="436"/>
      <c r="T553" s="366"/>
      <c r="U553" s="366"/>
      <c r="V553" s="366"/>
      <c r="W553" s="366"/>
      <c r="X553" s="366"/>
      <c r="Y553" s="366"/>
      <c r="Z553" s="366"/>
    </row>
    <row r="554" ht="91.5" customHeight="1">
      <c r="A554" s="436"/>
      <c r="B554" s="328"/>
      <c r="C554" s="328"/>
      <c r="D554" s="328"/>
      <c r="E554" s="326"/>
      <c r="F554" s="333"/>
      <c r="G554" s="333"/>
      <c r="H554" s="333"/>
      <c r="I554" s="333"/>
      <c r="J554" s="333"/>
      <c r="K554" s="328"/>
      <c r="L554" s="328"/>
      <c r="M554" s="341"/>
      <c r="N554" s="328"/>
      <c r="O554" s="436"/>
      <c r="P554" s="437"/>
      <c r="Q554" s="436"/>
      <c r="R554" s="436"/>
      <c r="S554" s="436"/>
      <c r="T554" s="366"/>
      <c r="U554" s="366"/>
      <c r="V554" s="366"/>
      <c r="W554" s="366"/>
      <c r="X554" s="366"/>
      <c r="Y554" s="366"/>
      <c r="Z554" s="366"/>
    </row>
    <row r="555" ht="91.5" customHeight="1">
      <c r="A555" s="436"/>
      <c r="B555" s="328"/>
      <c r="C555" s="328"/>
      <c r="D555" s="328"/>
      <c r="E555" s="326"/>
      <c r="F555" s="333"/>
      <c r="G555" s="333"/>
      <c r="H555" s="333"/>
      <c r="I555" s="333"/>
      <c r="J555" s="333"/>
      <c r="K555" s="328"/>
      <c r="L555" s="328"/>
      <c r="M555" s="341"/>
      <c r="N555" s="328"/>
      <c r="O555" s="436"/>
      <c r="P555" s="437"/>
      <c r="Q555" s="436"/>
      <c r="R555" s="436"/>
      <c r="S555" s="436"/>
      <c r="T555" s="366"/>
      <c r="U555" s="366"/>
      <c r="V555" s="366"/>
      <c r="W555" s="366"/>
      <c r="X555" s="366"/>
      <c r="Y555" s="366"/>
      <c r="Z555" s="366"/>
    </row>
    <row r="556" ht="91.5" customHeight="1">
      <c r="A556" s="436"/>
      <c r="B556" s="328"/>
      <c r="C556" s="328"/>
      <c r="D556" s="328"/>
      <c r="E556" s="326"/>
      <c r="F556" s="333"/>
      <c r="G556" s="333"/>
      <c r="H556" s="333"/>
      <c r="I556" s="333"/>
      <c r="J556" s="333"/>
      <c r="K556" s="328"/>
      <c r="L556" s="328"/>
      <c r="M556" s="341"/>
      <c r="N556" s="328"/>
      <c r="O556" s="436"/>
      <c r="P556" s="437"/>
      <c r="Q556" s="436"/>
      <c r="R556" s="436"/>
      <c r="S556" s="436"/>
      <c r="T556" s="366"/>
      <c r="U556" s="366"/>
      <c r="V556" s="366"/>
      <c r="W556" s="366"/>
      <c r="X556" s="366"/>
      <c r="Y556" s="366"/>
      <c r="Z556" s="366"/>
    </row>
    <row r="557" ht="91.5" customHeight="1">
      <c r="A557" s="436"/>
      <c r="B557" s="328"/>
      <c r="C557" s="328"/>
      <c r="D557" s="328"/>
      <c r="E557" s="326"/>
      <c r="F557" s="333"/>
      <c r="G557" s="333"/>
      <c r="H557" s="333"/>
      <c r="I557" s="333"/>
      <c r="J557" s="333"/>
      <c r="K557" s="328"/>
      <c r="L557" s="328"/>
      <c r="M557" s="341"/>
      <c r="N557" s="328"/>
      <c r="O557" s="436"/>
      <c r="P557" s="437"/>
      <c r="Q557" s="436"/>
      <c r="R557" s="436"/>
      <c r="S557" s="436"/>
      <c r="T557" s="366"/>
      <c r="U557" s="366"/>
      <c r="V557" s="366"/>
      <c r="W557" s="366"/>
      <c r="X557" s="366"/>
      <c r="Y557" s="366"/>
      <c r="Z557" s="366"/>
    </row>
    <row r="558" ht="91.5" customHeight="1">
      <c r="A558" s="436"/>
      <c r="B558" s="328"/>
      <c r="C558" s="328"/>
      <c r="D558" s="328"/>
      <c r="E558" s="326"/>
      <c r="F558" s="333"/>
      <c r="G558" s="333"/>
      <c r="H558" s="333"/>
      <c r="I558" s="333"/>
      <c r="J558" s="333"/>
      <c r="K558" s="328"/>
      <c r="L558" s="328"/>
      <c r="M558" s="341"/>
      <c r="N558" s="328"/>
      <c r="O558" s="436"/>
      <c r="P558" s="437"/>
      <c r="Q558" s="436"/>
      <c r="R558" s="436"/>
      <c r="S558" s="436"/>
      <c r="T558" s="366"/>
      <c r="U558" s="366"/>
      <c r="V558" s="366"/>
      <c r="W558" s="366"/>
      <c r="X558" s="366"/>
      <c r="Y558" s="366"/>
      <c r="Z558" s="366"/>
    </row>
    <row r="559" ht="91.5" customHeight="1">
      <c r="A559" s="436"/>
      <c r="B559" s="328"/>
      <c r="C559" s="328"/>
      <c r="D559" s="328"/>
      <c r="E559" s="326"/>
      <c r="F559" s="333"/>
      <c r="G559" s="333"/>
      <c r="H559" s="333"/>
      <c r="I559" s="333"/>
      <c r="J559" s="333"/>
      <c r="K559" s="328"/>
      <c r="L559" s="328"/>
      <c r="M559" s="341"/>
      <c r="N559" s="328"/>
      <c r="O559" s="436"/>
      <c r="P559" s="437"/>
      <c r="Q559" s="436"/>
      <c r="R559" s="436"/>
      <c r="S559" s="436"/>
      <c r="T559" s="366"/>
      <c r="U559" s="366"/>
      <c r="V559" s="366"/>
      <c r="W559" s="366"/>
      <c r="X559" s="366"/>
      <c r="Y559" s="366"/>
      <c r="Z559" s="366"/>
    </row>
    <row r="560" ht="91.5" customHeight="1">
      <c r="A560" s="436"/>
      <c r="B560" s="328"/>
      <c r="C560" s="328"/>
      <c r="D560" s="328"/>
      <c r="E560" s="326"/>
      <c r="F560" s="333"/>
      <c r="G560" s="333"/>
      <c r="H560" s="333"/>
      <c r="I560" s="333"/>
      <c r="J560" s="333"/>
      <c r="K560" s="328"/>
      <c r="L560" s="328"/>
      <c r="M560" s="341"/>
      <c r="N560" s="328"/>
      <c r="O560" s="436"/>
      <c r="P560" s="437"/>
      <c r="Q560" s="436"/>
      <c r="R560" s="436"/>
      <c r="S560" s="436"/>
      <c r="T560" s="366"/>
      <c r="U560" s="366"/>
      <c r="V560" s="366"/>
      <c r="W560" s="366"/>
      <c r="X560" s="366"/>
      <c r="Y560" s="366"/>
      <c r="Z560" s="366"/>
    </row>
    <row r="561" ht="91.5" customHeight="1">
      <c r="A561" s="436"/>
      <c r="B561" s="328"/>
      <c r="C561" s="328"/>
      <c r="D561" s="328"/>
      <c r="E561" s="326"/>
      <c r="F561" s="333"/>
      <c r="G561" s="333"/>
      <c r="H561" s="333"/>
      <c r="I561" s="333"/>
      <c r="J561" s="333"/>
      <c r="K561" s="328"/>
      <c r="L561" s="328"/>
      <c r="M561" s="341"/>
      <c r="N561" s="328"/>
      <c r="O561" s="436"/>
      <c r="P561" s="437"/>
      <c r="Q561" s="436"/>
      <c r="R561" s="436"/>
      <c r="S561" s="436"/>
      <c r="T561" s="366"/>
      <c r="U561" s="366"/>
      <c r="V561" s="366"/>
      <c r="W561" s="366"/>
      <c r="X561" s="366"/>
      <c r="Y561" s="366"/>
      <c r="Z561" s="366"/>
    </row>
    <row r="562" ht="91.5" customHeight="1">
      <c r="A562" s="436"/>
      <c r="B562" s="328"/>
      <c r="C562" s="328"/>
      <c r="D562" s="328"/>
      <c r="E562" s="326"/>
      <c r="F562" s="333"/>
      <c r="G562" s="333"/>
      <c r="H562" s="333"/>
      <c r="I562" s="333"/>
      <c r="J562" s="333"/>
      <c r="K562" s="328"/>
      <c r="L562" s="328"/>
      <c r="M562" s="341"/>
      <c r="N562" s="328"/>
      <c r="O562" s="436"/>
      <c r="P562" s="437"/>
      <c r="Q562" s="436"/>
      <c r="R562" s="436"/>
      <c r="S562" s="436"/>
      <c r="T562" s="366"/>
      <c r="U562" s="366"/>
      <c r="V562" s="366"/>
      <c r="W562" s="366"/>
      <c r="X562" s="366"/>
      <c r="Y562" s="366"/>
      <c r="Z562" s="366"/>
    </row>
    <row r="563" ht="91.5" customHeight="1">
      <c r="A563" s="436"/>
      <c r="B563" s="328"/>
      <c r="C563" s="328"/>
      <c r="D563" s="328"/>
      <c r="E563" s="326"/>
      <c r="F563" s="333"/>
      <c r="G563" s="333"/>
      <c r="H563" s="333"/>
      <c r="I563" s="333"/>
      <c r="J563" s="333"/>
      <c r="K563" s="328"/>
      <c r="L563" s="328"/>
      <c r="M563" s="341"/>
      <c r="N563" s="328"/>
      <c r="O563" s="436"/>
      <c r="P563" s="437"/>
      <c r="Q563" s="436"/>
      <c r="R563" s="436"/>
      <c r="S563" s="436"/>
      <c r="T563" s="366"/>
      <c r="U563" s="366"/>
      <c r="V563" s="366"/>
      <c r="W563" s="366"/>
      <c r="X563" s="366"/>
      <c r="Y563" s="366"/>
      <c r="Z563" s="366"/>
    </row>
    <row r="564" ht="91.5" customHeight="1">
      <c r="A564" s="436"/>
      <c r="B564" s="328"/>
      <c r="C564" s="328"/>
      <c r="D564" s="328"/>
      <c r="E564" s="326"/>
      <c r="F564" s="333"/>
      <c r="G564" s="333"/>
      <c r="H564" s="333"/>
      <c r="I564" s="333"/>
      <c r="J564" s="333"/>
      <c r="K564" s="328"/>
      <c r="L564" s="328"/>
      <c r="M564" s="341"/>
      <c r="N564" s="328"/>
      <c r="O564" s="436"/>
      <c r="P564" s="437"/>
      <c r="Q564" s="436"/>
      <c r="R564" s="436"/>
      <c r="S564" s="436"/>
      <c r="T564" s="366"/>
      <c r="U564" s="366"/>
      <c r="V564" s="366"/>
      <c r="W564" s="366"/>
      <c r="X564" s="366"/>
      <c r="Y564" s="366"/>
      <c r="Z564" s="366"/>
    </row>
    <row r="565" ht="91.5" customHeight="1">
      <c r="A565" s="436"/>
      <c r="B565" s="328"/>
      <c r="C565" s="328"/>
      <c r="D565" s="328"/>
      <c r="E565" s="326"/>
      <c r="F565" s="333"/>
      <c r="G565" s="333"/>
      <c r="H565" s="333"/>
      <c r="I565" s="333"/>
      <c r="J565" s="333"/>
      <c r="K565" s="328"/>
      <c r="L565" s="328"/>
      <c r="M565" s="341"/>
      <c r="N565" s="328"/>
      <c r="O565" s="436"/>
      <c r="P565" s="437"/>
      <c r="Q565" s="436"/>
      <c r="R565" s="436"/>
      <c r="S565" s="436"/>
      <c r="T565" s="366"/>
      <c r="U565" s="366"/>
      <c r="V565" s="366"/>
      <c r="W565" s="366"/>
      <c r="X565" s="366"/>
      <c r="Y565" s="366"/>
      <c r="Z565" s="366"/>
    </row>
    <row r="566" ht="91.5" customHeight="1">
      <c r="A566" s="436"/>
      <c r="B566" s="328"/>
      <c r="C566" s="328"/>
      <c r="D566" s="328"/>
      <c r="E566" s="326"/>
      <c r="F566" s="333"/>
      <c r="G566" s="333"/>
      <c r="H566" s="333"/>
      <c r="I566" s="333"/>
      <c r="J566" s="333"/>
      <c r="K566" s="328"/>
      <c r="L566" s="328"/>
      <c r="M566" s="341"/>
      <c r="N566" s="328"/>
      <c r="O566" s="436"/>
      <c r="P566" s="437"/>
      <c r="Q566" s="436"/>
      <c r="R566" s="436"/>
      <c r="S566" s="436"/>
      <c r="T566" s="366"/>
      <c r="U566" s="366"/>
      <c r="V566" s="366"/>
      <c r="W566" s="366"/>
      <c r="X566" s="366"/>
      <c r="Y566" s="366"/>
      <c r="Z566" s="366"/>
    </row>
    <row r="567" ht="91.5" customHeight="1">
      <c r="A567" s="436"/>
      <c r="B567" s="328"/>
      <c r="C567" s="328"/>
      <c r="D567" s="328"/>
      <c r="E567" s="326"/>
      <c r="F567" s="333"/>
      <c r="G567" s="333"/>
      <c r="H567" s="333"/>
      <c r="I567" s="333"/>
      <c r="J567" s="333"/>
      <c r="K567" s="328"/>
      <c r="L567" s="328"/>
      <c r="M567" s="341"/>
      <c r="N567" s="328"/>
      <c r="O567" s="436"/>
      <c r="P567" s="437"/>
      <c r="Q567" s="436"/>
      <c r="R567" s="436"/>
      <c r="S567" s="436"/>
      <c r="T567" s="366"/>
      <c r="U567" s="366"/>
      <c r="V567" s="366"/>
      <c r="W567" s="366"/>
      <c r="X567" s="366"/>
      <c r="Y567" s="366"/>
      <c r="Z567" s="366"/>
    </row>
    <row r="568" ht="91.5" customHeight="1">
      <c r="A568" s="436"/>
      <c r="B568" s="328"/>
      <c r="C568" s="328"/>
      <c r="D568" s="328"/>
      <c r="E568" s="326"/>
      <c r="F568" s="333"/>
      <c r="G568" s="333"/>
      <c r="H568" s="333"/>
      <c r="I568" s="333"/>
      <c r="J568" s="333"/>
      <c r="K568" s="328"/>
      <c r="L568" s="328"/>
      <c r="M568" s="341"/>
      <c r="N568" s="328"/>
      <c r="O568" s="436"/>
      <c r="P568" s="437"/>
      <c r="Q568" s="436"/>
      <c r="R568" s="436"/>
      <c r="S568" s="436"/>
      <c r="T568" s="366"/>
      <c r="U568" s="366"/>
      <c r="V568" s="366"/>
      <c r="W568" s="366"/>
      <c r="X568" s="366"/>
      <c r="Y568" s="366"/>
      <c r="Z568" s="366"/>
    </row>
    <row r="569" ht="91.5" customHeight="1">
      <c r="A569" s="436"/>
      <c r="B569" s="328"/>
      <c r="C569" s="328"/>
      <c r="D569" s="328"/>
      <c r="E569" s="326"/>
      <c r="F569" s="333"/>
      <c r="G569" s="333"/>
      <c r="H569" s="333"/>
      <c r="I569" s="333"/>
      <c r="J569" s="333"/>
      <c r="K569" s="328"/>
      <c r="L569" s="328"/>
      <c r="M569" s="341"/>
      <c r="N569" s="328"/>
      <c r="O569" s="436"/>
      <c r="P569" s="437"/>
      <c r="Q569" s="436"/>
      <c r="R569" s="436"/>
      <c r="S569" s="436"/>
      <c r="T569" s="366"/>
      <c r="U569" s="366"/>
      <c r="V569" s="366"/>
      <c r="W569" s="366"/>
      <c r="X569" s="366"/>
      <c r="Y569" s="366"/>
      <c r="Z569" s="366"/>
    </row>
    <row r="570" ht="91.5" customHeight="1">
      <c r="A570" s="436"/>
      <c r="B570" s="328"/>
      <c r="C570" s="328"/>
      <c r="D570" s="328"/>
      <c r="E570" s="326"/>
      <c r="F570" s="333"/>
      <c r="G570" s="333"/>
      <c r="H570" s="333"/>
      <c r="I570" s="333"/>
      <c r="J570" s="333"/>
      <c r="K570" s="328"/>
      <c r="L570" s="328"/>
      <c r="M570" s="341"/>
      <c r="N570" s="328"/>
      <c r="O570" s="436"/>
      <c r="P570" s="437"/>
      <c r="Q570" s="436"/>
      <c r="R570" s="436"/>
      <c r="S570" s="436"/>
      <c r="T570" s="366"/>
      <c r="U570" s="366"/>
      <c r="V570" s="366"/>
      <c r="W570" s="366"/>
      <c r="X570" s="366"/>
      <c r="Y570" s="366"/>
      <c r="Z570" s="366"/>
    </row>
    <row r="571" ht="91.5" customHeight="1">
      <c r="A571" s="436"/>
      <c r="B571" s="328"/>
      <c r="C571" s="328"/>
      <c r="D571" s="328"/>
      <c r="E571" s="326"/>
      <c r="F571" s="333"/>
      <c r="G571" s="333"/>
      <c r="H571" s="333"/>
      <c r="I571" s="333"/>
      <c r="J571" s="333"/>
      <c r="K571" s="328"/>
      <c r="L571" s="328"/>
      <c r="M571" s="341"/>
      <c r="N571" s="328"/>
      <c r="O571" s="436"/>
      <c r="P571" s="437"/>
      <c r="Q571" s="436"/>
      <c r="R571" s="436"/>
      <c r="S571" s="436"/>
      <c r="T571" s="366"/>
      <c r="U571" s="366"/>
      <c r="V571" s="366"/>
      <c r="W571" s="366"/>
      <c r="X571" s="366"/>
      <c r="Y571" s="366"/>
      <c r="Z571" s="366"/>
    </row>
    <row r="572" ht="91.5" customHeight="1">
      <c r="A572" s="436"/>
      <c r="B572" s="328"/>
      <c r="C572" s="328"/>
      <c r="D572" s="328"/>
      <c r="E572" s="326"/>
      <c r="F572" s="333"/>
      <c r="G572" s="333"/>
      <c r="H572" s="333"/>
      <c r="I572" s="333"/>
      <c r="J572" s="333"/>
      <c r="K572" s="328"/>
      <c r="L572" s="328"/>
      <c r="M572" s="341"/>
      <c r="N572" s="328"/>
      <c r="O572" s="436"/>
      <c r="P572" s="437"/>
      <c r="Q572" s="436"/>
      <c r="R572" s="436"/>
      <c r="S572" s="436"/>
      <c r="T572" s="366"/>
      <c r="U572" s="366"/>
      <c r="V572" s="366"/>
      <c r="W572" s="366"/>
      <c r="X572" s="366"/>
      <c r="Y572" s="366"/>
      <c r="Z572" s="366"/>
    </row>
    <row r="573" ht="91.5" customHeight="1">
      <c r="A573" s="436"/>
      <c r="B573" s="328"/>
      <c r="C573" s="328"/>
      <c r="D573" s="328"/>
      <c r="E573" s="326"/>
      <c r="F573" s="333"/>
      <c r="G573" s="333"/>
      <c r="H573" s="333"/>
      <c r="I573" s="333"/>
      <c r="J573" s="333"/>
      <c r="K573" s="328"/>
      <c r="L573" s="328"/>
      <c r="M573" s="341"/>
      <c r="N573" s="328"/>
      <c r="O573" s="436"/>
      <c r="P573" s="437"/>
      <c r="Q573" s="436"/>
      <c r="R573" s="436"/>
      <c r="S573" s="436"/>
      <c r="T573" s="366"/>
      <c r="U573" s="366"/>
      <c r="V573" s="366"/>
      <c r="W573" s="366"/>
      <c r="X573" s="366"/>
      <c r="Y573" s="366"/>
      <c r="Z573" s="366"/>
    </row>
    <row r="574" ht="91.5" customHeight="1">
      <c r="A574" s="436"/>
      <c r="B574" s="328"/>
      <c r="C574" s="328"/>
      <c r="D574" s="328"/>
      <c r="E574" s="326"/>
      <c r="F574" s="333"/>
      <c r="G574" s="333"/>
      <c r="H574" s="333"/>
      <c r="I574" s="333"/>
      <c r="J574" s="333"/>
      <c r="K574" s="328"/>
      <c r="L574" s="328"/>
      <c r="M574" s="341"/>
      <c r="N574" s="328"/>
      <c r="O574" s="436"/>
      <c r="P574" s="437"/>
      <c r="Q574" s="436"/>
      <c r="R574" s="436"/>
      <c r="S574" s="436"/>
      <c r="T574" s="366"/>
      <c r="U574" s="366"/>
      <c r="V574" s="366"/>
      <c r="W574" s="366"/>
      <c r="X574" s="366"/>
      <c r="Y574" s="366"/>
      <c r="Z574" s="366"/>
    </row>
    <row r="575" ht="91.5" customHeight="1">
      <c r="A575" s="436"/>
      <c r="B575" s="328"/>
      <c r="C575" s="328"/>
      <c r="D575" s="328"/>
      <c r="E575" s="326"/>
      <c r="F575" s="333"/>
      <c r="G575" s="333"/>
      <c r="H575" s="333"/>
      <c r="I575" s="333"/>
      <c r="J575" s="333"/>
      <c r="K575" s="328"/>
      <c r="L575" s="328"/>
      <c r="M575" s="341"/>
      <c r="N575" s="328"/>
      <c r="O575" s="436"/>
      <c r="P575" s="437"/>
      <c r="Q575" s="436"/>
      <c r="R575" s="436"/>
      <c r="S575" s="436"/>
      <c r="T575" s="366"/>
      <c r="U575" s="366"/>
      <c r="V575" s="366"/>
      <c r="W575" s="366"/>
      <c r="X575" s="366"/>
      <c r="Y575" s="366"/>
      <c r="Z575" s="366"/>
    </row>
    <row r="576" ht="91.5" customHeight="1">
      <c r="A576" s="436"/>
      <c r="B576" s="328"/>
      <c r="C576" s="328"/>
      <c r="D576" s="328"/>
      <c r="E576" s="326"/>
      <c r="F576" s="333"/>
      <c r="G576" s="333"/>
      <c r="H576" s="333"/>
      <c r="I576" s="333"/>
      <c r="J576" s="333"/>
      <c r="K576" s="328"/>
      <c r="L576" s="328"/>
      <c r="M576" s="341"/>
      <c r="N576" s="328"/>
      <c r="O576" s="436"/>
      <c r="P576" s="437"/>
      <c r="Q576" s="436"/>
      <c r="R576" s="436"/>
      <c r="S576" s="436"/>
      <c r="T576" s="366"/>
      <c r="U576" s="366"/>
      <c r="V576" s="366"/>
      <c r="W576" s="366"/>
      <c r="X576" s="366"/>
      <c r="Y576" s="366"/>
      <c r="Z576" s="366"/>
    </row>
    <row r="577" ht="91.5" customHeight="1">
      <c r="A577" s="436"/>
      <c r="B577" s="328"/>
      <c r="C577" s="328"/>
      <c r="D577" s="328"/>
      <c r="E577" s="326"/>
      <c r="F577" s="333"/>
      <c r="G577" s="333"/>
      <c r="H577" s="333"/>
      <c r="I577" s="333"/>
      <c r="J577" s="333"/>
      <c r="K577" s="328"/>
      <c r="L577" s="328"/>
      <c r="M577" s="341"/>
      <c r="N577" s="328"/>
      <c r="O577" s="436"/>
      <c r="P577" s="437"/>
      <c r="Q577" s="436"/>
      <c r="R577" s="436"/>
      <c r="S577" s="436"/>
      <c r="T577" s="366"/>
      <c r="U577" s="366"/>
      <c r="V577" s="366"/>
      <c r="W577" s="366"/>
      <c r="X577" s="366"/>
      <c r="Y577" s="366"/>
      <c r="Z577" s="366"/>
    </row>
    <row r="578" ht="91.5" customHeight="1">
      <c r="A578" s="436"/>
      <c r="B578" s="328"/>
      <c r="C578" s="328"/>
      <c r="D578" s="328"/>
      <c r="E578" s="326"/>
      <c r="F578" s="333"/>
      <c r="G578" s="333"/>
      <c r="H578" s="333"/>
      <c r="I578" s="333"/>
      <c r="J578" s="333"/>
      <c r="K578" s="328"/>
      <c r="L578" s="328"/>
      <c r="M578" s="341"/>
      <c r="N578" s="328"/>
      <c r="O578" s="436"/>
      <c r="P578" s="437"/>
      <c r="Q578" s="436"/>
      <c r="R578" s="436"/>
      <c r="S578" s="436"/>
      <c r="T578" s="366"/>
      <c r="U578" s="366"/>
      <c r="V578" s="366"/>
      <c r="W578" s="366"/>
      <c r="X578" s="366"/>
      <c r="Y578" s="366"/>
      <c r="Z578" s="366"/>
    </row>
    <row r="579" ht="91.5" customHeight="1">
      <c r="A579" s="436"/>
      <c r="B579" s="328"/>
      <c r="C579" s="328"/>
      <c r="D579" s="328"/>
      <c r="E579" s="326"/>
      <c r="F579" s="333"/>
      <c r="G579" s="333"/>
      <c r="H579" s="333"/>
      <c r="I579" s="333"/>
      <c r="J579" s="333"/>
      <c r="K579" s="328"/>
      <c r="L579" s="328"/>
      <c r="M579" s="341"/>
      <c r="N579" s="328"/>
      <c r="O579" s="436"/>
      <c r="P579" s="437"/>
      <c r="Q579" s="436"/>
      <c r="R579" s="436"/>
      <c r="S579" s="436"/>
      <c r="T579" s="366"/>
      <c r="U579" s="366"/>
      <c r="V579" s="366"/>
      <c r="W579" s="366"/>
      <c r="X579" s="366"/>
      <c r="Y579" s="366"/>
      <c r="Z579" s="366"/>
    </row>
    <row r="580" ht="91.5" customHeight="1">
      <c r="A580" s="436"/>
      <c r="B580" s="328"/>
      <c r="C580" s="328"/>
      <c r="D580" s="328"/>
      <c r="E580" s="326"/>
      <c r="F580" s="333"/>
      <c r="G580" s="333"/>
      <c r="H580" s="333"/>
      <c r="I580" s="333"/>
      <c r="J580" s="333"/>
      <c r="K580" s="328"/>
      <c r="L580" s="328"/>
      <c r="M580" s="341"/>
      <c r="N580" s="328"/>
      <c r="O580" s="436"/>
      <c r="P580" s="437"/>
      <c r="Q580" s="436"/>
      <c r="R580" s="436"/>
      <c r="S580" s="436"/>
      <c r="T580" s="366"/>
      <c r="U580" s="366"/>
      <c r="V580" s="366"/>
      <c r="W580" s="366"/>
      <c r="X580" s="366"/>
      <c r="Y580" s="366"/>
      <c r="Z580" s="366"/>
    </row>
    <row r="581" ht="91.5" customHeight="1">
      <c r="A581" s="436"/>
      <c r="B581" s="328"/>
      <c r="C581" s="328"/>
      <c r="D581" s="328"/>
      <c r="E581" s="326"/>
      <c r="F581" s="333"/>
      <c r="G581" s="333"/>
      <c r="H581" s="333"/>
      <c r="I581" s="333"/>
      <c r="J581" s="333"/>
      <c r="K581" s="328"/>
      <c r="L581" s="328"/>
      <c r="M581" s="341"/>
      <c r="N581" s="328"/>
      <c r="O581" s="436"/>
      <c r="P581" s="437"/>
      <c r="Q581" s="436"/>
      <c r="R581" s="436"/>
      <c r="S581" s="436"/>
      <c r="T581" s="366"/>
      <c r="U581" s="366"/>
      <c r="V581" s="366"/>
      <c r="W581" s="366"/>
      <c r="X581" s="366"/>
      <c r="Y581" s="366"/>
      <c r="Z581" s="366"/>
    </row>
    <row r="582" ht="91.5" customHeight="1">
      <c r="A582" s="436"/>
      <c r="B582" s="328"/>
      <c r="C582" s="328"/>
      <c r="D582" s="328"/>
      <c r="E582" s="326"/>
      <c r="F582" s="333"/>
      <c r="G582" s="333"/>
      <c r="H582" s="333"/>
      <c r="I582" s="333"/>
      <c r="J582" s="333"/>
      <c r="K582" s="328"/>
      <c r="L582" s="328"/>
      <c r="M582" s="341"/>
      <c r="N582" s="328"/>
      <c r="O582" s="436"/>
      <c r="P582" s="437"/>
      <c r="Q582" s="436"/>
      <c r="R582" s="436"/>
      <c r="S582" s="436"/>
      <c r="T582" s="366"/>
      <c r="U582" s="366"/>
      <c r="V582" s="366"/>
      <c r="W582" s="366"/>
      <c r="X582" s="366"/>
      <c r="Y582" s="366"/>
      <c r="Z582" s="366"/>
    </row>
    <row r="583" ht="91.5" customHeight="1">
      <c r="A583" s="436"/>
      <c r="B583" s="328"/>
      <c r="C583" s="328"/>
      <c r="D583" s="328"/>
      <c r="E583" s="326"/>
      <c r="F583" s="333"/>
      <c r="G583" s="333"/>
      <c r="H583" s="333"/>
      <c r="I583" s="333"/>
      <c r="J583" s="333"/>
      <c r="K583" s="328"/>
      <c r="L583" s="328"/>
      <c r="M583" s="341"/>
      <c r="N583" s="328"/>
      <c r="O583" s="436"/>
      <c r="P583" s="437"/>
      <c r="Q583" s="436"/>
      <c r="R583" s="436"/>
      <c r="S583" s="436"/>
      <c r="T583" s="366"/>
      <c r="U583" s="366"/>
      <c r="V583" s="366"/>
      <c r="W583" s="366"/>
      <c r="X583" s="366"/>
      <c r="Y583" s="366"/>
      <c r="Z583" s="366"/>
    </row>
    <row r="584" ht="91.5" customHeight="1">
      <c r="A584" s="436"/>
      <c r="B584" s="328"/>
      <c r="C584" s="328"/>
      <c r="D584" s="328"/>
      <c r="E584" s="326"/>
      <c r="F584" s="333"/>
      <c r="G584" s="333"/>
      <c r="H584" s="333"/>
      <c r="I584" s="333"/>
      <c r="J584" s="333"/>
      <c r="K584" s="328"/>
      <c r="L584" s="328"/>
      <c r="M584" s="341"/>
      <c r="N584" s="328"/>
      <c r="O584" s="436"/>
      <c r="P584" s="437"/>
      <c r="Q584" s="436"/>
      <c r="R584" s="436"/>
      <c r="S584" s="436"/>
      <c r="T584" s="366"/>
      <c r="U584" s="366"/>
      <c r="V584" s="366"/>
      <c r="W584" s="366"/>
      <c r="X584" s="366"/>
      <c r="Y584" s="366"/>
      <c r="Z584" s="366"/>
    </row>
    <row r="585" ht="91.5" customHeight="1">
      <c r="A585" s="436"/>
      <c r="B585" s="328"/>
      <c r="C585" s="328"/>
      <c r="D585" s="328"/>
      <c r="E585" s="326"/>
      <c r="F585" s="333"/>
      <c r="G585" s="333"/>
      <c r="H585" s="333"/>
      <c r="I585" s="333"/>
      <c r="J585" s="333"/>
      <c r="K585" s="328"/>
      <c r="L585" s="328"/>
      <c r="M585" s="341"/>
      <c r="N585" s="328"/>
      <c r="O585" s="436"/>
      <c r="P585" s="437"/>
      <c r="Q585" s="436"/>
      <c r="R585" s="436"/>
      <c r="S585" s="436"/>
      <c r="T585" s="366"/>
      <c r="U585" s="366"/>
      <c r="V585" s="366"/>
      <c r="W585" s="366"/>
      <c r="X585" s="366"/>
      <c r="Y585" s="366"/>
      <c r="Z585" s="366"/>
    </row>
    <row r="586" ht="91.5" customHeight="1">
      <c r="A586" s="436"/>
      <c r="B586" s="328"/>
      <c r="C586" s="328"/>
      <c r="D586" s="328"/>
      <c r="E586" s="326"/>
      <c r="F586" s="333"/>
      <c r="G586" s="333"/>
      <c r="H586" s="333"/>
      <c r="I586" s="333"/>
      <c r="J586" s="333"/>
      <c r="K586" s="328"/>
      <c r="L586" s="328"/>
      <c r="M586" s="341"/>
      <c r="N586" s="328"/>
      <c r="O586" s="436"/>
      <c r="P586" s="437"/>
      <c r="Q586" s="436"/>
      <c r="R586" s="436"/>
      <c r="S586" s="436"/>
      <c r="T586" s="366"/>
      <c r="U586" s="366"/>
      <c r="V586" s="366"/>
      <c r="W586" s="366"/>
      <c r="X586" s="366"/>
      <c r="Y586" s="366"/>
      <c r="Z586" s="366"/>
    </row>
    <row r="587" ht="91.5" customHeight="1">
      <c r="A587" s="436"/>
      <c r="B587" s="328"/>
      <c r="C587" s="328"/>
      <c r="D587" s="328"/>
      <c r="E587" s="326"/>
      <c r="F587" s="333"/>
      <c r="G587" s="333"/>
      <c r="H587" s="333"/>
      <c r="I587" s="333"/>
      <c r="J587" s="333"/>
      <c r="K587" s="328"/>
      <c r="L587" s="328"/>
      <c r="M587" s="341"/>
      <c r="N587" s="328"/>
      <c r="O587" s="436"/>
      <c r="P587" s="437"/>
      <c r="Q587" s="436"/>
      <c r="R587" s="436"/>
      <c r="S587" s="436"/>
      <c r="T587" s="366"/>
      <c r="U587" s="366"/>
      <c r="V587" s="366"/>
      <c r="W587" s="366"/>
      <c r="X587" s="366"/>
      <c r="Y587" s="366"/>
      <c r="Z587" s="366"/>
    </row>
    <row r="588" ht="91.5" customHeight="1">
      <c r="A588" s="436"/>
      <c r="B588" s="328"/>
      <c r="C588" s="328"/>
      <c r="D588" s="328"/>
      <c r="E588" s="326"/>
      <c r="F588" s="333"/>
      <c r="G588" s="333"/>
      <c r="H588" s="333"/>
      <c r="I588" s="333"/>
      <c r="J588" s="333"/>
      <c r="K588" s="328"/>
      <c r="L588" s="328"/>
      <c r="M588" s="341"/>
      <c r="N588" s="328"/>
      <c r="O588" s="436"/>
      <c r="P588" s="437"/>
      <c r="Q588" s="436"/>
      <c r="R588" s="436"/>
      <c r="S588" s="436"/>
      <c r="T588" s="366"/>
      <c r="U588" s="366"/>
      <c r="V588" s="366"/>
      <c r="W588" s="366"/>
      <c r="X588" s="366"/>
      <c r="Y588" s="366"/>
      <c r="Z588" s="366"/>
    </row>
    <row r="589" ht="91.5" customHeight="1">
      <c r="A589" s="436"/>
      <c r="B589" s="328"/>
      <c r="C589" s="328"/>
      <c r="D589" s="328"/>
      <c r="E589" s="326"/>
      <c r="F589" s="333"/>
      <c r="G589" s="333"/>
      <c r="H589" s="333"/>
      <c r="I589" s="333"/>
      <c r="J589" s="333"/>
      <c r="K589" s="328"/>
      <c r="L589" s="328"/>
      <c r="M589" s="341"/>
      <c r="N589" s="328"/>
      <c r="O589" s="436"/>
      <c r="P589" s="437"/>
      <c r="Q589" s="436"/>
      <c r="R589" s="436"/>
      <c r="S589" s="436"/>
      <c r="T589" s="366"/>
      <c r="U589" s="366"/>
      <c r="V589" s="366"/>
      <c r="W589" s="366"/>
      <c r="X589" s="366"/>
      <c r="Y589" s="366"/>
      <c r="Z589" s="366"/>
    </row>
    <row r="590" ht="91.5" customHeight="1">
      <c r="A590" s="436"/>
      <c r="B590" s="328"/>
      <c r="C590" s="328"/>
      <c r="D590" s="328"/>
      <c r="E590" s="326"/>
      <c r="F590" s="333"/>
      <c r="G590" s="333"/>
      <c r="H590" s="333"/>
      <c r="I590" s="333"/>
      <c r="J590" s="333"/>
      <c r="K590" s="328"/>
      <c r="L590" s="328"/>
      <c r="M590" s="341"/>
      <c r="N590" s="328"/>
      <c r="O590" s="436"/>
      <c r="P590" s="437"/>
      <c r="Q590" s="436"/>
      <c r="R590" s="436"/>
      <c r="S590" s="436"/>
      <c r="T590" s="366"/>
      <c r="U590" s="366"/>
      <c r="V590" s="366"/>
      <c r="W590" s="366"/>
      <c r="X590" s="366"/>
      <c r="Y590" s="366"/>
      <c r="Z590" s="366"/>
    </row>
    <row r="591" ht="91.5" customHeight="1">
      <c r="A591" s="436"/>
      <c r="B591" s="328"/>
      <c r="C591" s="328"/>
      <c r="D591" s="328"/>
      <c r="E591" s="326"/>
      <c r="F591" s="333"/>
      <c r="G591" s="333"/>
      <c r="H591" s="333"/>
      <c r="I591" s="333"/>
      <c r="J591" s="333"/>
      <c r="K591" s="328"/>
      <c r="L591" s="328"/>
      <c r="M591" s="341"/>
      <c r="N591" s="328"/>
      <c r="O591" s="436"/>
      <c r="P591" s="437"/>
      <c r="Q591" s="436"/>
      <c r="R591" s="436"/>
      <c r="S591" s="436"/>
      <c r="T591" s="366"/>
      <c r="U591" s="366"/>
      <c r="V591" s="366"/>
      <c r="W591" s="366"/>
      <c r="X591" s="366"/>
      <c r="Y591" s="366"/>
      <c r="Z591" s="366"/>
    </row>
    <row r="592" ht="91.5" customHeight="1">
      <c r="A592" s="436"/>
      <c r="B592" s="328"/>
      <c r="C592" s="328"/>
      <c r="D592" s="328"/>
      <c r="E592" s="326"/>
      <c r="F592" s="333"/>
      <c r="G592" s="333"/>
      <c r="H592" s="333"/>
      <c r="I592" s="333"/>
      <c r="J592" s="333"/>
      <c r="K592" s="328"/>
      <c r="L592" s="328"/>
      <c r="M592" s="341"/>
      <c r="N592" s="328"/>
      <c r="O592" s="436"/>
      <c r="P592" s="437"/>
      <c r="Q592" s="436"/>
      <c r="R592" s="436"/>
      <c r="S592" s="436"/>
      <c r="T592" s="366"/>
      <c r="U592" s="366"/>
      <c r="V592" s="366"/>
      <c r="W592" s="366"/>
      <c r="X592" s="366"/>
      <c r="Y592" s="366"/>
      <c r="Z592" s="366"/>
    </row>
    <row r="593" ht="91.5" customHeight="1">
      <c r="A593" s="436"/>
      <c r="B593" s="328"/>
      <c r="C593" s="328"/>
      <c r="D593" s="328"/>
      <c r="E593" s="326"/>
      <c r="F593" s="333"/>
      <c r="G593" s="333"/>
      <c r="H593" s="333"/>
      <c r="I593" s="333"/>
      <c r="J593" s="333"/>
      <c r="K593" s="328"/>
      <c r="L593" s="328"/>
      <c r="M593" s="341"/>
      <c r="N593" s="328"/>
      <c r="O593" s="436"/>
      <c r="P593" s="437"/>
      <c r="Q593" s="436"/>
      <c r="R593" s="436"/>
      <c r="S593" s="436"/>
      <c r="T593" s="366"/>
      <c r="U593" s="366"/>
      <c r="V593" s="366"/>
      <c r="W593" s="366"/>
      <c r="X593" s="366"/>
      <c r="Y593" s="366"/>
      <c r="Z593" s="366"/>
    </row>
    <row r="594" ht="91.5" customHeight="1">
      <c r="A594" s="436"/>
      <c r="B594" s="328"/>
      <c r="C594" s="328"/>
      <c r="D594" s="328"/>
      <c r="E594" s="326"/>
      <c r="F594" s="333"/>
      <c r="G594" s="333"/>
      <c r="H594" s="333"/>
      <c r="I594" s="333"/>
      <c r="J594" s="333"/>
      <c r="K594" s="328"/>
      <c r="L594" s="328"/>
      <c r="M594" s="341"/>
      <c r="N594" s="328"/>
      <c r="O594" s="436"/>
      <c r="P594" s="437"/>
      <c r="Q594" s="436"/>
      <c r="R594" s="436"/>
      <c r="S594" s="436"/>
      <c r="T594" s="366"/>
      <c r="U594" s="366"/>
      <c r="V594" s="366"/>
      <c r="W594" s="366"/>
      <c r="X594" s="366"/>
      <c r="Y594" s="366"/>
      <c r="Z594" s="366"/>
    </row>
    <row r="595" ht="91.5" customHeight="1">
      <c r="A595" s="436"/>
      <c r="B595" s="328"/>
      <c r="C595" s="328"/>
      <c r="D595" s="328"/>
      <c r="E595" s="326"/>
      <c r="F595" s="333"/>
      <c r="G595" s="333"/>
      <c r="H595" s="333"/>
      <c r="I595" s="333"/>
      <c r="J595" s="333"/>
      <c r="K595" s="328"/>
      <c r="L595" s="328"/>
      <c r="M595" s="341"/>
      <c r="N595" s="328"/>
      <c r="O595" s="436"/>
      <c r="P595" s="437"/>
      <c r="Q595" s="436"/>
      <c r="R595" s="436"/>
      <c r="S595" s="436"/>
      <c r="T595" s="366"/>
      <c r="U595" s="366"/>
      <c r="V595" s="366"/>
      <c r="W595" s="366"/>
      <c r="X595" s="366"/>
      <c r="Y595" s="366"/>
      <c r="Z595" s="366"/>
    </row>
    <row r="596" ht="91.5" customHeight="1">
      <c r="A596" s="436"/>
      <c r="B596" s="328"/>
      <c r="C596" s="328"/>
      <c r="D596" s="328"/>
      <c r="E596" s="326"/>
      <c r="F596" s="333"/>
      <c r="G596" s="333"/>
      <c r="H596" s="333"/>
      <c r="I596" s="333"/>
      <c r="J596" s="333"/>
      <c r="K596" s="328"/>
      <c r="L596" s="328"/>
      <c r="M596" s="341"/>
      <c r="N596" s="328"/>
      <c r="O596" s="436"/>
      <c r="P596" s="437"/>
      <c r="Q596" s="436"/>
      <c r="R596" s="436"/>
      <c r="S596" s="436"/>
      <c r="T596" s="366"/>
      <c r="U596" s="366"/>
      <c r="V596" s="366"/>
      <c r="W596" s="366"/>
      <c r="X596" s="366"/>
      <c r="Y596" s="366"/>
      <c r="Z596" s="366"/>
    </row>
    <row r="597" ht="91.5" customHeight="1">
      <c r="A597" s="436"/>
      <c r="B597" s="328"/>
      <c r="C597" s="328"/>
      <c r="D597" s="328"/>
      <c r="E597" s="326"/>
      <c r="F597" s="333"/>
      <c r="G597" s="333"/>
      <c r="H597" s="333"/>
      <c r="I597" s="333"/>
      <c r="J597" s="333"/>
      <c r="K597" s="328"/>
      <c r="M597" s="341"/>
      <c r="N597" s="328"/>
      <c r="O597" s="436"/>
      <c r="P597" s="437"/>
      <c r="Q597" s="436"/>
      <c r="R597" s="436"/>
      <c r="S597" s="436"/>
      <c r="T597" s="366"/>
      <c r="U597" s="366"/>
      <c r="V597" s="366"/>
      <c r="W597" s="366"/>
      <c r="X597" s="366"/>
      <c r="Y597" s="366"/>
      <c r="Z597" s="366"/>
    </row>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Z$397">
    <sortState ref="A2:Z397">
      <sortCondition descending="1" ref="F2:F397"/>
    </sortState>
  </autoFilter>
  <customSheetViews>
    <customSheetView guid="{7D5F711D-5A8F-448B-80F8-7ED115B7D700}" filter="1" showAutoFilter="1">
      <autoFilter ref="$A$2:$Z$397">
        <sortState ref="A2:Z397">
          <sortCondition descending="1" ref="F2:F397"/>
        </sortState>
      </autoFilter>
      <extLst>
        <ext uri="GoogleSheetsCustomDataVersion1">
          <go:sheetsCustomData xmlns:go="http://customooxmlschemas.google.com/" filterViewId="1456348786"/>
        </ext>
      </extLst>
    </customSheetView>
    <customSheetView guid="{A68C8BD8-0AC8-4474-A1AC-D148C94E75F1}" filter="1" showAutoFilter="1">
      <autoFilter ref="$A$2:$Z$397">
        <sortState ref="A2:Z397">
          <sortCondition descending="1" ref="F2:F397"/>
        </sortState>
      </autoFilter>
      <extLst>
        <ext uri="GoogleSheetsCustomDataVersion1">
          <go:sheetsCustomData xmlns:go="http://customooxmlschemas.google.com/" filterViewId="1679260691"/>
        </ext>
      </extLst>
    </customSheetView>
    <customSheetView guid="{95BBA70E-041C-4252-8140-8C60EDD1FE61}" filter="1" showAutoFilter="1">
      <autoFilter ref="$A$2:$Z$397">
        <sortState ref="A2:Z397">
          <sortCondition descending="1" ref="F2:F397"/>
        </sortState>
      </autoFilter>
      <extLst>
        <ext uri="GoogleSheetsCustomDataVersion1">
          <go:sheetsCustomData xmlns:go="http://customooxmlschemas.google.com/" filterViewId="2025382221"/>
        </ext>
      </extLst>
    </customSheetView>
    <customSheetView guid="{00B2829D-B7E0-4616-9A59-3B9A6276FFD8}" filter="1" showAutoFilter="1">
      <autoFilter ref="$A$2:$Z$397">
        <sortState ref="A2:Z397">
          <sortCondition descending="1" ref="F2:F397"/>
        </sortState>
      </autoFilter>
      <extLst>
        <ext uri="GoogleSheetsCustomDataVersion1">
          <go:sheetsCustomData xmlns:go="http://customooxmlschemas.google.com/" filterViewId="2143062480"/>
        </ext>
      </extLst>
    </customSheetView>
    <customSheetView guid="{D323515A-3346-4B3A-AC6E-D498D2CE12A3}" filter="1" showAutoFilter="1">
      <autoFilter ref="$A$2:$Z$397">
        <sortState ref="A2:Z397">
          <sortCondition descending="1" ref="F2:F397"/>
        </sortState>
      </autoFilter>
      <extLst>
        <ext uri="GoogleSheetsCustomDataVersion1">
          <go:sheetsCustomData xmlns:go="http://customooxmlschemas.google.com/" filterViewId="399872996"/>
        </ext>
      </extLst>
    </customSheetView>
    <customSheetView guid="{20EEC496-0D08-4E73-A8E0-60C165BF345B}" filter="1" showAutoFilter="1">
      <autoFilter ref="$A$2:$Z$397"/>
      <extLst>
        <ext uri="GoogleSheetsCustomDataVersion1">
          <go:sheetsCustomData xmlns:go="http://customooxmlschemas.google.com/" filterViewId="984448931"/>
        </ext>
      </extLst>
    </customSheetView>
  </customSheetViews>
  <conditionalFormatting sqref="A2:Z2">
    <cfRule type="notContainsBlanks" dxfId="0" priority="1">
      <formula>LEN(TRIM(A2))&gt;0</formula>
    </cfRule>
  </conditionalFormatting>
  <dataValidations>
    <dataValidation type="list" allowBlank="1" showErrorMessage="1" sqref="S3:S397">
      <formula1>"GC,GHC,OTHER"</formula1>
    </dataValidation>
    <dataValidation type="list" allowBlank="1" showErrorMessage="1" sqref="R3:R397">
      <formula1>"Pt Agel,Sina"</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 r:id="rId159" ref="A161"/>
    <hyperlink r:id="rId160" ref="A162"/>
    <hyperlink r:id="rId161" ref="A163"/>
    <hyperlink r:id="rId162" ref="A164"/>
    <hyperlink r:id="rId163" ref="A165"/>
    <hyperlink r:id="rId164" ref="A166"/>
    <hyperlink r:id="rId165" ref="A167"/>
    <hyperlink r:id="rId166" ref="A168"/>
    <hyperlink r:id="rId167" ref="A169"/>
    <hyperlink r:id="rId168" ref="A170"/>
    <hyperlink r:id="rId169" ref="A171"/>
    <hyperlink r:id="rId170" ref="A172"/>
    <hyperlink r:id="rId171" ref="A173"/>
    <hyperlink r:id="rId172" ref="A174"/>
    <hyperlink r:id="rId173" ref="A175"/>
    <hyperlink r:id="rId174" ref="A176"/>
    <hyperlink r:id="rId175" ref="A177"/>
    <hyperlink r:id="rId176" ref="A178"/>
    <hyperlink r:id="rId177" ref="A179"/>
    <hyperlink r:id="rId178" ref="A180"/>
    <hyperlink r:id="rId179" ref="A181"/>
    <hyperlink r:id="rId180" ref="A182"/>
    <hyperlink r:id="rId181" ref="A183"/>
    <hyperlink r:id="rId182" ref="A184"/>
    <hyperlink r:id="rId183" ref="A185"/>
    <hyperlink r:id="rId184" ref="A186"/>
    <hyperlink r:id="rId185" ref="A187"/>
    <hyperlink r:id="rId186" ref="A188"/>
    <hyperlink r:id="rId187" ref="A189"/>
    <hyperlink r:id="rId188" ref="A190"/>
    <hyperlink r:id="rId189" ref="A191"/>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10"/>
    <hyperlink r:id="rId208" ref="A211"/>
    <hyperlink r:id="rId209" ref="A212"/>
    <hyperlink r:id="rId210" ref="A213"/>
    <hyperlink r:id="rId211" ref="A214"/>
    <hyperlink r:id="rId212" ref="A215"/>
    <hyperlink r:id="rId213" ref="A216"/>
    <hyperlink r:id="rId214" ref="A217"/>
    <hyperlink r:id="rId215" ref="A218"/>
    <hyperlink r:id="rId216" ref="A219"/>
    <hyperlink r:id="rId217" ref="A220"/>
    <hyperlink r:id="rId218" ref="A221"/>
    <hyperlink r:id="rId219" ref="A222"/>
    <hyperlink r:id="rId220" ref="A223"/>
    <hyperlink r:id="rId221" ref="A224"/>
    <hyperlink r:id="rId222" ref="A225"/>
    <hyperlink r:id="rId223" ref="A226"/>
    <hyperlink r:id="rId224" ref="A228"/>
    <hyperlink r:id="rId225" ref="A229"/>
    <hyperlink r:id="rId226" ref="A230"/>
    <hyperlink r:id="rId227" ref="A231"/>
    <hyperlink r:id="rId228" ref="A232"/>
    <hyperlink r:id="rId229" ref="A233"/>
    <hyperlink r:id="rId230" ref="A234"/>
    <hyperlink r:id="rId231" ref="A235"/>
    <hyperlink r:id="rId232" ref="A236"/>
    <hyperlink r:id="rId233" ref="A237"/>
    <hyperlink r:id="rId234" ref="A238"/>
    <hyperlink r:id="rId235" ref="A239"/>
    <hyperlink r:id="rId236" ref="A240"/>
    <hyperlink r:id="rId237" ref="A241"/>
    <hyperlink r:id="rId238" ref="A242"/>
    <hyperlink r:id="rId239" ref="A243"/>
    <hyperlink r:id="rId240" ref="A244"/>
    <hyperlink r:id="rId241" ref="A245"/>
    <hyperlink r:id="rId242" ref="A246"/>
    <hyperlink r:id="rId243" ref="A247"/>
    <hyperlink r:id="rId244" ref="A248"/>
    <hyperlink r:id="rId245" ref="A249"/>
    <hyperlink r:id="rId246" ref="A250"/>
    <hyperlink r:id="rId247" ref="A251"/>
    <hyperlink r:id="rId248" ref="A252"/>
    <hyperlink r:id="rId249" ref="A253"/>
    <hyperlink r:id="rId250" ref="A254"/>
    <hyperlink r:id="rId251" ref="A255"/>
    <hyperlink r:id="rId252" ref="A256"/>
    <hyperlink r:id="rId253" ref="A257"/>
    <hyperlink r:id="rId254" ref="A258"/>
    <hyperlink r:id="rId255" ref="A259"/>
    <hyperlink r:id="rId256" ref="A260"/>
    <hyperlink r:id="rId257" ref="A261"/>
    <hyperlink r:id="rId258" ref="A262"/>
    <hyperlink r:id="rId259" ref="A263"/>
    <hyperlink r:id="rId260" ref="A264"/>
    <hyperlink r:id="rId261" ref="A265"/>
    <hyperlink r:id="rId262" ref="A266"/>
    <hyperlink r:id="rId263" ref="A267"/>
    <hyperlink r:id="rId264" ref="A268"/>
    <hyperlink r:id="rId265" ref="A269"/>
    <hyperlink r:id="rId266" ref="A270"/>
    <hyperlink r:id="rId267" ref="A271"/>
    <hyperlink r:id="rId268" ref="A272"/>
    <hyperlink r:id="rId269" ref="A273"/>
    <hyperlink r:id="rId270" ref="A274"/>
    <hyperlink r:id="rId271" ref="A275"/>
    <hyperlink r:id="rId272" ref="A276"/>
    <hyperlink r:id="rId273" ref="A277"/>
    <hyperlink r:id="rId274" ref="A278"/>
    <hyperlink r:id="rId275" ref="A279"/>
    <hyperlink r:id="rId276" ref="A280"/>
    <hyperlink r:id="rId277" ref="A281"/>
    <hyperlink r:id="rId278" ref="A282"/>
    <hyperlink r:id="rId279" ref="A283"/>
    <hyperlink r:id="rId280" ref="A284"/>
    <hyperlink r:id="rId281" ref="A285"/>
    <hyperlink r:id="rId282" ref="A286"/>
    <hyperlink r:id="rId283" ref="A287"/>
    <hyperlink r:id="rId284" ref="A288"/>
    <hyperlink r:id="rId285" ref="A289"/>
    <hyperlink r:id="rId286" ref="A290"/>
    <hyperlink r:id="rId287" ref="A291"/>
    <hyperlink r:id="rId288" ref="A292"/>
    <hyperlink r:id="rId289" ref="A293"/>
    <hyperlink r:id="rId290" ref="A294"/>
    <hyperlink r:id="rId291" ref="A295"/>
    <hyperlink r:id="rId292" ref="A296"/>
    <hyperlink r:id="rId293" ref="A297"/>
    <hyperlink r:id="rId294" ref="A298"/>
    <hyperlink r:id="rId295" ref="A299"/>
    <hyperlink r:id="rId296" ref="A300"/>
    <hyperlink r:id="rId297" ref="A301"/>
    <hyperlink r:id="rId298" ref="A302"/>
    <hyperlink r:id="rId299" ref="A303"/>
    <hyperlink r:id="rId300" ref="A304"/>
    <hyperlink r:id="rId301" ref="A305"/>
    <hyperlink r:id="rId302" ref="A306"/>
    <hyperlink r:id="rId303" ref="A307"/>
    <hyperlink r:id="rId304" ref="A308"/>
    <hyperlink r:id="rId305" ref="A309"/>
    <hyperlink r:id="rId306" ref="A310"/>
    <hyperlink r:id="rId307" ref="A311"/>
    <hyperlink r:id="rId308" ref="A312"/>
    <hyperlink r:id="rId309" ref="A313"/>
    <hyperlink r:id="rId310" ref="A314"/>
    <hyperlink r:id="rId311" ref="A315"/>
    <hyperlink r:id="rId312" ref="A316"/>
    <hyperlink r:id="rId313" ref="A317"/>
    <hyperlink r:id="rId314" ref="A318"/>
    <hyperlink r:id="rId315" ref="A319"/>
    <hyperlink r:id="rId316" ref="A320"/>
    <hyperlink r:id="rId317" ref="A321"/>
    <hyperlink r:id="rId318" ref="A322"/>
    <hyperlink r:id="rId319" ref="A323"/>
    <hyperlink r:id="rId320" ref="A324"/>
    <hyperlink r:id="rId321" ref="A325"/>
    <hyperlink r:id="rId322" ref="A326"/>
    <hyperlink r:id="rId323" ref="A327"/>
    <hyperlink r:id="rId324" ref="A328"/>
    <hyperlink r:id="rId325" ref="A329"/>
    <hyperlink r:id="rId326" ref="A330"/>
    <hyperlink r:id="rId327" ref="A331"/>
    <hyperlink r:id="rId328" ref="A332"/>
    <hyperlink r:id="rId329" ref="A333"/>
    <hyperlink r:id="rId330" ref="A334"/>
    <hyperlink r:id="rId331" ref="A335"/>
    <hyperlink r:id="rId332" ref="A336"/>
    <hyperlink r:id="rId333" ref="A337"/>
    <hyperlink r:id="rId334" ref="A338"/>
    <hyperlink r:id="rId335" ref="A339"/>
    <hyperlink r:id="rId336" ref="A340"/>
    <hyperlink r:id="rId337" ref="A341"/>
    <hyperlink r:id="rId338" ref="A342"/>
    <hyperlink r:id="rId339" ref="A343"/>
    <hyperlink r:id="rId340" ref="A344"/>
    <hyperlink r:id="rId341" ref="A345"/>
    <hyperlink r:id="rId342" ref="A346"/>
    <hyperlink r:id="rId343" ref="A347"/>
    <hyperlink r:id="rId344" ref="A348"/>
    <hyperlink r:id="rId345" ref="A349"/>
    <hyperlink r:id="rId346" ref="A350"/>
    <hyperlink r:id="rId347" ref="A351"/>
    <hyperlink r:id="rId348" ref="A352"/>
    <hyperlink r:id="rId349" ref="A353"/>
    <hyperlink r:id="rId350" ref="A354"/>
    <hyperlink r:id="rId351" ref="A355"/>
    <hyperlink r:id="rId352" ref="A356"/>
    <hyperlink r:id="rId353" ref="A357"/>
    <hyperlink r:id="rId354" ref="A358"/>
    <hyperlink r:id="rId355" ref="A359"/>
    <hyperlink r:id="rId356" ref="A360"/>
    <hyperlink r:id="rId357" ref="A361"/>
    <hyperlink r:id="rId358" ref="A362"/>
    <hyperlink r:id="rId359" ref="A363"/>
    <hyperlink r:id="rId360" ref="A364"/>
    <hyperlink r:id="rId361" ref="A365"/>
    <hyperlink r:id="rId362" ref="A366"/>
    <hyperlink r:id="rId363" ref="A367"/>
    <hyperlink r:id="rId364" ref="A368"/>
    <hyperlink r:id="rId365" ref="A369"/>
    <hyperlink r:id="rId366" ref="A370"/>
    <hyperlink r:id="rId367" ref="A371"/>
    <hyperlink r:id="rId368" ref="A372"/>
    <hyperlink r:id="rId369" ref="A373"/>
    <hyperlink r:id="rId370" ref="A374"/>
    <hyperlink r:id="rId371" ref="A375"/>
    <hyperlink r:id="rId372" ref="A376"/>
    <hyperlink r:id="rId373" ref="A377"/>
    <hyperlink r:id="rId374" ref="A378"/>
    <hyperlink r:id="rId375" ref="A379"/>
    <hyperlink r:id="rId376" ref="A380"/>
    <hyperlink r:id="rId377" ref="A381"/>
    <hyperlink r:id="rId378" ref="A382"/>
    <hyperlink r:id="rId379" ref="A383"/>
    <hyperlink r:id="rId380" ref="A384"/>
    <hyperlink r:id="rId381" ref="A385"/>
    <hyperlink r:id="rId382" ref="A386"/>
    <hyperlink r:id="rId383" ref="A387"/>
    <hyperlink r:id="rId384" ref="A388"/>
    <hyperlink r:id="rId385" ref="A389"/>
    <hyperlink r:id="rId386" ref="A390"/>
    <hyperlink r:id="rId387" ref="A391"/>
    <hyperlink r:id="rId388" ref="A392"/>
    <hyperlink r:id="rId389" ref="A393"/>
    <hyperlink r:id="rId390" ref="A394"/>
    <hyperlink r:id="rId391" ref="A395"/>
    <hyperlink r:id="rId392" ref="A396"/>
    <hyperlink r:id="rId393" ref="A397"/>
  </hyperlinks>
  <printOptions gridLines="1" horizontalCentered="1"/>
  <pageMargins bottom="0.75" footer="0.0" header="0.0" left="0.7" right="0.7" top="0.75"/>
  <pageSetup fitToHeight="0" cellComments="atEnd" orientation="landscape" pageOrder="overThenDown"/>
  <drawing r:id="rId39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29"/>
    <col customWidth="1" min="2" max="2" width="14.14"/>
    <col customWidth="1" min="3" max="3" width="12.43"/>
    <col customWidth="1" min="4" max="4" width="19.43"/>
    <col customWidth="1" min="5" max="5" width="48.86"/>
    <col customWidth="1" min="6" max="6" width="13.29"/>
    <col customWidth="1" min="7" max="7" width="13.86"/>
    <col customWidth="1" min="8" max="8" width="14.0"/>
    <col customWidth="1" min="9" max="9" width="59.71"/>
    <col customWidth="1" min="10" max="10" width="13.43"/>
    <col customWidth="1" min="11" max="11" width="13.71"/>
    <col customWidth="1" min="12" max="12" width="49.43"/>
    <col customWidth="1" min="14" max="14" width="16.29"/>
  </cols>
  <sheetData>
    <row r="1" ht="40.5" customHeight="1">
      <c r="A1" s="353"/>
      <c r="B1" s="555" t="s">
        <v>5513</v>
      </c>
      <c r="C1" s="556"/>
      <c r="D1" s="269" t="s">
        <v>5514</v>
      </c>
      <c r="E1" s="557" t="s">
        <v>1674</v>
      </c>
      <c r="F1" s="557" t="s">
        <v>4630</v>
      </c>
      <c r="G1" s="558" t="s">
        <v>2106</v>
      </c>
      <c r="H1" s="557" t="s">
        <v>2107</v>
      </c>
      <c r="I1" s="558"/>
      <c r="J1" s="557"/>
      <c r="K1" s="557"/>
      <c r="L1" s="557"/>
      <c r="M1" s="559"/>
      <c r="N1" s="560"/>
      <c r="O1" s="560"/>
      <c r="P1" s="560"/>
      <c r="Q1" s="560"/>
      <c r="R1" s="560"/>
      <c r="S1" s="560"/>
      <c r="T1" s="560"/>
      <c r="U1" s="560"/>
      <c r="V1" s="560"/>
      <c r="W1" s="560"/>
      <c r="X1" s="560"/>
      <c r="Y1" s="560"/>
    </row>
    <row r="2" ht="39.0" customHeight="1">
      <c r="A2" s="277" t="s">
        <v>2108</v>
      </c>
      <c r="B2" s="522" t="s">
        <v>5515</v>
      </c>
      <c r="C2" s="277" t="s">
        <v>2110</v>
      </c>
      <c r="D2" s="277" t="s">
        <v>10</v>
      </c>
      <c r="E2" s="277" t="s">
        <v>11</v>
      </c>
      <c r="F2" s="277" t="s">
        <v>10132</v>
      </c>
      <c r="G2" s="280" t="s">
        <v>12</v>
      </c>
      <c r="H2" s="277" t="s">
        <v>10133</v>
      </c>
      <c r="I2" s="277" t="s">
        <v>9159</v>
      </c>
      <c r="J2" s="522" t="s">
        <v>2111</v>
      </c>
      <c r="K2" s="522" t="s">
        <v>2112</v>
      </c>
      <c r="L2" s="277" t="s">
        <v>2113</v>
      </c>
      <c r="M2" s="277" t="s">
        <v>9160</v>
      </c>
      <c r="N2" s="277" t="s">
        <v>9162</v>
      </c>
      <c r="O2" s="560"/>
      <c r="P2" s="560"/>
      <c r="Q2" s="560"/>
      <c r="R2" s="560"/>
      <c r="S2" s="560"/>
      <c r="T2" s="560"/>
      <c r="U2" s="560"/>
      <c r="V2" s="560"/>
      <c r="W2" s="560"/>
      <c r="X2" s="560"/>
      <c r="Y2" s="560"/>
    </row>
    <row r="3" ht="81.0" customHeight="1">
      <c r="A3" s="370">
        <v>8.60000354E9</v>
      </c>
      <c r="B3" s="299" t="s">
        <v>25</v>
      </c>
      <c r="C3" s="285" t="s">
        <v>3539</v>
      </c>
      <c r="D3" s="285" t="s">
        <v>11482</v>
      </c>
      <c r="E3" s="424" t="s">
        <v>11483</v>
      </c>
      <c r="F3" s="288">
        <v>46020.0</v>
      </c>
      <c r="G3" s="288">
        <v>46013.0</v>
      </c>
      <c r="H3" s="288">
        <v>46029.0</v>
      </c>
      <c r="I3" s="285" t="s">
        <v>11484</v>
      </c>
      <c r="J3" s="561"/>
      <c r="K3" s="561"/>
      <c r="L3" s="290" t="s">
        <v>11485</v>
      </c>
      <c r="M3" s="286">
        <f t="shared" ref="M3:M149" si="1">WEEKNUM(F3)</f>
        <v>53</v>
      </c>
      <c r="N3" s="299" t="s">
        <v>11486</v>
      </c>
      <c r="O3" s="342"/>
      <c r="P3" s="342"/>
      <c r="Q3" s="342"/>
      <c r="R3" s="342"/>
      <c r="S3" s="342"/>
      <c r="T3" s="342"/>
      <c r="U3" s="342"/>
      <c r="V3" s="342"/>
      <c r="W3" s="342"/>
      <c r="X3" s="342"/>
      <c r="Y3" s="342"/>
    </row>
    <row r="4" ht="81.0" customHeight="1">
      <c r="A4" s="370">
        <v>8.600003554E9</v>
      </c>
      <c r="B4" s="299" t="s">
        <v>715</v>
      </c>
      <c r="C4" s="285" t="s">
        <v>2201</v>
      </c>
      <c r="D4" s="285" t="s">
        <v>11487</v>
      </c>
      <c r="E4" s="290" t="s">
        <v>5552</v>
      </c>
      <c r="F4" s="288">
        <v>46015.0</v>
      </c>
      <c r="G4" s="288">
        <v>46012.0</v>
      </c>
      <c r="H4" s="288">
        <v>46027.0</v>
      </c>
      <c r="I4" s="285" t="s">
        <v>11488</v>
      </c>
      <c r="J4" s="561"/>
      <c r="K4" s="561"/>
      <c r="L4" s="290" t="s">
        <v>11489</v>
      </c>
      <c r="M4" s="286">
        <f t="shared" si="1"/>
        <v>52</v>
      </c>
      <c r="N4" s="299" t="s">
        <v>11486</v>
      </c>
      <c r="O4" s="342"/>
      <c r="P4" s="342"/>
      <c r="Q4" s="342"/>
      <c r="R4" s="342"/>
      <c r="S4" s="342"/>
      <c r="T4" s="342"/>
      <c r="U4" s="342"/>
      <c r="V4" s="342"/>
      <c r="W4" s="342"/>
      <c r="X4" s="342"/>
      <c r="Y4" s="342"/>
    </row>
    <row r="5" ht="81.0" customHeight="1">
      <c r="A5" s="370">
        <v>8.50000036E9</v>
      </c>
      <c r="B5" s="299" t="s">
        <v>715</v>
      </c>
      <c r="C5" s="285" t="s">
        <v>2114</v>
      </c>
      <c r="D5" s="285" t="s">
        <v>11490</v>
      </c>
      <c r="E5" s="290" t="s">
        <v>2116</v>
      </c>
      <c r="F5" s="288">
        <v>46014.0</v>
      </c>
      <c r="G5" s="288">
        <v>46009.0</v>
      </c>
      <c r="H5" s="288">
        <v>46024.0</v>
      </c>
      <c r="I5" s="288">
        <v>45659.0</v>
      </c>
      <c r="J5" s="561"/>
      <c r="K5" s="561"/>
      <c r="L5" s="290" t="s">
        <v>11491</v>
      </c>
      <c r="M5" s="286">
        <f t="shared" si="1"/>
        <v>52</v>
      </c>
      <c r="N5" s="299" t="s">
        <v>11486</v>
      </c>
      <c r="O5" s="342"/>
      <c r="P5" s="342"/>
      <c r="Q5" s="342"/>
      <c r="R5" s="342"/>
      <c r="S5" s="342"/>
      <c r="T5" s="342"/>
      <c r="U5" s="342"/>
      <c r="V5" s="342"/>
      <c r="W5" s="342"/>
      <c r="X5" s="342"/>
      <c r="Y5" s="342"/>
    </row>
    <row r="6" ht="81.0" customHeight="1">
      <c r="A6" s="370">
        <v>8.600003528E9</v>
      </c>
      <c r="B6" s="299" t="s">
        <v>715</v>
      </c>
      <c r="C6" s="285" t="s">
        <v>11492</v>
      </c>
      <c r="D6" s="285" t="s">
        <v>11493</v>
      </c>
      <c r="E6" s="290" t="s">
        <v>11494</v>
      </c>
      <c r="F6" s="288">
        <v>46006.0</v>
      </c>
      <c r="G6" s="288">
        <v>46002.0</v>
      </c>
      <c r="H6" s="288">
        <v>46013.0</v>
      </c>
      <c r="I6" s="285" t="s">
        <v>11495</v>
      </c>
      <c r="J6" s="561"/>
      <c r="K6" s="561"/>
      <c r="L6" s="290" t="s">
        <v>11496</v>
      </c>
      <c r="M6" s="286">
        <f t="shared" si="1"/>
        <v>51</v>
      </c>
      <c r="N6" s="299" t="s">
        <v>11486</v>
      </c>
      <c r="O6" s="342"/>
      <c r="P6" s="342"/>
      <c r="Q6" s="342"/>
      <c r="R6" s="342"/>
      <c r="S6" s="342"/>
      <c r="T6" s="342"/>
      <c r="U6" s="342"/>
      <c r="V6" s="342"/>
      <c r="W6" s="342"/>
      <c r="X6" s="342"/>
      <c r="Y6" s="342"/>
    </row>
    <row r="7" ht="81.0" customHeight="1">
      <c r="A7" s="370">
        <v>8.600003543E9</v>
      </c>
      <c r="B7" s="299" t="s">
        <v>25</v>
      </c>
      <c r="C7" s="285" t="s">
        <v>2145</v>
      </c>
      <c r="D7" s="285" t="s">
        <v>11497</v>
      </c>
      <c r="E7" s="290" t="s">
        <v>5552</v>
      </c>
      <c r="F7" s="288">
        <v>46000.0</v>
      </c>
      <c r="G7" s="288">
        <v>45965.0</v>
      </c>
      <c r="H7" s="288">
        <v>46003.0</v>
      </c>
      <c r="I7" s="288">
        <v>46003.0</v>
      </c>
      <c r="J7" s="561"/>
      <c r="K7" s="561"/>
      <c r="L7" s="290" t="s">
        <v>11498</v>
      </c>
      <c r="M7" s="286">
        <f t="shared" si="1"/>
        <v>50</v>
      </c>
      <c r="N7" s="299" t="s">
        <v>11486</v>
      </c>
      <c r="O7" s="342"/>
      <c r="P7" s="342"/>
      <c r="Q7" s="342"/>
      <c r="R7" s="342"/>
      <c r="S7" s="342"/>
      <c r="T7" s="342"/>
      <c r="U7" s="342"/>
      <c r="V7" s="342"/>
      <c r="W7" s="342"/>
      <c r="X7" s="342"/>
      <c r="Y7" s="342"/>
    </row>
    <row r="8" ht="81.0" customHeight="1">
      <c r="A8" s="370">
        <v>8.600003527E9</v>
      </c>
      <c r="B8" s="299" t="s">
        <v>25</v>
      </c>
      <c r="C8" s="285" t="s">
        <v>11499</v>
      </c>
      <c r="D8" s="285" t="s">
        <v>11500</v>
      </c>
      <c r="E8" s="290" t="s">
        <v>11494</v>
      </c>
      <c r="F8" s="288">
        <v>46000.0</v>
      </c>
      <c r="G8" s="288">
        <v>45995.0</v>
      </c>
      <c r="H8" s="288">
        <v>46007.0</v>
      </c>
      <c r="I8" s="285" t="s">
        <v>11501</v>
      </c>
      <c r="J8" s="561"/>
      <c r="K8" s="561"/>
      <c r="L8" s="290" t="s">
        <v>11502</v>
      </c>
      <c r="M8" s="286">
        <f t="shared" si="1"/>
        <v>50</v>
      </c>
      <c r="N8" s="299" t="s">
        <v>11486</v>
      </c>
      <c r="O8" s="342"/>
      <c r="P8" s="342"/>
      <c r="Q8" s="342"/>
      <c r="R8" s="342"/>
      <c r="S8" s="342"/>
      <c r="T8" s="342"/>
      <c r="U8" s="342"/>
      <c r="V8" s="342"/>
      <c r="W8" s="342"/>
      <c r="X8" s="342"/>
      <c r="Y8" s="342"/>
    </row>
    <row r="9" ht="81.0" customHeight="1">
      <c r="A9" s="370">
        <v>8.500000358E9</v>
      </c>
      <c r="B9" s="299" t="s">
        <v>715</v>
      </c>
      <c r="C9" s="285" t="s">
        <v>2127</v>
      </c>
      <c r="D9" s="285" t="s">
        <v>11503</v>
      </c>
      <c r="E9" s="290" t="s">
        <v>5528</v>
      </c>
      <c r="F9" s="288">
        <v>45999.0</v>
      </c>
      <c r="G9" s="288">
        <v>45995.0</v>
      </c>
      <c r="H9" s="288">
        <v>46003.0</v>
      </c>
      <c r="I9" s="288">
        <v>46003.0</v>
      </c>
      <c r="J9" s="561"/>
      <c r="K9" s="561"/>
      <c r="L9" s="290" t="s">
        <v>11504</v>
      </c>
      <c r="M9" s="286">
        <f t="shared" si="1"/>
        <v>50</v>
      </c>
      <c r="N9" s="299" t="s">
        <v>11486</v>
      </c>
      <c r="O9" s="342"/>
      <c r="P9" s="342"/>
      <c r="Q9" s="342"/>
      <c r="R9" s="342"/>
      <c r="S9" s="342"/>
      <c r="T9" s="342"/>
      <c r="U9" s="342"/>
      <c r="V9" s="342"/>
      <c r="W9" s="342"/>
      <c r="X9" s="342"/>
      <c r="Y9" s="342"/>
    </row>
    <row r="10" ht="81.0" customHeight="1">
      <c r="A10" s="370">
        <v>8.600003514E9</v>
      </c>
      <c r="B10" s="299" t="s">
        <v>21</v>
      </c>
      <c r="C10" s="285" t="s">
        <v>2241</v>
      </c>
      <c r="D10" s="285" t="s">
        <v>11505</v>
      </c>
      <c r="E10" s="290" t="s">
        <v>5968</v>
      </c>
      <c r="F10" s="288">
        <v>45994.0</v>
      </c>
      <c r="G10" s="288">
        <v>45992.0</v>
      </c>
      <c r="H10" s="288">
        <v>46001.0</v>
      </c>
      <c r="I10" s="288">
        <v>46001.0</v>
      </c>
      <c r="J10" s="573" t="s">
        <v>11506</v>
      </c>
      <c r="K10" s="296" t="s">
        <v>9178</v>
      </c>
      <c r="L10" s="290" t="s">
        <v>11507</v>
      </c>
      <c r="M10" s="286">
        <f t="shared" si="1"/>
        <v>49</v>
      </c>
      <c r="N10" s="299" t="s">
        <v>11486</v>
      </c>
      <c r="O10" s="342"/>
      <c r="P10" s="342"/>
      <c r="Q10" s="342"/>
      <c r="R10" s="342"/>
      <c r="S10" s="342"/>
      <c r="T10" s="342"/>
      <c r="U10" s="342"/>
      <c r="V10" s="342"/>
      <c r="W10" s="342"/>
      <c r="X10" s="342"/>
      <c r="Y10" s="342"/>
    </row>
    <row r="11" ht="81.0" customHeight="1">
      <c r="A11" s="370">
        <v>8.600003523E9</v>
      </c>
      <c r="B11" s="299" t="s">
        <v>715</v>
      </c>
      <c r="C11" s="285" t="s">
        <v>2338</v>
      </c>
      <c r="D11" s="285" t="s">
        <v>11508</v>
      </c>
      <c r="E11" s="290" t="s">
        <v>8280</v>
      </c>
      <c r="F11" s="288">
        <v>45989.0</v>
      </c>
      <c r="G11" s="288">
        <v>45985.0</v>
      </c>
      <c r="H11" s="288">
        <v>45994.0</v>
      </c>
      <c r="I11" s="285" t="s">
        <v>11509</v>
      </c>
      <c r="J11" s="561"/>
      <c r="K11" s="561"/>
      <c r="L11" s="290" t="s">
        <v>11510</v>
      </c>
      <c r="M11" s="286">
        <f t="shared" si="1"/>
        <v>48</v>
      </c>
      <c r="N11" s="299" t="s">
        <v>11486</v>
      </c>
      <c r="O11" s="342"/>
      <c r="P11" s="342"/>
      <c r="Q11" s="342"/>
      <c r="R11" s="342"/>
      <c r="S11" s="342"/>
      <c r="T11" s="342"/>
      <c r="U11" s="342"/>
      <c r="V11" s="342"/>
      <c r="W11" s="342"/>
      <c r="X11" s="342"/>
      <c r="Y11" s="342"/>
    </row>
    <row r="12" ht="96.75" customHeight="1">
      <c r="A12" s="370">
        <v>8.60000349E9</v>
      </c>
      <c r="B12" s="299" t="s">
        <v>715</v>
      </c>
      <c r="C12" s="285" t="s">
        <v>11511</v>
      </c>
      <c r="D12" s="285" t="s">
        <v>11512</v>
      </c>
      <c r="E12" s="290" t="s">
        <v>11483</v>
      </c>
      <c r="F12" s="288">
        <v>45973.0</v>
      </c>
      <c r="G12" s="288">
        <v>45967.0</v>
      </c>
      <c r="H12" s="288">
        <v>45979.0</v>
      </c>
      <c r="I12" s="285" t="s">
        <v>11513</v>
      </c>
      <c r="J12" s="561"/>
      <c r="K12" s="561"/>
      <c r="L12" s="290" t="s">
        <v>11514</v>
      </c>
      <c r="M12" s="286">
        <f t="shared" si="1"/>
        <v>46</v>
      </c>
      <c r="N12" s="299" t="s">
        <v>11486</v>
      </c>
      <c r="O12" s="342"/>
      <c r="P12" s="342"/>
      <c r="Q12" s="342"/>
      <c r="R12" s="342"/>
      <c r="S12" s="342"/>
      <c r="T12" s="342"/>
      <c r="U12" s="342"/>
      <c r="V12" s="342"/>
      <c r="W12" s="342"/>
      <c r="X12" s="342"/>
      <c r="Y12" s="342"/>
    </row>
    <row r="13" ht="81.0" customHeight="1">
      <c r="A13" s="370">
        <v>8.60000351E9</v>
      </c>
      <c r="B13" s="299" t="s">
        <v>10194</v>
      </c>
      <c r="C13" s="285" t="s">
        <v>11515</v>
      </c>
      <c r="D13" s="285" t="s">
        <v>11516</v>
      </c>
      <c r="E13" s="290" t="s">
        <v>5552</v>
      </c>
      <c r="F13" s="288">
        <v>45970.0</v>
      </c>
      <c r="G13" s="288">
        <v>45975.0</v>
      </c>
      <c r="H13" s="288">
        <v>45979.0</v>
      </c>
      <c r="I13" s="288">
        <v>45979.0</v>
      </c>
      <c r="J13" s="573" t="s">
        <v>11517</v>
      </c>
      <c r="K13" s="296" t="s">
        <v>9178</v>
      </c>
      <c r="L13" s="290" t="s">
        <v>11518</v>
      </c>
      <c r="M13" s="286">
        <f t="shared" si="1"/>
        <v>46</v>
      </c>
      <c r="N13" s="299" t="s">
        <v>11486</v>
      </c>
      <c r="O13" s="342"/>
      <c r="P13" s="342"/>
      <c r="Q13" s="342"/>
      <c r="R13" s="342"/>
      <c r="S13" s="342"/>
      <c r="T13" s="342"/>
      <c r="U13" s="342"/>
      <c r="V13" s="342"/>
      <c r="W13" s="342"/>
      <c r="X13" s="342"/>
      <c r="Y13" s="342"/>
    </row>
    <row r="14" ht="81.0" customHeight="1">
      <c r="A14" s="370">
        <v>8.600003515E9</v>
      </c>
      <c r="B14" s="299" t="s">
        <v>25</v>
      </c>
      <c r="C14" s="285" t="s">
        <v>2419</v>
      </c>
      <c r="D14" s="285" t="s">
        <v>11519</v>
      </c>
      <c r="E14" s="290" t="s">
        <v>8280</v>
      </c>
      <c r="F14" s="288">
        <v>45968.0</v>
      </c>
      <c r="G14" s="288">
        <v>45971.0</v>
      </c>
      <c r="H14" s="288">
        <v>45975.0</v>
      </c>
      <c r="I14" s="288">
        <v>45975.0</v>
      </c>
      <c r="J14" s="561"/>
      <c r="K14" s="561"/>
      <c r="L14" s="290" t="s">
        <v>11520</v>
      </c>
      <c r="M14" s="286">
        <f t="shared" si="1"/>
        <v>45</v>
      </c>
      <c r="N14" s="299" t="s">
        <v>11486</v>
      </c>
      <c r="O14" s="342"/>
      <c r="P14" s="342"/>
      <c r="Q14" s="342"/>
      <c r="R14" s="342"/>
      <c r="S14" s="342"/>
      <c r="T14" s="342"/>
      <c r="U14" s="342"/>
      <c r="V14" s="342"/>
      <c r="W14" s="342"/>
      <c r="X14" s="342"/>
      <c r="Y14" s="342"/>
    </row>
    <row r="15" ht="98.25" customHeight="1">
      <c r="A15" s="370">
        <v>8.600003466E9</v>
      </c>
      <c r="B15" s="299" t="s">
        <v>715</v>
      </c>
      <c r="C15" s="285" t="s">
        <v>2338</v>
      </c>
      <c r="D15" s="285" t="s">
        <v>11521</v>
      </c>
      <c r="E15" s="290" t="s">
        <v>5552</v>
      </c>
      <c r="F15" s="288">
        <v>45967.0</v>
      </c>
      <c r="G15" s="288">
        <v>45971.0</v>
      </c>
      <c r="H15" s="288">
        <v>45973.0</v>
      </c>
      <c r="I15" s="285" t="s">
        <v>11522</v>
      </c>
      <c r="J15" s="561"/>
      <c r="K15" s="561"/>
      <c r="L15" s="290" t="s">
        <v>11523</v>
      </c>
      <c r="M15" s="286">
        <f t="shared" si="1"/>
        <v>45</v>
      </c>
      <c r="N15" s="299" t="s">
        <v>11486</v>
      </c>
      <c r="O15" s="342"/>
      <c r="P15" s="342"/>
      <c r="Q15" s="342"/>
      <c r="R15" s="342"/>
      <c r="S15" s="342"/>
      <c r="T15" s="342"/>
      <c r="U15" s="342"/>
      <c r="V15" s="342"/>
      <c r="W15" s="342"/>
      <c r="X15" s="342"/>
      <c r="Y15" s="342"/>
    </row>
    <row r="16" ht="81.0" customHeight="1">
      <c r="A16" s="370">
        <v>8.600003486E9</v>
      </c>
      <c r="B16" s="299" t="s">
        <v>21</v>
      </c>
      <c r="C16" s="285" t="s">
        <v>11524</v>
      </c>
      <c r="D16" s="285" t="s">
        <v>11525</v>
      </c>
      <c r="E16" s="290" t="s">
        <v>11526</v>
      </c>
      <c r="F16" s="288">
        <v>45967.0</v>
      </c>
      <c r="G16" s="288">
        <v>45961.0</v>
      </c>
      <c r="H16" s="288">
        <v>45978.0</v>
      </c>
      <c r="I16" s="285" t="s">
        <v>11527</v>
      </c>
      <c r="J16" s="573" t="s">
        <v>11528</v>
      </c>
      <c r="K16" s="296" t="s">
        <v>9178</v>
      </c>
      <c r="L16" s="290" t="s">
        <v>11529</v>
      </c>
      <c r="M16" s="286">
        <f t="shared" si="1"/>
        <v>45</v>
      </c>
      <c r="N16" s="299" t="s">
        <v>11486</v>
      </c>
      <c r="O16" s="342"/>
      <c r="P16" s="342"/>
      <c r="Q16" s="342"/>
      <c r="R16" s="342"/>
      <c r="S16" s="342"/>
      <c r="T16" s="342"/>
      <c r="U16" s="342"/>
      <c r="V16" s="342"/>
      <c r="W16" s="342"/>
      <c r="X16" s="342"/>
      <c r="Y16" s="342"/>
    </row>
    <row r="17" ht="88.5" customHeight="1">
      <c r="A17" s="370">
        <v>8.600003483E9</v>
      </c>
      <c r="B17" s="299" t="s">
        <v>25</v>
      </c>
      <c r="C17" s="285" t="s">
        <v>11530</v>
      </c>
      <c r="D17" s="285" t="s">
        <v>11531</v>
      </c>
      <c r="E17" s="290" t="s">
        <v>11483</v>
      </c>
      <c r="F17" s="288">
        <v>45966.0</v>
      </c>
      <c r="G17" s="288">
        <v>45964.0</v>
      </c>
      <c r="H17" s="288">
        <v>45974.0</v>
      </c>
      <c r="I17" s="285" t="s">
        <v>11532</v>
      </c>
      <c r="J17" s="561"/>
      <c r="K17" s="561"/>
      <c r="L17" s="290" t="s">
        <v>11533</v>
      </c>
      <c r="M17" s="286">
        <f t="shared" si="1"/>
        <v>45</v>
      </c>
      <c r="N17" s="299" t="s">
        <v>11486</v>
      </c>
      <c r="O17" s="342"/>
      <c r="P17" s="342"/>
      <c r="Q17" s="342"/>
      <c r="R17" s="342"/>
      <c r="S17" s="342"/>
      <c r="T17" s="342"/>
      <c r="U17" s="342"/>
      <c r="V17" s="342"/>
      <c r="W17" s="342"/>
      <c r="X17" s="342"/>
      <c r="Y17" s="342"/>
    </row>
    <row r="18" ht="81.0" customHeight="1">
      <c r="A18" s="370">
        <v>8.500000357E9</v>
      </c>
      <c r="B18" s="299" t="s">
        <v>25</v>
      </c>
      <c r="C18" s="285" t="s">
        <v>2114</v>
      </c>
      <c r="D18" s="285" t="s">
        <v>11534</v>
      </c>
      <c r="E18" s="290" t="s">
        <v>2116</v>
      </c>
      <c r="F18" s="288">
        <v>45963.0</v>
      </c>
      <c r="G18" s="288">
        <v>45959.0</v>
      </c>
      <c r="H18" s="288">
        <v>45968.0</v>
      </c>
      <c r="I18" s="288">
        <v>45968.0</v>
      </c>
      <c r="J18" s="561"/>
      <c r="K18" s="561"/>
      <c r="L18" s="290" t="s">
        <v>11535</v>
      </c>
      <c r="M18" s="286">
        <f t="shared" si="1"/>
        <v>45</v>
      </c>
      <c r="N18" s="299" t="s">
        <v>11486</v>
      </c>
      <c r="O18" s="342"/>
      <c r="P18" s="342"/>
      <c r="Q18" s="342"/>
      <c r="R18" s="342"/>
      <c r="S18" s="342"/>
      <c r="T18" s="342"/>
      <c r="U18" s="342"/>
      <c r="V18" s="342"/>
      <c r="W18" s="342"/>
      <c r="X18" s="342"/>
      <c r="Y18" s="342"/>
    </row>
    <row r="19" ht="81.0" customHeight="1">
      <c r="A19" s="370">
        <v>8.500000355E9</v>
      </c>
      <c r="B19" s="299" t="s">
        <v>715</v>
      </c>
      <c r="C19" s="285" t="s">
        <v>2114</v>
      </c>
      <c r="D19" s="285" t="s">
        <v>11536</v>
      </c>
      <c r="E19" s="290" t="s">
        <v>2116</v>
      </c>
      <c r="F19" s="288">
        <v>45963.0</v>
      </c>
      <c r="G19" s="288">
        <v>45958.0</v>
      </c>
      <c r="H19" s="288">
        <v>45967.0</v>
      </c>
      <c r="I19" s="288">
        <v>45967.0</v>
      </c>
      <c r="J19" s="561"/>
      <c r="K19" s="561"/>
      <c r="L19" s="290" t="s">
        <v>11537</v>
      </c>
      <c r="M19" s="286">
        <f t="shared" si="1"/>
        <v>45</v>
      </c>
      <c r="N19" s="299" t="s">
        <v>11486</v>
      </c>
      <c r="O19" s="342"/>
      <c r="P19" s="342"/>
      <c r="Q19" s="342"/>
      <c r="R19" s="342"/>
      <c r="S19" s="342"/>
      <c r="T19" s="342"/>
      <c r="U19" s="342"/>
      <c r="V19" s="342"/>
      <c r="W19" s="342"/>
      <c r="X19" s="342"/>
      <c r="Y19" s="342"/>
    </row>
    <row r="20" ht="81.0" customHeight="1">
      <c r="A20" s="370">
        <v>8.500000354E9</v>
      </c>
      <c r="B20" s="299" t="s">
        <v>715</v>
      </c>
      <c r="C20" s="285" t="s">
        <v>2127</v>
      </c>
      <c r="D20" s="285" t="s">
        <v>11538</v>
      </c>
      <c r="E20" s="290" t="s">
        <v>5528</v>
      </c>
      <c r="F20" s="288">
        <v>45951.0</v>
      </c>
      <c r="G20" s="288">
        <v>45945.0</v>
      </c>
      <c r="H20" s="288">
        <v>45954.0</v>
      </c>
      <c r="I20" s="288">
        <v>45954.0</v>
      </c>
      <c r="J20" s="561"/>
      <c r="K20" s="561"/>
      <c r="L20" s="290" t="s">
        <v>11539</v>
      </c>
      <c r="M20" s="286">
        <f t="shared" si="1"/>
        <v>43</v>
      </c>
      <c r="N20" s="299" t="s">
        <v>11486</v>
      </c>
      <c r="O20" s="342"/>
      <c r="P20" s="342"/>
      <c r="Q20" s="342"/>
      <c r="R20" s="342"/>
      <c r="S20" s="342"/>
      <c r="T20" s="342"/>
      <c r="U20" s="342"/>
      <c r="V20" s="342"/>
      <c r="W20" s="342"/>
      <c r="X20" s="342"/>
      <c r="Y20" s="342"/>
    </row>
    <row r="21" ht="81.0" customHeight="1">
      <c r="A21" s="370">
        <v>8.600003447E9</v>
      </c>
      <c r="B21" s="299" t="s">
        <v>715</v>
      </c>
      <c r="C21" s="285" t="s">
        <v>11540</v>
      </c>
      <c r="D21" s="285" t="s">
        <v>11541</v>
      </c>
      <c r="E21" s="290" t="s">
        <v>11542</v>
      </c>
      <c r="F21" s="288">
        <v>45945.0</v>
      </c>
      <c r="G21" s="288">
        <v>45938.0</v>
      </c>
      <c r="H21" s="288">
        <v>45950.0</v>
      </c>
      <c r="I21" s="285" t="s">
        <v>11543</v>
      </c>
      <c r="J21" s="561"/>
      <c r="K21" s="561"/>
      <c r="L21" s="290" t="s">
        <v>11544</v>
      </c>
      <c r="M21" s="286">
        <f t="shared" si="1"/>
        <v>42</v>
      </c>
      <c r="N21" s="299" t="s">
        <v>11486</v>
      </c>
      <c r="O21" s="342"/>
      <c r="P21" s="342"/>
      <c r="Q21" s="342"/>
      <c r="R21" s="342"/>
      <c r="S21" s="342"/>
      <c r="T21" s="342"/>
      <c r="U21" s="342"/>
      <c r="V21" s="342"/>
      <c r="W21" s="342"/>
      <c r="X21" s="342"/>
      <c r="Y21" s="342"/>
    </row>
    <row r="22" ht="81.0" customHeight="1">
      <c r="A22" s="370">
        <v>8.600003451E9</v>
      </c>
      <c r="B22" s="299" t="s">
        <v>21</v>
      </c>
      <c r="C22" s="285" t="s">
        <v>11545</v>
      </c>
      <c r="D22" s="285" t="s">
        <v>11546</v>
      </c>
      <c r="E22" s="290" t="s">
        <v>8183</v>
      </c>
      <c r="F22" s="288">
        <v>45944.0</v>
      </c>
      <c r="G22" s="288">
        <v>45940.0</v>
      </c>
      <c r="H22" s="288">
        <v>45950.0</v>
      </c>
      <c r="I22" s="285" t="s">
        <v>11543</v>
      </c>
      <c r="J22" s="573" t="s">
        <v>11547</v>
      </c>
      <c r="K22" s="296" t="s">
        <v>9178</v>
      </c>
      <c r="L22" s="290" t="s">
        <v>11548</v>
      </c>
      <c r="M22" s="286">
        <f t="shared" si="1"/>
        <v>42</v>
      </c>
      <c r="N22" s="299" t="s">
        <v>11486</v>
      </c>
      <c r="O22" s="342"/>
      <c r="P22" s="342"/>
      <c r="Q22" s="342"/>
      <c r="R22" s="342"/>
      <c r="S22" s="342"/>
      <c r="T22" s="342"/>
      <c r="U22" s="342"/>
      <c r="V22" s="342"/>
      <c r="W22" s="342"/>
      <c r="X22" s="342"/>
      <c r="Y22" s="342"/>
    </row>
    <row r="23" ht="81.0" customHeight="1">
      <c r="A23" s="370">
        <v>8.500000351E9</v>
      </c>
      <c r="B23" s="299" t="s">
        <v>715</v>
      </c>
      <c r="C23" s="285" t="s">
        <v>2322</v>
      </c>
      <c r="D23" s="285" t="s">
        <v>11549</v>
      </c>
      <c r="E23" s="290" t="s">
        <v>2116</v>
      </c>
      <c r="F23" s="288">
        <v>45941.0</v>
      </c>
      <c r="G23" s="288">
        <v>45936.0</v>
      </c>
      <c r="H23" s="288">
        <v>45945.0</v>
      </c>
      <c r="I23" s="288">
        <v>45945.0</v>
      </c>
      <c r="J23" s="561"/>
      <c r="K23" s="561"/>
      <c r="L23" s="290" t="s">
        <v>11550</v>
      </c>
      <c r="M23" s="286">
        <f t="shared" si="1"/>
        <v>41</v>
      </c>
      <c r="N23" s="299" t="s">
        <v>11486</v>
      </c>
      <c r="O23" s="342"/>
      <c r="P23" s="342"/>
      <c r="Q23" s="342"/>
      <c r="R23" s="342"/>
      <c r="S23" s="342"/>
      <c r="T23" s="342"/>
      <c r="U23" s="342"/>
      <c r="V23" s="342"/>
      <c r="W23" s="342"/>
      <c r="X23" s="342"/>
      <c r="Y23" s="342"/>
    </row>
    <row r="24" ht="81.0" customHeight="1">
      <c r="A24" s="370">
        <v>8.50000035E9</v>
      </c>
      <c r="B24" s="299" t="s">
        <v>715</v>
      </c>
      <c r="C24" s="285" t="s">
        <v>2127</v>
      </c>
      <c r="D24" s="285" t="s">
        <v>11551</v>
      </c>
      <c r="E24" s="290" t="s">
        <v>5528</v>
      </c>
      <c r="F24" s="288">
        <v>45935.0</v>
      </c>
      <c r="G24" s="288">
        <v>45930.0</v>
      </c>
      <c r="H24" s="288">
        <v>45939.0</v>
      </c>
      <c r="I24" s="288">
        <v>45939.0</v>
      </c>
      <c r="J24" s="561"/>
      <c r="K24" s="561"/>
      <c r="L24" s="290" t="s">
        <v>11552</v>
      </c>
      <c r="M24" s="286">
        <f t="shared" si="1"/>
        <v>41</v>
      </c>
      <c r="N24" s="299" t="s">
        <v>11486</v>
      </c>
      <c r="O24" s="342"/>
      <c r="P24" s="342"/>
      <c r="Q24" s="342"/>
      <c r="R24" s="342"/>
      <c r="S24" s="342"/>
      <c r="T24" s="342"/>
      <c r="U24" s="342"/>
      <c r="V24" s="342"/>
      <c r="W24" s="342"/>
      <c r="X24" s="342"/>
      <c r="Y24" s="342"/>
    </row>
    <row r="25" ht="81.0" customHeight="1">
      <c r="A25" s="370">
        <v>8.600003435E9</v>
      </c>
      <c r="B25" s="299" t="s">
        <v>715</v>
      </c>
      <c r="C25" s="285" t="s">
        <v>2301</v>
      </c>
      <c r="D25" s="285" t="s">
        <v>11553</v>
      </c>
      <c r="E25" s="290" t="s">
        <v>11554</v>
      </c>
      <c r="F25" s="288">
        <v>45930.0</v>
      </c>
      <c r="G25" s="288">
        <v>45925.0</v>
      </c>
      <c r="H25" s="288">
        <v>45932.0</v>
      </c>
      <c r="I25" s="285" t="s">
        <v>11555</v>
      </c>
      <c r="J25" s="561"/>
      <c r="K25" s="561"/>
      <c r="L25" s="290" t="s">
        <v>11556</v>
      </c>
      <c r="M25" s="286">
        <f t="shared" si="1"/>
        <v>40</v>
      </c>
      <c r="N25" s="299" t="s">
        <v>11486</v>
      </c>
      <c r="O25" s="342"/>
      <c r="P25" s="342"/>
      <c r="Q25" s="342"/>
      <c r="R25" s="342"/>
      <c r="S25" s="342"/>
      <c r="T25" s="342"/>
      <c r="U25" s="342"/>
      <c r="V25" s="342"/>
      <c r="W25" s="342"/>
      <c r="X25" s="342"/>
      <c r="Y25" s="342"/>
    </row>
    <row r="26" ht="81.0" customHeight="1">
      <c r="A26" s="370">
        <v>8.600003465E9</v>
      </c>
      <c r="B26" s="299" t="s">
        <v>25</v>
      </c>
      <c r="C26" s="285" t="s">
        <v>2114</v>
      </c>
      <c r="D26" s="285" t="s">
        <v>11557</v>
      </c>
      <c r="E26" s="290" t="s">
        <v>5552</v>
      </c>
      <c r="F26" s="288">
        <v>45929.0</v>
      </c>
      <c r="G26" s="288">
        <v>45925.0</v>
      </c>
      <c r="H26" s="288">
        <v>45931.0</v>
      </c>
      <c r="I26" s="288">
        <v>45931.0</v>
      </c>
      <c r="J26" s="561"/>
      <c r="K26" s="561"/>
      <c r="L26" s="290" t="s">
        <v>11558</v>
      </c>
      <c r="M26" s="286">
        <f t="shared" si="1"/>
        <v>40</v>
      </c>
      <c r="N26" s="299" t="s">
        <v>11486</v>
      </c>
      <c r="O26" s="342"/>
      <c r="P26" s="342"/>
      <c r="Q26" s="342"/>
      <c r="R26" s="342"/>
      <c r="S26" s="342"/>
      <c r="T26" s="342"/>
      <c r="U26" s="342"/>
      <c r="V26" s="342"/>
      <c r="W26" s="342"/>
      <c r="X26" s="342"/>
      <c r="Y26" s="342"/>
    </row>
    <row r="27" ht="81.0" customHeight="1">
      <c r="A27" s="370">
        <v>8.600003439E9</v>
      </c>
      <c r="B27" s="299" t="s">
        <v>25</v>
      </c>
      <c r="C27" s="285" t="s">
        <v>2188</v>
      </c>
      <c r="D27" s="285" t="s">
        <v>11559</v>
      </c>
      <c r="E27" s="290" t="s">
        <v>11542</v>
      </c>
      <c r="F27" s="288">
        <v>45926.0</v>
      </c>
      <c r="G27" s="288">
        <v>45921.0</v>
      </c>
      <c r="H27" s="288">
        <v>45930.0</v>
      </c>
      <c r="I27" s="288">
        <v>45930.0</v>
      </c>
      <c r="J27" s="561"/>
      <c r="K27" s="561"/>
      <c r="L27" s="290" t="s">
        <v>11560</v>
      </c>
      <c r="M27" s="286">
        <f t="shared" si="1"/>
        <v>39</v>
      </c>
      <c r="N27" s="299" t="s">
        <v>11486</v>
      </c>
      <c r="O27" s="342"/>
      <c r="P27" s="342"/>
      <c r="Q27" s="342"/>
      <c r="R27" s="342"/>
      <c r="S27" s="342"/>
      <c r="T27" s="342"/>
      <c r="U27" s="342"/>
      <c r="V27" s="342"/>
      <c r="W27" s="342"/>
      <c r="X27" s="342"/>
      <c r="Y27" s="342"/>
    </row>
    <row r="28" ht="81.0" customHeight="1">
      <c r="A28" s="370">
        <v>8.600003405E9</v>
      </c>
      <c r="B28" s="299" t="s">
        <v>715</v>
      </c>
      <c r="C28" s="285" t="s">
        <v>5783</v>
      </c>
      <c r="D28" s="285" t="s">
        <v>11561</v>
      </c>
      <c r="E28" s="290" t="s">
        <v>10324</v>
      </c>
      <c r="F28" s="288">
        <v>45921.0</v>
      </c>
      <c r="G28" s="288">
        <v>45916.0</v>
      </c>
      <c r="H28" s="288">
        <v>45926.0</v>
      </c>
      <c r="I28" s="285" t="s">
        <v>11562</v>
      </c>
      <c r="J28" s="561"/>
      <c r="K28" s="561"/>
      <c r="L28" s="290" t="s">
        <v>11563</v>
      </c>
      <c r="M28" s="286">
        <f t="shared" si="1"/>
        <v>39</v>
      </c>
      <c r="N28" s="299" t="s">
        <v>11486</v>
      </c>
      <c r="O28" s="342"/>
      <c r="P28" s="342"/>
      <c r="Q28" s="342"/>
      <c r="R28" s="342"/>
      <c r="S28" s="342"/>
      <c r="T28" s="342"/>
      <c r="U28" s="342"/>
      <c r="V28" s="342"/>
      <c r="W28" s="342"/>
      <c r="X28" s="342"/>
      <c r="Y28" s="342"/>
    </row>
    <row r="29" ht="81.0" customHeight="1">
      <c r="A29" s="370">
        <v>8.600003409E9</v>
      </c>
      <c r="B29" s="285" t="s">
        <v>715</v>
      </c>
      <c r="C29" s="285" t="s">
        <v>3497</v>
      </c>
      <c r="D29" s="285" t="s">
        <v>11564</v>
      </c>
      <c r="E29" s="290" t="s">
        <v>5955</v>
      </c>
      <c r="F29" s="288">
        <v>45919.0</v>
      </c>
      <c r="G29" s="288">
        <v>45915.0</v>
      </c>
      <c r="H29" s="288">
        <v>45925.0</v>
      </c>
      <c r="I29" s="285" t="s">
        <v>11565</v>
      </c>
      <c r="J29" s="561"/>
      <c r="K29" s="561"/>
      <c r="L29" s="290" t="s">
        <v>11566</v>
      </c>
      <c r="M29" s="286">
        <f t="shared" si="1"/>
        <v>38</v>
      </c>
      <c r="N29" s="299" t="s">
        <v>11486</v>
      </c>
      <c r="O29" s="342"/>
      <c r="P29" s="342"/>
      <c r="Q29" s="342"/>
      <c r="R29" s="342"/>
      <c r="S29" s="342"/>
      <c r="T29" s="342"/>
      <c r="U29" s="342"/>
      <c r="V29" s="342"/>
      <c r="W29" s="342"/>
      <c r="X29" s="342"/>
      <c r="Y29" s="342"/>
    </row>
    <row r="30" ht="81.0" customHeight="1">
      <c r="A30" s="370">
        <v>8.600003431E9</v>
      </c>
      <c r="B30" s="299" t="s">
        <v>715</v>
      </c>
      <c r="C30" s="285" t="s">
        <v>2338</v>
      </c>
      <c r="D30" s="285" t="s">
        <v>11567</v>
      </c>
      <c r="E30" s="290" t="s">
        <v>8399</v>
      </c>
      <c r="F30" s="288">
        <v>45919.0</v>
      </c>
      <c r="G30" s="288">
        <v>45916.0</v>
      </c>
      <c r="H30" s="288">
        <v>45923.0</v>
      </c>
      <c r="I30" s="288">
        <v>45923.0</v>
      </c>
      <c r="J30" s="561"/>
      <c r="K30" s="561"/>
      <c r="L30" s="290" t="s">
        <v>11568</v>
      </c>
      <c r="M30" s="286">
        <f t="shared" si="1"/>
        <v>38</v>
      </c>
      <c r="N30" s="299" t="s">
        <v>11486</v>
      </c>
      <c r="O30" s="342"/>
      <c r="P30" s="342"/>
      <c r="Q30" s="342"/>
      <c r="R30" s="342"/>
      <c r="S30" s="342"/>
      <c r="T30" s="342"/>
      <c r="U30" s="342"/>
      <c r="V30" s="342"/>
      <c r="W30" s="342"/>
      <c r="X30" s="342"/>
      <c r="Y30" s="342"/>
    </row>
    <row r="31" ht="81.0" customHeight="1">
      <c r="A31" s="370">
        <v>8.600003417E9</v>
      </c>
      <c r="B31" s="299" t="s">
        <v>715</v>
      </c>
      <c r="C31" s="285" t="s">
        <v>11569</v>
      </c>
      <c r="D31" s="285" t="s">
        <v>11570</v>
      </c>
      <c r="E31" s="290" t="s">
        <v>8183</v>
      </c>
      <c r="F31" s="288">
        <v>45919.0</v>
      </c>
      <c r="G31" s="288">
        <v>45915.0</v>
      </c>
      <c r="H31" s="288">
        <v>45924.0</v>
      </c>
      <c r="I31" s="285" t="s">
        <v>11571</v>
      </c>
      <c r="J31" s="561"/>
      <c r="K31" s="561"/>
      <c r="L31" s="290" t="s">
        <v>11572</v>
      </c>
      <c r="M31" s="286">
        <f t="shared" si="1"/>
        <v>38</v>
      </c>
      <c r="N31" s="299" t="s">
        <v>11486</v>
      </c>
      <c r="O31" s="342"/>
      <c r="P31" s="342"/>
      <c r="Q31" s="342"/>
      <c r="R31" s="342"/>
      <c r="S31" s="342"/>
      <c r="T31" s="342"/>
      <c r="U31" s="342"/>
      <c r="V31" s="342"/>
      <c r="W31" s="342"/>
      <c r="X31" s="342"/>
      <c r="Y31" s="342"/>
    </row>
    <row r="32" ht="81.0" customHeight="1">
      <c r="A32" s="370">
        <v>8.600003438E9</v>
      </c>
      <c r="B32" s="299" t="s">
        <v>25</v>
      </c>
      <c r="C32" s="285" t="s">
        <v>2232</v>
      </c>
      <c r="D32" s="285" t="s">
        <v>11573</v>
      </c>
      <c r="E32" s="290" t="s">
        <v>11574</v>
      </c>
      <c r="F32" s="288">
        <v>45918.0</v>
      </c>
      <c r="G32" s="288">
        <v>45915.0</v>
      </c>
      <c r="H32" s="288">
        <v>45924.0</v>
      </c>
      <c r="I32" s="285" t="s">
        <v>11571</v>
      </c>
      <c r="J32" s="561"/>
      <c r="K32" s="561"/>
      <c r="L32" s="290" t="s">
        <v>11575</v>
      </c>
      <c r="M32" s="286">
        <f t="shared" si="1"/>
        <v>38</v>
      </c>
      <c r="N32" s="299" t="s">
        <v>11486</v>
      </c>
      <c r="O32" s="342"/>
      <c r="P32" s="342"/>
      <c r="Q32" s="342"/>
      <c r="R32" s="342"/>
      <c r="S32" s="342"/>
      <c r="T32" s="342"/>
      <c r="U32" s="342"/>
      <c r="V32" s="342"/>
      <c r="W32" s="342"/>
      <c r="X32" s="342"/>
      <c r="Y32" s="342"/>
    </row>
    <row r="33" ht="81.0" customHeight="1">
      <c r="A33" s="370">
        <v>8.600003443E9</v>
      </c>
      <c r="B33" s="286" t="s">
        <v>21</v>
      </c>
      <c r="C33" s="285" t="s">
        <v>2379</v>
      </c>
      <c r="D33" s="285" t="s">
        <v>11576</v>
      </c>
      <c r="E33" s="290" t="s">
        <v>11577</v>
      </c>
      <c r="F33" s="288">
        <v>45911.0</v>
      </c>
      <c r="G33" s="288">
        <v>45916.0</v>
      </c>
      <c r="H33" s="288">
        <v>45916.0</v>
      </c>
      <c r="I33" s="288">
        <v>45916.0</v>
      </c>
      <c r="J33" s="573" t="s">
        <v>11578</v>
      </c>
      <c r="K33" s="296" t="s">
        <v>9178</v>
      </c>
      <c r="L33" s="290" t="s">
        <v>11579</v>
      </c>
      <c r="M33" s="286">
        <f t="shared" si="1"/>
        <v>37</v>
      </c>
      <c r="N33" s="299" t="s">
        <v>11486</v>
      </c>
      <c r="O33" s="342"/>
      <c r="P33" s="342"/>
      <c r="Q33" s="342"/>
      <c r="R33" s="342"/>
      <c r="S33" s="342"/>
      <c r="T33" s="342"/>
      <c r="U33" s="342"/>
      <c r="V33" s="342"/>
      <c r="W33" s="342"/>
      <c r="X33" s="342"/>
      <c r="Y33" s="342"/>
    </row>
    <row r="34" ht="81.0" customHeight="1">
      <c r="A34" s="370">
        <v>8.600003403E9</v>
      </c>
      <c r="B34" s="299" t="s">
        <v>715</v>
      </c>
      <c r="C34" s="285" t="s">
        <v>2253</v>
      </c>
      <c r="D34" s="285" t="s">
        <v>11580</v>
      </c>
      <c r="E34" s="290" t="s">
        <v>5962</v>
      </c>
      <c r="F34" s="288">
        <v>45910.0</v>
      </c>
      <c r="G34" s="288">
        <v>45902.0</v>
      </c>
      <c r="H34" s="288">
        <v>45912.0</v>
      </c>
      <c r="I34" s="288">
        <v>45912.0</v>
      </c>
      <c r="J34" s="561"/>
      <c r="K34" s="561"/>
      <c r="L34" s="290" t="s">
        <v>11581</v>
      </c>
      <c r="M34" s="286">
        <f t="shared" si="1"/>
        <v>37</v>
      </c>
      <c r="N34" s="299" t="s">
        <v>11486</v>
      </c>
      <c r="O34" s="342"/>
      <c r="P34" s="342"/>
      <c r="Q34" s="342"/>
      <c r="R34" s="342"/>
      <c r="S34" s="342"/>
      <c r="T34" s="342"/>
      <c r="U34" s="342"/>
      <c r="V34" s="342"/>
      <c r="W34" s="342"/>
      <c r="X34" s="342"/>
      <c r="Y34" s="342"/>
    </row>
    <row r="35" ht="81.0" customHeight="1">
      <c r="A35" s="370">
        <v>8.600003412E9</v>
      </c>
      <c r="B35" s="299" t="s">
        <v>21</v>
      </c>
      <c r="C35" s="285" t="s">
        <v>2119</v>
      </c>
      <c r="D35" s="285" t="s">
        <v>11582</v>
      </c>
      <c r="E35" s="290" t="s">
        <v>8183</v>
      </c>
      <c r="F35" s="288">
        <v>45909.0</v>
      </c>
      <c r="G35" s="288">
        <v>45904.0</v>
      </c>
      <c r="H35" s="288">
        <v>45915.0</v>
      </c>
      <c r="I35" s="288">
        <v>45915.0</v>
      </c>
      <c r="J35" s="573" t="s">
        <v>11583</v>
      </c>
      <c r="K35" s="296" t="s">
        <v>9178</v>
      </c>
      <c r="L35" s="290" t="s">
        <v>11584</v>
      </c>
      <c r="M35" s="286">
        <f t="shared" si="1"/>
        <v>37</v>
      </c>
      <c r="N35" s="299" t="s">
        <v>11486</v>
      </c>
      <c r="O35" s="342"/>
      <c r="P35" s="342"/>
      <c r="Q35" s="342"/>
      <c r="R35" s="342"/>
      <c r="S35" s="342"/>
      <c r="T35" s="342"/>
      <c r="U35" s="342"/>
      <c r="V35" s="342"/>
      <c r="W35" s="342"/>
      <c r="X35" s="342"/>
      <c r="Y35" s="342"/>
    </row>
    <row r="36" ht="81.0" customHeight="1">
      <c r="A36" s="575">
        <v>8.600003396E9</v>
      </c>
      <c r="B36" s="286" t="s">
        <v>25</v>
      </c>
      <c r="C36" s="292" t="s">
        <v>2253</v>
      </c>
      <c r="D36" s="557" t="s">
        <v>11585</v>
      </c>
      <c r="E36" s="587" t="s">
        <v>5955</v>
      </c>
      <c r="F36" s="305">
        <v>45905.0</v>
      </c>
      <c r="G36" s="305">
        <v>45901.0</v>
      </c>
      <c r="H36" s="305">
        <v>45911.0</v>
      </c>
      <c r="I36" s="305">
        <v>45911.0</v>
      </c>
      <c r="J36" s="352"/>
      <c r="K36" s="352"/>
      <c r="L36" s="587" t="s">
        <v>11586</v>
      </c>
      <c r="M36" s="286">
        <f t="shared" si="1"/>
        <v>36</v>
      </c>
      <c r="N36" s="286" t="s">
        <v>11486</v>
      </c>
      <c r="O36" s="342"/>
      <c r="P36" s="342"/>
      <c r="Q36" s="342"/>
      <c r="R36" s="342"/>
      <c r="S36" s="342"/>
      <c r="T36" s="342"/>
      <c r="U36" s="342"/>
      <c r="V36" s="342"/>
      <c r="W36" s="342"/>
      <c r="X36" s="342"/>
      <c r="Y36" s="342"/>
    </row>
    <row r="37" ht="81.0" customHeight="1">
      <c r="A37" s="370">
        <v>8.600003436E9</v>
      </c>
      <c r="B37" s="299" t="s">
        <v>25</v>
      </c>
      <c r="C37" s="285" t="s">
        <v>3504</v>
      </c>
      <c r="D37" s="285" t="s">
        <v>11587</v>
      </c>
      <c r="E37" s="290" t="s">
        <v>11588</v>
      </c>
      <c r="F37" s="288">
        <v>45902.0</v>
      </c>
      <c r="G37" s="288">
        <v>45898.0</v>
      </c>
      <c r="H37" s="288">
        <v>45911.0</v>
      </c>
      <c r="I37" s="285" t="s">
        <v>11589</v>
      </c>
      <c r="J37" s="561"/>
      <c r="K37" s="561"/>
      <c r="L37" s="290" t="s">
        <v>11590</v>
      </c>
      <c r="M37" s="286">
        <f t="shared" si="1"/>
        <v>36</v>
      </c>
      <c r="N37" s="299" t="s">
        <v>11486</v>
      </c>
      <c r="O37" s="342"/>
      <c r="P37" s="342"/>
      <c r="Q37" s="342"/>
      <c r="R37" s="342"/>
      <c r="S37" s="342"/>
      <c r="T37" s="342"/>
      <c r="U37" s="342"/>
      <c r="V37" s="342"/>
      <c r="W37" s="342"/>
      <c r="X37" s="342"/>
      <c r="Y37" s="342"/>
    </row>
    <row r="38" ht="81.0" customHeight="1">
      <c r="A38" s="370">
        <v>8.500000348E9</v>
      </c>
      <c r="B38" s="299" t="s">
        <v>715</v>
      </c>
      <c r="C38" s="285" t="s">
        <v>2119</v>
      </c>
      <c r="D38" s="285" t="s">
        <v>11591</v>
      </c>
      <c r="E38" s="290" t="s">
        <v>2116</v>
      </c>
      <c r="F38" s="288">
        <v>45899.0</v>
      </c>
      <c r="G38" s="288">
        <v>45893.0</v>
      </c>
      <c r="H38" s="288">
        <v>45905.0</v>
      </c>
      <c r="I38" s="285" t="s">
        <v>11592</v>
      </c>
      <c r="J38" s="561"/>
      <c r="K38" s="561"/>
      <c r="L38" s="290" t="s">
        <v>11593</v>
      </c>
      <c r="M38" s="286">
        <f t="shared" si="1"/>
        <v>35</v>
      </c>
      <c r="N38" s="299" t="s">
        <v>11486</v>
      </c>
      <c r="O38" s="342"/>
      <c r="P38" s="342"/>
      <c r="Q38" s="342"/>
      <c r="R38" s="342"/>
      <c r="S38" s="342"/>
      <c r="T38" s="342"/>
      <c r="U38" s="342"/>
      <c r="V38" s="342"/>
      <c r="W38" s="342"/>
      <c r="X38" s="342"/>
      <c r="Y38" s="342"/>
    </row>
    <row r="39" ht="81.0" customHeight="1">
      <c r="A39" s="370">
        <v>8.600003395E9</v>
      </c>
      <c r="B39" s="299" t="s">
        <v>715</v>
      </c>
      <c r="C39" s="285" t="s">
        <v>11545</v>
      </c>
      <c r="D39" s="285" t="s">
        <v>11594</v>
      </c>
      <c r="E39" s="290" t="s">
        <v>8183</v>
      </c>
      <c r="F39" s="288">
        <v>45896.0</v>
      </c>
      <c r="G39" s="288">
        <v>45893.0</v>
      </c>
      <c r="H39" s="288">
        <v>45903.0</v>
      </c>
      <c r="I39" s="285" t="s">
        <v>11595</v>
      </c>
      <c r="J39" s="561"/>
      <c r="K39" s="561"/>
      <c r="L39" s="290" t="s">
        <v>11596</v>
      </c>
      <c r="M39" s="299">
        <f t="shared" si="1"/>
        <v>35</v>
      </c>
      <c r="N39" s="299" t="s">
        <v>11486</v>
      </c>
      <c r="O39" s="366"/>
      <c r="P39" s="366"/>
      <c r="Q39" s="366"/>
      <c r="R39" s="366"/>
      <c r="S39" s="366"/>
      <c r="T39" s="366"/>
      <c r="U39" s="366"/>
      <c r="V39" s="366"/>
      <c r="W39" s="366"/>
      <c r="X39" s="366"/>
      <c r="Y39" s="366"/>
    </row>
    <row r="40" ht="81.0" customHeight="1">
      <c r="A40" s="370">
        <v>8.500000346E9</v>
      </c>
      <c r="B40" s="299" t="s">
        <v>715</v>
      </c>
      <c r="C40" s="285" t="s">
        <v>3525</v>
      </c>
      <c r="D40" s="367" t="s">
        <v>11597</v>
      </c>
      <c r="E40" s="290" t="s">
        <v>10225</v>
      </c>
      <c r="F40" s="288">
        <v>45895.0</v>
      </c>
      <c r="G40" s="288">
        <v>45890.0</v>
      </c>
      <c r="H40" s="288">
        <v>45908.0</v>
      </c>
      <c r="I40" s="288">
        <v>45908.0</v>
      </c>
      <c r="J40" s="561"/>
      <c r="K40" s="561"/>
      <c r="L40" s="290" t="s">
        <v>11598</v>
      </c>
      <c r="M40" s="286">
        <f t="shared" si="1"/>
        <v>35</v>
      </c>
      <c r="N40" s="299" t="s">
        <v>11486</v>
      </c>
      <c r="O40" s="342"/>
      <c r="P40" s="342"/>
      <c r="Q40" s="342"/>
      <c r="R40" s="342"/>
      <c r="S40" s="342"/>
      <c r="T40" s="342"/>
      <c r="U40" s="342"/>
      <c r="V40" s="342"/>
      <c r="W40" s="342"/>
      <c r="X40" s="342"/>
      <c r="Y40" s="342"/>
    </row>
    <row r="41" ht="81.0" customHeight="1">
      <c r="A41" s="370">
        <v>8.600003377E9</v>
      </c>
      <c r="B41" s="299" t="s">
        <v>25</v>
      </c>
      <c r="C41" s="285" t="s">
        <v>2205</v>
      </c>
      <c r="D41" s="285" t="s">
        <v>11599</v>
      </c>
      <c r="E41" s="290" t="s">
        <v>8183</v>
      </c>
      <c r="F41" s="288">
        <v>45894.0</v>
      </c>
      <c r="G41" s="288">
        <v>45893.0</v>
      </c>
      <c r="H41" s="288">
        <v>45897.0</v>
      </c>
      <c r="I41" s="288">
        <v>45897.0</v>
      </c>
      <c r="J41" s="561"/>
      <c r="K41" s="561"/>
      <c r="L41" s="290" t="s">
        <v>11600</v>
      </c>
      <c r="M41" s="286">
        <f t="shared" si="1"/>
        <v>35</v>
      </c>
      <c r="N41" s="299" t="s">
        <v>11486</v>
      </c>
      <c r="O41" s="342"/>
      <c r="P41" s="342"/>
      <c r="Q41" s="342"/>
      <c r="R41" s="342"/>
      <c r="S41" s="342"/>
      <c r="T41" s="342"/>
      <c r="U41" s="342"/>
      <c r="V41" s="342"/>
      <c r="W41" s="342"/>
      <c r="X41" s="342"/>
      <c r="Y41" s="342"/>
    </row>
    <row r="42" ht="81.0" customHeight="1">
      <c r="A42" s="370">
        <v>8.600003374E9</v>
      </c>
      <c r="B42" s="299" t="s">
        <v>715</v>
      </c>
      <c r="C42" s="285" t="s">
        <v>2301</v>
      </c>
      <c r="D42" s="285" t="s">
        <v>11601</v>
      </c>
      <c r="E42" s="290" t="s">
        <v>5955</v>
      </c>
      <c r="F42" s="288">
        <v>45894.0</v>
      </c>
      <c r="G42" s="288">
        <v>45889.0</v>
      </c>
      <c r="H42" s="288">
        <v>45902.0</v>
      </c>
      <c r="I42" s="288">
        <v>45902.0</v>
      </c>
      <c r="J42" s="561"/>
      <c r="K42" s="561"/>
      <c r="L42" s="290" t="s">
        <v>11602</v>
      </c>
      <c r="M42" s="286">
        <f t="shared" si="1"/>
        <v>35</v>
      </c>
      <c r="N42" s="299" t="s">
        <v>11486</v>
      </c>
      <c r="O42" s="342"/>
      <c r="P42" s="342"/>
      <c r="Q42" s="342"/>
      <c r="R42" s="342"/>
      <c r="S42" s="342"/>
      <c r="T42" s="342"/>
      <c r="U42" s="342"/>
      <c r="V42" s="342"/>
      <c r="W42" s="342"/>
      <c r="X42" s="342"/>
      <c r="Y42" s="342"/>
    </row>
    <row r="43" ht="89.25" customHeight="1">
      <c r="A43" s="370">
        <v>8.600003363E9</v>
      </c>
      <c r="B43" s="299" t="s">
        <v>715</v>
      </c>
      <c r="C43" s="285" t="s">
        <v>11499</v>
      </c>
      <c r="D43" s="285" t="s">
        <v>11603</v>
      </c>
      <c r="E43" s="290" t="s">
        <v>11604</v>
      </c>
      <c r="F43" s="288">
        <v>45887.0</v>
      </c>
      <c r="G43" s="288">
        <v>45882.0</v>
      </c>
      <c r="H43" s="288">
        <v>45896.0</v>
      </c>
      <c r="I43" s="285" t="s">
        <v>11605</v>
      </c>
      <c r="J43" s="561"/>
      <c r="K43" s="561"/>
      <c r="L43" s="290" t="s">
        <v>11606</v>
      </c>
      <c r="M43" s="286">
        <f t="shared" si="1"/>
        <v>34</v>
      </c>
      <c r="N43" s="299" t="s">
        <v>11486</v>
      </c>
      <c r="O43" s="342"/>
      <c r="P43" s="342"/>
      <c r="Q43" s="342"/>
      <c r="R43" s="342"/>
      <c r="S43" s="342"/>
      <c r="T43" s="342"/>
      <c r="U43" s="342"/>
      <c r="V43" s="342"/>
      <c r="W43" s="342"/>
      <c r="X43" s="342"/>
      <c r="Y43" s="342"/>
    </row>
    <row r="44" ht="81.0" customHeight="1">
      <c r="A44" s="370">
        <v>8.500000344E9</v>
      </c>
      <c r="B44" s="299" t="s">
        <v>715</v>
      </c>
      <c r="C44" s="285" t="s">
        <v>2193</v>
      </c>
      <c r="D44" s="285" t="s">
        <v>11607</v>
      </c>
      <c r="E44" s="290" t="s">
        <v>10225</v>
      </c>
      <c r="F44" s="288">
        <v>45887.0</v>
      </c>
      <c r="G44" s="288">
        <v>45882.0</v>
      </c>
      <c r="H44" s="288">
        <v>45891.0</v>
      </c>
      <c r="I44" s="288">
        <v>45891.0</v>
      </c>
      <c r="J44" s="561"/>
      <c r="K44" s="561"/>
      <c r="L44" s="290" t="s">
        <v>11608</v>
      </c>
      <c r="M44" s="286">
        <f t="shared" si="1"/>
        <v>34</v>
      </c>
      <c r="N44" s="299" t="s">
        <v>11486</v>
      </c>
      <c r="O44" s="342"/>
      <c r="P44" s="342"/>
      <c r="Q44" s="342"/>
      <c r="R44" s="342"/>
      <c r="S44" s="342"/>
      <c r="T44" s="342"/>
      <c r="U44" s="342"/>
      <c r="V44" s="342"/>
      <c r="W44" s="342"/>
      <c r="X44" s="342"/>
      <c r="Y44" s="342"/>
    </row>
    <row r="45" ht="81.0" customHeight="1">
      <c r="A45" s="370">
        <v>8.500000347E9</v>
      </c>
      <c r="B45" s="299" t="s">
        <v>21</v>
      </c>
      <c r="C45" s="285" t="s">
        <v>2168</v>
      </c>
      <c r="D45" s="285" t="s">
        <v>11609</v>
      </c>
      <c r="E45" s="290" t="s">
        <v>10225</v>
      </c>
      <c r="F45" s="288">
        <v>45886.0</v>
      </c>
      <c r="G45" s="288">
        <v>45880.0</v>
      </c>
      <c r="H45" s="288">
        <v>45889.0</v>
      </c>
      <c r="I45" s="288">
        <v>45889.0</v>
      </c>
      <c r="J45" s="573" t="s">
        <v>11610</v>
      </c>
      <c r="K45" s="296" t="s">
        <v>9178</v>
      </c>
      <c r="L45" s="290" t="s">
        <v>11611</v>
      </c>
      <c r="M45" s="286">
        <f t="shared" si="1"/>
        <v>34</v>
      </c>
      <c r="N45" s="299" t="s">
        <v>11486</v>
      </c>
      <c r="O45" s="342"/>
      <c r="P45" s="342"/>
      <c r="Q45" s="342"/>
      <c r="R45" s="342"/>
      <c r="S45" s="342"/>
      <c r="T45" s="342"/>
      <c r="U45" s="342"/>
      <c r="V45" s="342"/>
      <c r="W45" s="342"/>
      <c r="X45" s="342"/>
      <c r="Y45" s="342"/>
    </row>
    <row r="46" ht="81.0" customHeight="1">
      <c r="A46" s="370">
        <v>8.600003401E9</v>
      </c>
      <c r="B46" s="299" t="s">
        <v>21</v>
      </c>
      <c r="C46" s="285" t="s">
        <v>2156</v>
      </c>
      <c r="D46" s="285" t="s">
        <v>11612</v>
      </c>
      <c r="E46" s="290" t="s">
        <v>5552</v>
      </c>
      <c r="F46" s="288">
        <v>45884.0</v>
      </c>
      <c r="G46" s="288">
        <v>45881.0</v>
      </c>
      <c r="H46" s="288">
        <v>45888.0</v>
      </c>
      <c r="I46" s="288">
        <v>45888.0</v>
      </c>
      <c r="J46" s="573" t="s">
        <v>11613</v>
      </c>
      <c r="K46" s="296" t="s">
        <v>9178</v>
      </c>
      <c r="L46" s="290" t="s">
        <v>11614</v>
      </c>
      <c r="M46" s="286">
        <f t="shared" si="1"/>
        <v>33</v>
      </c>
      <c r="N46" s="299" t="s">
        <v>11486</v>
      </c>
      <c r="O46" s="342"/>
      <c r="P46" s="342"/>
      <c r="Q46" s="342"/>
      <c r="R46" s="342"/>
      <c r="S46" s="342"/>
      <c r="T46" s="342"/>
      <c r="U46" s="342"/>
      <c r="V46" s="342"/>
      <c r="W46" s="342"/>
      <c r="X46" s="342"/>
      <c r="Y46" s="342"/>
    </row>
    <row r="47" ht="81.0" customHeight="1">
      <c r="A47" s="370">
        <v>8.600003369E9</v>
      </c>
      <c r="B47" s="299" t="s">
        <v>715</v>
      </c>
      <c r="C47" s="285" t="s">
        <v>2350</v>
      </c>
      <c r="D47" s="285" t="s">
        <v>11615</v>
      </c>
      <c r="E47" s="290" t="s">
        <v>5955</v>
      </c>
      <c r="F47" s="288">
        <v>45876.0</v>
      </c>
      <c r="G47" s="288">
        <v>45873.0</v>
      </c>
      <c r="H47" s="288">
        <v>45883.0</v>
      </c>
      <c r="I47" s="288">
        <v>45883.0</v>
      </c>
      <c r="J47" s="561"/>
      <c r="K47" s="561"/>
      <c r="L47" s="290" t="s">
        <v>11616</v>
      </c>
      <c r="M47" s="286">
        <f t="shared" si="1"/>
        <v>32</v>
      </c>
      <c r="N47" s="299" t="s">
        <v>11486</v>
      </c>
      <c r="O47" s="342"/>
      <c r="P47" s="342"/>
      <c r="Q47" s="342"/>
      <c r="R47" s="342"/>
      <c r="S47" s="342"/>
      <c r="T47" s="342"/>
      <c r="U47" s="342"/>
      <c r="V47" s="342"/>
      <c r="W47" s="342"/>
      <c r="X47" s="342"/>
      <c r="Y47" s="342"/>
    </row>
    <row r="48" ht="81.0" customHeight="1">
      <c r="A48" s="370">
        <v>8.600003356E9</v>
      </c>
      <c r="B48" s="299" t="s">
        <v>715</v>
      </c>
      <c r="C48" s="285" t="s">
        <v>11617</v>
      </c>
      <c r="D48" s="285" t="s">
        <v>11618</v>
      </c>
      <c r="E48" s="290" t="s">
        <v>8183</v>
      </c>
      <c r="F48" s="288">
        <v>45876.0</v>
      </c>
      <c r="G48" s="288">
        <v>45873.0</v>
      </c>
      <c r="H48" s="288">
        <v>45883.0</v>
      </c>
      <c r="I48" s="288">
        <v>45883.0</v>
      </c>
      <c r="J48" s="561"/>
      <c r="K48" s="561"/>
      <c r="L48" s="290" t="s">
        <v>11619</v>
      </c>
      <c r="M48" s="286">
        <f t="shared" si="1"/>
        <v>32</v>
      </c>
      <c r="N48" s="299" t="s">
        <v>11486</v>
      </c>
      <c r="O48" s="342"/>
      <c r="P48" s="342"/>
      <c r="Q48" s="342"/>
      <c r="R48" s="342"/>
      <c r="S48" s="342"/>
      <c r="T48" s="342"/>
      <c r="U48" s="342"/>
      <c r="V48" s="342"/>
      <c r="W48" s="342"/>
      <c r="X48" s="342"/>
      <c r="Y48" s="342"/>
    </row>
    <row r="49" ht="81.0" customHeight="1">
      <c r="A49" s="370">
        <v>8.600003371E9</v>
      </c>
      <c r="B49" s="299" t="s">
        <v>25</v>
      </c>
      <c r="C49" s="285" t="s">
        <v>2343</v>
      </c>
      <c r="D49" s="285" t="s">
        <v>11620</v>
      </c>
      <c r="E49" s="290" t="s">
        <v>5955</v>
      </c>
      <c r="F49" s="288">
        <v>45876.0</v>
      </c>
      <c r="G49" s="288">
        <v>45874.0</v>
      </c>
      <c r="H49" s="288">
        <v>45887.0</v>
      </c>
      <c r="I49" s="288">
        <v>45887.0</v>
      </c>
      <c r="J49" s="561"/>
      <c r="K49" s="561"/>
      <c r="L49" s="290" t="s">
        <v>11621</v>
      </c>
      <c r="M49" s="286">
        <f t="shared" si="1"/>
        <v>32</v>
      </c>
      <c r="N49" s="299" t="s">
        <v>11486</v>
      </c>
      <c r="O49" s="342"/>
      <c r="P49" s="342"/>
      <c r="Q49" s="342"/>
      <c r="R49" s="342"/>
      <c r="S49" s="342"/>
      <c r="T49" s="342"/>
      <c r="U49" s="342"/>
      <c r="V49" s="342"/>
      <c r="W49" s="342"/>
      <c r="X49" s="342"/>
      <c r="Y49" s="342"/>
    </row>
    <row r="50" ht="81.0" customHeight="1">
      <c r="A50" s="370">
        <v>8.600003349E9</v>
      </c>
      <c r="B50" s="299" t="s">
        <v>25</v>
      </c>
      <c r="C50" s="285" t="s">
        <v>2212</v>
      </c>
      <c r="D50" s="285" t="s">
        <v>11622</v>
      </c>
      <c r="E50" s="290" t="s">
        <v>5955</v>
      </c>
      <c r="F50" s="305">
        <v>45876.0</v>
      </c>
      <c r="G50" s="305">
        <v>45873.0</v>
      </c>
      <c r="H50" s="305">
        <v>45888.0</v>
      </c>
      <c r="I50" s="288">
        <v>45888.0</v>
      </c>
      <c r="J50" s="561"/>
      <c r="K50" s="561"/>
      <c r="L50" s="290" t="s">
        <v>11623</v>
      </c>
      <c r="M50" s="286">
        <f t="shared" si="1"/>
        <v>32</v>
      </c>
      <c r="N50" s="299" t="s">
        <v>11486</v>
      </c>
      <c r="O50" s="342"/>
      <c r="P50" s="342"/>
      <c r="Q50" s="342"/>
      <c r="R50" s="342"/>
      <c r="S50" s="342"/>
      <c r="T50" s="342"/>
      <c r="U50" s="342"/>
      <c r="V50" s="342"/>
      <c r="W50" s="342"/>
      <c r="X50" s="342"/>
      <c r="Y50" s="342"/>
    </row>
    <row r="51" ht="81.0" customHeight="1">
      <c r="A51" s="370">
        <v>8.600003393E9</v>
      </c>
      <c r="B51" s="299" t="s">
        <v>25</v>
      </c>
      <c r="C51" s="285" t="s">
        <v>2274</v>
      </c>
      <c r="D51" s="285" t="s">
        <v>11624</v>
      </c>
      <c r="E51" s="290" t="s">
        <v>5926</v>
      </c>
      <c r="F51" s="288">
        <v>45875.0</v>
      </c>
      <c r="G51" s="305">
        <v>45870.0</v>
      </c>
      <c r="H51" s="305">
        <v>45880.0</v>
      </c>
      <c r="I51" s="288">
        <v>45880.0</v>
      </c>
      <c r="J51" s="561"/>
      <c r="K51" s="561"/>
      <c r="L51" s="290" t="s">
        <v>11625</v>
      </c>
      <c r="M51" s="286">
        <f t="shared" si="1"/>
        <v>32</v>
      </c>
      <c r="N51" s="299" t="s">
        <v>11486</v>
      </c>
      <c r="O51" s="342"/>
      <c r="P51" s="342"/>
      <c r="Q51" s="342"/>
      <c r="R51" s="342"/>
      <c r="S51" s="342"/>
      <c r="T51" s="342"/>
      <c r="U51" s="342"/>
      <c r="V51" s="342"/>
      <c r="W51" s="342"/>
      <c r="X51" s="342"/>
      <c r="Y51" s="342"/>
    </row>
    <row r="52" ht="81.0" customHeight="1">
      <c r="A52" s="370">
        <v>8.500000341E9</v>
      </c>
      <c r="B52" s="299" t="s">
        <v>25</v>
      </c>
      <c r="C52" s="285" t="s">
        <v>2119</v>
      </c>
      <c r="D52" s="285" t="s">
        <v>11626</v>
      </c>
      <c r="E52" s="290" t="s">
        <v>8271</v>
      </c>
      <c r="F52" s="288">
        <v>45868.0</v>
      </c>
      <c r="G52" s="372">
        <v>45866.0</v>
      </c>
      <c r="H52" s="372">
        <v>45874.0</v>
      </c>
      <c r="I52" s="288">
        <v>45874.0</v>
      </c>
      <c r="J52" s="561"/>
      <c r="K52" s="561"/>
      <c r="L52" s="290" t="s">
        <v>11627</v>
      </c>
      <c r="M52" s="286">
        <f t="shared" si="1"/>
        <v>31</v>
      </c>
      <c r="N52" s="299" t="s">
        <v>11486</v>
      </c>
      <c r="O52" s="342"/>
      <c r="P52" s="342"/>
      <c r="Q52" s="342"/>
      <c r="R52" s="342"/>
      <c r="S52" s="342"/>
      <c r="T52" s="342"/>
      <c r="U52" s="342"/>
      <c r="V52" s="342"/>
      <c r="W52" s="342"/>
      <c r="X52" s="342"/>
      <c r="Y52" s="342"/>
    </row>
    <row r="53" ht="100.5" customHeight="1">
      <c r="A53" s="370">
        <v>8.600003343E9</v>
      </c>
      <c r="B53" s="299" t="s">
        <v>715</v>
      </c>
      <c r="C53" s="285" t="s">
        <v>11628</v>
      </c>
      <c r="D53" s="285" t="s">
        <v>11629</v>
      </c>
      <c r="E53" s="290" t="s">
        <v>8183</v>
      </c>
      <c r="F53" s="288">
        <v>45864.0</v>
      </c>
      <c r="G53" s="372">
        <v>45859.0</v>
      </c>
      <c r="H53" s="372">
        <v>45873.0</v>
      </c>
      <c r="I53" s="285" t="s">
        <v>11630</v>
      </c>
      <c r="J53" s="561"/>
      <c r="K53" s="561"/>
      <c r="L53" s="290" t="s">
        <v>11631</v>
      </c>
      <c r="M53" s="286">
        <f t="shared" si="1"/>
        <v>30</v>
      </c>
      <c r="N53" s="299" t="s">
        <v>11486</v>
      </c>
      <c r="O53" s="342"/>
      <c r="P53" s="342"/>
      <c r="Q53" s="342"/>
      <c r="R53" s="342"/>
      <c r="S53" s="342"/>
      <c r="T53" s="342"/>
      <c r="U53" s="342"/>
      <c r="V53" s="342"/>
      <c r="W53" s="342"/>
      <c r="X53" s="342"/>
      <c r="Y53" s="342"/>
    </row>
    <row r="54" ht="88.5" customHeight="1">
      <c r="A54" s="370">
        <v>8.600003318E9</v>
      </c>
      <c r="B54" s="299" t="s">
        <v>715</v>
      </c>
      <c r="C54" s="285" t="s">
        <v>11632</v>
      </c>
      <c r="D54" s="285" t="s">
        <v>11633</v>
      </c>
      <c r="E54" s="290" t="s">
        <v>8183</v>
      </c>
      <c r="F54" s="288">
        <v>45860.0</v>
      </c>
      <c r="G54" s="372">
        <v>45852.0</v>
      </c>
      <c r="H54" s="372">
        <v>45866.0</v>
      </c>
      <c r="I54" s="285" t="s">
        <v>11634</v>
      </c>
      <c r="J54" s="561"/>
      <c r="K54" s="561"/>
      <c r="L54" s="290" t="s">
        <v>11635</v>
      </c>
      <c r="M54" s="286">
        <f t="shared" si="1"/>
        <v>30</v>
      </c>
      <c r="N54" s="299" t="s">
        <v>11486</v>
      </c>
      <c r="O54" s="342"/>
      <c r="P54" s="342"/>
      <c r="Q54" s="342"/>
      <c r="R54" s="342"/>
      <c r="S54" s="342"/>
      <c r="T54" s="342"/>
      <c r="U54" s="342"/>
      <c r="V54" s="342"/>
      <c r="W54" s="342"/>
      <c r="X54" s="342"/>
      <c r="Y54" s="342"/>
    </row>
    <row r="55" ht="81.0" customHeight="1">
      <c r="A55" s="575">
        <v>8.600003365E9</v>
      </c>
      <c r="B55" s="285" t="s">
        <v>21</v>
      </c>
      <c r="C55" s="285" t="s">
        <v>11499</v>
      </c>
      <c r="D55" s="285" t="s">
        <v>11636</v>
      </c>
      <c r="E55" s="290" t="s">
        <v>6011</v>
      </c>
      <c r="F55" s="288">
        <v>45858.0</v>
      </c>
      <c r="G55" s="372">
        <v>45859.0</v>
      </c>
      <c r="H55" s="372">
        <v>45867.0</v>
      </c>
      <c r="I55" s="285" t="s">
        <v>11637</v>
      </c>
      <c r="J55" s="573" t="s">
        <v>11638</v>
      </c>
      <c r="K55" s="296" t="s">
        <v>9178</v>
      </c>
      <c r="L55" s="290" t="s">
        <v>11639</v>
      </c>
      <c r="M55" s="286">
        <f t="shared" si="1"/>
        <v>30</v>
      </c>
      <c r="N55" s="299" t="s">
        <v>11486</v>
      </c>
      <c r="O55" s="342"/>
      <c r="P55" s="342"/>
      <c r="Q55" s="342"/>
      <c r="R55" s="342"/>
      <c r="S55" s="342"/>
      <c r="T55" s="342"/>
      <c r="U55" s="342"/>
      <c r="V55" s="342"/>
      <c r="W55" s="342"/>
      <c r="X55" s="342"/>
      <c r="Y55" s="342"/>
    </row>
    <row r="56" ht="81.0" customHeight="1">
      <c r="A56" s="370">
        <v>8.600003335E9</v>
      </c>
      <c r="B56" s="299" t="s">
        <v>715</v>
      </c>
      <c r="C56" s="285" t="s">
        <v>2301</v>
      </c>
      <c r="D56" s="577" t="s">
        <v>11640</v>
      </c>
      <c r="E56" s="290" t="s">
        <v>5955</v>
      </c>
      <c r="F56" s="288">
        <v>45856.0</v>
      </c>
      <c r="G56" s="372">
        <v>45853.0</v>
      </c>
      <c r="H56" s="372">
        <v>45862.0</v>
      </c>
      <c r="I56" s="372">
        <v>45862.0</v>
      </c>
      <c r="J56" s="561"/>
      <c r="K56" s="561"/>
      <c r="L56" s="290" t="s">
        <v>11641</v>
      </c>
      <c r="M56" s="286">
        <f t="shared" si="1"/>
        <v>29</v>
      </c>
      <c r="N56" s="299" t="s">
        <v>11486</v>
      </c>
      <c r="O56" s="342"/>
      <c r="P56" s="342"/>
      <c r="Q56" s="342"/>
      <c r="R56" s="342"/>
      <c r="S56" s="342"/>
      <c r="T56" s="342"/>
      <c r="U56" s="342"/>
      <c r="V56" s="342"/>
      <c r="W56" s="342"/>
      <c r="X56" s="342"/>
      <c r="Y56" s="342"/>
    </row>
    <row r="57" ht="81.0" customHeight="1">
      <c r="A57" s="370">
        <v>8.600003302E9</v>
      </c>
      <c r="B57" s="299" t="s">
        <v>715</v>
      </c>
      <c r="C57" s="285" t="s">
        <v>11642</v>
      </c>
      <c r="D57" s="285" t="s">
        <v>11643</v>
      </c>
      <c r="E57" s="290" t="s">
        <v>11644</v>
      </c>
      <c r="F57" s="288">
        <v>45852.0</v>
      </c>
      <c r="G57" s="372">
        <v>45848.0</v>
      </c>
      <c r="H57" s="372">
        <v>45861.0</v>
      </c>
      <c r="I57" s="299" t="s">
        <v>11645</v>
      </c>
      <c r="J57" s="561"/>
      <c r="K57" s="561"/>
      <c r="L57" s="290" t="s">
        <v>11646</v>
      </c>
      <c r="M57" s="286">
        <f t="shared" si="1"/>
        <v>29</v>
      </c>
      <c r="N57" s="299" t="s">
        <v>11486</v>
      </c>
      <c r="O57" s="342"/>
      <c r="P57" s="342"/>
      <c r="Q57" s="342"/>
      <c r="R57" s="342"/>
      <c r="S57" s="342"/>
      <c r="T57" s="342"/>
      <c r="U57" s="342"/>
      <c r="V57" s="342"/>
      <c r="W57" s="342"/>
      <c r="X57" s="342"/>
      <c r="Y57" s="342"/>
    </row>
    <row r="58" ht="81.0" customHeight="1">
      <c r="A58" s="370">
        <v>8.600003336E9</v>
      </c>
      <c r="B58" s="299" t="s">
        <v>25</v>
      </c>
      <c r="C58" s="285" t="s">
        <v>2379</v>
      </c>
      <c r="D58" s="285" t="s">
        <v>11647</v>
      </c>
      <c r="E58" s="290" t="s">
        <v>8183</v>
      </c>
      <c r="F58" s="288">
        <v>45850.0</v>
      </c>
      <c r="G58" s="372">
        <v>45848.0</v>
      </c>
      <c r="H58" s="372">
        <v>45859.0</v>
      </c>
      <c r="I58" s="372">
        <v>45859.0</v>
      </c>
      <c r="J58" s="561"/>
      <c r="K58" s="561"/>
      <c r="L58" s="290" t="s">
        <v>11648</v>
      </c>
      <c r="M58" s="286">
        <f t="shared" si="1"/>
        <v>28</v>
      </c>
      <c r="N58" s="299" t="s">
        <v>11486</v>
      </c>
      <c r="O58" s="342"/>
      <c r="P58" s="342"/>
      <c r="Q58" s="342"/>
      <c r="R58" s="342"/>
      <c r="S58" s="342"/>
      <c r="T58" s="342"/>
      <c r="U58" s="342"/>
      <c r="V58" s="342"/>
      <c r="W58" s="342"/>
      <c r="X58" s="342"/>
      <c r="Y58" s="342"/>
    </row>
    <row r="59" ht="81.0" customHeight="1">
      <c r="A59" s="575">
        <v>8.600003324E9</v>
      </c>
      <c r="B59" s="299" t="s">
        <v>715</v>
      </c>
      <c r="C59" s="285" t="s">
        <v>2205</v>
      </c>
      <c r="D59" s="285" t="s">
        <v>11649</v>
      </c>
      <c r="E59" s="290" t="s">
        <v>5552</v>
      </c>
      <c r="F59" s="288">
        <v>45849.0</v>
      </c>
      <c r="G59" s="372">
        <v>45847.0</v>
      </c>
      <c r="H59" s="372">
        <v>45859.0</v>
      </c>
      <c r="I59" s="299" t="s">
        <v>11650</v>
      </c>
      <c r="J59" s="561"/>
      <c r="K59" s="561"/>
      <c r="L59" s="290" t="s">
        <v>11651</v>
      </c>
      <c r="M59" s="286">
        <f t="shared" si="1"/>
        <v>28</v>
      </c>
      <c r="N59" s="299" t="s">
        <v>11486</v>
      </c>
      <c r="O59" s="342"/>
      <c r="P59" s="342"/>
      <c r="Q59" s="342"/>
      <c r="R59" s="342"/>
      <c r="S59" s="342"/>
      <c r="T59" s="342"/>
      <c r="U59" s="342"/>
      <c r="V59" s="342"/>
      <c r="W59" s="342"/>
      <c r="X59" s="342"/>
      <c r="Y59" s="342"/>
    </row>
    <row r="60" ht="81.0" customHeight="1">
      <c r="A60" s="575">
        <v>8.600003331E9</v>
      </c>
      <c r="B60" s="299" t="s">
        <v>715</v>
      </c>
      <c r="C60" s="285" t="s">
        <v>11652</v>
      </c>
      <c r="D60" s="285" t="s">
        <v>11653</v>
      </c>
      <c r="E60" s="290" t="s">
        <v>11654</v>
      </c>
      <c r="F60" s="288">
        <v>45848.0</v>
      </c>
      <c r="G60" s="372">
        <v>45846.0</v>
      </c>
      <c r="H60" s="372">
        <v>45855.0</v>
      </c>
      <c r="I60" s="299" t="s">
        <v>11655</v>
      </c>
      <c r="J60" s="561"/>
      <c r="K60" s="561"/>
      <c r="L60" s="290" t="s">
        <v>11656</v>
      </c>
      <c r="M60" s="286">
        <f t="shared" si="1"/>
        <v>28</v>
      </c>
      <c r="N60" s="299" t="s">
        <v>11486</v>
      </c>
      <c r="O60" s="342"/>
      <c r="P60" s="342"/>
      <c r="Q60" s="342"/>
      <c r="R60" s="342"/>
      <c r="S60" s="342"/>
      <c r="T60" s="342"/>
      <c r="U60" s="342"/>
      <c r="V60" s="342"/>
      <c r="W60" s="342"/>
      <c r="X60" s="342"/>
      <c r="Y60" s="342"/>
    </row>
    <row r="61" ht="81.0" customHeight="1">
      <c r="A61" s="575">
        <v>8.500000337E9</v>
      </c>
      <c r="B61" s="299" t="s">
        <v>715</v>
      </c>
      <c r="C61" s="285" t="s">
        <v>2322</v>
      </c>
      <c r="D61" s="285" t="s">
        <v>11657</v>
      </c>
      <c r="E61" s="290" t="s">
        <v>2116</v>
      </c>
      <c r="F61" s="288">
        <v>45848.0</v>
      </c>
      <c r="G61" s="372">
        <v>45846.0</v>
      </c>
      <c r="H61" s="372">
        <v>45856.0</v>
      </c>
      <c r="I61" s="372">
        <v>45856.0</v>
      </c>
      <c r="J61" s="561"/>
      <c r="K61" s="561"/>
      <c r="L61" s="290" t="s">
        <v>11658</v>
      </c>
      <c r="M61" s="286">
        <f t="shared" si="1"/>
        <v>28</v>
      </c>
      <c r="N61" s="299" t="s">
        <v>11486</v>
      </c>
      <c r="O61" s="342"/>
      <c r="P61" s="342"/>
      <c r="Q61" s="342"/>
      <c r="R61" s="342"/>
      <c r="S61" s="342"/>
      <c r="T61" s="342"/>
      <c r="U61" s="342"/>
      <c r="V61" s="342"/>
      <c r="W61" s="342"/>
      <c r="X61" s="342"/>
      <c r="Y61" s="342"/>
    </row>
    <row r="62" ht="81.0" customHeight="1">
      <c r="A62" s="575">
        <v>8.600003314E9</v>
      </c>
      <c r="B62" s="299" t="s">
        <v>715</v>
      </c>
      <c r="C62" s="285" t="s">
        <v>2225</v>
      </c>
      <c r="D62" s="285" t="s">
        <v>11659</v>
      </c>
      <c r="E62" s="290" t="s">
        <v>8183</v>
      </c>
      <c r="F62" s="288">
        <v>45848.0</v>
      </c>
      <c r="G62" s="288">
        <v>45846.0</v>
      </c>
      <c r="H62" s="372">
        <v>45856.0</v>
      </c>
      <c r="I62" s="372">
        <v>45856.0</v>
      </c>
      <c r="J62" s="561"/>
      <c r="K62" s="561"/>
      <c r="L62" s="290" t="s">
        <v>11660</v>
      </c>
      <c r="M62" s="286">
        <f t="shared" si="1"/>
        <v>28</v>
      </c>
      <c r="N62" s="299" t="s">
        <v>11486</v>
      </c>
      <c r="O62" s="342"/>
      <c r="P62" s="342"/>
      <c r="Q62" s="342"/>
      <c r="R62" s="342"/>
      <c r="S62" s="342"/>
      <c r="T62" s="342"/>
      <c r="U62" s="342"/>
      <c r="V62" s="342"/>
      <c r="W62" s="342"/>
      <c r="X62" s="342"/>
      <c r="Y62" s="342"/>
    </row>
    <row r="63" ht="81.0" customHeight="1">
      <c r="A63" s="575">
        <v>8.500000338E9</v>
      </c>
      <c r="B63" s="299" t="s">
        <v>715</v>
      </c>
      <c r="C63" s="285" t="s">
        <v>2127</v>
      </c>
      <c r="D63" s="285" t="s">
        <v>11661</v>
      </c>
      <c r="E63" s="587" t="s">
        <v>5528</v>
      </c>
      <c r="F63" s="305">
        <v>45848.0</v>
      </c>
      <c r="G63" s="372">
        <v>45848.0</v>
      </c>
      <c r="H63" s="372">
        <v>45856.0</v>
      </c>
      <c r="I63" s="372">
        <v>45856.0</v>
      </c>
      <c r="J63" s="561"/>
      <c r="K63" s="561"/>
      <c r="L63" s="587" t="s">
        <v>11662</v>
      </c>
      <c r="M63" s="286">
        <f t="shared" si="1"/>
        <v>28</v>
      </c>
      <c r="N63" s="299" t="s">
        <v>11486</v>
      </c>
      <c r="O63" s="342"/>
      <c r="P63" s="342"/>
      <c r="Q63" s="342"/>
      <c r="R63" s="342"/>
      <c r="S63" s="342"/>
      <c r="T63" s="342"/>
      <c r="U63" s="342"/>
      <c r="V63" s="342"/>
      <c r="W63" s="342"/>
      <c r="X63" s="342"/>
      <c r="Y63" s="342"/>
    </row>
    <row r="64" ht="81.0" customHeight="1">
      <c r="A64" s="575">
        <v>8.600003329E9</v>
      </c>
      <c r="B64" s="285" t="s">
        <v>21</v>
      </c>
      <c r="C64" s="285" t="s">
        <v>11663</v>
      </c>
      <c r="D64" s="285" t="s">
        <v>11664</v>
      </c>
      <c r="E64" s="290" t="s">
        <v>11654</v>
      </c>
      <c r="F64" s="305">
        <v>45848.0</v>
      </c>
      <c r="G64" s="288">
        <v>45846.0</v>
      </c>
      <c r="H64" s="372">
        <v>45856.0</v>
      </c>
      <c r="I64" s="299" t="s">
        <v>11665</v>
      </c>
      <c r="J64" s="428" t="s">
        <v>4916</v>
      </c>
      <c r="K64" s="296"/>
      <c r="L64" s="290" t="s">
        <v>11666</v>
      </c>
      <c r="M64" s="286">
        <f t="shared" si="1"/>
        <v>28</v>
      </c>
      <c r="N64" s="299" t="s">
        <v>11486</v>
      </c>
      <c r="O64" s="342"/>
      <c r="P64" s="342"/>
      <c r="Q64" s="342"/>
      <c r="R64" s="342"/>
      <c r="S64" s="342"/>
      <c r="T64" s="342"/>
      <c r="U64" s="342"/>
      <c r="V64" s="342"/>
      <c r="W64" s="342"/>
      <c r="X64" s="342"/>
      <c r="Y64" s="342"/>
    </row>
    <row r="65" ht="81.0" customHeight="1">
      <c r="A65" s="370">
        <v>8.600003353E9</v>
      </c>
      <c r="B65" s="299" t="s">
        <v>25</v>
      </c>
      <c r="C65" s="285" t="s">
        <v>2343</v>
      </c>
      <c r="D65" s="285" t="s">
        <v>11667</v>
      </c>
      <c r="E65" s="290" t="s">
        <v>8265</v>
      </c>
      <c r="F65" s="288">
        <v>45846.0</v>
      </c>
      <c r="G65" s="288">
        <v>45845.0</v>
      </c>
      <c r="H65" s="372">
        <v>45852.0</v>
      </c>
      <c r="I65" s="372">
        <v>45852.0</v>
      </c>
      <c r="J65" s="561"/>
      <c r="K65" s="561"/>
      <c r="L65" s="290" t="s">
        <v>11668</v>
      </c>
      <c r="M65" s="286">
        <f t="shared" si="1"/>
        <v>28</v>
      </c>
      <c r="N65" s="299" t="s">
        <v>11486</v>
      </c>
      <c r="O65" s="342"/>
      <c r="P65" s="342"/>
      <c r="Q65" s="342"/>
      <c r="R65" s="342"/>
      <c r="S65" s="342"/>
      <c r="T65" s="342"/>
      <c r="U65" s="342"/>
      <c r="V65" s="342"/>
      <c r="W65" s="342"/>
      <c r="X65" s="342"/>
      <c r="Y65" s="342"/>
    </row>
    <row r="66" ht="81.0" customHeight="1">
      <c r="A66" s="370">
        <v>8.600003313E9</v>
      </c>
      <c r="B66" s="299" t="s">
        <v>715</v>
      </c>
      <c r="C66" s="285" t="s">
        <v>11669</v>
      </c>
      <c r="D66" s="285" t="s">
        <v>11670</v>
      </c>
      <c r="E66" s="290" t="s">
        <v>5955</v>
      </c>
      <c r="F66" s="288">
        <v>45845.0</v>
      </c>
      <c r="G66" s="305">
        <v>45846.0</v>
      </c>
      <c r="H66" s="305">
        <v>45849.0</v>
      </c>
      <c r="I66" s="305">
        <v>45852.0</v>
      </c>
      <c r="J66" s="561"/>
      <c r="K66" s="561"/>
      <c r="L66" s="588" t="s">
        <v>11671</v>
      </c>
      <c r="M66" s="286">
        <f t="shared" si="1"/>
        <v>28</v>
      </c>
      <c r="N66" s="299" t="s">
        <v>11486</v>
      </c>
      <c r="O66" s="342"/>
      <c r="P66" s="342"/>
      <c r="Q66" s="342"/>
      <c r="R66" s="342"/>
      <c r="S66" s="342"/>
      <c r="T66" s="342"/>
      <c r="U66" s="342"/>
      <c r="V66" s="342"/>
      <c r="W66" s="342"/>
      <c r="X66" s="342"/>
      <c r="Y66" s="342"/>
    </row>
    <row r="67" ht="81.0" customHeight="1">
      <c r="A67" s="370">
        <v>8.600003285E9</v>
      </c>
      <c r="B67" s="299" t="s">
        <v>715</v>
      </c>
      <c r="C67" s="285" t="s">
        <v>2232</v>
      </c>
      <c r="D67" s="285" t="s">
        <v>11672</v>
      </c>
      <c r="E67" s="290" t="s">
        <v>8183</v>
      </c>
      <c r="F67" s="288">
        <v>45845.0</v>
      </c>
      <c r="G67" s="288">
        <v>45840.0</v>
      </c>
      <c r="H67" s="372">
        <v>45848.0</v>
      </c>
      <c r="I67" s="305">
        <v>45848.0</v>
      </c>
      <c r="J67" s="561"/>
      <c r="K67" s="561"/>
      <c r="L67" s="424" t="s">
        <v>11673</v>
      </c>
      <c r="M67" s="286">
        <f t="shared" si="1"/>
        <v>28</v>
      </c>
      <c r="N67" s="299" t="s">
        <v>11486</v>
      </c>
      <c r="O67" s="342"/>
      <c r="P67" s="342"/>
      <c r="Q67" s="342"/>
      <c r="R67" s="342"/>
      <c r="S67" s="342"/>
      <c r="T67" s="342"/>
      <c r="U67" s="342"/>
      <c r="V67" s="342"/>
      <c r="W67" s="342"/>
      <c r="X67" s="342"/>
      <c r="Y67" s="342"/>
    </row>
    <row r="68" ht="81.0" customHeight="1">
      <c r="A68" s="370">
        <v>8.600003294E9</v>
      </c>
      <c r="B68" s="299" t="s">
        <v>25</v>
      </c>
      <c r="C68" s="285" t="s">
        <v>2379</v>
      </c>
      <c r="D68" s="285" t="s">
        <v>11674</v>
      </c>
      <c r="E68" s="290" t="s">
        <v>8183</v>
      </c>
      <c r="F68" s="288">
        <v>45842.0</v>
      </c>
      <c r="G68" s="288">
        <v>45823.0</v>
      </c>
      <c r="H68" s="372">
        <v>45847.0</v>
      </c>
      <c r="I68" s="305">
        <v>45847.0</v>
      </c>
      <c r="J68" s="561"/>
      <c r="K68" s="561"/>
      <c r="L68" s="290" t="s">
        <v>11675</v>
      </c>
      <c r="M68" s="286">
        <f t="shared" si="1"/>
        <v>27</v>
      </c>
      <c r="N68" s="299" t="s">
        <v>11486</v>
      </c>
      <c r="O68" s="342"/>
      <c r="P68" s="342"/>
      <c r="Q68" s="342"/>
      <c r="R68" s="342"/>
      <c r="S68" s="342"/>
      <c r="T68" s="342"/>
      <c r="U68" s="342"/>
      <c r="V68" s="342"/>
      <c r="W68" s="342"/>
      <c r="X68" s="342"/>
      <c r="Y68" s="342"/>
    </row>
    <row r="69" ht="81.0" customHeight="1">
      <c r="A69" s="370">
        <v>8.60000329E9</v>
      </c>
      <c r="B69" s="299" t="s">
        <v>25</v>
      </c>
      <c r="C69" s="285" t="s">
        <v>2193</v>
      </c>
      <c r="D69" s="285" t="s">
        <v>11676</v>
      </c>
      <c r="E69" s="290" t="s">
        <v>5955</v>
      </c>
      <c r="F69" s="288">
        <v>45842.0</v>
      </c>
      <c r="G69" s="288">
        <v>45833.0</v>
      </c>
      <c r="H69" s="288">
        <v>45846.0</v>
      </c>
      <c r="I69" s="288">
        <v>45846.0</v>
      </c>
      <c r="J69" s="561"/>
      <c r="K69" s="561"/>
      <c r="L69" s="290" t="s">
        <v>11677</v>
      </c>
      <c r="M69" s="286">
        <f t="shared" si="1"/>
        <v>27</v>
      </c>
      <c r="N69" s="299" t="s">
        <v>11486</v>
      </c>
      <c r="O69" s="342"/>
      <c r="P69" s="342"/>
      <c r="Q69" s="342"/>
      <c r="R69" s="342"/>
      <c r="S69" s="342"/>
      <c r="T69" s="342"/>
      <c r="U69" s="342"/>
      <c r="V69" s="342"/>
      <c r="W69" s="342"/>
      <c r="X69" s="342"/>
      <c r="Y69" s="342"/>
    </row>
    <row r="70" ht="81.0" customHeight="1">
      <c r="A70" s="370">
        <v>8.600003322E9</v>
      </c>
      <c r="B70" s="299" t="s">
        <v>25</v>
      </c>
      <c r="C70" s="285" t="s">
        <v>3650</v>
      </c>
      <c r="D70" s="285" t="s">
        <v>11678</v>
      </c>
      <c r="E70" s="290" t="s">
        <v>11654</v>
      </c>
      <c r="F70" s="288">
        <v>45841.0</v>
      </c>
      <c r="G70" s="288">
        <v>45838.0</v>
      </c>
      <c r="H70" s="288">
        <v>45847.0</v>
      </c>
      <c r="I70" s="305">
        <v>45847.0</v>
      </c>
      <c r="J70" s="561"/>
      <c r="K70" s="561"/>
      <c r="L70" s="290" t="s">
        <v>11679</v>
      </c>
      <c r="M70" s="286">
        <f t="shared" si="1"/>
        <v>27</v>
      </c>
      <c r="N70" s="299" t="s">
        <v>11486</v>
      </c>
      <c r="O70" s="342"/>
      <c r="P70" s="342"/>
      <c r="Q70" s="342"/>
      <c r="R70" s="342"/>
      <c r="S70" s="342"/>
      <c r="T70" s="342"/>
      <c r="U70" s="342"/>
      <c r="V70" s="342"/>
      <c r="W70" s="342"/>
      <c r="X70" s="342"/>
      <c r="Y70" s="342"/>
    </row>
    <row r="71" ht="81.0" customHeight="1">
      <c r="A71" s="370">
        <v>8.600003284E9</v>
      </c>
      <c r="B71" s="299" t="s">
        <v>715</v>
      </c>
      <c r="C71" s="285" t="s">
        <v>11499</v>
      </c>
      <c r="D71" s="285" t="s">
        <v>11680</v>
      </c>
      <c r="E71" s="290" t="s">
        <v>5955</v>
      </c>
      <c r="F71" s="288">
        <v>45840.0</v>
      </c>
      <c r="G71" s="288">
        <v>45831.0</v>
      </c>
      <c r="H71" s="288">
        <v>45845.0</v>
      </c>
      <c r="I71" s="288">
        <v>45845.0</v>
      </c>
      <c r="J71" s="561"/>
      <c r="K71" s="561"/>
      <c r="L71" s="290" t="s">
        <v>11681</v>
      </c>
      <c r="M71" s="286">
        <f t="shared" si="1"/>
        <v>27</v>
      </c>
      <c r="N71" s="299" t="s">
        <v>11486</v>
      </c>
      <c r="O71" s="342"/>
      <c r="P71" s="342"/>
      <c r="Q71" s="342"/>
      <c r="R71" s="342"/>
      <c r="S71" s="342"/>
      <c r="T71" s="342"/>
      <c r="U71" s="342"/>
      <c r="V71" s="342"/>
      <c r="W71" s="342"/>
      <c r="X71" s="342"/>
      <c r="Y71" s="342"/>
    </row>
    <row r="72" ht="81.0" customHeight="1">
      <c r="A72" s="370">
        <v>8.600003325E9</v>
      </c>
      <c r="B72" s="285" t="s">
        <v>21</v>
      </c>
      <c r="C72" s="285" t="s">
        <v>11545</v>
      </c>
      <c r="D72" s="285" t="s">
        <v>11682</v>
      </c>
      <c r="E72" s="290" t="s">
        <v>5926</v>
      </c>
      <c r="F72" s="288">
        <v>45833.0</v>
      </c>
      <c r="G72" s="288">
        <v>45826.0</v>
      </c>
      <c r="H72" s="288">
        <v>45840.0</v>
      </c>
      <c r="I72" s="285" t="s">
        <v>11683</v>
      </c>
      <c r="J72" s="573" t="s">
        <v>4916</v>
      </c>
      <c r="K72" s="296"/>
      <c r="L72" s="290" t="s">
        <v>11684</v>
      </c>
      <c r="M72" s="286">
        <f t="shared" si="1"/>
        <v>26</v>
      </c>
      <c r="N72" s="299" t="s">
        <v>11486</v>
      </c>
      <c r="O72" s="342"/>
      <c r="P72" s="342"/>
      <c r="Q72" s="342"/>
      <c r="R72" s="342"/>
      <c r="S72" s="342"/>
      <c r="T72" s="342"/>
      <c r="U72" s="342"/>
      <c r="V72" s="342"/>
      <c r="W72" s="342"/>
      <c r="X72" s="342"/>
      <c r="Y72" s="342"/>
    </row>
    <row r="73" ht="81.0" customHeight="1">
      <c r="A73" s="370">
        <v>8.6000033E9</v>
      </c>
      <c r="B73" s="285" t="s">
        <v>21</v>
      </c>
      <c r="C73" s="285" t="s">
        <v>2241</v>
      </c>
      <c r="D73" s="285" t="s">
        <v>11685</v>
      </c>
      <c r="E73" s="290" t="s">
        <v>5955</v>
      </c>
      <c r="F73" s="288">
        <v>45832.0</v>
      </c>
      <c r="G73" s="288">
        <v>45831.0</v>
      </c>
      <c r="H73" s="288">
        <v>45839.0</v>
      </c>
      <c r="I73" s="305">
        <v>45839.0</v>
      </c>
      <c r="J73" s="573" t="s">
        <v>4916</v>
      </c>
      <c r="K73" s="296"/>
      <c r="L73" s="290" t="s">
        <v>11686</v>
      </c>
      <c r="M73" s="286">
        <f t="shared" si="1"/>
        <v>26</v>
      </c>
      <c r="N73" s="299" t="s">
        <v>11486</v>
      </c>
      <c r="O73" s="342"/>
      <c r="P73" s="342"/>
      <c r="Q73" s="342"/>
      <c r="R73" s="342"/>
      <c r="S73" s="342"/>
      <c r="T73" s="342"/>
      <c r="U73" s="342"/>
      <c r="V73" s="342"/>
      <c r="W73" s="342"/>
      <c r="X73" s="342"/>
      <c r="Y73" s="342"/>
    </row>
    <row r="74" ht="81.0" customHeight="1">
      <c r="A74" s="370">
        <v>8.50000034E9</v>
      </c>
      <c r="B74" s="299" t="s">
        <v>25</v>
      </c>
      <c r="C74" s="285" t="s">
        <v>2114</v>
      </c>
      <c r="D74" s="285" t="s">
        <v>11687</v>
      </c>
      <c r="E74" s="290" t="s">
        <v>2116</v>
      </c>
      <c r="F74" s="288">
        <v>45829.0</v>
      </c>
      <c r="G74" s="288">
        <v>45824.0</v>
      </c>
      <c r="H74" s="288">
        <v>45833.0</v>
      </c>
      <c r="I74" s="305">
        <v>45833.0</v>
      </c>
      <c r="J74" s="561"/>
      <c r="K74" s="561"/>
      <c r="L74" s="290" t="s">
        <v>11688</v>
      </c>
      <c r="M74" s="286">
        <f t="shared" si="1"/>
        <v>25</v>
      </c>
      <c r="N74" s="299" t="s">
        <v>11486</v>
      </c>
      <c r="O74" s="342"/>
      <c r="P74" s="342"/>
      <c r="Q74" s="342"/>
      <c r="R74" s="342"/>
      <c r="S74" s="342"/>
      <c r="T74" s="342"/>
      <c r="U74" s="342"/>
      <c r="V74" s="342"/>
      <c r="W74" s="342"/>
      <c r="X74" s="342"/>
      <c r="Y74" s="342"/>
    </row>
    <row r="75" ht="81.0" customHeight="1">
      <c r="A75" s="370">
        <v>8.60000327E9</v>
      </c>
      <c r="B75" s="299" t="s">
        <v>715</v>
      </c>
      <c r="C75" s="285" t="s">
        <v>2311</v>
      </c>
      <c r="D75" s="285" t="s">
        <v>11689</v>
      </c>
      <c r="E75" s="290" t="s">
        <v>5962</v>
      </c>
      <c r="F75" s="288">
        <v>45827.0</v>
      </c>
      <c r="G75" s="288">
        <v>45823.0</v>
      </c>
      <c r="H75" s="288">
        <v>45834.0</v>
      </c>
      <c r="I75" s="288">
        <v>45834.0</v>
      </c>
      <c r="J75" s="561"/>
      <c r="K75" s="561"/>
      <c r="L75" s="290" t="s">
        <v>11690</v>
      </c>
      <c r="M75" s="286">
        <f t="shared" si="1"/>
        <v>25</v>
      </c>
      <c r="N75" s="299" t="s">
        <v>11486</v>
      </c>
      <c r="O75" s="342"/>
      <c r="P75" s="342"/>
      <c r="Q75" s="342"/>
      <c r="R75" s="342"/>
      <c r="S75" s="342"/>
      <c r="T75" s="342"/>
      <c r="U75" s="342"/>
      <c r="V75" s="342"/>
      <c r="W75" s="342"/>
      <c r="X75" s="342"/>
      <c r="Y75" s="342"/>
    </row>
    <row r="76" ht="81.0" customHeight="1">
      <c r="A76" s="370">
        <v>8.600003292E9</v>
      </c>
      <c r="B76" s="285" t="s">
        <v>21</v>
      </c>
      <c r="C76" s="285" t="s">
        <v>11691</v>
      </c>
      <c r="D76" s="285" t="s">
        <v>11692</v>
      </c>
      <c r="E76" s="290" t="s">
        <v>8190</v>
      </c>
      <c r="F76" s="288">
        <v>45824.0</v>
      </c>
      <c r="G76" s="288">
        <v>45819.0</v>
      </c>
      <c r="H76" s="288">
        <v>45826.0</v>
      </c>
      <c r="I76" s="305">
        <v>45826.0</v>
      </c>
      <c r="J76" s="573" t="s">
        <v>4916</v>
      </c>
      <c r="K76" s="296"/>
      <c r="L76" s="290" t="s">
        <v>11693</v>
      </c>
      <c r="M76" s="286">
        <f t="shared" si="1"/>
        <v>25</v>
      </c>
      <c r="N76" s="299" t="s">
        <v>11486</v>
      </c>
      <c r="O76" s="342"/>
      <c r="P76" s="342"/>
      <c r="Q76" s="342"/>
      <c r="R76" s="342"/>
      <c r="S76" s="342"/>
      <c r="T76" s="342"/>
      <c r="U76" s="342"/>
      <c r="V76" s="342"/>
      <c r="W76" s="342"/>
      <c r="X76" s="342"/>
      <c r="Y76" s="342"/>
    </row>
    <row r="77" ht="81.0" customHeight="1">
      <c r="A77" s="370">
        <v>8.500000335E9</v>
      </c>
      <c r="B77" s="299" t="s">
        <v>715</v>
      </c>
      <c r="C77" s="285" t="s">
        <v>2114</v>
      </c>
      <c r="D77" s="285" t="s">
        <v>11694</v>
      </c>
      <c r="E77" s="290" t="s">
        <v>8271</v>
      </c>
      <c r="F77" s="288">
        <v>45821.0</v>
      </c>
      <c r="G77" s="288">
        <v>45817.0</v>
      </c>
      <c r="H77" s="288">
        <v>45826.0</v>
      </c>
      <c r="I77" s="305">
        <v>45826.0</v>
      </c>
      <c r="J77" s="561"/>
      <c r="K77" s="561"/>
      <c r="L77" s="290" t="s">
        <v>11695</v>
      </c>
      <c r="M77" s="286">
        <f t="shared" si="1"/>
        <v>24</v>
      </c>
      <c r="N77" s="299" t="s">
        <v>11486</v>
      </c>
      <c r="O77" s="342"/>
      <c r="P77" s="342"/>
      <c r="Q77" s="342"/>
      <c r="R77" s="342"/>
      <c r="S77" s="342"/>
      <c r="T77" s="342"/>
      <c r="U77" s="342"/>
      <c r="V77" s="342"/>
      <c r="W77" s="342"/>
      <c r="X77" s="342"/>
      <c r="Y77" s="342"/>
    </row>
    <row r="78" ht="81.0" customHeight="1">
      <c r="A78" s="370">
        <v>8.600003303E9</v>
      </c>
      <c r="B78" s="299" t="s">
        <v>25</v>
      </c>
      <c r="C78" s="285" t="s">
        <v>2114</v>
      </c>
      <c r="D78" s="285" t="s">
        <v>11696</v>
      </c>
      <c r="E78" s="290" t="s">
        <v>8280</v>
      </c>
      <c r="F78" s="288">
        <v>45817.0</v>
      </c>
      <c r="G78" s="288">
        <v>45813.0</v>
      </c>
      <c r="H78" s="288">
        <v>45825.0</v>
      </c>
      <c r="I78" s="288">
        <v>45825.0</v>
      </c>
      <c r="J78" s="561"/>
      <c r="K78" s="561"/>
      <c r="L78" s="290" t="s">
        <v>11697</v>
      </c>
      <c r="M78" s="286">
        <f t="shared" si="1"/>
        <v>24</v>
      </c>
      <c r="N78" s="299" t="s">
        <v>11486</v>
      </c>
      <c r="O78" s="342"/>
      <c r="P78" s="342"/>
      <c r="Q78" s="342"/>
      <c r="R78" s="342"/>
      <c r="S78" s="342"/>
      <c r="T78" s="342"/>
      <c r="U78" s="342"/>
      <c r="V78" s="342"/>
      <c r="W78" s="342"/>
      <c r="X78" s="342"/>
      <c r="Y78" s="342"/>
    </row>
    <row r="79" ht="81.0" customHeight="1">
      <c r="A79" s="370">
        <v>8.600003265E9</v>
      </c>
      <c r="B79" s="299" t="s">
        <v>715</v>
      </c>
      <c r="C79" s="285" t="s">
        <v>2388</v>
      </c>
      <c r="D79" s="285" t="s">
        <v>11698</v>
      </c>
      <c r="E79" s="290" t="s">
        <v>8183</v>
      </c>
      <c r="F79" s="288">
        <v>45814.0</v>
      </c>
      <c r="G79" s="288">
        <v>45809.0</v>
      </c>
      <c r="H79" s="288">
        <v>45818.0</v>
      </c>
      <c r="I79" s="288">
        <v>45818.0</v>
      </c>
      <c r="J79" s="561"/>
      <c r="K79" s="561"/>
      <c r="L79" s="290" t="s">
        <v>11699</v>
      </c>
      <c r="M79" s="286">
        <f t="shared" si="1"/>
        <v>23</v>
      </c>
      <c r="N79" s="299" t="s">
        <v>11486</v>
      </c>
      <c r="O79" s="342"/>
      <c r="P79" s="342"/>
      <c r="Q79" s="342"/>
      <c r="R79" s="342"/>
      <c r="S79" s="342"/>
      <c r="T79" s="342"/>
      <c r="U79" s="342"/>
      <c r="V79" s="342"/>
      <c r="W79" s="342"/>
      <c r="X79" s="342"/>
      <c r="Y79" s="342"/>
    </row>
    <row r="80" ht="81.0" customHeight="1">
      <c r="A80" s="370">
        <v>8.600003297E9</v>
      </c>
      <c r="B80" s="299" t="s">
        <v>25</v>
      </c>
      <c r="C80" s="285" t="s">
        <v>11700</v>
      </c>
      <c r="D80" s="285" t="s">
        <v>11701</v>
      </c>
      <c r="E80" s="290" t="s">
        <v>11702</v>
      </c>
      <c r="F80" s="288">
        <v>45812.0</v>
      </c>
      <c r="G80" s="288">
        <v>45811.0</v>
      </c>
      <c r="H80" s="288">
        <v>45824.0</v>
      </c>
      <c r="I80" s="288">
        <v>45824.0</v>
      </c>
      <c r="J80" s="561"/>
      <c r="K80" s="561"/>
      <c r="L80" s="290" t="s">
        <v>11703</v>
      </c>
      <c r="M80" s="286">
        <f t="shared" si="1"/>
        <v>23</v>
      </c>
      <c r="N80" s="299" t="s">
        <v>11486</v>
      </c>
      <c r="O80" s="342"/>
      <c r="P80" s="342"/>
      <c r="Q80" s="342"/>
      <c r="R80" s="342"/>
      <c r="S80" s="342"/>
      <c r="T80" s="342"/>
      <c r="U80" s="342"/>
      <c r="V80" s="342"/>
      <c r="W80" s="342"/>
      <c r="X80" s="342"/>
      <c r="Y80" s="342"/>
    </row>
    <row r="81" ht="81.0" customHeight="1">
      <c r="A81" s="370">
        <v>8.600003262E9</v>
      </c>
      <c r="B81" s="299" t="s">
        <v>715</v>
      </c>
      <c r="C81" s="285" t="s">
        <v>2135</v>
      </c>
      <c r="D81" s="285" t="s">
        <v>11704</v>
      </c>
      <c r="E81" s="290" t="s">
        <v>8399</v>
      </c>
      <c r="F81" s="288">
        <v>45806.0</v>
      </c>
      <c r="G81" s="288">
        <v>45805.0</v>
      </c>
      <c r="H81" s="288">
        <v>45811.0</v>
      </c>
      <c r="I81" s="288">
        <v>45811.0</v>
      </c>
      <c r="J81" s="561"/>
      <c r="K81" s="561"/>
      <c r="L81" s="290" t="s">
        <v>11705</v>
      </c>
      <c r="M81" s="286">
        <f t="shared" si="1"/>
        <v>22</v>
      </c>
      <c r="N81" s="299" t="s">
        <v>11486</v>
      </c>
      <c r="O81" s="342"/>
      <c r="P81" s="342"/>
      <c r="Q81" s="342"/>
      <c r="R81" s="342"/>
      <c r="S81" s="342"/>
      <c r="T81" s="342"/>
      <c r="U81" s="342"/>
      <c r="V81" s="342"/>
      <c r="W81" s="342"/>
      <c r="X81" s="342"/>
      <c r="Y81" s="342"/>
    </row>
    <row r="82" ht="81.0" customHeight="1">
      <c r="A82" s="370">
        <v>8.500000333E9</v>
      </c>
      <c r="B82" s="299" t="s">
        <v>715</v>
      </c>
      <c r="C82" s="285" t="s">
        <v>2156</v>
      </c>
      <c r="D82" s="285" t="s">
        <v>11706</v>
      </c>
      <c r="E82" s="290" t="s">
        <v>2116</v>
      </c>
      <c r="F82" s="288">
        <v>45806.0</v>
      </c>
      <c r="G82" s="288">
        <v>45803.0</v>
      </c>
      <c r="H82" s="288">
        <v>45810.0</v>
      </c>
      <c r="I82" s="288">
        <v>45810.0</v>
      </c>
      <c r="J82" s="561"/>
      <c r="K82" s="561"/>
      <c r="L82" s="290" t="s">
        <v>11707</v>
      </c>
      <c r="M82" s="286">
        <f t="shared" si="1"/>
        <v>22</v>
      </c>
      <c r="N82" s="299" t="s">
        <v>11486</v>
      </c>
      <c r="O82" s="342"/>
      <c r="P82" s="342"/>
      <c r="Q82" s="342"/>
      <c r="R82" s="342"/>
      <c r="S82" s="342"/>
      <c r="T82" s="342"/>
      <c r="U82" s="342"/>
      <c r="V82" s="342"/>
      <c r="W82" s="342"/>
      <c r="X82" s="342"/>
      <c r="Y82" s="342"/>
    </row>
    <row r="83" ht="81.0" customHeight="1">
      <c r="A83" s="370">
        <v>8.600003261E9</v>
      </c>
      <c r="B83" s="299" t="s">
        <v>25</v>
      </c>
      <c r="C83" s="285" t="s">
        <v>2114</v>
      </c>
      <c r="D83" s="285" t="s">
        <v>11708</v>
      </c>
      <c r="E83" s="290" t="s">
        <v>8399</v>
      </c>
      <c r="F83" s="288">
        <v>45804.0</v>
      </c>
      <c r="G83" s="288">
        <v>45799.0</v>
      </c>
      <c r="H83" s="288">
        <v>45813.0</v>
      </c>
      <c r="I83" s="288">
        <v>45813.0</v>
      </c>
      <c r="J83" s="561"/>
      <c r="K83" s="561"/>
      <c r="L83" s="290" t="s">
        <v>11709</v>
      </c>
      <c r="M83" s="286">
        <f t="shared" si="1"/>
        <v>22</v>
      </c>
      <c r="N83" s="299" t="s">
        <v>11486</v>
      </c>
      <c r="O83" s="342"/>
      <c r="P83" s="342"/>
      <c r="Q83" s="342"/>
      <c r="R83" s="342"/>
      <c r="S83" s="342"/>
      <c r="T83" s="342"/>
      <c r="U83" s="342"/>
      <c r="V83" s="342"/>
      <c r="W83" s="342"/>
      <c r="X83" s="342"/>
      <c r="Y83" s="342"/>
    </row>
    <row r="84" ht="101.25" customHeight="1">
      <c r="A84" s="370">
        <v>8.600003253E9</v>
      </c>
      <c r="B84" s="299" t="s">
        <v>715</v>
      </c>
      <c r="C84" s="285" t="s">
        <v>11710</v>
      </c>
      <c r="D84" s="285" t="s">
        <v>11711</v>
      </c>
      <c r="E84" s="290" t="s">
        <v>11604</v>
      </c>
      <c r="F84" s="288">
        <v>45802.0</v>
      </c>
      <c r="G84" s="288">
        <v>45797.0</v>
      </c>
      <c r="H84" s="288">
        <v>45807.0</v>
      </c>
      <c r="I84" s="285" t="s">
        <v>11712</v>
      </c>
      <c r="J84" s="561"/>
      <c r="K84" s="561"/>
      <c r="L84" s="290" t="s">
        <v>11713</v>
      </c>
      <c r="M84" s="286">
        <f t="shared" si="1"/>
        <v>22</v>
      </c>
      <c r="N84" s="299" t="s">
        <v>11486</v>
      </c>
      <c r="O84" s="342"/>
      <c r="P84" s="342"/>
      <c r="Q84" s="342"/>
      <c r="R84" s="342"/>
      <c r="S84" s="342"/>
      <c r="T84" s="342"/>
      <c r="U84" s="342"/>
      <c r="V84" s="342"/>
      <c r="W84" s="342"/>
      <c r="X84" s="342"/>
      <c r="Y84" s="342"/>
    </row>
    <row r="85" ht="81.0" customHeight="1">
      <c r="A85" s="370">
        <v>8.60000323E9</v>
      </c>
      <c r="B85" s="299" t="s">
        <v>715</v>
      </c>
      <c r="C85" s="285" t="s">
        <v>2212</v>
      </c>
      <c r="D85" s="285" t="s">
        <v>11714</v>
      </c>
      <c r="E85" s="290" t="s">
        <v>10135</v>
      </c>
      <c r="F85" s="288">
        <v>45798.0</v>
      </c>
      <c r="G85" s="288">
        <v>45792.0</v>
      </c>
      <c r="H85" s="288">
        <v>45804.0</v>
      </c>
      <c r="I85" s="288">
        <v>45804.0</v>
      </c>
      <c r="J85" s="561"/>
      <c r="K85" s="561"/>
      <c r="L85" s="290" t="s">
        <v>11715</v>
      </c>
      <c r="M85" s="286">
        <f t="shared" si="1"/>
        <v>21</v>
      </c>
      <c r="N85" s="299" t="s">
        <v>11486</v>
      </c>
      <c r="O85" s="342"/>
      <c r="P85" s="342"/>
      <c r="Q85" s="342"/>
      <c r="R85" s="342"/>
      <c r="S85" s="342"/>
      <c r="T85" s="342"/>
      <c r="U85" s="342"/>
      <c r="V85" s="342"/>
      <c r="W85" s="342"/>
      <c r="X85" s="342"/>
      <c r="Y85" s="342"/>
    </row>
    <row r="86" ht="81.0" customHeight="1">
      <c r="A86" s="370">
        <v>8.600003232E9</v>
      </c>
      <c r="B86" s="299" t="s">
        <v>715</v>
      </c>
      <c r="C86" s="285" t="s">
        <v>11545</v>
      </c>
      <c r="D86" s="285" t="s">
        <v>11716</v>
      </c>
      <c r="E86" s="290" t="s">
        <v>5955</v>
      </c>
      <c r="F86" s="288">
        <v>45794.0</v>
      </c>
      <c r="G86" s="288">
        <v>45789.0</v>
      </c>
      <c r="H86" s="288">
        <v>45798.0</v>
      </c>
      <c r="I86" s="285" t="s">
        <v>11717</v>
      </c>
      <c r="J86" s="561"/>
      <c r="K86" s="561"/>
      <c r="L86" s="290" t="s">
        <v>11718</v>
      </c>
      <c r="M86" s="286">
        <f t="shared" si="1"/>
        <v>20</v>
      </c>
      <c r="N86" s="299" t="s">
        <v>11486</v>
      </c>
      <c r="O86" s="342"/>
      <c r="P86" s="342"/>
      <c r="Q86" s="342"/>
      <c r="R86" s="342"/>
      <c r="S86" s="342"/>
      <c r="T86" s="342"/>
      <c r="U86" s="342"/>
      <c r="V86" s="342"/>
      <c r="W86" s="342"/>
      <c r="X86" s="342"/>
      <c r="Y86" s="342"/>
    </row>
    <row r="87" ht="81.0" customHeight="1">
      <c r="A87" s="370">
        <v>8.60000326E9</v>
      </c>
      <c r="B87" s="285" t="s">
        <v>21</v>
      </c>
      <c r="C87" s="285" t="s">
        <v>11499</v>
      </c>
      <c r="D87" s="285" t="s">
        <v>11719</v>
      </c>
      <c r="E87" s="587" t="s">
        <v>8251</v>
      </c>
      <c r="F87" s="288">
        <v>45793.0</v>
      </c>
      <c r="G87" s="288">
        <v>45789.0</v>
      </c>
      <c r="H87" s="288">
        <v>45799.0</v>
      </c>
      <c r="I87" s="285" t="s">
        <v>11720</v>
      </c>
      <c r="J87" s="573" t="s">
        <v>4916</v>
      </c>
      <c r="K87" s="582"/>
      <c r="L87" s="290" t="s">
        <v>11721</v>
      </c>
      <c r="M87" s="286">
        <f t="shared" si="1"/>
        <v>20</v>
      </c>
      <c r="N87" s="299" t="s">
        <v>11486</v>
      </c>
      <c r="O87" s="342"/>
      <c r="P87" s="342"/>
      <c r="Q87" s="342"/>
      <c r="R87" s="342"/>
      <c r="S87" s="342"/>
      <c r="T87" s="342"/>
      <c r="U87" s="342"/>
      <c r="V87" s="342"/>
      <c r="W87" s="342"/>
      <c r="X87" s="342"/>
      <c r="Y87" s="342"/>
    </row>
    <row r="88" ht="81.0" customHeight="1">
      <c r="A88" s="370">
        <v>8.600003259E9</v>
      </c>
      <c r="B88" s="299" t="s">
        <v>25</v>
      </c>
      <c r="C88" s="285" t="s">
        <v>2168</v>
      </c>
      <c r="D88" s="285" t="s">
        <v>11722</v>
      </c>
      <c r="E88" s="290" t="s">
        <v>11723</v>
      </c>
      <c r="F88" s="288">
        <v>45790.0</v>
      </c>
      <c r="G88" s="288">
        <v>45785.0</v>
      </c>
      <c r="H88" s="288">
        <v>45792.0</v>
      </c>
      <c r="I88" s="288">
        <v>45792.0</v>
      </c>
      <c r="J88" s="561"/>
      <c r="K88" s="561"/>
      <c r="L88" s="290" t="s">
        <v>11724</v>
      </c>
      <c r="M88" s="286">
        <f t="shared" si="1"/>
        <v>20</v>
      </c>
      <c r="N88" s="299" t="s">
        <v>11486</v>
      </c>
      <c r="O88" s="342"/>
      <c r="P88" s="342"/>
      <c r="Q88" s="342"/>
      <c r="R88" s="342"/>
      <c r="S88" s="342"/>
      <c r="T88" s="342"/>
      <c r="U88" s="342"/>
      <c r="V88" s="342"/>
      <c r="W88" s="342"/>
      <c r="X88" s="342"/>
      <c r="Y88" s="342"/>
    </row>
    <row r="89" ht="81.0" customHeight="1">
      <c r="A89" s="370">
        <v>8.600003246E9</v>
      </c>
      <c r="B89" s="285" t="s">
        <v>10194</v>
      </c>
      <c r="C89" s="285" t="s">
        <v>11725</v>
      </c>
      <c r="D89" s="285" t="s">
        <v>11726</v>
      </c>
      <c r="E89" s="290" t="s">
        <v>5959</v>
      </c>
      <c r="F89" s="288">
        <v>45790.0</v>
      </c>
      <c r="G89" s="288">
        <v>45799.0</v>
      </c>
      <c r="H89" s="288">
        <v>45800.0</v>
      </c>
      <c r="I89" s="288">
        <v>45800.0</v>
      </c>
      <c r="J89" s="573" t="s">
        <v>4916</v>
      </c>
      <c r="K89" s="296"/>
      <c r="L89" s="290" t="s">
        <v>11727</v>
      </c>
      <c r="M89" s="286">
        <f t="shared" si="1"/>
        <v>20</v>
      </c>
      <c r="N89" s="299" t="s">
        <v>11486</v>
      </c>
      <c r="O89" s="342"/>
      <c r="P89" s="342"/>
      <c r="Q89" s="342"/>
      <c r="R89" s="342"/>
      <c r="S89" s="342"/>
      <c r="T89" s="342"/>
      <c r="U89" s="342"/>
      <c r="V89" s="342"/>
      <c r="W89" s="342"/>
      <c r="X89" s="342"/>
      <c r="Y89" s="342"/>
    </row>
    <row r="90" ht="81.0" customHeight="1">
      <c r="A90" s="370">
        <v>8.600003221E9</v>
      </c>
      <c r="B90" s="299" t="s">
        <v>715</v>
      </c>
      <c r="C90" s="285" t="s">
        <v>2176</v>
      </c>
      <c r="D90" s="285" t="s">
        <v>11728</v>
      </c>
      <c r="E90" s="290" t="s">
        <v>5955</v>
      </c>
      <c r="F90" s="288">
        <v>45783.0</v>
      </c>
      <c r="G90" s="288">
        <v>45776.0</v>
      </c>
      <c r="H90" s="288">
        <v>45790.0</v>
      </c>
      <c r="I90" s="288">
        <v>45790.0</v>
      </c>
      <c r="J90" s="561"/>
      <c r="K90" s="561"/>
      <c r="L90" s="290" t="s">
        <v>11729</v>
      </c>
      <c r="M90" s="286">
        <f t="shared" si="1"/>
        <v>19</v>
      </c>
      <c r="N90" s="299" t="s">
        <v>11486</v>
      </c>
      <c r="O90" s="342"/>
      <c r="P90" s="342"/>
      <c r="Q90" s="342"/>
      <c r="R90" s="342"/>
      <c r="S90" s="342"/>
      <c r="T90" s="342"/>
      <c r="U90" s="342"/>
      <c r="V90" s="342"/>
      <c r="W90" s="342"/>
      <c r="X90" s="342"/>
      <c r="Y90" s="342"/>
    </row>
    <row r="91" ht="81.0" customHeight="1">
      <c r="A91" s="575">
        <v>8.600003197E9</v>
      </c>
      <c r="B91" s="299" t="s">
        <v>715</v>
      </c>
      <c r="C91" s="285" t="s">
        <v>2225</v>
      </c>
      <c r="D91" s="285" t="s">
        <v>11730</v>
      </c>
      <c r="E91" s="290" t="s">
        <v>5955</v>
      </c>
      <c r="F91" s="288">
        <v>45777.0</v>
      </c>
      <c r="G91" s="288">
        <v>45768.0</v>
      </c>
      <c r="H91" s="288">
        <v>45779.0</v>
      </c>
      <c r="I91" s="288">
        <v>45779.0</v>
      </c>
      <c r="J91" s="561"/>
      <c r="K91" s="561"/>
      <c r="L91" s="290" t="s">
        <v>11731</v>
      </c>
      <c r="M91" s="286">
        <f t="shared" si="1"/>
        <v>18</v>
      </c>
      <c r="N91" s="299" t="s">
        <v>11486</v>
      </c>
      <c r="O91" s="342"/>
      <c r="P91" s="342"/>
      <c r="Q91" s="342"/>
      <c r="R91" s="342"/>
      <c r="S91" s="342"/>
      <c r="T91" s="342"/>
      <c r="U91" s="342"/>
      <c r="V91" s="342"/>
      <c r="W91" s="342"/>
      <c r="X91" s="342"/>
      <c r="Y91" s="342"/>
    </row>
    <row r="92" ht="81.0" customHeight="1">
      <c r="A92" s="370">
        <v>8.500000331E9</v>
      </c>
      <c r="B92" s="299" t="s">
        <v>715</v>
      </c>
      <c r="C92" s="285" t="s">
        <v>3525</v>
      </c>
      <c r="D92" s="285" t="s">
        <v>11732</v>
      </c>
      <c r="E92" s="290" t="s">
        <v>10225</v>
      </c>
      <c r="F92" s="288">
        <v>45777.0</v>
      </c>
      <c r="G92" s="288">
        <v>45775.0</v>
      </c>
      <c r="H92" s="288">
        <v>45789.0</v>
      </c>
      <c r="I92" s="288">
        <v>45789.0</v>
      </c>
      <c r="J92" s="561"/>
      <c r="K92" s="561"/>
      <c r="L92" s="290" t="s">
        <v>11733</v>
      </c>
      <c r="M92" s="286">
        <f t="shared" si="1"/>
        <v>18</v>
      </c>
      <c r="N92" s="299" t="s">
        <v>11486</v>
      </c>
      <c r="O92" s="342"/>
      <c r="P92" s="342"/>
      <c r="Q92" s="342"/>
      <c r="R92" s="342"/>
      <c r="S92" s="342"/>
      <c r="T92" s="342"/>
      <c r="U92" s="342"/>
      <c r="V92" s="342"/>
      <c r="W92" s="342"/>
      <c r="X92" s="342"/>
      <c r="Y92" s="342"/>
    </row>
    <row r="93" ht="81.0" customHeight="1">
      <c r="A93" s="370">
        <v>8.600003231E9</v>
      </c>
      <c r="B93" s="285" t="s">
        <v>21</v>
      </c>
      <c r="C93" s="285" t="s">
        <v>2241</v>
      </c>
      <c r="D93" s="285" t="s">
        <v>11734</v>
      </c>
      <c r="E93" s="290" t="s">
        <v>5522</v>
      </c>
      <c r="F93" s="288">
        <v>45772.0</v>
      </c>
      <c r="G93" s="288">
        <v>45768.0</v>
      </c>
      <c r="H93" s="288">
        <v>45779.0</v>
      </c>
      <c r="I93" s="288">
        <v>45779.0</v>
      </c>
      <c r="J93" s="285" t="s">
        <v>11735</v>
      </c>
      <c r="K93" s="285" t="s">
        <v>9178</v>
      </c>
      <c r="L93" s="290" t="s">
        <v>11736</v>
      </c>
      <c r="M93" s="286">
        <f t="shared" si="1"/>
        <v>17</v>
      </c>
      <c r="N93" s="299" t="s">
        <v>11486</v>
      </c>
      <c r="O93" s="342"/>
      <c r="P93" s="342"/>
      <c r="Q93" s="342"/>
      <c r="R93" s="342"/>
      <c r="S93" s="342"/>
      <c r="T93" s="342"/>
      <c r="U93" s="342"/>
      <c r="V93" s="342"/>
      <c r="W93" s="342"/>
      <c r="X93" s="342"/>
      <c r="Y93" s="342"/>
    </row>
    <row r="94" ht="81.0" customHeight="1">
      <c r="A94" s="370">
        <v>8.600003208E9</v>
      </c>
      <c r="B94" s="285" t="s">
        <v>21</v>
      </c>
      <c r="C94" s="285" t="s">
        <v>2311</v>
      </c>
      <c r="D94" s="285" t="s">
        <v>11737</v>
      </c>
      <c r="E94" s="290" t="s">
        <v>5962</v>
      </c>
      <c r="F94" s="288">
        <v>45770.0</v>
      </c>
      <c r="G94" s="288">
        <v>45763.0</v>
      </c>
      <c r="H94" s="288">
        <v>45776.0</v>
      </c>
      <c r="I94" s="288">
        <v>45776.0</v>
      </c>
      <c r="J94" s="285" t="s">
        <v>11738</v>
      </c>
      <c r="K94" s="285" t="s">
        <v>9178</v>
      </c>
      <c r="L94" s="290" t="s">
        <v>11739</v>
      </c>
      <c r="M94" s="286">
        <f t="shared" si="1"/>
        <v>17</v>
      </c>
      <c r="N94" s="299" t="s">
        <v>11486</v>
      </c>
      <c r="O94" s="342"/>
      <c r="P94" s="342"/>
      <c r="Q94" s="342"/>
      <c r="R94" s="342"/>
      <c r="S94" s="342"/>
      <c r="T94" s="342"/>
      <c r="U94" s="342"/>
      <c r="V94" s="342"/>
      <c r="W94" s="342"/>
      <c r="X94" s="342"/>
      <c r="Y94" s="342"/>
    </row>
    <row r="95" ht="81.0" customHeight="1">
      <c r="A95" s="370">
        <v>8.600003212E9</v>
      </c>
      <c r="B95" s="299" t="s">
        <v>25</v>
      </c>
      <c r="C95" s="285" t="s">
        <v>11515</v>
      </c>
      <c r="D95" s="285" t="s">
        <v>11740</v>
      </c>
      <c r="E95" s="290" t="s">
        <v>5955</v>
      </c>
      <c r="F95" s="288">
        <v>45766.0</v>
      </c>
      <c r="G95" s="288">
        <v>45771.0</v>
      </c>
      <c r="H95" s="288">
        <v>45772.0</v>
      </c>
      <c r="I95" s="288">
        <v>45772.0</v>
      </c>
      <c r="J95" s="561"/>
      <c r="K95" s="561"/>
      <c r="L95" s="290" t="s">
        <v>11741</v>
      </c>
      <c r="M95" s="286">
        <f t="shared" si="1"/>
        <v>16</v>
      </c>
      <c r="N95" s="299" t="s">
        <v>11486</v>
      </c>
      <c r="O95" s="342"/>
      <c r="P95" s="342"/>
      <c r="Q95" s="342"/>
      <c r="R95" s="342"/>
      <c r="S95" s="342"/>
      <c r="T95" s="342"/>
      <c r="U95" s="342"/>
      <c r="V95" s="342"/>
      <c r="W95" s="342"/>
      <c r="X95" s="342"/>
      <c r="Y95" s="342"/>
    </row>
    <row r="96" ht="81.0" customHeight="1">
      <c r="A96" s="370">
        <v>8.500000326E9</v>
      </c>
      <c r="B96" s="299" t="s">
        <v>715</v>
      </c>
      <c r="C96" s="285" t="s">
        <v>2114</v>
      </c>
      <c r="D96" s="285" t="s">
        <v>11742</v>
      </c>
      <c r="E96" s="290" t="s">
        <v>8271</v>
      </c>
      <c r="F96" s="288">
        <v>45762.0</v>
      </c>
      <c r="G96" s="288">
        <v>45751.0</v>
      </c>
      <c r="H96" s="288">
        <v>45768.0</v>
      </c>
      <c r="I96" s="288">
        <v>45768.0</v>
      </c>
      <c r="J96" s="561"/>
      <c r="K96" s="561"/>
      <c r="L96" s="290" t="s">
        <v>11743</v>
      </c>
      <c r="M96" s="286">
        <f t="shared" si="1"/>
        <v>16</v>
      </c>
      <c r="N96" s="299" t="s">
        <v>11486</v>
      </c>
      <c r="O96" s="342"/>
      <c r="P96" s="342"/>
      <c r="Q96" s="342"/>
      <c r="R96" s="342"/>
      <c r="S96" s="342"/>
      <c r="T96" s="342"/>
      <c r="U96" s="342"/>
      <c r="V96" s="342"/>
      <c r="W96" s="342"/>
      <c r="X96" s="342"/>
      <c r="Y96" s="342"/>
    </row>
    <row r="97" ht="81.0" customHeight="1">
      <c r="A97" s="370">
        <v>8.500000332E9</v>
      </c>
      <c r="B97" s="285" t="s">
        <v>21</v>
      </c>
      <c r="C97" s="285" t="s">
        <v>2156</v>
      </c>
      <c r="D97" s="285" t="s">
        <v>11744</v>
      </c>
      <c r="E97" s="290" t="s">
        <v>2116</v>
      </c>
      <c r="F97" s="288">
        <v>45761.0</v>
      </c>
      <c r="G97" s="288">
        <v>45755.0</v>
      </c>
      <c r="H97" s="288">
        <v>45765.0</v>
      </c>
      <c r="I97" s="372">
        <v>45765.0</v>
      </c>
      <c r="J97" s="285" t="s">
        <v>11745</v>
      </c>
      <c r="K97" s="285" t="s">
        <v>9178</v>
      </c>
      <c r="L97" s="290" t="s">
        <v>11746</v>
      </c>
      <c r="M97" s="286">
        <f t="shared" si="1"/>
        <v>16</v>
      </c>
      <c r="N97" s="299" t="s">
        <v>11486</v>
      </c>
      <c r="O97" s="342"/>
      <c r="P97" s="342"/>
      <c r="Q97" s="342"/>
      <c r="R97" s="342"/>
      <c r="S97" s="342"/>
      <c r="T97" s="342"/>
      <c r="U97" s="342"/>
      <c r="V97" s="342"/>
      <c r="W97" s="342"/>
      <c r="X97" s="342"/>
      <c r="Y97" s="342"/>
    </row>
    <row r="98" ht="81.0" customHeight="1">
      <c r="A98" s="370">
        <v>8.600003174E9</v>
      </c>
      <c r="B98" s="299" t="s">
        <v>715</v>
      </c>
      <c r="C98" s="285" t="s">
        <v>3650</v>
      </c>
      <c r="D98" s="285" t="s">
        <v>11747</v>
      </c>
      <c r="E98" s="290" t="s">
        <v>11748</v>
      </c>
      <c r="F98" s="288">
        <v>45759.0</v>
      </c>
      <c r="G98" s="288">
        <v>45755.0</v>
      </c>
      <c r="H98" s="288">
        <v>45764.0</v>
      </c>
      <c r="I98" s="288">
        <v>45764.0</v>
      </c>
      <c r="J98" s="561"/>
      <c r="K98" s="561"/>
      <c r="L98" s="290" t="s">
        <v>11749</v>
      </c>
      <c r="M98" s="286">
        <f t="shared" si="1"/>
        <v>15</v>
      </c>
      <c r="N98" s="299" t="s">
        <v>11486</v>
      </c>
      <c r="O98" s="342"/>
      <c r="P98" s="342"/>
      <c r="Q98" s="342"/>
      <c r="R98" s="342"/>
      <c r="S98" s="342"/>
      <c r="T98" s="342"/>
      <c r="U98" s="342"/>
      <c r="V98" s="342"/>
      <c r="W98" s="342"/>
      <c r="X98" s="342"/>
      <c r="Y98" s="342"/>
    </row>
    <row r="99" ht="81.0" customHeight="1">
      <c r="A99" s="370">
        <v>8.600003214E9</v>
      </c>
      <c r="B99" s="299" t="s">
        <v>25</v>
      </c>
      <c r="C99" s="285" t="s">
        <v>2379</v>
      </c>
      <c r="D99" s="285" t="s">
        <v>11750</v>
      </c>
      <c r="E99" s="290" t="s">
        <v>10324</v>
      </c>
      <c r="F99" s="288">
        <v>45752.0</v>
      </c>
      <c r="G99" s="288">
        <v>45754.0</v>
      </c>
      <c r="H99" s="288">
        <v>45757.0</v>
      </c>
      <c r="I99" s="288">
        <v>45757.0</v>
      </c>
      <c r="J99" s="561"/>
      <c r="K99" s="561"/>
      <c r="L99" s="290" t="s">
        <v>11751</v>
      </c>
      <c r="M99" s="286">
        <f t="shared" si="1"/>
        <v>14</v>
      </c>
      <c r="N99" s="299" t="s">
        <v>11486</v>
      </c>
      <c r="O99" s="342"/>
      <c r="P99" s="342"/>
      <c r="Q99" s="342"/>
      <c r="R99" s="342"/>
      <c r="S99" s="342"/>
      <c r="T99" s="342"/>
      <c r="U99" s="342"/>
      <c r="V99" s="342"/>
      <c r="W99" s="342"/>
      <c r="X99" s="342"/>
      <c r="Y99" s="342"/>
    </row>
    <row r="100" ht="95.25" customHeight="1">
      <c r="A100" s="370">
        <v>8.500000327E9</v>
      </c>
      <c r="B100" s="299" t="s">
        <v>715</v>
      </c>
      <c r="C100" s="285" t="s">
        <v>11752</v>
      </c>
      <c r="D100" s="285" t="s">
        <v>11753</v>
      </c>
      <c r="E100" s="290" t="s">
        <v>8183</v>
      </c>
      <c r="F100" s="288">
        <v>45752.0</v>
      </c>
      <c r="G100" s="288">
        <v>45747.0</v>
      </c>
      <c r="H100" s="288">
        <v>45757.0</v>
      </c>
      <c r="I100" s="285" t="s">
        <v>11754</v>
      </c>
      <c r="J100" s="561"/>
      <c r="K100" s="561"/>
      <c r="L100" s="290" t="s">
        <v>11755</v>
      </c>
      <c r="M100" s="286">
        <f t="shared" si="1"/>
        <v>14</v>
      </c>
      <c r="N100" s="299" t="s">
        <v>11486</v>
      </c>
      <c r="O100" s="342"/>
      <c r="P100" s="342"/>
      <c r="Q100" s="342"/>
      <c r="R100" s="342"/>
      <c r="S100" s="342"/>
      <c r="T100" s="342"/>
      <c r="U100" s="342"/>
      <c r="V100" s="342"/>
      <c r="W100" s="342"/>
      <c r="X100" s="342"/>
      <c r="Y100" s="342"/>
    </row>
    <row r="101" ht="81.0" customHeight="1">
      <c r="A101" s="370">
        <v>8.60000317E9</v>
      </c>
      <c r="B101" s="285" t="s">
        <v>21</v>
      </c>
      <c r="C101" s="285" t="s">
        <v>3650</v>
      </c>
      <c r="D101" s="285" t="s">
        <v>11756</v>
      </c>
      <c r="E101" s="290" t="s">
        <v>11757</v>
      </c>
      <c r="F101" s="288">
        <v>45745.0</v>
      </c>
      <c r="G101" s="288">
        <v>45743.0</v>
      </c>
      <c r="H101" s="288">
        <v>45750.0</v>
      </c>
      <c r="I101" s="285" t="s">
        <v>11758</v>
      </c>
      <c r="J101" s="285" t="s">
        <v>11759</v>
      </c>
      <c r="K101" s="285" t="s">
        <v>9178</v>
      </c>
      <c r="L101" s="290" t="s">
        <v>11760</v>
      </c>
      <c r="M101" s="286">
        <f t="shared" si="1"/>
        <v>13</v>
      </c>
      <c r="N101" s="299" t="s">
        <v>11486</v>
      </c>
      <c r="O101" s="342"/>
      <c r="P101" s="342"/>
      <c r="Q101" s="342"/>
      <c r="R101" s="342"/>
      <c r="S101" s="342"/>
      <c r="T101" s="342"/>
      <c r="U101" s="342"/>
      <c r="V101" s="342"/>
      <c r="W101" s="342"/>
      <c r="X101" s="342"/>
      <c r="Y101" s="342"/>
    </row>
    <row r="102" ht="81.0" customHeight="1">
      <c r="A102" s="370">
        <v>8.500000323E9</v>
      </c>
      <c r="B102" s="299" t="s">
        <v>715</v>
      </c>
      <c r="C102" s="285" t="s">
        <v>3497</v>
      </c>
      <c r="D102" s="285" t="s">
        <v>11761</v>
      </c>
      <c r="E102" s="290" t="s">
        <v>8183</v>
      </c>
      <c r="F102" s="288">
        <v>45745.0</v>
      </c>
      <c r="G102" s="288">
        <v>45741.0</v>
      </c>
      <c r="H102" s="288">
        <v>45750.0</v>
      </c>
      <c r="I102" s="367" t="s">
        <v>11762</v>
      </c>
      <c r="J102" s="561"/>
      <c r="K102" s="561"/>
      <c r="L102" s="290" t="s">
        <v>11763</v>
      </c>
      <c r="M102" s="286">
        <f t="shared" si="1"/>
        <v>13</v>
      </c>
      <c r="N102" s="299" t="s">
        <v>11486</v>
      </c>
      <c r="O102" s="342"/>
      <c r="P102" s="342"/>
      <c r="Q102" s="342"/>
      <c r="R102" s="342"/>
      <c r="S102" s="342"/>
      <c r="T102" s="342"/>
      <c r="U102" s="342"/>
      <c r="V102" s="342"/>
      <c r="W102" s="342"/>
      <c r="X102" s="342"/>
      <c r="Y102" s="342"/>
    </row>
    <row r="103" ht="108.75" customHeight="1">
      <c r="A103" s="370">
        <v>8.600003183E9</v>
      </c>
      <c r="B103" s="299" t="s">
        <v>715</v>
      </c>
      <c r="C103" s="285" t="s">
        <v>11764</v>
      </c>
      <c r="D103" s="285" t="s">
        <v>11765</v>
      </c>
      <c r="E103" s="290" t="s">
        <v>10181</v>
      </c>
      <c r="F103" s="288">
        <v>45743.0</v>
      </c>
      <c r="G103" s="288">
        <v>45741.0</v>
      </c>
      <c r="H103" s="288">
        <v>45748.0</v>
      </c>
      <c r="I103" s="285" t="s">
        <v>11766</v>
      </c>
      <c r="J103" s="561"/>
      <c r="K103" s="561"/>
      <c r="L103" s="290" t="s">
        <v>11767</v>
      </c>
      <c r="M103" s="286">
        <f t="shared" si="1"/>
        <v>13</v>
      </c>
      <c r="N103" s="299" t="s">
        <v>11486</v>
      </c>
      <c r="O103" s="342"/>
      <c r="P103" s="342"/>
      <c r="Q103" s="342"/>
      <c r="R103" s="342"/>
      <c r="S103" s="342"/>
      <c r="T103" s="342"/>
      <c r="U103" s="342"/>
      <c r="V103" s="342"/>
      <c r="W103" s="342"/>
      <c r="X103" s="342"/>
      <c r="Y103" s="342"/>
    </row>
    <row r="104" ht="81.0" customHeight="1">
      <c r="A104" s="370">
        <v>8.500000329E9</v>
      </c>
      <c r="B104" s="285" t="s">
        <v>21</v>
      </c>
      <c r="C104" s="285" t="s">
        <v>2114</v>
      </c>
      <c r="D104" s="285" t="s">
        <v>11768</v>
      </c>
      <c r="E104" s="290" t="s">
        <v>2116</v>
      </c>
      <c r="F104" s="288">
        <v>45741.0</v>
      </c>
      <c r="G104" s="288">
        <v>45734.0</v>
      </c>
      <c r="H104" s="288">
        <v>45743.0</v>
      </c>
      <c r="I104" s="288">
        <v>45743.0</v>
      </c>
      <c r="J104" s="285" t="s">
        <v>11769</v>
      </c>
      <c r="K104" s="285" t="s">
        <v>9178</v>
      </c>
      <c r="L104" s="290" t="s">
        <v>11770</v>
      </c>
      <c r="M104" s="286">
        <f t="shared" si="1"/>
        <v>13</v>
      </c>
      <c r="N104" s="299" t="s">
        <v>11486</v>
      </c>
      <c r="O104" s="342"/>
      <c r="P104" s="342"/>
      <c r="Q104" s="342"/>
      <c r="R104" s="342"/>
      <c r="S104" s="342"/>
      <c r="T104" s="342"/>
      <c r="U104" s="342"/>
      <c r="V104" s="342"/>
      <c r="W104" s="342"/>
      <c r="X104" s="342"/>
      <c r="Y104" s="342"/>
    </row>
    <row r="105" ht="81.0" customHeight="1">
      <c r="A105" s="370">
        <v>8.500000315E9</v>
      </c>
      <c r="B105" s="299" t="s">
        <v>715</v>
      </c>
      <c r="C105" s="285" t="s">
        <v>3525</v>
      </c>
      <c r="D105" s="367" t="s">
        <v>11771</v>
      </c>
      <c r="E105" s="290" t="s">
        <v>10225</v>
      </c>
      <c r="F105" s="288">
        <v>45734.0</v>
      </c>
      <c r="G105" s="288">
        <v>45729.0</v>
      </c>
      <c r="H105" s="288">
        <v>45742.0</v>
      </c>
      <c r="I105" s="288">
        <v>45742.0</v>
      </c>
      <c r="J105" s="561"/>
      <c r="K105" s="561"/>
      <c r="L105" s="290" t="s">
        <v>11772</v>
      </c>
      <c r="M105" s="286">
        <f t="shared" si="1"/>
        <v>12</v>
      </c>
      <c r="N105" s="299" t="s">
        <v>11486</v>
      </c>
      <c r="O105" s="342"/>
      <c r="P105" s="342"/>
      <c r="Q105" s="342"/>
      <c r="R105" s="342"/>
      <c r="S105" s="342"/>
      <c r="T105" s="342"/>
      <c r="U105" s="342"/>
      <c r="V105" s="342"/>
      <c r="W105" s="342"/>
      <c r="X105" s="342"/>
      <c r="Y105" s="342"/>
    </row>
    <row r="106" ht="81.0" customHeight="1">
      <c r="A106" s="370">
        <v>8.500000325E9</v>
      </c>
      <c r="B106" s="285" t="s">
        <v>21</v>
      </c>
      <c r="C106" s="285" t="s">
        <v>3497</v>
      </c>
      <c r="D106" s="285" t="s">
        <v>11773</v>
      </c>
      <c r="E106" s="290" t="s">
        <v>8183</v>
      </c>
      <c r="F106" s="288">
        <v>45733.0</v>
      </c>
      <c r="G106" s="288">
        <v>45729.0</v>
      </c>
      <c r="H106" s="288">
        <v>45740.0</v>
      </c>
      <c r="I106" s="285" t="s">
        <v>11774</v>
      </c>
      <c r="J106" s="285" t="s">
        <v>11775</v>
      </c>
      <c r="K106" s="285" t="s">
        <v>9178</v>
      </c>
      <c r="L106" s="290" t="s">
        <v>11776</v>
      </c>
      <c r="M106" s="286">
        <f t="shared" si="1"/>
        <v>12</v>
      </c>
      <c r="N106" s="299" t="s">
        <v>11486</v>
      </c>
      <c r="O106" s="342"/>
      <c r="P106" s="342"/>
      <c r="Q106" s="342"/>
      <c r="R106" s="342"/>
      <c r="S106" s="342"/>
      <c r="T106" s="342"/>
      <c r="U106" s="342"/>
      <c r="V106" s="342"/>
      <c r="W106" s="342"/>
      <c r="X106" s="342"/>
      <c r="Y106" s="342"/>
    </row>
    <row r="107" ht="81.0" customHeight="1">
      <c r="A107" s="370">
        <v>8.600003146E9</v>
      </c>
      <c r="B107" s="285" t="s">
        <v>21</v>
      </c>
      <c r="C107" s="285" t="s">
        <v>2197</v>
      </c>
      <c r="D107" s="285" t="s">
        <v>11777</v>
      </c>
      <c r="E107" s="290" t="s">
        <v>10181</v>
      </c>
      <c r="F107" s="288">
        <v>45731.0</v>
      </c>
      <c r="G107" s="288">
        <v>45726.0</v>
      </c>
      <c r="H107" s="288">
        <v>45736.0</v>
      </c>
      <c r="I107" s="285" t="s">
        <v>11778</v>
      </c>
      <c r="J107" s="285" t="s">
        <v>11779</v>
      </c>
      <c r="K107" s="285" t="s">
        <v>9178</v>
      </c>
      <c r="L107" s="290" t="s">
        <v>11780</v>
      </c>
      <c r="M107" s="286">
        <f t="shared" si="1"/>
        <v>11</v>
      </c>
      <c r="N107" s="299" t="s">
        <v>11486</v>
      </c>
      <c r="O107" s="342"/>
      <c r="P107" s="342"/>
      <c r="Q107" s="342"/>
      <c r="R107" s="342"/>
      <c r="S107" s="342"/>
      <c r="T107" s="342"/>
      <c r="U107" s="342"/>
      <c r="V107" s="342"/>
      <c r="W107" s="342"/>
      <c r="X107" s="342"/>
      <c r="Y107" s="342"/>
    </row>
    <row r="108" ht="81.0" customHeight="1">
      <c r="A108" s="370">
        <v>8.500000328E9</v>
      </c>
      <c r="B108" s="299" t="s">
        <v>25</v>
      </c>
      <c r="C108" s="285" t="s">
        <v>2253</v>
      </c>
      <c r="D108" s="367" t="s">
        <v>11781</v>
      </c>
      <c r="E108" s="290" t="s">
        <v>8183</v>
      </c>
      <c r="F108" s="288">
        <v>45730.0</v>
      </c>
      <c r="G108" s="288">
        <v>45726.0</v>
      </c>
      <c r="H108" s="288">
        <v>45736.0</v>
      </c>
      <c r="I108" s="288">
        <v>45736.0</v>
      </c>
      <c r="J108" s="561"/>
      <c r="K108" s="561"/>
      <c r="L108" s="290" t="s">
        <v>11782</v>
      </c>
      <c r="M108" s="286">
        <f t="shared" si="1"/>
        <v>11</v>
      </c>
      <c r="N108" s="299" t="s">
        <v>11486</v>
      </c>
      <c r="O108" s="342"/>
      <c r="P108" s="342"/>
      <c r="Q108" s="342"/>
      <c r="R108" s="342"/>
      <c r="S108" s="342"/>
      <c r="T108" s="342"/>
      <c r="U108" s="342"/>
      <c r="V108" s="342"/>
      <c r="W108" s="342"/>
      <c r="X108" s="342"/>
      <c r="Y108" s="342"/>
    </row>
    <row r="109" ht="102.0" customHeight="1">
      <c r="A109" s="370">
        <v>8.600003141E9</v>
      </c>
      <c r="B109" s="299" t="s">
        <v>715</v>
      </c>
      <c r="C109" s="285" t="s">
        <v>2333</v>
      </c>
      <c r="D109" s="285" t="s">
        <v>11783</v>
      </c>
      <c r="E109" s="290" t="s">
        <v>10181</v>
      </c>
      <c r="F109" s="288">
        <v>45728.0</v>
      </c>
      <c r="G109" s="288">
        <v>45726.0</v>
      </c>
      <c r="H109" s="288">
        <v>45734.0</v>
      </c>
      <c r="I109" s="285" t="s">
        <v>11784</v>
      </c>
      <c r="J109" s="561"/>
      <c r="K109" s="561"/>
      <c r="L109" s="290" t="s">
        <v>11785</v>
      </c>
      <c r="M109" s="286">
        <f t="shared" si="1"/>
        <v>11</v>
      </c>
      <c r="N109" s="299" t="s">
        <v>11486</v>
      </c>
      <c r="O109" s="342"/>
      <c r="P109" s="342"/>
      <c r="Q109" s="342"/>
      <c r="R109" s="342"/>
      <c r="S109" s="342"/>
      <c r="T109" s="342"/>
      <c r="U109" s="342"/>
      <c r="V109" s="342"/>
      <c r="W109" s="342"/>
      <c r="X109" s="342"/>
      <c r="Y109" s="342"/>
    </row>
    <row r="110" ht="81.0" customHeight="1">
      <c r="A110" s="370">
        <v>8.600003166E9</v>
      </c>
      <c r="B110" s="299" t="s">
        <v>25</v>
      </c>
      <c r="C110" s="285" t="s">
        <v>2419</v>
      </c>
      <c r="D110" s="285" t="s">
        <v>11786</v>
      </c>
      <c r="E110" s="290" t="s">
        <v>8280</v>
      </c>
      <c r="F110" s="288">
        <v>45724.0</v>
      </c>
      <c r="G110" s="288">
        <v>45720.0</v>
      </c>
      <c r="H110" s="288">
        <v>45727.0</v>
      </c>
      <c r="I110" s="288">
        <v>45727.0</v>
      </c>
      <c r="J110" s="561"/>
      <c r="K110" s="561"/>
      <c r="L110" s="290" t="s">
        <v>11787</v>
      </c>
      <c r="M110" s="286">
        <f t="shared" si="1"/>
        <v>10</v>
      </c>
      <c r="N110" s="299" t="s">
        <v>11486</v>
      </c>
      <c r="O110" s="342"/>
      <c r="P110" s="342"/>
      <c r="Q110" s="342"/>
      <c r="R110" s="342"/>
      <c r="S110" s="342"/>
      <c r="T110" s="342"/>
      <c r="U110" s="342"/>
      <c r="V110" s="342"/>
      <c r="W110" s="342"/>
      <c r="X110" s="342"/>
      <c r="Y110" s="342"/>
    </row>
    <row r="111" ht="81.0" customHeight="1">
      <c r="A111" s="370">
        <v>8.500000319E9</v>
      </c>
      <c r="B111" s="299" t="s">
        <v>715</v>
      </c>
      <c r="C111" s="285" t="s">
        <v>3497</v>
      </c>
      <c r="D111" s="285" t="s">
        <v>11788</v>
      </c>
      <c r="E111" s="290" t="s">
        <v>8183</v>
      </c>
      <c r="F111" s="288">
        <v>45724.0</v>
      </c>
      <c r="G111" s="288">
        <v>45720.0</v>
      </c>
      <c r="H111" s="288">
        <v>45729.0</v>
      </c>
      <c r="I111" s="285" t="s">
        <v>11789</v>
      </c>
      <c r="J111" s="561"/>
      <c r="K111" s="561"/>
      <c r="L111" s="290" t="s">
        <v>11790</v>
      </c>
      <c r="M111" s="286">
        <f t="shared" si="1"/>
        <v>10</v>
      </c>
      <c r="N111" s="299" t="s">
        <v>11486</v>
      </c>
      <c r="O111" s="342"/>
      <c r="P111" s="342"/>
      <c r="Q111" s="342"/>
      <c r="R111" s="342"/>
      <c r="S111" s="342"/>
      <c r="T111" s="342"/>
      <c r="U111" s="342"/>
      <c r="V111" s="342"/>
      <c r="W111" s="342"/>
      <c r="X111" s="342"/>
      <c r="Y111" s="342"/>
    </row>
    <row r="112" ht="84.0" customHeight="1">
      <c r="A112" s="370">
        <v>8.500000316E9</v>
      </c>
      <c r="B112" s="285" t="s">
        <v>21</v>
      </c>
      <c r="C112" s="285" t="s">
        <v>2114</v>
      </c>
      <c r="D112" s="285" t="s">
        <v>11791</v>
      </c>
      <c r="E112" s="290" t="s">
        <v>8271</v>
      </c>
      <c r="F112" s="288">
        <v>45720.0</v>
      </c>
      <c r="G112" s="288">
        <v>45714.0</v>
      </c>
      <c r="H112" s="288">
        <v>45726.0</v>
      </c>
      <c r="I112" s="288">
        <v>45726.0</v>
      </c>
      <c r="J112" s="285" t="s">
        <v>11792</v>
      </c>
      <c r="K112" s="285" t="s">
        <v>9178</v>
      </c>
      <c r="L112" s="290" t="s">
        <v>11793</v>
      </c>
      <c r="M112" s="286">
        <f t="shared" si="1"/>
        <v>10</v>
      </c>
      <c r="N112" s="299" t="s">
        <v>11486</v>
      </c>
      <c r="O112" s="342"/>
      <c r="P112" s="342"/>
      <c r="Q112" s="342"/>
      <c r="R112" s="342"/>
      <c r="S112" s="342"/>
      <c r="T112" s="342"/>
      <c r="U112" s="342"/>
      <c r="V112" s="342"/>
      <c r="W112" s="342"/>
      <c r="X112" s="342"/>
      <c r="Y112" s="342"/>
    </row>
    <row r="113" ht="81.0" customHeight="1">
      <c r="A113" s="370">
        <v>8.500000312E9</v>
      </c>
      <c r="B113" s="299" t="s">
        <v>715</v>
      </c>
      <c r="C113" s="285" t="s">
        <v>2293</v>
      </c>
      <c r="D113" s="285" t="s">
        <v>11794</v>
      </c>
      <c r="E113" s="290" t="s">
        <v>8183</v>
      </c>
      <c r="F113" s="288">
        <v>45717.0</v>
      </c>
      <c r="G113" s="288">
        <v>45706.0</v>
      </c>
      <c r="H113" s="288">
        <v>45721.0</v>
      </c>
      <c r="I113" s="285" t="s">
        <v>11795</v>
      </c>
      <c r="J113" s="561"/>
      <c r="K113" s="561"/>
      <c r="L113" s="290" t="s">
        <v>11796</v>
      </c>
      <c r="M113" s="286">
        <f t="shared" si="1"/>
        <v>9</v>
      </c>
      <c r="N113" s="299" t="s">
        <v>11486</v>
      </c>
      <c r="O113" s="342"/>
      <c r="P113" s="342"/>
      <c r="Q113" s="342"/>
      <c r="R113" s="342"/>
      <c r="S113" s="342"/>
      <c r="T113" s="342"/>
      <c r="U113" s="342"/>
      <c r="V113" s="342"/>
      <c r="W113" s="342"/>
      <c r="X113" s="342"/>
      <c r="Y113" s="342"/>
    </row>
    <row r="114" ht="81.0" customHeight="1">
      <c r="A114" s="370">
        <v>8.500000311E9</v>
      </c>
      <c r="B114" s="299" t="s">
        <v>715</v>
      </c>
      <c r="C114" s="285" t="s">
        <v>2156</v>
      </c>
      <c r="D114" s="285" t="s">
        <v>11797</v>
      </c>
      <c r="E114" s="290" t="s">
        <v>2116</v>
      </c>
      <c r="F114" s="288">
        <v>45717.0</v>
      </c>
      <c r="G114" s="288">
        <v>45711.0</v>
      </c>
      <c r="H114" s="288">
        <v>45722.0</v>
      </c>
      <c r="I114" s="288">
        <v>45722.0</v>
      </c>
      <c r="J114" s="561"/>
      <c r="K114" s="561"/>
      <c r="L114" s="290" t="s">
        <v>11798</v>
      </c>
      <c r="M114" s="286">
        <f t="shared" si="1"/>
        <v>9</v>
      </c>
      <c r="N114" s="299" t="s">
        <v>11486</v>
      </c>
      <c r="O114" s="342"/>
      <c r="P114" s="342"/>
      <c r="Q114" s="342"/>
      <c r="R114" s="342"/>
      <c r="S114" s="342"/>
      <c r="T114" s="342"/>
      <c r="U114" s="342"/>
      <c r="V114" s="342"/>
      <c r="W114" s="342"/>
      <c r="X114" s="342"/>
      <c r="Y114" s="342"/>
    </row>
    <row r="115" ht="81.0" customHeight="1">
      <c r="A115" s="370">
        <v>8.500000321E9</v>
      </c>
      <c r="B115" s="285" t="s">
        <v>21</v>
      </c>
      <c r="C115" s="285" t="s">
        <v>3497</v>
      </c>
      <c r="D115" s="285" t="s">
        <v>11799</v>
      </c>
      <c r="E115" s="290" t="s">
        <v>8183</v>
      </c>
      <c r="F115" s="288">
        <v>45717.0</v>
      </c>
      <c r="G115" s="288">
        <v>45714.0</v>
      </c>
      <c r="H115" s="288">
        <v>45721.0</v>
      </c>
      <c r="I115" s="285" t="s">
        <v>11800</v>
      </c>
      <c r="J115" s="285" t="s">
        <v>11801</v>
      </c>
      <c r="K115" s="285" t="s">
        <v>9178</v>
      </c>
      <c r="L115" s="290" t="s">
        <v>11802</v>
      </c>
      <c r="M115" s="286">
        <f t="shared" si="1"/>
        <v>9</v>
      </c>
      <c r="N115" s="299" t="s">
        <v>11486</v>
      </c>
      <c r="O115" s="342"/>
      <c r="P115" s="342"/>
      <c r="Q115" s="342"/>
      <c r="R115" s="342"/>
      <c r="S115" s="342"/>
      <c r="T115" s="342"/>
      <c r="U115" s="342"/>
      <c r="V115" s="342"/>
      <c r="W115" s="342"/>
      <c r="X115" s="342"/>
      <c r="Y115" s="342"/>
    </row>
    <row r="116" ht="81.0" customHeight="1">
      <c r="A116" s="370">
        <v>8.600003114E9</v>
      </c>
      <c r="B116" s="299" t="s">
        <v>715</v>
      </c>
      <c r="C116" s="285" t="s">
        <v>2205</v>
      </c>
      <c r="D116" s="285" t="s">
        <v>11803</v>
      </c>
      <c r="E116" s="290" t="s">
        <v>5955</v>
      </c>
      <c r="F116" s="288">
        <v>45715.0</v>
      </c>
      <c r="G116" s="288">
        <v>45708.0</v>
      </c>
      <c r="H116" s="288">
        <v>45722.0</v>
      </c>
      <c r="I116" s="288">
        <v>45722.0</v>
      </c>
      <c r="J116" s="561"/>
      <c r="K116" s="561"/>
      <c r="L116" s="290" t="s">
        <v>11804</v>
      </c>
      <c r="M116" s="286">
        <f t="shared" si="1"/>
        <v>9</v>
      </c>
      <c r="N116" s="299" t="s">
        <v>11486</v>
      </c>
      <c r="O116" s="342"/>
      <c r="P116" s="342"/>
      <c r="Q116" s="342"/>
      <c r="R116" s="342"/>
      <c r="S116" s="342"/>
      <c r="T116" s="342"/>
      <c r="U116" s="342"/>
      <c r="V116" s="342"/>
      <c r="W116" s="342"/>
      <c r="X116" s="342"/>
      <c r="Y116" s="342"/>
    </row>
    <row r="117" ht="81.0" customHeight="1">
      <c r="A117" s="370">
        <v>8.600003142E9</v>
      </c>
      <c r="B117" s="299" t="s">
        <v>25</v>
      </c>
      <c r="C117" s="285" t="s">
        <v>11805</v>
      </c>
      <c r="D117" s="285" t="s">
        <v>11806</v>
      </c>
      <c r="E117" s="290" t="s">
        <v>11807</v>
      </c>
      <c r="F117" s="288">
        <v>45713.0</v>
      </c>
      <c r="G117" s="288">
        <v>45709.0</v>
      </c>
      <c r="H117" s="288">
        <v>45722.0</v>
      </c>
      <c r="I117" s="288">
        <v>45722.0</v>
      </c>
      <c r="J117" s="561"/>
      <c r="K117" s="561"/>
      <c r="L117" s="290" t="s">
        <v>11808</v>
      </c>
      <c r="M117" s="286">
        <f t="shared" si="1"/>
        <v>9</v>
      </c>
      <c r="N117" s="299" t="s">
        <v>11486</v>
      </c>
      <c r="O117" s="342"/>
      <c r="P117" s="342"/>
      <c r="Q117" s="342"/>
      <c r="R117" s="342"/>
      <c r="S117" s="342"/>
      <c r="T117" s="342"/>
      <c r="U117" s="342"/>
      <c r="V117" s="342"/>
      <c r="W117" s="342"/>
      <c r="X117" s="342"/>
      <c r="Y117" s="342"/>
    </row>
    <row r="118" ht="81.0" customHeight="1">
      <c r="A118" s="370">
        <v>8.500000309E9</v>
      </c>
      <c r="B118" s="299" t="s">
        <v>715</v>
      </c>
      <c r="C118" s="285" t="s">
        <v>11809</v>
      </c>
      <c r="D118" s="285" t="s">
        <v>11810</v>
      </c>
      <c r="E118" s="290" t="s">
        <v>8183</v>
      </c>
      <c r="F118" s="288">
        <v>45712.0</v>
      </c>
      <c r="G118" s="288">
        <v>45706.0</v>
      </c>
      <c r="H118" s="288">
        <v>45719.0</v>
      </c>
      <c r="I118" s="285" t="s">
        <v>11811</v>
      </c>
      <c r="J118" s="561"/>
      <c r="K118" s="561"/>
      <c r="L118" s="290" t="s">
        <v>11812</v>
      </c>
      <c r="M118" s="286">
        <f t="shared" si="1"/>
        <v>9</v>
      </c>
      <c r="N118" s="299" t="s">
        <v>11486</v>
      </c>
      <c r="O118" s="342"/>
      <c r="P118" s="342"/>
      <c r="Q118" s="342"/>
      <c r="R118" s="342"/>
      <c r="S118" s="342"/>
      <c r="T118" s="342"/>
      <c r="U118" s="342"/>
      <c r="V118" s="342"/>
      <c r="W118" s="342"/>
      <c r="X118" s="342"/>
      <c r="Y118" s="342"/>
    </row>
    <row r="119" ht="81.0" customHeight="1">
      <c r="A119" s="370">
        <v>8.50000031E9</v>
      </c>
      <c r="B119" s="299" t="s">
        <v>715</v>
      </c>
      <c r="C119" s="285" t="s">
        <v>2293</v>
      </c>
      <c r="D119" s="285" t="s">
        <v>11813</v>
      </c>
      <c r="E119" s="290" t="s">
        <v>8183</v>
      </c>
      <c r="F119" s="288">
        <v>45710.0</v>
      </c>
      <c r="G119" s="288">
        <v>45706.0</v>
      </c>
      <c r="H119" s="288">
        <v>45713.0</v>
      </c>
      <c r="I119" s="285" t="s">
        <v>11814</v>
      </c>
      <c r="J119" s="561"/>
      <c r="K119" s="561"/>
      <c r="L119" s="290" t="s">
        <v>11815</v>
      </c>
      <c r="M119" s="286">
        <f t="shared" si="1"/>
        <v>8</v>
      </c>
      <c r="N119" s="299" t="s">
        <v>11486</v>
      </c>
      <c r="O119" s="342"/>
      <c r="P119" s="342"/>
      <c r="Q119" s="342"/>
      <c r="R119" s="342"/>
      <c r="S119" s="342"/>
      <c r="T119" s="342"/>
      <c r="U119" s="342"/>
      <c r="V119" s="342"/>
      <c r="W119" s="342"/>
      <c r="X119" s="342"/>
      <c r="Y119" s="342"/>
    </row>
    <row r="120" ht="81.0" customHeight="1">
      <c r="A120" s="370">
        <v>8.500000318E9</v>
      </c>
      <c r="B120" s="299" t="s">
        <v>25</v>
      </c>
      <c r="C120" s="285" t="s">
        <v>2253</v>
      </c>
      <c r="D120" s="285" t="s">
        <v>11816</v>
      </c>
      <c r="E120" s="290" t="s">
        <v>8183</v>
      </c>
      <c r="F120" s="288">
        <v>45708.0</v>
      </c>
      <c r="G120" s="288">
        <v>45701.0</v>
      </c>
      <c r="H120" s="288">
        <v>45715.0</v>
      </c>
      <c r="I120" s="288">
        <v>45715.0</v>
      </c>
      <c r="J120" s="561"/>
      <c r="K120" s="561"/>
      <c r="L120" s="290" t="s">
        <v>11817</v>
      </c>
      <c r="M120" s="286">
        <f t="shared" si="1"/>
        <v>8</v>
      </c>
      <c r="N120" s="299" t="s">
        <v>11486</v>
      </c>
      <c r="O120" s="342"/>
      <c r="P120" s="342"/>
      <c r="Q120" s="342"/>
      <c r="R120" s="342"/>
      <c r="S120" s="342"/>
      <c r="T120" s="342"/>
      <c r="U120" s="342"/>
      <c r="V120" s="342"/>
      <c r="W120" s="342"/>
      <c r="X120" s="342"/>
      <c r="Y120" s="342"/>
    </row>
    <row r="121" ht="81.0" customHeight="1">
      <c r="A121" s="370">
        <v>8.600003118E9</v>
      </c>
      <c r="B121" s="299" t="s">
        <v>715</v>
      </c>
      <c r="C121" s="285" t="s">
        <v>11700</v>
      </c>
      <c r="D121" s="285" t="s">
        <v>11818</v>
      </c>
      <c r="E121" s="290" t="s">
        <v>5968</v>
      </c>
      <c r="F121" s="288">
        <v>45704.0</v>
      </c>
      <c r="G121" s="288">
        <v>45701.0</v>
      </c>
      <c r="H121" s="288">
        <v>45716.0</v>
      </c>
      <c r="I121" s="288">
        <v>45716.0</v>
      </c>
      <c r="J121" s="561"/>
      <c r="K121" s="561"/>
      <c r="L121" s="290" t="s">
        <v>11819</v>
      </c>
      <c r="M121" s="286">
        <f t="shared" si="1"/>
        <v>8</v>
      </c>
      <c r="N121" s="299" t="s">
        <v>11486</v>
      </c>
      <c r="O121" s="342"/>
      <c r="P121" s="342"/>
      <c r="Q121" s="342"/>
      <c r="R121" s="342"/>
      <c r="S121" s="342"/>
      <c r="T121" s="342"/>
      <c r="U121" s="342"/>
      <c r="V121" s="342"/>
      <c r="W121" s="342"/>
      <c r="X121" s="342"/>
      <c r="Y121" s="342"/>
    </row>
    <row r="122" ht="80.25" customHeight="1">
      <c r="A122" s="370">
        <v>8.60000312E9</v>
      </c>
      <c r="B122" s="299" t="s">
        <v>715</v>
      </c>
      <c r="C122" s="285" t="s">
        <v>11820</v>
      </c>
      <c r="D122" s="285" t="s">
        <v>11818</v>
      </c>
      <c r="E122" s="290" t="s">
        <v>5962</v>
      </c>
      <c r="F122" s="288">
        <v>45704.0</v>
      </c>
      <c r="G122" s="288">
        <v>45701.0</v>
      </c>
      <c r="H122" s="288">
        <v>45716.0</v>
      </c>
      <c r="I122" s="288">
        <v>45716.0</v>
      </c>
      <c r="J122" s="561"/>
      <c r="K122" s="561"/>
      <c r="L122" s="290" t="s">
        <v>11821</v>
      </c>
      <c r="M122" s="286">
        <f t="shared" si="1"/>
        <v>8</v>
      </c>
      <c r="N122" s="299" t="s">
        <v>11486</v>
      </c>
      <c r="O122" s="342"/>
      <c r="P122" s="342"/>
      <c r="Q122" s="342"/>
      <c r="R122" s="342"/>
      <c r="S122" s="342"/>
      <c r="T122" s="342"/>
      <c r="U122" s="342"/>
      <c r="V122" s="342"/>
      <c r="W122" s="342"/>
      <c r="X122" s="342"/>
      <c r="Y122" s="342"/>
    </row>
    <row r="123" ht="80.25" customHeight="1">
      <c r="A123" s="370">
        <v>8.600003113E9</v>
      </c>
      <c r="B123" s="299" t="s">
        <v>25</v>
      </c>
      <c r="C123" s="285" t="s">
        <v>2114</v>
      </c>
      <c r="D123" s="285" t="s">
        <v>11822</v>
      </c>
      <c r="E123" s="290" t="s">
        <v>5968</v>
      </c>
      <c r="F123" s="288">
        <v>45703.0</v>
      </c>
      <c r="G123" s="288">
        <v>45698.0</v>
      </c>
      <c r="H123" s="288">
        <v>45709.0</v>
      </c>
      <c r="I123" s="288">
        <v>45709.0</v>
      </c>
      <c r="J123" s="561"/>
      <c r="K123" s="561"/>
      <c r="L123" s="290" t="s">
        <v>11823</v>
      </c>
      <c r="M123" s="286">
        <f t="shared" si="1"/>
        <v>7</v>
      </c>
      <c r="N123" s="299" t="s">
        <v>11486</v>
      </c>
      <c r="O123" s="342"/>
      <c r="P123" s="342"/>
      <c r="Q123" s="342"/>
      <c r="R123" s="342"/>
      <c r="S123" s="342"/>
      <c r="T123" s="342"/>
      <c r="U123" s="342"/>
      <c r="V123" s="342"/>
      <c r="W123" s="342"/>
      <c r="X123" s="342"/>
      <c r="Y123" s="342"/>
    </row>
    <row r="124" ht="80.25" customHeight="1">
      <c r="A124" s="370">
        <v>8.600003117E9</v>
      </c>
      <c r="B124" s="285" t="s">
        <v>10194</v>
      </c>
      <c r="C124" s="285" t="s">
        <v>11700</v>
      </c>
      <c r="D124" s="285" t="s">
        <v>11824</v>
      </c>
      <c r="E124" s="290" t="s">
        <v>5968</v>
      </c>
      <c r="F124" s="288">
        <v>45703.0</v>
      </c>
      <c r="G124" s="288">
        <v>45707.0</v>
      </c>
      <c r="H124" s="288">
        <v>45708.0</v>
      </c>
      <c r="I124" s="288">
        <v>45708.0</v>
      </c>
      <c r="J124" s="285">
        <v>5606801.0</v>
      </c>
      <c r="K124" s="285" t="s">
        <v>10136</v>
      </c>
      <c r="L124" s="290" t="s">
        <v>11825</v>
      </c>
      <c r="M124" s="286">
        <f t="shared" si="1"/>
        <v>7</v>
      </c>
      <c r="N124" s="299" t="s">
        <v>11486</v>
      </c>
      <c r="O124" s="342"/>
      <c r="P124" s="342"/>
      <c r="Q124" s="342"/>
      <c r="R124" s="342"/>
      <c r="S124" s="342"/>
      <c r="T124" s="342"/>
      <c r="U124" s="342"/>
      <c r="V124" s="342"/>
      <c r="W124" s="342"/>
      <c r="X124" s="342"/>
      <c r="Y124" s="342"/>
    </row>
    <row r="125" ht="80.25" customHeight="1">
      <c r="A125" s="370">
        <v>8.500000302E9</v>
      </c>
      <c r="B125" s="299" t="s">
        <v>715</v>
      </c>
      <c r="C125" s="285" t="s">
        <v>2119</v>
      </c>
      <c r="D125" s="285" t="s">
        <v>11826</v>
      </c>
      <c r="E125" s="290" t="s">
        <v>8183</v>
      </c>
      <c r="F125" s="288">
        <v>45702.0</v>
      </c>
      <c r="G125" s="288">
        <v>45691.0</v>
      </c>
      <c r="H125" s="288">
        <v>45708.0</v>
      </c>
      <c r="I125" s="288">
        <v>45708.0</v>
      </c>
      <c r="J125" s="561"/>
      <c r="K125" s="561"/>
      <c r="L125" s="290" t="s">
        <v>11827</v>
      </c>
      <c r="M125" s="286">
        <f t="shared" si="1"/>
        <v>7</v>
      </c>
      <c r="N125" s="299" t="s">
        <v>11486</v>
      </c>
      <c r="O125" s="342"/>
      <c r="P125" s="342"/>
      <c r="Q125" s="342"/>
      <c r="R125" s="342"/>
      <c r="S125" s="342"/>
      <c r="T125" s="342"/>
      <c r="U125" s="342"/>
      <c r="V125" s="342"/>
      <c r="W125" s="342"/>
      <c r="X125" s="342"/>
      <c r="Y125" s="342"/>
    </row>
    <row r="126" ht="80.25" customHeight="1">
      <c r="A126" s="370">
        <v>8.6000031E9</v>
      </c>
      <c r="B126" s="299" t="s">
        <v>715</v>
      </c>
      <c r="C126" s="285" t="s">
        <v>11828</v>
      </c>
      <c r="D126" s="285" t="s">
        <v>11829</v>
      </c>
      <c r="E126" s="290" t="s">
        <v>11830</v>
      </c>
      <c r="F126" s="288">
        <v>45702.0</v>
      </c>
      <c r="G126" s="288">
        <v>45701.0</v>
      </c>
      <c r="H126" s="288">
        <v>45708.0</v>
      </c>
      <c r="I126" s="285" t="s">
        <v>11831</v>
      </c>
      <c r="J126" s="561"/>
      <c r="K126" s="561"/>
      <c r="L126" s="290" t="s">
        <v>11832</v>
      </c>
      <c r="M126" s="286">
        <f t="shared" si="1"/>
        <v>7</v>
      </c>
      <c r="N126" s="299" t="s">
        <v>11486</v>
      </c>
      <c r="O126" s="342"/>
      <c r="P126" s="342"/>
      <c r="Q126" s="342"/>
      <c r="R126" s="342"/>
      <c r="S126" s="342"/>
      <c r="T126" s="342"/>
      <c r="U126" s="342"/>
      <c r="V126" s="342"/>
      <c r="W126" s="342"/>
      <c r="X126" s="342"/>
      <c r="Y126" s="342"/>
    </row>
    <row r="127" ht="81.0" customHeight="1">
      <c r="A127" s="370">
        <v>8.500000304E9</v>
      </c>
      <c r="B127" s="285" t="s">
        <v>21</v>
      </c>
      <c r="C127" s="285" t="s">
        <v>2168</v>
      </c>
      <c r="D127" s="285" t="s">
        <v>11833</v>
      </c>
      <c r="E127" s="290" t="s">
        <v>10225</v>
      </c>
      <c r="F127" s="288">
        <v>45696.0</v>
      </c>
      <c r="G127" s="288">
        <v>45679.0</v>
      </c>
      <c r="H127" s="288">
        <v>45702.0</v>
      </c>
      <c r="I127" s="288">
        <v>45702.0</v>
      </c>
      <c r="J127" s="285">
        <v>5606798.0</v>
      </c>
      <c r="K127" s="285" t="s">
        <v>10136</v>
      </c>
      <c r="L127" s="290" t="s">
        <v>11834</v>
      </c>
      <c r="M127" s="286">
        <f t="shared" si="1"/>
        <v>6</v>
      </c>
      <c r="N127" s="299" t="s">
        <v>11486</v>
      </c>
      <c r="O127" s="342"/>
      <c r="P127" s="342"/>
      <c r="Q127" s="342"/>
      <c r="R127" s="342"/>
      <c r="S127" s="342"/>
      <c r="T127" s="342"/>
      <c r="U127" s="342"/>
      <c r="V127" s="342"/>
      <c r="W127" s="342"/>
      <c r="X127" s="342"/>
      <c r="Y127" s="342"/>
    </row>
    <row r="128" ht="81.0" customHeight="1">
      <c r="A128" s="370">
        <v>8.600003135E9</v>
      </c>
      <c r="B128" s="299" t="s">
        <v>25</v>
      </c>
      <c r="C128" s="285" t="s">
        <v>2176</v>
      </c>
      <c r="D128" s="285" t="s">
        <v>11835</v>
      </c>
      <c r="E128" s="290" t="s">
        <v>8280</v>
      </c>
      <c r="F128" s="288">
        <v>45696.0</v>
      </c>
      <c r="G128" s="288">
        <v>45691.0</v>
      </c>
      <c r="H128" s="288">
        <v>45699.0</v>
      </c>
      <c r="I128" s="288">
        <v>45699.0</v>
      </c>
      <c r="J128" s="561"/>
      <c r="K128" s="561"/>
      <c r="L128" s="290" t="s">
        <v>11836</v>
      </c>
      <c r="M128" s="286">
        <f t="shared" si="1"/>
        <v>6</v>
      </c>
      <c r="N128" s="299" t="s">
        <v>11486</v>
      </c>
      <c r="O128" s="342"/>
      <c r="P128" s="342"/>
      <c r="Q128" s="342"/>
      <c r="R128" s="342"/>
      <c r="S128" s="342"/>
      <c r="T128" s="342"/>
      <c r="U128" s="342"/>
      <c r="V128" s="342"/>
      <c r="W128" s="342"/>
      <c r="X128" s="342"/>
      <c r="Y128" s="342"/>
    </row>
    <row r="129" ht="81.0" customHeight="1">
      <c r="A129" s="370">
        <v>8.600003102E9</v>
      </c>
      <c r="B129" s="299" t="s">
        <v>715</v>
      </c>
      <c r="C129" s="285" t="s">
        <v>3504</v>
      </c>
      <c r="D129" s="285" t="s">
        <v>11837</v>
      </c>
      <c r="E129" s="290" t="s">
        <v>11838</v>
      </c>
      <c r="F129" s="288">
        <v>45696.0</v>
      </c>
      <c r="G129" s="288">
        <v>45691.0</v>
      </c>
      <c r="H129" s="288">
        <v>45702.0</v>
      </c>
      <c r="I129" s="285" t="s">
        <v>11839</v>
      </c>
      <c r="J129" s="561"/>
      <c r="K129" s="561"/>
      <c r="L129" s="290" t="s">
        <v>11840</v>
      </c>
      <c r="M129" s="286">
        <f t="shared" si="1"/>
        <v>6</v>
      </c>
      <c r="N129" s="299" t="s">
        <v>11486</v>
      </c>
      <c r="O129" s="342"/>
      <c r="P129" s="342"/>
      <c r="Q129" s="342"/>
      <c r="R129" s="342"/>
      <c r="S129" s="342"/>
      <c r="T129" s="342"/>
      <c r="U129" s="342"/>
      <c r="V129" s="342"/>
      <c r="W129" s="342"/>
      <c r="X129" s="342"/>
      <c r="Y129" s="342"/>
    </row>
    <row r="130" ht="84.75" customHeight="1">
      <c r="A130" s="370">
        <v>8.500000308E9</v>
      </c>
      <c r="B130" s="285" t="s">
        <v>21</v>
      </c>
      <c r="C130" s="285" t="s">
        <v>3497</v>
      </c>
      <c r="D130" s="285" t="s">
        <v>11841</v>
      </c>
      <c r="E130" s="290" t="s">
        <v>8183</v>
      </c>
      <c r="F130" s="288">
        <v>45694.0</v>
      </c>
      <c r="G130" s="288">
        <v>45691.0</v>
      </c>
      <c r="H130" s="288">
        <v>45706.0</v>
      </c>
      <c r="I130" s="285" t="s">
        <v>11842</v>
      </c>
      <c r="J130" s="285">
        <v>5606797.0</v>
      </c>
      <c r="K130" s="285" t="s">
        <v>10136</v>
      </c>
      <c r="L130" s="290" t="s">
        <v>11843</v>
      </c>
      <c r="M130" s="286">
        <f t="shared" si="1"/>
        <v>6</v>
      </c>
      <c r="N130" s="299" t="s">
        <v>11486</v>
      </c>
      <c r="O130" s="342"/>
      <c r="P130" s="342"/>
      <c r="Q130" s="342"/>
      <c r="R130" s="342"/>
      <c r="S130" s="342"/>
      <c r="T130" s="342"/>
      <c r="U130" s="342"/>
      <c r="V130" s="342"/>
      <c r="W130" s="342"/>
      <c r="X130" s="342"/>
      <c r="Y130" s="342"/>
    </row>
    <row r="131" ht="79.5" customHeight="1">
      <c r="A131" s="370">
        <v>8.500000313E9</v>
      </c>
      <c r="B131" s="299" t="s">
        <v>25</v>
      </c>
      <c r="C131" s="285" t="s">
        <v>2253</v>
      </c>
      <c r="D131" s="285" t="s">
        <v>11844</v>
      </c>
      <c r="E131" s="290" t="s">
        <v>8183</v>
      </c>
      <c r="F131" s="288">
        <v>45694.0</v>
      </c>
      <c r="G131" s="288">
        <v>45687.0</v>
      </c>
      <c r="H131" s="288">
        <v>45698.0</v>
      </c>
      <c r="I131" s="288">
        <v>45698.0</v>
      </c>
      <c r="J131" s="561"/>
      <c r="K131" s="561"/>
      <c r="L131" s="290" t="s">
        <v>11845</v>
      </c>
      <c r="M131" s="286">
        <f t="shared" si="1"/>
        <v>6</v>
      </c>
      <c r="N131" s="299" t="s">
        <v>11486</v>
      </c>
      <c r="O131" s="342"/>
      <c r="P131" s="342"/>
      <c r="Q131" s="342"/>
      <c r="R131" s="342"/>
      <c r="S131" s="342"/>
      <c r="T131" s="342"/>
      <c r="U131" s="342"/>
      <c r="V131" s="342"/>
      <c r="W131" s="342"/>
      <c r="X131" s="342"/>
      <c r="Y131" s="342"/>
    </row>
    <row r="132" ht="79.5" customHeight="1">
      <c r="A132" s="370">
        <v>8.500000301E9</v>
      </c>
      <c r="B132" s="299" t="s">
        <v>715</v>
      </c>
      <c r="C132" s="285" t="s">
        <v>2119</v>
      </c>
      <c r="D132" s="285" t="s">
        <v>11846</v>
      </c>
      <c r="E132" s="290" t="s">
        <v>2116</v>
      </c>
      <c r="F132" s="288">
        <v>45691.0</v>
      </c>
      <c r="G132" s="288">
        <v>45679.0</v>
      </c>
      <c r="H132" s="288">
        <v>45695.0</v>
      </c>
      <c r="I132" s="285" t="s">
        <v>11847</v>
      </c>
      <c r="J132" s="561"/>
      <c r="K132" s="561"/>
      <c r="L132" s="290" t="s">
        <v>11848</v>
      </c>
      <c r="M132" s="286">
        <f t="shared" si="1"/>
        <v>6</v>
      </c>
      <c r="N132" s="299" t="s">
        <v>11486</v>
      </c>
      <c r="O132" s="342"/>
      <c r="P132" s="342"/>
      <c r="Q132" s="342"/>
      <c r="R132" s="342"/>
      <c r="S132" s="342"/>
      <c r="T132" s="342"/>
      <c r="U132" s="342"/>
      <c r="V132" s="342"/>
      <c r="W132" s="342"/>
      <c r="X132" s="342"/>
      <c r="Y132" s="342"/>
    </row>
    <row r="133" ht="89.25" customHeight="1">
      <c r="A133" s="370">
        <v>8.500000305E9</v>
      </c>
      <c r="B133" s="285" t="s">
        <v>21</v>
      </c>
      <c r="C133" s="285" t="s">
        <v>3497</v>
      </c>
      <c r="D133" s="285" t="s">
        <v>11849</v>
      </c>
      <c r="E133" s="290" t="s">
        <v>8183</v>
      </c>
      <c r="F133" s="288">
        <v>45690.0</v>
      </c>
      <c r="G133" s="288">
        <v>45686.0</v>
      </c>
      <c r="H133" s="288">
        <v>45695.0</v>
      </c>
      <c r="I133" s="285" t="s">
        <v>11850</v>
      </c>
      <c r="J133" s="285">
        <v>5606796.0</v>
      </c>
      <c r="K133" s="285" t="s">
        <v>10136</v>
      </c>
      <c r="L133" s="290" t="s">
        <v>11851</v>
      </c>
      <c r="M133" s="286">
        <f t="shared" si="1"/>
        <v>6</v>
      </c>
      <c r="N133" s="299" t="s">
        <v>11486</v>
      </c>
      <c r="O133" s="342"/>
      <c r="P133" s="342"/>
      <c r="Q133" s="342"/>
      <c r="R133" s="342"/>
      <c r="S133" s="342"/>
      <c r="T133" s="342"/>
      <c r="U133" s="342"/>
      <c r="V133" s="342"/>
      <c r="W133" s="342"/>
      <c r="X133" s="342"/>
      <c r="Y133" s="342"/>
    </row>
    <row r="134" ht="79.5" customHeight="1">
      <c r="A134" s="370">
        <v>8.600003083E9</v>
      </c>
      <c r="B134" s="299" t="s">
        <v>25</v>
      </c>
      <c r="C134" s="285" t="s">
        <v>2114</v>
      </c>
      <c r="D134" s="285" t="s">
        <v>11852</v>
      </c>
      <c r="E134" s="290" t="s">
        <v>5968</v>
      </c>
      <c r="F134" s="288">
        <v>45688.0</v>
      </c>
      <c r="G134" s="288">
        <v>45670.0</v>
      </c>
      <c r="H134" s="288">
        <v>45694.0</v>
      </c>
      <c r="I134" s="288">
        <v>45694.0</v>
      </c>
      <c r="J134" s="561"/>
      <c r="K134" s="561"/>
      <c r="L134" s="290" t="s">
        <v>11853</v>
      </c>
      <c r="M134" s="286">
        <f t="shared" si="1"/>
        <v>5</v>
      </c>
      <c r="N134" s="299" t="s">
        <v>11486</v>
      </c>
      <c r="O134" s="342"/>
      <c r="P134" s="342"/>
      <c r="Q134" s="342"/>
      <c r="R134" s="342"/>
      <c r="S134" s="342"/>
      <c r="T134" s="342"/>
      <c r="U134" s="342"/>
      <c r="V134" s="342"/>
      <c r="W134" s="342"/>
      <c r="X134" s="342"/>
      <c r="Y134" s="342"/>
    </row>
    <row r="135" ht="84.75" customHeight="1">
      <c r="A135" s="370">
        <v>8.600003089E9</v>
      </c>
      <c r="B135" s="285" t="s">
        <v>21</v>
      </c>
      <c r="C135" s="285" t="s">
        <v>2168</v>
      </c>
      <c r="D135" s="285" t="s">
        <v>11854</v>
      </c>
      <c r="E135" s="290" t="s">
        <v>5552</v>
      </c>
      <c r="F135" s="288">
        <v>45688.0</v>
      </c>
      <c r="G135" s="288">
        <v>45680.0</v>
      </c>
      <c r="H135" s="288">
        <v>45693.0</v>
      </c>
      <c r="I135" s="288">
        <v>45693.0</v>
      </c>
      <c r="J135" s="285">
        <v>5604744.0</v>
      </c>
      <c r="K135" s="285" t="s">
        <v>10136</v>
      </c>
      <c r="L135" s="290" t="s">
        <v>11855</v>
      </c>
      <c r="M135" s="286">
        <f t="shared" si="1"/>
        <v>5</v>
      </c>
      <c r="N135" s="299" t="s">
        <v>11486</v>
      </c>
      <c r="O135" s="342"/>
      <c r="P135" s="342"/>
      <c r="Q135" s="342"/>
      <c r="R135" s="342"/>
      <c r="S135" s="342"/>
      <c r="T135" s="342"/>
      <c r="U135" s="342"/>
      <c r="V135" s="342"/>
      <c r="W135" s="342"/>
      <c r="X135" s="342"/>
      <c r="Y135" s="342"/>
    </row>
    <row r="136" ht="95.25" customHeight="1">
      <c r="A136" s="370">
        <v>8.5000003E9</v>
      </c>
      <c r="B136" s="299" t="s">
        <v>715</v>
      </c>
      <c r="C136" s="285" t="s">
        <v>3539</v>
      </c>
      <c r="D136" s="285" t="s">
        <v>11856</v>
      </c>
      <c r="E136" s="290" t="s">
        <v>8183</v>
      </c>
      <c r="F136" s="288">
        <v>45683.0</v>
      </c>
      <c r="G136" s="288">
        <v>45701.0</v>
      </c>
      <c r="H136" s="288">
        <v>45691.0</v>
      </c>
      <c r="I136" s="285" t="s">
        <v>11857</v>
      </c>
      <c r="J136" s="561"/>
      <c r="K136" s="561"/>
      <c r="L136" s="290" t="s">
        <v>11858</v>
      </c>
      <c r="M136" s="286">
        <f t="shared" si="1"/>
        <v>5</v>
      </c>
      <c r="N136" s="299" t="s">
        <v>11486</v>
      </c>
      <c r="O136" s="342"/>
      <c r="P136" s="342"/>
      <c r="Q136" s="342"/>
      <c r="R136" s="342"/>
      <c r="S136" s="342"/>
      <c r="T136" s="342"/>
      <c r="U136" s="342"/>
      <c r="V136" s="342"/>
      <c r="W136" s="342"/>
      <c r="X136" s="342"/>
      <c r="Y136" s="342"/>
    </row>
    <row r="137" ht="78.75" customHeight="1">
      <c r="A137" s="370">
        <v>8.600003075E9</v>
      </c>
      <c r="B137" s="299" t="s">
        <v>715</v>
      </c>
      <c r="C137" s="285" t="s">
        <v>2311</v>
      </c>
      <c r="D137" s="285" t="s">
        <v>11859</v>
      </c>
      <c r="E137" s="290" t="s">
        <v>5962</v>
      </c>
      <c r="F137" s="288">
        <v>45682.0</v>
      </c>
      <c r="G137" s="288">
        <v>45679.0</v>
      </c>
      <c r="H137" s="288">
        <v>45687.0</v>
      </c>
      <c r="I137" s="288">
        <v>45687.0</v>
      </c>
      <c r="J137" s="561"/>
      <c r="K137" s="561"/>
      <c r="L137" s="290" t="s">
        <v>11860</v>
      </c>
      <c r="M137" s="286">
        <f t="shared" si="1"/>
        <v>4</v>
      </c>
      <c r="N137" s="299" t="s">
        <v>11486</v>
      </c>
      <c r="O137" s="342"/>
      <c r="P137" s="342"/>
      <c r="Q137" s="342"/>
      <c r="R137" s="342"/>
      <c r="S137" s="342"/>
      <c r="T137" s="342"/>
      <c r="U137" s="342"/>
      <c r="V137" s="342"/>
      <c r="W137" s="342"/>
      <c r="X137" s="342"/>
      <c r="Y137" s="342"/>
    </row>
    <row r="138" ht="78.0" customHeight="1">
      <c r="A138" s="370">
        <v>8.600003079E9</v>
      </c>
      <c r="B138" s="299" t="s">
        <v>715</v>
      </c>
      <c r="C138" s="285" t="s">
        <v>11700</v>
      </c>
      <c r="D138" s="285" t="s">
        <v>11861</v>
      </c>
      <c r="E138" s="290" t="s">
        <v>5968</v>
      </c>
      <c r="F138" s="288">
        <v>45682.0</v>
      </c>
      <c r="G138" s="288">
        <v>45679.0</v>
      </c>
      <c r="H138" s="288">
        <v>45693.0</v>
      </c>
      <c r="I138" s="288">
        <v>45693.0</v>
      </c>
      <c r="J138" s="561"/>
      <c r="K138" s="561"/>
      <c r="L138" s="290" t="s">
        <v>11862</v>
      </c>
      <c r="M138" s="286">
        <f t="shared" si="1"/>
        <v>4</v>
      </c>
      <c r="N138" s="299" t="s">
        <v>11486</v>
      </c>
      <c r="O138" s="342"/>
      <c r="P138" s="342"/>
      <c r="Q138" s="342"/>
      <c r="R138" s="342"/>
      <c r="S138" s="342"/>
      <c r="T138" s="342"/>
      <c r="U138" s="342"/>
      <c r="V138" s="342"/>
      <c r="W138" s="342"/>
      <c r="X138" s="342"/>
      <c r="Y138" s="342"/>
    </row>
    <row r="139" ht="76.5" customHeight="1">
      <c r="A139" s="370">
        <v>8.500000307E9</v>
      </c>
      <c r="B139" s="299" t="s">
        <v>25</v>
      </c>
      <c r="C139" s="285" t="s">
        <v>2253</v>
      </c>
      <c r="D139" s="285" t="s">
        <v>11863</v>
      </c>
      <c r="E139" s="290" t="s">
        <v>8183</v>
      </c>
      <c r="F139" s="288">
        <v>45675.0</v>
      </c>
      <c r="G139" s="288">
        <v>45672.0</v>
      </c>
      <c r="H139" s="288">
        <v>45684.0</v>
      </c>
      <c r="I139" s="288">
        <v>45684.0</v>
      </c>
      <c r="J139" s="561"/>
      <c r="K139" s="561"/>
      <c r="L139" s="290" t="s">
        <v>11864</v>
      </c>
      <c r="M139" s="286">
        <f t="shared" si="1"/>
        <v>3</v>
      </c>
      <c r="N139" s="299" t="s">
        <v>11486</v>
      </c>
      <c r="O139" s="342"/>
      <c r="P139" s="342"/>
      <c r="Q139" s="342"/>
      <c r="R139" s="342"/>
      <c r="S139" s="342"/>
      <c r="T139" s="342"/>
      <c r="U139" s="342"/>
      <c r="V139" s="342"/>
      <c r="W139" s="342"/>
      <c r="X139" s="342"/>
      <c r="Y139" s="342"/>
    </row>
    <row r="140" ht="84.0" customHeight="1">
      <c r="A140" s="370">
        <v>8.600003062E9</v>
      </c>
      <c r="B140" s="299" t="s">
        <v>715</v>
      </c>
      <c r="C140" s="285" t="s">
        <v>2119</v>
      </c>
      <c r="D140" s="285" t="s">
        <v>11865</v>
      </c>
      <c r="E140" s="290" t="s">
        <v>5955</v>
      </c>
      <c r="F140" s="288">
        <v>45668.0</v>
      </c>
      <c r="G140" s="288">
        <v>45665.0</v>
      </c>
      <c r="H140" s="288">
        <v>45672.0</v>
      </c>
      <c r="I140" s="288">
        <v>45672.0</v>
      </c>
      <c r="J140" s="561"/>
      <c r="K140" s="561"/>
      <c r="L140" s="290" t="s">
        <v>11866</v>
      </c>
      <c r="M140" s="286">
        <f t="shared" si="1"/>
        <v>2</v>
      </c>
      <c r="N140" s="299" t="s">
        <v>11486</v>
      </c>
      <c r="O140" s="342"/>
      <c r="P140" s="342"/>
      <c r="Q140" s="342"/>
      <c r="R140" s="342"/>
      <c r="S140" s="342"/>
      <c r="T140" s="342"/>
      <c r="U140" s="342"/>
      <c r="V140" s="342"/>
      <c r="W140" s="342"/>
      <c r="X140" s="342"/>
      <c r="Y140" s="342"/>
    </row>
    <row r="141" ht="84.0" customHeight="1">
      <c r="A141" s="370">
        <v>8.600003044E9</v>
      </c>
      <c r="B141" s="299" t="s">
        <v>715</v>
      </c>
      <c r="C141" s="285" t="s">
        <v>3516</v>
      </c>
      <c r="D141" s="285" t="s">
        <v>11867</v>
      </c>
      <c r="E141" s="290" t="s">
        <v>5955</v>
      </c>
      <c r="F141" s="288">
        <v>45667.0</v>
      </c>
      <c r="G141" s="288">
        <v>45653.0</v>
      </c>
      <c r="H141" s="288">
        <v>45671.0</v>
      </c>
      <c r="I141" s="288">
        <v>45671.0</v>
      </c>
      <c r="J141" s="561"/>
      <c r="K141" s="561"/>
      <c r="L141" s="290" t="s">
        <v>11868</v>
      </c>
      <c r="M141" s="286">
        <f t="shared" si="1"/>
        <v>2</v>
      </c>
      <c r="N141" s="299" t="s">
        <v>11486</v>
      </c>
      <c r="O141" s="342"/>
      <c r="P141" s="342"/>
      <c r="Q141" s="342"/>
      <c r="R141" s="342"/>
      <c r="S141" s="342"/>
      <c r="T141" s="342"/>
      <c r="U141" s="342"/>
      <c r="V141" s="342"/>
      <c r="W141" s="342"/>
      <c r="X141" s="342"/>
      <c r="Y141" s="342"/>
    </row>
    <row r="142" ht="84.0" customHeight="1">
      <c r="A142" s="370">
        <v>8.500000297E9</v>
      </c>
      <c r="B142" s="299" t="s">
        <v>715</v>
      </c>
      <c r="C142" s="285" t="s">
        <v>2114</v>
      </c>
      <c r="D142" s="285" t="s">
        <v>11869</v>
      </c>
      <c r="E142" s="290" t="s">
        <v>8271</v>
      </c>
      <c r="F142" s="288">
        <v>45667.0</v>
      </c>
      <c r="G142" s="288">
        <v>45665.0</v>
      </c>
      <c r="H142" s="288">
        <v>45672.0</v>
      </c>
      <c r="I142" s="288">
        <v>45672.0</v>
      </c>
      <c r="J142" s="561"/>
      <c r="K142" s="561"/>
      <c r="L142" s="290" t="s">
        <v>11870</v>
      </c>
      <c r="M142" s="286">
        <f t="shared" si="1"/>
        <v>2</v>
      </c>
      <c r="N142" s="299" t="s">
        <v>11486</v>
      </c>
      <c r="O142" s="342"/>
      <c r="P142" s="342"/>
      <c r="Q142" s="342"/>
      <c r="R142" s="342"/>
      <c r="S142" s="342"/>
      <c r="T142" s="342"/>
      <c r="U142" s="342"/>
      <c r="V142" s="342"/>
      <c r="W142" s="342"/>
      <c r="X142" s="342"/>
      <c r="Y142" s="342"/>
    </row>
    <row r="143" ht="84.0" customHeight="1">
      <c r="A143" s="370">
        <v>8.600003078E9</v>
      </c>
      <c r="B143" s="285" t="s">
        <v>10194</v>
      </c>
      <c r="C143" s="285" t="s">
        <v>11700</v>
      </c>
      <c r="D143" s="285" t="s">
        <v>11871</v>
      </c>
      <c r="E143" s="587" t="s">
        <v>5968</v>
      </c>
      <c r="F143" s="288">
        <v>45666.0</v>
      </c>
      <c r="G143" s="288">
        <v>45679.0</v>
      </c>
      <c r="H143" s="288">
        <v>45678.0</v>
      </c>
      <c r="I143" s="288">
        <v>45678.0</v>
      </c>
      <c r="J143" s="285">
        <v>5604749.0</v>
      </c>
      <c r="K143" s="285" t="s">
        <v>10136</v>
      </c>
      <c r="L143" s="290" t="s">
        <v>11872</v>
      </c>
      <c r="M143" s="286">
        <f t="shared" si="1"/>
        <v>2</v>
      </c>
      <c r="N143" s="299" t="s">
        <v>11486</v>
      </c>
      <c r="O143" s="342"/>
      <c r="P143" s="342"/>
      <c r="Q143" s="342"/>
      <c r="R143" s="342"/>
      <c r="S143" s="342"/>
      <c r="T143" s="342"/>
      <c r="U143" s="342"/>
      <c r="V143" s="342"/>
      <c r="W143" s="342"/>
      <c r="X143" s="342"/>
      <c r="Y143" s="342"/>
    </row>
    <row r="144" ht="97.5" customHeight="1">
      <c r="A144" s="370">
        <v>8.500000294E9</v>
      </c>
      <c r="B144" s="299" t="s">
        <v>715</v>
      </c>
      <c r="C144" s="285" t="s">
        <v>2123</v>
      </c>
      <c r="D144" s="285" t="s">
        <v>11873</v>
      </c>
      <c r="E144" s="290" t="s">
        <v>5528</v>
      </c>
      <c r="F144" s="288">
        <v>45663.0</v>
      </c>
      <c r="G144" s="288">
        <v>45659.0</v>
      </c>
      <c r="H144" s="288">
        <v>45670.0</v>
      </c>
      <c r="I144" s="288">
        <v>45670.0</v>
      </c>
      <c r="J144" s="561"/>
      <c r="K144" s="561"/>
      <c r="L144" s="290" t="s">
        <v>11874</v>
      </c>
      <c r="M144" s="286">
        <f t="shared" si="1"/>
        <v>2</v>
      </c>
      <c r="N144" s="299" t="s">
        <v>11486</v>
      </c>
      <c r="O144" s="342"/>
      <c r="P144" s="342"/>
      <c r="Q144" s="342"/>
      <c r="R144" s="342"/>
      <c r="S144" s="342"/>
      <c r="T144" s="342"/>
      <c r="U144" s="342"/>
      <c r="V144" s="342"/>
      <c r="W144" s="342"/>
      <c r="X144" s="342"/>
      <c r="Y144" s="342"/>
    </row>
    <row r="145" ht="84.0" customHeight="1">
      <c r="A145" s="370">
        <v>8.600003068E9</v>
      </c>
      <c r="B145" s="299" t="s">
        <v>715</v>
      </c>
      <c r="C145" s="285" t="s">
        <v>11875</v>
      </c>
      <c r="D145" s="285" t="s">
        <v>11876</v>
      </c>
      <c r="E145" s="290" t="s">
        <v>10181</v>
      </c>
      <c r="F145" s="288">
        <v>45662.0</v>
      </c>
      <c r="G145" s="288">
        <v>45663.0</v>
      </c>
      <c r="H145" s="288">
        <v>45672.0</v>
      </c>
      <c r="I145" s="285" t="s">
        <v>11877</v>
      </c>
      <c r="J145" s="561"/>
      <c r="K145" s="561"/>
      <c r="L145" s="290" t="s">
        <v>11878</v>
      </c>
      <c r="M145" s="286">
        <f t="shared" si="1"/>
        <v>2</v>
      </c>
      <c r="N145" s="299" t="s">
        <v>11486</v>
      </c>
      <c r="O145" s="342"/>
      <c r="P145" s="342"/>
      <c r="Q145" s="342"/>
      <c r="R145" s="342"/>
      <c r="S145" s="342"/>
      <c r="T145" s="342"/>
      <c r="U145" s="342"/>
      <c r="V145" s="342"/>
      <c r="W145" s="342"/>
      <c r="X145" s="342"/>
      <c r="Y145" s="342"/>
    </row>
    <row r="146" ht="84.0" customHeight="1">
      <c r="A146" s="370">
        <v>8.600003098E9</v>
      </c>
      <c r="B146" s="299" t="s">
        <v>25</v>
      </c>
      <c r="C146" s="285" t="s">
        <v>2168</v>
      </c>
      <c r="D146" s="285" t="s">
        <v>11879</v>
      </c>
      <c r="E146" s="290" t="s">
        <v>11880</v>
      </c>
      <c r="F146" s="288">
        <v>45661.0</v>
      </c>
      <c r="G146" s="288">
        <v>45659.0</v>
      </c>
      <c r="H146" s="288">
        <v>45667.0</v>
      </c>
      <c r="I146" s="288">
        <v>45667.0</v>
      </c>
      <c r="J146" s="561"/>
      <c r="K146" s="561"/>
      <c r="L146" s="290" t="s">
        <v>11881</v>
      </c>
      <c r="M146" s="286">
        <f t="shared" si="1"/>
        <v>1</v>
      </c>
      <c r="N146" s="299" t="s">
        <v>11486</v>
      </c>
      <c r="O146" s="342"/>
      <c r="P146" s="342"/>
      <c r="Q146" s="342"/>
      <c r="R146" s="342"/>
      <c r="S146" s="342"/>
      <c r="T146" s="342"/>
      <c r="U146" s="342"/>
      <c r="V146" s="342"/>
      <c r="W146" s="342"/>
      <c r="X146" s="342"/>
      <c r="Y146" s="342"/>
    </row>
    <row r="147" ht="84.0" customHeight="1">
      <c r="A147" s="370">
        <v>8.500000296E9</v>
      </c>
      <c r="B147" s="299" t="s">
        <v>715</v>
      </c>
      <c r="C147" s="285" t="s">
        <v>2156</v>
      </c>
      <c r="D147" s="285" t="s">
        <v>11882</v>
      </c>
      <c r="E147" s="290" t="s">
        <v>2116</v>
      </c>
      <c r="F147" s="288">
        <v>45660.0</v>
      </c>
      <c r="G147" s="288">
        <v>45657.0</v>
      </c>
      <c r="H147" s="288">
        <v>45666.0</v>
      </c>
      <c r="I147" s="288">
        <v>45666.0</v>
      </c>
      <c r="J147" s="561"/>
      <c r="K147" s="561"/>
      <c r="L147" s="290" t="s">
        <v>11883</v>
      </c>
      <c r="M147" s="286">
        <f t="shared" si="1"/>
        <v>1</v>
      </c>
      <c r="N147" s="299" t="s">
        <v>11486</v>
      </c>
      <c r="O147" s="342"/>
      <c r="P147" s="342"/>
      <c r="Q147" s="342"/>
      <c r="R147" s="342"/>
      <c r="S147" s="342"/>
      <c r="T147" s="342"/>
      <c r="U147" s="342"/>
      <c r="V147" s="342"/>
      <c r="W147" s="342"/>
      <c r="X147" s="342"/>
      <c r="Y147" s="342"/>
    </row>
    <row r="148" ht="84.0" customHeight="1">
      <c r="A148" s="370">
        <v>8.500000295E9</v>
      </c>
      <c r="B148" s="299" t="s">
        <v>715</v>
      </c>
      <c r="C148" s="285" t="s">
        <v>2205</v>
      </c>
      <c r="D148" s="285" t="s">
        <v>11884</v>
      </c>
      <c r="E148" s="290" t="s">
        <v>8183</v>
      </c>
      <c r="F148" s="288">
        <v>45660.0</v>
      </c>
      <c r="G148" s="288">
        <v>45659.0</v>
      </c>
      <c r="H148" s="288">
        <v>45666.0</v>
      </c>
      <c r="I148" s="288">
        <v>45666.0</v>
      </c>
      <c r="J148" s="561"/>
      <c r="K148" s="561"/>
      <c r="L148" s="290" t="s">
        <v>11885</v>
      </c>
      <c r="M148" s="286">
        <f t="shared" si="1"/>
        <v>1</v>
      </c>
      <c r="N148" s="299" t="s">
        <v>11486</v>
      </c>
      <c r="O148" s="342"/>
      <c r="P148" s="342"/>
      <c r="Q148" s="342"/>
      <c r="R148" s="342"/>
      <c r="S148" s="342"/>
      <c r="T148" s="342"/>
      <c r="U148" s="342"/>
      <c r="V148" s="342"/>
      <c r="W148" s="342"/>
      <c r="X148" s="342"/>
      <c r="Y148" s="342"/>
    </row>
    <row r="149" ht="84.0" customHeight="1">
      <c r="A149" s="370">
        <v>8.600003073E9</v>
      </c>
      <c r="B149" s="299" t="s">
        <v>25</v>
      </c>
      <c r="C149" s="285" t="s">
        <v>3550</v>
      </c>
      <c r="D149" s="285" t="s">
        <v>11886</v>
      </c>
      <c r="E149" s="290" t="s">
        <v>5667</v>
      </c>
      <c r="F149" s="288">
        <v>45659.0</v>
      </c>
      <c r="G149" s="288">
        <v>45652.0</v>
      </c>
      <c r="H149" s="288">
        <v>45670.0</v>
      </c>
      <c r="I149" s="288">
        <v>45670.0</v>
      </c>
      <c r="J149" s="561"/>
      <c r="K149" s="561"/>
      <c r="L149" s="290" t="s">
        <v>11887</v>
      </c>
      <c r="M149" s="286">
        <f t="shared" si="1"/>
        <v>1</v>
      </c>
      <c r="N149" s="299" t="s">
        <v>11486</v>
      </c>
      <c r="O149" s="342"/>
      <c r="P149" s="342"/>
      <c r="Q149" s="342"/>
      <c r="R149" s="342"/>
      <c r="S149" s="342"/>
      <c r="T149" s="342"/>
      <c r="U149" s="342"/>
      <c r="V149" s="342"/>
      <c r="W149" s="342"/>
      <c r="X149" s="342"/>
      <c r="Y149" s="342"/>
    </row>
    <row r="150" ht="84.0" customHeight="1">
      <c r="A150" s="436"/>
      <c r="B150" s="328"/>
      <c r="C150" s="328"/>
      <c r="D150" s="328"/>
      <c r="E150" s="341"/>
      <c r="F150" s="333"/>
      <c r="G150" s="589"/>
      <c r="H150" s="589"/>
      <c r="I150" s="589"/>
      <c r="J150" s="328"/>
      <c r="K150" s="590"/>
      <c r="L150" s="341"/>
      <c r="M150" s="436"/>
      <c r="N150" s="436"/>
      <c r="O150" s="366"/>
      <c r="P150" s="366"/>
      <c r="Q150" s="366"/>
      <c r="R150" s="366"/>
      <c r="S150" s="366"/>
      <c r="T150" s="366"/>
      <c r="U150" s="366"/>
      <c r="V150" s="366"/>
      <c r="W150" s="366"/>
      <c r="X150" s="366"/>
      <c r="Y150" s="366"/>
    </row>
    <row r="151" ht="84.0" customHeight="1">
      <c r="A151" s="436"/>
      <c r="B151" s="328"/>
      <c r="C151" s="328"/>
      <c r="D151" s="328"/>
      <c r="E151" s="341"/>
      <c r="F151" s="333"/>
      <c r="G151" s="589"/>
      <c r="H151" s="589"/>
      <c r="I151" s="589"/>
      <c r="J151" s="328"/>
      <c r="K151" s="590"/>
      <c r="L151" s="341"/>
      <c r="M151" s="436"/>
      <c r="N151" s="436"/>
      <c r="O151" s="366"/>
      <c r="P151" s="366"/>
      <c r="Q151" s="366"/>
      <c r="R151" s="366"/>
      <c r="S151" s="366"/>
      <c r="T151" s="366"/>
      <c r="U151" s="366"/>
      <c r="V151" s="366"/>
      <c r="W151" s="366"/>
      <c r="X151" s="366"/>
      <c r="Y151" s="366"/>
    </row>
    <row r="152" ht="84.0" customHeight="1">
      <c r="A152" s="436"/>
      <c r="B152" s="328"/>
      <c r="C152" s="328"/>
      <c r="D152" s="328"/>
      <c r="E152" s="341"/>
      <c r="F152" s="333"/>
      <c r="G152" s="589"/>
      <c r="H152" s="589"/>
      <c r="I152" s="589"/>
      <c r="J152" s="328"/>
      <c r="K152" s="590"/>
      <c r="L152" s="341"/>
      <c r="M152" s="436"/>
      <c r="N152" s="436"/>
      <c r="O152" s="366"/>
      <c r="P152" s="366"/>
      <c r="Q152" s="366"/>
      <c r="R152" s="366"/>
      <c r="S152" s="366"/>
      <c r="T152" s="366"/>
      <c r="U152" s="366"/>
      <c r="V152" s="366"/>
      <c r="W152" s="366"/>
      <c r="X152" s="366"/>
      <c r="Y152" s="366"/>
    </row>
    <row r="153" ht="84.0" customHeight="1">
      <c r="A153" s="436"/>
      <c r="B153" s="328"/>
      <c r="C153" s="328"/>
      <c r="D153" s="328"/>
      <c r="E153" s="341"/>
      <c r="F153" s="333"/>
      <c r="G153" s="589"/>
      <c r="H153" s="589"/>
      <c r="I153" s="589"/>
      <c r="J153" s="328"/>
      <c r="K153" s="590"/>
      <c r="L153" s="341"/>
      <c r="M153" s="436"/>
      <c r="N153" s="436"/>
      <c r="O153" s="366"/>
      <c r="P153" s="366"/>
      <c r="Q153" s="366"/>
      <c r="R153" s="366"/>
      <c r="S153" s="366"/>
      <c r="T153" s="366"/>
      <c r="U153" s="366"/>
      <c r="V153" s="366"/>
      <c r="W153" s="366"/>
      <c r="X153" s="366"/>
      <c r="Y153" s="366"/>
    </row>
    <row r="154" ht="84.0" customHeight="1">
      <c r="A154" s="436"/>
      <c r="B154" s="328"/>
      <c r="C154" s="328"/>
      <c r="D154" s="328"/>
      <c r="E154" s="341"/>
      <c r="F154" s="333"/>
      <c r="G154" s="589"/>
      <c r="H154" s="589"/>
      <c r="I154" s="589"/>
      <c r="J154" s="328"/>
      <c r="K154" s="590"/>
      <c r="L154" s="341"/>
      <c r="M154" s="436"/>
      <c r="N154" s="436"/>
      <c r="O154" s="366"/>
      <c r="P154" s="366"/>
      <c r="Q154" s="366"/>
      <c r="R154" s="366"/>
      <c r="S154" s="366"/>
      <c r="T154" s="366"/>
      <c r="U154" s="366"/>
      <c r="V154" s="366"/>
      <c r="W154" s="366"/>
      <c r="X154" s="366"/>
      <c r="Y154" s="366"/>
    </row>
    <row r="155" ht="84.0" customHeight="1">
      <c r="A155" s="436"/>
      <c r="B155" s="328"/>
      <c r="C155" s="328"/>
      <c r="D155" s="328"/>
      <c r="E155" s="341"/>
      <c r="F155" s="333"/>
      <c r="G155" s="589"/>
      <c r="H155" s="589"/>
      <c r="I155" s="589"/>
      <c r="J155" s="328"/>
      <c r="K155" s="590"/>
      <c r="L155" s="341"/>
      <c r="M155" s="436"/>
      <c r="N155" s="436"/>
      <c r="O155" s="366"/>
      <c r="P155" s="366"/>
      <c r="Q155" s="366"/>
      <c r="R155" s="366"/>
      <c r="S155" s="366"/>
      <c r="T155" s="366"/>
      <c r="U155" s="366"/>
      <c r="V155" s="366"/>
      <c r="W155" s="366"/>
      <c r="X155" s="366"/>
      <c r="Y155" s="366"/>
    </row>
    <row r="156" ht="84.0" customHeight="1">
      <c r="A156" s="436"/>
      <c r="B156" s="328"/>
      <c r="C156" s="328"/>
      <c r="D156" s="328"/>
      <c r="E156" s="341"/>
      <c r="F156" s="333"/>
      <c r="G156" s="589"/>
      <c r="H156" s="589"/>
      <c r="I156" s="589"/>
      <c r="J156" s="328"/>
      <c r="K156" s="590"/>
      <c r="L156" s="341"/>
      <c r="M156" s="436"/>
      <c r="N156" s="436"/>
      <c r="O156" s="366"/>
      <c r="P156" s="366"/>
      <c r="Q156" s="366"/>
      <c r="R156" s="366"/>
      <c r="S156" s="366"/>
      <c r="T156" s="366"/>
      <c r="U156" s="366"/>
      <c r="V156" s="366"/>
      <c r="W156" s="366"/>
      <c r="X156" s="366"/>
      <c r="Y156" s="366"/>
    </row>
    <row r="157" ht="84.0" customHeight="1">
      <c r="A157" s="436"/>
      <c r="B157" s="328"/>
      <c r="C157" s="328"/>
      <c r="D157" s="328"/>
      <c r="E157" s="341"/>
      <c r="F157" s="333"/>
      <c r="G157" s="589"/>
      <c r="H157" s="589"/>
      <c r="I157" s="589"/>
      <c r="J157" s="328"/>
      <c r="K157" s="590"/>
      <c r="L157" s="341"/>
      <c r="M157" s="436"/>
      <c r="N157" s="436"/>
      <c r="O157" s="366"/>
      <c r="P157" s="366"/>
      <c r="Q157" s="366"/>
      <c r="R157" s="366"/>
      <c r="S157" s="366"/>
      <c r="T157" s="366"/>
      <c r="U157" s="366"/>
      <c r="V157" s="366"/>
      <c r="W157" s="366"/>
      <c r="X157" s="366"/>
      <c r="Y157" s="366"/>
    </row>
    <row r="158" ht="84.0" customHeight="1">
      <c r="A158" s="436"/>
      <c r="B158" s="328"/>
      <c r="C158" s="328"/>
      <c r="D158" s="328"/>
      <c r="E158" s="341"/>
      <c r="F158" s="333"/>
      <c r="G158" s="589"/>
      <c r="H158" s="589"/>
      <c r="I158" s="589"/>
      <c r="J158" s="328"/>
      <c r="K158" s="590"/>
      <c r="L158" s="341"/>
      <c r="M158" s="436"/>
      <c r="N158" s="436"/>
      <c r="O158" s="366"/>
      <c r="P158" s="366"/>
      <c r="Q158" s="366"/>
      <c r="R158" s="366"/>
      <c r="S158" s="366"/>
      <c r="T158" s="366"/>
      <c r="U158" s="366"/>
      <c r="V158" s="366"/>
      <c r="W158" s="366"/>
      <c r="X158" s="366"/>
      <c r="Y158" s="366"/>
    </row>
    <row r="159" ht="84.0" customHeight="1">
      <c r="A159" s="436"/>
      <c r="B159" s="328"/>
      <c r="C159" s="328"/>
      <c r="D159" s="328"/>
      <c r="E159" s="341"/>
      <c r="F159" s="333"/>
      <c r="G159" s="589"/>
      <c r="H159" s="589"/>
      <c r="I159" s="589"/>
      <c r="J159" s="328"/>
      <c r="K159" s="590"/>
      <c r="L159" s="341"/>
      <c r="M159" s="436"/>
      <c r="N159" s="436"/>
      <c r="O159" s="366"/>
      <c r="P159" s="366"/>
      <c r="Q159" s="366"/>
      <c r="R159" s="366"/>
      <c r="S159" s="366"/>
      <c r="T159" s="366"/>
      <c r="U159" s="366"/>
      <c r="V159" s="366"/>
      <c r="W159" s="366"/>
      <c r="X159" s="366"/>
      <c r="Y159" s="366"/>
    </row>
    <row r="160" ht="84.0" customHeight="1">
      <c r="A160" s="436"/>
      <c r="B160" s="328"/>
      <c r="C160" s="328"/>
      <c r="D160" s="328"/>
      <c r="E160" s="341"/>
      <c r="F160" s="333"/>
      <c r="G160" s="589"/>
      <c r="H160" s="589"/>
      <c r="I160" s="589"/>
      <c r="J160" s="328"/>
      <c r="K160" s="590"/>
      <c r="L160" s="341"/>
      <c r="M160" s="436"/>
      <c r="N160" s="436"/>
      <c r="O160" s="366"/>
      <c r="P160" s="366"/>
      <c r="Q160" s="366"/>
      <c r="R160" s="366"/>
      <c r="S160" s="366"/>
      <c r="T160" s="366"/>
      <c r="U160" s="366"/>
      <c r="V160" s="366"/>
      <c r="W160" s="366"/>
      <c r="X160" s="366"/>
      <c r="Y160" s="366"/>
    </row>
    <row r="161" ht="84.0" customHeight="1">
      <c r="A161" s="436"/>
      <c r="B161" s="328"/>
      <c r="C161" s="328"/>
      <c r="D161" s="328"/>
      <c r="E161" s="341"/>
      <c r="F161" s="333"/>
      <c r="G161" s="589"/>
      <c r="H161" s="589"/>
      <c r="I161" s="589"/>
      <c r="J161" s="328"/>
      <c r="K161" s="590"/>
      <c r="L161" s="341"/>
      <c r="M161" s="436"/>
      <c r="N161" s="436"/>
      <c r="O161" s="366"/>
      <c r="P161" s="366"/>
      <c r="Q161" s="366"/>
      <c r="R161" s="366"/>
      <c r="S161" s="366"/>
      <c r="T161" s="366"/>
      <c r="U161" s="366"/>
      <c r="V161" s="366"/>
      <c r="W161" s="366"/>
      <c r="X161" s="366"/>
      <c r="Y161" s="366"/>
    </row>
    <row r="162" ht="84.0" customHeight="1">
      <c r="A162" s="436"/>
      <c r="B162" s="328"/>
      <c r="C162" s="328"/>
      <c r="D162" s="328"/>
      <c r="E162" s="341"/>
      <c r="F162" s="333"/>
      <c r="G162" s="589"/>
      <c r="H162" s="589"/>
      <c r="I162" s="589"/>
      <c r="J162" s="328"/>
      <c r="K162" s="590"/>
      <c r="L162" s="341"/>
      <c r="M162" s="436"/>
      <c r="N162" s="436"/>
      <c r="O162" s="366"/>
      <c r="P162" s="366"/>
      <c r="Q162" s="366"/>
      <c r="R162" s="366"/>
      <c r="S162" s="366"/>
      <c r="T162" s="366"/>
      <c r="U162" s="366"/>
      <c r="V162" s="366"/>
      <c r="W162" s="366"/>
      <c r="X162" s="366"/>
      <c r="Y162" s="366"/>
    </row>
    <row r="163" ht="84.0" customHeight="1">
      <c r="A163" s="436"/>
      <c r="B163" s="328"/>
      <c r="C163" s="328"/>
      <c r="D163" s="328"/>
      <c r="E163" s="341"/>
      <c r="F163" s="333"/>
      <c r="G163" s="589"/>
      <c r="H163" s="589"/>
      <c r="I163" s="589"/>
      <c r="J163" s="328"/>
      <c r="K163" s="590"/>
      <c r="L163" s="341"/>
      <c r="M163" s="436"/>
      <c r="N163" s="436"/>
      <c r="O163" s="366"/>
      <c r="P163" s="366"/>
      <c r="Q163" s="366"/>
      <c r="R163" s="366"/>
      <c r="S163" s="366"/>
      <c r="T163" s="366"/>
      <c r="U163" s="366"/>
      <c r="V163" s="366"/>
      <c r="W163" s="366"/>
      <c r="X163" s="366"/>
      <c r="Y163" s="366"/>
    </row>
    <row r="164" ht="84.0" customHeight="1">
      <c r="A164" s="436"/>
      <c r="B164" s="328"/>
      <c r="C164" s="328"/>
      <c r="D164" s="328"/>
      <c r="E164" s="341"/>
      <c r="F164" s="333"/>
      <c r="G164" s="589"/>
      <c r="H164" s="589"/>
      <c r="I164" s="589"/>
      <c r="J164" s="328"/>
      <c r="K164" s="590"/>
      <c r="L164" s="341"/>
      <c r="M164" s="436"/>
      <c r="N164" s="436"/>
      <c r="O164" s="366"/>
      <c r="P164" s="366"/>
      <c r="Q164" s="366"/>
      <c r="R164" s="366"/>
      <c r="S164" s="366"/>
      <c r="T164" s="366"/>
      <c r="U164" s="366"/>
      <c r="V164" s="366"/>
      <c r="W164" s="366"/>
      <c r="X164" s="366"/>
      <c r="Y164" s="366"/>
    </row>
    <row r="165" ht="84.0" customHeight="1">
      <c r="A165" s="436"/>
      <c r="B165" s="328"/>
      <c r="C165" s="328"/>
      <c r="D165" s="328"/>
      <c r="E165" s="341"/>
      <c r="F165" s="333"/>
      <c r="G165" s="589"/>
      <c r="H165" s="589"/>
      <c r="I165" s="589"/>
      <c r="J165" s="328"/>
      <c r="K165" s="590"/>
      <c r="L165" s="341"/>
      <c r="M165" s="436"/>
      <c r="N165" s="436"/>
      <c r="O165" s="366"/>
      <c r="P165" s="366"/>
      <c r="Q165" s="366"/>
      <c r="R165" s="366"/>
      <c r="S165" s="366"/>
      <c r="T165" s="366"/>
      <c r="U165" s="366"/>
      <c r="V165" s="366"/>
      <c r="W165" s="366"/>
      <c r="X165" s="366"/>
      <c r="Y165" s="366"/>
    </row>
    <row r="166" ht="84.0" customHeight="1">
      <c r="A166" s="436"/>
      <c r="B166" s="328"/>
      <c r="C166" s="328"/>
      <c r="D166" s="328"/>
      <c r="E166" s="341"/>
      <c r="F166" s="333"/>
      <c r="G166" s="589"/>
      <c r="H166" s="589"/>
      <c r="I166" s="589"/>
      <c r="J166" s="328"/>
      <c r="K166" s="590"/>
      <c r="L166" s="341"/>
      <c r="M166" s="436"/>
      <c r="N166" s="436"/>
      <c r="O166" s="366"/>
      <c r="P166" s="366"/>
      <c r="Q166" s="366"/>
      <c r="R166" s="366"/>
      <c r="S166" s="366"/>
      <c r="T166" s="366"/>
      <c r="U166" s="366"/>
      <c r="V166" s="366"/>
      <c r="W166" s="366"/>
      <c r="X166" s="366"/>
      <c r="Y166" s="366"/>
    </row>
    <row r="167" ht="84.0" customHeight="1">
      <c r="A167" s="436"/>
      <c r="B167" s="328"/>
      <c r="C167" s="328"/>
      <c r="D167" s="328"/>
      <c r="E167" s="341"/>
      <c r="F167" s="333"/>
      <c r="G167" s="589"/>
      <c r="H167" s="589"/>
      <c r="I167" s="589"/>
      <c r="J167" s="328"/>
      <c r="K167" s="590"/>
      <c r="L167" s="341"/>
      <c r="M167" s="436"/>
      <c r="N167" s="436"/>
      <c r="O167" s="366"/>
      <c r="P167" s="366"/>
      <c r="Q167" s="366"/>
      <c r="R167" s="366"/>
      <c r="S167" s="366"/>
      <c r="T167" s="366"/>
      <c r="U167" s="366"/>
      <c r="V167" s="366"/>
      <c r="W167" s="366"/>
      <c r="X167" s="366"/>
      <c r="Y167" s="366"/>
    </row>
    <row r="168" ht="84.0" customHeight="1">
      <c r="A168" s="436"/>
      <c r="B168" s="328"/>
      <c r="C168" s="328"/>
      <c r="D168" s="328"/>
      <c r="E168" s="341"/>
      <c r="F168" s="333"/>
      <c r="G168" s="589"/>
      <c r="H168" s="589"/>
      <c r="I168" s="589"/>
      <c r="J168" s="328"/>
      <c r="K168" s="590"/>
      <c r="L168" s="341"/>
      <c r="M168" s="436"/>
      <c r="N168" s="436"/>
      <c r="O168" s="366"/>
      <c r="P168" s="366"/>
      <c r="Q168" s="366"/>
      <c r="R168" s="366"/>
      <c r="S168" s="366"/>
      <c r="T168" s="366"/>
      <c r="U168" s="366"/>
      <c r="V168" s="366"/>
      <c r="W168" s="366"/>
      <c r="X168" s="366"/>
      <c r="Y168" s="366"/>
    </row>
    <row r="169" ht="84.0" customHeight="1">
      <c r="A169" s="436"/>
      <c r="B169" s="328"/>
      <c r="C169" s="328"/>
      <c r="D169" s="328"/>
      <c r="E169" s="341"/>
      <c r="F169" s="333"/>
      <c r="G169" s="589"/>
      <c r="H169" s="589"/>
      <c r="I169" s="589"/>
      <c r="J169" s="328"/>
      <c r="K169" s="590"/>
      <c r="L169" s="341"/>
      <c r="M169" s="436"/>
      <c r="N169" s="436"/>
      <c r="O169" s="366"/>
      <c r="P169" s="366"/>
      <c r="Q169" s="366"/>
      <c r="R169" s="366"/>
      <c r="S169" s="366"/>
      <c r="T169" s="366"/>
      <c r="U169" s="366"/>
      <c r="V169" s="366"/>
      <c r="W169" s="366"/>
      <c r="X169" s="366"/>
      <c r="Y169" s="366"/>
    </row>
    <row r="170" ht="84.0" customHeight="1">
      <c r="A170" s="436"/>
      <c r="B170" s="328"/>
      <c r="C170" s="328"/>
      <c r="D170" s="328"/>
      <c r="E170" s="341"/>
      <c r="F170" s="333"/>
      <c r="G170" s="589"/>
      <c r="H170" s="589"/>
      <c r="I170" s="589"/>
      <c r="J170" s="328"/>
      <c r="K170" s="590"/>
      <c r="L170" s="341"/>
      <c r="M170" s="436"/>
      <c r="N170" s="436"/>
      <c r="O170" s="366"/>
      <c r="P170" s="366"/>
      <c r="Q170" s="366"/>
      <c r="R170" s="366"/>
      <c r="S170" s="366"/>
      <c r="T170" s="366"/>
      <c r="U170" s="366"/>
      <c r="V170" s="366"/>
      <c r="W170" s="366"/>
      <c r="X170" s="366"/>
      <c r="Y170" s="366"/>
    </row>
    <row r="171" ht="84.0" customHeight="1">
      <c r="A171" s="436"/>
      <c r="B171" s="328"/>
      <c r="C171" s="328"/>
      <c r="D171" s="328"/>
      <c r="E171" s="341"/>
      <c r="F171" s="333"/>
      <c r="G171" s="589"/>
      <c r="H171" s="589"/>
      <c r="I171" s="589"/>
      <c r="J171" s="328"/>
      <c r="K171" s="590"/>
      <c r="L171" s="341"/>
      <c r="M171" s="436"/>
      <c r="N171" s="436"/>
      <c r="O171" s="366"/>
      <c r="P171" s="366"/>
      <c r="Q171" s="366"/>
      <c r="R171" s="366"/>
      <c r="S171" s="366"/>
      <c r="T171" s="366"/>
      <c r="U171" s="366"/>
      <c r="V171" s="366"/>
      <c r="W171" s="366"/>
      <c r="X171" s="366"/>
      <c r="Y171" s="366"/>
    </row>
    <row r="172" ht="84.0" customHeight="1">
      <c r="A172" s="436"/>
      <c r="B172" s="328"/>
      <c r="C172" s="328"/>
      <c r="D172" s="328"/>
      <c r="E172" s="341"/>
      <c r="F172" s="333"/>
      <c r="G172" s="589"/>
      <c r="H172" s="589"/>
      <c r="I172" s="589"/>
      <c r="J172" s="328"/>
      <c r="K172" s="590"/>
      <c r="L172" s="341"/>
      <c r="M172" s="436"/>
      <c r="N172" s="436"/>
      <c r="O172" s="366"/>
      <c r="P172" s="366"/>
      <c r="Q172" s="366"/>
      <c r="R172" s="366"/>
      <c r="S172" s="366"/>
      <c r="T172" s="366"/>
      <c r="U172" s="366"/>
      <c r="V172" s="366"/>
      <c r="W172" s="366"/>
      <c r="X172" s="366"/>
      <c r="Y172" s="366"/>
    </row>
    <row r="173" ht="84.0" customHeight="1">
      <c r="A173" s="436"/>
      <c r="B173" s="328"/>
      <c r="C173" s="328"/>
      <c r="D173" s="328"/>
      <c r="E173" s="341"/>
      <c r="F173" s="333"/>
      <c r="G173" s="589"/>
      <c r="H173" s="589"/>
      <c r="I173" s="589"/>
      <c r="J173" s="328"/>
      <c r="K173" s="590"/>
      <c r="L173" s="341"/>
      <c r="M173" s="436"/>
      <c r="N173" s="436"/>
      <c r="O173" s="366"/>
      <c r="P173" s="366"/>
      <c r="Q173" s="366"/>
      <c r="R173" s="366"/>
      <c r="S173" s="366"/>
      <c r="T173" s="366"/>
      <c r="U173" s="366"/>
      <c r="V173" s="366"/>
      <c r="W173" s="366"/>
      <c r="X173" s="366"/>
      <c r="Y173" s="366"/>
    </row>
    <row r="174" ht="84.0" customHeight="1">
      <c r="A174" s="436"/>
      <c r="B174" s="328"/>
      <c r="C174" s="328"/>
      <c r="D174" s="328"/>
      <c r="E174" s="341"/>
      <c r="F174" s="333"/>
      <c r="G174" s="589"/>
      <c r="H174" s="589"/>
      <c r="I174" s="589"/>
      <c r="J174" s="328"/>
      <c r="K174" s="590"/>
      <c r="L174" s="341"/>
      <c r="M174" s="436"/>
      <c r="N174" s="436"/>
      <c r="O174" s="366"/>
      <c r="P174" s="366"/>
      <c r="Q174" s="366"/>
      <c r="R174" s="366"/>
      <c r="S174" s="366"/>
      <c r="T174" s="366"/>
      <c r="U174" s="366"/>
      <c r="V174" s="366"/>
      <c r="W174" s="366"/>
      <c r="X174" s="366"/>
      <c r="Y174" s="366"/>
    </row>
    <row r="175" ht="84.0" customHeight="1">
      <c r="A175" s="436"/>
      <c r="B175" s="328"/>
      <c r="C175" s="328"/>
      <c r="D175" s="328"/>
      <c r="E175" s="341"/>
      <c r="F175" s="333"/>
      <c r="G175" s="589"/>
      <c r="H175" s="589"/>
      <c r="I175" s="589"/>
      <c r="J175" s="328"/>
      <c r="K175" s="590"/>
      <c r="L175" s="341"/>
      <c r="M175" s="436"/>
      <c r="N175" s="436"/>
      <c r="O175" s="366"/>
      <c r="P175" s="366"/>
      <c r="Q175" s="366"/>
      <c r="R175" s="366"/>
      <c r="S175" s="366"/>
      <c r="T175" s="366"/>
      <c r="U175" s="366"/>
      <c r="V175" s="366"/>
      <c r="W175" s="366"/>
      <c r="X175" s="366"/>
      <c r="Y175" s="366"/>
    </row>
    <row r="176" ht="84.0" customHeight="1">
      <c r="A176" s="436"/>
      <c r="B176" s="328"/>
      <c r="C176" s="328"/>
      <c r="D176" s="328"/>
      <c r="E176" s="341"/>
      <c r="F176" s="333"/>
      <c r="G176" s="589"/>
      <c r="H176" s="589"/>
      <c r="I176" s="589"/>
      <c r="J176" s="328"/>
      <c r="K176" s="590"/>
      <c r="L176" s="341"/>
      <c r="M176" s="436"/>
      <c r="N176" s="436"/>
      <c r="O176" s="366"/>
      <c r="P176" s="366"/>
      <c r="Q176" s="366"/>
      <c r="R176" s="366"/>
      <c r="S176" s="366"/>
      <c r="T176" s="366"/>
      <c r="U176" s="366"/>
      <c r="V176" s="366"/>
      <c r="W176" s="366"/>
      <c r="X176" s="366"/>
      <c r="Y176" s="366"/>
    </row>
    <row r="177" ht="84.0" customHeight="1">
      <c r="A177" s="436"/>
      <c r="B177" s="328"/>
      <c r="C177" s="328"/>
      <c r="D177" s="328"/>
      <c r="E177" s="341"/>
      <c r="F177" s="333"/>
      <c r="G177" s="589"/>
      <c r="H177" s="589"/>
      <c r="I177" s="589"/>
      <c r="J177" s="328"/>
      <c r="K177" s="590"/>
      <c r="L177" s="341"/>
      <c r="M177" s="436"/>
      <c r="N177" s="436"/>
      <c r="O177" s="366"/>
      <c r="P177" s="366"/>
      <c r="Q177" s="366"/>
      <c r="R177" s="366"/>
      <c r="S177" s="366"/>
      <c r="T177" s="366"/>
      <c r="U177" s="366"/>
      <c r="V177" s="366"/>
      <c r="W177" s="366"/>
      <c r="X177" s="366"/>
      <c r="Y177" s="366"/>
    </row>
    <row r="178" ht="84.0" customHeight="1">
      <c r="A178" s="436"/>
      <c r="B178" s="328"/>
      <c r="C178" s="328"/>
      <c r="D178" s="328"/>
      <c r="E178" s="341"/>
      <c r="F178" s="333"/>
      <c r="G178" s="589"/>
      <c r="H178" s="589"/>
      <c r="I178" s="589"/>
      <c r="J178" s="328"/>
      <c r="K178" s="590"/>
      <c r="L178" s="341"/>
      <c r="M178" s="436"/>
      <c r="N178" s="436"/>
      <c r="O178" s="366"/>
      <c r="P178" s="366"/>
      <c r="Q178" s="366"/>
      <c r="R178" s="366"/>
      <c r="S178" s="366"/>
      <c r="T178" s="366"/>
      <c r="U178" s="366"/>
      <c r="V178" s="366"/>
      <c r="W178" s="366"/>
      <c r="X178" s="366"/>
      <c r="Y178" s="366"/>
    </row>
    <row r="179" ht="84.0" customHeight="1">
      <c r="A179" s="436"/>
      <c r="B179" s="328"/>
      <c r="C179" s="328"/>
      <c r="D179" s="328"/>
      <c r="E179" s="341"/>
      <c r="F179" s="333"/>
      <c r="G179" s="589"/>
      <c r="H179" s="589"/>
      <c r="I179" s="589"/>
      <c r="J179" s="328"/>
      <c r="K179" s="590"/>
      <c r="L179" s="341"/>
      <c r="M179" s="436"/>
      <c r="N179" s="436"/>
      <c r="O179" s="366"/>
      <c r="P179" s="366"/>
      <c r="Q179" s="366"/>
      <c r="R179" s="366"/>
      <c r="S179" s="366"/>
      <c r="T179" s="366"/>
      <c r="U179" s="366"/>
      <c r="V179" s="366"/>
      <c r="W179" s="366"/>
      <c r="X179" s="366"/>
      <c r="Y179" s="366"/>
    </row>
    <row r="180" ht="84.0" customHeight="1">
      <c r="A180" s="436"/>
      <c r="B180" s="328"/>
      <c r="C180" s="328"/>
      <c r="D180" s="328"/>
      <c r="E180" s="341"/>
      <c r="F180" s="333"/>
      <c r="G180" s="589"/>
      <c r="H180" s="589"/>
      <c r="I180" s="589"/>
      <c r="J180" s="328"/>
      <c r="K180" s="590"/>
      <c r="L180" s="341"/>
      <c r="M180" s="436"/>
      <c r="N180" s="436"/>
      <c r="O180" s="366"/>
      <c r="P180" s="366"/>
      <c r="Q180" s="366"/>
      <c r="R180" s="366"/>
      <c r="S180" s="366"/>
      <c r="T180" s="366"/>
      <c r="U180" s="366"/>
      <c r="V180" s="366"/>
      <c r="W180" s="366"/>
      <c r="X180" s="366"/>
      <c r="Y180" s="366"/>
    </row>
    <row r="181" ht="84.0" customHeight="1">
      <c r="A181" s="436"/>
      <c r="B181" s="328"/>
      <c r="C181" s="328"/>
      <c r="D181" s="328"/>
      <c r="E181" s="341"/>
      <c r="F181" s="333"/>
      <c r="G181" s="589"/>
      <c r="H181" s="589"/>
      <c r="I181" s="589"/>
      <c r="J181" s="328"/>
      <c r="K181" s="590"/>
      <c r="L181" s="341"/>
      <c r="M181" s="436"/>
      <c r="N181" s="436"/>
      <c r="O181" s="366"/>
      <c r="P181" s="366"/>
      <c r="Q181" s="366"/>
      <c r="R181" s="366"/>
      <c r="S181" s="366"/>
      <c r="T181" s="366"/>
      <c r="U181" s="366"/>
      <c r="V181" s="366"/>
      <c r="W181" s="366"/>
      <c r="X181" s="366"/>
      <c r="Y181" s="366"/>
    </row>
    <row r="182" ht="84.0" customHeight="1">
      <c r="A182" s="436"/>
      <c r="B182" s="328"/>
      <c r="C182" s="328"/>
      <c r="D182" s="328"/>
      <c r="E182" s="341"/>
      <c r="F182" s="333"/>
      <c r="G182" s="589"/>
      <c r="H182" s="589"/>
      <c r="I182" s="589"/>
      <c r="J182" s="328"/>
      <c r="K182" s="590"/>
      <c r="L182" s="341"/>
      <c r="M182" s="436"/>
      <c r="N182" s="436"/>
      <c r="O182" s="366"/>
      <c r="P182" s="366"/>
      <c r="Q182" s="366"/>
      <c r="R182" s="366"/>
      <c r="S182" s="366"/>
      <c r="T182" s="366"/>
      <c r="U182" s="366"/>
      <c r="V182" s="366"/>
      <c r="W182" s="366"/>
      <c r="X182" s="366"/>
      <c r="Y182" s="366"/>
    </row>
    <row r="183" ht="84.0" customHeight="1">
      <c r="A183" s="436"/>
      <c r="B183" s="328"/>
      <c r="C183" s="328"/>
      <c r="D183" s="328"/>
      <c r="E183" s="341"/>
      <c r="F183" s="333"/>
      <c r="G183" s="589"/>
      <c r="H183" s="589"/>
      <c r="I183" s="589"/>
      <c r="J183" s="328"/>
      <c r="K183" s="590"/>
      <c r="L183" s="341"/>
      <c r="M183" s="436"/>
      <c r="N183" s="436"/>
      <c r="O183" s="366"/>
      <c r="P183" s="366"/>
      <c r="Q183" s="366"/>
      <c r="R183" s="366"/>
      <c r="S183" s="366"/>
      <c r="T183" s="366"/>
      <c r="U183" s="366"/>
      <c r="V183" s="366"/>
      <c r="W183" s="366"/>
      <c r="X183" s="366"/>
      <c r="Y183" s="366"/>
    </row>
    <row r="184" ht="84.0" customHeight="1">
      <c r="A184" s="436"/>
      <c r="B184" s="328"/>
      <c r="C184" s="328"/>
      <c r="D184" s="328"/>
      <c r="E184" s="341"/>
      <c r="F184" s="333"/>
      <c r="G184" s="589"/>
      <c r="H184" s="589"/>
      <c r="I184" s="589"/>
      <c r="J184" s="328"/>
      <c r="K184" s="590"/>
      <c r="L184" s="341"/>
      <c r="M184" s="436"/>
      <c r="N184" s="436"/>
      <c r="O184" s="366"/>
      <c r="P184" s="366"/>
      <c r="Q184" s="366"/>
      <c r="R184" s="366"/>
      <c r="S184" s="366"/>
      <c r="T184" s="366"/>
      <c r="U184" s="366"/>
      <c r="V184" s="366"/>
      <c r="W184" s="366"/>
      <c r="X184" s="366"/>
      <c r="Y184" s="366"/>
    </row>
    <row r="185" ht="84.0" customHeight="1">
      <c r="A185" s="436"/>
      <c r="B185" s="328"/>
      <c r="C185" s="328"/>
      <c r="D185" s="328"/>
      <c r="E185" s="341"/>
      <c r="F185" s="333"/>
      <c r="G185" s="589"/>
      <c r="H185" s="589"/>
      <c r="I185" s="589"/>
      <c r="J185" s="328"/>
      <c r="K185" s="590"/>
      <c r="L185" s="341"/>
      <c r="M185" s="436"/>
      <c r="N185" s="436"/>
      <c r="O185" s="366"/>
      <c r="P185" s="366"/>
      <c r="Q185" s="366"/>
      <c r="R185" s="366"/>
      <c r="S185" s="366"/>
      <c r="T185" s="366"/>
      <c r="U185" s="366"/>
      <c r="V185" s="366"/>
      <c r="W185" s="366"/>
      <c r="X185" s="366"/>
      <c r="Y185" s="366"/>
    </row>
    <row r="186" ht="84.0" customHeight="1">
      <c r="A186" s="436"/>
      <c r="B186" s="328"/>
      <c r="C186" s="328"/>
      <c r="D186" s="328"/>
      <c r="E186" s="341"/>
      <c r="F186" s="333"/>
      <c r="G186" s="589"/>
      <c r="H186" s="589"/>
      <c r="I186" s="589"/>
      <c r="J186" s="328"/>
      <c r="K186" s="590"/>
      <c r="L186" s="341"/>
      <c r="M186" s="436"/>
      <c r="N186" s="436"/>
      <c r="O186" s="366"/>
      <c r="P186" s="366"/>
      <c r="Q186" s="366"/>
      <c r="R186" s="366"/>
      <c r="S186" s="366"/>
      <c r="T186" s="366"/>
      <c r="U186" s="366"/>
      <c r="V186" s="366"/>
      <c r="W186" s="366"/>
      <c r="X186" s="366"/>
      <c r="Y186" s="366"/>
    </row>
    <row r="187" ht="84.0" customHeight="1">
      <c r="A187" s="436"/>
      <c r="B187" s="328"/>
      <c r="C187" s="328"/>
      <c r="D187" s="328"/>
      <c r="E187" s="341"/>
      <c r="F187" s="333"/>
      <c r="G187" s="589"/>
      <c r="H187" s="589"/>
      <c r="I187" s="589"/>
      <c r="J187" s="328"/>
      <c r="K187" s="590"/>
      <c r="L187" s="341"/>
      <c r="M187" s="436"/>
      <c r="N187" s="436"/>
      <c r="O187" s="366"/>
      <c r="P187" s="366"/>
      <c r="Q187" s="366"/>
      <c r="R187" s="366"/>
      <c r="S187" s="366"/>
      <c r="T187" s="366"/>
      <c r="U187" s="366"/>
      <c r="V187" s="366"/>
      <c r="W187" s="366"/>
      <c r="X187" s="366"/>
      <c r="Y187" s="366"/>
    </row>
    <row r="188" ht="84.0" customHeight="1">
      <c r="A188" s="436"/>
      <c r="B188" s="328"/>
      <c r="C188" s="328"/>
      <c r="D188" s="328"/>
      <c r="E188" s="341"/>
      <c r="F188" s="333"/>
      <c r="G188" s="589"/>
      <c r="H188" s="589"/>
      <c r="I188" s="589"/>
      <c r="J188" s="328"/>
      <c r="K188" s="590"/>
      <c r="L188" s="341"/>
      <c r="M188" s="436"/>
      <c r="N188" s="436"/>
      <c r="O188" s="366"/>
      <c r="P188" s="366"/>
      <c r="Q188" s="366"/>
      <c r="R188" s="366"/>
      <c r="S188" s="366"/>
      <c r="T188" s="366"/>
      <c r="U188" s="366"/>
      <c r="V188" s="366"/>
      <c r="W188" s="366"/>
      <c r="X188" s="366"/>
      <c r="Y188" s="366"/>
    </row>
    <row r="189" ht="84.0" customHeight="1">
      <c r="A189" s="436"/>
      <c r="B189" s="328"/>
      <c r="C189" s="328"/>
      <c r="D189" s="328"/>
      <c r="E189" s="341"/>
      <c r="F189" s="333"/>
      <c r="G189" s="589"/>
      <c r="H189" s="589"/>
      <c r="I189" s="589"/>
      <c r="J189" s="328"/>
      <c r="K189" s="590"/>
      <c r="L189" s="341"/>
      <c r="M189" s="436"/>
      <c r="N189" s="436"/>
      <c r="O189" s="366"/>
      <c r="P189" s="366"/>
      <c r="Q189" s="366"/>
      <c r="R189" s="366"/>
      <c r="S189" s="366"/>
      <c r="T189" s="366"/>
      <c r="U189" s="366"/>
      <c r="V189" s="366"/>
      <c r="W189" s="366"/>
      <c r="X189" s="366"/>
      <c r="Y189" s="366"/>
    </row>
    <row r="190" ht="84.0" customHeight="1">
      <c r="A190" s="436"/>
      <c r="B190" s="328"/>
      <c r="C190" s="328"/>
      <c r="D190" s="328"/>
      <c r="E190" s="341"/>
      <c r="F190" s="333"/>
      <c r="G190" s="589"/>
      <c r="H190" s="589"/>
      <c r="I190" s="589"/>
      <c r="J190" s="328"/>
      <c r="K190" s="590"/>
      <c r="L190" s="341"/>
      <c r="M190" s="436"/>
      <c r="N190" s="436"/>
      <c r="O190" s="366"/>
      <c r="P190" s="366"/>
      <c r="Q190" s="366"/>
      <c r="R190" s="366"/>
      <c r="S190" s="366"/>
      <c r="T190" s="366"/>
      <c r="U190" s="366"/>
      <c r="V190" s="366"/>
      <c r="W190" s="366"/>
      <c r="X190" s="366"/>
      <c r="Y190" s="366"/>
    </row>
    <row r="191" ht="84.0" customHeight="1">
      <c r="A191" s="436"/>
      <c r="B191" s="328"/>
      <c r="C191" s="328"/>
      <c r="D191" s="328"/>
      <c r="E191" s="341"/>
      <c r="F191" s="333"/>
      <c r="G191" s="589"/>
      <c r="H191" s="589"/>
      <c r="I191" s="589"/>
      <c r="J191" s="328"/>
      <c r="K191" s="590"/>
      <c r="L191" s="341"/>
      <c r="M191" s="436"/>
      <c r="N191" s="436"/>
      <c r="O191" s="366"/>
      <c r="P191" s="366"/>
      <c r="Q191" s="366"/>
      <c r="R191" s="366"/>
      <c r="S191" s="366"/>
      <c r="T191" s="366"/>
      <c r="U191" s="366"/>
      <c r="V191" s="366"/>
      <c r="W191" s="366"/>
      <c r="X191" s="366"/>
      <c r="Y191" s="366"/>
    </row>
    <row r="192" ht="84.0" customHeight="1">
      <c r="A192" s="436"/>
      <c r="B192" s="328"/>
      <c r="C192" s="328"/>
      <c r="D192" s="328"/>
      <c r="E192" s="341"/>
      <c r="F192" s="333"/>
      <c r="G192" s="589"/>
      <c r="H192" s="589"/>
      <c r="I192" s="589"/>
      <c r="J192" s="328"/>
      <c r="K192" s="590"/>
      <c r="L192" s="341"/>
      <c r="M192" s="436"/>
      <c r="N192" s="436"/>
      <c r="O192" s="366"/>
      <c r="P192" s="366"/>
      <c r="Q192" s="366"/>
      <c r="R192" s="366"/>
      <c r="S192" s="366"/>
      <c r="T192" s="366"/>
      <c r="U192" s="366"/>
      <c r="V192" s="366"/>
      <c r="W192" s="366"/>
      <c r="X192" s="366"/>
      <c r="Y192" s="366"/>
    </row>
    <row r="193" ht="84.0" customHeight="1">
      <c r="A193" s="436"/>
      <c r="B193" s="328"/>
      <c r="C193" s="328"/>
      <c r="D193" s="328"/>
      <c r="E193" s="341"/>
      <c r="F193" s="333"/>
      <c r="G193" s="589"/>
      <c r="H193" s="589"/>
      <c r="I193" s="589"/>
      <c r="J193" s="328"/>
      <c r="K193" s="590"/>
      <c r="L193" s="341"/>
      <c r="M193" s="436"/>
      <c r="N193" s="436"/>
      <c r="O193" s="366"/>
      <c r="P193" s="366"/>
      <c r="Q193" s="366"/>
      <c r="R193" s="366"/>
      <c r="S193" s="366"/>
      <c r="T193" s="366"/>
      <c r="U193" s="366"/>
      <c r="V193" s="366"/>
      <c r="W193" s="366"/>
      <c r="X193" s="366"/>
      <c r="Y193" s="366"/>
    </row>
    <row r="194" ht="84.0" customHeight="1">
      <c r="A194" s="436"/>
      <c r="B194" s="328"/>
      <c r="C194" s="328"/>
      <c r="D194" s="328"/>
      <c r="E194" s="341"/>
      <c r="F194" s="333"/>
      <c r="G194" s="589"/>
      <c r="H194" s="589"/>
      <c r="I194" s="589"/>
      <c r="J194" s="328"/>
      <c r="K194" s="590"/>
      <c r="L194" s="341"/>
      <c r="M194" s="436"/>
      <c r="N194" s="436"/>
      <c r="O194" s="366"/>
      <c r="P194" s="366"/>
      <c r="Q194" s="366"/>
      <c r="R194" s="366"/>
      <c r="S194" s="366"/>
      <c r="T194" s="366"/>
      <c r="U194" s="366"/>
      <c r="V194" s="366"/>
      <c r="W194" s="366"/>
      <c r="X194" s="366"/>
      <c r="Y194" s="366"/>
    </row>
    <row r="195" ht="84.0" customHeight="1">
      <c r="A195" s="436"/>
      <c r="B195" s="328"/>
      <c r="C195" s="328"/>
      <c r="D195" s="328"/>
      <c r="E195" s="341"/>
      <c r="F195" s="333"/>
      <c r="G195" s="589"/>
      <c r="H195" s="589"/>
      <c r="I195" s="589"/>
      <c r="J195" s="328"/>
      <c r="K195" s="590"/>
      <c r="L195" s="341"/>
      <c r="M195" s="436"/>
      <c r="N195" s="436"/>
      <c r="O195" s="366"/>
      <c r="P195" s="366"/>
      <c r="Q195" s="366"/>
      <c r="R195" s="366"/>
      <c r="S195" s="366"/>
      <c r="T195" s="366"/>
      <c r="U195" s="366"/>
      <c r="V195" s="366"/>
      <c r="W195" s="366"/>
      <c r="X195" s="366"/>
      <c r="Y195" s="366"/>
    </row>
    <row r="196" ht="84.0" customHeight="1">
      <c r="A196" s="436"/>
      <c r="B196" s="328"/>
      <c r="C196" s="328"/>
      <c r="D196" s="328"/>
      <c r="E196" s="341"/>
      <c r="F196" s="333"/>
      <c r="G196" s="589"/>
      <c r="H196" s="589"/>
      <c r="I196" s="589"/>
      <c r="J196" s="328"/>
      <c r="K196" s="590"/>
      <c r="L196" s="341"/>
      <c r="M196" s="436"/>
      <c r="N196" s="436"/>
      <c r="O196" s="366"/>
      <c r="P196" s="366"/>
      <c r="Q196" s="366"/>
      <c r="R196" s="366"/>
      <c r="S196" s="366"/>
      <c r="T196" s="366"/>
      <c r="U196" s="366"/>
      <c r="V196" s="366"/>
      <c r="W196" s="366"/>
      <c r="X196" s="366"/>
      <c r="Y196" s="366"/>
    </row>
    <row r="197" ht="84.0" customHeight="1">
      <c r="A197" s="436"/>
      <c r="B197" s="328"/>
      <c r="C197" s="328"/>
      <c r="D197" s="328"/>
      <c r="E197" s="341"/>
      <c r="F197" s="333"/>
      <c r="G197" s="589"/>
      <c r="H197" s="589"/>
      <c r="I197" s="589"/>
      <c r="J197" s="328"/>
      <c r="K197" s="590"/>
      <c r="L197" s="341"/>
      <c r="M197" s="436"/>
      <c r="N197" s="436"/>
      <c r="O197" s="366"/>
      <c r="P197" s="366"/>
      <c r="Q197" s="366"/>
      <c r="R197" s="366"/>
      <c r="S197" s="366"/>
      <c r="T197" s="366"/>
      <c r="U197" s="366"/>
      <c r="V197" s="366"/>
      <c r="W197" s="366"/>
      <c r="X197" s="366"/>
      <c r="Y197" s="366"/>
    </row>
    <row r="198" ht="84.0" customHeight="1">
      <c r="A198" s="436"/>
      <c r="B198" s="328"/>
      <c r="C198" s="328"/>
      <c r="D198" s="328"/>
      <c r="E198" s="341"/>
      <c r="F198" s="333"/>
      <c r="G198" s="589"/>
      <c r="H198" s="589"/>
      <c r="I198" s="589"/>
      <c r="J198" s="328"/>
      <c r="K198" s="590"/>
      <c r="L198" s="341"/>
      <c r="M198" s="436"/>
      <c r="N198" s="436"/>
      <c r="O198" s="366"/>
      <c r="P198" s="366"/>
      <c r="Q198" s="366"/>
      <c r="R198" s="366"/>
      <c r="S198" s="366"/>
      <c r="T198" s="366"/>
      <c r="U198" s="366"/>
      <c r="V198" s="366"/>
      <c r="W198" s="366"/>
      <c r="X198" s="366"/>
      <c r="Y198" s="366"/>
    </row>
    <row r="199" ht="84.0" customHeight="1">
      <c r="A199" s="436"/>
      <c r="B199" s="328"/>
      <c r="C199" s="328"/>
      <c r="D199" s="328"/>
      <c r="E199" s="341"/>
      <c r="F199" s="333"/>
      <c r="G199" s="589"/>
      <c r="H199" s="589"/>
      <c r="I199" s="589"/>
      <c r="J199" s="328"/>
      <c r="K199" s="590"/>
      <c r="L199" s="341"/>
      <c r="M199" s="436"/>
      <c r="N199" s="436"/>
      <c r="O199" s="366"/>
      <c r="P199" s="366"/>
      <c r="Q199" s="366"/>
      <c r="R199" s="366"/>
      <c r="S199" s="366"/>
      <c r="T199" s="366"/>
      <c r="U199" s="366"/>
      <c r="V199" s="366"/>
      <c r="W199" s="366"/>
      <c r="X199" s="366"/>
      <c r="Y199" s="366"/>
    </row>
    <row r="200" ht="84.0" customHeight="1">
      <c r="A200" s="436"/>
      <c r="B200" s="328"/>
      <c r="C200" s="328"/>
      <c r="D200" s="328"/>
      <c r="E200" s="341"/>
      <c r="F200" s="333"/>
      <c r="G200" s="589"/>
      <c r="H200" s="589"/>
      <c r="I200" s="589"/>
      <c r="J200" s="328"/>
      <c r="K200" s="590"/>
      <c r="L200" s="341"/>
      <c r="M200" s="436"/>
      <c r="N200" s="436"/>
      <c r="O200" s="366"/>
      <c r="P200" s="366"/>
      <c r="Q200" s="366"/>
      <c r="R200" s="366"/>
      <c r="S200" s="366"/>
      <c r="T200" s="366"/>
      <c r="U200" s="366"/>
      <c r="V200" s="366"/>
      <c r="W200" s="366"/>
      <c r="X200" s="366"/>
      <c r="Y200" s="366"/>
    </row>
    <row r="201" ht="84.0" customHeight="1">
      <c r="A201" s="436"/>
      <c r="B201" s="328"/>
      <c r="C201" s="328"/>
      <c r="D201" s="328"/>
      <c r="E201" s="341"/>
      <c r="F201" s="333"/>
      <c r="G201" s="589"/>
      <c r="H201" s="589"/>
      <c r="I201" s="589"/>
      <c r="J201" s="328"/>
      <c r="K201" s="590"/>
      <c r="L201" s="341"/>
      <c r="M201" s="436"/>
      <c r="N201" s="436"/>
      <c r="O201" s="366"/>
      <c r="P201" s="366"/>
      <c r="Q201" s="366"/>
      <c r="R201" s="366"/>
      <c r="S201" s="366"/>
      <c r="T201" s="366"/>
      <c r="U201" s="366"/>
      <c r="V201" s="366"/>
      <c r="W201" s="366"/>
      <c r="X201" s="366"/>
      <c r="Y201" s="366"/>
    </row>
    <row r="202" ht="84.0" customHeight="1">
      <c r="A202" s="436"/>
      <c r="B202" s="328"/>
      <c r="C202" s="328"/>
      <c r="D202" s="328"/>
      <c r="E202" s="341"/>
      <c r="F202" s="333"/>
      <c r="G202" s="589"/>
      <c r="H202" s="589"/>
      <c r="I202" s="589"/>
      <c r="J202" s="328"/>
      <c r="K202" s="590"/>
      <c r="L202" s="341"/>
      <c r="M202" s="436"/>
      <c r="N202" s="436"/>
      <c r="O202" s="366"/>
      <c r="P202" s="366"/>
      <c r="Q202" s="366"/>
      <c r="R202" s="366"/>
      <c r="S202" s="366"/>
      <c r="T202" s="366"/>
      <c r="U202" s="366"/>
      <c r="V202" s="366"/>
      <c r="W202" s="366"/>
      <c r="X202" s="366"/>
      <c r="Y202" s="366"/>
    </row>
    <row r="203" ht="84.0" customHeight="1">
      <c r="A203" s="436"/>
      <c r="B203" s="328"/>
      <c r="C203" s="328"/>
      <c r="D203" s="328"/>
      <c r="E203" s="341"/>
      <c r="F203" s="333"/>
      <c r="G203" s="589"/>
      <c r="H203" s="589"/>
      <c r="I203" s="589"/>
      <c r="J203" s="328"/>
      <c r="K203" s="590"/>
      <c r="L203" s="341"/>
      <c r="M203" s="436"/>
      <c r="N203" s="436"/>
      <c r="O203" s="366"/>
      <c r="P203" s="366"/>
      <c r="Q203" s="366"/>
      <c r="R203" s="366"/>
      <c r="S203" s="366"/>
      <c r="T203" s="366"/>
      <c r="U203" s="366"/>
      <c r="V203" s="366"/>
      <c r="W203" s="366"/>
      <c r="X203" s="366"/>
      <c r="Y203" s="366"/>
    </row>
    <row r="204" ht="84.0" customHeight="1">
      <c r="A204" s="436"/>
      <c r="B204" s="328"/>
      <c r="C204" s="328"/>
      <c r="D204" s="328"/>
      <c r="E204" s="341"/>
      <c r="F204" s="333"/>
      <c r="G204" s="589"/>
      <c r="H204" s="589"/>
      <c r="I204" s="589"/>
      <c r="J204" s="328"/>
      <c r="K204" s="590"/>
      <c r="L204" s="341"/>
      <c r="M204" s="436"/>
      <c r="N204" s="436"/>
      <c r="O204" s="366"/>
      <c r="P204" s="366"/>
      <c r="Q204" s="366"/>
      <c r="R204" s="366"/>
      <c r="S204" s="366"/>
      <c r="T204" s="366"/>
      <c r="U204" s="366"/>
      <c r="V204" s="366"/>
      <c r="W204" s="366"/>
      <c r="X204" s="366"/>
      <c r="Y204" s="366"/>
    </row>
    <row r="205" ht="84.0" customHeight="1">
      <c r="A205" s="436"/>
      <c r="B205" s="328"/>
      <c r="C205" s="328"/>
      <c r="D205" s="328"/>
      <c r="E205" s="341"/>
      <c r="F205" s="333"/>
      <c r="G205" s="589"/>
      <c r="H205" s="589"/>
      <c r="I205" s="589"/>
      <c r="J205" s="328"/>
      <c r="K205" s="590"/>
      <c r="L205" s="341"/>
      <c r="M205" s="436"/>
      <c r="N205" s="436"/>
      <c r="O205" s="366"/>
      <c r="P205" s="366"/>
      <c r="Q205" s="366"/>
      <c r="R205" s="366"/>
      <c r="S205" s="366"/>
      <c r="T205" s="366"/>
      <c r="U205" s="366"/>
      <c r="V205" s="366"/>
      <c r="W205" s="366"/>
      <c r="X205" s="366"/>
      <c r="Y205" s="366"/>
    </row>
    <row r="206" ht="84.0" customHeight="1">
      <c r="A206" s="436"/>
      <c r="B206" s="328"/>
      <c r="C206" s="328"/>
      <c r="D206" s="328"/>
      <c r="E206" s="341"/>
      <c r="F206" s="333"/>
      <c r="G206" s="589"/>
      <c r="H206" s="589"/>
      <c r="I206" s="589"/>
      <c r="J206" s="328"/>
      <c r="K206" s="590"/>
      <c r="L206" s="341"/>
      <c r="M206" s="436"/>
      <c r="N206" s="436"/>
      <c r="O206" s="366"/>
      <c r="P206" s="366"/>
      <c r="Q206" s="366"/>
      <c r="R206" s="366"/>
      <c r="S206" s="366"/>
      <c r="T206" s="366"/>
      <c r="U206" s="366"/>
      <c r="V206" s="366"/>
      <c r="W206" s="366"/>
      <c r="X206" s="366"/>
      <c r="Y206" s="366"/>
    </row>
    <row r="207" ht="84.0" customHeight="1">
      <c r="A207" s="436"/>
      <c r="B207" s="328"/>
      <c r="C207" s="328"/>
      <c r="D207" s="328"/>
      <c r="E207" s="341"/>
      <c r="F207" s="333"/>
      <c r="G207" s="589"/>
      <c r="H207" s="589"/>
      <c r="I207" s="589"/>
      <c r="J207" s="328"/>
      <c r="K207" s="590"/>
      <c r="L207" s="341"/>
      <c r="M207" s="436"/>
      <c r="N207" s="436"/>
      <c r="O207" s="366"/>
      <c r="P207" s="366"/>
      <c r="Q207" s="366"/>
      <c r="R207" s="366"/>
      <c r="S207" s="366"/>
      <c r="T207" s="366"/>
      <c r="U207" s="366"/>
      <c r="V207" s="366"/>
      <c r="W207" s="366"/>
      <c r="X207" s="366"/>
      <c r="Y207" s="366"/>
    </row>
    <row r="208" ht="84.0" customHeight="1">
      <c r="A208" s="436"/>
      <c r="B208" s="328"/>
      <c r="C208" s="328"/>
      <c r="D208" s="328"/>
      <c r="E208" s="341"/>
      <c r="F208" s="333"/>
      <c r="G208" s="589"/>
      <c r="H208" s="589"/>
      <c r="I208" s="589"/>
      <c r="J208" s="328"/>
      <c r="K208" s="590"/>
      <c r="L208" s="341"/>
      <c r="M208" s="436"/>
      <c r="N208" s="436"/>
      <c r="O208" s="366"/>
      <c r="P208" s="366"/>
      <c r="Q208" s="366"/>
      <c r="R208" s="366"/>
      <c r="S208" s="366"/>
      <c r="T208" s="366"/>
      <c r="U208" s="366"/>
      <c r="V208" s="366"/>
      <c r="W208" s="366"/>
      <c r="X208" s="366"/>
      <c r="Y208" s="366"/>
    </row>
    <row r="209" ht="84.0" customHeight="1">
      <c r="A209" s="436"/>
      <c r="B209" s="328"/>
      <c r="C209" s="328"/>
      <c r="D209" s="328"/>
      <c r="E209" s="341"/>
      <c r="F209" s="333"/>
      <c r="G209" s="589"/>
      <c r="H209" s="589"/>
      <c r="I209" s="589"/>
      <c r="J209" s="328"/>
      <c r="K209" s="590"/>
      <c r="L209" s="341"/>
      <c r="M209" s="436"/>
      <c r="N209" s="436"/>
      <c r="O209" s="366"/>
      <c r="P209" s="366"/>
      <c r="Q209" s="366"/>
      <c r="R209" s="366"/>
      <c r="S209" s="366"/>
      <c r="T209" s="366"/>
      <c r="U209" s="366"/>
      <c r="V209" s="366"/>
      <c r="W209" s="366"/>
      <c r="X209" s="366"/>
      <c r="Y209" s="366"/>
    </row>
    <row r="210" ht="84.0" customHeight="1">
      <c r="A210" s="436"/>
      <c r="B210" s="328"/>
      <c r="C210" s="328"/>
      <c r="D210" s="328"/>
      <c r="E210" s="341"/>
      <c r="F210" s="333"/>
      <c r="G210" s="589"/>
      <c r="H210" s="589"/>
      <c r="I210" s="589"/>
      <c r="J210" s="328"/>
      <c r="K210" s="590"/>
      <c r="L210" s="341"/>
      <c r="M210" s="436"/>
      <c r="N210" s="436"/>
      <c r="O210" s="366"/>
      <c r="P210" s="366"/>
      <c r="Q210" s="366"/>
      <c r="R210" s="366"/>
      <c r="S210" s="366"/>
      <c r="T210" s="366"/>
      <c r="U210" s="366"/>
      <c r="V210" s="366"/>
      <c r="W210" s="366"/>
      <c r="X210" s="366"/>
      <c r="Y210" s="366"/>
    </row>
    <row r="211" ht="84.0" customHeight="1">
      <c r="A211" s="436"/>
      <c r="B211" s="328"/>
      <c r="C211" s="328"/>
      <c r="D211" s="328"/>
      <c r="E211" s="341"/>
      <c r="F211" s="333"/>
      <c r="G211" s="589"/>
      <c r="H211" s="589"/>
      <c r="I211" s="589"/>
      <c r="J211" s="328"/>
      <c r="K211" s="590"/>
      <c r="L211" s="341"/>
      <c r="M211" s="436"/>
      <c r="N211" s="436"/>
      <c r="O211" s="366"/>
      <c r="P211" s="366"/>
      <c r="Q211" s="366"/>
      <c r="R211" s="366"/>
      <c r="S211" s="366"/>
      <c r="T211" s="366"/>
      <c r="U211" s="366"/>
      <c r="V211" s="366"/>
      <c r="W211" s="366"/>
      <c r="X211" s="366"/>
      <c r="Y211" s="366"/>
    </row>
    <row r="212" ht="84.0" customHeight="1">
      <c r="A212" s="436"/>
      <c r="B212" s="328"/>
      <c r="C212" s="328"/>
      <c r="D212" s="328"/>
      <c r="E212" s="341"/>
      <c r="F212" s="333"/>
      <c r="G212" s="589"/>
      <c r="H212" s="589"/>
      <c r="I212" s="589"/>
      <c r="J212" s="328"/>
      <c r="K212" s="590"/>
      <c r="L212" s="341"/>
      <c r="M212" s="436"/>
      <c r="N212" s="436"/>
      <c r="O212" s="366"/>
      <c r="P212" s="366"/>
      <c r="Q212" s="366"/>
      <c r="R212" s="366"/>
      <c r="S212" s="366"/>
      <c r="T212" s="366"/>
      <c r="U212" s="366"/>
      <c r="V212" s="366"/>
      <c r="W212" s="366"/>
      <c r="X212" s="366"/>
      <c r="Y212" s="366"/>
    </row>
    <row r="213" ht="84.0" customHeight="1">
      <c r="A213" s="436"/>
      <c r="B213" s="328"/>
      <c r="C213" s="328"/>
      <c r="D213" s="328"/>
      <c r="E213" s="341"/>
      <c r="F213" s="333"/>
      <c r="G213" s="589"/>
      <c r="H213" s="589"/>
      <c r="I213" s="589"/>
      <c r="J213" s="328"/>
      <c r="K213" s="590"/>
      <c r="L213" s="341"/>
      <c r="M213" s="436"/>
      <c r="N213" s="436"/>
      <c r="O213" s="366"/>
      <c r="P213" s="366"/>
      <c r="Q213" s="366"/>
      <c r="R213" s="366"/>
      <c r="S213" s="366"/>
      <c r="T213" s="366"/>
      <c r="U213" s="366"/>
      <c r="V213" s="366"/>
      <c r="W213" s="366"/>
      <c r="X213" s="366"/>
      <c r="Y213" s="366"/>
    </row>
    <row r="214" ht="84.0" customHeight="1">
      <c r="A214" s="436"/>
      <c r="B214" s="328"/>
      <c r="C214" s="328"/>
      <c r="D214" s="328"/>
      <c r="E214" s="341"/>
      <c r="F214" s="333"/>
      <c r="G214" s="589"/>
      <c r="H214" s="589"/>
      <c r="I214" s="589"/>
      <c r="J214" s="328"/>
      <c r="K214" s="590"/>
      <c r="L214" s="341"/>
      <c r="M214" s="436"/>
      <c r="N214" s="436"/>
      <c r="O214" s="366"/>
      <c r="P214" s="366"/>
      <c r="Q214" s="366"/>
      <c r="R214" s="366"/>
      <c r="S214" s="366"/>
      <c r="T214" s="366"/>
      <c r="U214" s="366"/>
      <c r="V214" s="366"/>
      <c r="W214" s="366"/>
      <c r="X214" s="366"/>
      <c r="Y214" s="366"/>
    </row>
    <row r="215" ht="84.0" customHeight="1">
      <c r="A215" s="436"/>
      <c r="B215" s="328"/>
      <c r="C215" s="328"/>
      <c r="D215" s="328"/>
      <c r="E215" s="341"/>
      <c r="F215" s="333"/>
      <c r="G215" s="589"/>
      <c r="H215" s="589"/>
      <c r="I215" s="589"/>
      <c r="J215" s="328"/>
      <c r="K215" s="590"/>
      <c r="L215" s="341"/>
      <c r="M215" s="436"/>
      <c r="N215" s="436"/>
      <c r="O215" s="366"/>
      <c r="P215" s="366"/>
      <c r="Q215" s="366"/>
      <c r="R215" s="366"/>
      <c r="S215" s="366"/>
      <c r="T215" s="366"/>
      <c r="U215" s="366"/>
      <c r="V215" s="366"/>
      <c r="W215" s="366"/>
      <c r="X215" s="366"/>
      <c r="Y215" s="366"/>
    </row>
    <row r="216" ht="84.0" customHeight="1">
      <c r="A216" s="436"/>
      <c r="B216" s="328"/>
      <c r="C216" s="328"/>
      <c r="D216" s="328"/>
      <c r="E216" s="341"/>
      <c r="F216" s="333"/>
      <c r="G216" s="589"/>
      <c r="H216" s="589"/>
      <c r="I216" s="589"/>
      <c r="J216" s="328"/>
      <c r="K216" s="590"/>
      <c r="L216" s="341"/>
      <c r="M216" s="436"/>
      <c r="N216" s="436"/>
      <c r="O216" s="366"/>
      <c r="P216" s="366"/>
      <c r="Q216" s="366"/>
      <c r="R216" s="366"/>
      <c r="S216" s="366"/>
      <c r="T216" s="366"/>
      <c r="U216" s="366"/>
      <c r="V216" s="366"/>
      <c r="W216" s="366"/>
      <c r="X216" s="366"/>
      <c r="Y216" s="366"/>
    </row>
    <row r="217" ht="84.0" customHeight="1">
      <c r="A217" s="436"/>
      <c r="B217" s="328"/>
      <c r="C217" s="328"/>
      <c r="D217" s="328"/>
      <c r="E217" s="341"/>
      <c r="F217" s="333"/>
      <c r="G217" s="589"/>
      <c r="H217" s="589"/>
      <c r="I217" s="589"/>
      <c r="J217" s="328"/>
      <c r="K217" s="590"/>
      <c r="L217" s="341"/>
      <c r="M217" s="436"/>
      <c r="N217" s="436"/>
      <c r="O217" s="366"/>
      <c r="P217" s="366"/>
      <c r="Q217" s="366"/>
      <c r="R217" s="366"/>
      <c r="S217" s="366"/>
      <c r="T217" s="366"/>
      <c r="U217" s="366"/>
      <c r="V217" s="366"/>
      <c r="W217" s="366"/>
      <c r="X217" s="366"/>
      <c r="Y217" s="366"/>
    </row>
    <row r="218" ht="84.0" customHeight="1">
      <c r="A218" s="436"/>
      <c r="B218" s="328"/>
      <c r="C218" s="328"/>
      <c r="D218" s="328"/>
      <c r="E218" s="341"/>
      <c r="F218" s="333"/>
      <c r="G218" s="589"/>
      <c r="H218" s="589"/>
      <c r="I218" s="589"/>
      <c r="J218" s="328"/>
      <c r="K218" s="590"/>
      <c r="L218" s="341"/>
      <c r="M218" s="436"/>
      <c r="N218" s="436"/>
      <c r="O218" s="366"/>
      <c r="P218" s="366"/>
      <c r="Q218" s="366"/>
      <c r="R218" s="366"/>
      <c r="S218" s="366"/>
      <c r="T218" s="366"/>
      <c r="U218" s="366"/>
      <c r="V218" s="366"/>
      <c r="W218" s="366"/>
      <c r="X218" s="366"/>
      <c r="Y218" s="366"/>
    </row>
    <row r="219" ht="84.0" customHeight="1">
      <c r="A219" s="436"/>
      <c r="B219" s="328"/>
      <c r="C219" s="328"/>
      <c r="D219" s="328"/>
      <c r="E219" s="341"/>
      <c r="F219" s="333"/>
      <c r="G219" s="589"/>
      <c r="H219" s="589"/>
      <c r="I219" s="589"/>
      <c r="J219" s="328"/>
      <c r="K219" s="590"/>
      <c r="L219" s="341"/>
      <c r="M219" s="436"/>
      <c r="N219" s="436"/>
      <c r="O219" s="366"/>
      <c r="P219" s="366"/>
      <c r="Q219" s="366"/>
      <c r="R219" s="366"/>
      <c r="S219" s="366"/>
      <c r="T219" s="366"/>
      <c r="U219" s="366"/>
      <c r="V219" s="366"/>
      <c r="W219" s="366"/>
      <c r="X219" s="366"/>
      <c r="Y219" s="366"/>
    </row>
    <row r="220" ht="84.0" customHeight="1">
      <c r="A220" s="436"/>
      <c r="B220" s="328"/>
      <c r="C220" s="328"/>
      <c r="D220" s="328"/>
      <c r="E220" s="341"/>
      <c r="F220" s="333"/>
      <c r="G220" s="589"/>
      <c r="H220" s="589"/>
      <c r="I220" s="589"/>
      <c r="J220" s="328"/>
      <c r="K220" s="590"/>
      <c r="L220" s="341"/>
      <c r="M220" s="436"/>
      <c r="N220" s="436"/>
      <c r="O220" s="366"/>
      <c r="P220" s="366"/>
      <c r="Q220" s="366"/>
      <c r="R220" s="366"/>
      <c r="S220" s="366"/>
      <c r="T220" s="366"/>
      <c r="U220" s="366"/>
      <c r="V220" s="366"/>
      <c r="W220" s="366"/>
      <c r="X220" s="366"/>
      <c r="Y220" s="366"/>
    </row>
    <row r="221" ht="84.0" customHeight="1">
      <c r="A221" s="436"/>
      <c r="B221" s="328"/>
      <c r="C221" s="328"/>
      <c r="D221" s="328"/>
      <c r="E221" s="341"/>
      <c r="F221" s="333"/>
      <c r="G221" s="589"/>
      <c r="H221" s="589"/>
      <c r="I221" s="589"/>
      <c r="J221" s="328"/>
      <c r="K221" s="590"/>
      <c r="L221" s="341"/>
      <c r="M221" s="436"/>
      <c r="N221" s="436"/>
      <c r="O221" s="366"/>
      <c r="P221" s="366"/>
      <c r="Q221" s="366"/>
      <c r="R221" s="366"/>
      <c r="S221" s="366"/>
      <c r="T221" s="366"/>
      <c r="U221" s="366"/>
      <c r="V221" s="366"/>
      <c r="W221" s="366"/>
      <c r="X221" s="366"/>
      <c r="Y221" s="366"/>
    </row>
    <row r="222" ht="84.0" customHeight="1">
      <c r="A222" s="436"/>
      <c r="B222" s="328"/>
      <c r="C222" s="328"/>
      <c r="D222" s="328"/>
      <c r="E222" s="341"/>
      <c r="F222" s="333"/>
      <c r="G222" s="589"/>
      <c r="H222" s="589"/>
      <c r="I222" s="589"/>
      <c r="J222" s="328"/>
      <c r="K222" s="590"/>
      <c r="L222" s="341"/>
      <c r="M222" s="436"/>
      <c r="N222" s="436"/>
      <c r="O222" s="366"/>
      <c r="P222" s="366"/>
      <c r="Q222" s="366"/>
      <c r="R222" s="366"/>
      <c r="S222" s="366"/>
      <c r="T222" s="366"/>
      <c r="U222" s="366"/>
      <c r="V222" s="366"/>
      <c r="W222" s="366"/>
      <c r="X222" s="366"/>
      <c r="Y222" s="366"/>
    </row>
    <row r="223" ht="84.0" customHeight="1">
      <c r="A223" s="436"/>
      <c r="B223" s="328"/>
      <c r="C223" s="328"/>
      <c r="D223" s="328"/>
      <c r="E223" s="341"/>
      <c r="F223" s="333"/>
      <c r="G223" s="589"/>
      <c r="H223" s="589"/>
      <c r="I223" s="589"/>
      <c r="J223" s="328"/>
      <c r="K223" s="590"/>
      <c r="L223" s="341"/>
      <c r="M223" s="436"/>
      <c r="N223" s="436"/>
      <c r="O223" s="366"/>
      <c r="P223" s="366"/>
      <c r="Q223" s="366"/>
      <c r="R223" s="366"/>
      <c r="S223" s="366"/>
      <c r="T223" s="366"/>
      <c r="U223" s="366"/>
      <c r="V223" s="366"/>
      <c r="W223" s="366"/>
      <c r="X223" s="366"/>
      <c r="Y223" s="366"/>
    </row>
    <row r="224" ht="84.0" customHeight="1">
      <c r="A224" s="436"/>
      <c r="B224" s="328"/>
      <c r="C224" s="328"/>
      <c r="D224" s="328"/>
      <c r="E224" s="341"/>
      <c r="F224" s="333"/>
      <c r="G224" s="589"/>
      <c r="H224" s="589"/>
      <c r="I224" s="589"/>
      <c r="J224" s="328"/>
      <c r="K224" s="590"/>
      <c r="L224" s="341"/>
      <c r="M224" s="436"/>
      <c r="N224" s="436"/>
      <c r="O224" s="366"/>
      <c r="P224" s="366"/>
      <c r="Q224" s="366"/>
      <c r="R224" s="366"/>
      <c r="S224" s="366"/>
      <c r="T224" s="366"/>
      <c r="U224" s="366"/>
      <c r="V224" s="366"/>
      <c r="W224" s="366"/>
      <c r="X224" s="366"/>
      <c r="Y224" s="366"/>
    </row>
    <row r="225" ht="84.0" customHeight="1">
      <c r="A225" s="436"/>
      <c r="B225" s="328"/>
      <c r="C225" s="328"/>
      <c r="D225" s="328"/>
      <c r="E225" s="341"/>
      <c r="F225" s="333"/>
      <c r="G225" s="589"/>
      <c r="H225" s="589"/>
      <c r="I225" s="589"/>
      <c r="J225" s="328"/>
      <c r="K225" s="590"/>
      <c r="L225" s="341"/>
      <c r="M225" s="436"/>
      <c r="N225" s="436"/>
      <c r="O225" s="366"/>
      <c r="P225" s="366"/>
      <c r="Q225" s="366"/>
      <c r="R225" s="366"/>
      <c r="S225" s="366"/>
      <c r="T225" s="366"/>
      <c r="U225" s="366"/>
      <c r="V225" s="366"/>
      <c r="W225" s="366"/>
      <c r="X225" s="366"/>
      <c r="Y225" s="366"/>
    </row>
    <row r="226" ht="84.0" customHeight="1">
      <c r="A226" s="436"/>
      <c r="B226" s="328"/>
      <c r="C226" s="328"/>
      <c r="D226" s="328"/>
      <c r="E226" s="341"/>
      <c r="F226" s="333"/>
      <c r="G226" s="589"/>
      <c r="H226" s="589"/>
      <c r="I226" s="589"/>
      <c r="J226" s="328"/>
      <c r="K226" s="590"/>
      <c r="L226" s="341"/>
      <c r="M226" s="436"/>
      <c r="N226" s="436"/>
      <c r="O226" s="366"/>
      <c r="P226" s="366"/>
      <c r="Q226" s="366"/>
      <c r="R226" s="366"/>
      <c r="S226" s="366"/>
      <c r="T226" s="366"/>
      <c r="U226" s="366"/>
      <c r="V226" s="366"/>
      <c r="W226" s="366"/>
      <c r="X226" s="366"/>
      <c r="Y226" s="366"/>
    </row>
    <row r="227" ht="84.0" customHeight="1">
      <c r="A227" s="436"/>
      <c r="B227" s="328"/>
      <c r="C227" s="328"/>
      <c r="D227" s="328"/>
      <c r="E227" s="341"/>
      <c r="F227" s="333"/>
      <c r="G227" s="589"/>
      <c r="H227" s="589"/>
      <c r="I227" s="589"/>
      <c r="J227" s="328"/>
      <c r="K227" s="590"/>
      <c r="L227" s="341"/>
      <c r="M227" s="436"/>
      <c r="N227" s="436"/>
      <c r="O227" s="366"/>
      <c r="P227" s="366"/>
      <c r="Q227" s="366"/>
      <c r="R227" s="366"/>
      <c r="S227" s="366"/>
      <c r="T227" s="366"/>
      <c r="U227" s="366"/>
      <c r="V227" s="366"/>
      <c r="W227" s="366"/>
      <c r="X227" s="366"/>
      <c r="Y227" s="366"/>
    </row>
    <row r="228" ht="84.0" customHeight="1">
      <c r="A228" s="436"/>
      <c r="B228" s="328"/>
      <c r="C228" s="328"/>
      <c r="D228" s="328"/>
      <c r="E228" s="341"/>
      <c r="F228" s="333"/>
      <c r="G228" s="589"/>
      <c r="H228" s="589"/>
      <c r="I228" s="589"/>
      <c r="J228" s="328"/>
      <c r="K228" s="590"/>
      <c r="L228" s="341"/>
      <c r="M228" s="436"/>
      <c r="N228" s="436"/>
      <c r="O228" s="366"/>
      <c r="P228" s="366"/>
      <c r="Q228" s="366"/>
      <c r="R228" s="366"/>
      <c r="S228" s="366"/>
      <c r="T228" s="366"/>
      <c r="U228" s="366"/>
      <c r="V228" s="366"/>
      <c r="W228" s="366"/>
      <c r="X228" s="366"/>
      <c r="Y228" s="366"/>
    </row>
    <row r="229" ht="84.0" customHeight="1">
      <c r="A229" s="436"/>
      <c r="B229" s="328"/>
      <c r="C229" s="328"/>
      <c r="D229" s="328"/>
      <c r="E229" s="341"/>
      <c r="F229" s="333"/>
      <c r="G229" s="589"/>
      <c r="H229" s="589"/>
      <c r="I229" s="589"/>
      <c r="J229" s="328"/>
      <c r="K229" s="590"/>
      <c r="L229" s="341"/>
      <c r="M229" s="436"/>
      <c r="N229" s="436"/>
      <c r="O229" s="366"/>
      <c r="P229" s="366"/>
      <c r="Q229" s="366"/>
      <c r="R229" s="366"/>
      <c r="S229" s="366"/>
      <c r="T229" s="366"/>
      <c r="U229" s="366"/>
      <c r="V229" s="366"/>
      <c r="W229" s="366"/>
      <c r="X229" s="366"/>
      <c r="Y229" s="366"/>
    </row>
    <row r="230" ht="84.0" customHeight="1">
      <c r="A230" s="436"/>
      <c r="B230" s="328"/>
      <c r="C230" s="328"/>
      <c r="D230" s="328"/>
      <c r="E230" s="341"/>
      <c r="F230" s="333"/>
      <c r="G230" s="589"/>
      <c r="H230" s="589"/>
      <c r="I230" s="589"/>
      <c r="J230" s="328"/>
      <c r="K230" s="590"/>
      <c r="L230" s="341"/>
      <c r="M230" s="436"/>
      <c r="N230" s="436"/>
      <c r="O230" s="366"/>
      <c r="P230" s="366"/>
      <c r="Q230" s="366"/>
      <c r="R230" s="366"/>
      <c r="S230" s="366"/>
      <c r="T230" s="366"/>
      <c r="U230" s="366"/>
      <c r="V230" s="366"/>
      <c r="W230" s="366"/>
      <c r="X230" s="366"/>
      <c r="Y230" s="366"/>
    </row>
    <row r="231" ht="84.0" customHeight="1">
      <c r="A231" s="436"/>
      <c r="B231" s="328"/>
      <c r="C231" s="328"/>
      <c r="D231" s="328"/>
      <c r="E231" s="341"/>
      <c r="F231" s="333"/>
      <c r="G231" s="589"/>
      <c r="H231" s="589"/>
      <c r="I231" s="589"/>
      <c r="J231" s="328"/>
      <c r="K231" s="590"/>
      <c r="L231" s="341"/>
      <c r="M231" s="436"/>
      <c r="N231" s="436"/>
      <c r="O231" s="366"/>
      <c r="P231" s="366"/>
      <c r="Q231" s="366"/>
      <c r="R231" s="366"/>
      <c r="S231" s="366"/>
      <c r="T231" s="366"/>
      <c r="U231" s="366"/>
      <c r="V231" s="366"/>
      <c r="W231" s="366"/>
      <c r="X231" s="366"/>
      <c r="Y231" s="366"/>
    </row>
    <row r="232" ht="84.0" customHeight="1">
      <c r="A232" s="436"/>
      <c r="B232" s="328"/>
      <c r="C232" s="328"/>
      <c r="D232" s="328"/>
      <c r="E232" s="341"/>
      <c r="F232" s="333"/>
      <c r="G232" s="589"/>
      <c r="H232" s="589"/>
      <c r="I232" s="589"/>
      <c r="J232" s="328"/>
      <c r="K232" s="590"/>
      <c r="L232" s="341"/>
      <c r="M232" s="436"/>
      <c r="N232" s="436"/>
      <c r="O232" s="366"/>
      <c r="P232" s="366"/>
      <c r="Q232" s="366"/>
      <c r="R232" s="366"/>
      <c r="S232" s="366"/>
      <c r="T232" s="366"/>
      <c r="U232" s="366"/>
      <c r="V232" s="366"/>
      <c r="W232" s="366"/>
      <c r="X232" s="366"/>
      <c r="Y232" s="366"/>
    </row>
    <row r="233" ht="84.0" customHeight="1">
      <c r="A233" s="436"/>
      <c r="B233" s="328"/>
      <c r="C233" s="328"/>
      <c r="D233" s="328"/>
      <c r="E233" s="341"/>
      <c r="F233" s="333"/>
      <c r="G233" s="589"/>
      <c r="H233" s="589"/>
      <c r="I233" s="589"/>
      <c r="J233" s="328"/>
      <c r="K233" s="590"/>
      <c r="L233" s="341"/>
      <c r="M233" s="436"/>
      <c r="N233" s="436"/>
      <c r="O233" s="366"/>
      <c r="P233" s="366"/>
      <c r="Q233" s="366"/>
      <c r="R233" s="366"/>
      <c r="S233" s="366"/>
      <c r="T233" s="366"/>
      <c r="U233" s="366"/>
      <c r="V233" s="366"/>
      <c r="W233" s="366"/>
      <c r="X233" s="366"/>
      <c r="Y233" s="366"/>
    </row>
    <row r="234" ht="84.0" customHeight="1">
      <c r="A234" s="436"/>
      <c r="B234" s="328"/>
      <c r="C234" s="328"/>
      <c r="D234" s="328"/>
      <c r="E234" s="341"/>
      <c r="F234" s="333"/>
      <c r="G234" s="589"/>
      <c r="H234" s="589"/>
      <c r="I234" s="589"/>
      <c r="J234" s="328"/>
      <c r="K234" s="590"/>
      <c r="L234" s="341"/>
      <c r="M234" s="436"/>
      <c r="N234" s="436"/>
      <c r="O234" s="366"/>
      <c r="P234" s="366"/>
      <c r="Q234" s="366"/>
      <c r="R234" s="366"/>
      <c r="S234" s="366"/>
      <c r="T234" s="366"/>
      <c r="U234" s="366"/>
      <c r="V234" s="366"/>
      <c r="W234" s="366"/>
      <c r="X234" s="366"/>
      <c r="Y234" s="366"/>
    </row>
    <row r="235" ht="84.0" customHeight="1">
      <c r="A235" s="436"/>
      <c r="B235" s="328"/>
      <c r="C235" s="328"/>
      <c r="D235" s="328"/>
      <c r="E235" s="341"/>
      <c r="F235" s="333"/>
      <c r="G235" s="589"/>
      <c r="H235" s="589"/>
      <c r="I235" s="589"/>
      <c r="J235" s="328"/>
      <c r="K235" s="590"/>
      <c r="L235" s="341"/>
      <c r="M235" s="436"/>
      <c r="N235" s="436"/>
      <c r="O235" s="366"/>
      <c r="P235" s="366"/>
      <c r="Q235" s="366"/>
      <c r="R235" s="366"/>
      <c r="S235" s="366"/>
      <c r="T235" s="366"/>
      <c r="U235" s="366"/>
      <c r="V235" s="366"/>
      <c r="W235" s="366"/>
      <c r="X235" s="366"/>
      <c r="Y235" s="366"/>
    </row>
    <row r="236" ht="84.0" customHeight="1">
      <c r="A236" s="436"/>
      <c r="B236" s="328"/>
      <c r="C236" s="328"/>
      <c r="D236" s="328"/>
      <c r="E236" s="341"/>
      <c r="F236" s="333"/>
      <c r="G236" s="589"/>
      <c r="H236" s="589"/>
      <c r="I236" s="589"/>
      <c r="J236" s="328"/>
      <c r="K236" s="590"/>
      <c r="L236" s="341"/>
      <c r="M236" s="436"/>
      <c r="N236" s="436"/>
      <c r="O236" s="366"/>
      <c r="P236" s="366"/>
      <c r="Q236" s="366"/>
      <c r="R236" s="366"/>
      <c r="S236" s="366"/>
      <c r="T236" s="366"/>
      <c r="U236" s="366"/>
      <c r="V236" s="366"/>
      <c r="W236" s="366"/>
      <c r="X236" s="366"/>
      <c r="Y236" s="366"/>
    </row>
    <row r="237" ht="84.0" customHeight="1">
      <c r="A237" s="436"/>
      <c r="B237" s="328"/>
      <c r="C237" s="328"/>
      <c r="D237" s="328"/>
      <c r="E237" s="341"/>
      <c r="F237" s="333"/>
      <c r="G237" s="589"/>
      <c r="H237" s="589"/>
      <c r="I237" s="589"/>
      <c r="J237" s="328"/>
      <c r="K237" s="590"/>
      <c r="L237" s="341"/>
      <c r="M237" s="436"/>
      <c r="N237" s="436"/>
      <c r="O237" s="366"/>
      <c r="P237" s="366"/>
      <c r="Q237" s="366"/>
      <c r="R237" s="366"/>
      <c r="S237" s="366"/>
      <c r="T237" s="366"/>
      <c r="U237" s="366"/>
      <c r="V237" s="366"/>
      <c r="W237" s="366"/>
      <c r="X237" s="366"/>
      <c r="Y237" s="366"/>
    </row>
    <row r="238" ht="84.0" customHeight="1">
      <c r="A238" s="436"/>
      <c r="B238" s="328"/>
      <c r="C238" s="328"/>
      <c r="D238" s="328"/>
      <c r="E238" s="341"/>
      <c r="F238" s="333"/>
      <c r="G238" s="589"/>
      <c r="H238" s="589"/>
      <c r="I238" s="589"/>
      <c r="J238" s="328"/>
      <c r="K238" s="590"/>
      <c r="L238" s="341"/>
      <c r="M238" s="436"/>
      <c r="N238" s="436"/>
      <c r="O238" s="366"/>
      <c r="P238" s="366"/>
      <c r="Q238" s="366"/>
      <c r="R238" s="366"/>
      <c r="S238" s="366"/>
      <c r="T238" s="366"/>
      <c r="U238" s="366"/>
      <c r="V238" s="366"/>
      <c r="W238" s="366"/>
      <c r="X238" s="366"/>
      <c r="Y238" s="366"/>
    </row>
    <row r="239" ht="84.0" customHeight="1">
      <c r="A239" s="436"/>
      <c r="B239" s="328"/>
      <c r="C239" s="328"/>
      <c r="D239" s="328"/>
      <c r="E239" s="341"/>
      <c r="F239" s="333"/>
      <c r="G239" s="589"/>
      <c r="H239" s="589"/>
      <c r="I239" s="589"/>
      <c r="J239" s="328"/>
      <c r="K239" s="590"/>
      <c r="L239" s="341"/>
      <c r="M239" s="436"/>
      <c r="N239" s="436"/>
      <c r="O239" s="366"/>
      <c r="P239" s="366"/>
      <c r="Q239" s="366"/>
      <c r="R239" s="366"/>
      <c r="S239" s="366"/>
      <c r="T239" s="366"/>
      <c r="U239" s="366"/>
      <c r="V239" s="366"/>
      <c r="W239" s="366"/>
      <c r="X239" s="366"/>
      <c r="Y239" s="366"/>
    </row>
    <row r="240" ht="84.0" customHeight="1">
      <c r="A240" s="436"/>
      <c r="B240" s="328"/>
      <c r="C240" s="328"/>
      <c r="D240" s="328"/>
      <c r="E240" s="341"/>
      <c r="F240" s="333"/>
      <c r="G240" s="589"/>
      <c r="H240" s="589"/>
      <c r="I240" s="589"/>
      <c r="J240" s="328"/>
      <c r="K240" s="590"/>
      <c r="L240" s="341"/>
      <c r="M240" s="436"/>
      <c r="N240" s="436"/>
      <c r="O240" s="366"/>
      <c r="P240" s="366"/>
      <c r="Q240" s="366"/>
      <c r="R240" s="366"/>
      <c r="S240" s="366"/>
      <c r="T240" s="366"/>
      <c r="U240" s="366"/>
      <c r="V240" s="366"/>
      <c r="W240" s="366"/>
      <c r="X240" s="366"/>
      <c r="Y240" s="366"/>
    </row>
    <row r="241" ht="84.0" customHeight="1">
      <c r="A241" s="436"/>
      <c r="B241" s="328"/>
      <c r="C241" s="328"/>
      <c r="D241" s="328"/>
      <c r="E241" s="341"/>
      <c r="F241" s="333"/>
      <c r="G241" s="589"/>
      <c r="H241" s="589"/>
      <c r="I241" s="589"/>
      <c r="J241" s="328"/>
      <c r="K241" s="590"/>
      <c r="L241" s="341"/>
      <c r="M241" s="436"/>
      <c r="N241" s="436"/>
      <c r="O241" s="366"/>
      <c r="P241" s="366"/>
      <c r="Q241" s="366"/>
      <c r="R241" s="366"/>
      <c r="S241" s="366"/>
      <c r="T241" s="366"/>
      <c r="U241" s="366"/>
      <c r="V241" s="366"/>
      <c r="W241" s="366"/>
      <c r="X241" s="366"/>
      <c r="Y241" s="366"/>
    </row>
    <row r="242" ht="84.0" customHeight="1">
      <c r="A242" s="436"/>
      <c r="B242" s="328"/>
      <c r="C242" s="328"/>
      <c r="D242" s="328"/>
      <c r="E242" s="341"/>
      <c r="F242" s="333"/>
      <c r="G242" s="589"/>
      <c r="H242" s="589"/>
      <c r="I242" s="589"/>
      <c r="J242" s="328"/>
      <c r="K242" s="590"/>
      <c r="L242" s="341"/>
      <c r="M242" s="436"/>
      <c r="N242" s="436"/>
      <c r="O242" s="366"/>
      <c r="P242" s="366"/>
      <c r="Q242" s="366"/>
      <c r="R242" s="366"/>
      <c r="S242" s="366"/>
      <c r="T242" s="366"/>
      <c r="U242" s="366"/>
      <c r="V242" s="366"/>
      <c r="W242" s="366"/>
      <c r="X242" s="366"/>
      <c r="Y242" s="366"/>
    </row>
    <row r="243" ht="84.0" customHeight="1">
      <c r="A243" s="436"/>
      <c r="B243" s="328"/>
      <c r="C243" s="328"/>
      <c r="D243" s="328"/>
      <c r="E243" s="341"/>
      <c r="F243" s="333"/>
      <c r="G243" s="589"/>
      <c r="H243" s="589"/>
      <c r="I243" s="589"/>
      <c r="J243" s="328"/>
      <c r="K243" s="590"/>
      <c r="L243" s="341"/>
      <c r="M243" s="436"/>
      <c r="N243" s="436"/>
      <c r="O243" s="366"/>
      <c r="P243" s="366"/>
      <c r="Q243" s="366"/>
      <c r="R243" s="366"/>
      <c r="S243" s="366"/>
      <c r="T243" s="366"/>
      <c r="U243" s="366"/>
      <c r="V243" s="366"/>
      <c r="W243" s="366"/>
      <c r="X243" s="366"/>
      <c r="Y243" s="366"/>
    </row>
    <row r="244" ht="84.0" customHeight="1">
      <c r="A244" s="436"/>
      <c r="B244" s="328"/>
      <c r="C244" s="328"/>
      <c r="D244" s="328"/>
      <c r="E244" s="341"/>
      <c r="F244" s="333"/>
      <c r="G244" s="589"/>
      <c r="H244" s="589"/>
      <c r="I244" s="589"/>
      <c r="J244" s="328"/>
      <c r="K244" s="590"/>
      <c r="L244" s="341"/>
      <c r="M244" s="436"/>
      <c r="N244" s="436"/>
      <c r="O244" s="366"/>
      <c r="P244" s="366"/>
      <c r="Q244" s="366"/>
      <c r="R244" s="366"/>
      <c r="S244" s="366"/>
      <c r="T244" s="366"/>
      <c r="U244" s="366"/>
      <c r="V244" s="366"/>
      <c r="W244" s="366"/>
      <c r="X244" s="366"/>
      <c r="Y244" s="366"/>
    </row>
    <row r="245" ht="84.0" customHeight="1">
      <c r="A245" s="436"/>
      <c r="B245" s="328"/>
      <c r="C245" s="328"/>
      <c r="D245" s="328"/>
      <c r="E245" s="341"/>
      <c r="F245" s="333"/>
      <c r="G245" s="589"/>
      <c r="H245" s="589"/>
      <c r="I245" s="589"/>
      <c r="J245" s="328"/>
      <c r="K245" s="590"/>
      <c r="L245" s="341"/>
      <c r="M245" s="436"/>
      <c r="N245" s="436"/>
      <c r="O245" s="366"/>
      <c r="P245" s="366"/>
      <c r="Q245" s="366"/>
      <c r="R245" s="366"/>
      <c r="S245" s="366"/>
      <c r="T245" s="366"/>
      <c r="U245" s="366"/>
      <c r="V245" s="366"/>
      <c r="W245" s="366"/>
      <c r="X245" s="366"/>
      <c r="Y245" s="366"/>
    </row>
    <row r="246" ht="84.0" customHeight="1">
      <c r="A246" s="436"/>
      <c r="B246" s="328"/>
      <c r="C246" s="328"/>
      <c r="D246" s="328"/>
      <c r="E246" s="341"/>
      <c r="F246" s="333"/>
      <c r="G246" s="589"/>
      <c r="H246" s="589"/>
      <c r="I246" s="589"/>
      <c r="J246" s="328"/>
      <c r="K246" s="590"/>
      <c r="L246" s="341"/>
      <c r="M246" s="436"/>
      <c r="N246" s="436"/>
      <c r="O246" s="366"/>
      <c r="P246" s="366"/>
      <c r="Q246" s="366"/>
      <c r="R246" s="366"/>
      <c r="S246" s="366"/>
      <c r="T246" s="366"/>
      <c r="U246" s="366"/>
      <c r="V246" s="366"/>
      <c r="W246" s="366"/>
      <c r="X246" s="366"/>
      <c r="Y246" s="366"/>
    </row>
    <row r="247" ht="84.0" customHeight="1">
      <c r="A247" s="436"/>
      <c r="B247" s="328"/>
      <c r="C247" s="328"/>
      <c r="D247" s="328"/>
      <c r="E247" s="341"/>
      <c r="F247" s="333"/>
      <c r="G247" s="589"/>
      <c r="H247" s="589"/>
      <c r="I247" s="589"/>
      <c r="J247" s="328"/>
      <c r="K247" s="590"/>
      <c r="L247" s="341"/>
      <c r="M247" s="436"/>
      <c r="N247" s="436"/>
      <c r="O247" s="366"/>
      <c r="P247" s="366"/>
      <c r="Q247" s="366"/>
      <c r="R247" s="366"/>
      <c r="S247" s="366"/>
      <c r="T247" s="366"/>
      <c r="U247" s="366"/>
      <c r="V247" s="366"/>
      <c r="W247" s="366"/>
      <c r="X247" s="366"/>
      <c r="Y247" s="366"/>
    </row>
    <row r="248" ht="84.0" customHeight="1">
      <c r="A248" s="436"/>
      <c r="B248" s="328"/>
      <c r="C248" s="328"/>
      <c r="D248" s="328"/>
      <c r="E248" s="341"/>
      <c r="F248" s="333"/>
      <c r="G248" s="589"/>
      <c r="H248" s="589"/>
      <c r="I248" s="589"/>
      <c r="J248" s="328"/>
      <c r="K248" s="590"/>
      <c r="L248" s="341"/>
      <c r="M248" s="436"/>
      <c r="N248" s="436"/>
      <c r="O248" s="366"/>
      <c r="P248" s="366"/>
      <c r="Q248" s="366"/>
      <c r="R248" s="366"/>
      <c r="S248" s="366"/>
      <c r="T248" s="366"/>
      <c r="U248" s="366"/>
      <c r="V248" s="366"/>
      <c r="W248" s="366"/>
      <c r="X248" s="366"/>
      <c r="Y248" s="366"/>
    </row>
    <row r="249" ht="84.0" customHeight="1">
      <c r="A249" s="436"/>
      <c r="B249" s="328"/>
      <c r="C249" s="328"/>
      <c r="D249" s="328"/>
      <c r="E249" s="341"/>
      <c r="F249" s="333"/>
      <c r="G249" s="589"/>
      <c r="H249" s="589"/>
      <c r="I249" s="589"/>
      <c r="J249" s="328"/>
      <c r="K249" s="590"/>
      <c r="L249" s="341"/>
      <c r="M249" s="436"/>
      <c r="N249" s="436"/>
      <c r="O249" s="366"/>
      <c r="P249" s="366"/>
      <c r="Q249" s="366"/>
      <c r="R249" s="366"/>
      <c r="S249" s="366"/>
      <c r="T249" s="366"/>
      <c r="U249" s="366"/>
      <c r="V249" s="366"/>
      <c r="W249" s="366"/>
      <c r="X249" s="366"/>
      <c r="Y249" s="366"/>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Y$149">
    <sortState ref="A2:Y149">
      <sortCondition descending="1" ref="M2:M149"/>
      <sortCondition descending="1" ref="F2:F149"/>
    </sortState>
  </autoFilter>
  <dataValidations>
    <dataValidation type="list" allowBlank="1" showErrorMessage="1" sqref="N3:N149">
      <formula1>"TB"</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3"/>
    <hyperlink r:id="rId122" ref="A124"/>
    <hyperlink r:id="rId123" ref="A125"/>
    <hyperlink r:id="rId124" ref="A126"/>
    <hyperlink r:id="rId125" ref="A127"/>
    <hyperlink r:id="rId126" ref="A128"/>
    <hyperlink r:id="rId127" ref="A129"/>
    <hyperlink r:id="rId128" ref="A130"/>
    <hyperlink r:id="rId129" ref="A131"/>
    <hyperlink r:id="rId130" ref="A132"/>
    <hyperlink r:id="rId131" ref="A133"/>
    <hyperlink r:id="rId132" ref="A134"/>
    <hyperlink r:id="rId133" ref="A135"/>
    <hyperlink r:id="rId134" ref="A136"/>
    <hyperlink r:id="rId135" ref="A137"/>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s>
  <printOptions/>
  <pageMargins bottom="0.75" footer="0.0" header="0.0" left="0.7" right="0.7" top="0.75"/>
  <pageSetup orientation="landscape"/>
  <drawing r:id="rId14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71"/>
    <col customWidth="1" min="2" max="2" width="12.43"/>
    <col customWidth="1" min="3" max="3" width="13.14"/>
    <col customWidth="1" min="4" max="4" width="18.57"/>
    <col customWidth="1" min="5" max="5" width="48.29"/>
    <col customWidth="1" min="6" max="6" width="14.0"/>
    <col customWidth="1" min="7" max="7" width="15.29"/>
    <col customWidth="1" min="8" max="8" width="15.71"/>
    <col customWidth="1" min="9" max="9" width="16.43"/>
    <col customWidth="1" min="10" max="10" width="50.14"/>
    <col customWidth="1" min="11" max="11" width="14.0"/>
    <col customWidth="1" min="12" max="12" width="15.43"/>
    <col customWidth="1" min="13" max="13" width="41.29"/>
    <col customWidth="1" min="14" max="14" width="12.86"/>
    <col customWidth="1" min="15" max="15" width="15.43"/>
    <col customWidth="1" min="17" max="17" width="14.71"/>
    <col customWidth="1" min="18" max="18" width="16.29"/>
    <col customWidth="1" min="19" max="19" width="17.14"/>
  </cols>
  <sheetData>
    <row r="1" ht="51.0" customHeight="1">
      <c r="A1" s="269" t="s">
        <v>11888</v>
      </c>
      <c r="B1" s="421" t="s">
        <v>6313</v>
      </c>
      <c r="C1" s="269"/>
      <c r="D1" s="358" t="s">
        <v>6314</v>
      </c>
      <c r="E1" s="270" t="s">
        <v>3</v>
      </c>
      <c r="F1" s="269" t="s">
        <v>4630</v>
      </c>
      <c r="G1" s="269" t="s">
        <v>7400</v>
      </c>
      <c r="H1" s="269" t="s">
        <v>9156</v>
      </c>
      <c r="I1" s="367" t="s">
        <v>2107</v>
      </c>
      <c r="J1" s="56"/>
      <c r="K1" s="359"/>
      <c r="L1" s="359"/>
      <c r="M1" s="570"/>
      <c r="N1" s="269"/>
      <c r="O1" s="269"/>
      <c r="P1" s="275"/>
      <c r="Q1" s="423"/>
      <c r="R1" s="521"/>
      <c r="S1" s="571"/>
      <c r="T1" s="364"/>
      <c r="U1" s="364"/>
      <c r="V1" s="364"/>
      <c r="W1" s="364"/>
      <c r="X1" s="364"/>
      <c r="Y1" s="364"/>
      <c r="Z1" s="364"/>
    </row>
    <row r="2" ht="51.0" customHeight="1">
      <c r="A2" s="277" t="s">
        <v>7</v>
      </c>
      <c r="B2" s="278" t="s">
        <v>6316</v>
      </c>
      <c r="C2" s="277" t="s">
        <v>6317</v>
      </c>
      <c r="D2" s="277" t="s">
        <v>10</v>
      </c>
      <c r="E2" s="279" t="s">
        <v>11</v>
      </c>
      <c r="F2" s="285" t="s">
        <v>9157</v>
      </c>
      <c r="G2" s="277" t="s">
        <v>12</v>
      </c>
      <c r="H2" s="277" t="s">
        <v>12</v>
      </c>
      <c r="I2" s="277" t="s">
        <v>9158</v>
      </c>
      <c r="J2" s="277" t="s">
        <v>9159</v>
      </c>
      <c r="K2" s="522" t="s">
        <v>2111</v>
      </c>
      <c r="L2" s="522" t="s">
        <v>2112</v>
      </c>
      <c r="M2" s="277" t="s">
        <v>2113</v>
      </c>
      <c r="N2" s="277" t="s">
        <v>493</v>
      </c>
      <c r="O2" s="277" t="s">
        <v>1025</v>
      </c>
      <c r="P2" s="283" t="s">
        <v>2523</v>
      </c>
      <c r="Q2" s="299" t="s">
        <v>9160</v>
      </c>
      <c r="R2" s="299" t="s">
        <v>9161</v>
      </c>
      <c r="S2" s="299" t="s">
        <v>9162</v>
      </c>
      <c r="T2" s="366"/>
      <c r="U2" s="366"/>
      <c r="V2" s="366"/>
      <c r="W2" s="366"/>
      <c r="X2" s="366"/>
      <c r="Y2" s="366"/>
      <c r="Z2" s="366"/>
    </row>
    <row r="3" ht="91.5" customHeight="1">
      <c r="A3" s="285">
        <v>42077.0</v>
      </c>
      <c r="B3" s="285" t="s">
        <v>715</v>
      </c>
      <c r="C3" s="285">
        <v>5050.0</v>
      </c>
      <c r="D3" s="367" t="s">
        <v>11889</v>
      </c>
      <c r="E3" s="287" t="s">
        <v>10808</v>
      </c>
      <c r="F3" s="529">
        <v>46168.0</v>
      </c>
      <c r="G3" s="377" t="s">
        <v>4916</v>
      </c>
      <c r="H3" s="377" t="s">
        <v>4916</v>
      </c>
      <c r="I3" s="377" t="s">
        <v>4916</v>
      </c>
      <c r="J3" s="377" t="s">
        <v>11890</v>
      </c>
      <c r="K3" s="285"/>
      <c r="L3" s="485"/>
      <c r="M3" s="290" t="s">
        <v>11891</v>
      </c>
      <c r="N3" s="285" t="s">
        <v>497</v>
      </c>
      <c r="O3" s="322" t="s">
        <v>2554</v>
      </c>
      <c r="P3" s="526"/>
      <c r="Q3" s="299">
        <f t="shared" ref="Q3:Q19" si="1">WEEKNUM($F3)</f>
        <v>22</v>
      </c>
      <c r="R3" s="299" t="s">
        <v>9198</v>
      </c>
      <c r="S3" s="299" t="s">
        <v>9171</v>
      </c>
      <c r="T3" s="198"/>
      <c r="U3" s="198"/>
      <c r="V3" s="198"/>
      <c r="W3" s="198"/>
      <c r="X3" s="198"/>
      <c r="Y3" s="198"/>
      <c r="Z3" s="198"/>
    </row>
    <row r="4" ht="91.5" customHeight="1">
      <c r="A4" s="285">
        <v>42169.0</v>
      </c>
      <c r="B4" s="285" t="s">
        <v>715</v>
      </c>
      <c r="C4" s="285">
        <v>5251.0</v>
      </c>
      <c r="D4" s="367" t="s">
        <v>11892</v>
      </c>
      <c r="E4" s="287" t="s">
        <v>10539</v>
      </c>
      <c r="F4" s="288">
        <v>46161.0</v>
      </c>
      <c r="G4" s="377" t="s">
        <v>4916</v>
      </c>
      <c r="H4" s="377" t="s">
        <v>4916</v>
      </c>
      <c r="I4" s="377" t="s">
        <v>4916</v>
      </c>
      <c r="J4" s="377" t="s">
        <v>11893</v>
      </c>
      <c r="K4" s="285"/>
      <c r="L4" s="485"/>
      <c r="M4" s="290" t="s">
        <v>11894</v>
      </c>
      <c r="N4" s="285" t="s">
        <v>497</v>
      </c>
      <c r="O4" s="322" t="s">
        <v>2554</v>
      </c>
      <c r="P4" s="300">
        <v>26250.0</v>
      </c>
      <c r="Q4" s="299">
        <f t="shared" si="1"/>
        <v>21</v>
      </c>
      <c r="R4" s="299" t="s">
        <v>9170</v>
      </c>
      <c r="S4" s="299" t="s">
        <v>9171</v>
      </c>
      <c r="T4" s="198"/>
      <c r="U4" s="198"/>
      <c r="V4" s="198"/>
      <c r="W4" s="198"/>
      <c r="X4" s="198"/>
      <c r="Y4" s="198"/>
      <c r="Z4" s="198"/>
    </row>
    <row r="5" ht="91.5" customHeight="1">
      <c r="A5" s="285">
        <v>42170.0</v>
      </c>
      <c r="B5" s="296" t="s">
        <v>21</v>
      </c>
      <c r="C5" s="285">
        <v>5251.0</v>
      </c>
      <c r="D5" s="285" t="s">
        <v>11895</v>
      </c>
      <c r="E5" s="287" t="s">
        <v>11896</v>
      </c>
      <c r="F5" s="288">
        <v>46161.0</v>
      </c>
      <c r="G5" s="377" t="s">
        <v>4916</v>
      </c>
      <c r="H5" s="377" t="s">
        <v>4916</v>
      </c>
      <c r="I5" s="377" t="s">
        <v>4916</v>
      </c>
      <c r="J5" s="377" t="s">
        <v>11897</v>
      </c>
      <c r="K5" s="591" t="s">
        <v>4916</v>
      </c>
      <c r="L5" s="579"/>
      <c r="M5" s="290" t="s">
        <v>11898</v>
      </c>
      <c r="N5" s="299" t="s">
        <v>497</v>
      </c>
      <c r="O5" s="322" t="s">
        <v>2554</v>
      </c>
      <c r="P5" s="300">
        <v>26250.0</v>
      </c>
      <c r="Q5" s="299">
        <f t="shared" si="1"/>
        <v>21</v>
      </c>
      <c r="R5" s="299" t="s">
        <v>9170</v>
      </c>
      <c r="S5" s="299" t="s">
        <v>9171</v>
      </c>
      <c r="T5" s="198"/>
      <c r="U5" s="198"/>
      <c r="V5" s="198"/>
      <c r="W5" s="198"/>
      <c r="X5" s="198"/>
      <c r="Y5" s="198"/>
      <c r="Z5" s="198"/>
    </row>
    <row r="6" ht="91.5" customHeight="1">
      <c r="A6" s="285">
        <v>72076.0</v>
      </c>
      <c r="B6" s="285" t="s">
        <v>715</v>
      </c>
      <c r="C6" s="285">
        <v>5250.0</v>
      </c>
      <c r="D6" s="367" t="s">
        <v>11899</v>
      </c>
      <c r="E6" s="287" t="s">
        <v>11900</v>
      </c>
      <c r="F6" s="288">
        <v>46161.0</v>
      </c>
      <c r="G6" s="377" t="s">
        <v>4916</v>
      </c>
      <c r="H6" s="377" t="s">
        <v>4916</v>
      </c>
      <c r="I6" s="377" t="s">
        <v>4916</v>
      </c>
      <c r="J6" s="377" t="s">
        <v>11901</v>
      </c>
      <c r="K6" s="285"/>
      <c r="L6" s="485"/>
      <c r="M6" s="290" t="s">
        <v>11902</v>
      </c>
      <c r="N6" s="285" t="s">
        <v>497</v>
      </c>
      <c r="O6" s="322" t="s">
        <v>2554</v>
      </c>
      <c r="P6" s="300">
        <v>37380.0</v>
      </c>
      <c r="Q6" s="299">
        <f t="shared" si="1"/>
        <v>21</v>
      </c>
      <c r="R6" s="299" t="s">
        <v>9198</v>
      </c>
      <c r="S6" s="299" t="s">
        <v>9171</v>
      </c>
      <c r="T6" s="198"/>
      <c r="U6" s="198"/>
      <c r="V6" s="198"/>
      <c r="W6" s="198"/>
      <c r="X6" s="198"/>
      <c r="Y6" s="198"/>
      <c r="Z6" s="198"/>
    </row>
    <row r="7" ht="91.5" customHeight="1">
      <c r="A7" s="285">
        <v>41910.0</v>
      </c>
      <c r="B7" s="285" t="s">
        <v>25</v>
      </c>
      <c r="C7" s="285">
        <v>2152.0</v>
      </c>
      <c r="D7" s="285" t="s">
        <v>11903</v>
      </c>
      <c r="E7" s="287" t="s">
        <v>3740</v>
      </c>
      <c r="F7" s="288">
        <v>46156.0</v>
      </c>
      <c r="G7" s="528" t="s">
        <v>4916</v>
      </c>
      <c r="H7" s="528" t="s">
        <v>4916</v>
      </c>
      <c r="I7" s="528" t="s">
        <v>4916</v>
      </c>
      <c r="J7" s="528" t="s">
        <v>11904</v>
      </c>
      <c r="K7" s="285"/>
      <c r="L7" s="485"/>
      <c r="M7" s="290" t="s">
        <v>11905</v>
      </c>
      <c r="N7" s="299" t="s">
        <v>4745</v>
      </c>
      <c r="O7" s="322" t="s">
        <v>4711</v>
      </c>
      <c r="P7" s="300">
        <v>45454.46</v>
      </c>
      <c r="Q7" s="299">
        <f t="shared" si="1"/>
        <v>20</v>
      </c>
      <c r="R7" s="299"/>
      <c r="S7" s="299" t="s">
        <v>10487</v>
      </c>
      <c r="T7" s="198"/>
      <c r="U7" s="198"/>
      <c r="V7" s="198"/>
      <c r="W7" s="198"/>
      <c r="X7" s="198"/>
      <c r="Y7" s="198"/>
      <c r="Z7" s="198"/>
    </row>
    <row r="8" ht="91.5" customHeight="1">
      <c r="A8" s="285">
        <v>42023.0</v>
      </c>
      <c r="B8" s="285" t="s">
        <v>715</v>
      </c>
      <c r="C8" s="285">
        <v>2274.0</v>
      </c>
      <c r="D8" s="367" t="s">
        <v>11906</v>
      </c>
      <c r="E8" s="287" t="s">
        <v>10617</v>
      </c>
      <c r="F8" s="529">
        <v>46154.0</v>
      </c>
      <c r="G8" s="528" t="s">
        <v>4916</v>
      </c>
      <c r="H8" s="528" t="s">
        <v>4916</v>
      </c>
      <c r="I8" s="528" t="s">
        <v>4916</v>
      </c>
      <c r="J8" s="528" t="s">
        <v>11907</v>
      </c>
      <c r="K8" s="285"/>
      <c r="L8" s="485"/>
      <c r="M8" s="290" t="s">
        <v>11908</v>
      </c>
      <c r="N8" s="285" t="s">
        <v>497</v>
      </c>
      <c r="O8" s="322" t="s">
        <v>2554</v>
      </c>
      <c r="P8" s="300">
        <v>42227.5</v>
      </c>
      <c r="Q8" s="299">
        <f t="shared" si="1"/>
        <v>20</v>
      </c>
      <c r="R8" s="299" t="s">
        <v>9170</v>
      </c>
      <c r="S8" s="299" t="s">
        <v>9171</v>
      </c>
      <c r="T8" s="198"/>
      <c r="U8" s="198"/>
      <c r="V8" s="198"/>
      <c r="W8" s="198"/>
      <c r="X8" s="198"/>
      <c r="Y8" s="198"/>
      <c r="Z8" s="198"/>
    </row>
    <row r="9" ht="91.5" customHeight="1">
      <c r="A9" s="285">
        <v>41720.0</v>
      </c>
      <c r="B9" s="285" t="s">
        <v>715</v>
      </c>
      <c r="C9" s="285">
        <v>2413.0</v>
      </c>
      <c r="D9" s="367" t="s">
        <v>11909</v>
      </c>
      <c r="E9" s="287" t="s">
        <v>10617</v>
      </c>
      <c r="F9" s="529">
        <v>46154.0</v>
      </c>
      <c r="G9" s="528" t="s">
        <v>4916</v>
      </c>
      <c r="H9" s="528" t="s">
        <v>4916</v>
      </c>
      <c r="I9" s="528" t="s">
        <v>4916</v>
      </c>
      <c r="J9" s="528" t="s">
        <v>11910</v>
      </c>
      <c r="K9" s="285"/>
      <c r="L9" s="485"/>
      <c r="M9" s="290" t="s">
        <v>11911</v>
      </c>
      <c r="N9" s="285" t="s">
        <v>497</v>
      </c>
      <c r="O9" s="322" t="s">
        <v>2554</v>
      </c>
      <c r="P9" s="300">
        <v>42468.8</v>
      </c>
      <c r="Q9" s="299">
        <f t="shared" si="1"/>
        <v>20</v>
      </c>
      <c r="R9" s="299" t="s">
        <v>9198</v>
      </c>
      <c r="S9" s="299" t="s">
        <v>9171</v>
      </c>
      <c r="T9" s="198"/>
      <c r="U9" s="198"/>
      <c r="V9" s="198"/>
      <c r="W9" s="198"/>
      <c r="X9" s="198"/>
      <c r="Y9" s="198"/>
      <c r="Z9" s="198"/>
    </row>
    <row r="10" ht="91.5" customHeight="1">
      <c r="A10" s="285">
        <v>41778.0</v>
      </c>
      <c r="B10" s="285" t="s">
        <v>715</v>
      </c>
      <c r="C10" s="285">
        <v>2413.0</v>
      </c>
      <c r="D10" s="367" t="s">
        <v>11912</v>
      </c>
      <c r="E10" s="287" t="s">
        <v>10559</v>
      </c>
      <c r="F10" s="529">
        <v>46154.0</v>
      </c>
      <c r="G10" s="528" t="s">
        <v>4916</v>
      </c>
      <c r="H10" s="528" t="s">
        <v>4916</v>
      </c>
      <c r="I10" s="528" t="s">
        <v>4916</v>
      </c>
      <c r="J10" s="528" t="s">
        <v>11913</v>
      </c>
      <c r="K10" s="285"/>
      <c r="L10" s="485"/>
      <c r="M10" s="290" t="s">
        <v>11914</v>
      </c>
      <c r="N10" s="285" t="s">
        <v>497</v>
      </c>
      <c r="O10" s="322" t="s">
        <v>2554</v>
      </c>
      <c r="P10" s="526"/>
      <c r="Q10" s="299">
        <f t="shared" si="1"/>
        <v>20</v>
      </c>
      <c r="R10" s="299" t="s">
        <v>9198</v>
      </c>
      <c r="S10" s="299" t="s">
        <v>9171</v>
      </c>
      <c r="T10" s="198"/>
      <c r="U10" s="198"/>
      <c r="V10" s="198"/>
      <c r="W10" s="198"/>
      <c r="X10" s="198"/>
      <c r="Y10" s="198"/>
      <c r="Z10" s="198"/>
    </row>
    <row r="11" ht="91.5" customHeight="1">
      <c r="A11" s="285">
        <v>42074.0</v>
      </c>
      <c r="B11" s="285" t="s">
        <v>715</v>
      </c>
      <c r="C11" s="285">
        <v>5250.0</v>
      </c>
      <c r="D11" s="367" t="s">
        <v>11915</v>
      </c>
      <c r="E11" s="287" t="s">
        <v>10760</v>
      </c>
      <c r="F11" s="288">
        <v>46154.0</v>
      </c>
      <c r="G11" s="377" t="s">
        <v>4916</v>
      </c>
      <c r="H11" s="377" t="s">
        <v>4916</v>
      </c>
      <c r="I11" s="377" t="s">
        <v>4916</v>
      </c>
      <c r="J11" s="377" t="s">
        <v>11916</v>
      </c>
      <c r="K11" s="285"/>
      <c r="L11" s="485"/>
      <c r="M11" s="290" t="s">
        <v>11917</v>
      </c>
      <c r="N11" s="285" t="s">
        <v>497</v>
      </c>
      <c r="O11" s="322" t="s">
        <v>2554</v>
      </c>
      <c r="P11" s="300">
        <v>32917.5</v>
      </c>
      <c r="Q11" s="299">
        <f t="shared" si="1"/>
        <v>20</v>
      </c>
      <c r="R11" s="299" t="s">
        <v>9198</v>
      </c>
      <c r="S11" s="299" t="s">
        <v>9171</v>
      </c>
      <c r="T11" s="198"/>
      <c r="U11" s="198"/>
      <c r="V11" s="198"/>
      <c r="W11" s="198"/>
      <c r="X11" s="198"/>
      <c r="Y11" s="198"/>
      <c r="Z11" s="198"/>
    </row>
    <row r="12" ht="91.5" customHeight="1">
      <c r="A12" s="531" t="s">
        <v>4916</v>
      </c>
      <c r="B12" s="296" t="s">
        <v>21</v>
      </c>
      <c r="C12" s="285">
        <v>916.0</v>
      </c>
      <c r="D12" s="285" t="s">
        <v>11918</v>
      </c>
      <c r="E12" s="287" t="s">
        <v>11919</v>
      </c>
      <c r="F12" s="288">
        <v>46149.0</v>
      </c>
      <c r="G12" s="377" t="s">
        <v>4916</v>
      </c>
      <c r="H12" s="377" t="s">
        <v>4916</v>
      </c>
      <c r="I12" s="377" t="s">
        <v>4916</v>
      </c>
      <c r="J12" s="377" t="s">
        <v>11920</v>
      </c>
      <c r="K12" s="591" t="s">
        <v>4916</v>
      </c>
      <c r="L12" s="579"/>
      <c r="M12" s="290" t="s">
        <v>11921</v>
      </c>
      <c r="N12" s="299" t="s">
        <v>4635</v>
      </c>
      <c r="O12" s="322" t="s">
        <v>2621</v>
      </c>
      <c r="P12" s="300">
        <v>32917.5</v>
      </c>
      <c r="Q12" s="299">
        <f t="shared" si="1"/>
        <v>19</v>
      </c>
      <c r="R12" s="299"/>
      <c r="S12" s="299" t="s">
        <v>8430</v>
      </c>
      <c r="T12" s="198"/>
      <c r="U12" s="198"/>
      <c r="V12" s="198"/>
      <c r="W12" s="198"/>
      <c r="X12" s="198"/>
      <c r="Y12" s="198"/>
      <c r="Z12" s="198"/>
    </row>
    <row r="13" ht="91.5" customHeight="1">
      <c r="A13" s="285">
        <v>42259.0</v>
      </c>
      <c r="B13" s="296" t="s">
        <v>21</v>
      </c>
      <c r="C13" s="285">
        <v>1460.0</v>
      </c>
      <c r="D13" s="285" t="s">
        <v>11922</v>
      </c>
      <c r="E13" s="287" t="s">
        <v>11923</v>
      </c>
      <c r="F13" s="288">
        <v>46148.0</v>
      </c>
      <c r="G13" s="377" t="s">
        <v>4916</v>
      </c>
      <c r="H13" s="377" t="s">
        <v>4916</v>
      </c>
      <c r="I13" s="377" t="s">
        <v>4916</v>
      </c>
      <c r="J13" s="377" t="s">
        <v>11924</v>
      </c>
      <c r="K13" s="591" t="s">
        <v>4916</v>
      </c>
      <c r="L13" s="579"/>
      <c r="M13" s="290" t="s">
        <v>11925</v>
      </c>
      <c r="N13" s="299" t="s">
        <v>6366</v>
      </c>
      <c r="O13" s="322" t="s">
        <v>2621</v>
      </c>
      <c r="P13" s="300">
        <v>44855.4</v>
      </c>
      <c r="Q13" s="299">
        <f t="shared" si="1"/>
        <v>19</v>
      </c>
      <c r="R13" s="299"/>
      <c r="S13" s="299" t="s">
        <v>10487</v>
      </c>
      <c r="T13" s="198"/>
      <c r="U13" s="198"/>
      <c r="V13" s="198"/>
      <c r="W13" s="198"/>
      <c r="X13" s="198"/>
      <c r="Y13" s="198"/>
      <c r="Z13" s="198"/>
    </row>
    <row r="14" ht="91.5" customHeight="1">
      <c r="A14" s="285">
        <v>41784.0</v>
      </c>
      <c r="B14" s="296" t="s">
        <v>21</v>
      </c>
      <c r="C14" s="285">
        <v>4501.0</v>
      </c>
      <c r="D14" s="285" t="s">
        <v>11926</v>
      </c>
      <c r="E14" s="287" t="s">
        <v>11927</v>
      </c>
      <c r="F14" s="288">
        <v>46148.0</v>
      </c>
      <c r="G14" s="377" t="s">
        <v>4916</v>
      </c>
      <c r="H14" s="377" t="s">
        <v>4916</v>
      </c>
      <c r="I14" s="377" t="s">
        <v>4916</v>
      </c>
      <c r="J14" s="377" t="s">
        <v>11928</v>
      </c>
      <c r="K14" s="591" t="s">
        <v>4916</v>
      </c>
      <c r="L14" s="579"/>
      <c r="M14" s="290" t="s">
        <v>11929</v>
      </c>
      <c r="N14" s="299" t="s">
        <v>497</v>
      </c>
      <c r="O14" s="322" t="s">
        <v>2554</v>
      </c>
      <c r="P14" s="300">
        <v>32625.0</v>
      </c>
      <c r="Q14" s="299">
        <f t="shared" si="1"/>
        <v>19</v>
      </c>
      <c r="R14" s="299" t="s">
        <v>9170</v>
      </c>
      <c r="S14" s="299" t="s">
        <v>9171</v>
      </c>
      <c r="T14" s="198"/>
      <c r="U14" s="198"/>
      <c r="V14" s="198"/>
      <c r="W14" s="198"/>
      <c r="X14" s="198"/>
      <c r="Y14" s="198"/>
      <c r="Z14" s="198"/>
    </row>
    <row r="15" ht="91.5" customHeight="1">
      <c r="A15" s="285">
        <v>41818.0</v>
      </c>
      <c r="B15" s="285" t="s">
        <v>715</v>
      </c>
      <c r="C15" s="285">
        <v>2001.0</v>
      </c>
      <c r="D15" s="367" t="s">
        <v>11930</v>
      </c>
      <c r="E15" s="287" t="s">
        <v>11931</v>
      </c>
      <c r="F15" s="529">
        <v>46147.0</v>
      </c>
      <c r="G15" s="377" t="s">
        <v>4916</v>
      </c>
      <c r="H15" s="377" t="s">
        <v>4916</v>
      </c>
      <c r="I15" s="377" t="s">
        <v>4916</v>
      </c>
      <c r="J15" s="377" t="s">
        <v>11932</v>
      </c>
      <c r="K15" s="591" t="s">
        <v>4916</v>
      </c>
      <c r="L15" s="579"/>
      <c r="M15" s="290" t="s">
        <v>11933</v>
      </c>
      <c r="N15" s="299" t="s">
        <v>497</v>
      </c>
      <c r="O15" s="322" t="s">
        <v>2604</v>
      </c>
      <c r="P15" s="300">
        <v>59829.0</v>
      </c>
      <c r="Q15" s="299">
        <f t="shared" si="1"/>
        <v>19</v>
      </c>
      <c r="R15" s="299"/>
      <c r="S15" s="299" t="s">
        <v>10487</v>
      </c>
      <c r="T15" s="198"/>
      <c r="U15" s="198"/>
      <c r="V15" s="198"/>
      <c r="W15" s="198"/>
      <c r="X15" s="198"/>
      <c r="Y15" s="198"/>
      <c r="Z15" s="198"/>
    </row>
    <row r="16" ht="91.5" customHeight="1">
      <c r="A16" s="285">
        <v>41817.0</v>
      </c>
      <c r="B16" s="285" t="s">
        <v>715</v>
      </c>
      <c r="C16" s="285">
        <v>2601.0</v>
      </c>
      <c r="D16" s="367" t="s">
        <v>11934</v>
      </c>
      <c r="E16" s="287" t="s">
        <v>11935</v>
      </c>
      <c r="F16" s="529">
        <v>46147.0</v>
      </c>
      <c r="G16" s="377" t="s">
        <v>4916</v>
      </c>
      <c r="H16" s="377" t="s">
        <v>4916</v>
      </c>
      <c r="I16" s="377" t="s">
        <v>4916</v>
      </c>
      <c r="J16" s="377" t="s">
        <v>11936</v>
      </c>
      <c r="K16" s="285"/>
      <c r="L16" s="485"/>
      <c r="M16" s="290" t="s">
        <v>11937</v>
      </c>
      <c r="N16" s="285" t="s">
        <v>497</v>
      </c>
      <c r="O16" s="322" t="s">
        <v>2604</v>
      </c>
      <c r="P16" s="300">
        <v>85150.0</v>
      </c>
      <c r="Q16" s="299">
        <f t="shared" si="1"/>
        <v>19</v>
      </c>
      <c r="R16" s="299"/>
      <c r="S16" s="299" t="s">
        <v>10487</v>
      </c>
      <c r="T16" s="198"/>
      <c r="U16" s="198"/>
      <c r="V16" s="198"/>
      <c r="W16" s="198"/>
      <c r="X16" s="198"/>
      <c r="Y16" s="198"/>
      <c r="Z16" s="198"/>
    </row>
    <row r="17" ht="91.5" customHeight="1">
      <c r="A17" s="285">
        <v>41985.0</v>
      </c>
      <c r="B17" s="285" t="s">
        <v>715</v>
      </c>
      <c r="C17" s="285">
        <v>1260.0</v>
      </c>
      <c r="D17" s="367" t="s">
        <v>11938</v>
      </c>
      <c r="E17" s="287" t="s">
        <v>11939</v>
      </c>
      <c r="F17" s="288">
        <v>46147.0</v>
      </c>
      <c r="G17" s="377" t="s">
        <v>4916</v>
      </c>
      <c r="H17" s="377" t="s">
        <v>4916</v>
      </c>
      <c r="I17" s="377" t="s">
        <v>4916</v>
      </c>
      <c r="J17" s="377" t="s">
        <v>11940</v>
      </c>
      <c r="K17" s="285"/>
      <c r="L17" s="485"/>
      <c r="M17" s="290" t="s">
        <v>11941</v>
      </c>
      <c r="N17" s="285" t="s">
        <v>4635</v>
      </c>
      <c r="O17" s="322" t="s">
        <v>2621</v>
      </c>
      <c r="P17" s="300">
        <v>30975.5</v>
      </c>
      <c r="Q17" s="299">
        <f t="shared" si="1"/>
        <v>19</v>
      </c>
      <c r="R17" s="299"/>
      <c r="S17" s="299" t="s">
        <v>8430</v>
      </c>
      <c r="T17" s="198"/>
      <c r="U17" s="198"/>
      <c r="V17" s="198"/>
      <c r="W17" s="198"/>
      <c r="X17" s="198"/>
      <c r="Y17" s="198"/>
      <c r="Z17" s="198"/>
    </row>
    <row r="18" ht="91.5" customHeight="1">
      <c r="A18" s="285">
        <v>41853.0</v>
      </c>
      <c r="B18" s="285" t="s">
        <v>715</v>
      </c>
      <c r="C18" s="285">
        <v>1210.0</v>
      </c>
      <c r="D18" s="367" t="s">
        <v>11942</v>
      </c>
      <c r="E18" s="287" t="s">
        <v>3740</v>
      </c>
      <c r="F18" s="288">
        <v>46147.0</v>
      </c>
      <c r="G18" s="377" t="s">
        <v>4916</v>
      </c>
      <c r="H18" s="377" t="s">
        <v>4916</v>
      </c>
      <c r="I18" s="377" t="s">
        <v>4916</v>
      </c>
      <c r="J18" s="443" t="s">
        <v>11943</v>
      </c>
      <c r="K18" s="285"/>
      <c r="L18" s="485"/>
      <c r="M18" s="290" t="s">
        <v>11944</v>
      </c>
      <c r="N18" s="285" t="s">
        <v>4745</v>
      </c>
      <c r="O18" s="322" t="s">
        <v>4711</v>
      </c>
      <c r="P18" s="300">
        <v>27978.06</v>
      </c>
      <c r="Q18" s="299">
        <f t="shared" si="1"/>
        <v>19</v>
      </c>
      <c r="R18" s="299"/>
      <c r="S18" s="299" t="s">
        <v>10487</v>
      </c>
      <c r="T18" s="198"/>
      <c r="U18" s="198"/>
      <c r="V18" s="198"/>
      <c r="W18" s="198"/>
      <c r="X18" s="198"/>
      <c r="Y18" s="198"/>
      <c r="Z18" s="198"/>
    </row>
    <row r="19" ht="91.5" customHeight="1">
      <c r="A19" s="285">
        <v>42071.0</v>
      </c>
      <c r="B19" s="285" t="s">
        <v>715</v>
      </c>
      <c r="C19" s="285">
        <v>2413.0</v>
      </c>
      <c r="D19" s="367" t="s">
        <v>11945</v>
      </c>
      <c r="E19" s="287" t="s">
        <v>11004</v>
      </c>
      <c r="F19" s="529">
        <v>46146.0</v>
      </c>
      <c r="G19" s="377" t="s">
        <v>4916</v>
      </c>
      <c r="H19" s="377" t="s">
        <v>4916</v>
      </c>
      <c r="I19" s="377" t="s">
        <v>4916</v>
      </c>
      <c r="J19" s="377" t="s">
        <v>11946</v>
      </c>
      <c r="K19" s="285"/>
      <c r="L19" s="485"/>
      <c r="M19" s="290" t="s">
        <v>11947</v>
      </c>
      <c r="N19" s="285" t="s">
        <v>497</v>
      </c>
      <c r="O19" s="322" t="s">
        <v>2554</v>
      </c>
      <c r="P19" s="526"/>
      <c r="Q19" s="299">
        <f t="shared" si="1"/>
        <v>19</v>
      </c>
      <c r="R19" s="299" t="s">
        <v>9198</v>
      </c>
      <c r="S19" s="299" t="s">
        <v>9171</v>
      </c>
      <c r="T19" s="198"/>
      <c r="U19" s="198"/>
      <c r="V19" s="198"/>
      <c r="W19" s="198"/>
      <c r="X19" s="198"/>
      <c r="Y19" s="198"/>
      <c r="Z19" s="198"/>
    </row>
    <row r="20" ht="91.5" customHeight="1">
      <c r="A20" s="531" t="s">
        <v>4916</v>
      </c>
      <c r="B20" s="285" t="s">
        <v>715</v>
      </c>
      <c r="C20" s="285"/>
      <c r="D20" s="367" t="s">
        <v>11948</v>
      </c>
      <c r="E20" s="592" t="s">
        <v>11018</v>
      </c>
      <c r="F20" s="288">
        <v>46134.0</v>
      </c>
      <c r="G20" s="377" t="s">
        <v>4916</v>
      </c>
      <c r="H20" s="377" t="s">
        <v>4916</v>
      </c>
      <c r="I20" s="377" t="s">
        <v>4916</v>
      </c>
      <c r="J20" s="593" t="s">
        <v>11949</v>
      </c>
      <c r="K20" s="285"/>
      <c r="L20" s="485"/>
      <c r="M20" s="290"/>
      <c r="N20" s="285"/>
      <c r="O20" s="322"/>
      <c r="P20" s="300"/>
      <c r="Q20" s="299"/>
      <c r="R20" s="299"/>
      <c r="S20" s="299"/>
      <c r="T20" s="198"/>
      <c r="U20" s="198"/>
      <c r="V20" s="198"/>
      <c r="W20" s="198"/>
      <c r="X20" s="198"/>
      <c r="Y20" s="198"/>
      <c r="Z20" s="198"/>
    </row>
    <row r="21" ht="91.5" customHeight="1">
      <c r="A21" s="285">
        <v>42072.0</v>
      </c>
      <c r="B21" s="285" t="s">
        <v>715</v>
      </c>
      <c r="C21" s="285">
        <v>2578.0</v>
      </c>
      <c r="D21" s="367" t="s">
        <v>11950</v>
      </c>
      <c r="E21" s="287" t="s">
        <v>10655</v>
      </c>
      <c r="F21" s="288">
        <v>46146.0</v>
      </c>
      <c r="G21" s="377" t="s">
        <v>4916</v>
      </c>
      <c r="H21" s="377" t="s">
        <v>4916</v>
      </c>
      <c r="I21" s="377" t="s">
        <v>4916</v>
      </c>
      <c r="J21" s="377" t="s">
        <v>11951</v>
      </c>
      <c r="K21" s="285"/>
      <c r="L21" s="485"/>
      <c r="M21" s="290" t="s">
        <v>11952</v>
      </c>
      <c r="N21" s="285" t="s">
        <v>497</v>
      </c>
      <c r="O21" s="322" t="s">
        <v>2554</v>
      </c>
      <c r="P21" s="300">
        <v>58353.03</v>
      </c>
      <c r="Q21" s="299">
        <f t="shared" ref="Q21:Q130" si="2">WEEKNUM($F21)</f>
        <v>19</v>
      </c>
      <c r="R21" s="299" t="s">
        <v>9198</v>
      </c>
      <c r="S21" s="299" t="s">
        <v>9171</v>
      </c>
      <c r="T21" s="198"/>
      <c r="U21" s="198"/>
      <c r="V21" s="198"/>
      <c r="W21" s="198"/>
      <c r="X21" s="198"/>
      <c r="Y21" s="198"/>
      <c r="Z21" s="198"/>
    </row>
    <row r="22" ht="91.5" customHeight="1">
      <c r="A22" s="285">
        <v>42248.0</v>
      </c>
      <c r="B22" s="285" t="s">
        <v>6501</v>
      </c>
      <c r="C22" s="285">
        <v>5245.0</v>
      </c>
      <c r="D22" s="367" t="s">
        <v>11953</v>
      </c>
      <c r="E22" s="287" t="s">
        <v>11954</v>
      </c>
      <c r="F22" s="288">
        <v>46145.0</v>
      </c>
      <c r="G22" s="528" t="s">
        <v>4916</v>
      </c>
      <c r="H22" s="528" t="s">
        <v>4916</v>
      </c>
      <c r="I22" s="528" t="s">
        <v>4916</v>
      </c>
      <c r="J22" s="528" t="s">
        <v>11955</v>
      </c>
      <c r="K22" s="285"/>
      <c r="L22" s="485"/>
      <c r="M22" s="290" t="s">
        <v>11956</v>
      </c>
      <c r="N22" s="285" t="s">
        <v>4635</v>
      </c>
      <c r="O22" s="322" t="s">
        <v>2621</v>
      </c>
      <c r="P22" s="300">
        <v>49363.2</v>
      </c>
      <c r="Q22" s="299">
        <f t="shared" si="2"/>
        <v>19</v>
      </c>
      <c r="R22" s="299"/>
      <c r="S22" s="299" t="s">
        <v>10487</v>
      </c>
      <c r="T22" s="198"/>
      <c r="U22" s="198"/>
      <c r="V22" s="198"/>
      <c r="W22" s="198"/>
      <c r="X22" s="198"/>
      <c r="Y22" s="198"/>
      <c r="Z22" s="198"/>
    </row>
    <row r="23" ht="91.5" customHeight="1">
      <c r="A23" s="285">
        <v>42102.0</v>
      </c>
      <c r="B23" s="296" t="s">
        <v>21</v>
      </c>
      <c r="C23" s="285">
        <v>1100.0</v>
      </c>
      <c r="D23" s="285" t="s">
        <v>11957</v>
      </c>
      <c r="E23" s="287" t="s">
        <v>11958</v>
      </c>
      <c r="F23" s="288">
        <v>46142.0</v>
      </c>
      <c r="G23" s="528" t="s">
        <v>4916</v>
      </c>
      <c r="H23" s="528" t="s">
        <v>4916</v>
      </c>
      <c r="I23" s="528" t="s">
        <v>4916</v>
      </c>
      <c r="J23" s="528" t="s">
        <v>11959</v>
      </c>
      <c r="K23" s="573" t="s">
        <v>4916</v>
      </c>
      <c r="L23" s="579"/>
      <c r="M23" s="290" t="s">
        <v>11960</v>
      </c>
      <c r="N23" s="299" t="s">
        <v>4635</v>
      </c>
      <c r="O23" s="322" t="s">
        <v>2621</v>
      </c>
      <c r="P23" s="300">
        <v>86066.0</v>
      </c>
      <c r="Q23" s="299">
        <f t="shared" si="2"/>
        <v>18</v>
      </c>
      <c r="R23" s="299"/>
      <c r="S23" s="299" t="s">
        <v>10487</v>
      </c>
      <c r="T23" s="198"/>
      <c r="U23" s="198"/>
      <c r="V23" s="198"/>
      <c r="W23" s="198"/>
      <c r="X23" s="198"/>
      <c r="Y23" s="198"/>
      <c r="Z23" s="198"/>
    </row>
    <row r="24" ht="91.5" customHeight="1">
      <c r="A24" s="285">
        <v>41819.0</v>
      </c>
      <c r="B24" s="296" t="s">
        <v>21</v>
      </c>
      <c r="C24" s="285">
        <v>2201.0</v>
      </c>
      <c r="D24" s="285" t="s">
        <v>11961</v>
      </c>
      <c r="E24" s="287" t="s">
        <v>11962</v>
      </c>
      <c r="F24" s="529">
        <v>46140.0</v>
      </c>
      <c r="G24" s="377" t="s">
        <v>4916</v>
      </c>
      <c r="H24" s="377" t="s">
        <v>4916</v>
      </c>
      <c r="I24" s="377" t="s">
        <v>4916</v>
      </c>
      <c r="J24" s="377" t="s">
        <v>11963</v>
      </c>
      <c r="K24" s="591" t="s">
        <v>4916</v>
      </c>
      <c r="L24" s="579"/>
      <c r="M24" s="290" t="s">
        <v>11964</v>
      </c>
      <c r="N24" s="299" t="s">
        <v>497</v>
      </c>
      <c r="O24" s="322" t="s">
        <v>2604</v>
      </c>
      <c r="P24" s="300">
        <v>67221.0</v>
      </c>
      <c r="Q24" s="299">
        <f t="shared" si="2"/>
        <v>18</v>
      </c>
      <c r="R24" s="299"/>
      <c r="S24" s="299" t="s">
        <v>10487</v>
      </c>
      <c r="T24" s="198"/>
      <c r="U24" s="198"/>
      <c r="V24" s="198"/>
      <c r="W24" s="198"/>
      <c r="X24" s="198"/>
      <c r="Y24" s="198"/>
      <c r="Z24" s="198"/>
    </row>
    <row r="25" ht="91.5" customHeight="1">
      <c r="A25" s="530">
        <v>42257.0</v>
      </c>
      <c r="B25" s="285" t="s">
        <v>25</v>
      </c>
      <c r="C25" s="285">
        <v>1300.0</v>
      </c>
      <c r="D25" s="285" t="s">
        <v>11965</v>
      </c>
      <c r="E25" s="287" t="s">
        <v>9331</v>
      </c>
      <c r="F25" s="288">
        <v>46139.0</v>
      </c>
      <c r="G25" s="377" t="s">
        <v>4916</v>
      </c>
      <c r="H25" s="377" t="s">
        <v>4916</v>
      </c>
      <c r="I25" s="377" t="s">
        <v>4916</v>
      </c>
      <c r="J25" s="377" t="s">
        <v>11966</v>
      </c>
      <c r="K25" s="285"/>
      <c r="L25" s="485"/>
      <c r="M25" s="290" t="s">
        <v>11967</v>
      </c>
      <c r="N25" s="285" t="s">
        <v>497</v>
      </c>
      <c r="O25" s="322" t="s">
        <v>2628</v>
      </c>
      <c r="P25" s="526"/>
      <c r="Q25" s="299">
        <f t="shared" si="2"/>
        <v>18</v>
      </c>
      <c r="R25" s="299"/>
      <c r="S25" s="299" t="s">
        <v>10487</v>
      </c>
      <c r="T25" s="198"/>
      <c r="U25" s="198"/>
      <c r="V25" s="198"/>
      <c r="W25" s="198"/>
      <c r="X25" s="198"/>
      <c r="Y25" s="198"/>
      <c r="Z25" s="198"/>
    </row>
    <row r="26" ht="91.5" customHeight="1">
      <c r="A26" s="530">
        <v>42101.0</v>
      </c>
      <c r="B26" s="285" t="s">
        <v>715</v>
      </c>
      <c r="C26" s="285">
        <v>1100.0</v>
      </c>
      <c r="D26" s="367" t="s">
        <v>11968</v>
      </c>
      <c r="E26" s="287" t="s">
        <v>11969</v>
      </c>
      <c r="F26" s="288">
        <v>46137.0</v>
      </c>
      <c r="G26" s="528" t="s">
        <v>4916</v>
      </c>
      <c r="H26" s="528" t="s">
        <v>4916</v>
      </c>
      <c r="I26" s="528" t="s">
        <v>4916</v>
      </c>
      <c r="J26" s="528" t="s">
        <v>11970</v>
      </c>
      <c r="K26" s="285"/>
      <c r="L26" s="485"/>
      <c r="M26" s="290" t="s">
        <v>11971</v>
      </c>
      <c r="N26" s="285" t="s">
        <v>4635</v>
      </c>
      <c r="O26" s="322" t="s">
        <v>2621</v>
      </c>
      <c r="P26" s="300">
        <v>81586.0</v>
      </c>
      <c r="Q26" s="299">
        <f t="shared" si="2"/>
        <v>17</v>
      </c>
      <c r="R26" s="299"/>
      <c r="S26" s="299" t="s">
        <v>10487</v>
      </c>
      <c r="T26" s="198"/>
      <c r="U26" s="198"/>
      <c r="V26" s="198"/>
      <c r="W26" s="198"/>
      <c r="X26" s="198"/>
      <c r="Y26" s="198"/>
      <c r="Z26" s="198"/>
    </row>
    <row r="27" ht="91.5" customHeight="1">
      <c r="A27" s="530">
        <v>42176.0</v>
      </c>
      <c r="B27" s="296" t="s">
        <v>21</v>
      </c>
      <c r="C27" s="285">
        <v>1210.0</v>
      </c>
      <c r="D27" s="285" t="s">
        <v>11972</v>
      </c>
      <c r="E27" s="287" t="s">
        <v>11973</v>
      </c>
      <c r="F27" s="288">
        <v>46136.0</v>
      </c>
      <c r="G27" s="528" t="s">
        <v>4916</v>
      </c>
      <c r="H27" s="528" t="s">
        <v>4916</v>
      </c>
      <c r="I27" s="528" t="s">
        <v>4916</v>
      </c>
      <c r="J27" s="528" t="s">
        <v>11974</v>
      </c>
      <c r="K27" s="573" t="s">
        <v>4916</v>
      </c>
      <c r="L27" s="579"/>
      <c r="M27" s="290" t="s">
        <v>11975</v>
      </c>
      <c r="N27" s="299" t="s">
        <v>4635</v>
      </c>
      <c r="O27" s="322" t="s">
        <v>2621</v>
      </c>
      <c r="P27" s="300">
        <v>32544.5</v>
      </c>
      <c r="Q27" s="299">
        <f t="shared" si="2"/>
        <v>17</v>
      </c>
      <c r="R27" s="299"/>
      <c r="S27" s="299" t="s">
        <v>8430</v>
      </c>
      <c r="T27" s="198"/>
      <c r="U27" s="198"/>
      <c r="V27" s="198"/>
      <c r="W27" s="198"/>
      <c r="X27" s="198"/>
      <c r="Y27" s="198"/>
      <c r="Z27" s="198"/>
    </row>
    <row r="28" ht="91.5" customHeight="1">
      <c r="A28" s="530">
        <v>41821.0</v>
      </c>
      <c r="B28" s="285" t="s">
        <v>25</v>
      </c>
      <c r="C28" s="285">
        <v>1813.0</v>
      </c>
      <c r="D28" s="285" t="s">
        <v>11976</v>
      </c>
      <c r="E28" s="447" t="s">
        <v>11977</v>
      </c>
      <c r="F28" s="529">
        <v>46134.0</v>
      </c>
      <c r="G28" s="377" t="s">
        <v>4916</v>
      </c>
      <c r="H28" s="377" t="s">
        <v>4916</v>
      </c>
      <c r="I28" s="377" t="s">
        <v>4916</v>
      </c>
      <c r="J28" s="377" t="s">
        <v>11978</v>
      </c>
      <c r="K28" s="285"/>
      <c r="L28" s="485"/>
      <c r="M28" s="290" t="s">
        <v>11979</v>
      </c>
      <c r="N28" s="285" t="s">
        <v>497</v>
      </c>
      <c r="O28" s="322" t="s">
        <v>2604</v>
      </c>
      <c r="P28" s="300">
        <v>52881.32</v>
      </c>
      <c r="Q28" s="299">
        <f t="shared" si="2"/>
        <v>17</v>
      </c>
      <c r="R28" s="299"/>
      <c r="S28" s="299" t="s">
        <v>10487</v>
      </c>
      <c r="T28" s="198"/>
      <c r="U28" s="198"/>
      <c r="V28" s="198"/>
      <c r="W28" s="198"/>
      <c r="X28" s="198"/>
      <c r="Y28" s="198"/>
      <c r="Z28" s="198"/>
    </row>
    <row r="29" ht="91.5" customHeight="1">
      <c r="A29" s="530">
        <v>42177.0</v>
      </c>
      <c r="B29" s="296" t="s">
        <v>21</v>
      </c>
      <c r="C29" s="285">
        <v>1100.0</v>
      </c>
      <c r="D29" s="285" t="s">
        <v>11980</v>
      </c>
      <c r="E29" s="287" t="s">
        <v>11981</v>
      </c>
      <c r="F29" s="288">
        <v>46132.0</v>
      </c>
      <c r="G29" s="528" t="s">
        <v>4916</v>
      </c>
      <c r="H29" s="528" t="s">
        <v>4916</v>
      </c>
      <c r="I29" s="528" t="s">
        <v>4916</v>
      </c>
      <c r="J29" s="528" t="s">
        <v>11982</v>
      </c>
      <c r="K29" s="573" t="s">
        <v>4916</v>
      </c>
      <c r="L29" s="579"/>
      <c r="M29" s="290" t="s">
        <v>11983</v>
      </c>
      <c r="N29" s="299" t="s">
        <v>4635</v>
      </c>
      <c r="O29" s="322" t="s">
        <v>2621</v>
      </c>
      <c r="P29" s="300">
        <v>56628.4</v>
      </c>
      <c r="Q29" s="299">
        <f t="shared" si="2"/>
        <v>17</v>
      </c>
      <c r="R29" s="299"/>
      <c r="S29" s="299" t="s">
        <v>8430</v>
      </c>
      <c r="T29" s="198"/>
      <c r="U29" s="198"/>
      <c r="V29" s="198"/>
      <c r="W29" s="198"/>
      <c r="X29" s="198"/>
      <c r="Y29" s="198"/>
      <c r="Z29" s="198"/>
    </row>
    <row r="30" ht="91.5" customHeight="1">
      <c r="A30" s="530">
        <v>41783.0</v>
      </c>
      <c r="B30" s="296" t="s">
        <v>21</v>
      </c>
      <c r="C30" s="285">
        <v>4502.0</v>
      </c>
      <c r="D30" s="285" t="s">
        <v>11984</v>
      </c>
      <c r="E30" s="287" t="s">
        <v>11985</v>
      </c>
      <c r="F30" s="288">
        <v>46130.0</v>
      </c>
      <c r="G30" s="288">
        <v>46126.0</v>
      </c>
      <c r="H30" s="288">
        <v>46126.0</v>
      </c>
      <c r="I30" s="377" t="s">
        <v>4916</v>
      </c>
      <c r="J30" s="377" t="s">
        <v>11986</v>
      </c>
      <c r="K30" s="591" t="s">
        <v>4916</v>
      </c>
      <c r="L30" s="579"/>
      <c r="M30" s="290" t="s">
        <v>11987</v>
      </c>
      <c r="N30" s="299" t="s">
        <v>497</v>
      </c>
      <c r="O30" s="322" t="s">
        <v>2554</v>
      </c>
      <c r="P30" s="300">
        <v>33187.5</v>
      </c>
      <c r="Q30" s="299">
        <f t="shared" si="2"/>
        <v>16</v>
      </c>
      <c r="R30" s="299" t="s">
        <v>9170</v>
      </c>
      <c r="S30" s="299" t="s">
        <v>9171</v>
      </c>
      <c r="T30" s="198"/>
      <c r="U30" s="198"/>
      <c r="V30" s="198"/>
      <c r="W30" s="198"/>
      <c r="X30" s="198"/>
      <c r="Y30" s="198"/>
      <c r="Z30" s="198"/>
    </row>
    <row r="31" ht="91.5" customHeight="1">
      <c r="A31" s="530">
        <v>41782.0</v>
      </c>
      <c r="B31" s="296" t="s">
        <v>21</v>
      </c>
      <c r="C31" s="285">
        <v>5251.0</v>
      </c>
      <c r="D31" s="285" t="s">
        <v>11988</v>
      </c>
      <c r="E31" s="287" t="s">
        <v>11989</v>
      </c>
      <c r="F31" s="529">
        <v>46130.0</v>
      </c>
      <c r="G31" s="288">
        <v>46126.0</v>
      </c>
      <c r="H31" s="288">
        <v>46126.0</v>
      </c>
      <c r="I31" s="377" t="s">
        <v>4916</v>
      </c>
      <c r="J31" s="377" t="s">
        <v>11990</v>
      </c>
      <c r="K31" s="591" t="s">
        <v>4916</v>
      </c>
      <c r="L31" s="579"/>
      <c r="M31" s="290" t="s">
        <v>11991</v>
      </c>
      <c r="N31" s="299" t="s">
        <v>497</v>
      </c>
      <c r="O31" s="322" t="s">
        <v>2554</v>
      </c>
      <c r="P31" s="300">
        <v>26250.0</v>
      </c>
      <c r="Q31" s="299">
        <f t="shared" si="2"/>
        <v>16</v>
      </c>
      <c r="R31" s="299" t="s">
        <v>9170</v>
      </c>
      <c r="S31" s="299" t="s">
        <v>9171</v>
      </c>
      <c r="T31" s="198"/>
      <c r="U31" s="198"/>
      <c r="V31" s="198"/>
      <c r="W31" s="198"/>
      <c r="X31" s="198"/>
      <c r="Y31" s="198"/>
      <c r="Z31" s="198"/>
    </row>
    <row r="32" ht="91.5" customHeight="1">
      <c r="A32" s="370">
        <v>41984.0</v>
      </c>
      <c r="B32" s="285" t="s">
        <v>715</v>
      </c>
      <c r="C32" s="285">
        <v>1100.0</v>
      </c>
      <c r="D32" s="367" t="s">
        <v>11992</v>
      </c>
      <c r="E32" s="287" t="s">
        <v>11993</v>
      </c>
      <c r="F32" s="288">
        <v>46130.0</v>
      </c>
      <c r="G32" s="377" t="s">
        <v>4916</v>
      </c>
      <c r="H32" s="377" t="s">
        <v>4916</v>
      </c>
      <c r="I32" s="377" t="s">
        <v>4916</v>
      </c>
      <c r="J32" s="377" t="s">
        <v>11994</v>
      </c>
      <c r="K32" s="285"/>
      <c r="L32" s="485"/>
      <c r="M32" s="290" t="s">
        <v>11995</v>
      </c>
      <c r="N32" s="285" t="s">
        <v>4635</v>
      </c>
      <c r="O32" s="322" t="s">
        <v>2621</v>
      </c>
      <c r="P32" s="300">
        <v>32885.0</v>
      </c>
      <c r="Q32" s="299">
        <f t="shared" si="2"/>
        <v>16</v>
      </c>
      <c r="R32" s="299"/>
      <c r="S32" s="299" t="s">
        <v>8430</v>
      </c>
      <c r="T32" s="198"/>
      <c r="U32" s="198"/>
      <c r="V32" s="198"/>
      <c r="W32" s="198"/>
      <c r="X32" s="198"/>
      <c r="Y32" s="198"/>
      <c r="Z32" s="198"/>
    </row>
    <row r="33" ht="91.5" customHeight="1">
      <c r="A33" s="370">
        <v>41781.0</v>
      </c>
      <c r="B33" s="285" t="s">
        <v>715</v>
      </c>
      <c r="C33" s="285">
        <v>5250.0</v>
      </c>
      <c r="D33" s="367" t="s">
        <v>11996</v>
      </c>
      <c r="E33" s="287" t="s">
        <v>11997</v>
      </c>
      <c r="F33" s="288">
        <v>46129.0</v>
      </c>
      <c r="G33" s="377" t="s">
        <v>4916</v>
      </c>
      <c r="H33" s="377" t="s">
        <v>4916</v>
      </c>
      <c r="I33" s="377" t="s">
        <v>4916</v>
      </c>
      <c r="J33" s="377" t="s">
        <v>11998</v>
      </c>
      <c r="K33" s="285"/>
      <c r="L33" s="485"/>
      <c r="M33" s="290" t="s">
        <v>11999</v>
      </c>
      <c r="N33" s="285" t="s">
        <v>497</v>
      </c>
      <c r="O33" s="322" t="s">
        <v>2554</v>
      </c>
      <c r="P33" s="300">
        <v>32917.5</v>
      </c>
      <c r="Q33" s="299">
        <f t="shared" si="2"/>
        <v>16</v>
      </c>
      <c r="R33" s="299" t="s">
        <v>9198</v>
      </c>
      <c r="S33" s="299" t="s">
        <v>9171</v>
      </c>
      <c r="T33" s="198"/>
      <c r="U33" s="198"/>
      <c r="V33" s="198"/>
      <c r="W33" s="198"/>
      <c r="X33" s="198"/>
      <c r="Y33" s="198"/>
      <c r="Z33" s="198"/>
    </row>
    <row r="34" ht="91.5" customHeight="1">
      <c r="A34" s="370">
        <v>42175.0</v>
      </c>
      <c r="B34" s="296" t="s">
        <v>21</v>
      </c>
      <c r="C34" s="285">
        <v>1250.0</v>
      </c>
      <c r="D34" s="285" t="s">
        <v>12000</v>
      </c>
      <c r="E34" s="287" t="s">
        <v>11051</v>
      </c>
      <c r="F34" s="529">
        <v>46128.0</v>
      </c>
      <c r="G34" s="533">
        <v>46125.0</v>
      </c>
      <c r="H34" s="533">
        <v>46125.0</v>
      </c>
      <c r="I34" s="528" t="s">
        <v>4916</v>
      </c>
      <c r="J34" s="528" t="s">
        <v>12001</v>
      </c>
      <c r="K34" s="573" t="s">
        <v>4916</v>
      </c>
      <c r="L34" s="579"/>
      <c r="M34" s="290" t="s">
        <v>12002</v>
      </c>
      <c r="N34" s="299" t="s">
        <v>4635</v>
      </c>
      <c r="O34" s="322" t="s">
        <v>2621</v>
      </c>
      <c r="P34" s="300">
        <v>29047.9</v>
      </c>
      <c r="Q34" s="299">
        <f t="shared" si="2"/>
        <v>16</v>
      </c>
      <c r="R34" s="299"/>
      <c r="S34" s="299" t="s">
        <v>8430</v>
      </c>
      <c r="T34" s="198"/>
      <c r="U34" s="198"/>
      <c r="V34" s="198"/>
      <c r="W34" s="198"/>
      <c r="X34" s="198"/>
      <c r="Y34" s="198"/>
      <c r="Z34" s="198"/>
    </row>
    <row r="35" ht="91.5" customHeight="1">
      <c r="A35" s="370">
        <v>41820.0</v>
      </c>
      <c r="B35" s="296" t="s">
        <v>21</v>
      </c>
      <c r="C35" s="285">
        <v>1851.0</v>
      </c>
      <c r="D35" s="285" t="s">
        <v>12003</v>
      </c>
      <c r="E35" s="287" t="s">
        <v>12004</v>
      </c>
      <c r="F35" s="288">
        <v>46126.0</v>
      </c>
      <c r="G35" s="288">
        <v>46121.0</v>
      </c>
      <c r="H35" s="288">
        <v>46121.0</v>
      </c>
      <c r="I35" s="377" t="s">
        <v>4916</v>
      </c>
      <c r="J35" s="377" t="s">
        <v>12005</v>
      </c>
      <c r="K35" s="591" t="s">
        <v>4916</v>
      </c>
      <c r="L35" s="579"/>
      <c r="M35" s="290" t="s">
        <v>12006</v>
      </c>
      <c r="N35" s="299" t="s">
        <v>497</v>
      </c>
      <c r="O35" s="322" t="s">
        <v>2604</v>
      </c>
      <c r="P35" s="300">
        <v>56913.5</v>
      </c>
      <c r="Q35" s="299">
        <f t="shared" si="2"/>
        <v>16</v>
      </c>
      <c r="R35" s="299"/>
      <c r="S35" s="299" t="s">
        <v>10487</v>
      </c>
      <c r="T35" s="198"/>
      <c r="U35" s="198"/>
      <c r="V35" s="198"/>
      <c r="W35" s="198"/>
      <c r="X35" s="198"/>
      <c r="Y35" s="198"/>
      <c r="Z35" s="198"/>
    </row>
    <row r="36" ht="91.5" customHeight="1">
      <c r="A36" s="370">
        <v>41881.0</v>
      </c>
      <c r="B36" s="285" t="s">
        <v>715</v>
      </c>
      <c r="C36" s="285">
        <v>1551.0</v>
      </c>
      <c r="D36" s="367" t="s">
        <v>12007</v>
      </c>
      <c r="E36" s="287" t="s">
        <v>10521</v>
      </c>
      <c r="F36" s="288">
        <v>46125.0</v>
      </c>
      <c r="G36" s="533">
        <v>46120.0</v>
      </c>
      <c r="H36" s="533">
        <v>46120.0</v>
      </c>
      <c r="I36" s="528" t="s">
        <v>4916</v>
      </c>
      <c r="J36" s="528" t="s">
        <v>12008</v>
      </c>
      <c r="K36" s="285"/>
      <c r="L36" s="485"/>
      <c r="M36" s="290" t="s">
        <v>12009</v>
      </c>
      <c r="N36" s="299" t="s">
        <v>6366</v>
      </c>
      <c r="O36" s="322" t="s">
        <v>2621</v>
      </c>
      <c r="P36" s="300">
        <v>37331.5</v>
      </c>
      <c r="Q36" s="299">
        <f t="shared" si="2"/>
        <v>16</v>
      </c>
      <c r="R36" s="299"/>
      <c r="S36" s="299" t="s">
        <v>10487</v>
      </c>
      <c r="T36" s="198"/>
      <c r="U36" s="198"/>
      <c r="V36" s="198"/>
      <c r="W36" s="198"/>
      <c r="X36" s="198"/>
      <c r="Y36" s="198"/>
      <c r="Z36" s="198"/>
    </row>
    <row r="37" ht="91.5" customHeight="1">
      <c r="A37" s="370">
        <v>41780.0</v>
      </c>
      <c r="B37" s="285" t="s">
        <v>715</v>
      </c>
      <c r="C37" s="285">
        <v>2275.0</v>
      </c>
      <c r="D37" s="367" t="s">
        <v>12010</v>
      </c>
      <c r="E37" s="287" t="s">
        <v>10562</v>
      </c>
      <c r="F37" s="288">
        <v>46125.0</v>
      </c>
      <c r="G37" s="288">
        <v>46120.0</v>
      </c>
      <c r="H37" s="288">
        <v>46120.0</v>
      </c>
      <c r="I37" s="377" t="s">
        <v>4916</v>
      </c>
      <c r="J37" s="594" t="s">
        <v>12011</v>
      </c>
      <c r="K37" s="285"/>
      <c r="L37" s="485"/>
      <c r="M37" s="290" t="s">
        <v>12012</v>
      </c>
      <c r="N37" s="285" t="s">
        <v>497</v>
      </c>
      <c r="O37" s="322" t="s">
        <v>2554</v>
      </c>
      <c r="P37" s="300">
        <v>35490.0</v>
      </c>
      <c r="Q37" s="299">
        <f t="shared" si="2"/>
        <v>16</v>
      </c>
      <c r="R37" s="299" t="s">
        <v>9198</v>
      </c>
      <c r="S37" s="299" t="s">
        <v>9171</v>
      </c>
      <c r="T37" s="198"/>
      <c r="U37" s="198"/>
      <c r="V37" s="198"/>
      <c r="W37" s="198"/>
      <c r="X37" s="198"/>
      <c r="Y37" s="198"/>
      <c r="Z37" s="198"/>
    </row>
    <row r="38" ht="91.5" customHeight="1">
      <c r="A38" s="370">
        <v>42022.0</v>
      </c>
      <c r="B38" s="285" t="s">
        <v>6501</v>
      </c>
      <c r="C38" s="285">
        <v>2596.0</v>
      </c>
      <c r="D38" s="367" t="s">
        <v>12013</v>
      </c>
      <c r="E38" s="287" t="s">
        <v>12014</v>
      </c>
      <c r="F38" s="288">
        <v>46125.0</v>
      </c>
      <c r="G38" s="288">
        <v>46120.0</v>
      </c>
      <c r="H38" s="288">
        <v>46120.0</v>
      </c>
      <c r="I38" s="377" t="s">
        <v>4916</v>
      </c>
      <c r="J38" s="594" t="s">
        <v>12015</v>
      </c>
      <c r="K38" s="285"/>
      <c r="L38" s="485"/>
      <c r="M38" s="290" t="s">
        <v>12016</v>
      </c>
      <c r="N38" s="285" t="s">
        <v>497</v>
      </c>
      <c r="O38" s="322" t="s">
        <v>2554</v>
      </c>
      <c r="P38" s="300">
        <v>49045.5</v>
      </c>
      <c r="Q38" s="299">
        <f t="shared" si="2"/>
        <v>16</v>
      </c>
      <c r="R38" s="299" t="s">
        <v>9170</v>
      </c>
      <c r="S38" s="299" t="s">
        <v>9171</v>
      </c>
      <c r="T38" s="198"/>
      <c r="U38" s="198"/>
      <c r="V38" s="198"/>
      <c r="W38" s="198"/>
      <c r="X38" s="198"/>
      <c r="Y38" s="198"/>
      <c r="Z38" s="198"/>
    </row>
    <row r="39" ht="91.5" customHeight="1">
      <c r="A39" s="370">
        <v>41878.0</v>
      </c>
      <c r="B39" s="285" t="s">
        <v>6501</v>
      </c>
      <c r="C39" s="285">
        <v>758.0</v>
      </c>
      <c r="D39" s="367" t="s">
        <v>12017</v>
      </c>
      <c r="E39" s="287" t="s">
        <v>12018</v>
      </c>
      <c r="F39" s="288">
        <v>46121.0</v>
      </c>
      <c r="G39" s="288">
        <v>46117.0</v>
      </c>
      <c r="H39" s="288">
        <v>46117.0</v>
      </c>
      <c r="I39" s="377" t="s">
        <v>4916</v>
      </c>
      <c r="J39" s="595" t="s">
        <v>12019</v>
      </c>
      <c r="K39" s="285"/>
      <c r="L39" s="485"/>
      <c r="M39" s="290" t="s">
        <v>12020</v>
      </c>
      <c r="N39" s="299" t="s">
        <v>4635</v>
      </c>
      <c r="O39" s="322" t="s">
        <v>2621</v>
      </c>
      <c r="P39" s="300">
        <v>41176.4</v>
      </c>
      <c r="Q39" s="299">
        <f t="shared" si="2"/>
        <v>15</v>
      </c>
      <c r="R39" s="299"/>
      <c r="S39" s="299" t="s">
        <v>10487</v>
      </c>
      <c r="T39" s="198"/>
      <c r="U39" s="198"/>
      <c r="V39" s="198"/>
      <c r="W39" s="198"/>
      <c r="X39" s="198"/>
      <c r="Y39" s="198"/>
      <c r="Z39" s="198"/>
    </row>
    <row r="40" ht="91.5" customHeight="1">
      <c r="A40" s="370">
        <v>41983.0</v>
      </c>
      <c r="B40" s="285" t="s">
        <v>715</v>
      </c>
      <c r="C40" s="285">
        <v>940.0</v>
      </c>
      <c r="D40" s="367" t="s">
        <v>12021</v>
      </c>
      <c r="E40" s="287" t="s">
        <v>11222</v>
      </c>
      <c r="F40" s="529">
        <v>46121.0</v>
      </c>
      <c r="G40" s="528" t="s">
        <v>12022</v>
      </c>
      <c r="H40" s="288">
        <v>46122.0</v>
      </c>
      <c r="I40" s="288">
        <v>46122.0</v>
      </c>
      <c r="J40" s="285" t="s">
        <v>12023</v>
      </c>
      <c r="K40" s="285"/>
      <c r="L40" s="485"/>
      <c r="M40" s="290" t="s">
        <v>12024</v>
      </c>
      <c r="N40" s="299" t="s">
        <v>4635</v>
      </c>
      <c r="O40" s="322" t="s">
        <v>2621</v>
      </c>
      <c r="P40" s="300">
        <v>42311.0</v>
      </c>
      <c r="Q40" s="299">
        <f t="shared" si="2"/>
        <v>15</v>
      </c>
      <c r="R40" s="299"/>
      <c r="S40" s="299" t="s">
        <v>8430</v>
      </c>
      <c r="T40" s="198"/>
      <c r="U40" s="198"/>
      <c r="V40" s="198"/>
      <c r="W40" s="198"/>
      <c r="X40" s="198"/>
      <c r="Y40" s="198"/>
      <c r="Z40" s="198"/>
    </row>
    <row r="41" ht="91.5" customHeight="1">
      <c r="A41" s="370">
        <v>41982.0</v>
      </c>
      <c r="B41" s="285" t="s">
        <v>715</v>
      </c>
      <c r="C41" s="285">
        <v>940.0</v>
      </c>
      <c r="D41" s="367" t="s">
        <v>12025</v>
      </c>
      <c r="E41" s="287" t="s">
        <v>12026</v>
      </c>
      <c r="F41" s="288">
        <v>46121.0</v>
      </c>
      <c r="G41" s="288">
        <v>46121.0</v>
      </c>
      <c r="H41" s="288">
        <v>46121.0</v>
      </c>
      <c r="I41" s="377" t="s">
        <v>4916</v>
      </c>
      <c r="J41" s="594" t="s">
        <v>12027</v>
      </c>
      <c r="K41" s="285"/>
      <c r="L41" s="485"/>
      <c r="M41" s="290" t="s">
        <v>12028</v>
      </c>
      <c r="N41" s="299" t="s">
        <v>4635</v>
      </c>
      <c r="O41" s="322" t="s">
        <v>2621</v>
      </c>
      <c r="P41" s="300">
        <v>39779.0</v>
      </c>
      <c r="Q41" s="299">
        <f t="shared" si="2"/>
        <v>15</v>
      </c>
      <c r="R41" s="299"/>
      <c r="S41" s="299" t="s">
        <v>8430</v>
      </c>
      <c r="T41" s="198"/>
      <c r="U41" s="198"/>
      <c r="V41" s="198"/>
      <c r="W41" s="198"/>
      <c r="X41" s="198"/>
      <c r="Y41" s="198"/>
      <c r="Z41" s="198"/>
    </row>
    <row r="42" ht="91.5" customHeight="1">
      <c r="A42" s="370">
        <v>41785.0</v>
      </c>
      <c r="B42" s="296" t="s">
        <v>21</v>
      </c>
      <c r="C42" s="285">
        <v>4501.0</v>
      </c>
      <c r="D42" s="285" t="s">
        <v>12029</v>
      </c>
      <c r="E42" s="287" t="s">
        <v>12030</v>
      </c>
      <c r="F42" s="288">
        <v>46120.0</v>
      </c>
      <c r="G42" s="288">
        <v>46117.0</v>
      </c>
      <c r="H42" s="288">
        <v>46117.0</v>
      </c>
      <c r="I42" s="288">
        <v>46126.0</v>
      </c>
      <c r="J42" s="594" t="s">
        <v>12031</v>
      </c>
      <c r="K42" s="591" t="s">
        <v>4916</v>
      </c>
      <c r="L42" s="579"/>
      <c r="M42" s="290" t="s">
        <v>12032</v>
      </c>
      <c r="N42" s="299" t="s">
        <v>497</v>
      </c>
      <c r="O42" s="322" t="s">
        <v>2554</v>
      </c>
      <c r="P42" s="300">
        <v>32625.0</v>
      </c>
      <c r="Q42" s="299">
        <f t="shared" si="2"/>
        <v>15</v>
      </c>
      <c r="R42" s="299" t="s">
        <v>9170</v>
      </c>
      <c r="S42" s="299" t="s">
        <v>9171</v>
      </c>
      <c r="T42" s="198"/>
      <c r="U42" s="198"/>
      <c r="V42" s="198"/>
      <c r="W42" s="198"/>
      <c r="X42" s="198"/>
      <c r="Y42" s="198"/>
      <c r="Z42" s="198"/>
    </row>
    <row r="43" ht="91.5" customHeight="1">
      <c r="A43" s="370">
        <v>42111.0</v>
      </c>
      <c r="B43" s="296" t="s">
        <v>21</v>
      </c>
      <c r="C43" s="285">
        <v>2351.0</v>
      </c>
      <c r="D43" s="285" t="s">
        <v>12033</v>
      </c>
      <c r="E43" s="287" t="s">
        <v>10614</v>
      </c>
      <c r="F43" s="288">
        <v>46120.0</v>
      </c>
      <c r="G43" s="533">
        <v>46120.0</v>
      </c>
      <c r="H43" s="533">
        <v>46120.0</v>
      </c>
      <c r="I43" s="533">
        <v>46125.0</v>
      </c>
      <c r="J43" s="594" t="s">
        <v>12034</v>
      </c>
      <c r="K43" s="285" t="s">
        <v>4841</v>
      </c>
      <c r="L43" s="485"/>
      <c r="M43" s="290" t="s">
        <v>12035</v>
      </c>
      <c r="N43" s="299" t="s">
        <v>4635</v>
      </c>
      <c r="O43" s="322" t="s">
        <v>2621</v>
      </c>
      <c r="P43" s="300">
        <v>32788.8</v>
      </c>
      <c r="Q43" s="299">
        <f t="shared" si="2"/>
        <v>15</v>
      </c>
      <c r="R43" s="299"/>
      <c r="S43" s="299" t="s">
        <v>10487</v>
      </c>
      <c r="T43" s="198"/>
      <c r="U43" s="198"/>
      <c r="V43" s="198"/>
      <c r="W43" s="198"/>
      <c r="X43" s="198"/>
      <c r="Y43" s="198"/>
      <c r="Z43" s="198"/>
    </row>
    <row r="44" ht="91.5" customHeight="1">
      <c r="A44" s="370">
        <v>41917.0</v>
      </c>
      <c r="B44" s="296" t="s">
        <v>21</v>
      </c>
      <c r="C44" s="285">
        <v>2403.0</v>
      </c>
      <c r="D44" s="285" t="s">
        <v>12036</v>
      </c>
      <c r="E44" s="287" t="s">
        <v>12037</v>
      </c>
      <c r="F44" s="288">
        <v>46120.0</v>
      </c>
      <c r="G44" s="288">
        <v>46117.0</v>
      </c>
      <c r="H44" s="288">
        <v>46117.0</v>
      </c>
      <c r="I44" s="288">
        <v>46122.0</v>
      </c>
      <c r="J44" s="288">
        <v>46122.0</v>
      </c>
      <c r="K44" s="591" t="s">
        <v>4916</v>
      </c>
      <c r="L44" s="579"/>
      <c r="M44" s="290" t="s">
        <v>12038</v>
      </c>
      <c r="N44" s="285" t="s">
        <v>497</v>
      </c>
      <c r="O44" s="322" t="s">
        <v>2554</v>
      </c>
      <c r="P44" s="300">
        <v>33648.75</v>
      </c>
      <c r="Q44" s="299">
        <f t="shared" si="2"/>
        <v>15</v>
      </c>
      <c r="R44" s="299" t="s">
        <v>9170</v>
      </c>
      <c r="S44" s="299" t="s">
        <v>9171</v>
      </c>
      <c r="T44" s="198"/>
      <c r="U44" s="198"/>
      <c r="V44" s="198"/>
      <c r="W44" s="198"/>
      <c r="X44" s="198"/>
      <c r="Y44" s="198"/>
      <c r="Z44" s="198"/>
    </row>
    <row r="45" ht="91.5" customHeight="1">
      <c r="A45" s="370">
        <v>41788.0</v>
      </c>
      <c r="B45" s="296" t="s">
        <v>21</v>
      </c>
      <c r="C45" s="285">
        <v>2403.0</v>
      </c>
      <c r="D45" s="285" t="s">
        <v>12039</v>
      </c>
      <c r="E45" s="287" t="s">
        <v>12040</v>
      </c>
      <c r="F45" s="288">
        <v>46120.0</v>
      </c>
      <c r="G45" s="288">
        <v>46117.0</v>
      </c>
      <c r="H45" s="288">
        <v>46117.0</v>
      </c>
      <c r="I45" s="377" t="s">
        <v>4916</v>
      </c>
      <c r="J45" s="594" t="s">
        <v>12041</v>
      </c>
      <c r="K45" s="591" t="s">
        <v>4916</v>
      </c>
      <c r="L45" s="579"/>
      <c r="M45" s="290" t="s">
        <v>12042</v>
      </c>
      <c r="N45" s="299" t="s">
        <v>497</v>
      </c>
      <c r="O45" s="322" t="s">
        <v>2554</v>
      </c>
      <c r="P45" s="300">
        <v>41592.0</v>
      </c>
      <c r="Q45" s="299">
        <f t="shared" si="2"/>
        <v>15</v>
      </c>
      <c r="R45" s="299" t="s">
        <v>9170</v>
      </c>
      <c r="S45" s="299" t="s">
        <v>9171</v>
      </c>
      <c r="T45" s="198"/>
      <c r="U45" s="198"/>
      <c r="V45" s="198"/>
      <c r="W45" s="198"/>
      <c r="X45" s="198"/>
      <c r="Y45" s="198"/>
      <c r="Z45" s="198"/>
    </row>
    <row r="46" ht="91.5" customHeight="1">
      <c r="A46" s="370">
        <v>42123.0</v>
      </c>
      <c r="B46" s="285" t="s">
        <v>25</v>
      </c>
      <c r="C46" s="285">
        <v>1100.0</v>
      </c>
      <c r="D46" s="285" t="s">
        <v>12043</v>
      </c>
      <c r="E46" s="287" t="s">
        <v>12044</v>
      </c>
      <c r="F46" s="288">
        <v>46120.0</v>
      </c>
      <c r="G46" s="533">
        <v>46121.0</v>
      </c>
      <c r="H46" s="533">
        <v>46121.0</v>
      </c>
      <c r="I46" s="528" t="s">
        <v>4916</v>
      </c>
      <c r="J46" s="594" t="s">
        <v>12045</v>
      </c>
      <c r="K46" s="285"/>
      <c r="L46" s="485"/>
      <c r="M46" s="290" t="s">
        <v>12046</v>
      </c>
      <c r="N46" s="285" t="s">
        <v>4635</v>
      </c>
      <c r="O46" s="322" t="s">
        <v>2621</v>
      </c>
      <c r="P46" s="300">
        <v>34195.0</v>
      </c>
      <c r="Q46" s="299">
        <f t="shared" si="2"/>
        <v>15</v>
      </c>
      <c r="R46" s="299"/>
      <c r="S46" s="299" t="s">
        <v>8430</v>
      </c>
      <c r="T46" s="198"/>
      <c r="U46" s="198"/>
      <c r="V46" s="198"/>
      <c r="W46" s="198"/>
      <c r="X46" s="198"/>
      <c r="Y46" s="198"/>
      <c r="Z46" s="198"/>
    </row>
    <row r="47" ht="91.5" customHeight="1">
      <c r="A47" s="370">
        <v>41760.0</v>
      </c>
      <c r="B47" s="285" t="s">
        <v>715</v>
      </c>
      <c r="C47" s="285">
        <v>2401.0</v>
      </c>
      <c r="D47" s="367" t="s">
        <v>12047</v>
      </c>
      <c r="E47" s="287" t="s">
        <v>10508</v>
      </c>
      <c r="F47" s="288">
        <v>46120.0</v>
      </c>
      <c r="G47" s="288">
        <v>46114.0</v>
      </c>
      <c r="H47" s="288">
        <v>46114.0</v>
      </c>
      <c r="I47" s="288">
        <v>46126.0</v>
      </c>
      <c r="J47" s="594" t="s">
        <v>12048</v>
      </c>
      <c r="K47" s="285"/>
      <c r="L47" s="485"/>
      <c r="M47" s="290" t="s">
        <v>12049</v>
      </c>
      <c r="N47" s="285" t="s">
        <v>497</v>
      </c>
      <c r="O47" s="322" t="s">
        <v>2554</v>
      </c>
      <c r="P47" s="300">
        <v>41592.0</v>
      </c>
      <c r="Q47" s="299">
        <f t="shared" si="2"/>
        <v>15</v>
      </c>
      <c r="R47" s="299" t="s">
        <v>9170</v>
      </c>
      <c r="S47" s="299" t="s">
        <v>9171</v>
      </c>
      <c r="T47" s="198"/>
      <c r="U47" s="198"/>
      <c r="V47" s="198"/>
      <c r="W47" s="198"/>
      <c r="X47" s="198"/>
      <c r="Y47" s="198"/>
      <c r="Z47" s="198"/>
    </row>
    <row r="48" ht="91.5" customHeight="1">
      <c r="A48" s="370">
        <v>41759.0</v>
      </c>
      <c r="B48" s="285" t="s">
        <v>715</v>
      </c>
      <c r="C48" s="285">
        <v>2401.0</v>
      </c>
      <c r="D48" s="367" t="s">
        <v>12050</v>
      </c>
      <c r="E48" s="287" t="s">
        <v>10508</v>
      </c>
      <c r="F48" s="288">
        <v>46120.0</v>
      </c>
      <c r="G48" s="288">
        <v>46114.0</v>
      </c>
      <c r="H48" s="288">
        <v>46114.0</v>
      </c>
      <c r="I48" s="288">
        <v>46125.0</v>
      </c>
      <c r="J48" s="285" t="s">
        <v>12051</v>
      </c>
      <c r="K48" s="285"/>
      <c r="L48" s="485"/>
      <c r="M48" s="290" t="s">
        <v>12052</v>
      </c>
      <c r="N48" s="285" t="s">
        <v>497</v>
      </c>
      <c r="O48" s="322" t="s">
        <v>2554</v>
      </c>
      <c r="P48" s="300">
        <v>41592.0</v>
      </c>
      <c r="Q48" s="299">
        <f t="shared" si="2"/>
        <v>15</v>
      </c>
      <c r="R48" s="299" t="s">
        <v>9170</v>
      </c>
      <c r="S48" s="299" t="s">
        <v>9171</v>
      </c>
      <c r="T48" s="198"/>
      <c r="U48" s="198"/>
      <c r="V48" s="198"/>
      <c r="W48" s="198"/>
      <c r="X48" s="198"/>
      <c r="Y48" s="198"/>
      <c r="Z48" s="198"/>
    </row>
    <row r="49" ht="91.5" customHeight="1">
      <c r="A49" s="370">
        <v>42122.0</v>
      </c>
      <c r="B49" s="285" t="s">
        <v>25</v>
      </c>
      <c r="C49" s="285">
        <v>940.0</v>
      </c>
      <c r="D49" s="285" t="s">
        <v>12053</v>
      </c>
      <c r="E49" s="287" t="s">
        <v>11222</v>
      </c>
      <c r="F49" s="288">
        <v>46116.0</v>
      </c>
      <c r="G49" s="288">
        <v>46112.0</v>
      </c>
      <c r="H49" s="288">
        <v>46112.0</v>
      </c>
      <c r="I49" s="288">
        <v>46122.0</v>
      </c>
      <c r="J49" s="288">
        <v>46122.0</v>
      </c>
      <c r="K49" s="285"/>
      <c r="L49" s="485"/>
      <c r="M49" s="290" t="s">
        <v>12054</v>
      </c>
      <c r="N49" s="285" t="s">
        <v>4635</v>
      </c>
      <c r="O49" s="322" t="s">
        <v>2621</v>
      </c>
      <c r="P49" s="300">
        <v>40778.8</v>
      </c>
      <c r="Q49" s="299">
        <f t="shared" si="2"/>
        <v>14</v>
      </c>
      <c r="R49" s="299"/>
      <c r="S49" s="299" t="s">
        <v>8430</v>
      </c>
      <c r="T49" s="198"/>
      <c r="U49" s="198"/>
      <c r="V49" s="198"/>
      <c r="W49" s="198"/>
      <c r="X49" s="198"/>
      <c r="Y49" s="198"/>
      <c r="Z49" s="198"/>
    </row>
    <row r="50" ht="91.5" customHeight="1">
      <c r="A50" s="370">
        <v>41719.0</v>
      </c>
      <c r="B50" s="296" t="s">
        <v>21</v>
      </c>
      <c r="C50" s="285">
        <v>4355.0</v>
      </c>
      <c r="D50" s="285" t="s">
        <v>12055</v>
      </c>
      <c r="E50" s="287" t="s">
        <v>12056</v>
      </c>
      <c r="F50" s="288">
        <v>46111.0</v>
      </c>
      <c r="G50" s="288">
        <v>46106.0</v>
      </c>
      <c r="H50" s="288">
        <v>46106.0</v>
      </c>
      <c r="I50" s="288">
        <v>46113.0</v>
      </c>
      <c r="J50" s="288">
        <v>46113.0</v>
      </c>
      <c r="K50" s="285" t="s">
        <v>5270</v>
      </c>
      <c r="L50" s="572" t="s">
        <v>9178</v>
      </c>
      <c r="M50" s="290" t="s">
        <v>12057</v>
      </c>
      <c r="N50" s="299" t="s">
        <v>497</v>
      </c>
      <c r="O50" s="322" t="s">
        <v>2554</v>
      </c>
      <c r="P50" s="300">
        <v>33010.22</v>
      </c>
      <c r="Q50" s="299">
        <f t="shared" si="2"/>
        <v>14</v>
      </c>
      <c r="R50" s="299" t="s">
        <v>9198</v>
      </c>
      <c r="S50" s="299" t="s">
        <v>9171</v>
      </c>
      <c r="T50" s="198"/>
      <c r="U50" s="198"/>
      <c r="V50" s="198"/>
      <c r="W50" s="198"/>
      <c r="X50" s="198"/>
      <c r="Y50" s="198"/>
      <c r="Z50" s="198"/>
    </row>
    <row r="51" ht="91.5" customHeight="1">
      <c r="A51" s="370">
        <v>41717.0</v>
      </c>
      <c r="B51" s="296" t="s">
        <v>21</v>
      </c>
      <c r="C51" s="285">
        <v>4355.0</v>
      </c>
      <c r="D51" s="285" t="s">
        <v>12058</v>
      </c>
      <c r="E51" s="287" t="s">
        <v>12059</v>
      </c>
      <c r="F51" s="288">
        <v>46111.0</v>
      </c>
      <c r="G51" s="288">
        <v>46106.0</v>
      </c>
      <c r="H51" s="288">
        <v>46106.0</v>
      </c>
      <c r="I51" s="288">
        <v>46118.0</v>
      </c>
      <c r="J51" s="288">
        <v>46118.0</v>
      </c>
      <c r="K51" s="591" t="s">
        <v>4916</v>
      </c>
      <c r="L51" s="579"/>
      <c r="M51" s="290" t="s">
        <v>12060</v>
      </c>
      <c r="N51" s="299" t="s">
        <v>497</v>
      </c>
      <c r="O51" s="322" t="s">
        <v>2554</v>
      </c>
      <c r="P51" s="300">
        <v>30049.5</v>
      </c>
      <c r="Q51" s="299">
        <f t="shared" si="2"/>
        <v>14</v>
      </c>
      <c r="R51" s="299" t="s">
        <v>9198</v>
      </c>
      <c r="S51" s="299" t="s">
        <v>9171</v>
      </c>
      <c r="T51" s="198"/>
      <c r="U51" s="198"/>
      <c r="V51" s="198"/>
      <c r="W51" s="198"/>
      <c r="X51" s="198"/>
      <c r="Y51" s="198"/>
      <c r="Z51" s="198"/>
    </row>
    <row r="52" ht="91.5" customHeight="1">
      <c r="A52" s="370">
        <v>41888.0</v>
      </c>
      <c r="B52" s="285" t="s">
        <v>21</v>
      </c>
      <c r="C52" s="285">
        <v>5250.0</v>
      </c>
      <c r="D52" s="285" t="s">
        <v>12061</v>
      </c>
      <c r="E52" s="287" t="s">
        <v>12062</v>
      </c>
      <c r="F52" s="288">
        <v>46111.0</v>
      </c>
      <c r="G52" s="288">
        <v>46106.0</v>
      </c>
      <c r="H52" s="288">
        <v>46106.0</v>
      </c>
      <c r="I52" s="288">
        <v>46115.0</v>
      </c>
      <c r="J52" s="288">
        <v>46115.0</v>
      </c>
      <c r="K52" s="285" t="s">
        <v>5270</v>
      </c>
      <c r="L52" s="572" t="s">
        <v>9178</v>
      </c>
      <c r="M52" s="290" t="s">
        <v>12063</v>
      </c>
      <c r="N52" s="299" t="s">
        <v>497</v>
      </c>
      <c r="O52" s="322" t="s">
        <v>2554</v>
      </c>
      <c r="P52" s="300">
        <v>32917.5</v>
      </c>
      <c r="Q52" s="299">
        <f t="shared" si="2"/>
        <v>14</v>
      </c>
      <c r="R52" s="299" t="s">
        <v>9198</v>
      </c>
      <c r="S52" s="299" t="s">
        <v>9171</v>
      </c>
      <c r="T52" s="198"/>
      <c r="U52" s="198"/>
      <c r="V52" s="198"/>
      <c r="W52" s="198"/>
      <c r="X52" s="198"/>
      <c r="Y52" s="198"/>
      <c r="Z52" s="198"/>
    </row>
    <row r="53" ht="91.5" customHeight="1">
      <c r="A53" s="370">
        <v>41970.0</v>
      </c>
      <c r="B53" s="285" t="s">
        <v>25</v>
      </c>
      <c r="C53" s="285">
        <v>1200.0</v>
      </c>
      <c r="D53" s="285" t="s">
        <v>12064</v>
      </c>
      <c r="E53" s="287" t="s">
        <v>10521</v>
      </c>
      <c r="F53" s="288">
        <v>46110.0</v>
      </c>
      <c r="G53" s="288">
        <v>46105.0</v>
      </c>
      <c r="H53" s="288">
        <v>46105.0</v>
      </c>
      <c r="I53" s="288">
        <v>46113.0</v>
      </c>
      <c r="J53" s="288">
        <v>46113.0</v>
      </c>
      <c r="K53" s="285"/>
      <c r="L53" s="485"/>
      <c r="M53" s="290" t="s">
        <v>12065</v>
      </c>
      <c r="N53" s="285" t="s">
        <v>6366</v>
      </c>
      <c r="O53" s="322" t="s">
        <v>2621</v>
      </c>
      <c r="P53" s="300">
        <v>41628.0</v>
      </c>
      <c r="Q53" s="299">
        <f t="shared" si="2"/>
        <v>14</v>
      </c>
      <c r="R53" s="299"/>
      <c r="S53" s="299" t="s">
        <v>10487</v>
      </c>
      <c r="T53" s="198"/>
      <c r="U53" s="198"/>
      <c r="V53" s="198"/>
      <c r="W53" s="198"/>
      <c r="X53" s="198"/>
      <c r="Y53" s="198"/>
      <c r="Z53" s="198"/>
    </row>
    <row r="54" ht="91.5" customHeight="1">
      <c r="A54" s="370">
        <v>41981.0</v>
      </c>
      <c r="B54" s="285" t="s">
        <v>715</v>
      </c>
      <c r="C54" s="285">
        <v>1100.0</v>
      </c>
      <c r="D54" s="367" t="s">
        <v>12066</v>
      </c>
      <c r="E54" s="287" t="s">
        <v>12067</v>
      </c>
      <c r="F54" s="288">
        <v>46108.0</v>
      </c>
      <c r="G54" s="288">
        <v>46106.0</v>
      </c>
      <c r="H54" s="288">
        <v>46106.0</v>
      </c>
      <c r="I54" s="288">
        <v>46114.0</v>
      </c>
      <c r="J54" s="288">
        <v>46114.0</v>
      </c>
      <c r="K54" s="285"/>
      <c r="L54" s="485"/>
      <c r="M54" s="290" t="s">
        <v>12068</v>
      </c>
      <c r="N54" s="285" t="s">
        <v>4635</v>
      </c>
      <c r="O54" s="322" t="s">
        <v>2621</v>
      </c>
      <c r="P54" s="300">
        <v>30616.0</v>
      </c>
      <c r="Q54" s="299">
        <f t="shared" si="2"/>
        <v>13</v>
      </c>
      <c r="R54" s="299"/>
      <c r="S54" s="299" t="s">
        <v>8430</v>
      </c>
      <c r="T54" s="198"/>
      <c r="U54" s="198"/>
      <c r="V54" s="198"/>
      <c r="W54" s="198"/>
      <c r="X54" s="198"/>
      <c r="Y54" s="198"/>
      <c r="Z54" s="198"/>
    </row>
    <row r="55" ht="91.5" customHeight="1">
      <c r="A55" s="370">
        <v>41762.0</v>
      </c>
      <c r="B55" s="285" t="s">
        <v>715</v>
      </c>
      <c r="C55" s="285">
        <v>5251.0</v>
      </c>
      <c r="D55" s="367" t="s">
        <v>12069</v>
      </c>
      <c r="E55" s="287" t="s">
        <v>10539</v>
      </c>
      <c r="F55" s="288">
        <v>46107.0</v>
      </c>
      <c r="G55" s="288">
        <v>46104.0</v>
      </c>
      <c r="H55" s="288">
        <v>46104.0</v>
      </c>
      <c r="I55" s="288">
        <v>46113.0</v>
      </c>
      <c r="J55" s="288">
        <v>46113.0</v>
      </c>
      <c r="K55" s="285"/>
      <c r="L55" s="485"/>
      <c r="M55" s="290" t="s">
        <v>12070</v>
      </c>
      <c r="N55" s="285" t="s">
        <v>497</v>
      </c>
      <c r="O55" s="322" t="s">
        <v>2554</v>
      </c>
      <c r="P55" s="300">
        <v>26250.0</v>
      </c>
      <c r="Q55" s="299">
        <f t="shared" si="2"/>
        <v>13</v>
      </c>
      <c r="R55" s="299" t="s">
        <v>9170</v>
      </c>
      <c r="S55" s="299" t="s">
        <v>9171</v>
      </c>
      <c r="T55" s="198"/>
      <c r="U55" s="198"/>
      <c r="V55" s="198"/>
      <c r="W55" s="198"/>
      <c r="X55" s="198"/>
      <c r="Y55" s="198"/>
      <c r="Z55" s="198"/>
    </row>
    <row r="56" ht="91.5" customHeight="1">
      <c r="A56" s="370">
        <v>42121.0</v>
      </c>
      <c r="B56" s="285" t="s">
        <v>25</v>
      </c>
      <c r="C56" s="285">
        <v>1130.0</v>
      </c>
      <c r="D56" s="285" t="s">
        <v>12071</v>
      </c>
      <c r="E56" s="287" t="s">
        <v>12072</v>
      </c>
      <c r="F56" s="288">
        <v>46106.0</v>
      </c>
      <c r="G56" s="288">
        <v>46104.0</v>
      </c>
      <c r="H56" s="288">
        <v>46104.0</v>
      </c>
      <c r="I56" s="288">
        <v>46108.0</v>
      </c>
      <c r="J56" s="288">
        <v>46108.0</v>
      </c>
      <c r="K56" s="285"/>
      <c r="L56" s="485"/>
      <c r="M56" s="290" t="s">
        <v>12073</v>
      </c>
      <c r="N56" s="285" t="s">
        <v>4635</v>
      </c>
      <c r="O56" s="322" t="s">
        <v>2621</v>
      </c>
      <c r="P56" s="300">
        <v>29977.5</v>
      </c>
      <c r="Q56" s="299">
        <f t="shared" si="2"/>
        <v>13</v>
      </c>
      <c r="R56" s="299"/>
      <c r="S56" s="299" t="s">
        <v>8430</v>
      </c>
      <c r="T56" s="198"/>
      <c r="U56" s="198"/>
      <c r="V56" s="198"/>
      <c r="W56" s="198"/>
      <c r="X56" s="198"/>
      <c r="Y56" s="198"/>
      <c r="Z56" s="198"/>
    </row>
    <row r="57" ht="91.5" customHeight="1">
      <c r="A57" s="370">
        <v>42014.0</v>
      </c>
      <c r="B57" s="285" t="s">
        <v>715</v>
      </c>
      <c r="C57" s="285">
        <v>550.0</v>
      </c>
      <c r="D57" s="285" t="s">
        <v>12074</v>
      </c>
      <c r="E57" s="287" t="s">
        <v>6754</v>
      </c>
      <c r="F57" s="529">
        <v>46106.0</v>
      </c>
      <c r="G57" s="288">
        <v>46101.0</v>
      </c>
      <c r="H57" s="288">
        <v>46101.0</v>
      </c>
      <c r="I57" s="288">
        <v>46112.0</v>
      </c>
      <c r="J57" s="285" t="s">
        <v>12075</v>
      </c>
      <c r="K57" s="285"/>
      <c r="L57" s="485"/>
      <c r="M57" s="290" t="s">
        <v>12076</v>
      </c>
      <c r="N57" s="285" t="s">
        <v>4635</v>
      </c>
      <c r="O57" s="322" t="s">
        <v>2621</v>
      </c>
      <c r="P57" s="300">
        <v>43428.0</v>
      </c>
      <c r="Q57" s="299">
        <f t="shared" si="2"/>
        <v>13</v>
      </c>
      <c r="R57" s="299"/>
      <c r="S57" s="299" t="s">
        <v>10487</v>
      </c>
      <c r="T57" s="198"/>
      <c r="U57" s="198"/>
      <c r="V57" s="198"/>
      <c r="W57" s="198"/>
      <c r="X57" s="198"/>
      <c r="Y57" s="198"/>
      <c r="Z57" s="198"/>
    </row>
    <row r="58" ht="91.5" customHeight="1">
      <c r="A58" s="370">
        <v>41883.0</v>
      </c>
      <c r="B58" s="285" t="s">
        <v>25</v>
      </c>
      <c r="C58" s="285">
        <v>5250.0</v>
      </c>
      <c r="D58" s="285" t="s">
        <v>12077</v>
      </c>
      <c r="E58" s="287" t="s">
        <v>12078</v>
      </c>
      <c r="F58" s="288">
        <v>46105.0</v>
      </c>
      <c r="G58" s="288">
        <v>46100.0</v>
      </c>
      <c r="H58" s="288">
        <v>46100.0</v>
      </c>
      <c r="I58" s="288">
        <v>46112.0</v>
      </c>
      <c r="J58" s="288">
        <v>46112.0</v>
      </c>
      <c r="K58" s="285"/>
      <c r="L58" s="485"/>
      <c r="M58" s="290" t="s">
        <v>12079</v>
      </c>
      <c r="N58" s="285" t="s">
        <v>497</v>
      </c>
      <c r="O58" s="322" t="s">
        <v>2554</v>
      </c>
      <c r="P58" s="300">
        <v>32917.5</v>
      </c>
      <c r="Q58" s="299">
        <f t="shared" si="2"/>
        <v>13</v>
      </c>
      <c r="R58" s="299" t="s">
        <v>9198</v>
      </c>
      <c r="S58" s="299" t="s">
        <v>9171</v>
      </c>
      <c r="T58" s="198"/>
      <c r="U58" s="198"/>
      <c r="V58" s="198"/>
      <c r="W58" s="198"/>
      <c r="X58" s="198"/>
      <c r="Y58" s="198"/>
      <c r="Z58" s="198"/>
    </row>
    <row r="59" ht="91.5" customHeight="1">
      <c r="A59" s="370">
        <v>41440.0</v>
      </c>
      <c r="B59" s="285" t="s">
        <v>21</v>
      </c>
      <c r="C59" s="285">
        <v>4102.0</v>
      </c>
      <c r="D59" s="285" t="s">
        <v>12080</v>
      </c>
      <c r="E59" s="287" t="s">
        <v>12081</v>
      </c>
      <c r="F59" s="288">
        <v>46104.0</v>
      </c>
      <c r="G59" s="288">
        <v>46099.0</v>
      </c>
      <c r="H59" s="288">
        <v>46099.0</v>
      </c>
      <c r="I59" s="288">
        <v>46107.0</v>
      </c>
      <c r="J59" s="288">
        <v>46107.0</v>
      </c>
      <c r="K59" s="285" t="s">
        <v>5270</v>
      </c>
      <c r="L59" s="572" t="s">
        <v>9178</v>
      </c>
      <c r="M59" s="290" t="s">
        <v>12082</v>
      </c>
      <c r="N59" s="299" t="s">
        <v>497</v>
      </c>
      <c r="O59" s="322" t="s">
        <v>2554</v>
      </c>
      <c r="P59" s="300">
        <v>33757.0</v>
      </c>
      <c r="Q59" s="299">
        <f t="shared" si="2"/>
        <v>13</v>
      </c>
      <c r="R59" s="299" t="s">
        <v>9170</v>
      </c>
      <c r="S59" s="299" t="s">
        <v>9171</v>
      </c>
      <c r="T59" s="198"/>
      <c r="U59" s="198"/>
      <c r="V59" s="198"/>
      <c r="W59" s="198"/>
      <c r="X59" s="198"/>
      <c r="Y59" s="198"/>
      <c r="Z59" s="198"/>
    </row>
    <row r="60" ht="91.5" customHeight="1">
      <c r="A60" s="370">
        <v>41718.0</v>
      </c>
      <c r="B60" s="285" t="s">
        <v>21</v>
      </c>
      <c r="C60" s="285">
        <v>4355.0</v>
      </c>
      <c r="D60" s="285" t="s">
        <v>12083</v>
      </c>
      <c r="E60" s="287" t="s">
        <v>12084</v>
      </c>
      <c r="F60" s="288">
        <v>46104.0</v>
      </c>
      <c r="G60" s="288">
        <v>46099.0</v>
      </c>
      <c r="H60" s="288">
        <v>46099.0</v>
      </c>
      <c r="I60" s="288">
        <v>46108.0</v>
      </c>
      <c r="J60" s="288">
        <v>46108.0</v>
      </c>
      <c r="K60" s="285" t="s">
        <v>5270</v>
      </c>
      <c r="L60" s="572" t="s">
        <v>9178</v>
      </c>
      <c r="M60" s="290" t="s">
        <v>12085</v>
      </c>
      <c r="N60" s="299" t="s">
        <v>497</v>
      </c>
      <c r="O60" s="322" t="s">
        <v>2554</v>
      </c>
      <c r="P60" s="300">
        <v>30049.5</v>
      </c>
      <c r="Q60" s="299">
        <f t="shared" si="2"/>
        <v>13</v>
      </c>
      <c r="R60" s="299" t="s">
        <v>9198</v>
      </c>
      <c r="S60" s="299" t="s">
        <v>9171</v>
      </c>
      <c r="T60" s="198"/>
      <c r="U60" s="198"/>
      <c r="V60" s="198"/>
      <c r="W60" s="198"/>
      <c r="X60" s="198"/>
      <c r="Y60" s="198"/>
      <c r="Z60" s="198"/>
    </row>
    <row r="61" ht="91.5" customHeight="1">
      <c r="A61" s="370">
        <v>41876.0</v>
      </c>
      <c r="B61" s="285" t="s">
        <v>6501</v>
      </c>
      <c r="C61" s="285">
        <v>940.0</v>
      </c>
      <c r="D61" s="285" t="s">
        <v>12086</v>
      </c>
      <c r="E61" s="287" t="s">
        <v>12087</v>
      </c>
      <c r="F61" s="288">
        <v>46103.0</v>
      </c>
      <c r="G61" s="288">
        <v>46099.0</v>
      </c>
      <c r="H61" s="288">
        <v>46099.0</v>
      </c>
      <c r="I61" s="288">
        <v>46111.0</v>
      </c>
      <c r="J61" s="288">
        <v>46111.0</v>
      </c>
      <c r="K61" s="285"/>
      <c r="L61" s="485"/>
      <c r="M61" s="290" t="s">
        <v>12088</v>
      </c>
      <c r="N61" s="285" t="s">
        <v>4635</v>
      </c>
      <c r="O61" s="322" t="s">
        <v>2621</v>
      </c>
      <c r="P61" s="300">
        <v>42317.3</v>
      </c>
      <c r="Q61" s="299">
        <f t="shared" si="2"/>
        <v>13</v>
      </c>
      <c r="R61" s="299"/>
      <c r="S61" s="299" t="s">
        <v>8430</v>
      </c>
      <c r="T61" s="198"/>
      <c r="U61" s="198"/>
      <c r="V61" s="198"/>
      <c r="W61" s="198"/>
      <c r="X61" s="198"/>
      <c r="Y61" s="198"/>
      <c r="Z61" s="198"/>
    </row>
    <row r="62" ht="91.5" customHeight="1">
      <c r="A62" s="370">
        <v>42174.0</v>
      </c>
      <c r="B62" s="285" t="s">
        <v>21</v>
      </c>
      <c r="C62" s="285">
        <v>1250.0</v>
      </c>
      <c r="D62" s="285" t="s">
        <v>12089</v>
      </c>
      <c r="E62" s="287" t="s">
        <v>12090</v>
      </c>
      <c r="F62" s="288">
        <v>46103.0</v>
      </c>
      <c r="G62" s="288">
        <v>46108.0</v>
      </c>
      <c r="H62" s="288">
        <v>46106.0</v>
      </c>
      <c r="I62" s="288">
        <v>46106.0</v>
      </c>
      <c r="J62" s="288">
        <v>46106.0</v>
      </c>
      <c r="K62" s="285" t="s">
        <v>12091</v>
      </c>
      <c r="L62" s="572" t="s">
        <v>9178</v>
      </c>
      <c r="M62" s="290" t="s">
        <v>12092</v>
      </c>
      <c r="N62" s="299" t="s">
        <v>4635</v>
      </c>
      <c r="O62" s="322" t="s">
        <v>2621</v>
      </c>
      <c r="P62" s="300">
        <v>27811.7</v>
      </c>
      <c r="Q62" s="299">
        <f t="shared" si="2"/>
        <v>13</v>
      </c>
      <c r="R62" s="299"/>
      <c r="S62" s="299" t="s">
        <v>8430</v>
      </c>
      <c r="T62" s="198"/>
      <c r="U62" s="198"/>
      <c r="V62" s="198"/>
      <c r="W62" s="198"/>
      <c r="X62" s="198"/>
      <c r="Y62" s="198"/>
      <c r="Z62" s="198"/>
    </row>
    <row r="63" ht="91.5" customHeight="1">
      <c r="A63" s="370">
        <v>42029.0</v>
      </c>
      <c r="B63" s="285" t="s">
        <v>715</v>
      </c>
      <c r="C63" s="285">
        <v>1480.0</v>
      </c>
      <c r="D63" s="285" t="s">
        <v>12093</v>
      </c>
      <c r="E63" s="287" t="s">
        <v>12094</v>
      </c>
      <c r="F63" s="288">
        <v>46101.0</v>
      </c>
      <c r="G63" s="288">
        <v>46096.0</v>
      </c>
      <c r="H63" s="288">
        <v>46096.0</v>
      </c>
      <c r="I63" s="288">
        <v>46111.0</v>
      </c>
      <c r="J63" s="288">
        <v>46111.0</v>
      </c>
      <c r="K63" s="285"/>
      <c r="L63" s="485"/>
      <c r="M63" s="290" t="s">
        <v>12095</v>
      </c>
      <c r="N63" s="285" t="s">
        <v>497</v>
      </c>
      <c r="O63" s="322" t="s">
        <v>2621</v>
      </c>
      <c r="P63" s="300">
        <v>47093.6</v>
      </c>
      <c r="Q63" s="299">
        <f t="shared" si="2"/>
        <v>12</v>
      </c>
      <c r="R63" s="299"/>
      <c r="S63" s="299" t="s">
        <v>10487</v>
      </c>
      <c r="T63" s="198"/>
      <c r="U63" s="198"/>
      <c r="V63" s="198"/>
      <c r="W63" s="198"/>
      <c r="X63" s="198"/>
      <c r="Y63" s="198"/>
      <c r="Z63" s="198"/>
    </row>
    <row r="64" ht="91.5" customHeight="1">
      <c r="A64" s="370">
        <v>41642.0</v>
      </c>
      <c r="B64" s="285" t="s">
        <v>25</v>
      </c>
      <c r="C64" s="285">
        <v>2401.0</v>
      </c>
      <c r="D64" s="285" t="s">
        <v>12096</v>
      </c>
      <c r="E64" s="287" t="s">
        <v>12097</v>
      </c>
      <c r="F64" s="288">
        <v>46099.0</v>
      </c>
      <c r="G64" s="288">
        <v>46096.0</v>
      </c>
      <c r="H64" s="288">
        <v>46096.0</v>
      </c>
      <c r="I64" s="288">
        <v>46101.0</v>
      </c>
      <c r="J64" s="288">
        <v>46101.0</v>
      </c>
      <c r="K64" s="285" t="s">
        <v>5270</v>
      </c>
      <c r="L64" s="572" t="s">
        <v>9178</v>
      </c>
      <c r="M64" s="290" t="s">
        <v>12098</v>
      </c>
      <c r="N64" s="285" t="s">
        <v>497</v>
      </c>
      <c r="O64" s="322" t="s">
        <v>2554</v>
      </c>
      <c r="P64" s="300">
        <v>41592.0</v>
      </c>
      <c r="Q64" s="299">
        <f t="shared" si="2"/>
        <v>12</v>
      </c>
      <c r="R64" s="299" t="s">
        <v>9170</v>
      </c>
      <c r="S64" s="299" t="s">
        <v>9171</v>
      </c>
      <c r="T64" s="198"/>
      <c r="U64" s="198"/>
      <c r="V64" s="198"/>
      <c r="W64" s="198"/>
      <c r="X64" s="198"/>
      <c r="Y64" s="198"/>
      <c r="Z64" s="198"/>
    </row>
    <row r="65" ht="91.5" customHeight="1">
      <c r="A65" s="370">
        <v>42012.0</v>
      </c>
      <c r="B65" s="285" t="s">
        <v>25</v>
      </c>
      <c r="C65" s="285">
        <v>771.0</v>
      </c>
      <c r="D65" s="285" t="s">
        <v>12099</v>
      </c>
      <c r="E65" s="287" t="s">
        <v>12100</v>
      </c>
      <c r="F65" s="288">
        <v>46097.0</v>
      </c>
      <c r="G65" s="288">
        <v>46092.0</v>
      </c>
      <c r="H65" s="288">
        <v>46092.0</v>
      </c>
      <c r="I65" s="288">
        <v>46100.0</v>
      </c>
      <c r="J65" s="288">
        <v>46100.0</v>
      </c>
      <c r="K65" s="285"/>
      <c r="L65" s="485"/>
      <c r="M65" s="290" t="s">
        <v>12101</v>
      </c>
      <c r="N65" s="299" t="s">
        <v>4745</v>
      </c>
      <c r="O65" s="322" t="s">
        <v>4746</v>
      </c>
      <c r="P65" s="300">
        <v>83334.0</v>
      </c>
      <c r="Q65" s="299">
        <f t="shared" si="2"/>
        <v>12</v>
      </c>
      <c r="R65" s="299"/>
      <c r="S65" s="299" t="s">
        <v>10487</v>
      </c>
      <c r="T65" s="198"/>
      <c r="U65" s="198"/>
      <c r="V65" s="198"/>
      <c r="W65" s="198"/>
      <c r="X65" s="198"/>
      <c r="Y65" s="198"/>
      <c r="Z65" s="198"/>
    </row>
    <row r="66" ht="91.5" customHeight="1">
      <c r="A66" s="370">
        <v>41716.0</v>
      </c>
      <c r="B66" s="285" t="s">
        <v>25</v>
      </c>
      <c r="C66" s="285">
        <v>5250.0</v>
      </c>
      <c r="D66" s="285" t="s">
        <v>12102</v>
      </c>
      <c r="E66" s="287" t="s">
        <v>12103</v>
      </c>
      <c r="F66" s="288">
        <v>46097.0</v>
      </c>
      <c r="G66" s="288">
        <v>46090.0</v>
      </c>
      <c r="H66" s="288">
        <v>46090.0</v>
      </c>
      <c r="I66" s="288">
        <v>46099.0</v>
      </c>
      <c r="J66" s="288">
        <v>46099.0</v>
      </c>
      <c r="K66" s="285"/>
      <c r="L66" s="485"/>
      <c r="M66" s="290" t="s">
        <v>12104</v>
      </c>
      <c r="N66" s="285" t="s">
        <v>497</v>
      </c>
      <c r="O66" s="322" t="s">
        <v>2554</v>
      </c>
      <c r="P66" s="300">
        <v>32917.5</v>
      </c>
      <c r="Q66" s="299">
        <f t="shared" si="2"/>
        <v>12</v>
      </c>
      <c r="R66" s="299" t="s">
        <v>9198</v>
      </c>
      <c r="S66" s="299" t="s">
        <v>9171</v>
      </c>
      <c r="T66" s="198"/>
      <c r="U66" s="198"/>
      <c r="V66" s="198"/>
      <c r="W66" s="198"/>
      <c r="X66" s="198"/>
      <c r="Y66" s="198"/>
      <c r="Z66" s="198"/>
    </row>
    <row r="67" ht="91.5" customHeight="1">
      <c r="A67" s="370">
        <v>42120.0</v>
      </c>
      <c r="B67" s="285" t="s">
        <v>25</v>
      </c>
      <c r="C67" s="285">
        <v>940.0</v>
      </c>
      <c r="D67" s="285" t="s">
        <v>12105</v>
      </c>
      <c r="E67" s="287" t="s">
        <v>12106</v>
      </c>
      <c r="F67" s="288">
        <v>46096.0</v>
      </c>
      <c r="G67" s="288">
        <v>46094.0</v>
      </c>
      <c r="H67" s="288">
        <v>46094.0</v>
      </c>
      <c r="I67" s="288">
        <v>46098.0</v>
      </c>
      <c r="J67" s="288">
        <v>46098.0</v>
      </c>
      <c r="K67" s="285"/>
      <c r="L67" s="485"/>
      <c r="M67" s="290" t="s">
        <v>12107</v>
      </c>
      <c r="N67" s="285" t="s">
        <v>4635</v>
      </c>
      <c r="O67" s="322" t="s">
        <v>2621</v>
      </c>
      <c r="P67" s="300">
        <v>39643.0</v>
      </c>
      <c r="Q67" s="299">
        <f t="shared" si="2"/>
        <v>12</v>
      </c>
      <c r="R67" s="299"/>
      <c r="S67" s="299" t="s">
        <v>8430</v>
      </c>
      <c r="T67" s="198"/>
      <c r="U67" s="198"/>
      <c r="V67" s="198"/>
      <c r="W67" s="198"/>
      <c r="X67" s="198"/>
      <c r="Y67" s="198"/>
      <c r="Z67" s="198"/>
    </row>
    <row r="68" ht="91.5" customHeight="1">
      <c r="A68" s="370">
        <v>41787.0</v>
      </c>
      <c r="B68" s="285" t="s">
        <v>21</v>
      </c>
      <c r="C68" s="285">
        <v>4502.0</v>
      </c>
      <c r="D68" s="285" t="s">
        <v>12108</v>
      </c>
      <c r="E68" s="287" t="s">
        <v>12109</v>
      </c>
      <c r="F68" s="288">
        <v>46095.0</v>
      </c>
      <c r="G68" s="288">
        <v>46090.0</v>
      </c>
      <c r="H68" s="288">
        <v>46090.0</v>
      </c>
      <c r="I68" s="288">
        <v>46108.0</v>
      </c>
      <c r="J68" s="288">
        <v>46108.0</v>
      </c>
      <c r="K68" s="285" t="s">
        <v>5270</v>
      </c>
      <c r="L68" s="572" t="s">
        <v>9178</v>
      </c>
      <c r="M68" s="290" t="s">
        <v>12110</v>
      </c>
      <c r="N68" s="299" t="s">
        <v>497</v>
      </c>
      <c r="O68" s="322" t="s">
        <v>2554</v>
      </c>
      <c r="P68" s="300">
        <v>33187.5</v>
      </c>
      <c r="Q68" s="299">
        <f t="shared" si="2"/>
        <v>11</v>
      </c>
      <c r="R68" s="299" t="s">
        <v>9170</v>
      </c>
      <c r="S68" s="299" t="s">
        <v>9171</v>
      </c>
      <c r="T68" s="198"/>
      <c r="U68" s="198"/>
      <c r="V68" s="198"/>
      <c r="W68" s="198"/>
      <c r="X68" s="198"/>
      <c r="Y68" s="198"/>
      <c r="Z68" s="198"/>
    </row>
    <row r="69" ht="91.5" customHeight="1">
      <c r="A69" s="370">
        <v>41779.0</v>
      </c>
      <c r="B69" s="285" t="s">
        <v>715</v>
      </c>
      <c r="C69" s="285">
        <v>4355.0</v>
      </c>
      <c r="D69" s="285" t="s">
        <v>12111</v>
      </c>
      <c r="E69" s="287" t="s">
        <v>10827</v>
      </c>
      <c r="F69" s="288">
        <v>46093.0</v>
      </c>
      <c r="G69" s="288">
        <v>46090.0</v>
      </c>
      <c r="H69" s="288">
        <v>46090.0</v>
      </c>
      <c r="I69" s="288">
        <v>46100.0</v>
      </c>
      <c r="J69" s="288">
        <v>46100.0</v>
      </c>
      <c r="K69" s="285"/>
      <c r="L69" s="485"/>
      <c r="M69" s="290" t="s">
        <v>12112</v>
      </c>
      <c r="N69" s="285" t="s">
        <v>497</v>
      </c>
      <c r="O69" s="322" t="s">
        <v>2554</v>
      </c>
      <c r="P69" s="300">
        <v>30049.5</v>
      </c>
      <c r="Q69" s="299">
        <f t="shared" si="2"/>
        <v>11</v>
      </c>
      <c r="R69" s="299" t="s">
        <v>9198</v>
      </c>
      <c r="S69" s="299" t="s">
        <v>9171</v>
      </c>
      <c r="T69" s="198"/>
      <c r="U69" s="198"/>
      <c r="V69" s="198"/>
      <c r="W69" s="198"/>
      <c r="X69" s="198"/>
      <c r="Y69" s="198"/>
      <c r="Z69" s="198"/>
    </row>
    <row r="70" ht="91.5" customHeight="1">
      <c r="A70" s="370">
        <v>41776.0</v>
      </c>
      <c r="B70" s="285" t="s">
        <v>715</v>
      </c>
      <c r="C70" s="285">
        <v>5250.0</v>
      </c>
      <c r="D70" s="285" t="s">
        <v>12113</v>
      </c>
      <c r="E70" s="287" t="s">
        <v>10869</v>
      </c>
      <c r="F70" s="288">
        <v>46093.0</v>
      </c>
      <c r="G70" s="288">
        <v>46090.0</v>
      </c>
      <c r="H70" s="288">
        <v>46090.0</v>
      </c>
      <c r="I70" s="288">
        <v>46099.0</v>
      </c>
      <c r="J70" s="288">
        <v>46099.0</v>
      </c>
      <c r="K70" s="285"/>
      <c r="L70" s="485"/>
      <c r="M70" s="290" t="s">
        <v>12114</v>
      </c>
      <c r="N70" s="285" t="s">
        <v>497</v>
      </c>
      <c r="O70" s="322" t="s">
        <v>2554</v>
      </c>
      <c r="P70" s="300">
        <v>32917.5</v>
      </c>
      <c r="Q70" s="299">
        <f t="shared" si="2"/>
        <v>11</v>
      </c>
      <c r="R70" s="299" t="s">
        <v>9198</v>
      </c>
      <c r="S70" s="299" t="s">
        <v>9171</v>
      </c>
      <c r="T70" s="198"/>
      <c r="U70" s="198"/>
      <c r="V70" s="198"/>
      <c r="W70" s="198"/>
      <c r="X70" s="198"/>
      <c r="Y70" s="198"/>
      <c r="Z70" s="198"/>
    </row>
    <row r="71" ht="91.5" customHeight="1">
      <c r="A71" s="370">
        <v>41980.0</v>
      </c>
      <c r="B71" s="285" t="s">
        <v>715</v>
      </c>
      <c r="C71" s="285">
        <v>1020.0</v>
      </c>
      <c r="D71" s="285" t="s">
        <v>12115</v>
      </c>
      <c r="E71" s="287" t="s">
        <v>12116</v>
      </c>
      <c r="F71" s="288">
        <v>46090.0</v>
      </c>
      <c r="G71" s="288">
        <v>46090.0</v>
      </c>
      <c r="H71" s="288">
        <v>46092.0</v>
      </c>
      <c r="I71" s="288">
        <v>46094.0</v>
      </c>
      <c r="J71" s="288">
        <v>46094.0</v>
      </c>
      <c r="K71" s="285"/>
      <c r="L71" s="485"/>
      <c r="M71" s="290" t="s">
        <v>12117</v>
      </c>
      <c r="N71" s="285" t="s">
        <v>4635</v>
      </c>
      <c r="O71" s="322" t="s">
        <v>2621</v>
      </c>
      <c r="P71" s="300">
        <v>32750.4</v>
      </c>
      <c r="Q71" s="299">
        <f t="shared" si="2"/>
        <v>11</v>
      </c>
      <c r="R71" s="299"/>
      <c r="S71" s="299" t="s">
        <v>8430</v>
      </c>
      <c r="T71" s="198"/>
      <c r="U71" s="198"/>
      <c r="V71" s="198"/>
      <c r="W71" s="198"/>
      <c r="X71" s="198"/>
      <c r="Y71" s="198"/>
      <c r="Z71" s="198"/>
    </row>
    <row r="72" ht="91.5" customHeight="1">
      <c r="A72" s="370">
        <v>41950.0</v>
      </c>
      <c r="B72" s="285" t="s">
        <v>21</v>
      </c>
      <c r="C72" s="285">
        <v>1250.0</v>
      </c>
      <c r="D72" s="285" t="s">
        <v>12118</v>
      </c>
      <c r="E72" s="287" t="s">
        <v>11051</v>
      </c>
      <c r="F72" s="288">
        <v>46087.0</v>
      </c>
      <c r="G72" s="288">
        <v>46085.0</v>
      </c>
      <c r="H72" s="288">
        <v>46085.0</v>
      </c>
      <c r="I72" s="288">
        <v>46093.0</v>
      </c>
      <c r="J72" s="288">
        <v>46093.0</v>
      </c>
      <c r="K72" s="285" t="s">
        <v>12119</v>
      </c>
      <c r="L72" s="572" t="s">
        <v>9178</v>
      </c>
      <c r="M72" s="290" t="s">
        <v>12120</v>
      </c>
      <c r="N72" s="299" t="s">
        <v>4635</v>
      </c>
      <c r="O72" s="322" t="s">
        <v>2621</v>
      </c>
      <c r="P72" s="300">
        <v>27490.9</v>
      </c>
      <c r="Q72" s="299">
        <f t="shared" si="2"/>
        <v>10</v>
      </c>
      <c r="R72" s="299"/>
      <c r="S72" s="299" t="s">
        <v>8430</v>
      </c>
      <c r="T72" s="198"/>
      <c r="U72" s="198"/>
      <c r="V72" s="198"/>
      <c r="W72" s="198"/>
      <c r="X72" s="198"/>
      <c r="Y72" s="198"/>
      <c r="Z72" s="198"/>
    </row>
    <row r="73" ht="91.5" customHeight="1">
      <c r="A73" s="370">
        <v>41854.0</v>
      </c>
      <c r="B73" s="285" t="s">
        <v>715</v>
      </c>
      <c r="C73" s="285">
        <v>1075.0</v>
      </c>
      <c r="D73" s="285" t="s">
        <v>12121</v>
      </c>
      <c r="E73" s="287" t="s">
        <v>3740</v>
      </c>
      <c r="F73" s="288">
        <v>46086.0</v>
      </c>
      <c r="G73" s="288">
        <v>46083.0</v>
      </c>
      <c r="H73" s="288">
        <v>46083.0</v>
      </c>
      <c r="I73" s="288">
        <v>46092.0</v>
      </c>
      <c r="J73" s="288">
        <v>46092.0</v>
      </c>
      <c r="K73" s="285"/>
      <c r="L73" s="485"/>
      <c r="M73" s="290" t="s">
        <v>12122</v>
      </c>
      <c r="N73" s="299" t="s">
        <v>4745</v>
      </c>
      <c r="O73" s="322" t="s">
        <v>4711</v>
      </c>
      <c r="P73" s="300">
        <v>24501.87</v>
      </c>
      <c r="Q73" s="299">
        <f t="shared" si="2"/>
        <v>10</v>
      </c>
      <c r="R73" s="299"/>
      <c r="S73" s="299" t="s">
        <v>10487</v>
      </c>
      <c r="T73" s="198"/>
      <c r="U73" s="198"/>
      <c r="V73" s="198"/>
      <c r="W73" s="198"/>
      <c r="X73" s="198"/>
      <c r="Y73" s="198"/>
      <c r="Z73" s="198"/>
    </row>
    <row r="74" ht="91.5" customHeight="1">
      <c r="A74" s="370">
        <v>41773.0</v>
      </c>
      <c r="B74" s="285" t="s">
        <v>715</v>
      </c>
      <c r="C74" s="285">
        <v>5250.0</v>
      </c>
      <c r="D74" s="285" t="s">
        <v>12123</v>
      </c>
      <c r="E74" s="287" t="s">
        <v>10808</v>
      </c>
      <c r="F74" s="288">
        <v>46085.0</v>
      </c>
      <c r="G74" s="288">
        <v>46082.0</v>
      </c>
      <c r="H74" s="288">
        <v>46082.0</v>
      </c>
      <c r="I74" s="288">
        <v>46091.0</v>
      </c>
      <c r="J74" s="288">
        <v>46091.0</v>
      </c>
      <c r="K74" s="285"/>
      <c r="L74" s="485"/>
      <c r="M74" s="290" t="s">
        <v>12124</v>
      </c>
      <c r="N74" s="285" t="s">
        <v>497</v>
      </c>
      <c r="O74" s="322" t="s">
        <v>2554</v>
      </c>
      <c r="P74" s="300">
        <v>32917.5</v>
      </c>
      <c r="Q74" s="299">
        <f t="shared" si="2"/>
        <v>10</v>
      </c>
      <c r="R74" s="299" t="s">
        <v>9198</v>
      </c>
      <c r="S74" s="299" t="s">
        <v>9171</v>
      </c>
      <c r="T74" s="198"/>
      <c r="U74" s="198"/>
      <c r="V74" s="198"/>
      <c r="W74" s="198"/>
      <c r="X74" s="198"/>
      <c r="Y74" s="198"/>
      <c r="Z74" s="198"/>
    </row>
    <row r="75" ht="91.5" customHeight="1">
      <c r="A75" s="370">
        <v>41761.0</v>
      </c>
      <c r="B75" s="285" t="s">
        <v>715</v>
      </c>
      <c r="C75" s="285">
        <v>5251.0</v>
      </c>
      <c r="D75" s="285" t="s">
        <v>12125</v>
      </c>
      <c r="E75" s="287" t="s">
        <v>10539</v>
      </c>
      <c r="F75" s="288">
        <v>46082.0</v>
      </c>
      <c r="G75" s="288">
        <v>46077.0</v>
      </c>
      <c r="H75" s="288">
        <v>46077.0</v>
      </c>
      <c r="I75" s="288">
        <v>46084.0</v>
      </c>
      <c r="J75" s="288">
        <v>46084.0</v>
      </c>
      <c r="K75" s="285"/>
      <c r="L75" s="485"/>
      <c r="M75" s="290" t="s">
        <v>12126</v>
      </c>
      <c r="N75" s="285" t="s">
        <v>497</v>
      </c>
      <c r="O75" s="322" t="s">
        <v>2554</v>
      </c>
      <c r="P75" s="300">
        <v>26250.0</v>
      </c>
      <c r="Q75" s="299">
        <f t="shared" si="2"/>
        <v>10</v>
      </c>
      <c r="R75" s="299" t="s">
        <v>9170</v>
      </c>
      <c r="S75" s="299" t="s">
        <v>9171</v>
      </c>
      <c r="T75" s="198"/>
      <c r="U75" s="198"/>
      <c r="V75" s="198"/>
      <c r="W75" s="198"/>
      <c r="X75" s="198"/>
      <c r="Y75" s="198"/>
      <c r="Z75" s="198"/>
    </row>
    <row r="76" ht="91.5" customHeight="1">
      <c r="A76" s="370">
        <v>42093.0</v>
      </c>
      <c r="B76" s="285" t="s">
        <v>25</v>
      </c>
      <c r="C76" s="285" t="s">
        <v>12127</v>
      </c>
      <c r="D76" s="285" t="s">
        <v>12128</v>
      </c>
      <c r="E76" s="287" t="s">
        <v>12129</v>
      </c>
      <c r="F76" s="288">
        <v>46081.0</v>
      </c>
      <c r="G76" s="288">
        <v>46079.0</v>
      </c>
      <c r="H76" s="288">
        <v>46087.0</v>
      </c>
      <c r="I76" s="288">
        <v>46087.0</v>
      </c>
      <c r="J76" s="288">
        <v>46087.0</v>
      </c>
      <c r="K76" s="285"/>
      <c r="L76" s="485"/>
      <c r="M76" s="290" t="s">
        <v>12130</v>
      </c>
      <c r="N76" s="285" t="s">
        <v>4635</v>
      </c>
      <c r="O76" s="322" t="s">
        <v>2621</v>
      </c>
      <c r="P76" s="300">
        <v>4264.0</v>
      </c>
      <c r="Q76" s="299">
        <f t="shared" si="2"/>
        <v>9</v>
      </c>
      <c r="R76" s="299"/>
      <c r="S76" s="299" t="s">
        <v>10487</v>
      </c>
      <c r="T76" s="198"/>
      <c r="U76" s="198"/>
      <c r="V76" s="198"/>
      <c r="W76" s="198"/>
      <c r="X76" s="198"/>
      <c r="Y76" s="198"/>
      <c r="Z76" s="198"/>
    </row>
    <row r="77" ht="91.5" customHeight="1">
      <c r="A77" s="370">
        <v>41949.0</v>
      </c>
      <c r="B77" s="285" t="s">
        <v>21</v>
      </c>
      <c r="C77" s="285">
        <v>1242.0</v>
      </c>
      <c r="D77" s="285" t="s">
        <v>12131</v>
      </c>
      <c r="E77" s="287" t="s">
        <v>11051</v>
      </c>
      <c r="F77" s="288">
        <v>46081.0</v>
      </c>
      <c r="G77" s="288">
        <v>46087.0</v>
      </c>
      <c r="H77" s="288">
        <v>46086.0</v>
      </c>
      <c r="I77" s="288">
        <v>46086.0</v>
      </c>
      <c r="J77" s="288">
        <v>46086.0</v>
      </c>
      <c r="K77" s="285" t="s">
        <v>12132</v>
      </c>
      <c r="L77" s="572" t="s">
        <v>9178</v>
      </c>
      <c r="M77" s="424" t="s">
        <v>12133</v>
      </c>
      <c r="N77" s="299" t="s">
        <v>4635</v>
      </c>
      <c r="O77" s="322" t="s">
        <v>2621</v>
      </c>
      <c r="P77" s="300">
        <v>27327.74</v>
      </c>
      <c r="Q77" s="299">
        <f t="shared" si="2"/>
        <v>9</v>
      </c>
      <c r="R77" s="299"/>
      <c r="S77" s="299" t="s">
        <v>8430</v>
      </c>
      <c r="T77" s="198"/>
      <c r="U77" s="198"/>
      <c r="V77" s="198"/>
      <c r="W77" s="198"/>
      <c r="X77" s="198"/>
      <c r="Y77" s="198"/>
      <c r="Z77" s="198"/>
    </row>
    <row r="78" ht="91.5" customHeight="1">
      <c r="A78" s="370">
        <v>41399.0</v>
      </c>
      <c r="B78" s="285" t="s">
        <v>715</v>
      </c>
      <c r="C78" s="285">
        <v>1254.0</v>
      </c>
      <c r="D78" s="285" t="s">
        <v>12134</v>
      </c>
      <c r="E78" s="287" t="s">
        <v>12135</v>
      </c>
      <c r="F78" s="288">
        <v>46080.0</v>
      </c>
      <c r="G78" s="288">
        <v>46092.0</v>
      </c>
      <c r="H78" s="288">
        <v>46085.0</v>
      </c>
      <c r="I78" s="288">
        <v>46085.0</v>
      </c>
      <c r="J78" s="288">
        <v>46085.0</v>
      </c>
      <c r="K78" s="285"/>
      <c r="L78" s="485"/>
      <c r="M78" s="290" t="s">
        <v>12136</v>
      </c>
      <c r="N78" s="285" t="s">
        <v>4635</v>
      </c>
      <c r="O78" s="322" t="s">
        <v>2621</v>
      </c>
      <c r="P78" s="300">
        <v>29465.68</v>
      </c>
      <c r="Q78" s="299">
        <f t="shared" si="2"/>
        <v>9</v>
      </c>
      <c r="R78" s="299"/>
      <c r="S78" s="299" t="s">
        <v>8430</v>
      </c>
      <c r="T78" s="198"/>
      <c r="U78" s="198"/>
      <c r="V78" s="198"/>
      <c r="W78" s="198"/>
      <c r="X78" s="198"/>
      <c r="Y78" s="198"/>
      <c r="Z78" s="198"/>
    </row>
    <row r="79" ht="91.5" customHeight="1">
      <c r="A79" s="370">
        <v>41793.0</v>
      </c>
      <c r="B79" s="285" t="s">
        <v>21</v>
      </c>
      <c r="C79" s="285">
        <v>2200.0</v>
      </c>
      <c r="D79" s="285" t="s">
        <v>12137</v>
      </c>
      <c r="E79" s="287" t="s">
        <v>12138</v>
      </c>
      <c r="F79" s="288">
        <v>46080.0</v>
      </c>
      <c r="G79" s="288">
        <v>46085.0</v>
      </c>
      <c r="H79" s="288">
        <v>46084.0</v>
      </c>
      <c r="I79" s="288">
        <v>46084.0</v>
      </c>
      <c r="J79" s="288">
        <v>46084.0</v>
      </c>
      <c r="K79" s="285" t="s">
        <v>5270</v>
      </c>
      <c r="L79" s="572" t="s">
        <v>9178</v>
      </c>
      <c r="M79" s="290" t="s">
        <v>12139</v>
      </c>
      <c r="N79" s="299" t="s">
        <v>497</v>
      </c>
      <c r="O79" s="322" t="s">
        <v>2554</v>
      </c>
      <c r="P79" s="300">
        <v>35184.0</v>
      </c>
      <c r="Q79" s="299">
        <f t="shared" si="2"/>
        <v>9</v>
      </c>
      <c r="R79" s="299" t="s">
        <v>9170</v>
      </c>
      <c r="S79" s="299" t="s">
        <v>9171</v>
      </c>
      <c r="T79" s="198"/>
      <c r="U79" s="198"/>
      <c r="V79" s="198"/>
      <c r="W79" s="198"/>
      <c r="X79" s="198"/>
      <c r="Y79" s="198"/>
      <c r="Z79" s="198"/>
    </row>
    <row r="80" ht="91.5" customHeight="1">
      <c r="A80" s="370">
        <v>41931.0</v>
      </c>
      <c r="B80" s="285" t="s">
        <v>21</v>
      </c>
      <c r="C80" s="285">
        <v>1100.0</v>
      </c>
      <c r="D80" s="285" t="s">
        <v>12140</v>
      </c>
      <c r="E80" s="287" t="s">
        <v>12141</v>
      </c>
      <c r="F80" s="288">
        <v>46079.0</v>
      </c>
      <c r="G80" s="288">
        <v>46078.0</v>
      </c>
      <c r="H80" s="288">
        <v>46078.0</v>
      </c>
      <c r="I80" s="288">
        <v>46085.0</v>
      </c>
      <c r="J80" s="288">
        <v>46085.0</v>
      </c>
      <c r="K80" s="285" t="s">
        <v>12142</v>
      </c>
      <c r="L80" s="572" t="s">
        <v>9178</v>
      </c>
      <c r="M80" s="290" t="s">
        <v>12143</v>
      </c>
      <c r="N80" s="299" t="s">
        <v>4635</v>
      </c>
      <c r="O80" s="322" t="s">
        <v>2621</v>
      </c>
      <c r="P80" s="300">
        <v>80335.0</v>
      </c>
      <c r="Q80" s="299">
        <f t="shared" si="2"/>
        <v>9</v>
      </c>
      <c r="R80" s="299"/>
      <c r="S80" s="299" t="s">
        <v>10487</v>
      </c>
      <c r="T80" s="198"/>
      <c r="U80" s="198"/>
      <c r="V80" s="198"/>
      <c r="W80" s="198"/>
      <c r="X80" s="198"/>
      <c r="Y80" s="198"/>
      <c r="Z80" s="198"/>
    </row>
    <row r="81" ht="91.5" customHeight="1">
      <c r="A81" s="370">
        <v>41439.0</v>
      </c>
      <c r="B81" s="285" t="s">
        <v>715</v>
      </c>
      <c r="C81" s="285">
        <v>5261.0</v>
      </c>
      <c r="D81" s="285" t="s">
        <v>12144</v>
      </c>
      <c r="E81" s="287" t="s">
        <v>12145</v>
      </c>
      <c r="F81" s="288">
        <v>46074.0</v>
      </c>
      <c r="G81" s="288">
        <v>46069.0</v>
      </c>
      <c r="H81" s="288">
        <v>46069.0</v>
      </c>
      <c r="I81" s="288">
        <v>46080.0</v>
      </c>
      <c r="J81" s="288">
        <v>46080.0</v>
      </c>
      <c r="K81" s="285"/>
      <c r="L81" s="485"/>
      <c r="M81" s="290" t="s">
        <v>12146</v>
      </c>
      <c r="N81" s="285" t="s">
        <v>497</v>
      </c>
      <c r="O81" s="322" t="s">
        <v>2554</v>
      </c>
      <c r="P81" s="300">
        <v>26423.3</v>
      </c>
      <c r="Q81" s="299">
        <f t="shared" si="2"/>
        <v>8</v>
      </c>
      <c r="R81" s="299" t="s">
        <v>9170</v>
      </c>
      <c r="S81" s="299" t="s">
        <v>9171</v>
      </c>
      <c r="T81" s="198"/>
      <c r="U81" s="198"/>
      <c r="V81" s="198"/>
      <c r="W81" s="198"/>
      <c r="X81" s="198"/>
      <c r="Y81" s="198"/>
      <c r="Z81" s="198"/>
    </row>
    <row r="82" ht="91.5" customHeight="1">
      <c r="A82" s="370">
        <v>41839.0</v>
      </c>
      <c r="B82" s="285" t="s">
        <v>21</v>
      </c>
      <c r="C82" s="285">
        <v>500.0</v>
      </c>
      <c r="D82" s="285" t="s">
        <v>12147</v>
      </c>
      <c r="E82" s="287" t="s">
        <v>12148</v>
      </c>
      <c r="F82" s="288">
        <v>46073.0</v>
      </c>
      <c r="G82" s="288">
        <v>46070.0</v>
      </c>
      <c r="H82" s="288">
        <v>46070.0</v>
      </c>
      <c r="I82" s="288">
        <v>46077.0</v>
      </c>
      <c r="J82" s="288">
        <v>46077.0</v>
      </c>
      <c r="K82" s="285" t="s">
        <v>12149</v>
      </c>
      <c r="L82" s="572" t="s">
        <v>9178</v>
      </c>
      <c r="M82" s="290" t="s">
        <v>12150</v>
      </c>
      <c r="N82" s="299" t="s">
        <v>4635</v>
      </c>
      <c r="O82" s="322" t="s">
        <v>2621</v>
      </c>
      <c r="P82" s="300">
        <v>47905.0</v>
      </c>
      <c r="Q82" s="299">
        <f t="shared" si="2"/>
        <v>8</v>
      </c>
      <c r="R82" s="299"/>
      <c r="S82" s="299" t="s">
        <v>10487</v>
      </c>
      <c r="T82" s="198"/>
      <c r="U82" s="198"/>
      <c r="V82" s="198"/>
      <c r="W82" s="198"/>
      <c r="X82" s="198"/>
      <c r="Y82" s="198"/>
      <c r="Z82" s="198"/>
    </row>
    <row r="83" ht="91.5" customHeight="1">
      <c r="A83" s="370">
        <v>41979.0</v>
      </c>
      <c r="B83" s="285" t="s">
        <v>715</v>
      </c>
      <c r="C83" s="285">
        <v>1100.0</v>
      </c>
      <c r="D83" s="285" t="s">
        <v>12151</v>
      </c>
      <c r="E83" s="287" t="s">
        <v>12152</v>
      </c>
      <c r="F83" s="288">
        <v>46072.0</v>
      </c>
      <c r="G83" s="288">
        <v>46071.0</v>
      </c>
      <c r="H83" s="288">
        <v>46071.0</v>
      </c>
      <c r="I83" s="288">
        <v>46079.0</v>
      </c>
      <c r="J83" s="288">
        <v>46079.0</v>
      </c>
      <c r="K83" s="285"/>
      <c r="L83" s="485"/>
      <c r="M83" s="290" t="s">
        <v>12153</v>
      </c>
      <c r="N83" s="285" t="s">
        <v>4635</v>
      </c>
      <c r="O83" s="322" t="s">
        <v>2621</v>
      </c>
      <c r="P83" s="300">
        <v>29558.0</v>
      </c>
      <c r="Q83" s="299">
        <f t="shared" si="2"/>
        <v>8</v>
      </c>
      <c r="R83" s="299"/>
      <c r="S83" s="299" t="s">
        <v>8430</v>
      </c>
      <c r="T83" s="198"/>
      <c r="U83" s="198"/>
      <c r="V83" s="198"/>
      <c r="W83" s="198"/>
      <c r="X83" s="198"/>
      <c r="Y83" s="198"/>
      <c r="Z83" s="198"/>
    </row>
    <row r="84" ht="91.5" customHeight="1">
      <c r="A84" s="370">
        <v>41714.0</v>
      </c>
      <c r="B84" s="285" t="s">
        <v>21</v>
      </c>
      <c r="C84" s="285">
        <v>4355.0</v>
      </c>
      <c r="D84" s="285" t="s">
        <v>12154</v>
      </c>
      <c r="E84" s="287" t="s">
        <v>12155</v>
      </c>
      <c r="F84" s="288">
        <v>46072.0</v>
      </c>
      <c r="G84" s="288">
        <v>46069.0</v>
      </c>
      <c r="H84" s="288">
        <v>46069.0</v>
      </c>
      <c r="I84" s="288">
        <v>46079.0</v>
      </c>
      <c r="J84" s="288">
        <v>46079.0</v>
      </c>
      <c r="K84" s="285" t="s">
        <v>5270</v>
      </c>
      <c r="L84" s="572" t="s">
        <v>9178</v>
      </c>
      <c r="M84" s="290" t="s">
        <v>12156</v>
      </c>
      <c r="N84" s="299" t="s">
        <v>497</v>
      </c>
      <c r="O84" s="322" t="s">
        <v>2554</v>
      </c>
      <c r="P84" s="300">
        <v>35972.3</v>
      </c>
      <c r="Q84" s="299">
        <f t="shared" si="2"/>
        <v>8</v>
      </c>
      <c r="R84" s="299" t="s">
        <v>9198</v>
      </c>
      <c r="S84" s="299" t="s">
        <v>9171</v>
      </c>
      <c r="T84" s="198"/>
      <c r="U84" s="198"/>
      <c r="V84" s="198"/>
      <c r="W84" s="198"/>
      <c r="X84" s="198"/>
      <c r="Y84" s="198"/>
      <c r="Z84" s="198"/>
    </row>
    <row r="85" ht="91.5" customHeight="1">
      <c r="A85" s="370">
        <v>41441.0</v>
      </c>
      <c r="B85" s="285" t="s">
        <v>21</v>
      </c>
      <c r="C85" s="285">
        <v>4501.0</v>
      </c>
      <c r="D85" s="285" t="s">
        <v>12157</v>
      </c>
      <c r="E85" s="287" t="s">
        <v>12158</v>
      </c>
      <c r="F85" s="288">
        <v>46072.0</v>
      </c>
      <c r="G85" s="288">
        <v>46069.0</v>
      </c>
      <c r="H85" s="288">
        <v>46069.0</v>
      </c>
      <c r="I85" s="288">
        <v>46079.0</v>
      </c>
      <c r="J85" s="288">
        <v>46079.0</v>
      </c>
      <c r="K85" s="285" t="s">
        <v>5270</v>
      </c>
      <c r="L85" s="572" t="s">
        <v>9178</v>
      </c>
      <c r="M85" s="290" t="s">
        <v>12159</v>
      </c>
      <c r="N85" s="299" t="s">
        <v>497</v>
      </c>
      <c r="O85" s="322" t="s">
        <v>2554</v>
      </c>
      <c r="P85" s="300">
        <v>32625.0</v>
      </c>
      <c r="Q85" s="299">
        <f t="shared" si="2"/>
        <v>8</v>
      </c>
      <c r="R85" s="299" t="s">
        <v>9170</v>
      </c>
      <c r="S85" s="299" t="s">
        <v>9171</v>
      </c>
      <c r="T85" s="198"/>
      <c r="U85" s="198"/>
      <c r="V85" s="198"/>
      <c r="W85" s="198"/>
      <c r="X85" s="198"/>
      <c r="Y85" s="198"/>
      <c r="Z85" s="198"/>
    </row>
    <row r="86" ht="91.5" customHeight="1">
      <c r="A86" s="370">
        <v>41882.0</v>
      </c>
      <c r="B86" s="285" t="s">
        <v>21</v>
      </c>
      <c r="C86" s="285">
        <v>2578.0</v>
      </c>
      <c r="D86" s="285" t="s">
        <v>12160</v>
      </c>
      <c r="E86" s="287" t="s">
        <v>12161</v>
      </c>
      <c r="F86" s="288">
        <v>46072.0</v>
      </c>
      <c r="G86" s="288">
        <v>46069.0</v>
      </c>
      <c r="H86" s="288">
        <v>46069.0</v>
      </c>
      <c r="I86" s="288">
        <v>46078.0</v>
      </c>
      <c r="J86" s="288">
        <v>46078.0</v>
      </c>
      <c r="K86" s="285" t="s">
        <v>5270</v>
      </c>
      <c r="L86" s="572" t="s">
        <v>9178</v>
      </c>
      <c r="M86" s="290" t="s">
        <v>12162</v>
      </c>
      <c r="N86" s="299" t="s">
        <v>497</v>
      </c>
      <c r="O86" s="322" t="s">
        <v>2554</v>
      </c>
      <c r="P86" s="300">
        <v>57489.4</v>
      </c>
      <c r="Q86" s="299">
        <f t="shared" si="2"/>
        <v>8</v>
      </c>
      <c r="R86" s="299" t="s">
        <v>9198</v>
      </c>
      <c r="S86" s="299" t="s">
        <v>9171</v>
      </c>
      <c r="T86" s="198"/>
      <c r="U86" s="198"/>
      <c r="V86" s="198"/>
      <c r="W86" s="198"/>
      <c r="X86" s="198"/>
      <c r="Y86" s="198"/>
      <c r="Z86" s="198"/>
    </row>
    <row r="87" ht="91.5" customHeight="1">
      <c r="A87" s="370">
        <v>41490.0</v>
      </c>
      <c r="B87" s="285" t="s">
        <v>21</v>
      </c>
      <c r="C87" s="285">
        <v>2241.0</v>
      </c>
      <c r="D87" s="285" t="s">
        <v>12163</v>
      </c>
      <c r="E87" s="287" t="s">
        <v>12164</v>
      </c>
      <c r="F87" s="288">
        <v>46072.0</v>
      </c>
      <c r="G87" s="288">
        <v>46070.0</v>
      </c>
      <c r="H87" s="288">
        <v>46070.0</v>
      </c>
      <c r="I87" s="288">
        <v>46076.0</v>
      </c>
      <c r="J87" s="288">
        <v>46076.0</v>
      </c>
      <c r="K87" s="591" t="s">
        <v>4916</v>
      </c>
      <c r="L87" s="579"/>
      <c r="M87" s="290" t="s">
        <v>12165</v>
      </c>
      <c r="N87" s="285" t="s">
        <v>497</v>
      </c>
      <c r="O87" s="322" t="s">
        <v>2604</v>
      </c>
      <c r="P87" s="300">
        <v>70042.0</v>
      </c>
      <c r="Q87" s="299">
        <f t="shared" si="2"/>
        <v>8</v>
      </c>
      <c r="R87" s="299"/>
      <c r="S87" s="299" t="s">
        <v>10487</v>
      </c>
      <c r="T87" s="198"/>
      <c r="U87" s="198"/>
      <c r="V87" s="198"/>
      <c r="W87" s="198"/>
      <c r="X87" s="198"/>
      <c r="Y87" s="198"/>
      <c r="Z87" s="198"/>
    </row>
    <row r="88" ht="91.5" customHeight="1">
      <c r="A88" s="370">
        <v>41971.0</v>
      </c>
      <c r="B88" s="285" t="s">
        <v>25</v>
      </c>
      <c r="C88" s="285">
        <v>465.0</v>
      </c>
      <c r="D88" s="285" t="s">
        <v>12166</v>
      </c>
      <c r="E88" s="287" t="s">
        <v>12167</v>
      </c>
      <c r="F88" s="288">
        <v>46071.0</v>
      </c>
      <c r="G88" s="288">
        <v>46083.0</v>
      </c>
      <c r="H88" s="288">
        <v>46077.0</v>
      </c>
      <c r="I88" s="288">
        <v>46077.0</v>
      </c>
      <c r="J88" s="372">
        <v>46077.0</v>
      </c>
      <c r="K88" s="285"/>
      <c r="L88" s="485"/>
      <c r="M88" s="290" t="s">
        <v>12168</v>
      </c>
      <c r="N88" s="285" t="s">
        <v>497</v>
      </c>
      <c r="O88" s="322" t="s">
        <v>2628</v>
      </c>
      <c r="P88" s="300">
        <v>29688.0</v>
      </c>
      <c r="Q88" s="299">
        <f t="shared" si="2"/>
        <v>8</v>
      </c>
      <c r="R88" s="299"/>
      <c r="S88" s="299" t="s">
        <v>10487</v>
      </c>
      <c r="T88" s="198"/>
      <c r="U88" s="198"/>
      <c r="V88" s="198"/>
      <c r="W88" s="198"/>
      <c r="X88" s="198"/>
      <c r="Y88" s="198"/>
      <c r="Z88" s="198"/>
    </row>
    <row r="89" ht="91.5" customHeight="1">
      <c r="A89" s="370">
        <v>41491.0</v>
      </c>
      <c r="B89" s="285" t="s">
        <v>715</v>
      </c>
      <c r="C89" s="285">
        <v>1588.0</v>
      </c>
      <c r="D89" s="285" t="s">
        <v>12169</v>
      </c>
      <c r="E89" s="287" t="s">
        <v>12170</v>
      </c>
      <c r="F89" s="288">
        <v>46070.0</v>
      </c>
      <c r="G89" s="288">
        <v>46066.0</v>
      </c>
      <c r="H89" s="288">
        <v>46066.0</v>
      </c>
      <c r="I89" s="288">
        <v>46073.0</v>
      </c>
      <c r="J89" s="288">
        <v>46073.0</v>
      </c>
      <c r="K89" s="285"/>
      <c r="L89" s="485"/>
      <c r="M89" s="290" t="s">
        <v>12171</v>
      </c>
      <c r="N89" s="285" t="s">
        <v>497</v>
      </c>
      <c r="O89" s="322" t="s">
        <v>2604</v>
      </c>
      <c r="P89" s="300">
        <v>58554.3</v>
      </c>
      <c r="Q89" s="299">
        <f t="shared" si="2"/>
        <v>8</v>
      </c>
      <c r="R89" s="299"/>
      <c r="S89" s="299" t="s">
        <v>10487</v>
      </c>
      <c r="T89" s="198"/>
      <c r="U89" s="198"/>
      <c r="V89" s="198"/>
      <c r="W89" s="198"/>
      <c r="X89" s="198"/>
      <c r="Y89" s="198"/>
      <c r="Z89" s="198"/>
    </row>
    <row r="90" ht="91.5" customHeight="1">
      <c r="A90" s="370">
        <v>41969.0</v>
      </c>
      <c r="B90" s="285" t="s">
        <v>25</v>
      </c>
      <c r="C90" s="285">
        <v>2790.0</v>
      </c>
      <c r="D90" s="285" t="s">
        <v>12172</v>
      </c>
      <c r="E90" s="287" t="s">
        <v>10614</v>
      </c>
      <c r="F90" s="288">
        <v>46068.0</v>
      </c>
      <c r="G90" s="288">
        <v>46083.0</v>
      </c>
      <c r="H90" s="288">
        <v>46073.0</v>
      </c>
      <c r="I90" s="288">
        <v>46073.0</v>
      </c>
      <c r="J90" s="288">
        <v>46073.0</v>
      </c>
      <c r="K90" s="285"/>
      <c r="L90" s="485"/>
      <c r="M90" s="290" t="s">
        <v>12173</v>
      </c>
      <c r="N90" s="285" t="s">
        <v>4635</v>
      </c>
      <c r="O90" s="322" t="s">
        <v>2621</v>
      </c>
      <c r="P90" s="300">
        <v>35712.0</v>
      </c>
      <c r="Q90" s="299">
        <f t="shared" si="2"/>
        <v>8</v>
      </c>
      <c r="R90" s="299"/>
      <c r="S90" s="299" t="s">
        <v>10487</v>
      </c>
      <c r="T90" s="198"/>
      <c r="U90" s="198"/>
      <c r="V90" s="198"/>
      <c r="W90" s="198"/>
      <c r="X90" s="198"/>
      <c r="Y90" s="198"/>
      <c r="Z90" s="198"/>
    </row>
    <row r="91" ht="91.5" customHeight="1">
      <c r="A91" s="370">
        <v>41715.0</v>
      </c>
      <c r="B91" s="285" t="s">
        <v>25</v>
      </c>
      <c r="C91" s="285">
        <v>2255.0</v>
      </c>
      <c r="D91" s="285" t="s">
        <v>12174</v>
      </c>
      <c r="E91" s="287" t="s">
        <v>10860</v>
      </c>
      <c r="F91" s="288">
        <v>46067.0</v>
      </c>
      <c r="G91" s="288">
        <v>46061.0</v>
      </c>
      <c r="H91" s="288">
        <v>46061.0</v>
      </c>
      <c r="I91" s="288">
        <v>46072.0</v>
      </c>
      <c r="J91" s="288">
        <v>46072.0</v>
      </c>
      <c r="K91" s="285"/>
      <c r="L91" s="485"/>
      <c r="M91" s="290" t="s">
        <v>12175</v>
      </c>
      <c r="N91" s="285" t="s">
        <v>497</v>
      </c>
      <c r="O91" s="322" t="s">
        <v>2554</v>
      </c>
      <c r="P91" s="300">
        <v>35509.5</v>
      </c>
      <c r="Q91" s="299">
        <f t="shared" si="2"/>
        <v>7</v>
      </c>
      <c r="R91" s="299" t="s">
        <v>9198</v>
      </c>
      <c r="S91" s="299" t="s">
        <v>9171</v>
      </c>
      <c r="T91" s="198"/>
      <c r="U91" s="198"/>
      <c r="V91" s="198"/>
      <c r="W91" s="198"/>
      <c r="X91" s="198"/>
      <c r="Y91" s="198"/>
      <c r="Z91" s="198"/>
    </row>
    <row r="92" ht="91.5" customHeight="1">
      <c r="A92" s="370">
        <v>41431.0</v>
      </c>
      <c r="B92" s="285" t="s">
        <v>715</v>
      </c>
      <c r="C92" s="285">
        <v>5251.0</v>
      </c>
      <c r="D92" s="285" t="s">
        <v>12176</v>
      </c>
      <c r="E92" s="287" t="s">
        <v>10539</v>
      </c>
      <c r="F92" s="288">
        <v>46067.0</v>
      </c>
      <c r="G92" s="288">
        <v>46047.0</v>
      </c>
      <c r="H92" s="288">
        <v>46047.0</v>
      </c>
      <c r="I92" s="288">
        <v>46072.0</v>
      </c>
      <c r="J92" s="288">
        <v>46072.0</v>
      </c>
      <c r="K92" s="285"/>
      <c r="L92" s="485"/>
      <c r="M92" s="290" t="s">
        <v>12177</v>
      </c>
      <c r="N92" s="285" t="s">
        <v>497</v>
      </c>
      <c r="O92" s="322" t="s">
        <v>2554</v>
      </c>
      <c r="P92" s="300">
        <v>26250.0</v>
      </c>
      <c r="Q92" s="299">
        <f t="shared" si="2"/>
        <v>7</v>
      </c>
      <c r="R92" s="299" t="s">
        <v>9170</v>
      </c>
      <c r="S92" s="299" t="s">
        <v>9171</v>
      </c>
      <c r="T92" s="198"/>
      <c r="U92" s="198"/>
      <c r="V92" s="198"/>
      <c r="W92" s="198"/>
      <c r="X92" s="198"/>
      <c r="Y92" s="198"/>
      <c r="Z92" s="198"/>
    </row>
    <row r="93" ht="91.5" customHeight="1">
      <c r="A93" s="370">
        <v>41546.0</v>
      </c>
      <c r="B93" s="285" t="s">
        <v>715</v>
      </c>
      <c r="C93" s="285">
        <v>500.0</v>
      </c>
      <c r="D93" s="285" t="s">
        <v>12178</v>
      </c>
      <c r="E93" s="287" t="s">
        <v>7415</v>
      </c>
      <c r="F93" s="288">
        <v>46065.0</v>
      </c>
      <c r="G93" s="288">
        <v>46058.0</v>
      </c>
      <c r="H93" s="288">
        <v>46058.0</v>
      </c>
      <c r="I93" s="288">
        <v>46071.0</v>
      </c>
      <c r="J93" s="288">
        <v>46071.0</v>
      </c>
      <c r="K93" s="285"/>
      <c r="L93" s="485"/>
      <c r="M93" s="290" t="s">
        <v>12179</v>
      </c>
      <c r="N93" s="285" t="s">
        <v>6366</v>
      </c>
      <c r="O93" s="322" t="s">
        <v>2628</v>
      </c>
      <c r="P93" s="300">
        <v>52953.0</v>
      </c>
      <c r="Q93" s="299">
        <f t="shared" si="2"/>
        <v>7</v>
      </c>
      <c r="R93" s="299"/>
      <c r="S93" s="299" t="s">
        <v>10487</v>
      </c>
      <c r="T93" s="198"/>
      <c r="U93" s="198"/>
      <c r="V93" s="198"/>
      <c r="W93" s="198"/>
      <c r="X93" s="198"/>
      <c r="Y93" s="198"/>
      <c r="Z93" s="198"/>
    </row>
    <row r="94" ht="91.5" customHeight="1">
      <c r="A94" s="370">
        <v>41428.0</v>
      </c>
      <c r="B94" s="285" t="s">
        <v>25</v>
      </c>
      <c r="C94" s="285">
        <v>930.0</v>
      </c>
      <c r="D94" s="285" t="s">
        <v>12180</v>
      </c>
      <c r="E94" s="287" t="s">
        <v>12181</v>
      </c>
      <c r="F94" s="288">
        <v>46065.0</v>
      </c>
      <c r="G94" s="288">
        <v>46063.0</v>
      </c>
      <c r="H94" s="288">
        <v>46063.0</v>
      </c>
      <c r="I94" s="288">
        <v>46071.0</v>
      </c>
      <c r="J94" s="288">
        <v>46071.0</v>
      </c>
      <c r="K94" s="285"/>
      <c r="L94" s="485"/>
      <c r="M94" s="290" t="s">
        <v>12182</v>
      </c>
      <c r="N94" s="285" t="s">
        <v>4635</v>
      </c>
      <c r="O94" s="322" t="s">
        <v>2621</v>
      </c>
      <c r="P94" s="300">
        <v>35663.9</v>
      </c>
      <c r="Q94" s="299">
        <f t="shared" si="2"/>
        <v>7</v>
      </c>
      <c r="R94" s="299"/>
      <c r="S94" s="299" t="s">
        <v>8430</v>
      </c>
      <c r="T94" s="198"/>
      <c r="U94" s="198"/>
      <c r="V94" s="198"/>
      <c r="W94" s="198"/>
      <c r="X94" s="198"/>
      <c r="Y94" s="198"/>
      <c r="Z94" s="198"/>
    </row>
    <row r="95" ht="91.5" customHeight="1">
      <c r="A95" s="370">
        <v>41766.0</v>
      </c>
      <c r="B95" s="285" t="s">
        <v>25</v>
      </c>
      <c r="C95" s="285" t="s">
        <v>12183</v>
      </c>
      <c r="D95" s="285" t="s">
        <v>12184</v>
      </c>
      <c r="E95" s="287" t="s">
        <v>12129</v>
      </c>
      <c r="F95" s="288">
        <v>46063.0</v>
      </c>
      <c r="G95" s="288">
        <v>46058.0</v>
      </c>
      <c r="H95" s="288">
        <v>46058.0</v>
      </c>
      <c r="I95" s="288">
        <v>46072.0</v>
      </c>
      <c r="J95" s="288">
        <v>46072.0</v>
      </c>
      <c r="K95" s="285"/>
      <c r="L95" s="485"/>
      <c r="M95" s="290" t="s">
        <v>12185</v>
      </c>
      <c r="N95" s="285" t="s">
        <v>4635</v>
      </c>
      <c r="O95" s="322" t="s">
        <v>2621</v>
      </c>
      <c r="P95" s="300">
        <v>18072.0</v>
      </c>
      <c r="Q95" s="299">
        <f t="shared" si="2"/>
        <v>7</v>
      </c>
      <c r="R95" s="299"/>
      <c r="S95" s="299" t="s">
        <v>10487</v>
      </c>
      <c r="T95" s="198"/>
      <c r="U95" s="198"/>
      <c r="V95" s="198"/>
      <c r="W95" s="198"/>
      <c r="X95" s="198"/>
      <c r="Y95" s="198"/>
      <c r="Z95" s="198"/>
    </row>
    <row r="96" ht="91.5" customHeight="1">
      <c r="A96" s="370">
        <v>41880.0</v>
      </c>
      <c r="B96" s="285" t="s">
        <v>21</v>
      </c>
      <c r="C96" s="285">
        <v>2091.0</v>
      </c>
      <c r="D96" s="285" t="s">
        <v>12186</v>
      </c>
      <c r="E96" s="287" t="s">
        <v>12187</v>
      </c>
      <c r="F96" s="288">
        <v>46062.0</v>
      </c>
      <c r="G96" s="288">
        <v>46057.0</v>
      </c>
      <c r="H96" s="288">
        <v>46057.0</v>
      </c>
      <c r="I96" s="288">
        <v>46071.0</v>
      </c>
      <c r="J96" s="288">
        <v>46071.0</v>
      </c>
      <c r="K96" s="285" t="s">
        <v>5270</v>
      </c>
      <c r="L96" s="572" t="s">
        <v>9178</v>
      </c>
      <c r="M96" s="290" t="s">
        <v>12188</v>
      </c>
      <c r="N96" s="299" t="s">
        <v>6366</v>
      </c>
      <c r="O96" s="322" t="s">
        <v>2621</v>
      </c>
      <c r="P96" s="300">
        <v>30244.61</v>
      </c>
      <c r="Q96" s="299">
        <f t="shared" si="2"/>
        <v>7</v>
      </c>
      <c r="R96" s="299"/>
      <c r="S96" s="299" t="s">
        <v>10487</v>
      </c>
      <c r="T96" s="198"/>
      <c r="U96" s="198"/>
      <c r="V96" s="198"/>
      <c r="W96" s="198"/>
      <c r="X96" s="198"/>
      <c r="Y96" s="198"/>
      <c r="Z96" s="198"/>
    </row>
    <row r="97" ht="91.5" customHeight="1">
      <c r="A97" s="370">
        <v>41641.0</v>
      </c>
      <c r="B97" s="285" t="s">
        <v>715</v>
      </c>
      <c r="C97" s="285">
        <v>2802.0</v>
      </c>
      <c r="D97" s="285" t="s">
        <v>12189</v>
      </c>
      <c r="E97" s="287" t="s">
        <v>12190</v>
      </c>
      <c r="F97" s="288">
        <v>46062.0</v>
      </c>
      <c r="G97" s="288">
        <v>46056.0</v>
      </c>
      <c r="H97" s="288">
        <v>46056.0</v>
      </c>
      <c r="I97" s="288">
        <v>46066.0</v>
      </c>
      <c r="J97" s="288">
        <v>46066.0</v>
      </c>
      <c r="K97" s="285"/>
      <c r="L97" s="485"/>
      <c r="M97" s="290" t="s">
        <v>12191</v>
      </c>
      <c r="N97" s="285" t="s">
        <v>497</v>
      </c>
      <c r="O97" s="322" t="s">
        <v>2554</v>
      </c>
      <c r="P97" s="300">
        <v>40460.0</v>
      </c>
      <c r="Q97" s="299">
        <f t="shared" si="2"/>
        <v>7</v>
      </c>
      <c r="R97" s="299" t="s">
        <v>9170</v>
      </c>
      <c r="S97" s="299" t="s">
        <v>9171</v>
      </c>
      <c r="T97" s="198"/>
      <c r="U97" s="198"/>
      <c r="V97" s="198"/>
      <c r="W97" s="198"/>
      <c r="X97" s="198"/>
      <c r="Y97" s="198"/>
      <c r="Z97" s="198"/>
    </row>
    <row r="98" ht="91.5" customHeight="1">
      <c r="A98" s="370">
        <v>41448.0</v>
      </c>
      <c r="B98" s="285" t="s">
        <v>6501</v>
      </c>
      <c r="C98" s="285">
        <v>940.0</v>
      </c>
      <c r="D98" s="367" t="s">
        <v>12192</v>
      </c>
      <c r="E98" s="287" t="s">
        <v>12193</v>
      </c>
      <c r="F98" s="288">
        <v>46062.0</v>
      </c>
      <c r="G98" s="288">
        <v>46059.0</v>
      </c>
      <c r="H98" s="288">
        <v>46059.0</v>
      </c>
      <c r="I98" s="288">
        <v>46071.0</v>
      </c>
      <c r="J98" s="288">
        <v>46071.0</v>
      </c>
      <c r="K98" s="285"/>
      <c r="L98" s="485"/>
      <c r="M98" s="290" t="s">
        <v>12194</v>
      </c>
      <c r="N98" s="285" t="s">
        <v>4635</v>
      </c>
      <c r="O98" s="322" t="s">
        <v>2621</v>
      </c>
      <c r="P98" s="300">
        <v>45287.2</v>
      </c>
      <c r="Q98" s="299">
        <f t="shared" si="2"/>
        <v>7</v>
      </c>
      <c r="R98" s="299"/>
      <c r="S98" s="299" t="s">
        <v>8430</v>
      </c>
      <c r="T98" s="198"/>
      <c r="U98" s="198"/>
      <c r="V98" s="198"/>
      <c r="W98" s="198"/>
      <c r="X98" s="198"/>
      <c r="Y98" s="198"/>
      <c r="Z98" s="198"/>
    </row>
    <row r="99" ht="91.5" customHeight="1">
      <c r="A99" s="370">
        <v>41948.0</v>
      </c>
      <c r="B99" s="285" t="s">
        <v>21</v>
      </c>
      <c r="C99" s="285">
        <v>1250.0</v>
      </c>
      <c r="D99" s="285" t="s">
        <v>12195</v>
      </c>
      <c r="E99" s="287" t="s">
        <v>12196</v>
      </c>
      <c r="F99" s="288">
        <v>46058.0</v>
      </c>
      <c r="G99" s="288">
        <v>46064.0</v>
      </c>
      <c r="H99" s="288">
        <v>46062.0</v>
      </c>
      <c r="I99" s="288">
        <v>46062.0</v>
      </c>
      <c r="J99" s="288">
        <v>46062.0</v>
      </c>
      <c r="K99" s="285" t="s">
        <v>12197</v>
      </c>
      <c r="L99" s="485"/>
      <c r="M99" s="290" t="s">
        <v>12198</v>
      </c>
      <c r="N99" s="299" t="s">
        <v>4635</v>
      </c>
      <c r="O99" s="322" t="s">
        <v>2621</v>
      </c>
      <c r="P99" s="300">
        <v>27199.5</v>
      </c>
      <c r="Q99" s="299">
        <f t="shared" si="2"/>
        <v>6</v>
      </c>
      <c r="R99" s="299"/>
      <c r="S99" s="299" t="s">
        <v>8430</v>
      </c>
      <c r="T99" s="198"/>
      <c r="U99" s="198"/>
      <c r="V99" s="198"/>
      <c r="W99" s="198"/>
      <c r="X99" s="198"/>
      <c r="Y99" s="198"/>
      <c r="Z99" s="198"/>
    </row>
    <row r="100" ht="91.5" customHeight="1">
      <c r="A100" s="370">
        <v>41941.0</v>
      </c>
      <c r="B100" s="285" t="s">
        <v>25</v>
      </c>
      <c r="C100" s="285">
        <v>1235.0</v>
      </c>
      <c r="D100" s="285" t="s">
        <v>12199</v>
      </c>
      <c r="E100" s="287" t="s">
        <v>12200</v>
      </c>
      <c r="F100" s="288">
        <v>46056.0</v>
      </c>
      <c r="G100" s="288">
        <v>46070.0</v>
      </c>
      <c r="H100" s="288">
        <v>46063.0</v>
      </c>
      <c r="I100" s="288">
        <v>46063.0</v>
      </c>
      <c r="J100" s="288">
        <v>46063.0</v>
      </c>
      <c r="K100" s="285"/>
      <c r="L100" s="485"/>
      <c r="M100" s="290" t="s">
        <v>12201</v>
      </c>
      <c r="N100" s="285" t="s">
        <v>4635</v>
      </c>
      <c r="O100" s="322" t="s">
        <v>2621</v>
      </c>
      <c r="P100" s="300">
        <v>25031.65</v>
      </c>
      <c r="Q100" s="299">
        <f t="shared" si="2"/>
        <v>6</v>
      </c>
      <c r="R100" s="299"/>
      <c r="S100" s="299" t="s">
        <v>8430</v>
      </c>
      <c r="T100" s="198"/>
      <c r="U100" s="198"/>
      <c r="V100" s="198"/>
      <c r="W100" s="198"/>
      <c r="X100" s="198"/>
      <c r="Y100" s="198"/>
      <c r="Z100" s="198"/>
    </row>
    <row r="101" ht="91.5" customHeight="1">
      <c r="A101" s="370">
        <v>41398.0</v>
      </c>
      <c r="B101" s="285" t="s">
        <v>715</v>
      </c>
      <c r="C101" s="285">
        <v>1000.0</v>
      </c>
      <c r="D101" s="285" t="s">
        <v>12202</v>
      </c>
      <c r="E101" s="287" t="s">
        <v>12203</v>
      </c>
      <c r="F101" s="288">
        <v>46053.0</v>
      </c>
      <c r="G101" s="288">
        <v>46050.0</v>
      </c>
      <c r="H101" s="288">
        <v>46050.0</v>
      </c>
      <c r="I101" s="288">
        <v>46058.0</v>
      </c>
      <c r="J101" s="288">
        <v>46058.0</v>
      </c>
      <c r="K101" s="285"/>
      <c r="L101" s="485"/>
      <c r="M101" s="290" t="s">
        <v>12204</v>
      </c>
      <c r="N101" s="285" t="s">
        <v>4635</v>
      </c>
      <c r="O101" s="322" t="s">
        <v>2621</v>
      </c>
      <c r="P101" s="300">
        <v>29826.0</v>
      </c>
      <c r="Q101" s="299">
        <f t="shared" si="2"/>
        <v>5</v>
      </c>
      <c r="R101" s="299"/>
      <c r="S101" s="299" t="s">
        <v>8430</v>
      </c>
      <c r="T101" s="198"/>
      <c r="U101" s="198"/>
      <c r="V101" s="198"/>
      <c r="W101" s="198"/>
      <c r="X101" s="198"/>
      <c r="Y101" s="198"/>
      <c r="Z101" s="198"/>
    </row>
    <row r="102" ht="91.5" customHeight="1">
      <c r="A102" s="370">
        <v>41823.0</v>
      </c>
      <c r="B102" s="285" t="s">
        <v>6501</v>
      </c>
      <c r="C102" s="285">
        <v>940.0</v>
      </c>
      <c r="D102" s="285" t="s">
        <v>12205</v>
      </c>
      <c r="E102" s="287" t="s">
        <v>12206</v>
      </c>
      <c r="F102" s="288">
        <v>46052.0</v>
      </c>
      <c r="G102" s="288">
        <v>46049.0</v>
      </c>
      <c r="H102" s="288">
        <v>46049.0</v>
      </c>
      <c r="I102" s="288">
        <v>46058.0</v>
      </c>
      <c r="J102" s="288">
        <v>46058.0</v>
      </c>
      <c r="K102" s="285"/>
      <c r="L102" s="485"/>
      <c r="M102" s="290" t="s">
        <v>12207</v>
      </c>
      <c r="N102" s="285" t="s">
        <v>4635</v>
      </c>
      <c r="O102" s="322" t="s">
        <v>2621</v>
      </c>
      <c r="P102" s="300">
        <v>39633.6</v>
      </c>
      <c r="Q102" s="299">
        <f t="shared" si="2"/>
        <v>5</v>
      </c>
      <c r="R102" s="299"/>
      <c r="S102" s="299" t="s">
        <v>8430</v>
      </c>
      <c r="T102" s="198"/>
      <c r="U102" s="198"/>
      <c r="V102" s="198"/>
      <c r="W102" s="198"/>
      <c r="X102" s="198"/>
      <c r="Y102" s="198"/>
      <c r="Z102" s="198"/>
    </row>
    <row r="103" ht="91.5" customHeight="1">
      <c r="A103" s="370">
        <v>41736.0</v>
      </c>
      <c r="B103" s="285" t="s">
        <v>715</v>
      </c>
      <c r="C103" s="285">
        <v>647.0</v>
      </c>
      <c r="D103" s="285" t="s">
        <v>12208</v>
      </c>
      <c r="E103" s="287" t="s">
        <v>4743</v>
      </c>
      <c r="F103" s="288">
        <v>46052.0</v>
      </c>
      <c r="G103" s="288">
        <v>46044.0</v>
      </c>
      <c r="H103" s="288">
        <v>46044.0</v>
      </c>
      <c r="I103" s="288">
        <v>46057.0</v>
      </c>
      <c r="J103" s="288">
        <v>46057.0</v>
      </c>
      <c r="K103" s="285"/>
      <c r="L103" s="485"/>
      <c r="M103" s="290" t="s">
        <v>12209</v>
      </c>
      <c r="N103" s="299" t="s">
        <v>4745</v>
      </c>
      <c r="O103" s="322" t="s">
        <v>4746</v>
      </c>
      <c r="P103" s="300">
        <v>83985.6</v>
      </c>
      <c r="Q103" s="299">
        <f t="shared" si="2"/>
        <v>5</v>
      </c>
      <c r="R103" s="299"/>
      <c r="S103" s="299" t="s">
        <v>10487</v>
      </c>
      <c r="T103" s="198"/>
      <c r="U103" s="198"/>
      <c r="V103" s="198"/>
      <c r="W103" s="198"/>
      <c r="X103" s="198"/>
      <c r="Y103" s="198"/>
      <c r="Z103" s="198"/>
    </row>
    <row r="104" ht="91.5" customHeight="1">
      <c r="A104" s="370">
        <v>41496.0</v>
      </c>
      <c r="B104" s="285" t="s">
        <v>21</v>
      </c>
      <c r="C104" s="285">
        <v>5245.0</v>
      </c>
      <c r="D104" s="285" t="s">
        <v>12210</v>
      </c>
      <c r="E104" s="287" t="s">
        <v>12211</v>
      </c>
      <c r="F104" s="288">
        <v>46051.0</v>
      </c>
      <c r="G104" s="288">
        <v>46047.0</v>
      </c>
      <c r="H104" s="288">
        <v>46047.0</v>
      </c>
      <c r="I104" s="288">
        <v>46057.0</v>
      </c>
      <c r="J104" s="288">
        <v>46057.0</v>
      </c>
      <c r="K104" s="285" t="s">
        <v>5270</v>
      </c>
      <c r="L104" s="572" t="s">
        <v>9178</v>
      </c>
      <c r="M104" s="290" t="s">
        <v>12212</v>
      </c>
      <c r="N104" s="285" t="s">
        <v>4635</v>
      </c>
      <c r="O104" s="322" t="s">
        <v>2621</v>
      </c>
      <c r="P104" s="300">
        <v>45185.7</v>
      </c>
      <c r="Q104" s="299">
        <f t="shared" si="2"/>
        <v>5</v>
      </c>
      <c r="R104" s="299"/>
      <c r="S104" s="299" t="s">
        <v>10487</v>
      </c>
      <c r="T104" s="198"/>
      <c r="U104" s="198"/>
      <c r="V104" s="198"/>
      <c r="W104" s="198"/>
      <c r="X104" s="198"/>
      <c r="Y104" s="198"/>
      <c r="Z104" s="198"/>
    </row>
    <row r="105" ht="91.5" customHeight="1">
      <c r="A105" s="370" t="s">
        <v>12213</v>
      </c>
      <c r="B105" s="285" t="s">
        <v>715</v>
      </c>
      <c r="C105" s="285">
        <v>1100.0</v>
      </c>
      <c r="D105" s="367" t="s">
        <v>12214</v>
      </c>
      <c r="E105" s="287" t="s">
        <v>11089</v>
      </c>
      <c r="F105" s="288">
        <v>46051.0</v>
      </c>
      <c r="G105" s="288">
        <v>46048.0</v>
      </c>
      <c r="H105" s="288">
        <v>46048.0</v>
      </c>
      <c r="I105" s="288">
        <v>46056.0</v>
      </c>
      <c r="J105" s="288">
        <v>46056.0</v>
      </c>
      <c r="K105" s="285"/>
      <c r="L105" s="485"/>
      <c r="M105" s="290" t="s">
        <v>12215</v>
      </c>
      <c r="N105" s="299" t="s">
        <v>497</v>
      </c>
      <c r="O105" s="322" t="s">
        <v>2538</v>
      </c>
      <c r="P105" s="300">
        <v>107160.0</v>
      </c>
      <c r="Q105" s="299">
        <f t="shared" si="2"/>
        <v>5</v>
      </c>
      <c r="R105" s="299"/>
      <c r="S105" s="299" t="s">
        <v>10487</v>
      </c>
      <c r="T105" s="198"/>
      <c r="U105" s="198"/>
      <c r="V105" s="198"/>
      <c r="W105" s="198"/>
      <c r="X105" s="198"/>
      <c r="Y105" s="198"/>
      <c r="Z105" s="198"/>
    </row>
    <row r="106" ht="91.5" customHeight="1">
      <c r="A106" s="370">
        <v>41747.0</v>
      </c>
      <c r="B106" s="285" t="s">
        <v>21</v>
      </c>
      <c r="C106" s="285">
        <v>5250.0</v>
      </c>
      <c r="D106" s="285" t="s">
        <v>12216</v>
      </c>
      <c r="E106" s="287" t="s">
        <v>12217</v>
      </c>
      <c r="F106" s="288">
        <v>46048.0</v>
      </c>
      <c r="G106" s="288">
        <v>46042.0</v>
      </c>
      <c r="H106" s="288">
        <v>46042.0</v>
      </c>
      <c r="I106" s="288">
        <v>46056.0</v>
      </c>
      <c r="J106" s="288">
        <v>46056.0</v>
      </c>
      <c r="K106" s="285" t="s">
        <v>5270</v>
      </c>
      <c r="L106" s="572" t="s">
        <v>9178</v>
      </c>
      <c r="M106" s="290" t="s">
        <v>12218</v>
      </c>
      <c r="N106" s="285" t="s">
        <v>497</v>
      </c>
      <c r="O106" s="322" t="s">
        <v>2554</v>
      </c>
      <c r="P106" s="300">
        <v>32917.5</v>
      </c>
      <c r="Q106" s="299">
        <f t="shared" si="2"/>
        <v>5</v>
      </c>
      <c r="R106" s="299" t="s">
        <v>9198</v>
      </c>
      <c r="S106" s="299" t="s">
        <v>9171</v>
      </c>
      <c r="T106" s="198"/>
      <c r="U106" s="198"/>
      <c r="V106" s="198"/>
      <c r="W106" s="198"/>
      <c r="X106" s="198"/>
      <c r="Y106" s="198"/>
      <c r="Z106" s="198"/>
    </row>
    <row r="107" ht="91.5" customHeight="1">
      <c r="A107" s="370">
        <v>41746.0</v>
      </c>
      <c r="B107" s="285" t="s">
        <v>21</v>
      </c>
      <c r="C107" s="285">
        <v>2413.0</v>
      </c>
      <c r="D107" s="285" t="s">
        <v>12219</v>
      </c>
      <c r="E107" s="287" t="s">
        <v>12220</v>
      </c>
      <c r="F107" s="288">
        <v>46048.0</v>
      </c>
      <c r="G107" s="288">
        <v>46042.0</v>
      </c>
      <c r="H107" s="288">
        <v>46042.0</v>
      </c>
      <c r="I107" s="288">
        <v>46055.0</v>
      </c>
      <c r="J107" s="288">
        <v>46055.0</v>
      </c>
      <c r="K107" s="591" t="s">
        <v>4916</v>
      </c>
      <c r="L107" s="579"/>
      <c r="M107" s="290" t="s">
        <v>12221</v>
      </c>
      <c r="N107" s="285" t="s">
        <v>497</v>
      </c>
      <c r="O107" s="322" t="s">
        <v>2554</v>
      </c>
      <c r="P107" s="300">
        <v>42468.8</v>
      </c>
      <c r="Q107" s="299">
        <f t="shared" si="2"/>
        <v>5</v>
      </c>
      <c r="R107" s="299" t="s">
        <v>9198</v>
      </c>
      <c r="S107" s="299" t="s">
        <v>9171</v>
      </c>
      <c r="T107" s="198"/>
      <c r="U107" s="198"/>
      <c r="V107" s="198"/>
      <c r="W107" s="198"/>
      <c r="X107" s="198"/>
      <c r="Y107" s="198"/>
      <c r="Z107" s="198"/>
    </row>
    <row r="108" ht="91.5" customHeight="1">
      <c r="A108" s="370">
        <v>41545.0</v>
      </c>
      <c r="B108" s="285" t="s">
        <v>715</v>
      </c>
      <c r="C108" s="285">
        <v>1000.0</v>
      </c>
      <c r="D108" s="285" t="s">
        <v>12222</v>
      </c>
      <c r="E108" s="287" t="s">
        <v>7415</v>
      </c>
      <c r="F108" s="288">
        <v>46046.0</v>
      </c>
      <c r="G108" s="288">
        <v>46042.0</v>
      </c>
      <c r="H108" s="288">
        <v>46042.0</v>
      </c>
      <c r="I108" s="288">
        <v>46051.0</v>
      </c>
      <c r="J108" s="288">
        <v>46051.0</v>
      </c>
      <c r="K108" s="285"/>
      <c r="L108" s="485"/>
      <c r="M108" s="290" t="s">
        <v>12223</v>
      </c>
      <c r="N108" s="285" t="s">
        <v>6366</v>
      </c>
      <c r="O108" s="322" t="s">
        <v>2628</v>
      </c>
      <c r="P108" s="300">
        <v>107567.0</v>
      </c>
      <c r="Q108" s="299">
        <f t="shared" si="2"/>
        <v>4</v>
      </c>
      <c r="R108" s="299"/>
      <c r="S108" s="299" t="s">
        <v>10487</v>
      </c>
      <c r="T108" s="198"/>
      <c r="U108" s="198"/>
      <c r="V108" s="198"/>
      <c r="W108" s="198"/>
      <c r="X108" s="198"/>
      <c r="Y108" s="198"/>
      <c r="Z108" s="198"/>
    </row>
    <row r="109" ht="91.5" customHeight="1">
      <c r="A109" s="370">
        <v>41197.0</v>
      </c>
      <c r="B109" s="285" t="s">
        <v>6501</v>
      </c>
      <c r="C109" s="285">
        <v>2597.0</v>
      </c>
      <c r="D109" s="285" t="s">
        <v>12224</v>
      </c>
      <c r="E109" s="287" t="s">
        <v>12225</v>
      </c>
      <c r="F109" s="288">
        <v>46044.0</v>
      </c>
      <c r="G109" s="288">
        <v>46040.0</v>
      </c>
      <c r="H109" s="288">
        <v>46040.0</v>
      </c>
      <c r="I109" s="288">
        <v>46051.0</v>
      </c>
      <c r="J109" s="288">
        <v>46051.0</v>
      </c>
      <c r="K109" s="285"/>
      <c r="L109" s="485"/>
      <c r="M109" s="290" t="s">
        <v>12226</v>
      </c>
      <c r="N109" s="299" t="s">
        <v>497</v>
      </c>
      <c r="O109" s="322" t="s">
        <v>2554</v>
      </c>
      <c r="P109" s="300">
        <v>49733.44</v>
      </c>
      <c r="Q109" s="299">
        <f t="shared" si="2"/>
        <v>4</v>
      </c>
      <c r="R109" s="299" t="s">
        <v>9170</v>
      </c>
      <c r="S109" s="299" t="s">
        <v>9171</v>
      </c>
      <c r="T109" s="198"/>
      <c r="U109" s="198"/>
      <c r="V109" s="198"/>
      <c r="W109" s="198"/>
      <c r="X109" s="198"/>
      <c r="Y109" s="198"/>
      <c r="Z109" s="198"/>
    </row>
    <row r="110" ht="91.5" customHeight="1">
      <c r="A110" s="370">
        <v>41397.0</v>
      </c>
      <c r="B110" s="285" t="s">
        <v>715</v>
      </c>
      <c r="C110" s="285">
        <v>1000.0</v>
      </c>
      <c r="D110" s="285" t="s">
        <v>12227</v>
      </c>
      <c r="E110" s="287" t="s">
        <v>12228</v>
      </c>
      <c r="F110" s="288">
        <v>46039.0</v>
      </c>
      <c r="G110" s="288">
        <v>46048.0</v>
      </c>
      <c r="H110" s="288">
        <v>46045.0</v>
      </c>
      <c r="I110" s="288">
        <v>46045.0</v>
      </c>
      <c r="J110" s="288">
        <v>46045.0</v>
      </c>
      <c r="K110" s="285"/>
      <c r="L110" s="485"/>
      <c r="M110" s="290" t="s">
        <v>12229</v>
      </c>
      <c r="N110" s="299" t="s">
        <v>4635</v>
      </c>
      <c r="O110" s="322" t="s">
        <v>2621</v>
      </c>
      <c r="P110" s="300">
        <v>33673.0</v>
      </c>
      <c r="Q110" s="299">
        <f t="shared" si="2"/>
        <v>3</v>
      </c>
      <c r="R110" s="299"/>
      <c r="S110" s="299" t="s">
        <v>8430</v>
      </c>
      <c r="T110" s="198"/>
      <c r="U110" s="198"/>
      <c r="V110" s="198"/>
      <c r="W110" s="198"/>
      <c r="X110" s="198"/>
      <c r="Y110" s="198"/>
      <c r="Z110" s="198"/>
    </row>
    <row r="111" ht="91.5" customHeight="1">
      <c r="A111" s="370">
        <v>41479.0</v>
      </c>
      <c r="B111" s="285" t="s">
        <v>715</v>
      </c>
      <c r="C111" s="285">
        <v>501.0</v>
      </c>
      <c r="D111" s="285" t="s">
        <v>12230</v>
      </c>
      <c r="E111" s="287" t="s">
        <v>11089</v>
      </c>
      <c r="F111" s="288">
        <v>46038.0</v>
      </c>
      <c r="G111" s="288">
        <v>46035.0</v>
      </c>
      <c r="H111" s="288">
        <v>46035.0</v>
      </c>
      <c r="I111" s="288">
        <v>46043.0</v>
      </c>
      <c r="J111" s="288">
        <v>46043.0</v>
      </c>
      <c r="K111" s="285"/>
      <c r="L111" s="485"/>
      <c r="M111" s="290" t="s">
        <v>12231</v>
      </c>
      <c r="N111" s="299" t="s">
        <v>497</v>
      </c>
      <c r="O111" s="322" t="s">
        <v>4169</v>
      </c>
      <c r="P111" s="300">
        <v>142500.0</v>
      </c>
      <c r="Q111" s="299">
        <f t="shared" si="2"/>
        <v>3</v>
      </c>
      <c r="R111" s="299"/>
      <c r="S111" s="299" t="s">
        <v>10487</v>
      </c>
      <c r="T111" s="198"/>
      <c r="U111" s="198"/>
      <c r="V111" s="198"/>
      <c r="W111" s="198"/>
      <c r="X111" s="198"/>
      <c r="Y111" s="198"/>
      <c r="Z111" s="198"/>
    </row>
    <row r="112" ht="91.5" customHeight="1">
      <c r="A112" s="370">
        <v>41430.0</v>
      </c>
      <c r="B112" s="285" t="s">
        <v>715</v>
      </c>
      <c r="C112" s="285">
        <v>5251.0</v>
      </c>
      <c r="D112" s="285" t="s">
        <v>12232</v>
      </c>
      <c r="E112" s="287" t="s">
        <v>10539</v>
      </c>
      <c r="F112" s="288">
        <v>46038.0</v>
      </c>
      <c r="G112" s="288">
        <v>46034.0</v>
      </c>
      <c r="H112" s="288">
        <v>46034.0</v>
      </c>
      <c r="I112" s="288">
        <v>46044.0</v>
      </c>
      <c r="J112" s="288">
        <v>46044.0</v>
      </c>
      <c r="K112" s="285"/>
      <c r="L112" s="485"/>
      <c r="M112" s="290" t="s">
        <v>12233</v>
      </c>
      <c r="N112" s="285" t="s">
        <v>497</v>
      </c>
      <c r="O112" s="322" t="s">
        <v>2554</v>
      </c>
      <c r="P112" s="300">
        <v>26250.0</v>
      </c>
      <c r="Q112" s="299">
        <f t="shared" si="2"/>
        <v>3</v>
      </c>
      <c r="R112" s="299" t="s">
        <v>9170</v>
      </c>
      <c r="S112" s="299" t="s">
        <v>9171</v>
      </c>
      <c r="T112" s="198"/>
      <c r="U112" s="198"/>
      <c r="V112" s="198"/>
      <c r="W112" s="198"/>
      <c r="X112" s="198"/>
      <c r="Y112" s="198"/>
      <c r="Z112" s="198"/>
    </row>
    <row r="113" ht="91.5" customHeight="1">
      <c r="A113" s="370">
        <v>41460.0</v>
      </c>
      <c r="B113" s="285" t="s">
        <v>715</v>
      </c>
      <c r="C113" s="285">
        <v>558.0</v>
      </c>
      <c r="D113" s="285" t="s">
        <v>12234</v>
      </c>
      <c r="E113" s="287" t="s">
        <v>12235</v>
      </c>
      <c r="F113" s="288">
        <v>46036.0</v>
      </c>
      <c r="G113" s="288">
        <v>46034.0</v>
      </c>
      <c r="H113" s="288">
        <v>46034.0</v>
      </c>
      <c r="I113" s="288">
        <v>46042.0</v>
      </c>
      <c r="J113" s="288">
        <v>46042.0</v>
      </c>
      <c r="K113" s="285"/>
      <c r="L113" s="485"/>
      <c r="M113" s="290" t="s">
        <v>12236</v>
      </c>
      <c r="N113" s="299" t="s">
        <v>4635</v>
      </c>
      <c r="O113" s="322" t="s">
        <v>2621</v>
      </c>
      <c r="P113" s="300">
        <v>59644.62</v>
      </c>
      <c r="Q113" s="299">
        <f t="shared" si="2"/>
        <v>3</v>
      </c>
      <c r="R113" s="299"/>
      <c r="S113" s="299" t="s">
        <v>10487</v>
      </c>
      <c r="T113" s="198"/>
      <c r="U113" s="198"/>
      <c r="V113" s="198"/>
      <c r="W113" s="198"/>
      <c r="X113" s="198"/>
      <c r="Y113" s="198"/>
      <c r="Z113" s="198"/>
    </row>
    <row r="114" ht="91.5" customHeight="1">
      <c r="A114" s="370">
        <v>41396.0</v>
      </c>
      <c r="B114" s="285" t="s">
        <v>715</v>
      </c>
      <c r="C114" s="285">
        <v>1000.0</v>
      </c>
      <c r="D114" s="285" t="s">
        <v>12237</v>
      </c>
      <c r="E114" s="287" t="s">
        <v>9291</v>
      </c>
      <c r="F114" s="288">
        <v>46036.0</v>
      </c>
      <c r="G114" s="288">
        <v>46028.0</v>
      </c>
      <c r="H114" s="288">
        <v>46028.0</v>
      </c>
      <c r="I114" s="288">
        <v>46044.0</v>
      </c>
      <c r="J114" s="288">
        <v>46044.0</v>
      </c>
      <c r="K114" s="285"/>
      <c r="L114" s="485"/>
      <c r="M114" s="290" t="s">
        <v>12238</v>
      </c>
      <c r="N114" s="285" t="s">
        <v>4635</v>
      </c>
      <c r="O114" s="322" t="s">
        <v>2621</v>
      </c>
      <c r="P114" s="300">
        <v>34408.0</v>
      </c>
      <c r="Q114" s="299">
        <f t="shared" si="2"/>
        <v>3</v>
      </c>
      <c r="R114" s="299"/>
      <c r="S114" s="299" t="s">
        <v>8430</v>
      </c>
      <c r="T114" s="198"/>
      <c r="U114" s="198"/>
      <c r="V114" s="198"/>
      <c r="W114" s="198"/>
      <c r="X114" s="198"/>
      <c r="Y114" s="198"/>
      <c r="Z114" s="198"/>
    </row>
    <row r="115" ht="91.5" customHeight="1">
      <c r="A115" s="370">
        <v>41419.0</v>
      </c>
      <c r="B115" s="285" t="s">
        <v>21</v>
      </c>
      <c r="C115" s="285">
        <v>4501.0</v>
      </c>
      <c r="D115" s="285" t="s">
        <v>12239</v>
      </c>
      <c r="E115" s="287" t="s">
        <v>10770</v>
      </c>
      <c r="F115" s="288">
        <v>46035.0</v>
      </c>
      <c r="G115" s="288">
        <v>46031.0</v>
      </c>
      <c r="H115" s="288">
        <v>46031.0</v>
      </c>
      <c r="I115" s="288">
        <v>46043.0</v>
      </c>
      <c r="J115" s="288">
        <v>46043.0</v>
      </c>
      <c r="K115" s="285" t="s">
        <v>5270</v>
      </c>
      <c r="L115" s="572" t="s">
        <v>9178</v>
      </c>
      <c r="M115" s="290" t="s">
        <v>12240</v>
      </c>
      <c r="N115" s="285" t="s">
        <v>497</v>
      </c>
      <c r="O115" s="322" t="s">
        <v>2554</v>
      </c>
      <c r="P115" s="300">
        <v>32625.0</v>
      </c>
      <c r="Q115" s="299">
        <f t="shared" si="2"/>
        <v>3</v>
      </c>
      <c r="R115" s="299" t="s">
        <v>9170</v>
      </c>
      <c r="S115" s="299" t="s">
        <v>9171</v>
      </c>
      <c r="T115" s="198"/>
      <c r="U115" s="198"/>
      <c r="V115" s="198"/>
      <c r="W115" s="198"/>
      <c r="X115" s="198"/>
      <c r="Y115" s="198"/>
      <c r="Z115" s="198"/>
    </row>
    <row r="116" ht="91.5" customHeight="1">
      <c r="A116" s="370">
        <v>41898.0</v>
      </c>
      <c r="B116" s="285" t="s">
        <v>21</v>
      </c>
      <c r="C116" s="285" t="s">
        <v>11183</v>
      </c>
      <c r="D116" s="285" t="s">
        <v>12241</v>
      </c>
      <c r="E116" s="287" t="s">
        <v>10977</v>
      </c>
      <c r="F116" s="288">
        <v>46035.0</v>
      </c>
      <c r="G116" s="288">
        <v>46034.0</v>
      </c>
      <c r="H116" s="288">
        <v>46034.0</v>
      </c>
      <c r="I116" s="288">
        <v>46043.0</v>
      </c>
      <c r="J116" s="288">
        <v>46043.0</v>
      </c>
      <c r="K116" s="285" t="s">
        <v>4841</v>
      </c>
      <c r="L116" s="485"/>
      <c r="M116" s="290" t="s">
        <v>12242</v>
      </c>
      <c r="N116" s="299" t="s">
        <v>4635</v>
      </c>
      <c r="O116" s="322" t="s">
        <v>2621</v>
      </c>
      <c r="P116" s="300">
        <v>35300.16</v>
      </c>
      <c r="Q116" s="299">
        <f t="shared" si="2"/>
        <v>3</v>
      </c>
      <c r="R116" s="299"/>
      <c r="S116" s="299" t="s">
        <v>10487</v>
      </c>
      <c r="T116" s="198"/>
      <c r="U116" s="198"/>
      <c r="V116" s="198"/>
      <c r="W116" s="198"/>
      <c r="X116" s="198"/>
      <c r="Y116" s="198"/>
      <c r="Z116" s="198"/>
    </row>
    <row r="117" ht="91.5" customHeight="1">
      <c r="A117" s="370">
        <v>41366.0</v>
      </c>
      <c r="B117" s="285" t="s">
        <v>21</v>
      </c>
      <c r="C117" s="285">
        <v>5005.0</v>
      </c>
      <c r="D117" s="285" t="s">
        <v>12243</v>
      </c>
      <c r="E117" s="287" t="s">
        <v>12244</v>
      </c>
      <c r="F117" s="288">
        <v>46032.0</v>
      </c>
      <c r="G117" s="288">
        <v>46030.0</v>
      </c>
      <c r="H117" s="288">
        <v>46030.0</v>
      </c>
      <c r="I117" s="288">
        <v>46037.0</v>
      </c>
      <c r="J117" s="288">
        <v>46037.0</v>
      </c>
      <c r="K117" s="285" t="s">
        <v>12245</v>
      </c>
      <c r="L117" s="572" t="s">
        <v>9178</v>
      </c>
      <c r="M117" s="290" t="s">
        <v>12246</v>
      </c>
      <c r="N117" s="285" t="s">
        <v>4635</v>
      </c>
      <c r="O117" s="322" t="s">
        <v>2621</v>
      </c>
      <c r="P117" s="300">
        <v>39977.3</v>
      </c>
      <c r="Q117" s="299">
        <f t="shared" si="2"/>
        <v>2</v>
      </c>
      <c r="R117" s="299"/>
      <c r="S117" s="299" t="s">
        <v>10487</v>
      </c>
      <c r="T117" s="198"/>
      <c r="U117" s="198"/>
      <c r="V117" s="198"/>
      <c r="W117" s="198"/>
      <c r="X117" s="198"/>
      <c r="Y117" s="198"/>
      <c r="Z117" s="198"/>
    </row>
    <row r="118" ht="91.5" customHeight="1">
      <c r="A118" s="370">
        <v>41769.0</v>
      </c>
      <c r="B118" s="285" t="s">
        <v>25</v>
      </c>
      <c r="C118" s="285">
        <v>980.0</v>
      </c>
      <c r="D118" s="285" t="s">
        <v>12247</v>
      </c>
      <c r="E118" s="287" t="s">
        <v>9322</v>
      </c>
      <c r="F118" s="288">
        <v>46029.0</v>
      </c>
      <c r="G118" s="288">
        <v>46026.0</v>
      </c>
      <c r="H118" s="288">
        <v>46026.0</v>
      </c>
      <c r="I118" s="288">
        <v>46035.0</v>
      </c>
      <c r="J118" s="288">
        <v>46035.0</v>
      </c>
      <c r="K118" s="285"/>
      <c r="L118" s="485"/>
      <c r="M118" s="290" t="s">
        <v>12248</v>
      </c>
      <c r="N118" s="299" t="s">
        <v>497</v>
      </c>
      <c r="O118" s="322" t="s">
        <v>4853</v>
      </c>
      <c r="P118" s="300">
        <v>22209.3</v>
      </c>
      <c r="Q118" s="299">
        <f t="shared" si="2"/>
        <v>2</v>
      </c>
      <c r="R118" s="299"/>
      <c r="S118" s="299" t="s">
        <v>10487</v>
      </c>
      <c r="T118" s="198"/>
      <c r="U118" s="198"/>
      <c r="V118" s="198"/>
      <c r="W118" s="198"/>
      <c r="X118" s="198"/>
      <c r="Y118" s="198"/>
      <c r="Z118" s="198"/>
    </row>
    <row r="119" ht="91.5" customHeight="1">
      <c r="A119" s="370">
        <v>41723.0</v>
      </c>
      <c r="B119" s="285" t="s">
        <v>715</v>
      </c>
      <c r="C119" s="285">
        <v>5250.0</v>
      </c>
      <c r="D119" s="285" t="s">
        <v>12249</v>
      </c>
      <c r="E119" s="287" t="s">
        <v>10808</v>
      </c>
      <c r="F119" s="288">
        <v>46029.0</v>
      </c>
      <c r="G119" s="288">
        <v>46026.0</v>
      </c>
      <c r="H119" s="288">
        <v>46035.0</v>
      </c>
      <c r="I119" s="288">
        <v>46036.0</v>
      </c>
      <c r="J119" s="288">
        <v>46036.0</v>
      </c>
      <c r="K119" s="285"/>
      <c r="L119" s="485"/>
      <c r="M119" s="290" t="s">
        <v>12250</v>
      </c>
      <c r="N119" s="285" t="s">
        <v>497</v>
      </c>
      <c r="O119" s="322" t="s">
        <v>2554</v>
      </c>
      <c r="P119" s="300">
        <v>32917.5</v>
      </c>
      <c r="Q119" s="299">
        <f t="shared" si="2"/>
        <v>2</v>
      </c>
      <c r="R119" s="299" t="s">
        <v>9198</v>
      </c>
      <c r="S119" s="299" t="s">
        <v>9171</v>
      </c>
      <c r="T119" s="198"/>
      <c r="U119" s="198"/>
      <c r="V119" s="198"/>
      <c r="W119" s="198"/>
      <c r="X119" s="198"/>
      <c r="Y119" s="198"/>
      <c r="Z119" s="198"/>
    </row>
    <row r="120" ht="91.5" customHeight="1">
      <c r="A120" s="370">
        <v>41722.0</v>
      </c>
      <c r="B120" s="285" t="s">
        <v>715</v>
      </c>
      <c r="C120" s="285">
        <v>5250.0</v>
      </c>
      <c r="D120" s="285" t="s">
        <v>12251</v>
      </c>
      <c r="E120" s="287" t="s">
        <v>11900</v>
      </c>
      <c r="F120" s="288">
        <v>46029.0</v>
      </c>
      <c r="G120" s="288">
        <v>46026.0</v>
      </c>
      <c r="H120" s="288">
        <v>46035.0</v>
      </c>
      <c r="I120" s="288">
        <v>46036.0</v>
      </c>
      <c r="J120" s="288">
        <v>46036.0</v>
      </c>
      <c r="K120" s="285"/>
      <c r="L120" s="485"/>
      <c r="M120" s="290" t="s">
        <v>12252</v>
      </c>
      <c r="N120" s="285" t="s">
        <v>497</v>
      </c>
      <c r="O120" s="322" t="s">
        <v>2554</v>
      </c>
      <c r="P120" s="300">
        <v>32917.5</v>
      </c>
      <c r="Q120" s="299">
        <f t="shared" si="2"/>
        <v>2</v>
      </c>
      <c r="R120" s="299" t="s">
        <v>9198</v>
      </c>
      <c r="S120" s="299" t="s">
        <v>9171</v>
      </c>
      <c r="T120" s="198"/>
      <c r="U120" s="198"/>
      <c r="V120" s="198"/>
      <c r="W120" s="198"/>
      <c r="X120" s="198"/>
      <c r="Y120" s="198"/>
      <c r="Z120" s="198"/>
    </row>
    <row r="121" ht="91.5" customHeight="1">
      <c r="A121" s="370">
        <v>41735.0</v>
      </c>
      <c r="B121" s="285" t="s">
        <v>21</v>
      </c>
      <c r="C121" s="285">
        <v>905.0</v>
      </c>
      <c r="D121" s="285" t="s">
        <v>12253</v>
      </c>
      <c r="E121" s="287" t="s">
        <v>12254</v>
      </c>
      <c r="F121" s="288">
        <v>46029.0</v>
      </c>
      <c r="G121" s="288">
        <v>46027.0</v>
      </c>
      <c r="H121" s="288">
        <v>46027.0</v>
      </c>
      <c r="I121" s="288">
        <v>46034.0</v>
      </c>
      <c r="J121" s="288">
        <v>46034.0</v>
      </c>
      <c r="K121" s="285" t="s">
        <v>5270</v>
      </c>
      <c r="L121" s="572" t="s">
        <v>9178</v>
      </c>
      <c r="M121" s="290" t="s">
        <v>12255</v>
      </c>
      <c r="N121" s="299" t="s">
        <v>4745</v>
      </c>
      <c r="O121" s="322" t="s">
        <v>4746</v>
      </c>
      <c r="P121" s="300">
        <v>82372.8</v>
      </c>
      <c r="Q121" s="299">
        <f t="shared" si="2"/>
        <v>2</v>
      </c>
      <c r="R121" s="299"/>
      <c r="S121" s="299" t="s">
        <v>10487</v>
      </c>
      <c r="T121" s="198"/>
      <c r="U121" s="198"/>
      <c r="V121" s="198"/>
      <c r="W121" s="198"/>
      <c r="X121" s="198"/>
      <c r="Y121" s="198"/>
      <c r="Z121" s="198"/>
    </row>
    <row r="122" ht="91.5" customHeight="1">
      <c r="A122" s="370">
        <v>41713.0</v>
      </c>
      <c r="B122" s="285" t="s">
        <v>21</v>
      </c>
      <c r="C122" s="285">
        <v>4355.0</v>
      </c>
      <c r="D122" s="285" t="s">
        <v>12256</v>
      </c>
      <c r="E122" s="287" t="s">
        <v>10596</v>
      </c>
      <c r="F122" s="288">
        <v>46028.0</v>
      </c>
      <c r="G122" s="288">
        <v>46024.0</v>
      </c>
      <c r="H122" s="288">
        <v>46024.0</v>
      </c>
      <c r="I122" s="288">
        <v>46036.0</v>
      </c>
      <c r="J122" s="288">
        <v>46036.0</v>
      </c>
      <c r="K122" s="285" t="s">
        <v>5270</v>
      </c>
      <c r="L122" s="572" t="s">
        <v>9178</v>
      </c>
      <c r="M122" s="290" t="s">
        <v>12257</v>
      </c>
      <c r="N122" s="285" t="s">
        <v>497</v>
      </c>
      <c r="O122" s="322" t="s">
        <v>2554</v>
      </c>
      <c r="P122" s="300">
        <v>30049.5</v>
      </c>
      <c r="Q122" s="299">
        <f t="shared" si="2"/>
        <v>2</v>
      </c>
      <c r="R122" s="299" t="s">
        <v>9198</v>
      </c>
      <c r="S122" s="299" t="s">
        <v>9171</v>
      </c>
      <c r="T122" s="198"/>
      <c r="U122" s="198"/>
      <c r="V122" s="198"/>
      <c r="W122" s="198"/>
      <c r="X122" s="198"/>
      <c r="Y122" s="198"/>
      <c r="Z122" s="198"/>
    </row>
    <row r="123" ht="91.5" customHeight="1">
      <c r="A123" s="370">
        <v>41712.0</v>
      </c>
      <c r="B123" s="285" t="s">
        <v>21</v>
      </c>
      <c r="C123" s="285">
        <v>4355.0</v>
      </c>
      <c r="D123" s="285" t="s">
        <v>12258</v>
      </c>
      <c r="E123" s="287" t="s">
        <v>10505</v>
      </c>
      <c r="F123" s="288">
        <v>46028.0</v>
      </c>
      <c r="G123" s="288">
        <v>46024.0</v>
      </c>
      <c r="H123" s="288">
        <v>46024.0</v>
      </c>
      <c r="I123" s="288">
        <v>46035.0</v>
      </c>
      <c r="J123" s="288">
        <v>46035.0</v>
      </c>
      <c r="K123" s="285" t="s">
        <v>5270</v>
      </c>
      <c r="L123" s="572" t="s">
        <v>9178</v>
      </c>
      <c r="M123" s="290" t="s">
        <v>12259</v>
      </c>
      <c r="N123" s="285" t="s">
        <v>497</v>
      </c>
      <c r="O123" s="322" t="s">
        <v>2554</v>
      </c>
      <c r="P123" s="300">
        <v>30049.5</v>
      </c>
      <c r="Q123" s="299">
        <f t="shared" si="2"/>
        <v>2</v>
      </c>
      <c r="R123" s="299" t="s">
        <v>9198</v>
      </c>
      <c r="S123" s="299" t="s">
        <v>9171</v>
      </c>
      <c r="T123" s="198"/>
      <c r="U123" s="198"/>
      <c r="V123" s="198"/>
      <c r="W123" s="198"/>
      <c r="X123" s="198"/>
      <c r="Y123" s="198"/>
      <c r="Z123" s="198"/>
    </row>
    <row r="124" ht="91.5" customHeight="1">
      <c r="A124" s="370">
        <v>41711.0</v>
      </c>
      <c r="B124" s="285" t="s">
        <v>21</v>
      </c>
      <c r="C124" s="285">
        <v>5250.0</v>
      </c>
      <c r="D124" s="285" t="s">
        <v>12260</v>
      </c>
      <c r="E124" s="287" t="s">
        <v>10677</v>
      </c>
      <c r="F124" s="288">
        <v>46028.0</v>
      </c>
      <c r="G124" s="288">
        <v>46024.0</v>
      </c>
      <c r="H124" s="288">
        <v>46024.0</v>
      </c>
      <c r="I124" s="288">
        <v>46038.0</v>
      </c>
      <c r="J124" s="288">
        <v>46038.0</v>
      </c>
      <c r="K124" s="285" t="s">
        <v>5270</v>
      </c>
      <c r="L124" s="572" t="s">
        <v>9178</v>
      </c>
      <c r="M124" s="290" t="s">
        <v>12261</v>
      </c>
      <c r="N124" s="285" t="s">
        <v>497</v>
      </c>
      <c r="O124" s="322" t="s">
        <v>2554</v>
      </c>
      <c r="P124" s="300">
        <v>32917.5</v>
      </c>
      <c r="Q124" s="299">
        <f t="shared" si="2"/>
        <v>2</v>
      </c>
      <c r="R124" s="299" t="s">
        <v>9198</v>
      </c>
      <c r="S124" s="299" t="s">
        <v>9171</v>
      </c>
      <c r="T124" s="198"/>
      <c r="U124" s="198"/>
      <c r="V124" s="198"/>
      <c r="W124" s="198"/>
      <c r="X124" s="198"/>
      <c r="Y124" s="198"/>
      <c r="Z124" s="198"/>
    </row>
    <row r="125" ht="91.5" customHeight="1">
      <c r="A125" s="370">
        <v>41799.0</v>
      </c>
      <c r="B125" s="285" t="s">
        <v>21</v>
      </c>
      <c r="C125" s="285">
        <v>1245.0</v>
      </c>
      <c r="D125" s="285" t="s">
        <v>12262</v>
      </c>
      <c r="E125" s="287" t="s">
        <v>12263</v>
      </c>
      <c r="F125" s="288">
        <v>46028.0</v>
      </c>
      <c r="G125" s="288">
        <v>46038.0</v>
      </c>
      <c r="H125" s="288">
        <v>46030.0</v>
      </c>
      <c r="I125" s="288">
        <v>46030.0</v>
      </c>
      <c r="J125" s="288">
        <v>46030.0</v>
      </c>
      <c r="K125" s="285" t="s">
        <v>4841</v>
      </c>
      <c r="L125" s="485"/>
      <c r="M125" s="290" t="s">
        <v>12264</v>
      </c>
      <c r="N125" s="285" t="s">
        <v>4635</v>
      </c>
      <c r="O125" s="322" t="s">
        <v>2621</v>
      </c>
      <c r="P125" s="300">
        <v>26730.0</v>
      </c>
      <c r="Q125" s="299">
        <f t="shared" si="2"/>
        <v>2</v>
      </c>
      <c r="R125" s="299"/>
      <c r="S125" s="299" t="s">
        <v>10487</v>
      </c>
      <c r="T125" s="198"/>
      <c r="U125" s="198"/>
      <c r="V125" s="198"/>
      <c r="W125" s="198"/>
      <c r="X125" s="198"/>
      <c r="Y125" s="198"/>
      <c r="Z125" s="198"/>
    </row>
    <row r="126" ht="91.5" customHeight="1">
      <c r="A126" s="370">
        <v>41543.0</v>
      </c>
      <c r="B126" s="285" t="s">
        <v>715</v>
      </c>
      <c r="C126" s="285">
        <v>1013.0</v>
      </c>
      <c r="D126" s="285" t="s">
        <v>12265</v>
      </c>
      <c r="E126" s="287" t="s">
        <v>7415</v>
      </c>
      <c r="F126" s="288">
        <v>46028.0</v>
      </c>
      <c r="G126" s="288">
        <v>46386.0</v>
      </c>
      <c r="H126" s="288">
        <v>46386.0</v>
      </c>
      <c r="I126" s="288">
        <v>46034.0</v>
      </c>
      <c r="J126" s="288">
        <v>46034.0</v>
      </c>
      <c r="K126" s="285"/>
      <c r="L126" s="485"/>
      <c r="M126" s="290" t="s">
        <v>12266</v>
      </c>
      <c r="N126" s="285" t="s">
        <v>6366</v>
      </c>
      <c r="O126" s="322" t="s">
        <v>2628</v>
      </c>
      <c r="P126" s="291">
        <v>105041.0</v>
      </c>
      <c r="Q126" s="299">
        <f t="shared" si="2"/>
        <v>2</v>
      </c>
      <c r="R126" s="299"/>
      <c r="S126" s="299" t="s">
        <v>10487</v>
      </c>
      <c r="T126" s="198"/>
      <c r="U126" s="198"/>
      <c r="V126" s="198"/>
      <c r="W126" s="198"/>
      <c r="X126" s="198"/>
      <c r="Y126" s="198"/>
      <c r="Z126" s="198"/>
    </row>
    <row r="127" ht="96.75" customHeight="1">
      <c r="A127" s="370">
        <v>41483.0</v>
      </c>
      <c r="B127" s="285" t="s">
        <v>715</v>
      </c>
      <c r="C127" s="285">
        <v>5000.0</v>
      </c>
      <c r="D127" s="285" t="s">
        <v>12267</v>
      </c>
      <c r="E127" s="287" t="s">
        <v>10491</v>
      </c>
      <c r="F127" s="288">
        <v>46028.0</v>
      </c>
      <c r="G127" s="288">
        <v>46385.0</v>
      </c>
      <c r="H127" s="288">
        <v>46038.0</v>
      </c>
      <c r="I127" s="288">
        <v>46042.0</v>
      </c>
      <c r="J127" s="288">
        <v>46042.0</v>
      </c>
      <c r="K127" s="285"/>
      <c r="L127" s="485"/>
      <c r="M127" s="290" t="s">
        <v>12268</v>
      </c>
      <c r="N127" s="285" t="s">
        <v>4635</v>
      </c>
      <c r="O127" s="322" t="s">
        <v>2621</v>
      </c>
      <c r="P127" s="300">
        <v>45068.0</v>
      </c>
      <c r="Q127" s="299">
        <f t="shared" si="2"/>
        <v>2</v>
      </c>
      <c r="R127" s="299"/>
      <c r="S127" s="299" t="s">
        <v>10487</v>
      </c>
      <c r="T127" s="198"/>
      <c r="U127" s="198"/>
      <c r="V127" s="198"/>
      <c r="W127" s="198"/>
      <c r="X127" s="198"/>
      <c r="Y127" s="198"/>
      <c r="Z127" s="198"/>
    </row>
    <row r="128" ht="91.5" customHeight="1">
      <c r="A128" s="370">
        <v>41406.0</v>
      </c>
      <c r="B128" s="292" t="s">
        <v>715</v>
      </c>
      <c r="C128" s="299">
        <v>2413.0</v>
      </c>
      <c r="D128" s="285" t="s">
        <v>12269</v>
      </c>
      <c r="E128" s="287" t="s">
        <v>10525</v>
      </c>
      <c r="F128" s="288">
        <v>46024.0</v>
      </c>
      <c r="G128" s="288">
        <v>46015.0</v>
      </c>
      <c r="H128" s="288">
        <v>46015.0</v>
      </c>
      <c r="I128" s="288">
        <v>46030.0</v>
      </c>
      <c r="J128" s="288">
        <v>46030.0</v>
      </c>
      <c r="K128" s="285"/>
      <c r="L128" s="485"/>
      <c r="M128" s="290" t="s">
        <v>12270</v>
      </c>
      <c r="N128" s="299" t="s">
        <v>497</v>
      </c>
      <c r="O128" s="322" t="s">
        <v>2554</v>
      </c>
      <c r="P128" s="300">
        <v>43434.0</v>
      </c>
      <c r="Q128" s="299">
        <f t="shared" si="2"/>
        <v>1</v>
      </c>
      <c r="R128" s="299" t="s">
        <v>9198</v>
      </c>
      <c r="S128" s="299" t="s">
        <v>9171</v>
      </c>
      <c r="T128" s="198"/>
      <c r="U128" s="198"/>
      <c r="V128" s="198"/>
      <c r="W128" s="198"/>
      <c r="X128" s="198"/>
      <c r="Y128" s="198"/>
      <c r="Z128" s="198"/>
    </row>
    <row r="129" ht="99.75" customHeight="1">
      <c r="A129" s="370">
        <v>41387.0</v>
      </c>
      <c r="B129" s="285" t="s">
        <v>21</v>
      </c>
      <c r="C129" s="299" t="s">
        <v>12271</v>
      </c>
      <c r="D129" s="285" t="s">
        <v>12272</v>
      </c>
      <c r="E129" s="287" t="s">
        <v>12273</v>
      </c>
      <c r="F129" s="288">
        <v>46023.0</v>
      </c>
      <c r="G129" s="288">
        <v>46020.0</v>
      </c>
      <c r="H129" s="288">
        <v>46020.0</v>
      </c>
      <c r="I129" s="288">
        <v>46030.0</v>
      </c>
      <c r="J129" s="288">
        <v>46030.0</v>
      </c>
      <c r="K129" s="285" t="s">
        <v>10034</v>
      </c>
      <c r="L129" s="485"/>
      <c r="M129" s="290" t="s">
        <v>12274</v>
      </c>
      <c r="N129" s="299" t="s">
        <v>497</v>
      </c>
      <c r="O129" s="322" t="s">
        <v>2628</v>
      </c>
      <c r="P129" s="300">
        <v>29017.92</v>
      </c>
      <c r="Q129" s="299">
        <f t="shared" si="2"/>
        <v>1</v>
      </c>
      <c r="R129" s="299"/>
      <c r="S129" s="299" t="s">
        <v>10487</v>
      </c>
      <c r="T129" s="198"/>
      <c r="U129" s="198"/>
      <c r="V129" s="198"/>
      <c r="W129" s="198"/>
      <c r="X129" s="198"/>
      <c r="Y129" s="198"/>
      <c r="Z129" s="198"/>
    </row>
    <row r="130" ht="91.5" customHeight="1">
      <c r="A130" s="370">
        <v>41418.0</v>
      </c>
      <c r="B130" s="285" t="s">
        <v>21</v>
      </c>
      <c r="C130" s="285">
        <v>4501.0</v>
      </c>
      <c r="D130" s="285" t="s">
        <v>12275</v>
      </c>
      <c r="E130" s="287" t="s">
        <v>12276</v>
      </c>
      <c r="F130" s="288">
        <v>46023.0</v>
      </c>
      <c r="G130" s="288">
        <v>46019.0</v>
      </c>
      <c r="H130" s="288">
        <v>46019.0</v>
      </c>
      <c r="I130" s="288">
        <v>46030.0</v>
      </c>
      <c r="J130" s="288">
        <v>46030.0</v>
      </c>
      <c r="K130" s="285" t="s">
        <v>5270</v>
      </c>
      <c r="L130" s="572" t="s">
        <v>9178</v>
      </c>
      <c r="M130" s="290" t="s">
        <v>12277</v>
      </c>
      <c r="N130" s="285" t="s">
        <v>497</v>
      </c>
      <c r="O130" s="322" t="s">
        <v>2554</v>
      </c>
      <c r="P130" s="300">
        <v>32625.0</v>
      </c>
      <c r="Q130" s="299">
        <f t="shared" si="2"/>
        <v>1</v>
      </c>
      <c r="R130" s="299" t="s">
        <v>9170</v>
      </c>
      <c r="S130" s="299" t="s">
        <v>9171</v>
      </c>
      <c r="T130" s="198"/>
      <c r="U130" s="198"/>
      <c r="V130" s="198"/>
      <c r="W130" s="198"/>
      <c r="X130" s="198"/>
      <c r="Y130" s="198"/>
      <c r="Z130" s="198"/>
    </row>
    <row r="131" ht="91.5" customHeight="1">
      <c r="A131" s="285"/>
      <c r="B131" s="285"/>
      <c r="C131" s="285"/>
      <c r="D131" s="367"/>
      <c r="E131" s="287"/>
      <c r="F131" s="288"/>
      <c r="G131" s="367"/>
      <c r="H131" s="367"/>
      <c r="I131" s="367"/>
      <c r="J131" s="367"/>
      <c r="K131" s="285"/>
      <c r="L131" s="485"/>
      <c r="M131" s="290"/>
      <c r="N131" s="285"/>
      <c r="O131" s="322"/>
      <c r="P131" s="300"/>
      <c r="Q131" s="299"/>
      <c r="R131" s="299"/>
      <c r="S131" s="299"/>
      <c r="T131" s="198"/>
      <c r="U131" s="198"/>
      <c r="V131" s="198"/>
      <c r="W131" s="198"/>
      <c r="X131" s="198"/>
      <c r="Y131" s="198"/>
      <c r="Z131" s="198"/>
    </row>
    <row r="132" ht="91.5" customHeight="1">
      <c r="A132" s="285"/>
      <c r="B132" s="285"/>
      <c r="C132" s="285"/>
      <c r="D132" s="285"/>
      <c r="E132" s="287"/>
      <c r="F132" s="288"/>
      <c r="G132" s="288"/>
      <c r="H132" s="288"/>
      <c r="I132" s="367"/>
      <c r="J132" s="367"/>
      <c r="K132" s="285"/>
      <c r="L132" s="485"/>
      <c r="M132" s="290"/>
      <c r="N132" s="285"/>
      <c r="O132" s="322"/>
      <c r="P132" s="300"/>
      <c r="Q132" s="299"/>
      <c r="R132" s="299"/>
      <c r="S132" s="299"/>
      <c r="T132" s="198"/>
      <c r="U132" s="198"/>
      <c r="V132" s="198"/>
      <c r="W132" s="198"/>
      <c r="X132" s="198"/>
      <c r="Y132" s="198"/>
      <c r="Z132" s="198"/>
    </row>
    <row r="133" ht="91.5" customHeight="1">
      <c r="A133" s="285"/>
      <c r="B133" s="285"/>
      <c r="C133" s="285"/>
      <c r="D133" s="367"/>
      <c r="E133" s="287"/>
      <c r="F133" s="288"/>
      <c r="G133" s="288"/>
      <c r="H133" s="288"/>
      <c r="I133" s="367"/>
      <c r="J133" s="367"/>
      <c r="K133" s="285"/>
      <c r="L133" s="485"/>
      <c r="M133" s="290"/>
      <c r="N133" s="285"/>
      <c r="O133" s="322"/>
      <c r="P133" s="300"/>
      <c r="Q133" s="299"/>
      <c r="R133" s="299"/>
      <c r="S133" s="299"/>
      <c r="T133" s="198"/>
      <c r="U133" s="198"/>
      <c r="V133" s="198"/>
      <c r="W133" s="198"/>
      <c r="X133" s="198"/>
      <c r="Y133" s="198"/>
      <c r="Z133" s="198"/>
    </row>
    <row r="134" ht="91.5" customHeight="1">
      <c r="A134" s="285"/>
      <c r="B134" s="285"/>
      <c r="C134" s="285"/>
      <c r="D134" s="367"/>
      <c r="E134" s="287"/>
      <c r="F134" s="288"/>
      <c r="G134" s="288"/>
      <c r="H134" s="288"/>
      <c r="I134" s="367"/>
      <c r="J134" s="367"/>
      <c r="K134" s="285"/>
      <c r="L134" s="485"/>
      <c r="M134" s="290"/>
      <c r="N134" s="285"/>
      <c r="O134" s="322"/>
      <c r="P134" s="300"/>
      <c r="Q134" s="299"/>
      <c r="R134" s="299"/>
      <c r="S134" s="299"/>
      <c r="T134" s="198"/>
      <c r="U134" s="198"/>
      <c r="V134" s="198"/>
      <c r="W134" s="198"/>
      <c r="X134" s="198"/>
      <c r="Y134" s="198"/>
      <c r="Z134" s="198"/>
    </row>
    <row r="135" ht="91.5" customHeight="1">
      <c r="A135" s="285"/>
      <c r="B135" s="285"/>
      <c r="C135" s="285"/>
      <c r="D135" s="367"/>
      <c r="E135" s="287"/>
      <c r="F135" s="288"/>
      <c r="G135" s="288"/>
      <c r="H135" s="288"/>
      <c r="I135" s="367"/>
      <c r="J135" s="367"/>
      <c r="K135" s="285"/>
      <c r="L135" s="485"/>
      <c r="M135" s="290"/>
      <c r="N135" s="285"/>
      <c r="O135" s="322"/>
      <c r="P135" s="300"/>
      <c r="Q135" s="299"/>
      <c r="R135" s="299"/>
      <c r="S135" s="299"/>
      <c r="T135" s="198"/>
      <c r="U135" s="198"/>
      <c r="V135" s="198"/>
      <c r="W135" s="198"/>
      <c r="X135" s="198"/>
      <c r="Y135" s="198"/>
      <c r="Z135" s="198"/>
    </row>
    <row r="136" ht="91.5" customHeight="1">
      <c r="A136" s="285"/>
      <c r="B136" s="285"/>
      <c r="C136" s="285"/>
      <c r="D136" s="367"/>
      <c r="E136" s="287"/>
      <c r="F136" s="288"/>
      <c r="G136" s="288"/>
      <c r="H136" s="288"/>
      <c r="I136" s="367"/>
      <c r="J136" s="367"/>
      <c r="K136" s="285"/>
      <c r="L136" s="485"/>
      <c r="M136" s="290"/>
      <c r="N136" s="285"/>
      <c r="O136" s="322"/>
      <c r="P136" s="300"/>
      <c r="Q136" s="299"/>
      <c r="R136" s="299"/>
      <c r="S136" s="299"/>
      <c r="T136" s="198"/>
      <c r="U136" s="198"/>
      <c r="V136" s="198"/>
      <c r="W136" s="198"/>
      <c r="X136" s="198"/>
      <c r="Y136" s="198"/>
      <c r="Z136" s="198"/>
    </row>
    <row r="137" ht="91.5" customHeight="1">
      <c r="A137" s="285"/>
      <c r="B137" s="285"/>
      <c r="C137" s="285"/>
      <c r="D137" s="285"/>
      <c r="E137" s="287"/>
      <c r="F137" s="288"/>
      <c r="G137" s="288"/>
      <c r="H137" s="288"/>
      <c r="I137" s="367"/>
      <c r="J137" s="367"/>
      <c r="K137" s="285"/>
      <c r="L137" s="485"/>
      <c r="M137" s="290"/>
      <c r="N137" s="285"/>
      <c r="O137" s="322"/>
      <c r="P137" s="300"/>
      <c r="Q137" s="299"/>
      <c r="R137" s="299"/>
      <c r="S137" s="299"/>
      <c r="T137" s="198"/>
      <c r="U137" s="198"/>
      <c r="V137" s="198"/>
      <c r="W137" s="198"/>
      <c r="X137" s="198"/>
      <c r="Y137" s="198"/>
      <c r="Z137" s="198"/>
    </row>
    <row r="138" ht="91.5" customHeight="1">
      <c r="A138" s="285"/>
      <c r="B138" s="285"/>
      <c r="C138" s="285"/>
      <c r="D138" s="285"/>
      <c r="E138" s="287"/>
      <c r="F138" s="288"/>
      <c r="G138" s="288"/>
      <c r="H138" s="288"/>
      <c r="I138" s="367"/>
      <c r="J138" s="367"/>
      <c r="K138" s="285"/>
      <c r="L138" s="485"/>
      <c r="M138" s="290"/>
      <c r="N138" s="285"/>
      <c r="O138" s="322"/>
      <c r="P138" s="300"/>
      <c r="Q138" s="299"/>
      <c r="R138" s="299"/>
      <c r="S138" s="299"/>
      <c r="T138" s="198"/>
      <c r="U138" s="198"/>
      <c r="V138" s="198"/>
      <c r="W138" s="198"/>
      <c r="X138" s="198"/>
      <c r="Y138" s="198"/>
      <c r="Z138" s="198"/>
    </row>
    <row r="139" ht="91.5" customHeight="1">
      <c r="A139" s="285"/>
      <c r="B139" s="285"/>
      <c r="C139" s="285"/>
      <c r="D139" s="367"/>
      <c r="E139" s="287"/>
      <c r="F139" s="288"/>
      <c r="G139" s="288"/>
      <c r="H139" s="288"/>
      <c r="I139" s="367"/>
      <c r="J139" s="367"/>
      <c r="K139" s="285"/>
      <c r="L139" s="485"/>
      <c r="M139" s="290"/>
      <c r="N139" s="285"/>
      <c r="O139" s="322"/>
      <c r="P139" s="300"/>
      <c r="Q139" s="299"/>
      <c r="R139" s="299"/>
      <c r="S139" s="299"/>
      <c r="T139" s="198"/>
      <c r="U139" s="198"/>
      <c r="V139" s="198"/>
      <c r="W139" s="198"/>
      <c r="X139" s="198"/>
      <c r="Y139" s="198"/>
      <c r="Z139" s="198"/>
    </row>
    <row r="140" ht="91.5" customHeight="1">
      <c r="A140" s="285"/>
      <c r="B140" s="285"/>
      <c r="C140" s="285"/>
      <c r="D140" s="367"/>
      <c r="E140" s="287"/>
      <c r="F140" s="288"/>
      <c r="G140" s="288"/>
      <c r="H140" s="288"/>
      <c r="I140" s="367"/>
      <c r="J140" s="367"/>
      <c r="K140" s="285"/>
      <c r="L140" s="485"/>
      <c r="M140" s="290"/>
      <c r="N140" s="285"/>
      <c r="O140" s="322"/>
      <c r="P140" s="300"/>
      <c r="Q140" s="299"/>
      <c r="R140" s="299"/>
      <c r="S140" s="299"/>
      <c r="T140" s="198"/>
      <c r="U140" s="198"/>
      <c r="V140" s="198"/>
      <c r="W140" s="198"/>
      <c r="X140" s="198"/>
      <c r="Y140" s="198"/>
      <c r="Z140" s="198"/>
    </row>
    <row r="141" ht="91.5" customHeight="1">
      <c r="A141" s="285"/>
      <c r="B141" s="285"/>
      <c r="C141" s="285"/>
      <c r="D141" s="367"/>
      <c r="E141" s="287"/>
      <c r="F141" s="288"/>
      <c r="G141" s="288"/>
      <c r="H141" s="288"/>
      <c r="I141" s="367"/>
      <c r="J141" s="367"/>
      <c r="K141" s="285"/>
      <c r="L141" s="485"/>
      <c r="M141" s="290"/>
      <c r="N141" s="285"/>
      <c r="O141" s="322"/>
      <c r="P141" s="300"/>
      <c r="Q141" s="299"/>
      <c r="R141" s="299"/>
      <c r="S141" s="299"/>
      <c r="T141" s="198"/>
      <c r="U141" s="198"/>
      <c r="V141" s="198"/>
      <c r="W141" s="198"/>
      <c r="X141" s="198"/>
      <c r="Y141" s="198"/>
      <c r="Z141" s="198"/>
    </row>
    <row r="142" ht="91.5" customHeight="1">
      <c r="A142" s="285"/>
      <c r="B142" s="285"/>
      <c r="C142" s="285"/>
      <c r="D142" s="285"/>
      <c r="E142" s="287"/>
      <c r="F142" s="288"/>
      <c r="G142" s="288"/>
      <c r="H142" s="288"/>
      <c r="I142" s="288"/>
      <c r="J142" s="367"/>
      <c r="K142" s="285"/>
      <c r="L142" s="485"/>
      <c r="M142" s="290"/>
      <c r="N142" s="285"/>
      <c r="O142" s="322"/>
      <c r="P142" s="300"/>
      <c r="Q142" s="299"/>
      <c r="R142" s="299"/>
      <c r="S142" s="299"/>
      <c r="T142" s="198"/>
      <c r="U142" s="198"/>
      <c r="V142" s="198"/>
      <c r="W142" s="198"/>
      <c r="X142" s="198"/>
      <c r="Y142" s="198"/>
      <c r="Z142" s="198"/>
    </row>
    <row r="143" ht="91.5" customHeight="1">
      <c r="A143" s="285"/>
      <c r="B143" s="285"/>
      <c r="C143" s="285"/>
      <c r="D143" s="285"/>
      <c r="E143" s="287"/>
      <c r="F143" s="288"/>
      <c r="G143" s="288"/>
      <c r="H143" s="288"/>
      <c r="I143" s="367"/>
      <c r="J143" s="367"/>
      <c r="K143" s="285"/>
      <c r="L143" s="485"/>
      <c r="M143" s="290"/>
      <c r="N143" s="285"/>
      <c r="O143" s="322"/>
      <c r="P143" s="300"/>
      <c r="Q143" s="299"/>
      <c r="R143" s="299"/>
      <c r="S143" s="299"/>
      <c r="T143" s="198"/>
      <c r="U143" s="198"/>
      <c r="V143" s="198"/>
      <c r="W143" s="198"/>
      <c r="X143" s="198"/>
      <c r="Y143" s="198"/>
      <c r="Z143" s="198"/>
    </row>
    <row r="144" ht="91.5" customHeight="1">
      <c r="A144" s="285"/>
      <c r="B144" s="285"/>
      <c r="C144" s="285"/>
      <c r="D144" s="367"/>
      <c r="E144" s="287"/>
      <c r="F144" s="288"/>
      <c r="G144" s="288"/>
      <c r="H144" s="288"/>
      <c r="I144" s="288"/>
      <c r="J144" s="288"/>
      <c r="K144" s="285"/>
      <c r="L144" s="485"/>
      <c r="M144" s="290"/>
      <c r="N144" s="285"/>
      <c r="O144" s="322"/>
      <c r="P144" s="300"/>
      <c r="Q144" s="299"/>
      <c r="R144" s="299"/>
      <c r="S144" s="299"/>
      <c r="T144" s="198"/>
      <c r="U144" s="198"/>
      <c r="V144" s="198"/>
      <c r="W144" s="198"/>
      <c r="X144" s="198"/>
      <c r="Y144" s="198"/>
      <c r="Z144" s="198"/>
    </row>
    <row r="145" ht="91.5" customHeight="1">
      <c r="A145" s="285"/>
      <c r="B145" s="285"/>
      <c r="C145" s="285"/>
      <c r="D145" s="285"/>
      <c r="E145" s="287"/>
      <c r="F145" s="288"/>
      <c r="G145" s="288"/>
      <c r="H145" s="288"/>
      <c r="I145" s="288"/>
      <c r="J145" s="367"/>
      <c r="K145" s="285"/>
      <c r="L145" s="485"/>
      <c r="M145" s="290"/>
      <c r="N145" s="285"/>
      <c r="O145" s="322"/>
      <c r="P145" s="300"/>
      <c r="Q145" s="299"/>
      <c r="R145" s="299"/>
      <c r="S145" s="299"/>
      <c r="T145" s="198"/>
      <c r="U145" s="198"/>
      <c r="V145" s="198"/>
      <c r="W145" s="198"/>
      <c r="X145" s="198"/>
      <c r="Y145" s="198"/>
      <c r="Z145" s="198"/>
    </row>
    <row r="146" ht="91.5" customHeight="1">
      <c r="A146" s="285"/>
      <c r="B146" s="285"/>
      <c r="C146" s="285"/>
      <c r="D146" s="285"/>
      <c r="E146" s="287"/>
      <c r="F146" s="288"/>
      <c r="G146" s="288"/>
      <c r="H146" s="288"/>
      <c r="I146" s="288"/>
      <c r="J146" s="288"/>
      <c r="K146" s="285"/>
      <c r="L146" s="485"/>
      <c r="M146" s="290"/>
      <c r="N146" s="285"/>
      <c r="O146" s="322"/>
      <c r="P146" s="300"/>
      <c r="Q146" s="299"/>
      <c r="R146" s="299"/>
      <c r="S146" s="299"/>
      <c r="T146" s="198"/>
      <c r="U146" s="198"/>
      <c r="V146" s="198"/>
      <c r="W146" s="198"/>
      <c r="X146" s="198"/>
      <c r="Y146" s="198"/>
      <c r="Z146" s="198"/>
    </row>
    <row r="147" ht="91.5" customHeight="1">
      <c r="A147" s="285"/>
      <c r="B147" s="285"/>
      <c r="C147" s="285"/>
      <c r="D147" s="285"/>
      <c r="E147" s="287"/>
      <c r="F147" s="288"/>
      <c r="G147" s="367"/>
      <c r="H147" s="288"/>
      <c r="I147" s="288"/>
      <c r="J147" s="367"/>
      <c r="K147" s="285"/>
      <c r="L147" s="485"/>
      <c r="M147" s="290"/>
      <c r="N147" s="285"/>
      <c r="O147" s="322"/>
      <c r="P147" s="300"/>
      <c r="Q147" s="299"/>
      <c r="R147" s="299"/>
      <c r="S147" s="299"/>
      <c r="T147" s="198"/>
      <c r="U147" s="198"/>
      <c r="V147" s="198"/>
      <c r="W147" s="198"/>
      <c r="X147" s="198"/>
      <c r="Y147" s="198"/>
      <c r="Z147" s="198"/>
    </row>
    <row r="148" ht="91.5" customHeight="1">
      <c r="A148" s="285"/>
      <c r="B148" s="285"/>
      <c r="C148" s="285"/>
      <c r="D148" s="285"/>
      <c r="E148" s="287"/>
      <c r="F148" s="288"/>
      <c r="G148" s="288"/>
      <c r="H148" s="288"/>
      <c r="I148" s="288"/>
      <c r="J148" s="367"/>
      <c r="K148" s="285"/>
      <c r="L148" s="485"/>
      <c r="M148" s="290"/>
      <c r="N148" s="285"/>
      <c r="O148" s="322"/>
      <c r="P148" s="300"/>
      <c r="Q148" s="299"/>
      <c r="R148" s="299"/>
      <c r="S148" s="299"/>
      <c r="T148" s="198"/>
      <c r="U148" s="198"/>
      <c r="V148" s="198"/>
      <c r="W148" s="198"/>
      <c r="X148" s="198"/>
      <c r="Y148" s="198"/>
      <c r="Z148" s="198"/>
    </row>
    <row r="149" ht="91.5" customHeight="1">
      <c r="A149" s="285"/>
      <c r="B149" s="285"/>
      <c r="C149" s="285"/>
      <c r="D149" s="285"/>
      <c r="E149" s="287"/>
      <c r="F149" s="288"/>
      <c r="G149" s="288"/>
      <c r="H149" s="288"/>
      <c r="I149" s="288"/>
      <c r="J149" s="288"/>
      <c r="K149" s="285"/>
      <c r="L149" s="485"/>
      <c r="M149" s="290"/>
      <c r="N149" s="285"/>
      <c r="O149" s="322"/>
      <c r="P149" s="300"/>
      <c r="Q149" s="299"/>
      <c r="R149" s="299"/>
      <c r="S149" s="299"/>
      <c r="T149" s="198"/>
      <c r="U149" s="198"/>
      <c r="V149" s="198"/>
      <c r="W149" s="198"/>
      <c r="X149" s="198"/>
      <c r="Y149" s="198"/>
      <c r="Z149" s="198"/>
    </row>
    <row r="150" ht="91.5" customHeight="1">
      <c r="A150" s="285"/>
      <c r="B150" s="285"/>
      <c r="C150" s="285"/>
      <c r="D150" s="285"/>
      <c r="E150" s="287"/>
      <c r="F150" s="288"/>
      <c r="G150" s="288"/>
      <c r="H150" s="288"/>
      <c r="I150" s="288"/>
      <c r="J150" s="288"/>
      <c r="K150" s="285"/>
      <c r="L150" s="572"/>
      <c r="M150" s="290"/>
      <c r="N150" s="285"/>
      <c r="O150" s="322"/>
      <c r="P150" s="300"/>
      <c r="Q150" s="299"/>
      <c r="R150" s="299"/>
      <c r="S150" s="299"/>
      <c r="T150" s="198"/>
      <c r="U150" s="198"/>
      <c r="V150" s="198"/>
      <c r="W150" s="198"/>
      <c r="X150" s="198"/>
      <c r="Y150" s="198"/>
      <c r="Z150" s="198"/>
    </row>
    <row r="151" ht="105.75" customHeight="1">
      <c r="A151" s="285"/>
      <c r="B151" s="285"/>
      <c r="C151" s="285"/>
      <c r="D151" s="285"/>
      <c r="E151" s="287"/>
      <c r="F151" s="288"/>
      <c r="G151" s="367"/>
      <c r="H151" s="288"/>
      <c r="I151" s="288"/>
      <c r="J151" s="367"/>
      <c r="K151" s="285"/>
      <c r="L151" s="485"/>
      <c r="M151" s="290"/>
      <c r="N151" s="285"/>
      <c r="O151" s="322"/>
      <c r="P151" s="300"/>
      <c r="Q151" s="299"/>
      <c r="R151" s="299"/>
      <c r="S151" s="299"/>
      <c r="T151" s="198"/>
      <c r="U151" s="198"/>
      <c r="V151" s="198"/>
      <c r="W151" s="198"/>
      <c r="X151" s="198"/>
      <c r="Y151" s="198"/>
      <c r="Z151" s="198"/>
    </row>
    <row r="152" ht="91.5" customHeight="1">
      <c r="A152" s="285"/>
      <c r="B152" s="285"/>
      <c r="C152" s="285"/>
      <c r="D152" s="285"/>
      <c r="E152" s="287"/>
      <c r="F152" s="288"/>
      <c r="G152" s="288"/>
      <c r="H152" s="288"/>
      <c r="I152" s="288"/>
      <c r="J152" s="288"/>
      <c r="K152" s="285"/>
      <c r="L152" s="485"/>
      <c r="M152" s="290"/>
      <c r="N152" s="285"/>
      <c r="O152" s="322"/>
      <c r="P152" s="300"/>
      <c r="Q152" s="299"/>
      <c r="R152" s="299"/>
      <c r="S152" s="299"/>
      <c r="T152" s="198"/>
      <c r="U152" s="198"/>
      <c r="V152" s="198"/>
      <c r="W152" s="198"/>
      <c r="X152" s="198"/>
      <c r="Y152" s="198"/>
      <c r="Z152" s="198"/>
    </row>
    <row r="153" ht="91.5" customHeight="1">
      <c r="A153" s="285"/>
      <c r="B153" s="285"/>
      <c r="C153" s="285"/>
      <c r="D153" s="285"/>
      <c r="E153" s="287"/>
      <c r="F153" s="288"/>
      <c r="G153" s="288"/>
      <c r="H153" s="288"/>
      <c r="I153" s="367"/>
      <c r="J153" s="367"/>
      <c r="K153" s="285"/>
      <c r="L153" s="485"/>
      <c r="M153" s="290"/>
      <c r="N153" s="285"/>
      <c r="O153" s="322"/>
      <c r="P153" s="300"/>
      <c r="Q153" s="299"/>
      <c r="R153" s="299"/>
      <c r="S153" s="299"/>
      <c r="T153" s="198"/>
      <c r="U153" s="198"/>
      <c r="V153" s="198"/>
      <c r="W153" s="198"/>
      <c r="X153" s="198"/>
      <c r="Y153" s="198"/>
      <c r="Z153" s="198"/>
    </row>
    <row r="154" ht="91.5" customHeight="1">
      <c r="A154" s="285"/>
      <c r="B154" s="285"/>
      <c r="C154" s="285"/>
      <c r="D154" s="285"/>
      <c r="E154" s="287"/>
      <c r="F154" s="288"/>
      <c r="G154" s="288"/>
      <c r="H154" s="288"/>
      <c r="I154" s="288"/>
      <c r="J154" s="288"/>
      <c r="K154" s="285"/>
      <c r="L154" s="485"/>
      <c r="M154" s="290"/>
      <c r="N154" s="285"/>
      <c r="O154" s="322"/>
      <c r="P154" s="300"/>
      <c r="Q154" s="299"/>
      <c r="R154" s="299"/>
      <c r="S154" s="299"/>
      <c r="T154" s="198"/>
      <c r="U154" s="198"/>
      <c r="V154" s="198"/>
      <c r="W154" s="198"/>
      <c r="X154" s="198"/>
      <c r="Y154" s="198"/>
      <c r="Z154" s="198"/>
    </row>
    <row r="155" ht="91.5" customHeight="1">
      <c r="A155" s="285"/>
      <c r="B155" s="285"/>
      <c r="C155" s="285"/>
      <c r="D155" s="367"/>
      <c r="E155" s="287"/>
      <c r="F155" s="288"/>
      <c r="G155" s="288"/>
      <c r="H155" s="288"/>
      <c r="I155" s="288"/>
      <c r="J155" s="288"/>
      <c r="K155" s="285"/>
      <c r="L155" s="485"/>
      <c r="M155" s="290"/>
      <c r="N155" s="285"/>
      <c r="O155" s="322"/>
      <c r="P155" s="300"/>
      <c r="Q155" s="299"/>
      <c r="R155" s="299"/>
      <c r="S155" s="299"/>
      <c r="T155" s="198"/>
      <c r="U155" s="198"/>
      <c r="V155" s="198"/>
      <c r="W155" s="198"/>
      <c r="X155" s="198"/>
      <c r="Y155" s="198"/>
      <c r="Z155" s="198"/>
    </row>
    <row r="156" ht="91.5" customHeight="1">
      <c r="A156" s="285"/>
      <c r="B156" s="285"/>
      <c r="C156" s="285"/>
      <c r="D156" s="285"/>
      <c r="E156" s="287"/>
      <c r="F156" s="288"/>
      <c r="G156" s="288"/>
      <c r="H156" s="288"/>
      <c r="I156" s="288"/>
      <c r="J156" s="288"/>
      <c r="K156" s="285"/>
      <c r="L156" s="485"/>
      <c r="M156" s="290"/>
      <c r="N156" s="285"/>
      <c r="O156" s="322"/>
      <c r="P156" s="300"/>
      <c r="Q156" s="299"/>
      <c r="R156" s="299"/>
      <c r="S156" s="299"/>
      <c r="T156" s="198"/>
      <c r="U156" s="198"/>
      <c r="V156" s="198"/>
      <c r="W156" s="198"/>
      <c r="X156" s="198"/>
      <c r="Y156" s="198"/>
      <c r="Z156" s="198"/>
    </row>
    <row r="157" ht="91.5" customHeight="1">
      <c r="A157" s="285"/>
      <c r="B157" s="285"/>
      <c r="C157" s="285"/>
      <c r="D157" s="285"/>
      <c r="E157" s="287"/>
      <c r="F157" s="288"/>
      <c r="G157" s="288"/>
      <c r="H157" s="288"/>
      <c r="I157" s="288"/>
      <c r="J157" s="288"/>
      <c r="K157" s="285"/>
      <c r="L157" s="485"/>
      <c r="M157" s="290"/>
      <c r="N157" s="285"/>
      <c r="O157" s="322"/>
      <c r="P157" s="300"/>
      <c r="Q157" s="299"/>
      <c r="R157" s="299"/>
      <c r="S157" s="299"/>
      <c r="T157" s="198"/>
      <c r="U157" s="198"/>
      <c r="V157" s="198"/>
      <c r="W157" s="198"/>
      <c r="X157" s="198"/>
      <c r="Y157" s="198"/>
      <c r="Z157" s="198"/>
    </row>
    <row r="158" ht="91.5" customHeight="1">
      <c r="A158" s="285"/>
      <c r="B158" s="285"/>
      <c r="C158" s="285"/>
      <c r="D158" s="285"/>
      <c r="E158" s="287"/>
      <c r="F158" s="288"/>
      <c r="G158" s="288"/>
      <c r="H158" s="288"/>
      <c r="I158" s="288"/>
      <c r="J158" s="288"/>
      <c r="K158" s="285"/>
      <c r="L158" s="485"/>
      <c r="M158" s="290"/>
      <c r="N158" s="285"/>
      <c r="O158" s="322"/>
      <c r="P158" s="291"/>
      <c r="Q158" s="299"/>
      <c r="R158" s="299"/>
      <c r="S158" s="299"/>
      <c r="T158" s="198"/>
      <c r="U158" s="198"/>
      <c r="V158" s="198"/>
      <c r="W158" s="198"/>
      <c r="X158" s="198"/>
      <c r="Y158" s="198"/>
      <c r="Z158" s="198"/>
    </row>
    <row r="159" ht="91.5" customHeight="1">
      <c r="A159" s="285"/>
      <c r="B159" s="285"/>
      <c r="C159" s="285"/>
      <c r="D159" s="285"/>
      <c r="E159" s="287"/>
      <c r="F159" s="288"/>
      <c r="G159" s="288"/>
      <c r="H159" s="288"/>
      <c r="I159" s="288"/>
      <c r="J159" s="288"/>
      <c r="K159" s="285"/>
      <c r="L159" s="572"/>
      <c r="M159" s="290"/>
      <c r="N159" s="285"/>
      <c r="O159" s="322"/>
      <c r="P159" s="300"/>
      <c r="Q159" s="299"/>
      <c r="R159" s="299"/>
      <c r="S159" s="299"/>
      <c r="T159" s="198"/>
      <c r="U159" s="198"/>
      <c r="V159" s="198"/>
      <c r="W159" s="198"/>
      <c r="X159" s="198"/>
      <c r="Y159" s="198"/>
      <c r="Z159" s="198"/>
    </row>
    <row r="160" ht="91.5" customHeight="1">
      <c r="A160" s="285"/>
      <c r="B160" s="285"/>
      <c r="C160" s="285"/>
      <c r="D160" s="285"/>
      <c r="E160" s="287"/>
      <c r="F160" s="288"/>
      <c r="G160" s="288"/>
      <c r="H160" s="288"/>
      <c r="I160" s="288"/>
      <c r="J160" s="288"/>
      <c r="K160" s="285"/>
      <c r="L160" s="485"/>
      <c r="M160" s="290"/>
      <c r="N160" s="285"/>
      <c r="O160" s="322"/>
      <c r="P160" s="291"/>
      <c r="Q160" s="299"/>
      <c r="R160" s="299"/>
      <c r="S160" s="299"/>
      <c r="T160" s="198"/>
      <c r="U160" s="198"/>
      <c r="V160" s="198"/>
      <c r="W160" s="198"/>
      <c r="X160" s="198"/>
      <c r="Y160" s="198"/>
      <c r="Z160" s="198"/>
    </row>
    <row r="161" ht="91.5" customHeight="1">
      <c r="A161" s="285"/>
      <c r="B161" s="285"/>
      <c r="C161" s="285"/>
      <c r="D161" s="285"/>
      <c r="E161" s="287"/>
      <c r="F161" s="288"/>
      <c r="G161" s="288"/>
      <c r="H161" s="288"/>
      <c r="I161" s="288"/>
      <c r="J161" s="288"/>
      <c r="K161" s="285"/>
      <c r="L161" s="485"/>
      <c r="M161" s="290"/>
      <c r="N161" s="285"/>
      <c r="O161" s="322"/>
      <c r="P161" s="300"/>
      <c r="Q161" s="299"/>
      <c r="R161" s="299"/>
      <c r="S161" s="299"/>
      <c r="T161" s="198"/>
      <c r="U161" s="198"/>
      <c r="V161" s="198"/>
      <c r="W161" s="198"/>
      <c r="X161" s="198"/>
      <c r="Y161" s="198"/>
      <c r="Z161" s="198"/>
    </row>
    <row r="162" ht="91.5" customHeight="1">
      <c r="A162" s="285"/>
      <c r="B162" s="285"/>
      <c r="C162" s="285"/>
      <c r="D162" s="285"/>
      <c r="E162" s="287"/>
      <c r="F162" s="288"/>
      <c r="G162" s="288"/>
      <c r="H162" s="288"/>
      <c r="I162" s="288"/>
      <c r="J162" s="288"/>
      <c r="K162" s="285"/>
      <c r="L162" s="485"/>
      <c r="M162" s="290"/>
      <c r="N162" s="285"/>
      <c r="O162" s="322"/>
      <c r="P162" s="300"/>
      <c r="Q162" s="299"/>
      <c r="R162" s="299"/>
      <c r="S162" s="299"/>
      <c r="T162" s="198"/>
      <c r="U162" s="198"/>
      <c r="V162" s="198"/>
      <c r="W162" s="198"/>
      <c r="X162" s="198"/>
      <c r="Y162" s="198"/>
      <c r="Z162" s="198"/>
    </row>
    <row r="163" ht="91.5" customHeight="1">
      <c r="A163" s="285"/>
      <c r="B163" s="285"/>
      <c r="C163" s="285"/>
      <c r="D163" s="285"/>
      <c r="E163" s="287"/>
      <c r="F163" s="288"/>
      <c r="G163" s="288"/>
      <c r="H163" s="288"/>
      <c r="I163" s="288"/>
      <c r="J163" s="288"/>
      <c r="K163" s="285"/>
      <c r="L163" s="485"/>
      <c r="M163" s="290"/>
      <c r="N163" s="285"/>
      <c r="O163" s="322"/>
      <c r="P163" s="300"/>
      <c r="Q163" s="299"/>
      <c r="R163" s="299"/>
      <c r="S163" s="299"/>
      <c r="T163" s="198"/>
      <c r="U163" s="198"/>
      <c r="V163" s="198"/>
      <c r="W163" s="198"/>
      <c r="X163" s="198"/>
      <c r="Y163" s="198"/>
      <c r="Z163" s="198"/>
    </row>
    <row r="164" ht="91.5" customHeight="1">
      <c r="A164" s="285"/>
      <c r="B164" s="285"/>
      <c r="C164" s="285"/>
      <c r="D164" s="285"/>
      <c r="E164" s="287"/>
      <c r="F164" s="288"/>
      <c r="G164" s="288"/>
      <c r="H164" s="288"/>
      <c r="I164" s="288"/>
      <c r="J164" s="288"/>
      <c r="K164" s="285"/>
      <c r="L164" s="485"/>
      <c r="M164" s="290"/>
      <c r="N164" s="285"/>
      <c r="O164" s="322"/>
      <c r="P164" s="300"/>
      <c r="Q164" s="299"/>
      <c r="R164" s="299"/>
      <c r="S164" s="299"/>
      <c r="T164" s="198"/>
      <c r="U164" s="198"/>
      <c r="V164" s="198"/>
      <c r="W164" s="198"/>
      <c r="X164" s="198"/>
      <c r="Y164" s="198"/>
      <c r="Z164" s="198"/>
    </row>
    <row r="165" ht="91.5" customHeight="1">
      <c r="A165" s="285"/>
      <c r="B165" s="285"/>
      <c r="C165" s="285"/>
      <c r="D165" s="285"/>
      <c r="E165" s="287"/>
      <c r="F165" s="288"/>
      <c r="G165" s="288"/>
      <c r="H165" s="288"/>
      <c r="I165" s="288"/>
      <c r="J165" s="288"/>
      <c r="K165" s="285"/>
      <c r="L165" s="572"/>
      <c r="M165" s="290"/>
      <c r="N165" s="285"/>
      <c r="O165" s="322"/>
      <c r="P165" s="300"/>
      <c r="Q165" s="299"/>
      <c r="R165" s="299"/>
      <c r="S165" s="299"/>
      <c r="T165" s="198"/>
      <c r="U165" s="198"/>
      <c r="V165" s="198"/>
      <c r="W165" s="198"/>
      <c r="X165" s="198"/>
      <c r="Y165" s="198"/>
      <c r="Z165" s="198"/>
    </row>
    <row r="166" ht="108.75" customHeight="1">
      <c r="A166" s="285"/>
      <c r="B166" s="285"/>
      <c r="C166" s="285"/>
      <c r="D166" s="285"/>
      <c r="E166" s="287"/>
      <c r="F166" s="288"/>
      <c r="G166" s="367"/>
      <c r="H166" s="288"/>
      <c r="I166" s="288"/>
      <c r="J166" s="367"/>
      <c r="K166" s="285"/>
      <c r="L166" s="485"/>
      <c r="M166" s="290"/>
      <c r="N166" s="285"/>
      <c r="O166" s="322"/>
      <c r="P166" s="300"/>
      <c r="Q166" s="299"/>
      <c r="R166" s="299"/>
      <c r="S166" s="299"/>
      <c r="T166" s="198"/>
      <c r="U166" s="198"/>
      <c r="V166" s="198"/>
      <c r="W166" s="198"/>
      <c r="X166" s="198"/>
      <c r="Y166" s="198"/>
      <c r="Z166" s="198"/>
    </row>
    <row r="167" ht="91.5" customHeight="1">
      <c r="A167" s="285"/>
      <c r="B167" s="285"/>
      <c r="C167" s="285"/>
      <c r="D167" s="285"/>
      <c r="E167" s="287"/>
      <c r="F167" s="288"/>
      <c r="G167" s="288"/>
      <c r="H167" s="288"/>
      <c r="I167" s="288"/>
      <c r="J167" s="288"/>
      <c r="K167" s="285"/>
      <c r="L167" s="485"/>
      <c r="M167" s="290"/>
      <c r="N167" s="285"/>
      <c r="O167" s="322"/>
      <c r="P167" s="300"/>
      <c r="Q167" s="299"/>
      <c r="R167" s="299"/>
      <c r="S167" s="299"/>
      <c r="T167" s="198"/>
      <c r="U167" s="198"/>
      <c r="V167" s="198"/>
      <c r="W167" s="198"/>
      <c r="X167" s="198"/>
      <c r="Y167" s="198"/>
      <c r="Z167" s="198"/>
    </row>
    <row r="168" ht="91.5" customHeight="1">
      <c r="A168" s="285"/>
      <c r="B168" s="285"/>
      <c r="C168" s="285"/>
      <c r="D168" s="285"/>
      <c r="E168" s="287"/>
      <c r="F168" s="288"/>
      <c r="G168" s="288"/>
      <c r="H168" s="288"/>
      <c r="I168" s="288"/>
      <c r="J168" s="288"/>
      <c r="K168" s="285"/>
      <c r="L168" s="485"/>
      <c r="M168" s="290"/>
      <c r="N168" s="285"/>
      <c r="O168" s="322"/>
      <c r="P168" s="300"/>
      <c r="Q168" s="299"/>
      <c r="R168" s="299"/>
      <c r="S168" s="299"/>
      <c r="T168" s="198"/>
      <c r="U168" s="198"/>
      <c r="V168" s="198"/>
      <c r="W168" s="198"/>
      <c r="X168" s="198"/>
      <c r="Y168" s="198"/>
      <c r="Z168" s="198"/>
    </row>
    <row r="169" ht="91.5" customHeight="1">
      <c r="A169" s="285"/>
      <c r="B169" s="285"/>
      <c r="C169" s="285"/>
      <c r="D169" s="285"/>
      <c r="E169" s="287"/>
      <c r="F169" s="288"/>
      <c r="G169" s="288"/>
      <c r="H169" s="288"/>
      <c r="I169" s="288"/>
      <c r="J169" s="288"/>
      <c r="K169" s="285"/>
      <c r="L169" s="485"/>
      <c r="M169" s="290"/>
      <c r="N169" s="285"/>
      <c r="O169" s="322"/>
      <c r="P169" s="300"/>
      <c r="Q169" s="299"/>
      <c r="R169" s="299"/>
      <c r="S169" s="299"/>
      <c r="T169" s="198"/>
      <c r="U169" s="198"/>
      <c r="V169" s="198"/>
      <c r="W169" s="198"/>
      <c r="X169" s="198"/>
      <c r="Y169" s="198"/>
      <c r="Z169" s="198"/>
    </row>
    <row r="170" ht="91.5" customHeight="1">
      <c r="A170" s="285"/>
      <c r="B170" s="285"/>
      <c r="C170" s="285"/>
      <c r="D170" s="285"/>
      <c r="E170" s="287"/>
      <c r="F170" s="288"/>
      <c r="G170" s="288"/>
      <c r="H170" s="288"/>
      <c r="I170" s="288"/>
      <c r="J170" s="288"/>
      <c r="K170" s="285"/>
      <c r="L170" s="485"/>
      <c r="M170" s="290"/>
      <c r="N170" s="285"/>
      <c r="O170" s="322"/>
      <c r="P170" s="300"/>
      <c r="Q170" s="299"/>
      <c r="R170" s="299"/>
      <c r="S170" s="299"/>
      <c r="T170" s="198"/>
      <c r="U170" s="198"/>
      <c r="V170" s="198"/>
      <c r="W170" s="198"/>
      <c r="X170" s="198"/>
      <c r="Y170" s="198"/>
      <c r="Z170" s="198"/>
    </row>
    <row r="171" ht="91.5" customHeight="1">
      <c r="A171" s="285"/>
      <c r="B171" s="285"/>
      <c r="C171" s="285"/>
      <c r="D171" s="285"/>
      <c r="E171" s="287"/>
      <c r="F171" s="288"/>
      <c r="G171" s="288"/>
      <c r="H171" s="288"/>
      <c r="I171" s="288"/>
      <c r="J171" s="288"/>
      <c r="K171" s="285"/>
      <c r="L171" s="485"/>
      <c r="M171" s="290"/>
      <c r="N171" s="285"/>
      <c r="O171" s="322"/>
      <c r="P171" s="300"/>
      <c r="Q171" s="299"/>
      <c r="R171" s="299"/>
      <c r="S171" s="299"/>
      <c r="T171" s="198"/>
      <c r="U171" s="198"/>
      <c r="V171" s="198"/>
      <c r="W171" s="198"/>
      <c r="X171" s="198"/>
      <c r="Y171" s="198"/>
      <c r="Z171" s="198"/>
    </row>
    <row r="172" ht="91.5" customHeight="1">
      <c r="A172" s="285"/>
      <c r="B172" s="285"/>
      <c r="C172" s="285"/>
      <c r="D172" s="285"/>
      <c r="E172" s="287"/>
      <c r="F172" s="288"/>
      <c r="G172" s="288"/>
      <c r="H172" s="288"/>
      <c r="I172" s="288"/>
      <c r="J172" s="288"/>
      <c r="K172" s="285"/>
      <c r="L172" s="485"/>
      <c r="M172" s="290"/>
      <c r="N172" s="285"/>
      <c r="O172" s="322"/>
      <c r="P172" s="300"/>
      <c r="Q172" s="299"/>
      <c r="R172" s="299"/>
      <c r="S172" s="299"/>
      <c r="T172" s="198"/>
      <c r="U172" s="198"/>
      <c r="V172" s="198"/>
      <c r="W172" s="198"/>
      <c r="X172" s="198"/>
      <c r="Y172" s="198"/>
      <c r="Z172" s="198"/>
    </row>
    <row r="173" ht="91.5" customHeight="1">
      <c r="A173" s="285"/>
      <c r="B173" s="285"/>
      <c r="C173" s="285"/>
      <c r="D173" s="285"/>
      <c r="E173" s="287"/>
      <c r="F173" s="288"/>
      <c r="G173" s="288"/>
      <c r="H173" s="288"/>
      <c r="I173" s="288"/>
      <c r="J173" s="288"/>
      <c r="K173" s="285"/>
      <c r="L173" s="485"/>
      <c r="M173" s="290"/>
      <c r="N173" s="285"/>
      <c r="O173" s="322"/>
      <c r="P173" s="300"/>
      <c r="Q173" s="299"/>
      <c r="R173" s="299"/>
      <c r="S173" s="299"/>
      <c r="T173" s="198"/>
      <c r="U173" s="198"/>
      <c r="V173" s="198"/>
      <c r="W173" s="198"/>
      <c r="X173" s="198"/>
      <c r="Y173" s="198"/>
      <c r="Z173" s="198"/>
    </row>
    <row r="174" ht="91.5" customHeight="1">
      <c r="A174" s="285"/>
      <c r="B174" s="285"/>
      <c r="C174" s="285"/>
      <c r="D174" s="285"/>
      <c r="E174" s="287"/>
      <c r="F174" s="288"/>
      <c r="G174" s="288"/>
      <c r="H174" s="288"/>
      <c r="I174" s="288"/>
      <c r="J174" s="288"/>
      <c r="K174" s="285"/>
      <c r="L174" s="485"/>
      <c r="M174" s="290"/>
      <c r="N174" s="285"/>
      <c r="O174" s="322"/>
      <c r="P174" s="300"/>
      <c r="Q174" s="299"/>
      <c r="R174" s="299"/>
      <c r="S174" s="299"/>
      <c r="T174" s="198"/>
      <c r="U174" s="198"/>
      <c r="V174" s="198"/>
      <c r="W174" s="198"/>
      <c r="X174" s="198"/>
      <c r="Y174" s="198"/>
      <c r="Z174" s="198"/>
    </row>
    <row r="175" ht="91.5" customHeight="1">
      <c r="A175" s="285"/>
      <c r="B175" s="285"/>
      <c r="C175" s="285"/>
      <c r="D175" s="285"/>
      <c r="E175" s="287"/>
      <c r="F175" s="288"/>
      <c r="G175" s="288"/>
      <c r="H175" s="288"/>
      <c r="I175" s="288"/>
      <c r="J175" s="288"/>
      <c r="K175" s="285"/>
      <c r="L175" s="485"/>
      <c r="M175" s="290"/>
      <c r="N175" s="285"/>
      <c r="O175" s="322"/>
      <c r="P175" s="300"/>
      <c r="Q175" s="299"/>
      <c r="R175" s="299"/>
      <c r="S175" s="299"/>
      <c r="T175" s="198"/>
      <c r="U175" s="198"/>
      <c r="V175" s="198"/>
      <c r="W175" s="198"/>
      <c r="X175" s="198"/>
      <c r="Y175" s="198"/>
      <c r="Z175" s="198"/>
    </row>
    <row r="176" ht="91.5" customHeight="1">
      <c r="A176" s="285"/>
      <c r="B176" s="285"/>
      <c r="C176" s="285"/>
      <c r="D176" s="285"/>
      <c r="E176" s="287"/>
      <c r="F176" s="288"/>
      <c r="G176" s="288"/>
      <c r="H176" s="288"/>
      <c r="I176" s="288"/>
      <c r="J176" s="288"/>
      <c r="K176" s="285"/>
      <c r="L176" s="485"/>
      <c r="M176" s="290"/>
      <c r="N176" s="285"/>
      <c r="O176" s="322"/>
      <c r="P176" s="300"/>
      <c r="Q176" s="299"/>
      <c r="R176" s="299"/>
      <c r="S176" s="299"/>
      <c r="T176" s="198"/>
      <c r="U176" s="198"/>
      <c r="V176" s="198"/>
      <c r="W176" s="198"/>
      <c r="X176" s="198"/>
      <c r="Y176" s="198"/>
      <c r="Z176" s="198"/>
    </row>
    <row r="177" ht="91.5" customHeight="1">
      <c r="A177" s="285"/>
      <c r="B177" s="285"/>
      <c r="C177" s="285"/>
      <c r="D177" s="285"/>
      <c r="E177" s="287"/>
      <c r="F177" s="288"/>
      <c r="G177" s="288"/>
      <c r="H177" s="288"/>
      <c r="I177" s="288"/>
      <c r="J177" s="288"/>
      <c r="K177" s="285"/>
      <c r="L177" s="485"/>
      <c r="M177" s="290"/>
      <c r="N177" s="285"/>
      <c r="O177" s="322"/>
      <c r="P177" s="300"/>
      <c r="Q177" s="299"/>
      <c r="R177" s="299"/>
      <c r="S177" s="299"/>
      <c r="T177" s="198"/>
      <c r="U177" s="198"/>
      <c r="V177" s="198"/>
      <c r="W177" s="198"/>
      <c r="X177" s="198"/>
      <c r="Y177" s="198"/>
      <c r="Z177" s="198"/>
    </row>
    <row r="178" ht="91.5" customHeight="1">
      <c r="A178" s="285"/>
      <c r="B178" s="285"/>
      <c r="C178" s="285"/>
      <c r="D178" s="285"/>
      <c r="E178" s="287"/>
      <c r="F178" s="288"/>
      <c r="G178" s="288"/>
      <c r="H178" s="288"/>
      <c r="I178" s="288"/>
      <c r="J178" s="285"/>
      <c r="K178" s="285"/>
      <c r="L178" s="485"/>
      <c r="M178" s="290"/>
      <c r="N178" s="285"/>
      <c r="O178" s="322"/>
      <c r="P178" s="300"/>
      <c r="Q178" s="299"/>
      <c r="R178" s="299"/>
      <c r="S178" s="299"/>
      <c r="T178" s="198"/>
      <c r="U178" s="198"/>
      <c r="V178" s="198"/>
      <c r="W178" s="198"/>
      <c r="X178" s="198"/>
      <c r="Y178" s="198"/>
      <c r="Z178" s="198"/>
    </row>
    <row r="179" ht="91.5" customHeight="1">
      <c r="A179" s="285"/>
      <c r="B179" s="285"/>
      <c r="C179" s="285"/>
      <c r="D179" s="285"/>
      <c r="E179" s="287"/>
      <c r="F179" s="288"/>
      <c r="G179" s="288"/>
      <c r="H179" s="288"/>
      <c r="I179" s="288"/>
      <c r="J179" s="288"/>
      <c r="K179" s="285"/>
      <c r="L179" s="485"/>
      <c r="M179" s="290"/>
      <c r="N179" s="285"/>
      <c r="O179" s="322"/>
      <c r="P179" s="300"/>
      <c r="Q179" s="299"/>
      <c r="R179" s="299"/>
      <c r="S179" s="299"/>
      <c r="T179" s="198"/>
      <c r="U179" s="198"/>
      <c r="V179" s="198"/>
      <c r="W179" s="198"/>
      <c r="X179" s="198"/>
      <c r="Y179" s="198"/>
      <c r="Z179" s="198"/>
    </row>
    <row r="180" ht="91.5" customHeight="1">
      <c r="A180" s="285"/>
      <c r="B180" s="285"/>
      <c r="C180" s="285"/>
      <c r="D180" s="285"/>
      <c r="E180" s="287"/>
      <c r="F180" s="288"/>
      <c r="G180" s="288"/>
      <c r="H180" s="288"/>
      <c r="I180" s="288"/>
      <c r="J180" s="285"/>
      <c r="K180" s="285"/>
      <c r="L180" s="485"/>
      <c r="M180" s="290"/>
      <c r="N180" s="285"/>
      <c r="O180" s="322"/>
      <c r="P180" s="300"/>
      <c r="Q180" s="299"/>
      <c r="R180" s="299"/>
      <c r="S180" s="299"/>
      <c r="T180" s="198"/>
      <c r="U180" s="198"/>
      <c r="V180" s="198"/>
      <c r="W180" s="198"/>
      <c r="X180" s="198"/>
      <c r="Y180" s="198"/>
      <c r="Z180" s="198"/>
    </row>
    <row r="181" ht="91.5" customHeight="1">
      <c r="A181" s="285"/>
      <c r="B181" s="285"/>
      <c r="C181" s="285"/>
      <c r="D181" s="285"/>
      <c r="E181" s="287"/>
      <c r="F181" s="288"/>
      <c r="G181" s="288"/>
      <c r="H181" s="288"/>
      <c r="I181" s="288"/>
      <c r="J181" s="288"/>
      <c r="K181" s="285"/>
      <c r="L181" s="485"/>
      <c r="M181" s="290"/>
      <c r="N181" s="285"/>
      <c r="O181" s="322"/>
      <c r="P181" s="300"/>
      <c r="Q181" s="299"/>
      <c r="R181" s="299"/>
      <c r="S181" s="299"/>
      <c r="T181" s="198"/>
      <c r="U181" s="198"/>
      <c r="V181" s="198"/>
      <c r="W181" s="198"/>
      <c r="X181" s="198"/>
      <c r="Y181" s="198"/>
      <c r="Z181" s="198"/>
    </row>
    <row r="182" ht="91.5" customHeight="1">
      <c r="A182" s="285"/>
      <c r="B182" s="285"/>
      <c r="C182" s="285"/>
      <c r="D182" s="285"/>
      <c r="E182" s="287"/>
      <c r="F182" s="288"/>
      <c r="G182" s="288"/>
      <c r="H182" s="288"/>
      <c r="I182" s="288"/>
      <c r="J182" s="288"/>
      <c r="K182" s="285"/>
      <c r="L182" s="485"/>
      <c r="M182" s="290"/>
      <c r="N182" s="285"/>
      <c r="O182" s="322"/>
      <c r="P182" s="300"/>
      <c r="Q182" s="299"/>
      <c r="R182" s="299"/>
      <c r="S182" s="299"/>
      <c r="T182" s="198"/>
      <c r="U182" s="198"/>
      <c r="V182" s="198"/>
      <c r="W182" s="198"/>
      <c r="X182" s="198"/>
      <c r="Y182" s="198"/>
      <c r="Z182" s="198"/>
    </row>
    <row r="183" ht="91.5" customHeight="1">
      <c r="A183" s="285"/>
      <c r="B183" s="285"/>
      <c r="C183" s="285"/>
      <c r="D183" s="285"/>
      <c r="E183" s="287"/>
      <c r="F183" s="288"/>
      <c r="G183" s="288"/>
      <c r="H183" s="288"/>
      <c r="I183" s="288"/>
      <c r="J183" s="288"/>
      <c r="K183" s="285"/>
      <c r="L183" s="485"/>
      <c r="M183" s="290"/>
      <c r="N183" s="285"/>
      <c r="O183" s="322"/>
      <c r="P183" s="300"/>
      <c r="Q183" s="299"/>
      <c r="R183" s="299"/>
      <c r="S183" s="299"/>
      <c r="T183" s="198"/>
      <c r="U183" s="198"/>
      <c r="V183" s="198"/>
      <c r="W183" s="198"/>
      <c r="X183" s="198"/>
      <c r="Y183" s="198"/>
      <c r="Z183" s="198"/>
    </row>
    <row r="184" ht="91.5" customHeight="1">
      <c r="A184" s="285"/>
      <c r="B184" s="285"/>
      <c r="C184" s="285"/>
      <c r="D184" s="285"/>
      <c r="E184" s="287"/>
      <c r="F184" s="288"/>
      <c r="G184" s="288"/>
      <c r="H184" s="288"/>
      <c r="I184" s="288"/>
      <c r="J184" s="288"/>
      <c r="K184" s="285"/>
      <c r="L184" s="485"/>
      <c r="M184" s="290"/>
      <c r="N184" s="285"/>
      <c r="O184" s="322"/>
      <c r="P184" s="300"/>
      <c r="Q184" s="299"/>
      <c r="R184" s="299"/>
      <c r="S184" s="299"/>
      <c r="T184" s="198"/>
      <c r="U184" s="198"/>
      <c r="V184" s="198"/>
      <c r="W184" s="198"/>
      <c r="X184" s="198"/>
      <c r="Y184" s="198"/>
      <c r="Z184" s="198"/>
    </row>
    <row r="185" ht="91.5" customHeight="1">
      <c r="A185" s="285"/>
      <c r="B185" s="285"/>
      <c r="C185" s="285"/>
      <c r="D185" s="285"/>
      <c r="E185" s="287"/>
      <c r="F185" s="288"/>
      <c r="G185" s="288"/>
      <c r="H185" s="288"/>
      <c r="I185" s="288"/>
      <c r="J185" s="288"/>
      <c r="K185" s="285"/>
      <c r="L185" s="485"/>
      <c r="M185" s="290"/>
      <c r="N185" s="285"/>
      <c r="O185" s="322"/>
      <c r="P185" s="300"/>
      <c r="Q185" s="299"/>
      <c r="R185" s="299"/>
      <c r="S185" s="299"/>
      <c r="T185" s="198"/>
      <c r="U185" s="198"/>
      <c r="V185" s="198"/>
      <c r="W185" s="198"/>
      <c r="X185" s="198"/>
      <c r="Y185" s="198"/>
      <c r="Z185" s="198"/>
    </row>
    <row r="186" ht="91.5" customHeight="1">
      <c r="A186" s="285"/>
      <c r="B186" s="285"/>
      <c r="C186" s="285"/>
      <c r="D186" s="285"/>
      <c r="E186" s="287"/>
      <c r="F186" s="288"/>
      <c r="G186" s="288"/>
      <c r="H186" s="288"/>
      <c r="I186" s="288"/>
      <c r="J186" s="288"/>
      <c r="K186" s="285"/>
      <c r="L186" s="485"/>
      <c r="M186" s="290"/>
      <c r="N186" s="285"/>
      <c r="O186" s="322"/>
      <c r="P186" s="300"/>
      <c r="Q186" s="299"/>
      <c r="R186" s="299"/>
      <c r="S186" s="299"/>
      <c r="T186" s="198"/>
      <c r="U186" s="198"/>
      <c r="V186" s="198"/>
      <c r="W186" s="198"/>
      <c r="X186" s="198"/>
      <c r="Y186" s="198"/>
      <c r="Z186" s="198"/>
    </row>
    <row r="187" ht="91.5" customHeight="1">
      <c r="A187" s="285"/>
      <c r="B187" s="285"/>
      <c r="C187" s="285"/>
      <c r="D187" s="285"/>
      <c r="E187" s="287"/>
      <c r="F187" s="288"/>
      <c r="G187" s="367"/>
      <c r="H187" s="288"/>
      <c r="I187" s="288"/>
      <c r="J187" s="367"/>
      <c r="K187" s="285"/>
      <c r="L187" s="485"/>
      <c r="M187" s="290"/>
      <c r="N187" s="285"/>
      <c r="O187" s="322"/>
      <c r="P187" s="300"/>
      <c r="Q187" s="299"/>
      <c r="R187" s="299"/>
      <c r="S187" s="299"/>
      <c r="T187" s="198"/>
      <c r="U187" s="198"/>
      <c r="V187" s="198"/>
      <c r="W187" s="198"/>
      <c r="X187" s="198"/>
      <c r="Y187" s="198"/>
      <c r="Z187" s="198"/>
    </row>
    <row r="188" ht="91.5" customHeight="1">
      <c r="A188" s="285"/>
      <c r="B188" s="285"/>
      <c r="C188" s="285"/>
      <c r="D188" s="285"/>
      <c r="E188" s="287"/>
      <c r="F188" s="288"/>
      <c r="G188" s="288"/>
      <c r="H188" s="288"/>
      <c r="I188" s="288"/>
      <c r="J188" s="288"/>
      <c r="K188" s="285"/>
      <c r="L188" s="485"/>
      <c r="M188" s="290"/>
      <c r="N188" s="285"/>
      <c r="O188" s="322"/>
      <c r="P188" s="300"/>
      <c r="Q188" s="299"/>
      <c r="R188" s="299"/>
      <c r="S188" s="299"/>
      <c r="T188" s="198"/>
      <c r="U188" s="198"/>
      <c r="V188" s="198"/>
      <c r="W188" s="198"/>
      <c r="X188" s="198"/>
      <c r="Y188" s="198"/>
      <c r="Z188" s="198"/>
    </row>
    <row r="189" ht="91.5" customHeight="1">
      <c r="A189" s="285"/>
      <c r="B189" s="285"/>
      <c r="C189" s="285"/>
      <c r="D189" s="285"/>
      <c r="E189" s="287"/>
      <c r="F189" s="288"/>
      <c r="G189" s="288"/>
      <c r="H189" s="288"/>
      <c r="I189" s="288"/>
      <c r="J189" s="288"/>
      <c r="K189" s="285"/>
      <c r="L189" s="485"/>
      <c r="M189" s="290"/>
      <c r="N189" s="285"/>
      <c r="O189" s="322"/>
      <c r="P189" s="300"/>
      <c r="Q189" s="299"/>
      <c r="R189" s="299"/>
      <c r="S189" s="299"/>
      <c r="T189" s="198"/>
      <c r="U189" s="198"/>
      <c r="V189" s="198"/>
      <c r="W189" s="198"/>
      <c r="X189" s="198"/>
      <c r="Y189" s="198"/>
      <c r="Z189" s="198"/>
    </row>
    <row r="190" ht="91.5" customHeight="1">
      <c r="A190" s="285"/>
      <c r="B190" s="285"/>
      <c r="C190" s="285"/>
      <c r="D190" s="285"/>
      <c r="E190" s="287"/>
      <c r="F190" s="288"/>
      <c r="G190" s="288"/>
      <c r="H190" s="288"/>
      <c r="I190" s="288"/>
      <c r="J190" s="288"/>
      <c r="K190" s="285"/>
      <c r="L190" s="485"/>
      <c r="M190" s="290"/>
      <c r="N190" s="285"/>
      <c r="O190" s="322"/>
      <c r="P190" s="300"/>
      <c r="Q190" s="299"/>
      <c r="R190" s="299"/>
      <c r="S190" s="299"/>
      <c r="T190" s="198"/>
      <c r="U190" s="198"/>
      <c r="V190" s="198"/>
      <c r="W190" s="198"/>
      <c r="X190" s="198"/>
      <c r="Y190" s="198"/>
      <c r="Z190" s="198"/>
    </row>
    <row r="191" ht="91.5" customHeight="1">
      <c r="A191" s="285"/>
      <c r="B191" s="285"/>
      <c r="C191" s="285"/>
      <c r="D191" s="285"/>
      <c r="E191" s="287"/>
      <c r="F191" s="288"/>
      <c r="G191" s="288"/>
      <c r="H191" s="288"/>
      <c r="I191" s="288"/>
      <c r="J191" s="288"/>
      <c r="K191" s="285"/>
      <c r="L191" s="485"/>
      <c r="M191" s="290"/>
      <c r="N191" s="285"/>
      <c r="O191" s="322"/>
      <c r="P191" s="300"/>
      <c r="Q191" s="299"/>
      <c r="R191" s="299"/>
      <c r="S191" s="299"/>
      <c r="T191" s="198"/>
      <c r="U191" s="198"/>
      <c r="V191" s="198"/>
      <c r="W191" s="198"/>
      <c r="X191" s="198"/>
      <c r="Y191" s="198"/>
      <c r="Z191" s="198"/>
    </row>
    <row r="192" ht="91.5" customHeight="1">
      <c r="A192" s="285"/>
      <c r="B192" s="285"/>
      <c r="C192" s="285"/>
      <c r="D192" s="285"/>
      <c r="E192" s="287"/>
      <c r="F192" s="288"/>
      <c r="G192" s="288"/>
      <c r="H192" s="288"/>
      <c r="I192" s="288"/>
      <c r="J192" s="288"/>
      <c r="K192" s="285"/>
      <c r="L192" s="485"/>
      <c r="M192" s="290"/>
      <c r="N192" s="285"/>
      <c r="O192" s="322"/>
      <c r="P192" s="300"/>
      <c r="Q192" s="299"/>
      <c r="R192" s="299"/>
      <c r="S192" s="299"/>
      <c r="T192" s="198"/>
      <c r="U192" s="198"/>
      <c r="V192" s="198"/>
      <c r="W192" s="198"/>
      <c r="X192" s="198"/>
      <c r="Y192" s="198"/>
      <c r="Z192" s="198"/>
    </row>
    <row r="193" ht="96.0" customHeight="1">
      <c r="A193" s="285"/>
      <c r="B193" s="285"/>
      <c r="C193" s="285"/>
      <c r="D193" s="285"/>
      <c r="E193" s="287"/>
      <c r="F193" s="288"/>
      <c r="G193" s="288"/>
      <c r="H193" s="288"/>
      <c r="I193" s="288"/>
      <c r="J193" s="288"/>
      <c r="K193" s="285"/>
      <c r="L193" s="485"/>
      <c r="M193" s="290"/>
      <c r="N193" s="285"/>
      <c r="O193" s="322"/>
      <c r="P193" s="300"/>
      <c r="Q193" s="299"/>
      <c r="R193" s="299"/>
      <c r="S193" s="299"/>
      <c r="T193" s="198"/>
      <c r="U193" s="198"/>
      <c r="V193" s="198"/>
      <c r="W193" s="198"/>
      <c r="X193" s="198"/>
      <c r="Y193" s="198"/>
      <c r="Z193" s="198"/>
    </row>
    <row r="194" ht="91.5" customHeight="1">
      <c r="A194" s="285"/>
      <c r="B194" s="285"/>
      <c r="C194" s="285"/>
      <c r="D194" s="285"/>
      <c r="E194" s="287"/>
      <c r="F194" s="288"/>
      <c r="G194" s="288"/>
      <c r="H194" s="288"/>
      <c r="I194" s="288"/>
      <c r="J194" s="288"/>
      <c r="K194" s="285"/>
      <c r="L194" s="485"/>
      <c r="M194" s="290"/>
      <c r="N194" s="285"/>
      <c r="O194" s="322"/>
      <c r="P194" s="300"/>
      <c r="Q194" s="299"/>
      <c r="R194" s="299"/>
      <c r="S194" s="299"/>
      <c r="T194" s="198"/>
      <c r="U194" s="198"/>
      <c r="V194" s="198"/>
      <c r="W194" s="198"/>
      <c r="X194" s="198"/>
      <c r="Y194" s="198"/>
      <c r="Z194" s="198"/>
    </row>
    <row r="195" ht="91.5" customHeight="1">
      <c r="A195" s="285"/>
      <c r="B195" s="285"/>
      <c r="C195" s="285"/>
      <c r="D195" s="285"/>
      <c r="E195" s="287"/>
      <c r="F195" s="288"/>
      <c r="G195" s="288"/>
      <c r="H195" s="288"/>
      <c r="I195" s="288"/>
      <c r="J195" s="288"/>
      <c r="K195" s="285"/>
      <c r="L195" s="485"/>
      <c r="M195" s="290"/>
      <c r="N195" s="285"/>
      <c r="O195" s="322"/>
      <c r="P195" s="300"/>
      <c r="Q195" s="299"/>
      <c r="R195" s="299"/>
      <c r="S195" s="299"/>
      <c r="T195" s="198"/>
      <c r="U195" s="198"/>
      <c r="V195" s="198"/>
      <c r="W195" s="198"/>
      <c r="X195" s="198"/>
      <c r="Y195" s="198"/>
      <c r="Z195" s="198"/>
    </row>
    <row r="196" ht="107.25" customHeight="1">
      <c r="A196" s="285"/>
      <c r="B196" s="285"/>
      <c r="C196" s="285"/>
      <c r="D196" s="285"/>
      <c r="E196" s="287"/>
      <c r="F196" s="288"/>
      <c r="G196" s="367"/>
      <c r="H196" s="288"/>
      <c r="I196" s="288"/>
      <c r="J196" s="367"/>
      <c r="K196" s="285"/>
      <c r="L196" s="572"/>
      <c r="M196" s="290"/>
      <c r="N196" s="285"/>
      <c r="O196" s="322"/>
      <c r="P196" s="300"/>
      <c r="Q196" s="299"/>
      <c r="R196" s="299"/>
      <c r="S196" s="299"/>
      <c r="T196" s="198"/>
      <c r="U196" s="198"/>
      <c r="V196" s="198"/>
      <c r="W196" s="198"/>
      <c r="X196" s="198"/>
      <c r="Y196" s="198"/>
      <c r="Z196" s="198"/>
    </row>
    <row r="197" ht="91.5" customHeight="1">
      <c r="A197" s="285"/>
      <c r="B197" s="285"/>
      <c r="C197" s="285"/>
      <c r="D197" s="285"/>
      <c r="E197" s="287"/>
      <c r="F197" s="288"/>
      <c r="G197" s="288"/>
      <c r="H197" s="288"/>
      <c r="I197" s="288"/>
      <c r="J197" s="288"/>
      <c r="K197" s="285"/>
      <c r="L197" s="485"/>
      <c r="M197" s="290"/>
      <c r="N197" s="285"/>
      <c r="O197" s="322"/>
      <c r="P197" s="300"/>
      <c r="Q197" s="299"/>
      <c r="R197" s="299"/>
      <c r="S197" s="299"/>
      <c r="T197" s="198"/>
      <c r="U197" s="198"/>
      <c r="V197" s="198"/>
      <c r="W197" s="198"/>
      <c r="X197" s="198"/>
      <c r="Y197" s="198"/>
      <c r="Z197" s="198"/>
    </row>
    <row r="198" ht="91.5" customHeight="1">
      <c r="A198" s="285"/>
      <c r="B198" s="285"/>
      <c r="C198" s="285"/>
      <c r="D198" s="285"/>
      <c r="E198" s="287"/>
      <c r="F198" s="288"/>
      <c r="G198" s="288"/>
      <c r="H198" s="288"/>
      <c r="I198" s="288"/>
      <c r="J198" s="288"/>
      <c r="K198" s="285"/>
      <c r="L198" s="485"/>
      <c r="M198" s="290"/>
      <c r="N198" s="285"/>
      <c r="O198" s="322"/>
      <c r="P198" s="300"/>
      <c r="Q198" s="299"/>
      <c r="R198" s="299"/>
      <c r="S198" s="299"/>
      <c r="T198" s="198"/>
      <c r="U198" s="198"/>
      <c r="V198" s="198"/>
      <c r="W198" s="198"/>
      <c r="X198" s="198"/>
      <c r="Y198" s="198"/>
      <c r="Z198" s="198"/>
    </row>
    <row r="199" ht="91.5" customHeight="1">
      <c r="A199" s="596"/>
      <c r="B199" s="285"/>
      <c r="C199" s="285"/>
      <c r="D199" s="285"/>
      <c r="E199" s="287"/>
      <c r="F199" s="288"/>
      <c r="G199" s="288"/>
      <c r="H199" s="288"/>
      <c r="I199" s="288"/>
      <c r="J199" s="288"/>
      <c r="K199" s="285"/>
      <c r="L199" s="485"/>
      <c r="M199" s="290"/>
      <c r="N199" s="285"/>
      <c r="O199" s="322"/>
      <c r="P199" s="300"/>
      <c r="Q199" s="299"/>
      <c r="R199" s="299"/>
      <c r="S199" s="299"/>
      <c r="T199" s="198"/>
      <c r="U199" s="198"/>
      <c r="V199" s="198"/>
      <c r="W199" s="198"/>
      <c r="X199" s="198"/>
      <c r="Y199" s="198"/>
      <c r="Z199" s="198"/>
    </row>
    <row r="200" ht="98.25" customHeight="1">
      <c r="A200" s="596"/>
      <c r="B200" s="285"/>
      <c r="C200" s="285"/>
      <c r="D200" s="285"/>
      <c r="E200" s="287"/>
      <c r="F200" s="288"/>
      <c r="G200" s="288"/>
      <c r="H200" s="288"/>
      <c r="I200" s="288"/>
      <c r="J200" s="288"/>
      <c r="K200" s="285"/>
      <c r="L200" s="485"/>
      <c r="M200" s="290"/>
      <c r="N200" s="285"/>
      <c r="O200" s="322"/>
      <c r="P200" s="300"/>
      <c r="Q200" s="299"/>
      <c r="R200" s="299"/>
      <c r="S200" s="299"/>
      <c r="T200" s="198"/>
      <c r="U200" s="198"/>
      <c r="V200" s="198"/>
      <c r="W200" s="198"/>
      <c r="X200" s="198"/>
      <c r="Y200" s="198"/>
      <c r="Z200" s="198"/>
    </row>
    <row r="201" ht="91.5" customHeight="1">
      <c r="A201" s="285"/>
      <c r="B201" s="285"/>
      <c r="C201" s="285"/>
      <c r="D201" s="285"/>
      <c r="E201" s="287"/>
      <c r="F201" s="288"/>
      <c r="G201" s="288"/>
      <c r="H201" s="288"/>
      <c r="I201" s="288"/>
      <c r="J201" s="288"/>
      <c r="K201" s="285"/>
      <c r="L201" s="485"/>
      <c r="M201" s="290"/>
      <c r="N201" s="285"/>
      <c r="O201" s="322"/>
      <c r="P201" s="300"/>
      <c r="Q201" s="299"/>
      <c r="R201" s="299"/>
      <c r="S201" s="299"/>
      <c r="T201" s="198"/>
      <c r="U201" s="198"/>
      <c r="V201" s="198"/>
      <c r="W201" s="198"/>
      <c r="X201" s="198"/>
      <c r="Y201" s="198"/>
      <c r="Z201" s="198"/>
    </row>
    <row r="202" ht="91.5" customHeight="1">
      <c r="A202" s="285"/>
      <c r="B202" s="285"/>
      <c r="C202" s="285"/>
      <c r="D202" s="285"/>
      <c r="E202" s="287"/>
      <c r="F202" s="288"/>
      <c r="G202" s="288"/>
      <c r="H202" s="288"/>
      <c r="I202" s="288"/>
      <c r="J202" s="288"/>
      <c r="K202" s="285"/>
      <c r="L202" s="485"/>
      <c r="M202" s="290"/>
      <c r="N202" s="285"/>
      <c r="O202" s="322"/>
      <c r="P202" s="300"/>
      <c r="Q202" s="299"/>
      <c r="R202" s="299"/>
      <c r="S202" s="299"/>
      <c r="T202" s="198"/>
      <c r="U202" s="198"/>
      <c r="V202" s="198"/>
      <c r="W202" s="198"/>
      <c r="X202" s="198"/>
      <c r="Y202" s="198"/>
      <c r="Z202" s="198"/>
    </row>
    <row r="203" ht="91.5" customHeight="1">
      <c r="A203" s="285"/>
      <c r="B203" s="285"/>
      <c r="C203" s="285"/>
      <c r="D203" s="285"/>
      <c r="E203" s="287"/>
      <c r="F203" s="288"/>
      <c r="G203" s="288"/>
      <c r="H203" s="288"/>
      <c r="I203" s="288"/>
      <c r="J203" s="288"/>
      <c r="K203" s="285"/>
      <c r="L203" s="485"/>
      <c r="M203" s="290"/>
      <c r="N203" s="285"/>
      <c r="O203" s="322"/>
      <c r="P203" s="300"/>
      <c r="Q203" s="299"/>
      <c r="R203" s="299"/>
      <c r="S203" s="299"/>
      <c r="T203" s="198"/>
      <c r="U203" s="198"/>
      <c r="V203" s="198"/>
      <c r="W203" s="198"/>
      <c r="X203" s="198"/>
      <c r="Y203" s="198"/>
      <c r="Z203" s="198"/>
    </row>
    <row r="204" ht="91.5" customHeight="1">
      <c r="A204" s="285"/>
      <c r="B204" s="285"/>
      <c r="C204" s="285"/>
      <c r="D204" s="285"/>
      <c r="E204" s="287"/>
      <c r="F204" s="288"/>
      <c r="G204" s="288"/>
      <c r="H204" s="288"/>
      <c r="I204" s="288"/>
      <c r="J204" s="288"/>
      <c r="K204" s="285"/>
      <c r="L204" s="485"/>
      <c r="M204" s="290"/>
      <c r="N204" s="285"/>
      <c r="O204" s="322"/>
      <c r="P204" s="300"/>
      <c r="Q204" s="299"/>
      <c r="R204" s="299"/>
      <c r="S204" s="299"/>
      <c r="T204" s="198"/>
      <c r="U204" s="198"/>
      <c r="V204" s="198"/>
      <c r="W204" s="198"/>
      <c r="X204" s="198"/>
      <c r="Y204" s="198"/>
      <c r="Z204" s="198"/>
    </row>
    <row r="205" ht="117.75" customHeight="1">
      <c r="A205" s="285"/>
      <c r="B205" s="285"/>
      <c r="C205" s="285"/>
      <c r="D205" s="285"/>
      <c r="E205" s="287"/>
      <c r="F205" s="288"/>
      <c r="G205" s="367"/>
      <c r="H205" s="288"/>
      <c r="I205" s="288"/>
      <c r="J205" s="367"/>
      <c r="K205" s="285"/>
      <c r="L205" s="572"/>
      <c r="M205" s="290"/>
      <c r="N205" s="285"/>
      <c r="O205" s="322"/>
      <c r="P205" s="300"/>
      <c r="Q205" s="299"/>
      <c r="R205" s="299"/>
      <c r="S205" s="299"/>
      <c r="T205" s="198"/>
      <c r="U205" s="198"/>
      <c r="V205" s="198"/>
      <c r="W205" s="198"/>
      <c r="X205" s="198"/>
      <c r="Y205" s="198"/>
      <c r="Z205" s="198"/>
    </row>
    <row r="206" ht="91.5" customHeight="1">
      <c r="A206" s="285"/>
      <c r="B206" s="285"/>
      <c r="C206" s="285"/>
      <c r="D206" s="285"/>
      <c r="E206" s="287"/>
      <c r="F206" s="288"/>
      <c r="G206" s="285"/>
      <c r="H206" s="288"/>
      <c r="I206" s="288"/>
      <c r="J206" s="288"/>
      <c r="K206" s="285"/>
      <c r="L206" s="485"/>
      <c r="M206" s="290"/>
      <c r="N206" s="285"/>
      <c r="O206" s="322"/>
      <c r="P206" s="300"/>
      <c r="Q206" s="299"/>
      <c r="R206" s="299"/>
      <c r="S206" s="299"/>
      <c r="T206" s="198"/>
      <c r="U206" s="198"/>
      <c r="V206" s="198"/>
      <c r="W206" s="198"/>
      <c r="X206" s="198"/>
      <c r="Y206" s="198"/>
      <c r="Z206" s="198"/>
    </row>
    <row r="207" ht="91.5" customHeight="1">
      <c r="A207" s="285"/>
      <c r="B207" s="285"/>
      <c r="C207" s="285"/>
      <c r="D207" s="285"/>
      <c r="E207" s="287"/>
      <c r="F207" s="288"/>
      <c r="G207" s="288"/>
      <c r="H207" s="288"/>
      <c r="I207" s="288"/>
      <c r="J207" s="288"/>
      <c r="K207" s="285"/>
      <c r="L207" s="485"/>
      <c r="M207" s="290"/>
      <c r="N207" s="285"/>
      <c r="O207" s="322"/>
      <c r="P207" s="300"/>
      <c r="Q207" s="299"/>
      <c r="R207" s="299"/>
      <c r="S207" s="299"/>
      <c r="T207" s="198"/>
      <c r="U207" s="198"/>
      <c r="V207" s="198"/>
      <c r="W207" s="198"/>
      <c r="X207" s="198"/>
      <c r="Y207" s="198"/>
      <c r="Z207" s="198"/>
    </row>
    <row r="208" ht="91.5" customHeight="1">
      <c r="A208" s="285"/>
      <c r="B208" s="285"/>
      <c r="C208" s="285"/>
      <c r="D208" s="285"/>
      <c r="E208" s="287"/>
      <c r="F208" s="288"/>
      <c r="G208" s="288"/>
      <c r="H208" s="288"/>
      <c r="I208" s="288"/>
      <c r="J208" s="288"/>
      <c r="K208" s="285"/>
      <c r="L208" s="485"/>
      <c r="M208" s="290"/>
      <c r="N208" s="285"/>
      <c r="O208" s="322"/>
      <c r="P208" s="300"/>
      <c r="Q208" s="299"/>
      <c r="R208" s="299"/>
      <c r="S208" s="299"/>
      <c r="T208" s="198"/>
      <c r="U208" s="198"/>
      <c r="V208" s="198"/>
      <c r="W208" s="198"/>
      <c r="X208" s="198"/>
      <c r="Y208" s="198"/>
      <c r="Z208" s="198"/>
    </row>
    <row r="209" ht="91.5" customHeight="1">
      <c r="A209" s="285"/>
      <c r="B209" s="285"/>
      <c r="C209" s="285"/>
      <c r="D209" s="285"/>
      <c r="E209" s="287"/>
      <c r="F209" s="288"/>
      <c r="G209" s="288"/>
      <c r="H209" s="288"/>
      <c r="I209" s="288"/>
      <c r="J209" s="288"/>
      <c r="K209" s="285"/>
      <c r="L209" s="485"/>
      <c r="M209" s="290"/>
      <c r="N209" s="285"/>
      <c r="O209" s="322"/>
      <c r="P209" s="300"/>
      <c r="Q209" s="299"/>
      <c r="R209" s="299"/>
      <c r="S209" s="299"/>
      <c r="T209" s="198"/>
      <c r="U209" s="198"/>
      <c r="V209" s="198"/>
      <c r="W209" s="198"/>
      <c r="X209" s="198"/>
      <c r="Y209" s="198"/>
      <c r="Z209" s="198"/>
    </row>
    <row r="210" ht="91.5" customHeight="1">
      <c r="A210" s="285"/>
      <c r="B210" s="285"/>
      <c r="C210" s="285"/>
      <c r="D210" s="285"/>
      <c r="E210" s="287"/>
      <c r="F210" s="288"/>
      <c r="G210" s="288"/>
      <c r="H210" s="288"/>
      <c r="I210" s="288"/>
      <c r="J210" s="288"/>
      <c r="K210" s="285"/>
      <c r="L210" s="485"/>
      <c r="M210" s="290"/>
      <c r="N210" s="285"/>
      <c r="O210" s="322"/>
      <c r="P210" s="300"/>
      <c r="Q210" s="299"/>
      <c r="R210" s="299"/>
      <c r="S210" s="299"/>
      <c r="T210" s="198"/>
      <c r="U210" s="198"/>
      <c r="V210" s="198"/>
      <c r="W210" s="198"/>
      <c r="X210" s="198"/>
      <c r="Y210" s="198"/>
      <c r="Z210" s="198"/>
    </row>
    <row r="211" ht="91.5" customHeight="1">
      <c r="A211" s="285"/>
      <c r="B211" s="285"/>
      <c r="C211" s="285"/>
      <c r="D211" s="285"/>
      <c r="E211" s="287"/>
      <c r="F211" s="288"/>
      <c r="G211" s="288"/>
      <c r="H211" s="288"/>
      <c r="I211" s="288"/>
      <c r="J211" s="288"/>
      <c r="K211" s="285"/>
      <c r="L211" s="485"/>
      <c r="M211" s="290"/>
      <c r="N211" s="285"/>
      <c r="O211" s="322"/>
      <c r="P211" s="300"/>
      <c r="Q211" s="299"/>
      <c r="R211" s="299"/>
      <c r="S211" s="299"/>
      <c r="T211" s="198"/>
      <c r="U211" s="198"/>
      <c r="V211" s="198"/>
      <c r="W211" s="198"/>
      <c r="X211" s="198"/>
      <c r="Y211" s="198"/>
      <c r="Z211" s="198"/>
    </row>
    <row r="212" ht="91.5" customHeight="1">
      <c r="A212" s="285"/>
      <c r="B212" s="285"/>
      <c r="C212" s="285"/>
      <c r="D212" s="285"/>
      <c r="E212" s="287"/>
      <c r="F212" s="288"/>
      <c r="G212" s="288"/>
      <c r="H212" s="288"/>
      <c r="I212" s="288"/>
      <c r="J212" s="288"/>
      <c r="K212" s="285"/>
      <c r="L212" s="572"/>
      <c r="M212" s="290"/>
      <c r="N212" s="285"/>
      <c r="O212" s="322"/>
      <c r="P212" s="300"/>
      <c r="Q212" s="299"/>
      <c r="R212" s="299"/>
      <c r="S212" s="299"/>
      <c r="T212" s="198"/>
      <c r="U212" s="198"/>
      <c r="V212" s="198"/>
      <c r="W212" s="198"/>
      <c r="X212" s="198"/>
      <c r="Y212" s="198"/>
      <c r="Z212" s="198"/>
    </row>
    <row r="213" ht="91.5" customHeight="1">
      <c r="A213" s="285"/>
      <c r="B213" s="285"/>
      <c r="C213" s="285"/>
      <c r="D213" s="285"/>
      <c r="E213" s="287"/>
      <c r="F213" s="288"/>
      <c r="G213" s="288"/>
      <c r="H213" s="288"/>
      <c r="I213" s="288"/>
      <c r="J213" s="288"/>
      <c r="K213" s="285"/>
      <c r="L213" s="485"/>
      <c r="M213" s="290"/>
      <c r="N213" s="285"/>
      <c r="O213" s="322"/>
      <c r="P213" s="300"/>
      <c r="Q213" s="299"/>
      <c r="R213" s="299"/>
      <c r="S213" s="299"/>
      <c r="T213" s="198"/>
      <c r="U213" s="198"/>
      <c r="V213" s="198"/>
      <c r="W213" s="198"/>
      <c r="X213" s="198"/>
      <c r="Y213" s="198"/>
      <c r="Z213" s="198"/>
    </row>
    <row r="214" ht="91.5" customHeight="1">
      <c r="A214" s="285"/>
      <c r="B214" s="285"/>
      <c r="C214" s="285"/>
      <c r="D214" s="285"/>
      <c r="E214" s="287"/>
      <c r="F214" s="288"/>
      <c r="G214" s="288"/>
      <c r="H214" s="288"/>
      <c r="I214" s="288"/>
      <c r="J214" s="288"/>
      <c r="K214" s="285"/>
      <c r="L214" s="572"/>
      <c r="M214" s="290"/>
      <c r="N214" s="285"/>
      <c r="O214" s="322"/>
      <c r="P214" s="300"/>
      <c r="Q214" s="299"/>
      <c r="R214" s="299"/>
      <c r="S214" s="299"/>
      <c r="T214" s="198"/>
      <c r="U214" s="198"/>
      <c r="V214" s="198"/>
      <c r="W214" s="198"/>
      <c r="X214" s="198"/>
      <c r="Y214" s="198"/>
      <c r="Z214" s="198"/>
    </row>
    <row r="215" ht="91.5" customHeight="1">
      <c r="A215" s="285"/>
      <c r="B215" s="285"/>
      <c r="C215" s="285"/>
      <c r="D215" s="285"/>
      <c r="E215" s="287"/>
      <c r="F215" s="288"/>
      <c r="G215" s="288"/>
      <c r="H215" s="288"/>
      <c r="I215" s="288"/>
      <c r="J215" s="288"/>
      <c r="K215" s="285"/>
      <c r="L215" s="572"/>
      <c r="M215" s="290"/>
      <c r="N215" s="285"/>
      <c r="O215" s="322"/>
      <c r="P215" s="300"/>
      <c r="Q215" s="299"/>
      <c r="R215" s="299"/>
      <c r="S215" s="299"/>
      <c r="T215" s="198"/>
      <c r="U215" s="198"/>
      <c r="V215" s="198"/>
      <c r="W215" s="198"/>
      <c r="X215" s="198"/>
      <c r="Y215" s="198"/>
      <c r="Z215" s="198"/>
    </row>
    <row r="216" ht="91.5" customHeight="1">
      <c r="A216" s="285"/>
      <c r="B216" s="285"/>
      <c r="C216" s="285"/>
      <c r="D216" s="285"/>
      <c r="E216" s="287"/>
      <c r="F216" s="288"/>
      <c r="G216" s="288"/>
      <c r="H216" s="288"/>
      <c r="I216" s="288"/>
      <c r="J216" s="288"/>
      <c r="K216" s="285"/>
      <c r="L216" s="572"/>
      <c r="M216" s="290"/>
      <c r="N216" s="285"/>
      <c r="O216" s="322"/>
      <c r="P216" s="300"/>
      <c r="Q216" s="299"/>
      <c r="R216" s="299"/>
      <c r="S216" s="299"/>
      <c r="T216" s="198"/>
      <c r="U216" s="198"/>
      <c r="V216" s="198"/>
      <c r="W216" s="198"/>
      <c r="X216" s="198"/>
      <c r="Y216" s="198"/>
      <c r="Z216" s="198"/>
    </row>
    <row r="217" ht="91.5" customHeight="1">
      <c r="A217" s="285"/>
      <c r="B217" s="285"/>
      <c r="C217" s="285"/>
      <c r="D217" s="285"/>
      <c r="E217" s="287"/>
      <c r="F217" s="288"/>
      <c r="G217" s="288"/>
      <c r="H217" s="288"/>
      <c r="I217" s="288"/>
      <c r="J217" s="288"/>
      <c r="K217" s="285"/>
      <c r="L217" s="572"/>
      <c r="M217" s="290"/>
      <c r="N217" s="285"/>
      <c r="O217" s="322"/>
      <c r="P217" s="300"/>
      <c r="Q217" s="299"/>
      <c r="R217" s="299"/>
      <c r="S217" s="299"/>
      <c r="T217" s="198"/>
      <c r="U217" s="198"/>
      <c r="V217" s="198"/>
      <c r="W217" s="198"/>
      <c r="X217" s="198"/>
      <c r="Y217" s="198"/>
      <c r="Z217" s="198"/>
    </row>
    <row r="218" ht="91.5" customHeight="1">
      <c r="A218" s="285"/>
      <c r="B218" s="285"/>
      <c r="C218" s="285"/>
      <c r="D218" s="285"/>
      <c r="E218" s="287"/>
      <c r="F218" s="288"/>
      <c r="G218" s="288"/>
      <c r="H218" s="288"/>
      <c r="I218" s="288"/>
      <c r="J218" s="288"/>
      <c r="K218" s="285"/>
      <c r="L218" s="285"/>
      <c r="M218" s="290"/>
      <c r="N218" s="285"/>
      <c r="O218" s="322"/>
      <c r="P218" s="300"/>
      <c r="Q218" s="299"/>
      <c r="R218" s="299"/>
      <c r="S218" s="299"/>
      <c r="T218" s="198"/>
      <c r="U218" s="198"/>
      <c r="V218" s="198"/>
      <c r="W218" s="198"/>
      <c r="X218" s="198"/>
      <c r="Y218" s="198"/>
      <c r="Z218" s="198"/>
    </row>
    <row r="219" ht="91.5" customHeight="1">
      <c r="A219" s="285"/>
      <c r="B219" s="285"/>
      <c r="C219" s="285"/>
      <c r="D219" s="285"/>
      <c r="E219" s="287"/>
      <c r="F219" s="288"/>
      <c r="G219" s="288"/>
      <c r="H219" s="288"/>
      <c r="I219" s="288"/>
      <c r="J219" s="288"/>
      <c r="K219" s="285"/>
      <c r="L219" s="572"/>
      <c r="M219" s="290"/>
      <c r="N219" s="285"/>
      <c r="O219" s="322"/>
      <c r="P219" s="300"/>
      <c r="Q219" s="299"/>
      <c r="R219" s="299"/>
      <c r="S219" s="299"/>
      <c r="T219" s="198"/>
      <c r="U219" s="198"/>
      <c r="V219" s="198"/>
      <c r="W219" s="198"/>
      <c r="X219" s="198"/>
      <c r="Y219" s="198"/>
      <c r="Z219" s="198"/>
    </row>
    <row r="220" ht="91.5" customHeight="1">
      <c r="A220" s="285"/>
      <c r="B220" s="285"/>
      <c r="C220" s="285"/>
      <c r="D220" s="285"/>
      <c r="E220" s="287"/>
      <c r="F220" s="288"/>
      <c r="G220" s="288"/>
      <c r="H220" s="288"/>
      <c r="I220" s="288"/>
      <c r="J220" s="288"/>
      <c r="K220" s="285"/>
      <c r="L220" s="572"/>
      <c r="M220" s="290"/>
      <c r="N220" s="285"/>
      <c r="O220" s="322"/>
      <c r="P220" s="300"/>
      <c r="Q220" s="299"/>
      <c r="R220" s="299"/>
      <c r="S220" s="299"/>
      <c r="T220" s="198"/>
      <c r="U220" s="198"/>
      <c r="V220" s="198"/>
      <c r="W220" s="198"/>
      <c r="X220" s="198"/>
      <c r="Y220" s="198"/>
      <c r="Z220" s="198"/>
    </row>
    <row r="221" ht="91.5" customHeight="1">
      <c r="A221" s="285"/>
      <c r="B221" s="285"/>
      <c r="C221" s="285"/>
      <c r="D221" s="285"/>
      <c r="E221" s="287"/>
      <c r="F221" s="288"/>
      <c r="G221" s="288"/>
      <c r="H221" s="288"/>
      <c r="I221" s="288"/>
      <c r="J221" s="288"/>
      <c r="K221" s="285"/>
      <c r="L221" s="572"/>
      <c r="M221" s="290"/>
      <c r="N221" s="285"/>
      <c r="O221" s="322"/>
      <c r="P221" s="300"/>
      <c r="Q221" s="299"/>
      <c r="R221" s="299"/>
      <c r="S221" s="299"/>
      <c r="T221" s="198"/>
      <c r="U221" s="198"/>
      <c r="V221" s="198"/>
      <c r="W221" s="198"/>
      <c r="X221" s="198"/>
      <c r="Y221" s="198"/>
      <c r="Z221" s="198"/>
    </row>
    <row r="222" ht="91.5" customHeight="1">
      <c r="A222" s="285"/>
      <c r="B222" s="285"/>
      <c r="C222" s="285"/>
      <c r="D222" s="285"/>
      <c r="E222" s="287"/>
      <c r="F222" s="288"/>
      <c r="G222" s="288"/>
      <c r="H222" s="288"/>
      <c r="I222" s="288"/>
      <c r="J222" s="288"/>
      <c r="K222" s="285"/>
      <c r="L222" s="485"/>
      <c r="M222" s="290"/>
      <c r="N222" s="285"/>
      <c r="O222" s="322"/>
      <c r="P222" s="300"/>
      <c r="Q222" s="299"/>
      <c r="R222" s="299"/>
      <c r="S222" s="299"/>
      <c r="T222" s="198"/>
      <c r="U222" s="198"/>
      <c r="V222" s="198"/>
      <c r="W222" s="198"/>
      <c r="X222" s="198"/>
      <c r="Y222" s="198"/>
      <c r="Z222" s="198"/>
    </row>
    <row r="223" ht="91.5" customHeight="1">
      <c r="A223" s="285"/>
      <c r="B223" s="285"/>
      <c r="C223" s="285"/>
      <c r="D223" s="285"/>
      <c r="E223" s="287"/>
      <c r="F223" s="288"/>
      <c r="G223" s="288"/>
      <c r="H223" s="288"/>
      <c r="I223" s="288"/>
      <c r="J223" s="288"/>
      <c r="K223" s="285"/>
      <c r="L223" s="485"/>
      <c r="M223" s="290"/>
      <c r="N223" s="285"/>
      <c r="O223" s="322"/>
      <c r="P223" s="300"/>
      <c r="Q223" s="299"/>
      <c r="R223" s="299"/>
      <c r="S223" s="299"/>
      <c r="T223" s="198"/>
      <c r="U223" s="198"/>
      <c r="V223" s="198"/>
      <c r="W223" s="198"/>
      <c r="X223" s="198"/>
      <c r="Y223" s="198"/>
      <c r="Z223" s="198"/>
    </row>
    <row r="224" ht="91.5" customHeight="1">
      <c r="A224" s="285"/>
      <c r="B224" s="285"/>
      <c r="C224" s="285"/>
      <c r="D224" s="285"/>
      <c r="E224" s="287"/>
      <c r="F224" s="288"/>
      <c r="G224" s="288"/>
      <c r="H224" s="288"/>
      <c r="I224" s="288"/>
      <c r="J224" s="288"/>
      <c r="K224" s="285"/>
      <c r="L224" s="485"/>
      <c r="M224" s="290"/>
      <c r="N224" s="285"/>
      <c r="O224" s="322"/>
      <c r="P224" s="300"/>
      <c r="Q224" s="299"/>
      <c r="R224" s="299"/>
      <c r="S224" s="299"/>
      <c r="T224" s="198"/>
      <c r="U224" s="198"/>
      <c r="V224" s="198"/>
      <c r="W224" s="198"/>
      <c r="X224" s="198"/>
      <c r="Y224" s="198"/>
      <c r="Z224" s="198"/>
    </row>
    <row r="225" ht="91.5" customHeight="1">
      <c r="A225" s="285"/>
      <c r="B225" s="285"/>
      <c r="C225" s="285"/>
      <c r="D225" s="285"/>
      <c r="E225" s="287"/>
      <c r="F225" s="288"/>
      <c r="G225" s="288"/>
      <c r="H225" s="288"/>
      <c r="I225" s="288"/>
      <c r="J225" s="288"/>
      <c r="K225" s="285"/>
      <c r="L225" s="485"/>
      <c r="M225" s="290"/>
      <c r="N225" s="285"/>
      <c r="O225" s="322"/>
      <c r="P225" s="300"/>
      <c r="Q225" s="299"/>
      <c r="R225" s="299"/>
      <c r="S225" s="299"/>
      <c r="T225" s="198"/>
      <c r="U225" s="198"/>
      <c r="V225" s="198"/>
      <c r="W225" s="198"/>
      <c r="X225" s="198"/>
      <c r="Y225" s="198"/>
      <c r="Z225" s="198"/>
    </row>
    <row r="226" ht="91.5" customHeight="1">
      <c r="A226" s="285"/>
      <c r="B226" s="285"/>
      <c r="C226" s="285"/>
      <c r="D226" s="285"/>
      <c r="E226" s="287"/>
      <c r="F226" s="288"/>
      <c r="G226" s="288"/>
      <c r="H226" s="288"/>
      <c r="I226" s="288"/>
      <c r="J226" s="288"/>
      <c r="K226" s="285"/>
      <c r="L226" s="572"/>
      <c r="M226" s="290"/>
      <c r="N226" s="285"/>
      <c r="O226" s="322"/>
      <c r="P226" s="300"/>
      <c r="Q226" s="299"/>
      <c r="R226" s="299"/>
      <c r="S226" s="299"/>
      <c r="T226" s="198"/>
      <c r="U226" s="198"/>
      <c r="V226" s="198"/>
      <c r="W226" s="198"/>
      <c r="X226" s="198"/>
      <c r="Y226" s="198"/>
      <c r="Z226" s="198"/>
    </row>
    <row r="227" ht="91.5" customHeight="1">
      <c r="A227" s="285"/>
      <c r="B227" s="285"/>
      <c r="C227" s="285"/>
      <c r="D227" s="285"/>
      <c r="E227" s="287"/>
      <c r="F227" s="288"/>
      <c r="G227" s="288"/>
      <c r="H227" s="288"/>
      <c r="I227" s="288"/>
      <c r="J227" s="288"/>
      <c r="K227" s="285"/>
      <c r="L227" s="572"/>
      <c r="M227" s="290"/>
      <c r="N227" s="285"/>
      <c r="O227" s="322"/>
      <c r="P227" s="300"/>
      <c r="Q227" s="299"/>
      <c r="R227" s="299"/>
      <c r="S227" s="299"/>
      <c r="T227" s="198"/>
      <c r="U227" s="198"/>
      <c r="V227" s="198"/>
      <c r="W227" s="198"/>
      <c r="X227" s="198"/>
      <c r="Y227" s="198"/>
      <c r="Z227" s="198"/>
    </row>
    <row r="228" ht="91.5" customHeight="1">
      <c r="A228" s="285"/>
      <c r="B228" s="285"/>
      <c r="C228" s="285"/>
      <c r="D228" s="285"/>
      <c r="E228" s="287"/>
      <c r="F228" s="288"/>
      <c r="G228" s="288"/>
      <c r="H228" s="288"/>
      <c r="I228" s="288"/>
      <c r="J228" s="288"/>
      <c r="K228" s="285"/>
      <c r="L228" s="485"/>
      <c r="M228" s="290"/>
      <c r="N228" s="285"/>
      <c r="O228" s="322"/>
      <c r="P228" s="300"/>
      <c r="Q228" s="299"/>
      <c r="R228" s="299"/>
      <c r="S228" s="299"/>
      <c r="T228" s="198"/>
      <c r="U228" s="198"/>
      <c r="V228" s="198"/>
      <c r="W228" s="198"/>
      <c r="X228" s="198"/>
      <c r="Y228" s="198"/>
      <c r="Z228" s="198"/>
    </row>
    <row r="229" ht="91.5" customHeight="1">
      <c r="A229" s="285"/>
      <c r="B229" s="285"/>
      <c r="C229" s="285"/>
      <c r="D229" s="285"/>
      <c r="E229" s="287"/>
      <c r="F229" s="288"/>
      <c r="G229" s="288"/>
      <c r="H229" s="288"/>
      <c r="I229" s="288"/>
      <c r="J229" s="288"/>
      <c r="K229" s="285"/>
      <c r="L229" s="485"/>
      <c r="M229" s="290"/>
      <c r="N229" s="285"/>
      <c r="O229" s="322"/>
      <c r="P229" s="300"/>
      <c r="Q229" s="299"/>
      <c r="R229" s="299"/>
      <c r="S229" s="299"/>
      <c r="T229" s="198"/>
      <c r="U229" s="198"/>
      <c r="V229" s="198"/>
      <c r="W229" s="198"/>
      <c r="X229" s="198"/>
      <c r="Y229" s="198"/>
      <c r="Z229" s="198"/>
    </row>
    <row r="230" ht="91.5" customHeight="1">
      <c r="A230" s="285"/>
      <c r="B230" s="285"/>
      <c r="C230" s="285"/>
      <c r="D230" s="285"/>
      <c r="E230" s="287"/>
      <c r="F230" s="288"/>
      <c r="G230" s="288"/>
      <c r="H230" s="288"/>
      <c r="I230" s="288"/>
      <c r="J230" s="288"/>
      <c r="K230" s="285"/>
      <c r="L230" s="485"/>
      <c r="M230" s="290"/>
      <c r="N230" s="285"/>
      <c r="O230" s="322"/>
      <c r="P230" s="300"/>
      <c r="Q230" s="299"/>
      <c r="R230" s="299"/>
      <c r="S230" s="299"/>
      <c r="T230" s="198"/>
      <c r="U230" s="198"/>
      <c r="V230" s="198"/>
      <c r="W230" s="198"/>
      <c r="X230" s="198"/>
      <c r="Y230" s="198"/>
      <c r="Z230" s="198"/>
    </row>
    <row r="231" ht="91.5" customHeight="1">
      <c r="A231" s="285"/>
      <c r="B231" s="285"/>
      <c r="C231" s="285"/>
      <c r="D231" s="577"/>
      <c r="E231" s="287"/>
      <c r="F231" s="288"/>
      <c r="G231" s="288"/>
      <c r="H231" s="288"/>
      <c r="I231" s="288"/>
      <c r="J231" s="288"/>
      <c r="K231" s="285"/>
      <c r="L231" s="485"/>
      <c r="M231" s="290"/>
      <c r="N231" s="285"/>
      <c r="O231" s="322"/>
      <c r="P231" s="300"/>
      <c r="Q231" s="299"/>
      <c r="R231" s="299"/>
      <c r="S231" s="299"/>
      <c r="T231" s="198"/>
      <c r="U231" s="198"/>
      <c r="V231" s="198"/>
      <c r="W231" s="198"/>
      <c r="X231" s="198"/>
      <c r="Y231" s="198"/>
      <c r="Z231" s="198"/>
    </row>
    <row r="232" ht="91.5" customHeight="1">
      <c r="A232" s="285"/>
      <c r="B232" s="285"/>
      <c r="C232" s="285"/>
      <c r="D232" s="285"/>
      <c r="E232" s="287"/>
      <c r="F232" s="288"/>
      <c r="G232" s="288"/>
      <c r="H232" s="288"/>
      <c r="I232" s="288"/>
      <c r="J232" s="288"/>
      <c r="K232" s="285"/>
      <c r="L232" s="485"/>
      <c r="M232" s="290"/>
      <c r="N232" s="285"/>
      <c r="O232" s="322"/>
      <c r="P232" s="300"/>
      <c r="Q232" s="299"/>
      <c r="R232" s="299"/>
      <c r="S232" s="299"/>
      <c r="T232" s="198"/>
      <c r="U232" s="198"/>
      <c r="V232" s="198"/>
      <c r="W232" s="198"/>
      <c r="X232" s="198"/>
      <c r="Y232" s="198"/>
      <c r="Z232" s="198"/>
    </row>
    <row r="233" ht="91.5" customHeight="1">
      <c r="A233" s="285"/>
      <c r="B233" s="285"/>
      <c r="C233" s="285"/>
      <c r="D233" s="285"/>
      <c r="E233" s="287"/>
      <c r="F233" s="288"/>
      <c r="G233" s="288"/>
      <c r="H233" s="288"/>
      <c r="I233" s="288"/>
      <c r="J233" s="288"/>
      <c r="K233" s="285"/>
      <c r="L233" s="285"/>
      <c r="M233" s="290"/>
      <c r="N233" s="285"/>
      <c r="O233" s="322"/>
      <c r="P233" s="300"/>
      <c r="Q233" s="299"/>
      <c r="R233" s="299"/>
      <c r="S233" s="299"/>
      <c r="T233" s="198"/>
      <c r="U233" s="198"/>
      <c r="V233" s="198"/>
      <c r="W233" s="198"/>
      <c r="X233" s="198"/>
      <c r="Y233" s="198"/>
      <c r="Z233" s="198"/>
    </row>
    <row r="234" ht="91.5" customHeight="1">
      <c r="A234" s="285"/>
      <c r="B234" s="285"/>
      <c r="C234" s="285"/>
      <c r="D234" s="285"/>
      <c r="E234" s="287"/>
      <c r="F234" s="288"/>
      <c r="G234" s="288"/>
      <c r="H234" s="288"/>
      <c r="I234" s="288"/>
      <c r="J234" s="288"/>
      <c r="K234" s="285"/>
      <c r="L234" s="485"/>
      <c r="M234" s="290"/>
      <c r="N234" s="285"/>
      <c r="O234" s="322"/>
      <c r="P234" s="300"/>
      <c r="Q234" s="299"/>
      <c r="R234" s="299"/>
      <c r="S234" s="299"/>
      <c r="T234" s="198"/>
      <c r="U234" s="198"/>
      <c r="V234" s="198"/>
      <c r="W234" s="198"/>
      <c r="X234" s="198"/>
      <c r="Y234" s="198"/>
      <c r="Z234" s="198"/>
    </row>
    <row r="235" ht="91.5" customHeight="1">
      <c r="A235" s="285"/>
      <c r="B235" s="285"/>
      <c r="C235" s="285"/>
      <c r="D235" s="285"/>
      <c r="E235" s="287"/>
      <c r="F235" s="288"/>
      <c r="G235" s="288"/>
      <c r="H235" s="288"/>
      <c r="I235" s="288"/>
      <c r="J235" s="288"/>
      <c r="K235" s="285"/>
      <c r="L235" s="485"/>
      <c r="M235" s="290"/>
      <c r="N235" s="285"/>
      <c r="O235" s="322"/>
      <c r="P235" s="300"/>
      <c r="Q235" s="299"/>
      <c r="R235" s="299"/>
      <c r="S235" s="299"/>
      <c r="T235" s="198"/>
      <c r="U235" s="198"/>
      <c r="V235" s="198"/>
      <c r="W235" s="198"/>
      <c r="X235" s="198"/>
      <c r="Y235" s="198"/>
      <c r="Z235" s="198"/>
    </row>
    <row r="236" ht="91.5" customHeight="1">
      <c r="A236" s="285"/>
      <c r="B236" s="285"/>
      <c r="C236" s="285"/>
      <c r="D236" s="285"/>
      <c r="E236" s="287"/>
      <c r="F236" s="288"/>
      <c r="G236" s="288"/>
      <c r="H236" s="288"/>
      <c r="I236" s="288"/>
      <c r="J236" s="288"/>
      <c r="K236" s="285"/>
      <c r="L236" s="485"/>
      <c r="M236" s="290"/>
      <c r="N236" s="285"/>
      <c r="O236" s="322"/>
      <c r="P236" s="300"/>
      <c r="Q236" s="299"/>
      <c r="R236" s="299"/>
      <c r="S236" s="299"/>
      <c r="T236" s="198"/>
      <c r="U236" s="198"/>
      <c r="V236" s="198"/>
      <c r="W236" s="198"/>
      <c r="X236" s="198"/>
      <c r="Y236" s="198"/>
      <c r="Z236" s="198"/>
    </row>
    <row r="237" ht="87.75" customHeight="1">
      <c r="A237" s="285"/>
      <c r="B237" s="285"/>
      <c r="C237" s="285"/>
      <c r="D237" s="285"/>
      <c r="E237" s="287"/>
      <c r="F237" s="288"/>
      <c r="G237" s="288"/>
      <c r="H237" s="288"/>
      <c r="I237" s="288"/>
      <c r="J237" s="288"/>
      <c r="K237" s="285"/>
      <c r="L237" s="485"/>
      <c r="M237" s="290"/>
      <c r="N237" s="285"/>
      <c r="O237" s="322"/>
      <c r="P237" s="300"/>
      <c r="Q237" s="299"/>
      <c r="R237" s="299"/>
      <c r="S237" s="299"/>
      <c r="T237" s="198"/>
      <c r="U237" s="198"/>
      <c r="V237" s="198"/>
      <c r="W237" s="198"/>
      <c r="X237" s="198"/>
      <c r="Y237" s="198"/>
      <c r="Z237" s="198"/>
    </row>
    <row r="238" ht="91.5" customHeight="1">
      <c r="A238" s="285"/>
      <c r="B238" s="285"/>
      <c r="C238" s="285"/>
      <c r="D238" s="285"/>
      <c r="E238" s="287"/>
      <c r="F238" s="288"/>
      <c r="G238" s="288"/>
      <c r="H238" s="288"/>
      <c r="I238" s="288"/>
      <c r="J238" s="288"/>
      <c r="K238" s="285"/>
      <c r="L238" s="572"/>
      <c r="M238" s="290"/>
      <c r="N238" s="285"/>
      <c r="O238" s="322"/>
      <c r="P238" s="300"/>
      <c r="Q238" s="299"/>
      <c r="R238" s="299"/>
      <c r="S238" s="299"/>
      <c r="T238" s="198"/>
      <c r="U238" s="198"/>
      <c r="V238" s="198"/>
      <c r="W238" s="198"/>
      <c r="X238" s="198"/>
      <c r="Y238" s="198"/>
      <c r="Z238" s="198"/>
    </row>
    <row r="239" ht="91.5" customHeight="1">
      <c r="A239" s="285"/>
      <c r="B239" s="285"/>
      <c r="C239" s="285"/>
      <c r="D239" s="285"/>
      <c r="E239" s="287"/>
      <c r="F239" s="288"/>
      <c r="G239" s="285"/>
      <c r="H239" s="288"/>
      <c r="I239" s="288"/>
      <c r="J239" s="288"/>
      <c r="K239" s="285"/>
      <c r="L239" s="485"/>
      <c r="M239" s="290"/>
      <c r="N239" s="285"/>
      <c r="O239" s="322"/>
      <c r="P239" s="300"/>
      <c r="Q239" s="299"/>
      <c r="R239" s="299"/>
      <c r="S239" s="299"/>
      <c r="T239" s="198"/>
      <c r="U239" s="198"/>
      <c r="V239" s="198"/>
      <c r="W239" s="198"/>
      <c r="X239" s="198"/>
      <c r="Y239" s="198"/>
      <c r="Z239" s="198"/>
    </row>
    <row r="240" ht="91.5" customHeight="1">
      <c r="A240" s="285"/>
      <c r="B240" s="285"/>
      <c r="C240" s="285"/>
      <c r="D240" s="285"/>
      <c r="E240" s="287"/>
      <c r="F240" s="288"/>
      <c r="G240" s="288"/>
      <c r="H240" s="288"/>
      <c r="I240" s="288"/>
      <c r="J240" s="288"/>
      <c r="K240" s="285"/>
      <c r="L240" s="485"/>
      <c r="M240" s="290"/>
      <c r="N240" s="285"/>
      <c r="O240" s="322"/>
      <c r="P240" s="300"/>
      <c r="Q240" s="299"/>
      <c r="R240" s="299"/>
      <c r="S240" s="299"/>
      <c r="T240" s="198"/>
      <c r="U240" s="198"/>
      <c r="V240" s="198"/>
      <c r="W240" s="198"/>
      <c r="X240" s="198"/>
      <c r="Y240" s="198"/>
      <c r="Z240" s="198"/>
    </row>
    <row r="241" ht="91.5" customHeight="1">
      <c r="A241" s="285"/>
      <c r="B241" s="285"/>
      <c r="C241" s="285"/>
      <c r="D241" s="285"/>
      <c r="E241" s="287"/>
      <c r="F241" s="288"/>
      <c r="G241" s="288"/>
      <c r="H241" s="288"/>
      <c r="I241" s="288"/>
      <c r="J241" s="288"/>
      <c r="K241" s="285"/>
      <c r="L241" s="285"/>
      <c r="M241" s="290"/>
      <c r="N241" s="285"/>
      <c r="O241" s="322"/>
      <c r="P241" s="300"/>
      <c r="Q241" s="299"/>
      <c r="R241" s="299"/>
      <c r="S241" s="299"/>
      <c r="T241" s="198"/>
      <c r="U241" s="198"/>
      <c r="V241" s="198"/>
      <c r="W241" s="198"/>
      <c r="X241" s="198"/>
      <c r="Y241" s="198"/>
      <c r="Z241" s="198"/>
    </row>
    <row r="242" ht="91.5" customHeight="1">
      <c r="A242" s="285"/>
      <c r="B242" s="285"/>
      <c r="C242" s="285"/>
      <c r="D242" s="285"/>
      <c r="E242" s="287"/>
      <c r="F242" s="288"/>
      <c r="G242" s="288"/>
      <c r="H242" s="288"/>
      <c r="I242" s="288"/>
      <c r="J242" s="288"/>
      <c r="K242" s="285"/>
      <c r="L242" s="285"/>
      <c r="M242" s="290"/>
      <c r="N242" s="285"/>
      <c r="O242" s="322"/>
      <c r="P242" s="300"/>
      <c r="Q242" s="299"/>
      <c r="R242" s="299"/>
      <c r="S242" s="299"/>
      <c r="T242" s="198"/>
      <c r="U242" s="198"/>
      <c r="V242" s="198"/>
      <c r="W242" s="198"/>
      <c r="X242" s="198"/>
      <c r="Y242" s="198"/>
      <c r="Z242" s="198"/>
    </row>
    <row r="243" ht="91.5" customHeight="1">
      <c r="A243" s="285"/>
      <c r="B243" s="285"/>
      <c r="C243" s="285"/>
      <c r="D243" s="285"/>
      <c r="E243" s="287"/>
      <c r="F243" s="288"/>
      <c r="G243" s="288"/>
      <c r="H243" s="288"/>
      <c r="I243" s="288"/>
      <c r="J243" s="288"/>
      <c r="K243" s="285"/>
      <c r="L243" s="485"/>
      <c r="M243" s="290"/>
      <c r="N243" s="285"/>
      <c r="O243" s="322"/>
      <c r="P243" s="300"/>
      <c r="Q243" s="299"/>
      <c r="R243" s="299"/>
      <c r="S243" s="299"/>
      <c r="T243" s="198"/>
      <c r="U243" s="198"/>
      <c r="V243" s="198"/>
      <c r="W243" s="198"/>
      <c r="X243" s="198"/>
      <c r="Y243" s="198"/>
      <c r="Z243" s="198"/>
    </row>
    <row r="244" ht="91.5" customHeight="1">
      <c r="A244" s="285"/>
      <c r="B244" s="285"/>
      <c r="C244" s="285"/>
      <c r="D244" s="285"/>
      <c r="E244" s="287"/>
      <c r="F244" s="288"/>
      <c r="G244" s="288"/>
      <c r="H244" s="288"/>
      <c r="I244" s="288"/>
      <c r="J244" s="288"/>
      <c r="K244" s="285"/>
      <c r="L244" s="485"/>
      <c r="M244" s="290"/>
      <c r="N244" s="285"/>
      <c r="O244" s="322"/>
      <c r="P244" s="300"/>
      <c r="Q244" s="299"/>
      <c r="R244" s="299"/>
      <c r="S244" s="299"/>
      <c r="T244" s="198"/>
      <c r="U244" s="198"/>
      <c r="V244" s="198"/>
      <c r="W244" s="198"/>
      <c r="X244" s="198"/>
      <c r="Y244" s="198"/>
      <c r="Z244" s="198"/>
    </row>
    <row r="245" ht="91.5" customHeight="1">
      <c r="A245" s="285"/>
      <c r="B245" s="285"/>
      <c r="C245" s="285"/>
      <c r="D245" s="285"/>
      <c r="E245" s="287"/>
      <c r="F245" s="288"/>
      <c r="G245" s="288"/>
      <c r="H245" s="288"/>
      <c r="I245" s="288"/>
      <c r="J245" s="288"/>
      <c r="K245" s="285"/>
      <c r="L245" s="572"/>
      <c r="M245" s="290"/>
      <c r="N245" s="285"/>
      <c r="O245" s="322"/>
      <c r="P245" s="300"/>
      <c r="Q245" s="299"/>
      <c r="R245" s="299"/>
      <c r="S245" s="299"/>
      <c r="T245" s="198"/>
      <c r="U245" s="198"/>
      <c r="V245" s="198"/>
      <c r="W245" s="198"/>
      <c r="X245" s="198"/>
      <c r="Y245" s="198"/>
      <c r="Z245" s="198"/>
    </row>
    <row r="246" ht="91.5" customHeight="1">
      <c r="A246" s="285"/>
      <c r="B246" s="285"/>
      <c r="C246" s="285"/>
      <c r="D246" s="285"/>
      <c r="E246" s="287"/>
      <c r="F246" s="288"/>
      <c r="G246" s="288"/>
      <c r="H246" s="288"/>
      <c r="I246" s="288"/>
      <c r="J246" s="288"/>
      <c r="K246" s="285"/>
      <c r="L246" s="485"/>
      <c r="M246" s="290"/>
      <c r="N246" s="285"/>
      <c r="O246" s="322"/>
      <c r="P246" s="300"/>
      <c r="Q246" s="299"/>
      <c r="R246" s="299"/>
      <c r="S246" s="299"/>
      <c r="T246" s="198"/>
      <c r="U246" s="198"/>
      <c r="V246" s="198"/>
      <c r="W246" s="198"/>
      <c r="X246" s="198"/>
      <c r="Y246" s="198"/>
      <c r="Z246" s="198"/>
    </row>
    <row r="247" ht="91.5" customHeight="1">
      <c r="A247" s="285"/>
      <c r="B247" s="285"/>
      <c r="C247" s="285"/>
      <c r="D247" s="285"/>
      <c r="E247" s="287"/>
      <c r="F247" s="288"/>
      <c r="G247" s="288"/>
      <c r="H247" s="288"/>
      <c r="I247" s="288"/>
      <c r="J247" s="288"/>
      <c r="K247" s="285"/>
      <c r="L247" s="485"/>
      <c r="M247" s="290"/>
      <c r="N247" s="285"/>
      <c r="O247" s="322"/>
      <c r="P247" s="300"/>
      <c r="Q247" s="299"/>
      <c r="R247" s="299"/>
      <c r="S247" s="299"/>
      <c r="T247" s="198"/>
      <c r="U247" s="198"/>
      <c r="V247" s="198"/>
      <c r="W247" s="198"/>
      <c r="X247" s="198"/>
      <c r="Y247" s="198"/>
      <c r="Z247" s="198"/>
    </row>
    <row r="248" ht="91.5" customHeight="1">
      <c r="A248" s="285"/>
      <c r="B248" s="285"/>
      <c r="C248" s="285"/>
      <c r="D248" s="285"/>
      <c r="E248" s="287"/>
      <c r="F248" s="288"/>
      <c r="G248" s="288"/>
      <c r="H248" s="288"/>
      <c r="I248" s="288"/>
      <c r="J248" s="288"/>
      <c r="K248" s="285"/>
      <c r="L248" s="485"/>
      <c r="M248" s="290"/>
      <c r="N248" s="285"/>
      <c r="O248" s="322"/>
      <c r="P248" s="300"/>
      <c r="Q248" s="299"/>
      <c r="R248" s="299"/>
      <c r="S248" s="299"/>
      <c r="T248" s="198"/>
      <c r="U248" s="198"/>
      <c r="V248" s="198"/>
      <c r="W248" s="198"/>
      <c r="X248" s="198"/>
      <c r="Y248" s="198"/>
      <c r="Z248" s="198"/>
    </row>
    <row r="249" ht="91.5" customHeight="1">
      <c r="A249" s="285"/>
      <c r="B249" s="285"/>
      <c r="C249" s="285"/>
      <c r="D249" s="285"/>
      <c r="E249" s="287"/>
      <c r="F249" s="288"/>
      <c r="G249" s="288"/>
      <c r="H249" s="288"/>
      <c r="I249" s="288"/>
      <c r="J249" s="288"/>
      <c r="K249" s="285"/>
      <c r="L249" s="485"/>
      <c r="M249" s="290"/>
      <c r="N249" s="285"/>
      <c r="O249" s="322"/>
      <c r="P249" s="300"/>
      <c r="Q249" s="299"/>
      <c r="R249" s="299"/>
      <c r="S249" s="299"/>
      <c r="T249" s="198"/>
      <c r="U249" s="198"/>
      <c r="V249" s="198"/>
      <c r="W249" s="198"/>
      <c r="X249" s="198"/>
      <c r="Y249" s="198"/>
      <c r="Z249" s="198"/>
    </row>
    <row r="250" ht="91.5" customHeight="1">
      <c r="A250" s="285"/>
      <c r="B250" s="285"/>
      <c r="C250" s="285"/>
      <c r="D250" s="285"/>
      <c r="E250" s="287"/>
      <c r="F250" s="288"/>
      <c r="G250" s="288"/>
      <c r="H250" s="288"/>
      <c r="I250" s="288"/>
      <c r="J250" s="288"/>
      <c r="K250" s="285"/>
      <c r="L250" s="572"/>
      <c r="M250" s="290"/>
      <c r="N250" s="285"/>
      <c r="O250" s="322"/>
      <c r="P250" s="291"/>
      <c r="Q250" s="299"/>
      <c r="R250" s="299"/>
      <c r="S250" s="299"/>
      <c r="T250" s="198"/>
      <c r="U250" s="198"/>
      <c r="V250" s="198"/>
      <c r="W250" s="198"/>
      <c r="X250" s="198"/>
      <c r="Y250" s="198"/>
      <c r="Z250" s="198"/>
    </row>
    <row r="251" ht="91.5" customHeight="1">
      <c r="A251" s="285"/>
      <c r="B251" s="285"/>
      <c r="C251" s="285"/>
      <c r="D251" s="285"/>
      <c r="E251" s="287"/>
      <c r="F251" s="288"/>
      <c r="G251" s="288"/>
      <c r="H251" s="288"/>
      <c r="I251" s="288"/>
      <c r="J251" s="288"/>
      <c r="K251" s="285"/>
      <c r="L251" s="485"/>
      <c r="M251" s="290"/>
      <c r="N251" s="285"/>
      <c r="O251" s="322"/>
      <c r="P251" s="300"/>
      <c r="Q251" s="299"/>
      <c r="R251" s="299"/>
      <c r="S251" s="299"/>
      <c r="T251" s="198"/>
      <c r="U251" s="198"/>
      <c r="V251" s="198"/>
      <c r="W251" s="198"/>
      <c r="X251" s="198"/>
      <c r="Y251" s="198"/>
      <c r="Z251" s="198"/>
    </row>
    <row r="252" ht="91.5" customHeight="1">
      <c r="A252" s="285"/>
      <c r="B252" s="285"/>
      <c r="C252" s="285"/>
      <c r="D252" s="285"/>
      <c r="E252" s="287"/>
      <c r="F252" s="288"/>
      <c r="G252" s="288"/>
      <c r="H252" s="288"/>
      <c r="I252" s="288"/>
      <c r="J252" s="288"/>
      <c r="K252" s="285"/>
      <c r="L252" s="581"/>
      <c r="M252" s="290"/>
      <c r="N252" s="285"/>
      <c r="O252" s="322"/>
      <c r="P252" s="300"/>
      <c r="Q252" s="299"/>
      <c r="R252" s="299"/>
      <c r="S252" s="299"/>
      <c r="T252" s="198"/>
      <c r="U252" s="198"/>
      <c r="V252" s="198"/>
      <c r="W252" s="198"/>
      <c r="X252" s="198"/>
      <c r="Y252" s="198"/>
      <c r="Z252" s="198"/>
    </row>
    <row r="253" ht="91.5" customHeight="1">
      <c r="A253" s="285"/>
      <c r="B253" s="285"/>
      <c r="C253" s="285"/>
      <c r="D253" s="285"/>
      <c r="E253" s="287"/>
      <c r="F253" s="288"/>
      <c r="G253" s="288"/>
      <c r="H253" s="288"/>
      <c r="I253" s="288"/>
      <c r="J253" s="288"/>
      <c r="K253" s="285"/>
      <c r="L253" s="485"/>
      <c r="M253" s="290"/>
      <c r="N253" s="285"/>
      <c r="O253" s="322"/>
      <c r="P253" s="300"/>
      <c r="Q253" s="299"/>
      <c r="R253" s="299"/>
      <c r="S253" s="299"/>
      <c r="T253" s="198"/>
      <c r="U253" s="198"/>
      <c r="V253" s="198"/>
      <c r="W253" s="198"/>
      <c r="X253" s="198"/>
      <c r="Y253" s="198"/>
      <c r="Z253" s="198"/>
    </row>
    <row r="254" ht="91.5" customHeight="1">
      <c r="A254" s="285"/>
      <c r="B254" s="285"/>
      <c r="C254" s="285"/>
      <c r="D254" s="285"/>
      <c r="E254" s="287"/>
      <c r="F254" s="288"/>
      <c r="G254" s="288"/>
      <c r="H254" s="288"/>
      <c r="I254" s="288"/>
      <c r="J254" s="288"/>
      <c r="K254" s="285"/>
      <c r="L254" s="572"/>
      <c r="M254" s="290"/>
      <c r="N254" s="285"/>
      <c r="O254" s="322"/>
      <c r="P254" s="300"/>
      <c r="Q254" s="299"/>
      <c r="R254" s="299"/>
      <c r="S254" s="299"/>
      <c r="T254" s="198"/>
      <c r="U254" s="198"/>
      <c r="V254" s="198"/>
      <c r="W254" s="198"/>
      <c r="X254" s="198"/>
      <c r="Y254" s="198"/>
      <c r="Z254" s="198"/>
    </row>
    <row r="255" ht="91.5" customHeight="1">
      <c r="A255" s="285"/>
      <c r="B255" s="285"/>
      <c r="C255" s="285"/>
      <c r="D255" s="367"/>
      <c r="E255" s="287"/>
      <c r="F255" s="288"/>
      <c r="G255" s="288"/>
      <c r="H255" s="288"/>
      <c r="I255" s="288"/>
      <c r="J255" s="288"/>
      <c r="K255" s="285"/>
      <c r="L255" s="485"/>
      <c r="M255" s="290"/>
      <c r="N255" s="285"/>
      <c r="O255" s="322"/>
      <c r="P255" s="300"/>
      <c r="Q255" s="299"/>
      <c r="R255" s="299"/>
      <c r="S255" s="299"/>
      <c r="T255" s="198"/>
      <c r="U255" s="198"/>
      <c r="V255" s="198"/>
      <c r="W255" s="198"/>
      <c r="X255" s="198"/>
      <c r="Y255" s="198"/>
      <c r="Z255" s="198"/>
    </row>
    <row r="256" ht="91.5" customHeight="1">
      <c r="A256" s="285"/>
      <c r="B256" s="285"/>
      <c r="C256" s="285"/>
      <c r="D256" s="285"/>
      <c r="E256" s="287"/>
      <c r="F256" s="288"/>
      <c r="G256" s="288"/>
      <c r="H256" s="288"/>
      <c r="I256" s="288"/>
      <c r="J256" s="288"/>
      <c r="K256" s="285"/>
      <c r="L256" s="485"/>
      <c r="M256" s="290"/>
      <c r="N256" s="285"/>
      <c r="O256" s="322"/>
      <c r="P256" s="300"/>
      <c r="Q256" s="299"/>
      <c r="R256" s="299"/>
      <c r="S256" s="299"/>
      <c r="T256" s="198"/>
      <c r="U256" s="198"/>
      <c r="V256" s="198"/>
      <c r="W256" s="198"/>
      <c r="X256" s="198"/>
      <c r="Y256" s="198"/>
      <c r="Z256" s="198"/>
    </row>
    <row r="257" ht="91.5" customHeight="1">
      <c r="A257" s="285"/>
      <c r="B257" s="285"/>
      <c r="C257" s="285"/>
      <c r="D257" s="285"/>
      <c r="E257" s="287"/>
      <c r="F257" s="288"/>
      <c r="G257" s="285"/>
      <c r="H257" s="285"/>
      <c r="I257" s="288"/>
      <c r="J257" s="288"/>
      <c r="K257" s="285"/>
      <c r="L257" s="485"/>
      <c r="M257" s="290"/>
      <c r="N257" s="285"/>
      <c r="O257" s="322"/>
      <c r="P257" s="300"/>
      <c r="Q257" s="299"/>
      <c r="R257" s="299"/>
      <c r="S257" s="299"/>
      <c r="T257" s="198"/>
      <c r="U257" s="198"/>
      <c r="V257" s="198"/>
      <c r="W257" s="198"/>
      <c r="X257" s="198"/>
      <c r="Y257" s="198"/>
      <c r="Z257" s="198"/>
    </row>
    <row r="258" ht="91.5" customHeight="1">
      <c r="A258" s="285"/>
      <c r="B258" s="285"/>
      <c r="C258" s="285"/>
      <c r="D258" s="285"/>
      <c r="E258" s="287"/>
      <c r="F258" s="288"/>
      <c r="G258" s="288"/>
      <c r="H258" s="288"/>
      <c r="I258" s="288"/>
      <c r="J258" s="288"/>
      <c r="K258" s="285"/>
      <c r="L258" s="572"/>
      <c r="M258" s="290"/>
      <c r="N258" s="285"/>
      <c r="O258" s="322"/>
      <c r="P258" s="300"/>
      <c r="Q258" s="299"/>
      <c r="R258" s="299"/>
      <c r="S258" s="299"/>
      <c r="T258" s="198"/>
      <c r="U258" s="198"/>
      <c r="V258" s="198"/>
      <c r="W258" s="198"/>
      <c r="X258" s="198"/>
      <c r="Y258" s="198"/>
      <c r="Z258" s="198"/>
    </row>
    <row r="259" ht="91.5" customHeight="1">
      <c r="A259" s="285"/>
      <c r="B259" s="285"/>
      <c r="C259" s="285"/>
      <c r="D259" s="285"/>
      <c r="E259" s="287"/>
      <c r="F259" s="288"/>
      <c r="G259" s="288"/>
      <c r="H259" s="288"/>
      <c r="I259" s="288"/>
      <c r="J259" s="288"/>
      <c r="K259" s="285"/>
      <c r="L259" s="572"/>
      <c r="M259" s="290"/>
      <c r="N259" s="285"/>
      <c r="O259" s="322"/>
      <c r="P259" s="300"/>
      <c r="Q259" s="299"/>
      <c r="R259" s="299"/>
      <c r="S259" s="299"/>
      <c r="T259" s="198"/>
      <c r="U259" s="198"/>
      <c r="V259" s="198"/>
      <c r="W259" s="198"/>
      <c r="X259" s="198"/>
      <c r="Y259" s="198"/>
      <c r="Z259" s="198"/>
    </row>
    <row r="260" ht="91.5" customHeight="1">
      <c r="A260" s="285"/>
      <c r="B260" s="285"/>
      <c r="C260" s="285"/>
      <c r="D260" s="285"/>
      <c r="E260" s="287"/>
      <c r="F260" s="288"/>
      <c r="G260" s="288"/>
      <c r="H260" s="288"/>
      <c r="I260" s="288"/>
      <c r="J260" s="288"/>
      <c r="K260" s="285"/>
      <c r="L260" s="581"/>
      <c r="M260" s="290"/>
      <c r="N260" s="285"/>
      <c r="O260" s="322"/>
      <c r="P260" s="300"/>
      <c r="Q260" s="299"/>
      <c r="R260" s="299"/>
      <c r="S260" s="299"/>
      <c r="T260" s="198"/>
      <c r="U260" s="198"/>
      <c r="V260" s="198"/>
      <c r="W260" s="198"/>
      <c r="X260" s="198"/>
      <c r="Y260" s="198"/>
      <c r="Z260" s="198"/>
    </row>
    <row r="261" ht="91.5" customHeight="1">
      <c r="A261" s="285"/>
      <c r="B261" s="285"/>
      <c r="C261" s="285"/>
      <c r="D261" s="285"/>
      <c r="E261" s="287"/>
      <c r="F261" s="288"/>
      <c r="G261" s="288"/>
      <c r="H261" s="288"/>
      <c r="I261" s="288"/>
      <c r="J261" s="288"/>
      <c r="K261" s="285"/>
      <c r="L261" s="485"/>
      <c r="M261" s="290"/>
      <c r="N261" s="285"/>
      <c r="O261" s="322"/>
      <c r="P261" s="300"/>
      <c r="Q261" s="299"/>
      <c r="R261" s="299"/>
      <c r="S261" s="299"/>
      <c r="T261" s="198"/>
      <c r="U261" s="198"/>
      <c r="V261" s="198"/>
      <c r="W261" s="198"/>
      <c r="X261" s="198"/>
      <c r="Y261" s="198"/>
      <c r="Z261" s="198"/>
    </row>
    <row r="262" ht="91.5" customHeight="1">
      <c r="A262" s="285"/>
      <c r="B262" s="285"/>
      <c r="C262" s="285"/>
      <c r="D262" s="285"/>
      <c r="E262" s="287"/>
      <c r="F262" s="288"/>
      <c r="G262" s="288"/>
      <c r="H262" s="288"/>
      <c r="I262" s="288"/>
      <c r="J262" s="288"/>
      <c r="K262" s="285"/>
      <c r="L262" s="572"/>
      <c r="M262" s="290"/>
      <c r="N262" s="285"/>
      <c r="O262" s="322"/>
      <c r="P262" s="300"/>
      <c r="Q262" s="299"/>
      <c r="R262" s="299"/>
      <c r="S262" s="299"/>
      <c r="T262" s="198"/>
      <c r="U262" s="198"/>
      <c r="V262" s="198"/>
      <c r="W262" s="198"/>
      <c r="X262" s="198"/>
      <c r="Y262" s="198"/>
      <c r="Z262" s="198"/>
    </row>
    <row r="263" ht="91.5" customHeight="1">
      <c r="A263" s="285"/>
      <c r="B263" s="285"/>
      <c r="C263" s="285"/>
      <c r="D263" s="285"/>
      <c r="E263" s="287"/>
      <c r="F263" s="288"/>
      <c r="G263" s="288"/>
      <c r="H263" s="288"/>
      <c r="I263" s="288"/>
      <c r="J263" s="288"/>
      <c r="K263" s="285"/>
      <c r="L263" s="581"/>
      <c r="M263" s="290"/>
      <c r="N263" s="285"/>
      <c r="O263" s="322"/>
      <c r="P263" s="300"/>
      <c r="Q263" s="299"/>
      <c r="R263" s="299"/>
      <c r="S263" s="299"/>
      <c r="T263" s="198"/>
      <c r="U263" s="198"/>
      <c r="V263" s="198"/>
      <c r="W263" s="198"/>
      <c r="X263" s="198"/>
      <c r="Y263" s="198"/>
      <c r="Z263" s="198"/>
    </row>
    <row r="264" ht="91.5" customHeight="1">
      <c r="A264" s="285"/>
      <c r="B264" s="285"/>
      <c r="C264" s="285"/>
      <c r="D264" s="285"/>
      <c r="E264" s="287"/>
      <c r="F264" s="288"/>
      <c r="G264" s="288"/>
      <c r="H264" s="288"/>
      <c r="I264" s="288"/>
      <c r="J264" s="288"/>
      <c r="K264" s="285"/>
      <c r="L264" s="597"/>
      <c r="M264" s="290"/>
      <c r="N264" s="285"/>
      <c r="O264" s="322"/>
      <c r="P264" s="300"/>
      <c r="Q264" s="299"/>
      <c r="R264" s="299"/>
      <c r="S264" s="299"/>
      <c r="T264" s="198"/>
      <c r="U264" s="198"/>
      <c r="V264" s="198"/>
      <c r="W264" s="198"/>
      <c r="X264" s="198"/>
      <c r="Y264" s="198"/>
      <c r="Z264" s="198"/>
    </row>
    <row r="265" ht="91.5" customHeight="1">
      <c r="A265" s="285"/>
      <c r="B265" s="285"/>
      <c r="C265" s="285"/>
      <c r="D265" s="285"/>
      <c r="E265" s="287"/>
      <c r="F265" s="288"/>
      <c r="G265" s="288"/>
      <c r="H265" s="288"/>
      <c r="I265" s="288"/>
      <c r="J265" s="288"/>
      <c r="K265" s="285"/>
      <c r="L265" s="572"/>
      <c r="M265" s="290"/>
      <c r="N265" s="285"/>
      <c r="O265" s="322"/>
      <c r="P265" s="300"/>
      <c r="Q265" s="299"/>
      <c r="R265" s="299"/>
      <c r="S265" s="299"/>
      <c r="T265" s="198"/>
      <c r="U265" s="198"/>
      <c r="V265" s="198"/>
      <c r="W265" s="198"/>
      <c r="X265" s="198"/>
      <c r="Y265" s="198"/>
      <c r="Z265" s="198"/>
    </row>
    <row r="266" ht="91.5" customHeight="1">
      <c r="A266" s="285"/>
      <c r="B266" s="285"/>
      <c r="C266" s="285"/>
      <c r="D266" s="285"/>
      <c r="E266" s="287"/>
      <c r="F266" s="288"/>
      <c r="G266" s="288"/>
      <c r="H266" s="288"/>
      <c r="I266" s="288"/>
      <c r="J266" s="288"/>
      <c r="K266" s="285"/>
      <c r="L266" s="572"/>
      <c r="M266" s="290"/>
      <c r="N266" s="285"/>
      <c r="O266" s="322"/>
      <c r="P266" s="300"/>
      <c r="Q266" s="299"/>
      <c r="R266" s="299"/>
      <c r="S266" s="299"/>
      <c r="T266" s="198"/>
      <c r="U266" s="198"/>
      <c r="V266" s="198"/>
      <c r="W266" s="198"/>
      <c r="X266" s="198"/>
      <c r="Y266" s="198"/>
      <c r="Z266" s="198"/>
    </row>
    <row r="267" ht="91.5" customHeight="1">
      <c r="A267" s="285"/>
      <c r="B267" s="285"/>
      <c r="C267" s="285"/>
      <c r="D267" s="285"/>
      <c r="E267" s="287"/>
      <c r="F267" s="288"/>
      <c r="G267" s="288"/>
      <c r="H267" s="288"/>
      <c r="I267" s="288"/>
      <c r="J267" s="288"/>
      <c r="K267" s="285"/>
      <c r="L267" s="485"/>
      <c r="M267" s="290"/>
      <c r="N267" s="285"/>
      <c r="O267" s="322"/>
      <c r="P267" s="300"/>
      <c r="Q267" s="299"/>
      <c r="R267" s="299"/>
      <c r="S267" s="299"/>
      <c r="T267" s="198"/>
      <c r="U267" s="198"/>
      <c r="V267" s="198"/>
      <c r="W267" s="198"/>
      <c r="X267" s="198"/>
      <c r="Y267" s="198"/>
      <c r="Z267" s="198"/>
    </row>
    <row r="268" ht="91.5" customHeight="1">
      <c r="A268" s="285"/>
      <c r="B268" s="285"/>
      <c r="C268" s="285"/>
      <c r="D268" s="285"/>
      <c r="E268" s="287"/>
      <c r="F268" s="288"/>
      <c r="G268" s="288"/>
      <c r="H268" s="288"/>
      <c r="I268" s="288"/>
      <c r="J268" s="288"/>
      <c r="K268" s="285"/>
      <c r="L268" s="485"/>
      <c r="M268" s="290"/>
      <c r="N268" s="285"/>
      <c r="O268" s="322"/>
      <c r="P268" s="300"/>
      <c r="Q268" s="299"/>
      <c r="R268" s="299"/>
      <c r="S268" s="299"/>
      <c r="T268" s="198"/>
      <c r="U268" s="198"/>
      <c r="V268" s="198"/>
      <c r="W268" s="198"/>
      <c r="X268" s="198"/>
      <c r="Y268" s="198"/>
      <c r="Z268" s="198"/>
    </row>
    <row r="269" ht="91.5" customHeight="1">
      <c r="A269" s="285"/>
      <c r="B269" s="285"/>
      <c r="C269" s="285"/>
      <c r="D269" s="285"/>
      <c r="E269" s="287"/>
      <c r="F269" s="288"/>
      <c r="G269" s="288"/>
      <c r="H269" s="288"/>
      <c r="I269" s="288"/>
      <c r="J269" s="288"/>
      <c r="K269" s="285"/>
      <c r="L269" s="485"/>
      <c r="M269" s="290"/>
      <c r="N269" s="285"/>
      <c r="O269" s="322"/>
      <c r="P269" s="300"/>
      <c r="Q269" s="299"/>
      <c r="R269" s="299"/>
      <c r="S269" s="299"/>
      <c r="T269" s="198"/>
      <c r="U269" s="198"/>
      <c r="V269" s="198"/>
      <c r="W269" s="198"/>
      <c r="X269" s="198"/>
      <c r="Y269" s="198"/>
      <c r="Z269" s="198"/>
    </row>
    <row r="270" ht="91.5" customHeight="1">
      <c r="A270" s="285"/>
      <c r="B270" s="285"/>
      <c r="C270" s="285"/>
      <c r="D270" s="285"/>
      <c r="E270" s="287"/>
      <c r="F270" s="288"/>
      <c r="G270" s="288"/>
      <c r="H270" s="288"/>
      <c r="I270" s="288"/>
      <c r="J270" s="288"/>
      <c r="K270" s="285"/>
      <c r="L270" s="485"/>
      <c r="M270" s="290"/>
      <c r="N270" s="285"/>
      <c r="O270" s="322"/>
      <c r="P270" s="300"/>
      <c r="Q270" s="299"/>
      <c r="R270" s="299"/>
      <c r="S270" s="299"/>
      <c r="T270" s="198"/>
      <c r="U270" s="198"/>
      <c r="V270" s="198"/>
      <c r="W270" s="198"/>
      <c r="X270" s="198"/>
      <c r="Y270" s="198"/>
      <c r="Z270" s="198"/>
    </row>
    <row r="271" ht="91.5" customHeight="1">
      <c r="A271" s="285"/>
      <c r="B271" s="285"/>
      <c r="C271" s="285"/>
      <c r="D271" s="285"/>
      <c r="E271" s="287"/>
      <c r="F271" s="288"/>
      <c r="G271" s="288"/>
      <c r="H271" s="288"/>
      <c r="I271" s="288"/>
      <c r="J271" s="288"/>
      <c r="K271" s="285"/>
      <c r="L271" s="485"/>
      <c r="M271" s="290"/>
      <c r="N271" s="285"/>
      <c r="O271" s="322"/>
      <c r="P271" s="300"/>
      <c r="Q271" s="299"/>
      <c r="R271" s="299"/>
      <c r="S271" s="299"/>
      <c r="T271" s="198"/>
      <c r="U271" s="198"/>
      <c r="V271" s="198"/>
      <c r="W271" s="198"/>
      <c r="X271" s="198"/>
      <c r="Y271" s="198"/>
      <c r="Z271" s="198"/>
    </row>
    <row r="272" ht="91.5" customHeight="1">
      <c r="A272" s="285"/>
      <c r="B272" s="285"/>
      <c r="C272" s="285"/>
      <c r="D272" s="367"/>
      <c r="E272" s="287"/>
      <c r="F272" s="288"/>
      <c r="G272" s="288"/>
      <c r="H272" s="288"/>
      <c r="I272" s="288"/>
      <c r="J272" s="288"/>
      <c r="K272" s="285"/>
      <c r="L272" s="485"/>
      <c r="M272" s="290"/>
      <c r="N272" s="285"/>
      <c r="O272" s="322"/>
      <c r="P272" s="300"/>
      <c r="Q272" s="299"/>
      <c r="R272" s="299"/>
      <c r="S272" s="299"/>
      <c r="T272" s="198"/>
      <c r="U272" s="198"/>
      <c r="V272" s="198"/>
      <c r="W272" s="198"/>
      <c r="X272" s="198"/>
      <c r="Y272" s="198"/>
      <c r="Z272" s="198"/>
    </row>
    <row r="273" ht="91.5" customHeight="1">
      <c r="A273" s="285"/>
      <c r="B273" s="285"/>
      <c r="C273" s="285"/>
      <c r="D273" s="367"/>
      <c r="E273" s="287"/>
      <c r="F273" s="288"/>
      <c r="G273" s="288"/>
      <c r="H273" s="288"/>
      <c r="I273" s="288"/>
      <c r="J273" s="288"/>
      <c r="K273" s="285"/>
      <c r="L273" s="485"/>
      <c r="M273" s="290"/>
      <c r="N273" s="285"/>
      <c r="O273" s="294"/>
      <c r="P273" s="300"/>
      <c r="Q273" s="299"/>
      <c r="R273" s="299"/>
      <c r="S273" s="299"/>
      <c r="T273" s="198"/>
      <c r="U273" s="198"/>
      <c r="V273" s="198"/>
      <c r="W273" s="198"/>
      <c r="X273" s="198"/>
      <c r="Y273" s="198"/>
      <c r="Z273" s="198"/>
    </row>
    <row r="274" ht="91.5" customHeight="1">
      <c r="A274" s="285"/>
      <c r="B274" s="285"/>
      <c r="C274" s="285"/>
      <c r="D274" s="367"/>
      <c r="E274" s="287"/>
      <c r="F274" s="288"/>
      <c r="G274" s="288"/>
      <c r="H274" s="288"/>
      <c r="I274" s="288"/>
      <c r="J274" s="288"/>
      <c r="K274" s="285"/>
      <c r="L274" s="485"/>
      <c r="M274" s="290"/>
      <c r="N274" s="285"/>
      <c r="O274" s="322"/>
      <c r="P274" s="300"/>
      <c r="Q274" s="299"/>
      <c r="R274" s="299"/>
      <c r="S274" s="299"/>
      <c r="T274" s="198"/>
      <c r="U274" s="198"/>
      <c r="V274" s="198"/>
      <c r="W274" s="198"/>
      <c r="X274" s="198"/>
      <c r="Y274" s="198"/>
      <c r="Z274" s="198"/>
    </row>
    <row r="275" ht="91.5" customHeight="1">
      <c r="A275" s="285"/>
      <c r="B275" s="285"/>
      <c r="C275" s="285"/>
      <c r="D275" s="285"/>
      <c r="E275" s="287"/>
      <c r="F275" s="288"/>
      <c r="G275" s="288"/>
      <c r="H275" s="288"/>
      <c r="I275" s="288"/>
      <c r="J275" s="288"/>
      <c r="K275" s="285"/>
      <c r="L275" s="581"/>
      <c r="M275" s="290"/>
      <c r="N275" s="285"/>
      <c r="O275" s="322"/>
      <c r="P275" s="300"/>
      <c r="Q275" s="299"/>
      <c r="R275" s="299"/>
      <c r="S275" s="299"/>
      <c r="T275" s="198"/>
      <c r="U275" s="198"/>
      <c r="V275" s="198"/>
      <c r="W275" s="198"/>
      <c r="X275" s="198"/>
      <c r="Y275" s="198"/>
      <c r="Z275" s="198"/>
    </row>
    <row r="276" ht="91.5" customHeight="1">
      <c r="A276" s="285"/>
      <c r="B276" s="285"/>
      <c r="C276" s="285"/>
      <c r="D276" s="285"/>
      <c r="E276" s="287"/>
      <c r="F276" s="288"/>
      <c r="G276" s="288"/>
      <c r="H276" s="288"/>
      <c r="I276" s="288"/>
      <c r="J276" s="288"/>
      <c r="K276" s="285"/>
      <c r="L276" s="485"/>
      <c r="M276" s="290"/>
      <c r="N276" s="285"/>
      <c r="O276" s="322"/>
      <c r="P276" s="300"/>
      <c r="Q276" s="299"/>
      <c r="R276" s="299"/>
      <c r="S276" s="299"/>
      <c r="T276" s="198"/>
      <c r="U276" s="198"/>
      <c r="V276" s="198"/>
      <c r="W276" s="198"/>
      <c r="X276" s="198"/>
      <c r="Y276" s="198"/>
      <c r="Z276" s="198"/>
    </row>
    <row r="277" ht="91.5" customHeight="1">
      <c r="A277" s="285"/>
      <c r="B277" s="285"/>
      <c r="C277" s="285"/>
      <c r="D277" s="285"/>
      <c r="E277" s="287"/>
      <c r="F277" s="288"/>
      <c r="G277" s="369"/>
      <c r="H277" s="288"/>
      <c r="I277" s="288"/>
      <c r="J277" s="288"/>
      <c r="K277" s="285"/>
      <c r="L277" s="581"/>
      <c r="M277" s="290"/>
      <c r="N277" s="285"/>
      <c r="O277" s="322"/>
      <c r="P277" s="300"/>
      <c r="Q277" s="299"/>
      <c r="R277" s="299"/>
      <c r="S277" s="299"/>
      <c r="T277" s="198"/>
      <c r="U277" s="198"/>
      <c r="V277" s="198"/>
      <c r="W277" s="198"/>
      <c r="X277" s="198"/>
      <c r="Y277" s="198"/>
      <c r="Z277" s="198"/>
    </row>
    <row r="278" ht="91.5" customHeight="1">
      <c r="A278" s="285"/>
      <c r="B278" s="285"/>
      <c r="C278" s="285"/>
      <c r="D278" s="285"/>
      <c r="E278" s="287"/>
      <c r="F278" s="288"/>
      <c r="G278" s="288"/>
      <c r="H278" s="288"/>
      <c r="I278" s="288"/>
      <c r="J278" s="288"/>
      <c r="K278" s="285"/>
      <c r="L278" s="485"/>
      <c r="M278" s="290"/>
      <c r="N278" s="285"/>
      <c r="O278" s="322"/>
      <c r="P278" s="300"/>
      <c r="Q278" s="299"/>
      <c r="R278" s="299"/>
      <c r="S278" s="299"/>
      <c r="T278" s="198"/>
      <c r="U278" s="198"/>
      <c r="V278" s="198"/>
      <c r="W278" s="198"/>
      <c r="X278" s="198"/>
      <c r="Y278" s="198"/>
      <c r="Z278" s="198"/>
    </row>
    <row r="279" ht="91.5" customHeight="1">
      <c r="A279" s="285"/>
      <c r="B279" s="285"/>
      <c r="C279" s="285"/>
      <c r="D279" s="285"/>
      <c r="E279" s="287"/>
      <c r="F279" s="288"/>
      <c r="G279" s="288"/>
      <c r="H279" s="288"/>
      <c r="I279" s="288"/>
      <c r="J279" s="288"/>
      <c r="K279" s="285"/>
      <c r="L279" s="485"/>
      <c r="M279" s="290"/>
      <c r="N279" s="285"/>
      <c r="O279" s="322"/>
      <c r="P279" s="300"/>
      <c r="Q279" s="299"/>
      <c r="R279" s="299"/>
      <c r="S279" s="299"/>
      <c r="T279" s="198"/>
      <c r="U279" s="198"/>
      <c r="V279" s="198"/>
      <c r="W279" s="198"/>
      <c r="X279" s="198"/>
      <c r="Y279" s="198"/>
      <c r="Z279" s="198"/>
    </row>
    <row r="280" ht="91.5" customHeight="1">
      <c r="A280" s="285"/>
      <c r="B280" s="285"/>
      <c r="C280" s="285"/>
      <c r="D280" s="285"/>
      <c r="E280" s="287"/>
      <c r="F280" s="288"/>
      <c r="G280" s="288"/>
      <c r="H280" s="288"/>
      <c r="I280" s="288"/>
      <c r="J280" s="288"/>
      <c r="K280" s="285"/>
      <c r="L280" s="485"/>
      <c r="M280" s="290"/>
      <c r="N280" s="285"/>
      <c r="O280" s="322"/>
      <c r="P280" s="300"/>
      <c r="Q280" s="299"/>
      <c r="R280" s="299"/>
      <c r="S280" s="299"/>
      <c r="T280" s="198"/>
      <c r="U280" s="198"/>
      <c r="V280" s="198"/>
      <c r="W280" s="198"/>
      <c r="X280" s="198"/>
      <c r="Y280" s="198"/>
      <c r="Z280" s="198"/>
    </row>
    <row r="281" ht="91.5" customHeight="1">
      <c r="A281" s="285"/>
      <c r="B281" s="285"/>
      <c r="C281" s="285"/>
      <c r="D281" s="367"/>
      <c r="E281" s="287"/>
      <c r="F281" s="288"/>
      <c r="G281" s="288"/>
      <c r="H281" s="288"/>
      <c r="I281" s="288"/>
      <c r="J281" s="288"/>
      <c r="K281" s="285"/>
      <c r="L281" s="485"/>
      <c r="M281" s="290"/>
      <c r="N281" s="285"/>
      <c r="O281" s="299"/>
      <c r="P281" s="300"/>
      <c r="Q281" s="299"/>
      <c r="R281" s="299"/>
      <c r="S281" s="299"/>
      <c r="T281" s="198"/>
      <c r="U281" s="198"/>
      <c r="V281" s="198"/>
      <c r="W281" s="198"/>
      <c r="X281" s="198"/>
      <c r="Y281" s="198"/>
      <c r="Z281" s="198"/>
    </row>
    <row r="282" ht="91.5" customHeight="1">
      <c r="A282" s="285"/>
      <c r="B282" s="285"/>
      <c r="C282" s="285"/>
      <c r="D282" s="367"/>
      <c r="E282" s="287"/>
      <c r="F282" s="288"/>
      <c r="G282" s="288"/>
      <c r="H282" s="288"/>
      <c r="I282" s="288"/>
      <c r="J282" s="288"/>
      <c r="K282" s="285"/>
      <c r="L282" s="485"/>
      <c r="M282" s="290"/>
      <c r="N282" s="285"/>
      <c r="O282" s="322"/>
      <c r="P282" s="300"/>
      <c r="Q282" s="299"/>
      <c r="R282" s="299"/>
      <c r="S282" s="299"/>
      <c r="T282" s="198"/>
      <c r="U282" s="198"/>
      <c r="V282" s="198"/>
      <c r="W282" s="198"/>
      <c r="X282" s="198"/>
      <c r="Y282" s="198"/>
      <c r="Z282" s="198"/>
    </row>
    <row r="283" ht="91.5" customHeight="1">
      <c r="A283" s="285"/>
      <c r="B283" s="285"/>
      <c r="C283" s="285"/>
      <c r="D283" s="285"/>
      <c r="E283" s="287"/>
      <c r="F283" s="288"/>
      <c r="G283" s="288"/>
      <c r="H283" s="288"/>
      <c r="I283" s="288"/>
      <c r="J283" s="288"/>
      <c r="K283" s="285"/>
      <c r="L283" s="572"/>
      <c r="M283" s="290"/>
      <c r="N283" s="285"/>
      <c r="O283" s="322"/>
      <c r="P283" s="300"/>
      <c r="Q283" s="299"/>
      <c r="R283" s="299"/>
      <c r="S283" s="299"/>
      <c r="T283" s="198"/>
      <c r="U283" s="198"/>
      <c r="V283" s="198"/>
      <c r="W283" s="198"/>
      <c r="X283" s="198"/>
      <c r="Y283" s="198"/>
      <c r="Z283" s="198"/>
    </row>
    <row r="284" ht="91.5" customHeight="1">
      <c r="A284" s="285"/>
      <c r="B284" s="285"/>
      <c r="C284" s="285"/>
      <c r="D284" s="285"/>
      <c r="E284" s="287"/>
      <c r="F284" s="288"/>
      <c r="G284" s="288"/>
      <c r="H284" s="288"/>
      <c r="I284" s="288"/>
      <c r="J284" s="288"/>
      <c r="K284" s="285"/>
      <c r="L284" s="572"/>
      <c r="M284" s="290"/>
      <c r="N284" s="285"/>
      <c r="O284" s="322"/>
      <c r="P284" s="300"/>
      <c r="Q284" s="299"/>
      <c r="R284" s="299"/>
      <c r="S284" s="299"/>
      <c r="T284" s="198"/>
      <c r="U284" s="198"/>
      <c r="V284" s="198"/>
      <c r="W284" s="198"/>
      <c r="X284" s="198"/>
      <c r="Y284" s="198"/>
      <c r="Z284" s="198"/>
    </row>
    <row r="285" ht="91.5" customHeight="1">
      <c r="A285" s="285"/>
      <c r="B285" s="285"/>
      <c r="C285" s="285"/>
      <c r="D285" s="285"/>
      <c r="E285" s="287"/>
      <c r="F285" s="288"/>
      <c r="G285" s="288"/>
      <c r="H285" s="288"/>
      <c r="I285" s="288"/>
      <c r="J285" s="288"/>
      <c r="K285" s="285"/>
      <c r="L285" s="572"/>
      <c r="M285" s="290"/>
      <c r="N285" s="285"/>
      <c r="O285" s="322"/>
      <c r="P285" s="300"/>
      <c r="Q285" s="299"/>
      <c r="R285" s="299"/>
      <c r="S285" s="299"/>
      <c r="T285" s="198"/>
      <c r="U285" s="198"/>
      <c r="V285" s="198"/>
      <c r="W285" s="198"/>
      <c r="X285" s="198"/>
      <c r="Y285" s="198"/>
      <c r="Z285" s="198"/>
    </row>
    <row r="286" ht="91.5" customHeight="1">
      <c r="A286" s="285"/>
      <c r="B286" s="285"/>
      <c r="C286" s="285"/>
      <c r="D286" s="285"/>
      <c r="E286" s="287"/>
      <c r="F286" s="288"/>
      <c r="G286" s="288"/>
      <c r="H286" s="288"/>
      <c r="I286" s="288"/>
      <c r="J286" s="288"/>
      <c r="K286" s="285"/>
      <c r="L286" s="485"/>
      <c r="M286" s="290"/>
      <c r="N286" s="285"/>
      <c r="O286" s="322"/>
      <c r="P286" s="300"/>
      <c r="Q286" s="299"/>
      <c r="R286" s="299"/>
      <c r="S286" s="299"/>
      <c r="T286" s="198"/>
      <c r="U286" s="198"/>
      <c r="V286" s="198"/>
      <c r="W286" s="198"/>
      <c r="X286" s="198"/>
      <c r="Y286" s="198"/>
      <c r="Z286" s="198"/>
    </row>
    <row r="287" ht="91.5" customHeight="1">
      <c r="A287" s="285"/>
      <c r="B287" s="285"/>
      <c r="C287" s="285"/>
      <c r="D287" s="285"/>
      <c r="E287" s="287"/>
      <c r="F287" s="288"/>
      <c r="G287" s="288"/>
      <c r="H287" s="288"/>
      <c r="I287" s="288"/>
      <c r="J287" s="288"/>
      <c r="K287" s="285"/>
      <c r="L287" s="485"/>
      <c r="M287" s="290"/>
      <c r="N287" s="285"/>
      <c r="O287" s="322"/>
      <c r="P287" s="300"/>
      <c r="Q287" s="299"/>
      <c r="R287" s="299"/>
      <c r="S287" s="299"/>
      <c r="T287" s="198"/>
      <c r="U287" s="198"/>
      <c r="V287" s="198"/>
      <c r="W287" s="198"/>
      <c r="X287" s="198"/>
      <c r="Y287" s="198"/>
      <c r="Z287" s="198"/>
    </row>
    <row r="288" ht="91.5" customHeight="1">
      <c r="A288" s="285"/>
      <c r="B288" s="285"/>
      <c r="C288" s="285"/>
      <c r="D288" s="285"/>
      <c r="E288" s="287"/>
      <c r="F288" s="288"/>
      <c r="G288" s="288"/>
      <c r="H288" s="288"/>
      <c r="I288" s="288"/>
      <c r="J288" s="288"/>
      <c r="K288" s="285"/>
      <c r="L288" s="485"/>
      <c r="M288" s="290"/>
      <c r="N288" s="285"/>
      <c r="O288" s="322"/>
      <c r="P288" s="300"/>
      <c r="Q288" s="299"/>
      <c r="R288" s="299"/>
      <c r="S288" s="299"/>
      <c r="T288" s="198"/>
      <c r="U288" s="198"/>
      <c r="V288" s="198"/>
      <c r="W288" s="198"/>
      <c r="X288" s="198"/>
      <c r="Y288" s="198"/>
      <c r="Z288" s="198"/>
    </row>
    <row r="289" ht="91.5" customHeight="1">
      <c r="A289" s="285"/>
      <c r="B289" s="285"/>
      <c r="C289" s="285"/>
      <c r="D289" s="285"/>
      <c r="E289" s="287"/>
      <c r="F289" s="288"/>
      <c r="G289" s="288"/>
      <c r="H289" s="288"/>
      <c r="I289" s="288"/>
      <c r="J289" s="288"/>
      <c r="K289" s="285"/>
      <c r="L289" s="485"/>
      <c r="M289" s="290"/>
      <c r="N289" s="285"/>
      <c r="O289" s="322"/>
      <c r="P289" s="300"/>
      <c r="Q289" s="299"/>
      <c r="R289" s="299"/>
      <c r="S289" s="299"/>
      <c r="T289" s="198"/>
      <c r="U289" s="198"/>
      <c r="V289" s="198"/>
      <c r="W289" s="198"/>
      <c r="X289" s="198"/>
      <c r="Y289" s="198"/>
      <c r="Z289" s="198"/>
    </row>
    <row r="290" ht="91.5" customHeight="1">
      <c r="A290" s="285"/>
      <c r="B290" s="285"/>
      <c r="C290" s="285"/>
      <c r="D290" s="285"/>
      <c r="E290" s="287"/>
      <c r="F290" s="288"/>
      <c r="G290" s="288"/>
      <c r="H290" s="288"/>
      <c r="I290" s="288"/>
      <c r="J290" s="288"/>
      <c r="K290" s="285"/>
      <c r="L290" s="485"/>
      <c r="M290" s="290"/>
      <c r="N290" s="285"/>
      <c r="O290" s="322"/>
      <c r="P290" s="300"/>
      <c r="Q290" s="299"/>
      <c r="R290" s="299"/>
      <c r="S290" s="299"/>
      <c r="T290" s="198"/>
      <c r="U290" s="198"/>
      <c r="V290" s="198"/>
      <c r="W290" s="198"/>
      <c r="X290" s="198"/>
      <c r="Y290" s="198"/>
      <c r="Z290" s="198"/>
    </row>
    <row r="291" ht="91.5" customHeight="1">
      <c r="A291" s="285"/>
      <c r="B291" s="285"/>
      <c r="C291" s="285"/>
      <c r="D291" s="285"/>
      <c r="E291" s="287"/>
      <c r="F291" s="288"/>
      <c r="G291" s="288"/>
      <c r="H291" s="288"/>
      <c r="I291" s="288"/>
      <c r="J291" s="288"/>
      <c r="K291" s="285"/>
      <c r="L291" s="485"/>
      <c r="M291" s="290"/>
      <c r="N291" s="285"/>
      <c r="O291" s="322"/>
      <c r="P291" s="300"/>
      <c r="Q291" s="299"/>
      <c r="R291" s="299"/>
      <c r="S291" s="299"/>
      <c r="T291" s="198"/>
      <c r="U291" s="198"/>
      <c r="V291" s="198"/>
      <c r="W291" s="198"/>
      <c r="X291" s="198"/>
      <c r="Y291" s="198"/>
      <c r="Z291" s="198"/>
    </row>
    <row r="292" ht="91.5" customHeight="1">
      <c r="A292" s="285"/>
      <c r="B292" s="285"/>
      <c r="C292" s="285"/>
      <c r="D292" s="285"/>
      <c r="E292" s="287"/>
      <c r="F292" s="288"/>
      <c r="G292" s="288"/>
      <c r="H292" s="288"/>
      <c r="I292" s="288"/>
      <c r="J292" s="288"/>
      <c r="K292" s="285"/>
      <c r="L292" s="572"/>
      <c r="M292" s="290"/>
      <c r="N292" s="285"/>
      <c r="O292" s="322"/>
      <c r="P292" s="300"/>
      <c r="Q292" s="299"/>
      <c r="R292" s="299"/>
      <c r="S292" s="299"/>
      <c r="T292" s="198"/>
      <c r="U292" s="198"/>
      <c r="V292" s="198"/>
      <c r="W292" s="198"/>
      <c r="X292" s="198"/>
      <c r="Y292" s="198"/>
      <c r="Z292" s="198"/>
    </row>
    <row r="293" ht="91.5" customHeight="1">
      <c r="A293" s="285"/>
      <c r="B293" s="285"/>
      <c r="C293" s="285"/>
      <c r="D293" s="285"/>
      <c r="E293" s="287"/>
      <c r="F293" s="288"/>
      <c r="G293" s="288"/>
      <c r="H293" s="288"/>
      <c r="I293" s="288"/>
      <c r="J293" s="288"/>
      <c r="K293" s="285"/>
      <c r="L293" s="581"/>
      <c r="M293" s="290"/>
      <c r="N293" s="285"/>
      <c r="O293" s="322"/>
      <c r="P293" s="300"/>
      <c r="Q293" s="299"/>
      <c r="R293" s="299"/>
      <c r="S293" s="299"/>
      <c r="T293" s="198"/>
      <c r="U293" s="198"/>
      <c r="V293" s="198"/>
      <c r="W293" s="198"/>
      <c r="X293" s="198"/>
      <c r="Y293" s="198"/>
      <c r="Z293" s="198"/>
    </row>
    <row r="294" ht="91.5" customHeight="1">
      <c r="A294" s="285"/>
      <c r="B294" s="285"/>
      <c r="C294" s="285"/>
      <c r="D294" s="285"/>
      <c r="E294" s="287"/>
      <c r="F294" s="288"/>
      <c r="G294" s="288"/>
      <c r="H294" s="288"/>
      <c r="I294" s="288"/>
      <c r="J294" s="288"/>
      <c r="K294" s="285"/>
      <c r="L294" s="485"/>
      <c r="M294" s="290"/>
      <c r="N294" s="285"/>
      <c r="O294" s="322"/>
      <c r="P294" s="300"/>
      <c r="Q294" s="299"/>
      <c r="R294" s="299"/>
      <c r="S294" s="299"/>
      <c r="T294" s="198"/>
      <c r="U294" s="198"/>
      <c r="V294" s="198"/>
      <c r="W294" s="198"/>
      <c r="X294" s="198"/>
      <c r="Y294" s="198"/>
      <c r="Z294" s="198"/>
    </row>
    <row r="295" ht="91.5" customHeight="1">
      <c r="A295" s="285"/>
      <c r="B295" s="285"/>
      <c r="C295" s="285"/>
      <c r="D295" s="285"/>
      <c r="E295" s="287"/>
      <c r="F295" s="288"/>
      <c r="G295" s="288"/>
      <c r="H295" s="288"/>
      <c r="I295" s="288"/>
      <c r="J295" s="288"/>
      <c r="K295" s="285"/>
      <c r="L295" s="485"/>
      <c r="M295" s="290"/>
      <c r="N295" s="285"/>
      <c r="O295" s="322"/>
      <c r="P295" s="300"/>
      <c r="Q295" s="299"/>
      <c r="R295" s="299"/>
      <c r="S295" s="299"/>
      <c r="T295" s="198"/>
      <c r="U295" s="198"/>
      <c r="V295" s="198"/>
      <c r="W295" s="198"/>
      <c r="X295" s="198"/>
      <c r="Y295" s="198"/>
      <c r="Z295" s="198"/>
    </row>
    <row r="296" ht="91.5" customHeight="1">
      <c r="A296" s="285"/>
      <c r="B296" s="285"/>
      <c r="C296" s="285"/>
      <c r="D296" s="285"/>
      <c r="E296" s="287"/>
      <c r="F296" s="288"/>
      <c r="G296" s="288"/>
      <c r="H296" s="288"/>
      <c r="I296" s="288"/>
      <c r="J296" s="288"/>
      <c r="K296" s="285"/>
      <c r="L296" s="485"/>
      <c r="M296" s="290"/>
      <c r="N296" s="285"/>
      <c r="O296" s="322"/>
      <c r="P296" s="300"/>
      <c r="Q296" s="299"/>
      <c r="R296" s="299"/>
      <c r="S296" s="299"/>
      <c r="T296" s="198"/>
      <c r="U296" s="198"/>
      <c r="V296" s="198"/>
      <c r="W296" s="198"/>
      <c r="X296" s="198"/>
      <c r="Y296" s="198"/>
      <c r="Z296" s="198"/>
    </row>
    <row r="297" ht="91.5" customHeight="1">
      <c r="A297" s="285"/>
      <c r="B297" s="285"/>
      <c r="C297" s="285"/>
      <c r="D297" s="285"/>
      <c r="E297" s="287"/>
      <c r="F297" s="288"/>
      <c r="G297" s="288"/>
      <c r="H297" s="288"/>
      <c r="I297" s="288"/>
      <c r="J297" s="288"/>
      <c r="K297" s="285"/>
      <c r="L297" s="485"/>
      <c r="M297" s="290"/>
      <c r="N297" s="285"/>
      <c r="O297" s="322"/>
      <c r="P297" s="300"/>
      <c r="Q297" s="299"/>
      <c r="R297" s="299"/>
      <c r="S297" s="299"/>
      <c r="T297" s="198"/>
      <c r="U297" s="198"/>
      <c r="V297" s="198"/>
      <c r="W297" s="198"/>
      <c r="X297" s="198"/>
      <c r="Y297" s="198"/>
      <c r="Z297" s="198"/>
    </row>
    <row r="298" ht="91.5" customHeight="1">
      <c r="A298" s="285"/>
      <c r="B298" s="285"/>
      <c r="C298" s="285"/>
      <c r="D298" s="285"/>
      <c r="E298" s="287"/>
      <c r="F298" s="288"/>
      <c r="G298" s="288"/>
      <c r="H298" s="288"/>
      <c r="I298" s="288"/>
      <c r="J298" s="288"/>
      <c r="K298" s="285"/>
      <c r="L298" s="485"/>
      <c r="M298" s="290"/>
      <c r="N298" s="285"/>
      <c r="O298" s="322"/>
      <c r="P298" s="300"/>
      <c r="Q298" s="299"/>
      <c r="R298" s="299"/>
      <c r="S298" s="299"/>
      <c r="T298" s="198"/>
      <c r="U298" s="198"/>
      <c r="V298" s="198"/>
      <c r="W298" s="198"/>
      <c r="X298" s="198"/>
      <c r="Y298" s="198"/>
      <c r="Z298" s="198"/>
    </row>
    <row r="299" ht="91.5" customHeight="1">
      <c r="A299" s="285"/>
      <c r="B299" s="285"/>
      <c r="C299" s="285"/>
      <c r="D299" s="285"/>
      <c r="E299" s="287"/>
      <c r="F299" s="288"/>
      <c r="G299" s="288"/>
      <c r="H299" s="288"/>
      <c r="I299" s="288"/>
      <c r="J299" s="288"/>
      <c r="K299" s="285"/>
      <c r="L299" s="485"/>
      <c r="M299" s="290"/>
      <c r="N299" s="285"/>
      <c r="O299" s="322"/>
      <c r="P299" s="300"/>
      <c r="Q299" s="299"/>
      <c r="R299" s="299"/>
      <c r="S299" s="299"/>
      <c r="T299" s="198"/>
      <c r="U299" s="198"/>
      <c r="V299" s="198"/>
      <c r="W299" s="198"/>
      <c r="X299" s="198"/>
      <c r="Y299" s="198"/>
      <c r="Z299" s="198"/>
    </row>
    <row r="300" ht="91.5" customHeight="1">
      <c r="A300" s="285"/>
      <c r="B300" s="285"/>
      <c r="C300" s="285"/>
      <c r="D300" s="285"/>
      <c r="E300" s="287"/>
      <c r="F300" s="288"/>
      <c r="G300" s="288"/>
      <c r="H300" s="288"/>
      <c r="I300" s="288"/>
      <c r="J300" s="288"/>
      <c r="K300" s="285"/>
      <c r="L300" s="572"/>
      <c r="M300" s="290"/>
      <c r="N300" s="285"/>
      <c r="O300" s="322"/>
      <c r="P300" s="300"/>
      <c r="Q300" s="299"/>
      <c r="R300" s="299"/>
      <c r="S300" s="299"/>
      <c r="T300" s="198"/>
      <c r="U300" s="198"/>
      <c r="V300" s="198"/>
      <c r="W300" s="198"/>
      <c r="X300" s="198"/>
      <c r="Y300" s="198"/>
      <c r="Z300" s="198"/>
    </row>
    <row r="301" ht="91.5" customHeight="1">
      <c r="A301" s="285"/>
      <c r="B301" s="285"/>
      <c r="C301" s="285"/>
      <c r="D301" s="285"/>
      <c r="E301" s="287"/>
      <c r="F301" s="288"/>
      <c r="G301" s="288"/>
      <c r="H301" s="288"/>
      <c r="I301" s="288"/>
      <c r="J301" s="288"/>
      <c r="K301" s="285"/>
      <c r="L301" s="485"/>
      <c r="M301" s="290"/>
      <c r="N301" s="285"/>
      <c r="O301" s="322"/>
      <c r="P301" s="300"/>
      <c r="Q301" s="299"/>
      <c r="R301" s="299"/>
      <c r="S301" s="299"/>
      <c r="T301" s="198"/>
      <c r="U301" s="198"/>
      <c r="V301" s="198"/>
      <c r="W301" s="198"/>
      <c r="X301" s="198"/>
      <c r="Y301" s="198"/>
      <c r="Z301" s="198"/>
    </row>
    <row r="302" ht="91.5" customHeight="1">
      <c r="A302" s="285"/>
      <c r="B302" s="285"/>
      <c r="C302" s="285"/>
      <c r="D302" s="285"/>
      <c r="E302" s="287"/>
      <c r="F302" s="288"/>
      <c r="G302" s="288"/>
      <c r="H302" s="288"/>
      <c r="I302" s="288"/>
      <c r="J302" s="288"/>
      <c r="K302" s="285"/>
      <c r="L302" s="485"/>
      <c r="M302" s="290"/>
      <c r="N302" s="285"/>
      <c r="O302" s="322"/>
      <c r="P302" s="300"/>
      <c r="Q302" s="299"/>
      <c r="R302" s="299"/>
      <c r="S302" s="299"/>
      <c r="T302" s="198"/>
      <c r="U302" s="198"/>
      <c r="V302" s="198"/>
      <c r="W302" s="198"/>
      <c r="X302" s="198"/>
      <c r="Y302" s="198"/>
      <c r="Z302" s="198"/>
    </row>
    <row r="303" ht="91.5" customHeight="1">
      <c r="A303" s="285"/>
      <c r="B303" s="285"/>
      <c r="C303" s="285"/>
      <c r="D303" s="285"/>
      <c r="E303" s="287"/>
      <c r="F303" s="288"/>
      <c r="G303" s="288"/>
      <c r="H303" s="288"/>
      <c r="I303" s="288"/>
      <c r="J303" s="288"/>
      <c r="K303" s="285"/>
      <c r="L303" s="572"/>
      <c r="M303" s="290"/>
      <c r="N303" s="285"/>
      <c r="O303" s="322"/>
      <c r="P303" s="300"/>
      <c r="Q303" s="299"/>
      <c r="R303" s="299"/>
      <c r="S303" s="299"/>
      <c r="T303" s="198"/>
      <c r="U303" s="198"/>
      <c r="V303" s="198"/>
      <c r="W303" s="198"/>
      <c r="X303" s="198"/>
      <c r="Y303" s="198"/>
      <c r="Z303" s="198"/>
    </row>
    <row r="304" ht="91.5" customHeight="1">
      <c r="A304" s="285"/>
      <c r="B304" s="285"/>
      <c r="C304" s="285"/>
      <c r="D304" s="285"/>
      <c r="E304" s="287"/>
      <c r="F304" s="288"/>
      <c r="G304" s="288"/>
      <c r="H304" s="288"/>
      <c r="I304" s="288"/>
      <c r="J304" s="288"/>
      <c r="K304" s="285"/>
      <c r="L304" s="485"/>
      <c r="M304" s="290"/>
      <c r="N304" s="285"/>
      <c r="O304" s="322"/>
      <c r="P304" s="300"/>
      <c r="Q304" s="299"/>
      <c r="R304" s="299"/>
      <c r="S304" s="299"/>
      <c r="T304" s="198"/>
      <c r="U304" s="198"/>
      <c r="V304" s="198"/>
      <c r="W304" s="198"/>
      <c r="X304" s="198"/>
      <c r="Y304" s="198"/>
      <c r="Z304" s="198"/>
    </row>
    <row r="305" ht="91.5" customHeight="1">
      <c r="A305" s="285"/>
      <c r="B305" s="285"/>
      <c r="C305" s="285"/>
      <c r="D305" s="285"/>
      <c r="E305" s="287"/>
      <c r="F305" s="288"/>
      <c r="G305" s="288"/>
      <c r="H305" s="288"/>
      <c r="I305" s="288"/>
      <c r="J305" s="288"/>
      <c r="K305" s="285"/>
      <c r="L305" s="485"/>
      <c r="M305" s="290"/>
      <c r="N305" s="285"/>
      <c r="O305" s="322"/>
      <c r="P305" s="300"/>
      <c r="Q305" s="299"/>
      <c r="R305" s="299"/>
      <c r="S305" s="299"/>
      <c r="T305" s="198"/>
      <c r="U305" s="198"/>
      <c r="V305" s="198"/>
      <c r="W305" s="198"/>
      <c r="X305" s="198"/>
      <c r="Y305" s="198"/>
      <c r="Z305" s="198"/>
    </row>
    <row r="306" ht="91.5" customHeight="1">
      <c r="A306" s="285"/>
      <c r="B306" s="285"/>
      <c r="C306" s="285"/>
      <c r="D306" s="285"/>
      <c r="E306" s="287"/>
      <c r="F306" s="288"/>
      <c r="G306" s="288"/>
      <c r="H306" s="288"/>
      <c r="I306" s="288"/>
      <c r="J306" s="288"/>
      <c r="K306" s="285"/>
      <c r="L306" s="485"/>
      <c r="M306" s="290"/>
      <c r="N306" s="285"/>
      <c r="O306" s="322"/>
      <c r="P306" s="300"/>
      <c r="Q306" s="299"/>
      <c r="R306" s="299"/>
      <c r="S306" s="299"/>
      <c r="T306" s="198"/>
      <c r="U306" s="198"/>
      <c r="V306" s="198"/>
      <c r="W306" s="198"/>
      <c r="X306" s="198"/>
      <c r="Y306" s="198"/>
      <c r="Z306" s="198"/>
    </row>
    <row r="307" ht="91.5" customHeight="1">
      <c r="A307" s="285"/>
      <c r="B307" s="285"/>
      <c r="C307" s="285"/>
      <c r="D307" s="285"/>
      <c r="E307" s="287"/>
      <c r="F307" s="288"/>
      <c r="G307" s="288"/>
      <c r="H307" s="288"/>
      <c r="I307" s="288"/>
      <c r="J307" s="288"/>
      <c r="K307" s="285"/>
      <c r="L307" s="572"/>
      <c r="M307" s="290"/>
      <c r="N307" s="285"/>
      <c r="O307" s="322"/>
      <c r="P307" s="300"/>
      <c r="Q307" s="299"/>
      <c r="R307" s="299"/>
      <c r="S307" s="299"/>
      <c r="T307" s="198"/>
      <c r="U307" s="198"/>
      <c r="V307" s="198"/>
      <c r="W307" s="198"/>
      <c r="X307" s="198"/>
      <c r="Y307" s="198"/>
      <c r="Z307" s="198"/>
    </row>
    <row r="308" ht="91.5" customHeight="1">
      <c r="A308" s="285"/>
      <c r="B308" s="285"/>
      <c r="C308" s="285"/>
      <c r="D308" s="285"/>
      <c r="E308" s="287"/>
      <c r="F308" s="288"/>
      <c r="G308" s="288"/>
      <c r="H308" s="288"/>
      <c r="I308" s="288"/>
      <c r="J308" s="288"/>
      <c r="K308" s="285"/>
      <c r="L308" s="572"/>
      <c r="M308" s="290"/>
      <c r="N308" s="285"/>
      <c r="O308" s="322"/>
      <c r="P308" s="300"/>
      <c r="Q308" s="299"/>
      <c r="R308" s="299"/>
      <c r="S308" s="299"/>
      <c r="T308" s="198"/>
      <c r="U308" s="198"/>
      <c r="V308" s="198"/>
      <c r="W308" s="198"/>
      <c r="X308" s="198"/>
      <c r="Y308" s="198"/>
      <c r="Z308" s="198"/>
    </row>
    <row r="309" ht="91.5" customHeight="1">
      <c r="A309" s="285"/>
      <c r="B309" s="285"/>
      <c r="C309" s="285"/>
      <c r="D309" s="285"/>
      <c r="E309" s="287"/>
      <c r="F309" s="288"/>
      <c r="G309" s="288"/>
      <c r="H309" s="288"/>
      <c r="I309" s="288"/>
      <c r="J309" s="288"/>
      <c r="K309" s="285"/>
      <c r="L309" s="572"/>
      <c r="M309" s="290"/>
      <c r="N309" s="285"/>
      <c r="O309" s="322"/>
      <c r="P309" s="300"/>
      <c r="Q309" s="299"/>
      <c r="R309" s="299"/>
      <c r="S309" s="299"/>
      <c r="T309" s="198"/>
      <c r="U309" s="198"/>
      <c r="V309" s="198"/>
      <c r="W309" s="198"/>
      <c r="X309" s="198"/>
      <c r="Y309" s="198"/>
      <c r="Z309" s="198"/>
    </row>
    <row r="310" ht="91.5" customHeight="1">
      <c r="A310" s="285"/>
      <c r="B310" s="285"/>
      <c r="C310" s="285"/>
      <c r="D310" s="285"/>
      <c r="E310" s="287"/>
      <c r="F310" s="288"/>
      <c r="G310" s="288"/>
      <c r="H310" s="288"/>
      <c r="I310" s="288"/>
      <c r="J310" s="288"/>
      <c r="K310" s="285"/>
      <c r="L310" s="485"/>
      <c r="M310" s="290"/>
      <c r="N310" s="285"/>
      <c r="O310" s="322"/>
      <c r="P310" s="300"/>
      <c r="Q310" s="299"/>
      <c r="R310" s="299"/>
      <c r="S310" s="299"/>
      <c r="T310" s="198"/>
      <c r="U310" s="198"/>
      <c r="V310" s="198"/>
      <c r="W310" s="198"/>
      <c r="X310" s="198"/>
      <c r="Y310" s="198"/>
      <c r="Z310" s="198"/>
    </row>
    <row r="311" ht="91.5" customHeight="1">
      <c r="A311" s="285"/>
      <c r="B311" s="285"/>
      <c r="C311" s="285"/>
      <c r="D311" s="285"/>
      <c r="E311" s="287"/>
      <c r="F311" s="288"/>
      <c r="G311" s="288"/>
      <c r="H311" s="288"/>
      <c r="I311" s="288"/>
      <c r="J311" s="288"/>
      <c r="K311" s="285"/>
      <c r="L311" s="485"/>
      <c r="M311" s="290"/>
      <c r="N311" s="285"/>
      <c r="O311" s="322"/>
      <c r="P311" s="300"/>
      <c r="Q311" s="299"/>
      <c r="R311" s="299"/>
      <c r="S311" s="299"/>
      <c r="T311" s="198"/>
      <c r="U311" s="198"/>
      <c r="V311" s="198"/>
      <c r="W311" s="198"/>
      <c r="X311" s="198"/>
      <c r="Y311" s="198"/>
      <c r="Z311" s="198"/>
    </row>
    <row r="312" ht="91.5" customHeight="1">
      <c r="A312" s="285"/>
      <c r="B312" s="285"/>
      <c r="C312" s="285"/>
      <c r="D312" s="285"/>
      <c r="E312" s="287"/>
      <c r="F312" s="288"/>
      <c r="G312" s="288"/>
      <c r="H312" s="288"/>
      <c r="I312" s="288"/>
      <c r="J312" s="288"/>
      <c r="K312" s="285"/>
      <c r="L312" s="485"/>
      <c r="M312" s="290"/>
      <c r="N312" s="285"/>
      <c r="O312" s="322"/>
      <c r="P312" s="300"/>
      <c r="Q312" s="299"/>
      <c r="R312" s="299"/>
      <c r="S312" s="299"/>
      <c r="T312" s="198"/>
      <c r="U312" s="198"/>
      <c r="V312" s="198"/>
      <c r="W312" s="198"/>
      <c r="X312" s="198"/>
      <c r="Y312" s="198"/>
      <c r="Z312" s="198"/>
    </row>
    <row r="313" ht="91.5" customHeight="1">
      <c r="A313" s="285"/>
      <c r="B313" s="285"/>
      <c r="C313" s="285"/>
      <c r="D313" s="285"/>
      <c r="E313" s="287"/>
      <c r="F313" s="288"/>
      <c r="G313" s="288"/>
      <c r="H313" s="288"/>
      <c r="I313" s="288"/>
      <c r="J313" s="288"/>
      <c r="K313" s="285"/>
      <c r="L313" s="485"/>
      <c r="M313" s="290"/>
      <c r="N313" s="285"/>
      <c r="O313" s="322"/>
      <c r="P313" s="300"/>
      <c r="Q313" s="299"/>
      <c r="R313" s="299"/>
      <c r="S313" s="299"/>
      <c r="T313" s="198"/>
      <c r="U313" s="198"/>
      <c r="V313" s="198"/>
      <c r="W313" s="198"/>
      <c r="X313" s="198"/>
      <c r="Y313" s="198"/>
      <c r="Z313" s="198"/>
    </row>
    <row r="314" ht="91.5" customHeight="1">
      <c r="A314" s="285"/>
      <c r="B314" s="285"/>
      <c r="C314" s="285"/>
      <c r="D314" s="285"/>
      <c r="E314" s="287"/>
      <c r="F314" s="288"/>
      <c r="G314" s="288"/>
      <c r="H314" s="288"/>
      <c r="I314" s="288"/>
      <c r="J314" s="288"/>
      <c r="K314" s="285"/>
      <c r="L314" s="485"/>
      <c r="M314" s="290"/>
      <c r="N314" s="285"/>
      <c r="O314" s="322"/>
      <c r="P314" s="300"/>
      <c r="Q314" s="299"/>
      <c r="R314" s="299"/>
      <c r="S314" s="299"/>
      <c r="T314" s="198"/>
      <c r="U314" s="198"/>
      <c r="V314" s="198"/>
      <c r="W314" s="198"/>
      <c r="X314" s="198"/>
      <c r="Y314" s="198"/>
      <c r="Z314" s="198"/>
    </row>
    <row r="315" ht="91.5" customHeight="1">
      <c r="A315" s="285"/>
      <c r="B315" s="285"/>
      <c r="C315" s="285"/>
      <c r="D315" s="285"/>
      <c r="E315" s="287"/>
      <c r="F315" s="288"/>
      <c r="G315" s="288"/>
      <c r="H315" s="288"/>
      <c r="I315" s="288"/>
      <c r="J315" s="285"/>
      <c r="K315" s="285"/>
      <c r="L315" s="485"/>
      <c r="M315" s="290"/>
      <c r="N315" s="285"/>
      <c r="O315" s="322"/>
      <c r="P315" s="300"/>
      <c r="Q315" s="299"/>
      <c r="R315" s="299"/>
      <c r="S315" s="299"/>
      <c r="T315" s="198"/>
      <c r="U315" s="198"/>
      <c r="V315" s="198"/>
      <c r="W315" s="198"/>
      <c r="X315" s="198"/>
      <c r="Y315" s="198"/>
      <c r="Z315" s="198"/>
    </row>
    <row r="316" ht="91.5" customHeight="1">
      <c r="A316" s="285"/>
      <c r="B316" s="285"/>
      <c r="C316" s="285"/>
      <c r="D316" s="285"/>
      <c r="E316" s="287"/>
      <c r="F316" s="288"/>
      <c r="G316" s="288"/>
      <c r="H316" s="288"/>
      <c r="I316" s="288"/>
      <c r="J316" s="288"/>
      <c r="K316" s="285"/>
      <c r="L316" s="581"/>
      <c r="M316" s="290"/>
      <c r="N316" s="285"/>
      <c r="O316" s="322"/>
      <c r="P316" s="300"/>
      <c r="Q316" s="299"/>
      <c r="R316" s="299"/>
      <c r="S316" s="299"/>
      <c r="T316" s="198"/>
      <c r="U316" s="198"/>
      <c r="V316" s="198"/>
      <c r="W316" s="198"/>
      <c r="X316" s="198"/>
      <c r="Y316" s="198"/>
      <c r="Z316" s="198"/>
    </row>
    <row r="317" ht="91.5" customHeight="1">
      <c r="A317" s="285"/>
      <c r="B317" s="285"/>
      <c r="C317" s="285"/>
      <c r="D317" s="285"/>
      <c r="E317" s="287"/>
      <c r="F317" s="288"/>
      <c r="G317" s="288"/>
      <c r="H317" s="288"/>
      <c r="I317" s="288"/>
      <c r="J317" s="288"/>
      <c r="K317" s="285"/>
      <c r="L317" s="485"/>
      <c r="M317" s="290"/>
      <c r="N317" s="285"/>
      <c r="O317" s="322"/>
      <c r="P317" s="300"/>
      <c r="Q317" s="299"/>
      <c r="R317" s="299"/>
      <c r="S317" s="299"/>
      <c r="T317" s="198"/>
      <c r="U317" s="198"/>
      <c r="V317" s="198"/>
      <c r="W317" s="198"/>
      <c r="X317" s="198"/>
      <c r="Y317" s="198"/>
      <c r="Z317" s="198"/>
    </row>
    <row r="318" ht="91.5" customHeight="1">
      <c r="A318" s="285"/>
      <c r="B318" s="285"/>
      <c r="C318" s="285"/>
      <c r="D318" s="285"/>
      <c r="E318" s="287"/>
      <c r="F318" s="288"/>
      <c r="G318" s="288"/>
      <c r="H318" s="288"/>
      <c r="I318" s="288"/>
      <c r="J318" s="288"/>
      <c r="K318" s="285"/>
      <c r="L318" s="586"/>
      <c r="M318" s="290"/>
      <c r="N318" s="285"/>
      <c r="O318" s="322"/>
      <c r="P318" s="300"/>
      <c r="Q318" s="299"/>
      <c r="R318" s="299"/>
      <c r="S318" s="299"/>
      <c r="T318" s="198"/>
      <c r="U318" s="198"/>
      <c r="V318" s="198"/>
      <c r="W318" s="198"/>
      <c r="X318" s="198"/>
      <c r="Y318" s="198"/>
      <c r="Z318" s="198"/>
    </row>
    <row r="319" ht="91.5" customHeight="1">
      <c r="A319" s="285"/>
      <c r="B319" s="285"/>
      <c r="C319" s="285"/>
      <c r="D319" s="285"/>
      <c r="E319" s="287"/>
      <c r="F319" s="288"/>
      <c r="G319" s="288"/>
      <c r="H319" s="288"/>
      <c r="I319" s="288"/>
      <c r="J319" s="288"/>
      <c r="K319" s="285"/>
      <c r="L319" s="485"/>
      <c r="M319" s="290"/>
      <c r="N319" s="285"/>
      <c r="O319" s="322"/>
      <c r="P319" s="300"/>
      <c r="Q319" s="299"/>
      <c r="R319" s="299"/>
      <c r="S319" s="299"/>
      <c r="T319" s="198"/>
      <c r="U319" s="198"/>
      <c r="V319" s="198"/>
      <c r="W319" s="198"/>
      <c r="X319" s="198"/>
      <c r="Y319" s="198"/>
      <c r="Z319" s="198"/>
    </row>
    <row r="320" ht="91.5" customHeight="1">
      <c r="A320" s="285"/>
      <c r="B320" s="285"/>
      <c r="C320" s="285"/>
      <c r="D320" s="285"/>
      <c r="E320" s="287"/>
      <c r="F320" s="288"/>
      <c r="G320" s="288"/>
      <c r="H320" s="288"/>
      <c r="I320" s="288"/>
      <c r="J320" s="288"/>
      <c r="K320" s="285"/>
      <c r="L320" s="485"/>
      <c r="M320" s="290"/>
      <c r="N320" s="285"/>
      <c r="O320" s="322"/>
      <c r="P320" s="300"/>
      <c r="Q320" s="299"/>
      <c r="R320" s="299"/>
      <c r="S320" s="299"/>
      <c r="T320" s="198"/>
      <c r="U320" s="198"/>
      <c r="V320" s="198"/>
      <c r="W320" s="198"/>
      <c r="X320" s="198"/>
      <c r="Y320" s="198"/>
      <c r="Z320" s="198"/>
    </row>
    <row r="321" ht="91.5" customHeight="1">
      <c r="A321" s="285"/>
      <c r="B321" s="285"/>
      <c r="C321" s="285"/>
      <c r="D321" s="285"/>
      <c r="E321" s="287"/>
      <c r="F321" s="288"/>
      <c r="G321" s="288"/>
      <c r="H321" s="288"/>
      <c r="I321" s="288"/>
      <c r="J321" s="288"/>
      <c r="K321" s="285"/>
      <c r="L321" s="586"/>
      <c r="M321" s="290"/>
      <c r="N321" s="285"/>
      <c r="O321" s="322"/>
      <c r="P321" s="300"/>
      <c r="Q321" s="299"/>
      <c r="R321" s="299"/>
      <c r="S321" s="299"/>
      <c r="T321" s="198"/>
      <c r="U321" s="198"/>
      <c r="V321" s="198"/>
      <c r="W321" s="198"/>
      <c r="X321" s="198"/>
      <c r="Y321" s="198"/>
      <c r="Z321" s="198"/>
    </row>
    <row r="322" ht="91.5" customHeight="1">
      <c r="A322" s="285"/>
      <c r="B322" s="285"/>
      <c r="C322" s="285"/>
      <c r="D322" s="285"/>
      <c r="E322" s="287"/>
      <c r="F322" s="288"/>
      <c r="G322" s="288"/>
      <c r="H322" s="288"/>
      <c r="I322" s="288"/>
      <c r="J322" s="288"/>
      <c r="K322" s="285"/>
      <c r="L322" s="586"/>
      <c r="M322" s="290"/>
      <c r="N322" s="285"/>
      <c r="O322" s="322"/>
      <c r="P322" s="300"/>
      <c r="Q322" s="299"/>
      <c r="R322" s="299"/>
      <c r="S322" s="299"/>
      <c r="T322" s="198"/>
      <c r="U322" s="198"/>
      <c r="V322" s="198"/>
      <c r="W322" s="198"/>
      <c r="X322" s="198"/>
      <c r="Y322" s="198"/>
      <c r="Z322" s="198"/>
    </row>
    <row r="323" ht="91.5" customHeight="1">
      <c r="A323" s="285"/>
      <c r="B323" s="285"/>
      <c r="C323" s="285"/>
      <c r="D323" s="285"/>
      <c r="E323" s="287"/>
      <c r="F323" s="288"/>
      <c r="G323" s="288"/>
      <c r="H323" s="288"/>
      <c r="I323" s="288"/>
      <c r="J323" s="288"/>
      <c r="K323" s="285"/>
      <c r="L323" s="485"/>
      <c r="M323" s="290"/>
      <c r="N323" s="285"/>
      <c r="O323" s="322"/>
      <c r="P323" s="300"/>
      <c r="Q323" s="299"/>
      <c r="R323" s="299"/>
      <c r="S323" s="299"/>
      <c r="T323" s="198"/>
      <c r="U323" s="198"/>
      <c r="V323" s="198"/>
      <c r="W323" s="198"/>
      <c r="X323" s="198"/>
      <c r="Y323" s="198"/>
      <c r="Z323" s="198"/>
    </row>
    <row r="324" ht="91.5" customHeight="1">
      <c r="A324" s="285"/>
      <c r="B324" s="285"/>
      <c r="C324" s="285"/>
      <c r="D324" s="285"/>
      <c r="E324" s="287"/>
      <c r="F324" s="288"/>
      <c r="G324" s="288"/>
      <c r="H324" s="288"/>
      <c r="I324" s="288"/>
      <c r="J324" s="288"/>
      <c r="K324" s="285"/>
      <c r="L324" s="485"/>
      <c r="M324" s="290"/>
      <c r="N324" s="285"/>
      <c r="O324" s="322"/>
      <c r="P324" s="300"/>
      <c r="Q324" s="299"/>
      <c r="R324" s="299"/>
      <c r="S324" s="299"/>
      <c r="T324" s="198"/>
      <c r="U324" s="198"/>
      <c r="V324" s="198"/>
      <c r="W324" s="198"/>
      <c r="X324" s="198"/>
      <c r="Y324" s="198"/>
      <c r="Z324" s="198"/>
    </row>
    <row r="325" ht="91.5" customHeight="1">
      <c r="A325" s="285"/>
      <c r="B325" s="285"/>
      <c r="C325" s="285"/>
      <c r="D325" s="285"/>
      <c r="E325" s="287"/>
      <c r="F325" s="288"/>
      <c r="G325" s="288"/>
      <c r="H325" s="288"/>
      <c r="I325" s="288"/>
      <c r="J325" s="288"/>
      <c r="K325" s="285"/>
      <c r="L325" s="485"/>
      <c r="M325" s="290"/>
      <c r="N325" s="285"/>
      <c r="O325" s="322"/>
      <c r="P325" s="300"/>
      <c r="Q325" s="299"/>
      <c r="R325" s="299"/>
      <c r="S325" s="299"/>
      <c r="T325" s="198"/>
      <c r="U325" s="198"/>
      <c r="V325" s="198"/>
      <c r="W325" s="198"/>
      <c r="X325" s="198"/>
      <c r="Y325" s="198"/>
      <c r="Z325" s="198"/>
    </row>
    <row r="326" ht="91.5" customHeight="1">
      <c r="A326" s="285"/>
      <c r="B326" s="285"/>
      <c r="C326" s="285"/>
      <c r="D326" s="285"/>
      <c r="E326" s="287"/>
      <c r="F326" s="288"/>
      <c r="G326" s="288"/>
      <c r="H326" s="288"/>
      <c r="I326" s="288"/>
      <c r="J326" s="288"/>
      <c r="K326" s="285"/>
      <c r="L326" s="485"/>
      <c r="M326" s="290"/>
      <c r="N326" s="285"/>
      <c r="O326" s="322"/>
      <c r="P326" s="300"/>
      <c r="Q326" s="299"/>
      <c r="R326" s="299"/>
      <c r="S326" s="299"/>
      <c r="T326" s="198"/>
      <c r="U326" s="198"/>
      <c r="V326" s="198"/>
      <c r="W326" s="198"/>
      <c r="X326" s="198"/>
      <c r="Y326" s="198"/>
      <c r="Z326" s="198"/>
    </row>
    <row r="327" ht="91.5" customHeight="1">
      <c r="A327" s="285"/>
      <c r="B327" s="285"/>
      <c r="C327" s="285"/>
      <c r="D327" s="285"/>
      <c r="E327" s="287"/>
      <c r="F327" s="288"/>
      <c r="G327" s="288"/>
      <c r="H327" s="288"/>
      <c r="I327" s="288"/>
      <c r="J327" s="288"/>
      <c r="K327" s="285"/>
      <c r="L327" s="581"/>
      <c r="M327" s="290"/>
      <c r="N327" s="285"/>
      <c r="O327" s="322"/>
      <c r="P327" s="300"/>
      <c r="Q327" s="299"/>
      <c r="R327" s="299"/>
      <c r="S327" s="299"/>
      <c r="T327" s="198"/>
      <c r="U327" s="198"/>
      <c r="V327" s="198"/>
      <c r="W327" s="198"/>
      <c r="X327" s="198"/>
      <c r="Y327" s="198"/>
      <c r="Z327" s="198"/>
    </row>
    <row r="328" ht="91.5" customHeight="1">
      <c r="A328" s="285"/>
      <c r="B328" s="285"/>
      <c r="C328" s="285"/>
      <c r="D328" s="285"/>
      <c r="E328" s="287"/>
      <c r="F328" s="288"/>
      <c r="G328" s="288"/>
      <c r="H328" s="288"/>
      <c r="I328" s="288"/>
      <c r="J328" s="288"/>
      <c r="K328" s="285"/>
      <c r="L328" s="485"/>
      <c r="M328" s="290"/>
      <c r="N328" s="285"/>
      <c r="O328" s="322"/>
      <c r="P328" s="300"/>
      <c r="Q328" s="299"/>
      <c r="R328" s="299"/>
      <c r="S328" s="299"/>
      <c r="T328" s="198"/>
      <c r="U328" s="198"/>
      <c r="V328" s="198"/>
      <c r="W328" s="198"/>
      <c r="X328" s="198"/>
      <c r="Y328" s="198"/>
      <c r="Z328" s="198"/>
    </row>
    <row r="329" ht="91.5" customHeight="1">
      <c r="A329" s="285"/>
      <c r="B329" s="285"/>
      <c r="C329" s="285"/>
      <c r="D329" s="285"/>
      <c r="E329" s="287"/>
      <c r="F329" s="288"/>
      <c r="G329" s="288"/>
      <c r="H329" s="288"/>
      <c r="I329" s="288"/>
      <c r="J329" s="288"/>
      <c r="K329" s="285"/>
      <c r="L329" s="485"/>
      <c r="M329" s="290"/>
      <c r="N329" s="285"/>
      <c r="O329" s="322"/>
      <c r="P329" s="300"/>
      <c r="Q329" s="299"/>
      <c r="R329" s="299"/>
      <c r="S329" s="299"/>
      <c r="T329" s="198"/>
      <c r="U329" s="198"/>
      <c r="V329" s="198"/>
      <c r="W329" s="198"/>
      <c r="X329" s="198"/>
      <c r="Y329" s="198"/>
      <c r="Z329" s="198"/>
    </row>
    <row r="330" ht="91.5" customHeight="1">
      <c r="A330" s="285"/>
      <c r="B330" s="285"/>
      <c r="C330" s="285"/>
      <c r="D330" s="285"/>
      <c r="E330" s="287"/>
      <c r="F330" s="288"/>
      <c r="G330" s="288"/>
      <c r="H330" s="288"/>
      <c r="I330" s="288"/>
      <c r="J330" s="288"/>
      <c r="K330" s="285"/>
      <c r="L330" s="485"/>
      <c r="M330" s="290"/>
      <c r="N330" s="285"/>
      <c r="O330" s="322"/>
      <c r="P330" s="300"/>
      <c r="Q330" s="299"/>
      <c r="R330" s="299"/>
      <c r="S330" s="299"/>
      <c r="T330" s="198"/>
      <c r="U330" s="198"/>
      <c r="V330" s="198"/>
      <c r="W330" s="198"/>
      <c r="X330" s="198"/>
      <c r="Y330" s="198"/>
      <c r="Z330" s="198"/>
    </row>
    <row r="331" ht="15.75" customHeight="1">
      <c r="R331" s="598"/>
      <c r="S331" s="598"/>
    </row>
    <row r="332" ht="15.75" customHeight="1">
      <c r="R332" s="598"/>
      <c r="S332" s="598"/>
    </row>
    <row r="333" ht="15.75" customHeight="1">
      <c r="R333" s="598"/>
      <c r="S333" s="598"/>
    </row>
    <row r="334" ht="15.75" customHeight="1">
      <c r="R334" s="598"/>
      <c r="S334" s="598"/>
    </row>
    <row r="335" ht="15.75" customHeight="1">
      <c r="R335" s="598"/>
      <c r="S335" s="598"/>
    </row>
    <row r="336" ht="15.75" customHeight="1">
      <c r="R336" s="598"/>
      <c r="S336" s="598"/>
    </row>
    <row r="337" ht="15.75" customHeight="1">
      <c r="R337" s="598"/>
      <c r="S337" s="598"/>
    </row>
    <row r="338" ht="15.75" customHeight="1">
      <c r="R338" s="598"/>
      <c r="S338" s="598"/>
    </row>
    <row r="339" ht="15.75" customHeight="1">
      <c r="R339" s="598"/>
      <c r="S339" s="598"/>
    </row>
    <row r="340" ht="15.75" customHeight="1">
      <c r="R340" s="598"/>
      <c r="S340" s="598"/>
    </row>
    <row r="341" ht="15.75" customHeight="1">
      <c r="R341" s="598"/>
      <c r="S341" s="598"/>
    </row>
    <row r="342" ht="15.75" customHeight="1">
      <c r="R342" s="598"/>
      <c r="S342" s="598"/>
    </row>
    <row r="343" ht="15.75" customHeight="1">
      <c r="R343" s="598"/>
      <c r="S343" s="598"/>
    </row>
    <row r="344" ht="15.75" customHeight="1">
      <c r="R344" s="598"/>
      <c r="S344" s="598"/>
    </row>
    <row r="345" ht="15.75" customHeight="1">
      <c r="R345" s="598"/>
      <c r="S345" s="598"/>
    </row>
    <row r="346" ht="15.75" customHeight="1">
      <c r="R346" s="598"/>
      <c r="S346" s="598"/>
    </row>
    <row r="347" ht="15.75" customHeight="1">
      <c r="R347" s="598"/>
      <c r="S347" s="598"/>
    </row>
    <row r="348" ht="15.75" customHeight="1">
      <c r="R348" s="598"/>
      <c r="S348" s="598"/>
    </row>
    <row r="349" ht="15.75" customHeight="1">
      <c r="R349" s="598"/>
      <c r="S349" s="598"/>
    </row>
    <row r="350" ht="15.75" customHeight="1">
      <c r="R350" s="598"/>
      <c r="S350" s="598"/>
    </row>
    <row r="351" ht="15.75" customHeight="1">
      <c r="R351" s="598"/>
      <c r="S351" s="598"/>
    </row>
    <row r="352" ht="15.75" customHeight="1">
      <c r="R352" s="598"/>
      <c r="S352" s="598"/>
    </row>
    <row r="353" ht="15.75" customHeight="1">
      <c r="R353" s="598"/>
      <c r="S353" s="598"/>
    </row>
    <row r="354" ht="15.75" customHeight="1">
      <c r="R354" s="598"/>
      <c r="S354" s="598"/>
    </row>
    <row r="355" ht="15.75" customHeight="1">
      <c r="R355" s="598"/>
      <c r="S355" s="598"/>
    </row>
    <row r="356" ht="15.75" customHeight="1">
      <c r="R356" s="598"/>
      <c r="S356" s="598"/>
    </row>
    <row r="357" ht="15.75" customHeight="1">
      <c r="R357" s="598"/>
      <c r="S357" s="598"/>
    </row>
    <row r="358" ht="15.75" customHeight="1">
      <c r="R358" s="598"/>
      <c r="S358" s="598"/>
    </row>
    <row r="359" ht="15.75" customHeight="1">
      <c r="R359" s="598"/>
      <c r="S359" s="598"/>
    </row>
    <row r="360" ht="15.75" customHeight="1">
      <c r="R360" s="598"/>
      <c r="S360" s="598"/>
    </row>
    <row r="361" ht="15.75" customHeight="1">
      <c r="R361" s="598"/>
      <c r="S361" s="598"/>
    </row>
    <row r="362" ht="15.75" customHeight="1">
      <c r="R362" s="598"/>
      <c r="S362" s="598"/>
    </row>
    <row r="363" ht="15.75" customHeight="1">
      <c r="R363" s="598"/>
      <c r="S363" s="598"/>
    </row>
    <row r="364" ht="15.75" customHeight="1">
      <c r="R364" s="598"/>
      <c r="S364" s="598"/>
    </row>
    <row r="365" ht="15.75" customHeight="1">
      <c r="R365" s="598"/>
      <c r="S365" s="598"/>
    </row>
    <row r="366" ht="15.75" customHeight="1">
      <c r="R366" s="598"/>
      <c r="S366" s="598"/>
    </row>
    <row r="367" ht="15.75" customHeight="1">
      <c r="R367" s="598"/>
      <c r="S367" s="598"/>
    </row>
    <row r="368" ht="15.75" customHeight="1">
      <c r="R368" s="598"/>
      <c r="S368" s="598"/>
    </row>
    <row r="369" ht="15.75" customHeight="1">
      <c r="R369" s="598"/>
      <c r="S369" s="598"/>
    </row>
    <row r="370" ht="15.75" customHeight="1">
      <c r="R370" s="598"/>
      <c r="S370" s="598"/>
    </row>
    <row r="371" ht="15.75" customHeight="1">
      <c r="R371" s="598"/>
      <c r="S371" s="598"/>
    </row>
    <row r="372" ht="15.75" customHeight="1">
      <c r="R372" s="598"/>
      <c r="S372" s="598"/>
    </row>
    <row r="373" ht="15.75" customHeight="1">
      <c r="R373" s="598"/>
      <c r="S373" s="598"/>
    </row>
    <row r="374" ht="15.75" customHeight="1">
      <c r="R374" s="598"/>
      <c r="S374" s="598"/>
    </row>
    <row r="375" ht="15.75" customHeight="1">
      <c r="R375" s="598"/>
      <c r="S375" s="598"/>
    </row>
    <row r="376" ht="15.75" customHeight="1">
      <c r="R376" s="598"/>
      <c r="S376" s="598"/>
    </row>
    <row r="377" ht="15.75" customHeight="1">
      <c r="R377" s="598"/>
      <c r="S377" s="598"/>
    </row>
    <row r="378" ht="15.75" customHeight="1">
      <c r="R378" s="598"/>
      <c r="S378" s="598"/>
    </row>
    <row r="379" ht="15.75" customHeight="1">
      <c r="R379" s="598"/>
      <c r="S379" s="598"/>
    </row>
    <row r="380" ht="15.75" customHeight="1">
      <c r="R380" s="598"/>
      <c r="S380" s="598"/>
    </row>
    <row r="381" ht="15.75" customHeight="1">
      <c r="R381" s="598"/>
      <c r="S381" s="598"/>
    </row>
    <row r="382" ht="15.75" customHeight="1">
      <c r="R382" s="598"/>
      <c r="S382" s="598"/>
    </row>
    <row r="383" ht="15.75" customHeight="1">
      <c r="R383" s="598"/>
      <c r="S383" s="598"/>
    </row>
    <row r="384" ht="15.75" customHeight="1">
      <c r="R384" s="598"/>
      <c r="S384" s="598"/>
    </row>
    <row r="385" ht="15.75" customHeight="1">
      <c r="R385" s="598"/>
      <c r="S385" s="598"/>
    </row>
    <row r="386" ht="15.75" customHeight="1">
      <c r="R386" s="598"/>
      <c r="S386" s="598"/>
    </row>
    <row r="387" ht="15.75" customHeight="1">
      <c r="R387" s="598"/>
      <c r="S387" s="598"/>
    </row>
    <row r="388" ht="15.75" customHeight="1">
      <c r="R388" s="598"/>
      <c r="S388" s="598"/>
    </row>
    <row r="389" ht="15.75" customHeight="1">
      <c r="R389" s="598"/>
      <c r="S389" s="598"/>
    </row>
    <row r="390" ht="15.75" customHeight="1">
      <c r="R390" s="598"/>
      <c r="S390" s="598"/>
    </row>
    <row r="391" ht="15.75" customHeight="1">
      <c r="R391" s="598"/>
      <c r="S391" s="598"/>
    </row>
    <row r="392" ht="15.75" customHeight="1">
      <c r="R392" s="598"/>
      <c r="S392" s="598"/>
    </row>
    <row r="393" ht="15.75" customHeight="1">
      <c r="R393" s="598"/>
      <c r="S393" s="598"/>
    </row>
    <row r="394" ht="15.75" customHeight="1">
      <c r="R394" s="598"/>
      <c r="S394" s="598"/>
    </row>
    <row r="395" ht="15.75" customHeight="1">
      <c r="R395" s="598"/>
      <c r="S395" s="598"/>
    </row>
    <row r="396" ht="15.75" customHeight="1">
      <c r="R396" s="598"/>
      <c r="S396" s="598"/>
    </row>
    <row r="397" ht="15.75" customHeight="1">
      <c r="R397" s="598"/>
      <c r="S397" s="598"/>
    </row>
    <row r="398" ht="15.75" customHeight="1">
      <c r="R398" s="598"/>
      <c r="S398" s="598"/>
    </row>
    <row r="399" ht="15.75" customHeight="1">
      <c r="R399" s="598"/>
      <c r="S399" s="598"/>
    </row>
    <row r="400" ht="15.75" customHeight="1">
      <c r="R400" s="598"/>
      <c r="S400" s="598"/>
    </row>
    <row r="401" ht="15.75" customHeight="1">
      <c r="R401" s="598"/>
      <c r="S401" s="598"/>
    </row>
    <row r="402" ht="15.75" customHeight="1">
      <c r="R402" s="598"/>
      <c r="S402" s="598"/>
    </row>
    <row r="403" ht="15.75" customHeight="1">
      <c r="R403" s="598"/>
      <c r="S403" s="598"/>
    </row>
    <row r="404" ht="15.75" customHeight="1">
      <c r="R404" s="598"/>
      <c r="S404" s="598"/>
    </row>
    <row r="405" ht="15.75" customHeight="1">
      <c r="R405" s="598"/>
      <c r="S405" s="598"/>
    </row>
    <row r="406" ht="15.75" customHeight="1">
      <c r="R406" s="598"/>
      <c r="S406" s="598"/>
    </row>
    <row r="407" ht="15.75" customHeight="1">
      <c r="R407" s="598"/>
      <c r="S407" s="598"/>
    </row>
    <row r="408" ht="15.75" customHeight="1">
      <c r="R408" s="598"/>
      <c r="S408" s="598"/>
    </row>
    <row r="409" ht="15.75" customHeight="1">
      <c r="R409" s="598"/>
      <c r="S409" s="598"/>
    </row>
    <row r="410" ht="15.75" customHeight="1">
      <c r="R410" s="598"/>
      <c r="S410" s="598"/>
    </row>
    <row r="411" ht="15.75" customHeight="1">
      <c r="R411" s="598"/>
      <c r="S411" s="598"/>
    </row>
    <row r="412" ht="15.75" customHeight="1">
      <c r="R412" s="598"/>
      <c r="S412" s="598"/>
    </row>
    <row r="413" ht="15.75" customHeight="1">
      <c r="R413" s="598"/>
      <c r="S413" s="598"/>
    </row>
    <row r="414" ht="15.75" customHeight="1">
      <c r="R414" s="598"/>
      <c r="S414" s="598"/>
    </row>
    <row r="415" ht="15.75" customHeight="1">
      <c r="R415" s="598"/>
      <c r="S415" s="598"/>
    </row>
    <row r="416" ht="15.75" customHeight="1">
      <c r="R416" s="598"/>
      <c r="S416" s="598"/>
    </row>
    <row r="417" ht="15.75" customHeight="1">
      <c r="R417" s="598"/>
      <c r="S417" s="598"/>
    </row>
    <row r="418" ht="15.75" customHeight="1">
      <c r="R418" s="598"/>
      <c r="S418" s="598"/>
    </row>
    <row r="419" ht="15.75" customHeight="1">
      <c r="R419" s="598"/>
      <c r="S419" s="598"/>
    </row>
    <row r="420" ht="15.75" customHeight="1">
      <c r="R420" s="598"/>
      <c r="S420" s="598"/>
    </row>
    <row r="421" ht="15.75" customHeight="1">
      <c r="R421" s="598"/>
      <c r="S421" s="598"/>
    </row>
    <row r="422" ht="15.75" customHeight="1">
      <c r="R422" s="598"/>
      <c r="S422" s="598"/>
    </row>
    <row r="423" ht="15.75" customHeight="1">
      <c r="R423" s="598"/>
      <c r="S423" s="598"/>
    </row>
    <row r="424" ht="15.75" customHeight="1">
      <c r="R424" s="598"/>
      <c r="S424" s="598"/>
    </row>
    <row r="425" ht="15.75" customHeight="1">
      <c r="R425" s="598"/>
      <c r="S425" s="598"/>
    </row>
    <row r="426" ht="15.75" customHeight="1">
      <c r="R426" s="598"/>
      <c r="S426" s="598"/>
    </row>
    <row r="427" ht="15.75" customHeight="1">
      <c r="R427" s="598"/>
      <c r="S427" s="598"/>
    </row>
    <row r="428" ht="15.75" customHeight="1">
      <c r="R428" s="598"/>
      <c r="S428" s="598"/>
    </row>
    <row r="429" ht="15.75" customHeight="1">
      <c r="R429" s="598"/>
      <c r="S429" s="598"/>
    </row>
    <row r="430" ht="15.75" customHeight="1">
      <c r="R430" s="598"/>
      <c r="S430" s="598"/>
    </row>
    <row r="431" ht="15.75" customHeight="1">
      <c r="R431" s="598"/>
      <c r="S431" s="598"/>
    </row>
    <row r="432" ht="15.75" customHeight="1">
      <c r="R432" s="598"/>
      <c r="S432" s="598"/>
    </row>
    <row r="433" ht="15.75" customHeight="1">
      <c r="R433" s="598"/>
      <c r="S433" s="598"/>
    </row>
    <row r="434" ht="15.75" customHeight="1">
      <c r="R434" s="598"/>
      <c r="S434" s="598"/>
    </row>
    <row r="435" ht="15.75" customHeight="1">
      <c r="R435" s="598"/>
      <c r="S435" s="598"/>
    </row>
    <row r="436" ht="15.75" customHeight="1">
      <c r="R436" s="598"/>
      <c r="S436" s="598"/>
    </row>
    <row r="437" ht="15.75" customHeight="1">
      <c r="R437" s="598"/>
      <c r="S437" s="598"/>
    </row>
    <row r="438" ht="15.75" customHeight="1">
      <c r="R438" s="598"/>
      <c r="S438" s="598"/>
    </row>
    <row r="439" ht="15.75" customHeight="1">
      <c r="R439" s="598"/>
      <c r="S439" s="598"/>
    </row>
    <row r="440" ht="15.75" customHeight="1">
      <c r="R440" s="598"/>
      <c r="S440" s="598"/>
    </row>
    <row r="441" ht="15.75" customHeight="1">
      <c r="R441" s="598"/>
      <c r="S441" s="598"/>
    </row>
    <row r="442" ht="15.75" customHeight="1">
      <c r="R442" s="598"/>
      <c r="S442" s="598"/>
    </row>
    <row r="443" ht="15.75" customHeight="1">
      <c r="R443" s="598"/>
      <c r="S443" s="598"/>
    </row>
    <row r="444" ht="15.75" customHeight="1">
      <c r="R444" s="598"/>
      <c r="S444" s="598"/>
    </row>
    <row r="445" ht="15.75" customHeight="1">
      <c r="R445" s="598"/>
      <c r="S445" s="598"/>
    </row>
    <row r="446" ht="15.75" customHeight="1">
      <c r="R446" s="598"/>
      <c r="S446" s="598"/>
    </row>
    <row r="447" ht="15.75" customHeight="1">
      <c r="R447" s="598"/>
      <c r="S447" s="598"/>
    </row>
    <row r="448" ht="15.75" customHeight="1">
      <c r="R448" s="598"/>
      <c r="S448" s="598"/>
    </row>
    <row r="449" ht="15.75" customHeight="1">
      <c r="R449" s="598"/>
      <c r="S449" s="598"/>
    </row>
    <row r="450" ht="15.75" customHeight="1">
      <c r="R450" s="598"/>
      <c r="S450" s="598"/>
    </row>
    <row r="451" ht="15.75" customHeight="1">
      <c r="R451" s="598"/>
      <c r="S451" s="598"/>
    </row>
    <row r="452" ht="15.75" customHeight="1">
      <c r="R452" s="598"/>
      <c r="S452" s="598"/>
    </row>
    <row r="453" ht="15.75" customHeight="1">
      <c r="R453" s="598"/>
      <c r="S453" s="598"/>
    </row>
    <row r="454" ht="15.75" customHeight="1">
      <c r="R454" s="598"/>
      <c r="S454" s="598"/>
    </row>
    <row r="455" ht="15.75" customHeight="1">
      <c r="R455" s="598"/>
      <c r="S455" s="598"/>
    </row>
    <row r="456" ht="15.75" customHeight="1">
      <c r="R456" s="598"/>
      <c r="S456" s="598"/>
    </row>
    <row r="457" ht="15.75" customHeight="1">
      <c r="R457" s="598"/>
      <c r="S457" s="598"/>
    </row>
    <row r="458" ht="15.75" customHeight="1">
      <c r="R458" s="598"/>
      <c r="S458" s="598"/>
    </row>
    <row r="459" ht="15.75" customHeight="1">
      <c r="R459" s="598"/>
      <c r="S459" s="598"/>
    </row>
    <row r="460" ht="15.75" customHeight="1">
      <c r="R460" s="598"/>
      <c r="S460" s="598"/>
    </row>
    <row r="461" ht="15.75" customHeight="1">
      <c r="R461" s="598"/>
      <c r="S461" s="598"/>
    </row>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Z$461">
    <sortState ref="A2:Z461">
      <sortCondition descending="1" ref="F2:F461"/>
    </sortState>
  </autoFilter>
  <customSheetViews>
    <customSheetView guid="{00B2829D-B7E0-4616-9A59-3B9A6276FFD8}" filter="1" showAutoFilter="1">
      <autoFilter ref="$A$2:$Z$330">
        <sortState ref="A2:Z330">
          <sortCondition descending="1" ref="F2:F330"/>
        </sortState>
      </autoFilter>
      <extLst>
        <ext uri="GoogleSheetsCustomDataVersion1">
          <go:sheetsCustomData xmlns:go="http://customooxmlschemas.google.com/" filterViewId="1041650380"/>
        </ext>
      </extLst>
    </customSheetView>
    <customSheetView guid="{A68C8BD8-0AC8-4474-A1AC-D148C94E75F1}" filter="1" showAutoFilter="1">
      <autoFilter ref="$A$2:$Z$330">
        <sortState ref="A2:Z330">
          <sortCondition descending="1" ref="F2:F330"/>
        </sortState>
      </autoFilter>
      <extLst>
        <ext uri="GoogleSheetsCustomDataVersion1">
          <go:sheetsCustomData xmlns:go="http://customooxmlschemas.google.com/" filterViewId="1078185822"/>
        </ext>
      </extLst>
    </customSheetView>
    <customSheetView guid="{20EEC496-0D08-4E73-A8E0-60C165BF345B}" filter="1" showAutoFilter="1">
      <autoFilter ref="$A$2:$Z$330"/>
      <extLst>
        <ext uri="GoogleSheetsCustomDataVersion1">
          <go:sheetsCustomData xmlns:go="http://customooxmlschemas.google.com/" filterViewId="1272219349"/>
        </ext>
      </extLst>
    </customSheetView>
    <customSheetView guid="{95BBA70E-041C-4252-8140-8C60EDD1FE61}" filter="1" showAutoFilter="1">
      <autoFilter ref="$A$2:$Z$330">
        <sortState ref="A2:Z330">
          <sortCondition descending="1" ref="F2:F330"/>
        </sortState>
      </autoFilter>
      <extLst>
        <ext uri="GoogleSheetsCustomDataVersion1">
          <go:sheetsCustomData xmlns:go="http://customooxmlschemas.google.com/" filterViewId="148992800"/>
        </ext>
      </extLst>
    </customSheetView>
    <customSheetView guid="{D323515A-3346-4B3A-AC6E-D498D2CE12A3}" filter="1" showAutoFilter="1">
      <autoFilter ref="$A$2:$Z$330">
        <sortState ref="A2:Z330">
          <sortCondition descending="1" ref="F2:F330"/>
        </sortState>
      </autoFilter>
      <extLst>
        <ext uri="GoogleSheetsCustomDataVersion1">
          <go:sheetsCustomData xmlns:go="http://customooxmlschemas.google.com/" filterViewId="649096136"/>
        </ext>
      </extLst>
    </customSheetView>
    <customSheetView guid="{7D5F711D-5A8F-448B-80F8-7ED115B7D700}" filter="1" showAutoFilter="1">
      <autoFilter ref="$A$2:$Z$330">
        <sortState ref="A2:Z330">
          <sortCondition descending="1" ref="F2:F330"/>
        </sortState>
      </autoFilter>
      <extLst>
        <ext uri="GoogleSheetsCustomDataVersion1">
          <go:sheetsCustomData xmlns:go="http://customooxmlschemas.google.com/" filterViewId="964298969"/>
        </ext>
      </extLst>
    </customSheetView>
  </customSheetViews>
  <conditionalFormatting sqref="A2:Z2">
    <cfRule type="notContainsBlanks" dxfId="0" priority="1">
      <formula>LEN(TRIM(A2))&gt;0</formula>
    </cfRule>
  </conditionalFormatting>
  <dataValidations>
    <dataValidation type="list" allowBlank="1" showErrorMessage="1" sqref="S3:S461">
      <formula1>"GC,GHC,OTHER"</formula1>
    </dataValidation>
    <dataValidation type="list" allowBlank="1" showErrorMessage="1" sqref="R3:R461">
      <formula1>"Pt Agel,Sina"</formula1>
    </dataValidation>
  </dataValidations>
  <hyperlinks>
    <hyperlink r:id="rId1" ref="A32"/>
    <hyperlink r:id="rId2" ref="A33"/>
    <hyperlink r:id="rId3" ref="A34"/>
    <hyperlink r:id="rId4" ref="A35"/>
    <hyperlink r:id="rId5" ref="A36"/>
    <hyperlink r:id="rId6" ref="A37"/>
    <hyperlink r:id="rId7" ref="A38"/>
    <hyperlink r:id="rId8" ref="A39"/>
    <hyperlink r:id="rId9" ref="A40"/>
    <hyperlink r:id="rId10" ref="A41"/>
    <hyperlink r:id="rId11" ref="A42"/>
    <hyperlink r:id="rId12" ref="A43"/>
    <hyperlink r:id="rId13" ref="A44"/>
    <hyperlink r:id="rId14" ref="A45"/>
    <hyperlink r:id="rId15" ref="A46"/>
    <hyperlink r:id="rId16" ref="A47"/>
    <hyperlink r:id="rId17" ref="A48"/>
    <hyperlink r:id="rId18" ref="A49"/>
    <hyperlink r:id="rId19" ref="A50"/>
    <hyperlink r:id="rId20" ref="A51"/>
    <hyperlink r:id="rId21" ref="A52"/>
    <hyperlink r:id="rId22" ref="A53"/>
    <hyperlink r:id="rId23" ref="A54"/>
    <hyperlink r:id="rId24" ref="A55"/>
    <hyperlink r:id="rId25" ref="A56"/>
    <hyperlink r:id="rId26" ref="A57"/>
    <hyperlink r:id="rId27" ref="A58"/>
    <hyperlink r:id="rId28" ref="A59"/>
    <hyperlink r:id="rId29" ref="A60"/>
    <hyperlink r:id="rId30" ref="A61"/>
    <hyperlink r:id="rId31" ref="A62"/>
    <hyperlink r:id="rId32" ref="A63"/>
    <hyperlink r:id="rId33" ref="A64"/>
    <hyperlink r:id="rId34" ref="A65"/>
    <hyperlink r:id="rId35" ref="A66"/>
    <hyperlink r:id="rId36" ref="A67"/>
    <hyperlink r:id="rId37" ref="A68"/>
    <hyperlink r:id="rId38" ref="A69"/>
    <hyperlink r:id="rId39" ref="A70"/>
    <hyperlink r:id="rId40" ref="A71"/>
    <hyperlink r:id="rId41" ref="A72"/>
    <hyperlink r:id="rId42" ref="A73"/>
    <hyperlink r:id="rId43" ref="A74"/>
    <hyperlink r:id="rId44" ref="A75"/>
    <hyperlink r:id="rId45" ref="A76"/>
    <hyperlink r:id="rId46" ref="A77"/>
    <hyperlink r:id="rId47" ref="A78"/>
    <hyperlink r:id="rId48" ref="A79"/>
    <hyperlink r:id="rId49" ref="A80"/>
    <hyperlink r:id="rId50" ref="A81"/>
    <hyperlink r:id="rId51" ref="A82"/>
    <hyperlink r:id="rId52" ref="A83"/>
    <hyperlink r:id="rId53" ref="A84"/>
    <hyperlink r:id="rId54" ref="A85"/>
    <hyperlink r:id="rId55" ref="A86"/>
    <hyperlink r:id="rId56" ref="A87"/>
    <hyperlink r:id="rId57" ref="A88"/>
    <hyperlink r:id="rId58" ref="A89"/>
    <hyperlink r:id="rId59" ref="A90"/>
    <hyperlink r:id="rId60" ref="A91"/>
    <hyperlink r:id="rId61" ref="A92"/>
    <hyperlink r:id="rId62" ref="A93"/>
    <hyperlink r:id="rId63" ref="A94"/>
    <hyperlink r:id="rId64" ref="A95"/>
    <hyperlink r:id="rId65" ref="A96"/>
    <hyperlink r:id="rId66" ref="A97"/>
    <hyperlink r:id="rId67" ref="A98"/>
    <hyperlink r:id="rId68" ref="A99"/>
    <hyperlink r:id="rId69" ref="A100"/>
    <hyperlink r:id="rId70" ref="A101"/>
    <hyperlink r:id="rId71" ref="A102"/>
    <hyperlink r:id="rId72" ref="A103"/>
    <hyperlink r:id="rId73" ref="A104"/>
    <hyperlink r:id="rId74" ref="A105"/>
    <hyperlink r:id="rId75" ref="A106"/>
    <hyperlink r:id="rId76" ref="A107"/>
    <hyperlink r:id="rId77" ref="A108"/>
    <hyperlink r:id="rId78" ref="A109"/>
    <hyperlink r:id="rId79" ref="A110"/>
    <hyperlink r:id="rId80" ref="A111"/>
    <hyperlink r:id="rId81" ref="A112"/>
    <hyperlink r:id="rId82" ref="A113"/>
    <hyperlink r:id="rId83" ref="A114"/>
    <hyperlink r:id="rId84" ref="A115"/>
    <hyperlink r:id="rId85" ref="A116"/>
    <hyperlink r:id="rId86" ref="A117"/>
    <hyperlink r:id="rId87" ref="A118"/>
    <hyperlink r:id="rId88" ref="A119"/>
    <hyperlink r:id="rId89" ref="A120"/>
    <hyperlink r:id="rId90" ref="A121"/>
    <hyperlink r:id="rId91" ref="A122"/>
    <hyperlink r:id="rId92" ref="A123"/>
    <hyperlink r:id="rId93" ref="A124"/>
    <hyperlink r:id="rId94" ref="A125"/>
    <hyperlink r:id="rId95" ref="A126"/>
    <hyperlink r:id="rId96" ref="A127"/>
    <hyperlink r:id="rId97" ref="A128"/>
    <hyperlink r:id="rId98" ref="A129"/>
    <hyperlink r:id="rId99" ref="A130"/>
  </hyperlinks>
  <printOptions gridLines="1" horizontalCentered="1"/>
  <pageMargins bottom="0.75" footer="0.0" header="0.0" left="0.7" right="0.7" top="0.75"/>
  <pageSetup fitToHeight="0" cellComments="atEnd" orientation="landscape" pageOrder="overThenDown"/>
  <drawing r:id="rId100"/>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29"/>
    <col customWidth="1" min="2" max="2" width="14.14"/>
    <col customWidth="1" min="3" max="3" width="12.43"/>
    <col customWidth="1" min="4" max="4" width="19.43"/>
    <col customWidth="1" min="5" max="5" width="48.86"/>
    <col customWidth="1" min="6" max="6" width="13.29"/>
    <col customWidth="1" min="7" max="7" width="13.86"/>
    <col customWidth="1" min="8" max="8" width="14.0"/>
    <col customWidth="1" min="9" max="9" width="59.71"/>
    <col customWidth="1" min="10" max="10" width="13.43"/>
    <col customWidth="1" min="11" max="11" width="13.71"/>
    <col customWidth="1" min="12" max="12" width="49.43"/>
    <col customWidth="1" min="14" max="14" width="16.29"/>
  </cols>
  <sheetData>
    <row r="1" ht="40.5" customHeight="1">
      <c r="A1" s="353"/>
      <c r="B1" s="555" t="s">
        <v>5513</v>
      </c>
      <c r="C1" s="556"/>
      <c r="D1" s="269" t="s">
        <v>5514</v>
      </c>
      <c r="E1" s="557" t="s">
        <v>1674</v>
      </c>
      <c r="F1" s="557" t="s">
        <v>4630</v>
      </c>
      <c r="G1" s="558" t="s">
        <v>2106</v>
      </c>
      <c r="H1" s="557" t="s">
        <v>2107</v>
      </c>
      <c r="I1" s="558"/>
      <c r="J1" s="557"/>
      <c r="K1" s="557"/>
      <c r="L1" s="557"/>
      <c r="M1" s="559"/>
      <c r="N1" s="560"/>
      <c r="O1" s="560"/>
      <c r="P1" s="560"/>
      <c r="Q1" s="560"/>
      <c r="R1" s="560"/>
      <c r="S1" s="560"/>
      <c r="T1" s="560"/>
      <c r="U1" s="560"/>
      <c r="V1" s="560"/>
      <c r="W1" s="560"/>
      <c r="X1" s="560"/>
      <c r="Y1" s="560"/>
    </row>
    <row r="2" ht="39.0" customHeight="1">
      <c r="A2" s="277" t="s">
        <v>2108</v>
      </c>
      <c r="B2" s="522" t="s">
        <v>5515</v>
      </c>
      <c r="C2" s="277" t="s">
        <v>2110</v>
      </c>
      <c r="D2" s="277" t="s">
        <v>10</v>
      </c>
      <c r="E2" s="277" t="s">
        <v>11</v>
      </c>
      <c r="F2" s="277" t="s">
        <v>10132</v>
      </c>
      <c r="G2" s="280" t="s">
        <v>12</v>
      </c>
      <c r="H2" s="277" t="s">
        <v>10133</v>
      </c>
      <c r="I2" s="277" t="s">
        <v>9159</v>
      </c>
      <c r="J2" s="522" t="s">
        <v>2111</v>
      </c>
      <c r="K2" s="522" t="s">
        <v>2112</v>
      </c>
      <c r="L2" s="277" t="s">
        <v>2113</v>
      </c>
      <c r="M2" s="277" t="s">
        <v>9160</v>
      </c>
      <c r="N2" s="277" t="s">
        <v>9162</v>
      </c>
      <c r="O2" s="560"/>
      <c r="P2" s="560"/>
      <c r="Q2" s="560"/>
      <c r="R2" s="560"/>
      <c r="S2" s="560"/>
      <c r="T2" s="560"/>
      <c r="U2" s="560"/>
      <c r="V2" s="560"/>
      <c r="W2" s="560"/>
      <c r="X2" s="560"/>
      <c r="Y2" s="560"/>
    </row>
    <row r="3" ht="81.0" customHeight="1">
      <c r="A3" s="285">
        <v>8.600003695E9</v>
      </c>
      <c r="B3" s="299" t="s">
        <v>715</v>
      </c>
      <c r="C3" s="285" t="s">
        <v>2140</v>
      </c>
      <c r="D3" s="367" t="s">
        <v>12278</v>
      </c>
      <c r="E3" s="290" t="s">
        <v>8183</v>
      </c>
      <c r="F3" s="529">
        <v>46153.0</v>
      </c>
      <c r="G3" s="377" t="s">
        <v>4916</v>
      </c>
      <c r="H3" s="377" t="s">
        <v>4916</v>
      </c>
      <c r="I3" s="377" t="s">
        <v>12279</v>
      </c>
      <c r="J3" s="561"/>
      <c r="K3" s="561"/>
      <c r="L3" s="290" t="s">
        <v>12280</v>
      </c>
      <c r="M3" s="286">
        <f t="shared" ref="M3:M33" si="1">WEEKNUM(F3)</f>
        <v>20</v>
      </c>
      <c r="N3" s="299" t="s">
        <v>11486</v>
      </c>
      <c r="O3" s="342"/>
      <c r="P3" s="342"/>
      <c r="Q3" s="342"/>
      <c r="R3" s="342"/>
      <c r="S3" s="342"/>
      <c r="T3" s="342"/>
      <c r="U3" s="342"/>
      <c r="V3" s="342"/>
      <c r="W3" s="342"/>
      <c r="X3" s="342"/>
      <c r="Y3" s="342"/>
    </row>
    <row r="4" ht="81.0" customHeight="1">
      <c r="A4" s="299">
        <v>8.600003703E9</v>
      </c>
      <c r="B4" s="599" t="s">
        <v>21</v>
      </c>
      <c r="C4" s="285" t="s">
        <v>11499</v>
      </c>
      <c r="D4" s="285" t="s">
        <v>12281</v>
      </c>
      <c r="E4" s="290" t="s">
        <v>12282</v>
      </c>
      <c r="F4" s="288">
        <v>46148.0</v>
      </c>
      <c r="G4" s="377" t="s">
        <v>4916</v>
      </c>
      <c r="H4" s="377" t="s">
        <v>4916</v>
      </c>
      <c r="I4" s="377" t="s">
        <v>12283</v>
      </c>
      <c r="J4" s="573" t="s">
        <v>4916</v>
      </c>
      <c r="K4" s="296"/>
      <c r="L4" s="290" t="s">
        <v>12284</v>
      </c>
      <c r="M4" s="286">
        <f t="shared" si="1"/>
        <v>19</v>
      </c>
      <c r="N4" s="299" t="s">
        <v>11486</v>
      </c>
      <c r="O4" s="342"/>
      <c r="P4" s="342"/>
      <c r="Q4" s="342"/>
      <c r="R4" s="342"/>
      <c r="S4" s="342"/>
      <c r="T4" s="342"/>
      <c r="U4" s="342"/>
      <c r="V4" s="342"/>
      <c r="W4" s="342"/>
      <c r="X4" s="342"/>
      <c r="Y4" s="342"/>
    </row>
    <row r="5" ht="81.0" customHeight="1">
      <c r="A5" s="299">
        <v>8.600003698E9</v>
      </c>
      <c r="B5" s="599" t="s">
        <v>21</v>
      </c>
      <c r="C5" s="285" t="s">
        <v>2149</v>
      </c>
      <c r="D5" s="285" t="s">
        <v>12285</v>
      </c>
      <c r="E5" s="290" t="s">
        <v>8183</v>
      </c>
      <c r="F5" s="529">
        <v>46146.0</v>
      </c>
      <c r="G5" s="377" t="s">
        <v>4916</v>
      </c>
      <c r="H5" s="377" t="s">
        <v>4916</v>
      </c>
      <c r="I5" s="377" t="s">
        <v>12286</v>
      </c>
      <c r="J5" s="573" t="s">
        <v>4916</v>
      </c>
      <c r="K5" s="296"/>
      <c r="L5" s="290" t="s">
        <v>12287</v>
      </c>
      <c r="M5" s="286">
        <f t="shared" si="1"/>
        <v>19</v>
      </c>
      <c r="N5" s="299" t="s">
        <v>11486</v>
      </c>
      <c r="O5" s="342"/>
      <c r="P5" s="342"/>
      <c r="Q5" s="342"/>
      <c r="R5" s="342"/>
      <c r="S5" s="342"/>
      <c r="T5" s="342"/>
      <c r="U5" s="342"/>
      <c r="V5" s="342"/>
      <c r="W5" s="342"/>
      <c r="X5" s="342"/>
      <c r="Y5" s="342"/>
    </row>
    <row r="6" ht="81.0" customHeight="1">
      <c r="A6" s="285">
        <v>8.600003697E9</v>
      </c>
      <c r="B6" s="299" t="s">
        <v>25</v>
      </c>
      <c r="C6" s="285" t="s">
        <v>2241</v>
      </c>
      <c r="D6" s="285" t="s">
        <v>12288</v>
      </c>
      <c r="E6" s="290" t="s">
        <v>5968</v>
      </c>
      <c r="F6" s="529">
        <v>46142.0</v>
      </c>
      <c r="G6" s="377" t="s">
        <v>4916</v>
      </c>
      <c r="H6" s="377" t="s">
        <v>4916</v>
      </c>
      <c r="I6" s="377" t="s">
        <v>12289</v>
      </c>
      <c r="J6" s="561"/>
      <c r="K6" s="561"/>
      <c r="L6" s="290" t="s">
        <v>12290</v>
      </c>
      <c r="M6" s="286">
        <f t="shared" si="1"/>
        <v>18</v>
      </c>
      <c r="N6" s="299" t="s">
        <v>11486</v>
      </c>
      <c r="O6" s="342"/>
      <c r="P6" s="342"/>
      <c r="Q6" s="342"/>
      <c r="R6" s="342"/>
      <c r="S6" s="342"/>
      <c r="T6" s="342"/>
      <c r="U6" s="342"/>
      <c r="V6" s="342"/>
      <c r="W6" s="342"/>
      <c r="X6" s="342"/>
      <c r="Y6" s="342"/>
    </row>
    <row r="7" ht="81.0" customHeight="1">
      <c r="A7" s="530">
        <v>8.600003681E9</v>
      </c>
      <c r="B7" s="299" t="s">
        <v>715</v>
      </c>
      <c r="C7" s="285" t="s">
        <v>5783</v>
      </c>
      <c r="D7" s="367" t="s">
        <v>12291</v>
      </c>
      <c r="E7" s="290" t="s">
        <v>8280</v>
      </c>
      <c r="F7" s="288">
        <v>46139.0</v>
      </c>
      <c r="G7" s="377" t="s">
        <v>4916</v>
      </c>
      <c r="H7" s="377" t="s">
        <v>4916</v>
      </c>
      <c r="I7" s="377" t="s">
        <v>12292</v>
      </c>
      <c r="J7" s="561"/>
      <c r="K7" s="561"/>
      <c r="L7" s="290" t="s">
        <v>12293</v>
      </c>
      <c r="M7" s="286">
        <f t="shared" si="1"/>
        <v>18</v>
      </c>
      <c r="N7" s="299" t="s">
        <v>11486</v>
      </c>
      <c r="O7" s="342"/>
      <c r="P7" s="342"/>
      <c r="Q7" s="342"/>
      <c r="R7" s="342"/>
      <c r="S7" s="342"/>
      <c r="T7" s="342"/>
      <c r="U7" s="342"/>
      <c r="V7" s="342"/>
      <c r="W7" s="342"/>
      <c r="X7" s="342"/>
      <c r="Y7" s="342"/>
    </row>
    <row r="8" ht="81.0" customHeight="1">
      <c r="A8" s="370">
        <v>8.600003686E9</v>
      </c>
      <c r="B8" s="599" t="s">
        <v>21</v>
      </c>
      <c r="C8" s="285" t="s">
        <v>2343</v>
      </c>
      <c r="D8" s="285" t="s">
        <v>12294</v>
      </c>
      <c r="E8" s="290" t="s">
        <v>6004</v>
      </c>
      <c r="F8" s="288">
        <v>46127.0</v>
      </c>
      <c r="G8" s="533">
        <v>46121.0</v>
      </c>
      <c r="H8" s="528" t="s">
        <v>4916</v>
      </c>
      <c r="I8" s="528" t="s">
        <v>12295</v>
      </c>
      <c r="J8" s="573" t="s">
        <v>4916</v>
      </c>
      <c r="K8" s="296"/>
      <c r="L8" s="290" t="s">
        <v>12296</v>
      </c>
      <c r="M8" s="286">
        <f t="shared" si="1"/>
        <v>16</v>
      </c>
      <c r="N8" s="299" t="s">
        <v>11486</v>
      </c>
      <c r="O8" s="342"/>
      <c r="P8" s="342"/>
      <c r="Q8" s="342"/>
      <c r="R8" s="342"/>
      <c r="S8" s="342"/>
      <c r="T8" s="342"/>
      <c r="U8" s="342"/>
      <c r="V8" s="342"/>
      <c r="W8" s="342"/>
      <c r="X8" s="342"/>
      <c r="Y8" s="342"/>
    </row>
    <row r="9" ht="81.0" customHeight="1">
      <c r="A9" s="370">
        <v>8.600003649E9</v>
      </c>
      <c r="B9" s="299" t="s">
        <v>715</v>
      </c>
      <c r="C9" s="285" t="s">
        <v>2156</v>
      </c>
      <c r="D9" s="367" t="s">
        <v>12297</v>
      </c>
      <c r="E9" s="290" t="s">
        <v>11574</v>
      </c>
      <c r="F9" s="288">
        <v>46122.0</v>
      </c>
      <c r="G9" s="288">
        <v>46117.0</v>
      </c>
      <c r="H9" s="377" t="s">
        <v>4916</v>
      </c>
      <c r="I9" s="594" t="s">
        <v>12298</v>
      </c>
      <c r="J9" s="561"/>
      <c r="K9" s="561"/>
      <c r="L9" s="290" t="s">
        <v>12299</v>
      </c>
      <c r="M9" s="286">
        <f t="shared" si="1"/>
        <v>15</v>
      </c>
      <c r="N9" s="299" t="s">
        <v>11486</v>
      </c>
      <c r="O9" s="342"/>
      <c r="P9" s="342"/>
      <c r="Q9" s="342"/>
      <c r="R9" s="342"/>
      <c r="S9" s="342"/>
      <c r="T9" s="342"/>
      <c r="U9" s="342"/>
      <c r="V9" s="342"/>
      <c r="W9" s="342"/>
      <c r="X9" s="342"/>
      <c r="Y9" s="342"/>
    </row>
    <row r="10" ht="81.0" customHeight="1">
      <c r="A10" s="370">
        <v>8.600003692E9</v>
      </c>
      <c r="B10" s="299" t="s">
        <v>25</v>
      </c>
      <c r="C10" s="285" t="s">
        <v>12300</v>
      </c>
      <c r="D10" s="285" t="s">
        <v>12301</v>
      </c>
      <c r="E10" s="290" t="s">
        <v>8233</v>
      </c>
      <c r="F10" s="288">
        <v>46120.0</v>
      </c>
      <c r="G10" s="288">
        <v>46114.0</v>
      </c>
      <c r="H10" s="377" t="s">
        <v>4916</v>
      </c>
      <c r="I10" s="594" t="s">
        <v>12302</v>
      </c>
      <c r="J10" s="561"/>
      <c r="K10" s="561"/>
      <c r="L10" s="290" t="s">
        <v>12303</v>
      </c>
      <c r="M10" s="286">
        <f t="shared" si="1"/>
        <v>15</v>
      </c>
      <c r="N10" s="299" t="s">
        <v>11486</v>
      </c>
      <c r="O10" s="342"/>
      <c r="P10" s="342"/>
      <c r="Q10" s="342"/>
      <c r="R10" s="342"/>
      <c r="S10" s="342"/>
      <c r="T10" s="342"/>
      <c r="U10" s="342"/>
      <c r="V10" s="342"/>
      <c r="W10" s="342"/>
      <c r="X10" s="342"/>
      <c r="Y10" s="342"/>
    </row>
    <row r="11" ht="81.0" customHeight="1">
      <c r="A11" s="370">
        <v>8.600003647E9</v>
      </c>
      <c r="B11" s="299" t="s">
        <v>25</v>
      </c>
      <c r="C11" s="285" t="s">
        <v>2286</v>
      </c>
      <c r="D11" s="285" t="s">
        <v>12304</v>
      </c>
      <c r="E11" s="290" t="s">
        <v>5968</v>
      </c>
      <c r="F11" s="288">
        <v>46120.0</v>
      </c>
      <c r="G11" s="288">
        <v>46117.0</v>
      </c>
      <c r="H11" s="377" t="s">
        <v>4916</v>
      </c>
      <c r="I11" s="594" t="s">
        <v>12305</v>
      </c>
      <c r="J11" s="561"/>
      <c r="K11" s="561"/>
      <c r="L11" s="290" t="s">
        <v>12306</v>
      </c>
      <c r="M11" s="286">
        <f t="shared" si="1"/>
        <v>15</v>
      </c>
      <c r="N11" s="299" t="s">
        <v>11486</v>
      </c>
      <c r="O11" s="342"/>
      <c r="P11" s="342"/>
      <c r="Q11" s="342"/>
      <c r="R11" s="342"/>
      <c r="S11" s="342"/>
      <c r="T11" s="342"/>
      <c r="U11" s="342"/>
      <c r="V11" s="342"/>
      <c r="W11" s="342"/>
      <c r="X11" s="342"/>
      <c r="Y11" s="342"/>
    </row>
    <row r="12" ht="81.0" customHeight="1">
      <c r="A12" s="370">
        <v>8.600003638E9</v>
      </c>
      <c r="B12" s="299" t="s">
        <v>21</v>
      </c>
      <c r="C12" s="285" t="s">
        <v>11828</v>
      </c>
      <c r="D12" s="285" t="s">
        <v>12307</v>
      </c>
      <c r="E12" s="290" t="s">
        <v>8183</v>
      </c>
      <c r="F12" s="288">
        <v>46112.0</v>
      </c>
      <c r="G12" s="288">
        <v>46107.0</v>
      </c>
      <c r="H12" s="288">
        <v>46114.0</v>
      </c>
      <c r="I12" s="285" t="s">
        <v>12308</v>
      </c>
      <c r="J12" s="573">
        <v>5650071.0</v>
      </c>
      <c r="K12" s="296"/>
      <c r="L12" s="290" t="s">
        <v>12309</v>
      </c>
      <c r="M12" s="286">
        <f t="shared" si="1"/>
        <v>14</v>
      </c>
      <c r="N12" s="299" t="s">
        <v>11486</v>
      </c>
      <c r="O12" s="342"/>
      <c r="P12" s="342"/>
      <c r="Q12" s="342"/>
      <c r="R12" s="342"/>
      <c r="S12" s="342"/>
      <c r="T12" s="342"/>
      <c r="U12" s="342"/>
      <c r="V12" s="342"/>
      <c r="W12" s="342"/>
      <c r="X12" s="342"/>
      <c r="Y12" s="342"/>
    </row>
    <row r="13" ht="81.0" customHeight="1">
      <c r="A13" s="370">
        <v>8.600003639E9</v>
      </c>
      <c r="B13" s="299" t="s">
        <v>715</v>
      </c>
      <c r="C13" s="285" t="s">
        <v>2188</v>
      </c>
      <c r="D13" s="285" t="s">
        <v>12310</v>
      </c>
      <c r="E13" s="290" t="s">
        <v>5552</v>
      </c>
      <c r="F13" s="288">
        <v>46103.0</v>
      </c>
      <c r="G13" s="288">
        <v>46098.0</v>
      </c>
      <c r="H13" s="288">
        <v>46107.0</v>
      </c>
      <c r="I13" s="285" t="s">
        <v>12311</v>
      </c>
      <c r="J13" s="561"/>
      <c r="K13" s="561"/>
      <c r="L13" s="290" t="s">
        <v>12312</v>
      </c>
      <c r="M13" s="286">
        <f t="shared" si="1"/>
        <v>13</v>
      </c>
      <c r="N13" s="299" t="s">
        <v>11486</v>
      </c>
      <c r="O13" s="342"/>
      <c r="P13" s="342"/>
      <c r="Q13" s="342"/>
      <c r="R13" s="342"/>
      <c r="S13" s="342"/>
      <c r="T13" s="342"/>
      <c r="U13" s="342"/>
      <c r="V13" s="342"/>
      <c r="W13" s="342"/>
      <c r="X13" s="342"/>
      <c r="Y13" s="342"/>
    </row>
    <row r="14" ht="81.0" customHeight="1">
      <c r="A14" s="370">
        <v>8.600003623E9</v>
      </c>
      <c r="B14" s="299" t="s">
        <v>715</v>
      </c>
      <c r="C14" s="285" t="s">
        <v>12313</v>
      </c>
      <c r="D14" s="285" t="s">
        <v>12314</v>
      </c>
      <c r="E14" s="290" t="s">
        <v>8183</v>
      </c>
      <c r="F14" s="288">
        <v>46095.0</v>
      </c>
      <c r="G14" s="288">
        <v>46090.0</v>
      </c>
      <c r="H14" s="288">
        <v>46100.0</v>
      </c>
      <c r="I14" s="285" t="s">
        <v>12315</v>
      </c>
      <c r="J14" s="561"/>
      <c r="K14" s="561"/>
      <c r="L14" s="290" t="s">
        <v>12316</v>
      </c>
      <c r="M14" s="286">
        <f t="shared" si="1"/>
        <v>11</v>
      </c>
      <c r="N14" s="299" t="s">
        <v>11486</v>
      </c>
      <c r="O14" s="342"/>
      <c r="P14" s="342"/>
      <c r="Q14" s="342"/>
      <c r="R14" s="342"/>
      <c r="S14" s="342"/>
      <c r="T14" s="342"/>
      <c r="U14" s="342"/>
      <c r="V14" s="342"/>
      <c r="W14" s="342"/>
      <c r="X14" s="342"/>
      <c r="Y14" s="342"/>
    </row>
    <row r="15" ht="81.0" customHeight="1">
      <c r="A15" s="370">
        <v>8.600003645E9</v>
      </c>
      <c r="B15" s="299" t="s">
        <v>21</v>
      </c>
      <c r="C15" s="285" t="s">
        <v>2176</v>
      </c>
      <c r="D15" s="285" t="s">
        <v>12317</v>
      </c>
      <c r="E15" s="290" t="s">
        <v>8190</v>
      </c>
      <c r="F15" s="288">
        <v>46093.0</v>
      </c>
      <c r="G15" s="288">
        <v>46090.0</v>
      </c>
      <c r="H15" s="288">
        <v>46094.0</v>
      </c>
      <c r="I15" s="288">
        <v>46094.0</v>
      </c>
      <c r="J15" s="285" t="s">
        <v>12318</v>
      </c>
      <c r="K15" s="285" t="s">
        <v>9178</v>
      </c>
      <c r="L15" s="290" t="s">
        <v>12319</v>
      </c>
      <c r="M15" s="286">
        <f t="shared" si="1"/>
        <v>11</v>
      </c>
      <c r="N15" s="299" t="s">
        <v>11486</v>
      </c>
      <c r="O15" s="342"/>
      <c r="P15" s="342"/>
      <c r="Q15" s="342"/>
      <c r="R15" s="342"/>
      <c r="S15" s="342"/>
      <c r="T15" s="342"/>
      <c r="U15" s="342"/>
      <c r="V15" s="342"/>
      <c r="W15" s="342"/>
      <c r="X15" s="342"/>
      <c r="Y15" s="342"/>
    </row>
    <row r="16" ht="81.0" customHeight="1">
      <c r="A16" s="370">
        <v>8.60000362E9</v>
      </c>
      <c r="B16" s="299" t="s">
        <v>25</v>
      </c>
      <c r="C16" s="285" t="s">
        <v>12320</v>
      </c>
      <c r="D16" s="285" t="s">
        <v>12321</v>
      </c>
      <c r="E16" s="290" t="s">
        <v>12322</v>
      </c>
      <c r="F16" s="288">
        <v>46092.0</v>
      </c>
      <c r="G16" s="288">
        <v>46090.0</v>
      </c>
      <c r="H16" s="288">
        <v>46099.0</v>
      </c>
      <c r="I16" s="285" t="s">
        <v>12323</v>
      </c>
      <c r="J16" s="561"/>
      <c r="K16" s="561"/>
      <c r="L16" s="290" t="s">
        <v>12324</v>
      </c>
      <c r="M16" s="286">
        <f t="shared" si="1"/>
        <v>11</v>
      </c>
      <c r="N16" s="299" t="s">
        <v>11486</v>
      </c>
      <c r="O16" s="342"/>
      <c r="P16" s="342"/>
      <c r="Q16" s="342"/>
      <c r="R16" s="342"/>
      <c r="S16" s="342"/>
      <c r="T16" s="342"/>
      <c r="U16" s="342"/>
      <c r="V16" s="342"/>
      <c r="W16" s="342"/>
      <c r="X16" s="342"/>
      <c r="Y16" s="342"/>
    </row>
    <row r="17" ht="79.5" customHeight="1">
      <c r="A17" s="370">
        <v>8.600003643E9</v>
      </c>
      <c r="B17" s="299" t="s">
        <v>25</v>
      </c>
      <c r="C17" s="285" t="s">
        <v>2253</v>
      </c>
      <c r="D17" s="285" t="s">
        <v>12325</v>
      </c>
      <c r="E17" s="290" t="s">
        <v>6027</v>
      </c>
      <c r="F17" s="288">
        <v>46085.0</v>
      </c>
      <c r="G17" s="288">
        <v>46083.0</v>
      </c>
      <c r="H17" s="288">
        <v>46091.0</v>
      </c>
      <c r="I17" s="288">
        <v>46091.0</v>
      </c>
      <c r="J17" s="561"/>
      <c r="K17" s="561"/>
      <c r="L17" s="290" t="s">
        <v>12326</v>
      </c>
      <c r="M17" s="286">
        <f t="shared" si="1"/>
        <v>10</v>
      </c>
      <c r="N17" s="299" t="s">
        <v>11486</v>
      </c>
      <c r="O17" s="342"/>
      <c r="P17" s="342"/>
      <c r="Q17" s="342"/>
      <c r="R17" s="342"/>
      <c r="S17" s="342"/>
      <c r="T17" s="342"/>
      <c r="U17" s="342"/>
      <c r="V17" s="342"/>
      <c r="W17" s="342"/>
      <c r="X17" s="342"/>
      <c r="Y17" s="342"/>
    </row>
    <row r="18" ht="81.0" customHeight="1">
      <c r="A18" s="370">
        <v>8.600003603E9</v>
      </c>
      <c r="B18" s="299" t="s">
        <v>715</v>
      </c>
      <c r="C18" s="285" t="s">
        <v>12327</v>
      </c>
      <c r="D18" s="285" t="s">
        <v>12328</v>
      </c>
      <c r="E18" s="290" t="s">
        <v>5926</v>
      </c>
      <c r="F18" s="288">
        <v>46082.0</v>
      </c>
      <c r="G18" s="288">
        <v>46080.0</v>
      </c>
      <c r="H18" s="288">
        <v>46087.0</v>
      </c>
      <c r="I18" s="285" t="s">
        <v>12329</v>
      </c>
      <c r="J18" s="561"/>
      <c r="K18" s="561"/>
      <c r="L18" s="290" t="s">
        <v>12330</v>
      </c>
      <c r="M18" s="286">
        <f t="shared" si="1"/>
        <v>10</v>
      </c>
      <c r="N18" s="299" t="s">
        <v>11486</v>
      </c>
      <c r="O18" s="342"/>
      <c r="P18" s="342"/>
      <c r="Q18" s="342"/>
      <c r="R18" s="342"/>
      <c r="S18" s="342"/>
      <c r="T18" s="342"/>
      <c r="U18" s="342"/>
      <c r="V18" s="342"/>
      <c r="W18" s="342"/>
      <c r="X18" s="342"/>
      <c r="Y18" s="342"/>
    </row>
    <row r="19" ht="81.0" customHeight="1">
      <c r="A19" s="370">
        <v>8.600003601E9</v>
      </c>
      <c r="B19" s="299" t="s">
        <v>25</v>
      </c>
      <c r="C19" s="285" t="s">
        <v>12331</v>
      </c>
      <c r="D19" s="285" t="s">
        <v>12332</v>
      </c>
      <c r="E19" s="290" t="s">
        <v>5959</v>
      </c>
      <c r="F19" s="288">
        <v>46074.0</v>
      </c>
      <c r="G19" s="288">
        <v>46071.0</v>
      </c>
      <c r="H19" s="288">
        <v>46084.0</v>
      </c>
      <c r="I19" s="288">
        <v>46084.0</v>
      </c>
      <c r="J19" s="561"/>
      <c r="K19" s="561"/>
      <c r="L19" s="290" t="s">
        <v>12333</v>
      </c>
      <c r="M19" s="286">
        <f t="shared" si="1"/>
        <v>8</v>
      </c>
      <c r="N19" s="299" t="s">
        <v>11486</v>
      </c>
      <c r="O19" s="342"/>
      <c r="P19" s="342"/>
      <c r="Q19" s="342"/>
      <c r="R19" s="342"/>
      <c r="S19" s="342"/>
      <c r="T19" s="342"/>
      <c r="U19" s="342"/>
      <c r="V19" s="342"/>
      <c r="W19" s="342"/>
      <c r="X19" s="342"/>
      <c r="Y19" s="342"/>
    </row>
    <row r="20" ht="81.0" customHeight="1">
      <c r="A20" s="370">
        <v>8.600003602E9</v>
      </c>
      <c r="B20" s="299" t="s">
        <v>715</v>
      </c>
      <c r="C20" s="285" t="s">
        <v>11515</v>
      </c>
      <c r="D20" s="367" t="s">
        <v>12334</v>
      </c>
      <c r="E20" s="290" t="s">
        <v>5959</v>
      </c>
      <c r="F20" s="288">
        <v>46072.0</v>
      </c>
      <c r="G20" s="288">
        <v>46080.0</v>
      </c>
      <c r="H20" s="288">
        <v>46080.0</v>
      </c>
      <c r="I20" s="288">
        <v>46080.0</v>
      </c>
      <c r="J20" s="561"/>
      <c r="K20" s="561"/>
      <c r="L20" s="290" t="s">
        <v>12335</v>
      </c>
      <c r="M20" s="286">
        <f t="shared" si="1"/>
        <v>8</v>
      </c>
      <c r="N20" s="299" t="s">
        <v>11486</v>
      </c>
      <c r="O20" s="342"/>
      <c r="P20" s="342"/>
      <c r="Q20" s="342"/>
      <c r="R20" s="342"/>
      <c r="S20" s="342"/>
      <c r="T20" s="342"/>
      <c r="U20" s="342"/>
      <c r="V20" s="342"/>
      <c r="W20" s="342"/>
      <c r="X20" s="342"/>
      <c r="Y20" s="342"/>
    </row>
    <row r="21" ht="81.0" customHeight="1">
      <c r="A21" s="370">
        <v>8.600003617E9</v>
      </c>
      <c r="B21" s="299" t="s">
        <v>21</v>
      </c>
      <c r="C21" s="285" t="s">
        <v>2193</v>
      </c>
      <c r="D21" s="285" t="s">
        <v>12336</v>
      </c>
      <c r="E21" s="290" t="s">
        <v>5552</v>
      </c>
      <c r="F21" s="288">
        <v>46068.0</v>
      </c>
      <c r="G21" s="288">
        <v>46064.0</v>
      </c>
      <c r="H21" s="288">
        <v>46072.0</v>
      </c>
      <c r="I21" s="288">
        <v>46072.0</v>
      </c>
      <c r="J21" s="573">
        <v>5647051.0</v>
      </c>
      <c r="K21" s="296"/>
      <c r="L21" s="290" t="s">
        <v>12337</v>
      </c>
      <c r="M21" s="286">
        <f t="shared" si="1"/>
        <v>8</v>
      </c>
      <c r="N21" s="299" t="s">
        <v>11486</v>
      </c>
      <c r="O21" s="342"/>
      <c r="P21" s="342"/>
      <c r="Q21" s="342"/>
      <c r="R21" s="342"/>
      <c r="S21" s="342"/>
      <c r="T21" s="342"/>
      <c r="U21" s="342"/>
      <c r="V21" s="342"/>
      <c r="W21" s="342"/>
      <c r="X21" s="342"/>
      <c r="Y21" s="342"/>
    </row>
    <row r="22" ht="105.0" customHeight="1">
      <c r="A22" s="370">
        <v>8.60000358E9</v>
      </c>
      <c r="B22" s="299" t="s">
        <v>715</v>
      </c>
      <c r="C22" s="285" t="s">
        <v>12338</v>
      </c>
      <c r="D22" s="285" t="s">
        <v>12339</v>
      </c>
      <c r="E22" s="290" t="s">
        <v>11483</v>
      </c>
      <c r="F22" s="288">
        <v>46064.0</v>
      </c>
      <c r="G22" s="288">
        <v>46057.0</v>
      </c>
      <c r="H22" s="288">
        <v>46071.0</v>
      </c>
      <c r="I22" s="285" t="s">
        <v>12340</v>
      </c>
      <c r="J22" s="561"/>
      <c r="K22" s="561"/>
      <c r="L22" s="290" t="s">
        <v>12341</v>
      </c>
      <c r="M22" s="286">
        <f t="shared" si="1"/>
        <v>7</v>
      </c>
      <c r="N22" s="299" t="s">
        <v>11486</v>
      </c>
      <c r="O22" s="342"/>
      <c r="P22" s="342"/>
      <c r="Q22" s="342"/>
      <c r="R22" s="342"/>
      <c r="S22" s="342"/>
      <c r="T22" s="342"/>
      <c r="U22" s="342"/>
      <c r="V22" s="342"/>
      <c r="W22" s="342"/>
      <c r="X22" s="342"/>
      <c r="Y22" s="342"/>
    </row>
    <row r="23" ht="81.0" customHeight="1">
      <c r="A23" s="370">
        <v>8.500000364E9</v>
      </c>
      <c r="B23" s="299" t="s">
        <v>715</v>
      </c>
      <c r="C23" s="285" t="s">
        <v>2127</v>
      </c>
      <c r="D23" s="285" t="s">
        <v>12342</v>
      </c>
      <c r="E23" s="290" t="s">
        <v>5528</v>
      </c>
      <c r="F23" s="288">
        <v>46064.0</v>
      </c>
      <c r="G23" s="288">
        <v>46057.0</v>
      </c>
      <c r="H23" s="288">
        <v>46070.0</v>
      </c>
      <c r="I23" s="288">
        <v>46070.0</v>
      </c>
      <c r="J23" s="561"/>
      <c r="K23" s="561"/>
      <c r="L23" s="290" t="s">
        <v>12343</v>
      </c>
      <c r="M23" s="286">
        <f t="shared" si="1"/>
        <v>7</v>
      </c>
      <c r="N23" s="299" t="s">
        <v>11486</v>
      </c>
      <c r="O23" s="342"/>
      <c r="P23" s="342"/>
      <c r="Q23" s="342"/>
      <c r="R23" s="342"/>
      <c r="S23" s="342"/>
      <c r="T23" s="342"/>
      <c r="U23" s="342"/>
      <c r="V23" s="342"/>
      <c r="W23" s="342"/>
      <c r="X23" s="342"/>
      <c r="Y23" s="342"/>
    </row>
    <row r="24" ht="81.0" customHeight="1">
      <c r="A24" s="370">
        <v>8.600003618E9</v>
      </c>
      <c r="B24" s="299" t="s">
        <v>25</v>
      </c>
      <c r="C24" s="285" t="s">
        <v>2338</v>
      </c>
      <c r="D24" s="285" t="s">
        <v>12344</v>
      </c>
      <c r="E24" s="290" t="s">
        <v>6027</v>
      </c>
      <c r="F24" s="288">
        <v>46061.0</v>
      </c>
      <c r="G24" s="288">
        <v>46055.0</v>
      </c>
      <c r="H24" s="288">
        <v>46066.0</v>
      </c>
      <c r="I24" s="285" t="s">
        <v>12345</v>
      </c>
      <c r="J24" s="561"/>
      <c r="K24" s="561"/>
      <c r="L24" s="290" t="s">
        <v>12346</v>
      </c>
      <c r="M24" s="286">
        <f t="shared" si="1"/>
        <v>7</v>
      </c>
      <c r="N24" s="299" t="s">
        <v>11486</v>
      </c>
      <c r="O24" s="342"/>
      <c r="P24" s="342"/>
      <c r="Q24" s="342"/>
      <c r="R24" s="342"/>
      <c r="S24" s="342"/>
      <c r="T24" s="342"/>
      <c r="U24" s="342"/>
      <c r="V24" s="342"/>
      <c r="W24" s="342"/>
      <c r="X24" s="342"/>
      <c r="Y24" s="342"/>
    </row>
    <row r="25" ht="81.0" customHeight="1">
      <c r="A25" s="370">
        <v>8.600003572E9</v>
      </c>
      <c r="B25" s="299" t="s">
        <v>25</v>
      </c>
      <c r="C25" s="285" t="s">
        <v>2293</v>
      </c>
      <c r="D25" s="285" t="s">
        <v>12347</v>
      </c>
      <c r="E25" s="290" t="s">
        <v>12348</v>
      </c>
      <c r="F25" s="288">
        <v>46050.0</v>
      </c>
      <c r="G25" s="288">
        <v>46048.0</v>
      </c>
      <c r="H25" s="288">
        <v>46056.0</v>
      </c>
      <c r="I25" s="288">
        <v>46056.0</v>
      </c>
      <c r="J25" s="561"/>
      <c r="K25" s="561"/>
      <c r="L25" s="290" t="s">
        <v>12349</v>
      </c>
      <c r="M25" s="286">
        <f t="shared" si="1"/>
        <v>5</v>
      </c>
      <c r="N25" s="299" t="s">
        <v>11486</v>
      </c>
      <c r="O25" s="342"/>
      <c r="P25" s="342"/>
      <c r="Q25" s="342"/>
      <c r="R25" s="342"/>
      <c r="S25" s="342"/>
      <c r="T25" s="342"/>
      <c r="U25" s="342"/>
      <c r="V25" s="342"/>
      <c r="W25" s="342"/>
      <c r="X25" s="342"/>
      <c r="Y25" s="342"/>
    </row>
    <row r="26" ht="81.0" customHeight="1">
      <c r="A26" s="370">
        <v>8.600003558E9</v>
      </c>
      <c r="B26" s="299" t="s">
        <v>715</v>
      </c>
      <c r="C26" s="285" t="s">
        <v>2114</v>
      </c>
      <c r="D26" s="285" t="s">
        <v>12350</v>
      </c>
      <c r="E26" s="290" t="s">
        <v>5552</v>
      </c>
      <c r="F26" s="288">
        <v>46044.0</v>
      </c>
      <c r="G26" s="288">
        <v>46037.0</v>
      </c>
      <c r="H26" s="288">
        <v>46050.0</v>
      </c>
      <c r="I26" s="288">
        <v>46050.0</v>
      </c>
      <c r="J26" s="561"/>
      <c r="K26" s="561"/>
      <c r="L26" s="290" t="s">
        <v>12351</v>
      </c>
      <c r="M26" s="286">
        <f t="shared" si="1"/>
        <v>4</v>
      </c>
      <c r="N26" s="299" t="s">
        <v>11486</v>
      </c>
      <c r="O26" s="342"/>
      <c r="P26" s="342"/>
      <c r="Q26" s="342"/>
      <c r="R26" s="342"/>
      <c r="S26" s="342"/>
      <c r="T26" s="342"/>
      <c r="U26" s="342"/>
      <c r="V26" s="342"/>
      <c r="W26" s="342"/>
      <c r="X26" s="342"/>
      <c r="Y26" s="342"/>
    </row>
    <row r="27" ht="81.0" customHeight="1">
      <c r="A27" s="370">
        <v>8.600003575E9</v>
      </c>
      <c r="B27" s="299" t="s">
        <v>21</v>
      </c>
      <c r="C27" s="285" t="s">
        <v>5783</v>
      </c>
      <c r="D27" s="285" t="s">
        <v>12352</v>
      </c>
      <c r="E27" s="290" t="s">
        <v>8190</v>
      </c>
      <c r="F27" s="288">
        <v>46041.0</v>
      </c>
      <c r="G27" s="288">
        <v>46036.0</v>
      </c>
      <c r="H27" s="288">
        <v>46045.0</v>
      </c>
      <c r="I27" s="288">
        <v>46045.0</v>
      </c>
      <c r="J27" s="285" t="s">
        <v>12353</v>
      </c>
      <c r="K27" s="285" t="s">
        <v>9178</v>
      </c>
      <c r="L27" s="290" t="s">
        <v>12354</v>
      </c>
      <c r="M27" s="286">
        <f t="shared" si="1"/>
        <v>4</v>
      </c>
      <c r="N27" s="299" t="s">
        <v>11486</v>
      </c>
      <c r="O27" s="342"/>
      <c r="P27" s="342"/>
      <c r="Q27" s="342"/>
      <c r="R27" s="342"/>
      <c r="S27" s="342"/>
      <c r="T27" s="342"/>
      <c r="U27" s="342"/>
      <c r="V27" s="342"/>
      <c r="W27" s="342"/>
      <c r="X27" s="342"/>
      <c r="Y27" s="342"/>
    </row>
    <row r="28" ht="81.0" customHeight="1">
      <c r="A28" s="370">
        <v>8.600003576E9</v>
      </c>
      <c r="B28" s="299" t="s">
        <v>21</v>
      </c>
      <c r="C28" s="285" t="s">
        <v>2237</v>
      </c>
      <c r="D28" s="285" t="s">
        <v>12355</v>
      </c>
      <c r="E28" s="290" t="s">
        <v>5612</v>
      </c>
      <c r="F28" s="288">
        <v>46041.0</v>
      </c>
      <c r="G28" s="288">
        <v>46036.0</v>
      </c>
      <c r="H28" s="288">
        <v>46044.0</v>
      </c>
      <c r="I28" s="288">
        <v>46044.0</v>
      </c>
      <c r="J28" s="573">
        <v>5644683.0</v>
      </c>
      <c r="K28" s="296"/>
      <c r="L28" s="290" t="s">
        <v>12356</v>
      </c>
      <c r="M28" s="286">
        <f t="shared" si="1"/>
        <v>4</v>
      </c>
      <c r="N28" s="299" t="s">
        <v>11486</v>
      </c>
      <c r="O28" s="342"/>
      <c r="P28" s="342"/>
      <c r="Q28" s="342"/>
      <c r="R28" s="342"/>
      <c r="S28" s="342"/>
      <c r="T28" s="342"/>
      <c r="U28" s="342"/>
      <c r="V28" s="342"/>
      <c r="W28" s="342"/>
      <c r="X28" s="342"/>
      <c r="Y28" s="342"/>
    </row>
    <row r="29" ht="81.0" customHeight="1">
      <c r="A29" s="370">
        <v>8.600003571E9</v>
      </c>
      <c r="B29" s="299" t="s">
        <v>25</v>
      </c>
      <c r="C29" s="285" t="s">
        <v>12331</v>
      </c>
      <c r="D29" s="285" t="s">
        <v>12357</v>
      </c>
      <c r="E29" s="290" t="s">
        <v>5959</v>
      </c>
      <c r="F29" s="288">
        <v>46041.0</v>
      </c>
      <c r="G29" s="288">
        <v>46038.0</v>
      </c>
      <c r="H29" s="288">
        <v>46051.0</v>
      </c>
      <c r="I29" s="288">
        <v>46052.0</v>
      </c>
      <c r="J29" s="561"/>
      <c r="K29" s="561"/>
      <c r="L29" s="290" t="s">
        <v>12358</v>
      </c>
      <c r="M29" s="286">
        <f t="shared" si="1"/>
        <v>4</v>
      </c>
      <c r="N29" s="299" t="s">
        <v>11486</v>
      </c>
      <c r="O29" s="342"/>
      <c r="P29" s="342"/>
      <c r="Q29" s="342"/>
      <c r="R29" s="342"/>
      <c r="S29" s="342"/>
      <c r="T29" s="342"/>
      <c r="U29" s="342"/>
      <c r="V29" s="342"/>
      <c r="W29" s="342"/>
      <c r="X29" s="342"/>
      <c r="Y29" s="342"/>
    </row>
    <row r="30" ht="92.25" customHeight="1">
      <c r="A30" s="370">
        <v>8.600003552E9</v>
      </c>
      <c r="B30" s="299" t="s">
        <v>715</v>
      </c>
      <c r="C30" s="285" t="s">
        <v>12359</v>
      </c>
      <c r="D30" s="285" t="s">
        <v>12360</v>
      </c>
      <c r="E30" s="290" t="s">
        <v>11483</v>
      </c>
      <c r="F30" s="288">
        <v>46039.0</v>
      </c>
      <c r="G30" s="288">
        <v>46044.0</v>
      </c>
      <c r="H30" s="288">
        <v>46045.0</v>
      </c>
      <c r="I30" s="285" t="s">
        <v>12361</v>
      </c>
      <c r="J30" s="561"/>
      <c r="K30" s="561"/>
      <c r="L30" s="290" t="s">
        <v>12362</v>
      </c>
      <c r="M30" s="286">
        <f t="shared" si="1"/>
        <v>3</v>
      </c>
      <c r="N30" s="299" t="s">
        <v>11486</v>
      </c>
      <c r="O30" s="342"/>
      <c r="P30" s="342"/>
      <c r="Q30" s="342"/>
      <c r="R30" s="342"/>
      <c r="S30" s="342"/>
      <c r="T30" s="342"/>
      <c r="U30" s="342"/>
      <c r="V30" s="342"/>
      <c r="W30" s="342"/>
      <c r="X30" s="342"/>
      <c r="Y30" s="342"/>
    </row>
    <row r="31" ht="81.0" customHeight="1">
      <c r="A31" s="370">
        <v>8.600003564E9</v>
      </c>
      <c r="B31" s="299" t="s">
        <v>715</v>
      </c>
      <c r="C31" s="285" t="s">
        <v>11515</v>
      </c>
      <c r="D31" s="285" t="s">
        <v>12363</v>
      </c>
      <c r="E31" s="290" t="s">
        <v>5959</v>
      </c>
      <c r="F31" s="288">
        <v>46039.0</v>
      </c>
      <c r="G31" s="288">
        <v>46037.0</v>
      </c>
      <c r="H31" s="288">
        <v>46050.0</v>
      </c>
      <c r="I31" s="288">
        <v>46050.0</v>
      </c>
      <c r="J31" s="561"/>
      <c r="K31" s="561"/>
      <c r="L31" s="290" t="s">
        <v>12364</v>
      </c>
      <c r="M31" s="286">
        <f t="shared" si="1"/>
        <v>3</v>
      </c>
      <c r="N31" s="299" t="s">
        <v>11486</v>
      </c>
      <c r="O31" s="342"/>
      <c r="P31" s="342"/>
      <c r="Q31" s="342"/>
      <c r="R31" s="342"/>
      <c r="S31" s="342"/>
      <c r="T31" s="342"/>
      <c r="U31" s="342"/>
      <c r="V31" s="342"/>
      <c r="W31" s="342"/>
      <c r="X31" s="342"/>
      <c r="Y31" s="342"/>
    </row>
    <row r="32" ht="81.0" customHeight="1">
      <c r="A32" s="370">
        <v>8.500000363E9</v>
      </c>
      <c r="B32" s="299" t="s">
        <v>25</v>
      </c>
      <c r="C32" s="285" t="s">
        <v>2114</v>
      </c>
      <c r="D32" s="285" t="s">
        <v>12365</v>
      </c>
      <c r="E32" s="290" t="s">
        <v>8271</v>
      </c>
      <c r="F32" s="288">
        <v>46038.0</v>
      </c>
      <c r="G32" s="288">
        <v>46037.0</v>
      </c>
      <c r="H32" s="288">
        <v>46043.0</v>
      </c>
      <c r="I32" s="288">
        <v>46043.0</v>
      </c>
      <c r="J32" s="561"/>
      <c r="K32" s="561"/>
      <c r="L32" s="290" t="s">
        <v>12366</v>
      </c>
      <c r="M32" s="286">
        <f t="shared" si="1"/>
        <v>3</v>
      </c>
      <c r="N32" s="299" t="s">
        <v>11486</v>
      </c>
      <c r="O32" s="342"/>
      <c r="P32" s="342"/>
      <c r="Q32" s="342"/>
      <c r="R32" s="342"/>
      <c r="S32" s="342"/>
      <c r="T32" s="342"/>
      <c r="U32" s="342"/>
      <c r="V32" s="342"/>
      <c r="W32" s="342"/>
      <c r="X32" s="342"/>
      <c r="Y32" s="342"/>
    </row>
    <row r="33" ht="81.0" customHeight="1">
      <c r="A33" s="370">
        <v>8.600003568E9</v>
      </c>
      <c r="B33" s="299" t="s">
        <v>25</v>
      </c>
      <c r="C33" s="285" t="s">
        <v>2212</v>
      </c>
      <c r="D33" s="285" t="s">
        <v>12367</v>
      </c>
      <c r="E33" s="290" t="s">
        <v>6004</v>
      </c>
      <c r="F33" s="288">
        <v>46024.0</v>
      </c>
      <c r="G33" s="288">
        <v>46021.0</v>
      </c>
      <c r="H33" s="288">
        <v>46029.0</v>
      </c>
      <c r="I33" s="288">
        <v>46029.0</v>
      </c>
      <c r="J33" s="561"/>
      <c r="K33" s="561"/>
      <c r="L33" s="290" t="s">
        <v>12368</v>
      </c>
      <c r="M33" s="286">
        <f t="shared" si="1"/>
        <v>1</v>
      </c>
      <c r="N33" s="299" t="s">
        <v>11486</v>
      </c>
      <c r="O33" s="342"/>
      <c r="P33" s="342"/>
      <c r="Q33" s="342"/>
      <c r="R33" s="342"/>
      <c r="S33" s="342"/>
      <c r="T33" s="342"/>
      <c r="U33" s="342"/>
      <c r="V33" s="342"/>
      <c r="W33" s="342"/>
      <c r="X33" s="342"/>
      <c r="Y33" s="342"/>
    </row>
    <row r="34" ht="81.0" customHeight="1">
      <c r="A34" s="285"/>
      <c r="B34" s="285"/>
      <c r="C34" s="285"/>
      <c r="D34" s="285"/>
      <c r="E34" s="290"/>
      <c r="F34" s="288"/>
      <c r="G34" s="367"/>
      <c r="H34" s="367"/>
      <c r="I34" s="367"/>
      <c r="J34" s="561"/>
      <c r="K34" s="561"/>
      <c r="L34" s="290"/>
      <c r="M34" s="285"/>
      <c r="N34" s="285"/>
      <c r="O34" s="342"/>
      <c r="P34" s="342"/>
      <c r="Q34" s="342"/>
      <c r="R34" s="342"/>
      <c r="S34" s="342"/>
      <c r="T34" s="342"/>
      <c r="U34" s="342"/>
      <c r="V34" s="342"/>
      <c r="W34" s="342"/>
      <c r="X34" s="342"/>
      <c r="Y34" s="342"/>
    </row>
    <row r="35" ht="81.0" customHeight="1">
      <c r="A35" s="285"/>
      <c r="B35" s="285"/>
      <c r="C35" s="285"/>
      <c r="D35" s="367"/>
      <c r="E35" s="290"/>
      <c r="F35" s="288"/>
      <c r="G35" s="367"/>
      <c r="H35" s="367"/>
      <c r="I35" s="367"/>
      <c r="J35" s="561"/>
      <c r="K35" s="561"/>
      <c r="L35" s="290"/>
      <c r="M35" s="285"/>
      <c r="N35" s="285"/>
      <c r="O35" s="342"/>
      <c r="P35" s="342"/>
      <c r="Q35" s="342"/>
      <c r="R35" s="342"/>
      <c r="S35" s="342"/>
      <c r="T35" s="342"/>
      <c r="U35" s="342"/>
      <c r="V35" s="342"/>
      <c r="W35" s="342"/>
      <c r="X35" s="342"/>
      <c r="Y35" s="342"/>
    </row>
    <row r="36" ht="81.0" customHeight="1">
      <c r="A36" s="285"/>
      <c r="B36" s="285"/>
      <c r="C36" s="285"/>
      <c r="D36" s="367"/>
      <c r="E36" s="290"/>
      <c r="F36" s="288"/>
      <c r="G36" s="367"/>
      <c r="H36" s="367"/>
      <c r="I36" s="367"/>
      <c r="J36" s="561"/>
      <c r="K36" s="561"/>
      <c r="L36" s="290"/>
      <c r="M36" s="285"/>
      <c r="N36" s="285"/>
      <c r="O36" s="342"/>
      <c r="P36" s="342"/>
      <c r="Q36" s="342"/>
      <c r="R36" s="342"/>
      <c r="S36" s="342"/>
      <c r="T36" s="342"/>
      <c r="U36" s="342"/>
      <c r="V36" s="342"/>
      <c r="W36" s="342"/>
      <c r="X36" s="342"/>
      <c r="Y36" s="342"/>
    </row>
    <row r="37" ht="81.0" customHeight="1">
      <c r="A37" s="285"/>
      <c r="B37" s="285"/>
      <c r="C37" s="285"/>
      <c r="D37" s="285"/>
      <c r="E37" s="290"/>
      <c r="F37" s="288"/>
      <c r="G37" s="367"/>
      <c r="H37" s="367"/>
      <c r="I37" s="367"/>
      <c r="J37" s="561"/>
      <c r="K37" s="561"/>
      <c r="L37" s="290"/>
      <c r="M37" s="285"/>
      <c r="N37" s="285"/>
      <c r="O37" s="342"/>
      <c r="P37" s="342"/>
      <c r="Q37" s="342"/>
      <c r="R37" s="342"/>
      <c r="S37" s="342"/>
      <c r="T37" s="342"/>
      <c r="U37" s="342"/>
      <c r="V37" s="342"/>
      <c r="W37" s="342"/>
      <c r="X37" s="342"/>
      <c r="Y37" s="342"/>
    </row>
    <row r="38" ht="81.0" customHeight="1">
      <c r="A38" s="285"/>
      <c r="B38" s="285"/>
      <c r="C38" s="285"/>
      <c r="D38" s="367"/>
      <c r="E38" s="290"/>
      <c r="F38" s="288"/>
      <c r="G38" s="367"/>
      <c r="H38" s="367"/>
      <c r="I38" s="367"/>
      <c r="J38" s="561"/>
      <c r="K38" s="561"/>
      <c r="L38" s="290"/>
      <c r="M38" s="285"/>
      <c r="N38" s="285"/>
      <c r="O38" s="342"/>
      <c r="P38" s="342"/>
      <c r="Q38" s="342"/>
      <c r="R38" s="342"/>
      <c r="S38" s="342"/>
      <c r="T38" s="342"/>
      <c r="U38" s="342"/>
      <c r="V38" s="342"/>
      <c r="W38" s="342"/>
      <c r="X38" s="342"/>
      <c r="Y38" s="342"/>
    </row>
    <row r="39" ht="81.0" customHeight="1">
      <c r="A39" s="285"/>
      <c r="B39" s="285"/>
      <c r="C39" s="285"/>
      <c r="D39" s="285"/>
      <c r="E39" s="290"/>
      <c r="F39" s="288"/>
      <c r="G39" s="367"/>
      <c r="H39" s="367"/>
      <c r="I39" s="367"/>
      <c r="J39" s="285"/>
      <c r="K39" s="285"/>
      <c r="L39" s="290"/>
      <c r="M39" s="285"/>
      <c r="N39" s="285"/>
      <c r="O39" s="342"/>
      <c r="P39" s="342"/>
      <c r="Q39" s="342"/>
      <c r="R39" s="342"/>
      <c r="S39" s="342"/>
      <c r="T39" s="342"/>
      <c r="U39" s="342"/>
      <c r="V39" s="342"/>
      <c r="W39" s="342"/>
      <c r="X39" s="342"/>
      <c r="Y39" s="342"/>
    </row>
    <row r="40" ht="81.0" customHeight="1">
      <c r="A40" s="285"/>
      <c r="B40" s="285"/>
      <c r="C40" s="285"/>
      <c r="D40" s="367"/>
      <c r="E40" s="290"/>
      <c r="F40" s="288"/>
      <c r="G40" s="367"/>
      <c r="H40" s="367"/>
      <c r="I40" s="367"/>
      <c r="J40" s="561"/>
      <c r="K40" s="561"/>
      <c r="L40" s="290"/>
      <c r="M40" s="285"/>
      <c r="N40" s="285"/>
      <c r="O40" s="342"/>
      <c r="P40" s="342"/>
      <c r="Q40" s="342"/>
      <c r="R40" s="342"/>
      <c r="S40" s="342"/>
      <c r="T40" s="342"/>
      <c r="U40" s="342"/>
      <c r="V40" s="342"/>
      <c r="W40" s="342"/>
      <c r="X40" s="342"/>
      <c r="Y40" s="342"/>
    </row>
    <row r="41" ht="96.75" customHeight="1">
      <c r="A41" s="285"/>
      <c r="B41" s="285"/>
      <c r="C41" s="285"/>
      <c r="D41" s="367"/>
      <c r="E41" s="290"/>
      <c r="F41" s="288"/>
      <c r="G41" s="288"/>
      <c r="H41" s="367"/>
      <c r="I41" s="285"/>
      <c r="J41" s="561"/>
      <c r="K41" s="561"/>
      <c r="L41" s="290"/>
      <c r="M41" s="285"/>
      <c r="N41" s="285"/>
      <c r="O41" s="342"/>
      <c r="P41" s="342"/>
      <c r="Q41" s="342"/>
      <c r="R41" s="342"/>
      <c r="S41" s="342"/>
      <c r="T41" s="342"/>
      <c r="U41" s="342"/>
      <c r="V41" s="342"/>
      <c r="W41" s="342"/>
      <c r="X41" s="342"/>
      <c r="Y41" s="342"/>
    </row>
    <row r="42" ht="91.5" customHeight="1">
      <c r="A42" s="285"/>
      <c r="B42" s="285"/>
      <c r="C42" s="285"/>
      <c r="D42" s="285"/>
      <c r="E42" s="290"/>
      <c r="F42" s="288"/>
      <c r="G42" s="367"/>
      <c r="H42" s="367"/>
      <c r="I42" s="367"/>
      <c r="J42" s="285"/>
      <c r="K42" s="285"/>
      <c r="L42" s="290"/>
      <c r="M42" s="285"/>
      <c r="N42" s="285"/>
      <c r="O42" s="342"/>
      <c r="P42" s="342"/>
      <c r="Q42" s="342"/>
      <c r="R42" s="342"/>
      <c r="S42" s="342"/>
      <c r="T42" s="342"/>
      <c r="U42" s="342"/>
      <c r="V42" s="342"/>
      <c r="W42" s="342"/>
      <c r="X42" s="342"/>
      <c r="Y42" s="342"/>
    </row>
    <row r="43" ht="81.0" customHeight="1">
      <c r="A43" s="285"/>
      <c r="B43" s="285"/>
      <c r="C43" s="285"/>
      <c r="D43" s="285"/>
      <c r="E43" s="290"/>
      <c r="F43" s="288"/>
      <c r="G43" s="288"/>
      <c r="H43" s="288"/>
      <c r="I43" s="288"/>
      <c r="J43" s="561"/>
      <c r="K43" s="561"/>
      <c r="L43" s="290"/>
      <c r="M43" s="285"/>
      <c r="N43" s="285"/>
      <c r="O43" s="342"/>
      <c r="P43" s="342"/>
      <c r="Q43" s="342"/>
      <c r="R43" s="342"/>
      <c r="S43" s="342"/>
      <c r="T43" s="342"/>
      <c r="U43" s="342"/>
      <c r="V43" s="342"/>
      <c r="W43" s="342"/>
      <c r="X43" s="342"/>
      <c r="Y43" s="342"/>
    </row>
    <row r="44" ht="98.25" customHeight="1">
      <c r="A44" s="285"/>
      <c r="B44" s="285"/>
      <c r="C44" s="285"/>
      <c r="D44" s="285"/>
      <c r="E44" s="290"/>
      <c r="F44" s="288"/>
      <c r="G44" s="288"/>
      <c r="H44" s="288"/>
      <c r="I44" s="285"/>
      <c r="J44" s="561"/>
      <c r="K44" s="561"/>
      <c r="L44" s="290"/>
      <c r="M44" s="285"/>
      <c r="N44" s="285"/>
      <c r="O44" s="342"/>
      <c r="P44" s="342"/>
      <c r="Q44" s="342"/>
      <c r="R44" s="342"/>
      <c r="S44" s="342"/>
      <c r="T44" s="342"/>
      <c r="U44" s="342"/>
      <c r="V44" s="342"/>
      <c r="W44" s="342"/>
      <c r="X44" s="342"/>
      <c r="Y44" s="342"/>
    </row>
    <row r="45" ht="81.0" customHeight="1">
      <c r="A45" s="285"/>
      <c r="B45" s="285"/>
      <c r="C45" s="285"/>
      <c r="D45" s="285"/>
      <c r="E45" s="290"/>
      <c r="F45" s="288"/>
      <c r="G45" s="288"/>
      <c r="H45" s="288"/>
      <c r="I45" s="285"/>
      <c r="J45" s="285"/>
      <c r="K45" s="285"/>
      <c r="L45" s="290"/>
      <c r="M45" s="285"/>
      <c r="N45" s="285"/>
      <c r="O45" s="342"/>
      <c r="P45" s="342"/>
      <c r="Q45" s="342"/>
      <c r="R45" s="342"/>
      <c r="S45" s="342"/>
      <c r="T45" s="342"/>
      <c r="U45" s="342"/>
      <c r="V45" s="342"/>
      <c r="W45" s="342"/>
      <c r="X45" s="342"/>
      <c r="Y45" s="342"/>
    </row>
    <row r="46" ht="88.5" customHeight="1">
      <c r="A46" s="285"/>
      <c r="B46" s="285"/>
      <c r="C46" s="285"/>
      <c r="D46" s="285"/>
      <c r="E46" s="290"/>
      <c r="F46" s="288"/>
      <c r="G46" s="288"/>
      <c r="H46" s="288"/>
      <c r="I46" s="285"/>
      <c r="J46" s="561"/>
      <c r="K46" s="561"/>
      <c r="L46" s="290"/>
      <c r="M46" s="285"/>
      <c r="N46" s="285"/>
      <c r="O46" s="342"/>
      <c r="P46" s="342"/>
      <c r="Q46" s="342"/>
      <c r="R46" s="342"/>
      <c r="S46" s="342"/>
      <c r="T46" s="342"/>
      <c r="U46" s="342"/>
      <c r="V46" s="342"/>
      <c r="W46" s="342"/>
      <c r="X46" s="342"/>
      <c r="Y46" s="342"/>
    </row>
    <row r="47" ht="81.0" customHeight="1">
      <c r="A47" s="285"/>
      <c r="B47" s="285"/>
      <c r="C47" s="285"/>
      <c r="D47" s="285"/>
      <c r="E47" s="290"/>
      <c r="F47" s="288"/>
      <c r="G47" s="288"/>
      <c r="H47" s="288"/>
      <c r="I47" s="288"/>
      <c r="J47" s="561"/>
      <c r="K47" s="561"/>
      <c r="L47" s="290"/>
      <c r="M47" s="285"/>
      <c r="N47" s="285"/>
      <c r="O47" s="342"/>
      <c r="P47" s="342"/>
      <c r="Q47" s="342"/>
      <c r="R47" s="342"/>
      <c r="S47" s="342"/>
      <c r="T47" s="342"/>
      <c r="U47" s="342"/>
      <c r="V47" s="342"/>
      <c r="W47" s="342"/>
      <c r="X47" s="342"/>
      <c r="Y47" s="342"/>
    </row>
    <row r="48" ht="81.0" customHeight="1">
      <c r="A48" s="285"/>
      <c r="B48" s="285"/>
      <c r="C48" s="285"/>
      <c r="D48" s="285"/>
      <c r="E48" s="290"/>
      <c r="F48" s="288"/>
      <c r="G48" s="288"/>
      <c r="H48" s="288"/>
      <c r="I48" s="288"/>
      <c r="J48" s="561"/>
      <c r="K48" s="561"/>
      <c r="L48" s="290"/>
      <c r="M48" s="285"/>
      <c r="N48" s="285"/>
      <c r="O48" s="342"/>
      <c r="P48" s="342"/>
      <c r="Q48" s="342"/>
      <c r="R48" s="342"/>
      <c r="S48" s="342"/>
      <c r="T48" s="342"/>
      <c r="U48" s="342"/>
      <c r="V48" s="342"/>
      <c r="W48" s="342"/>
      <c r="X48" s="342"/>
      <c r="Y48" s="342"/>
    </row>
    <row r="49" ht="81.0" customHeight="1">
      <c r="A49" s="285"/>
      <c r="B49" s="285"/>
      <c r="C49" s="285"/>
      <c r="D49" s="285"/>
      <c r="E49" s="290"/>
      <c r="F49" s="288"/>
      <c r="G49" s="288"/>
      <c r="H49" s="288"/>
      <c r="I49" s="288"/>
      <c r="J49" s="561"/>
      <c r="K49" s="561"/>
      <c r="L49" s="290"/>
      <c r="M49" s="285"/>
      <c r="N49" s="285"/>
      <c r="O49" s="342"/>
      <c r="P49" s="342"/>
      <c r="Q49" s="342"/>
      <c r="R49" s="342"/>
      <c r="S49" s="342"/>
      <c r="T49" s="342"/>
      <c r="U49" s="342"/>
      <c r="V49" s="342"/>
      <c r="W49" s="342"/>
      <c r="X49" s="342"/>
      <c r="Y49" s="342"/>
    </row>
    <row r="50" ht="81.0" customHeight="1">
      <c r="A50" s="285"/>
      <c r="B50" s="285"/>
      <c r="C50" s="285"/>
      <c r="D50" s="285"/>
      <c r="E50" s="290"/>
      <c r="F50" s="288"/>
      <c r="G50" s="288"/>
      <c r="H50" s="288"/>
      <c r="I50" s="285"/>
      <c r="J50" s="561"/>
      <c r="K50" s="561"/>
      <c r="L50" s="290"/>
      <c r="M50" s="285"/>
      <c r="N50" s="285"/>
      <c r="O50" s="342"/>
      <c r="P50" s="342"/>
      <c r="Q50" s="342"/>
      <c r="R50" s="342"/>
      <c r="S50" s="342"/>
      <c r="T50" s="342"/>
      <c r="U50" s="342"/>
      <c r="V50" s="342"/>
      <c r="W50" s="342"/>
      <c r="X50" s="342"/>
      <c r="Y50" s="342"/>
    </row>
    <row r="51" ht="81.0" customHeight="1">
      <c r="A51" s="285"/>
      <c r="B51" s="285"/>
      <c r="C51" s="285"/>
      <c r="D51" s="285"/>
      <c r="E51" s="290"/>
      <c r="F51" s="288"/>
      <c r="G51" s="288"/>
      <c r="H51" s="288"/>
      <c r="I51" s="285"/>
      <c r="J51" s="285"/>
      <c r="K51" s="285"/>
      <c r="L51" s="290"/>
      <c r="M51" s="285"/>
      <c r="N51" s="285"/>
      <c r="O51" s="342"/>
      <c r="P51" s="342"/>
      <c r="Q51" s="342"/>
      <c r="R51" s="342"/>
      <c r="S51" s="342"/>
      <c r="T51" s="342"/>
      <c r="U51" s="342"/>
      <c r="V51" s="342"/>
      <c r="W51" s="342"/>
      <c r="X51" s="342"/>
      <c r="Y51" s="342"/>
    </row>
    <row r="52" ht="81.0" customHeight="1">
      <c r="A52" s="285"/>
      <c r="B52" s="285"/>
      <c r="C52" s="285"/>
      <c r="D52" s="285"/>
      <c r="E52" s="290"/>
      <c r="F52" s="288"/>
      <c r="G52" s="288"/>
      <c r="H52" s="288"/>
      <c r="I52" s="288"/>
      <c r="J52" s="561"/>
      <c r="K52" s="561"/>
      <c r="L52" s="290"/>
      <c r="M52" s="285"/>
      <c r="N52" s="285"/>
      <c r="O52" s="342"/>
      <c r="P52" s="342"/>
      <c r="Q52" s="342"/>
      <c r="R52" s="342"/>
      <c r="S52" s="342"/>
      <c r="T52" s="342"/>
      <c r="U52" s="342"/>
      <c r="V52" s="342"/>
      <c r="W52" s="342"/>
      <c r="X52" s="342"/>
      <c r="Y52" s="342"/>
    </row>
    <row r="53" ht="81.0" customHeight="1">
      <c r="A53" s="285"/>
      <c r="B53" s="285"/>
      <c r="C53" s="285"/>
      <c r="D53" s="285"/>
      <c r="E53" s="290"/>
      <c r="F53" s="288"/>
      <c r="G53" s="288"/>
      <c r="H53" s="288"/>
      <c r="I53" s="288"/>
      <c r="J53" s="561"/>
      <c r="K53" s="561"/>
      <c r="L53" s="290"/>
      <c r="M53" s="285"/>
      <c r="N53" s="285"/>
      <c r="O53" s="342"/>
      <c r="P53" s="342"/>
      <c r="Q53" s="342"/>
      <c r="R53" s="342"/>
      <c r="S53" s="342"/>
      <c r="T53" s="342"/>
      <c r="U53" s="342"/>
      <c r="V53" s="342"/>
      <c r="W53" s="342"/>
      <c r="X53" s="342"/>
      <c r="Y53" s="342"/>
    </row>
    <row r="54" ht="81.0" customHeight="1">
      <c r="A54" s="285"/>
      <c r="B54" s="285"/>
      <c r="C54" s="285"/>
      <c r="D54" s="285"/>
      <c r="E54" s="290"/>
      <c r="F54" s="288"/>
      <c r="G54" s="288"/>
      <c r="H54" s="288"/>
      <c r="I54" s="285"/>
      <c r="J54" s="561"/>
      <c r="K54" s="561"/>
      <c r="L54" s="290"/>
      <c r="M54" s="285"/>
      <c r="N54" s="285"/>
      <c r="O54" s="342"/>
      <c r="P54" s="342"/>
      <c r="Q54" s="342"/>
      <c r="R54" s="342"/>
      <c r="S54" s="342"/>
      <c r="T54" s="342"/>
      <c r="U54" s="342"/>
      <c r="V54" s="342"/>
      <c r="W54" s="342"/>
      <c r="X54" s="342"/>
      <c r="Y54" s="342"/>
    </row>
    <row r="55" ht="81.0" customHeight="1">
      <c r="A55" s="285"/>
      <c r="B55" s="285"/>
      <c r="C55" s="285"/>
      <c r="D55" s="285"/>
      <c r="E55" s="290"/>
      <c r="F55" s="288"/>
      <c r="G55" s="288"/>
      <c r="H55" s="288"/>
      <c r="I55" s="288"/>
      <c r="J55" s="561"/>
      <c r="K55" s="561"/>
      <c r="L55" s="290"/>
      <c r="M55" s="285"/>
      <c r="N55" s="285"/>
      <c r="O55" s="342"/>
      <c r="P55" s="342"/>
      <c r="Q55" s="342"/>
      <c r="R55" s="342"/>
      <c r="S55" s="342"/>
      <c r="T55" s="342"/>
      <c r="U55" s="342"/>
      <c r="V55" s="342"/>
      <c r="W55" s="342"/>
      <c r="X55" s="342"/>
      <c r="Y55" s="342"/>
    </row>
    <row r="56" ht="81.0" customHeight="1">
      <c r="A56" s="285"/>
      <c r="B56" s="285"/>
      <c r="C56" s="285"/>
      <c r="D56" s="285"/>
      <c r="E56" s="290"/>
      <c r="F56" s="288"/>
      <c r="G56" s="288"/>
      <c r="H56" s="288"/>
      <c r="I56" s="288"/>
      <c r="J56" s="561"/>
      <c r="K56" s="561"/>
      <c r="L56" s="290"/>
      <c r="M56" s="285"/>
      <c r="N56" s="285"/>
      <c r="O56" s="342"/>
      <c r="P56" s="342"/>
      <c r="Q56" s="342"/>
      <c r="R56" s="342"/>
      <c r="S56" s="342"/>
      <c r="T56" s="342"/>
      <c r="U56" s="342"/>
      <c r="V56" s="342"/>
      <c r="W56" s="342"/>
      <c r="X56" s="342"/>
      <c r="Y56" s="342"/>
    </row>
    <row r="57" ht="81.0" customHeight="1">
      <c r="A57" s="285"/>
      <c r="B57" s="285"/>
      <c r="C57" s="285"/>
      <c r="D57" s="285"/>
      <c r="E57" s="290"/>
      <c r="F57" s="288"/>
      <c r="G57" s="288"/>
      <c r="H57" s="288"/>
      <c r="I57" s="285"/>
      <c r="J57" s="561"/>
      <c r="K57" s="561"/>
      <c r="L57" s="290"/>
      <c r="M57" s="285"/>
      <c r="N57" s="285"/>
      <c r="O57" s="342"/>
      <c r="P57" s="342"/>
      <c r="Q57" s="342"/>
      <c r="R57" s="342"/>
      <c r="S57" s="342"/>
      <c r="T57" s="342"/>
      <c r="U57" s="342"/>
      <c r="V57" s="342"/>
      <c r="W57" s="342"/>
      <c r="X57" s="342"/>
      <c r="Y57" s="342"/>
    </row>
    <row r="58" ht="81.0" customHeight="1">
      <c r="A58" s="285"/>
      <c r="B58" s="285"/>
      <c r="C58" s="285"/>
      <c r="D58" s="285"/>
      <c r="E58" s="290"/>
      <c r="F58" s="288"/>
      <c r="G58" s="288"/>
      <c r="H58" s="288"/>
      <c r="I58" s="285"/>
      <c r="J58" s="561"/>
      <c r="K58" s="561"/>
      <c r="L58" s="290"/>
      <c r="M58" s="285"/>
      <c r="N58" s="285"/>
      <c r="O58" s="342"/>
      <c r="P58" s="342"/>
      <c r="Q58" s="342"/>
      <c r="R58" s="342"/>
      <c r="S58" s="342"/>
      <c r="T58" s="342"/>
      <c r="U58" s="342"/>
      <c r="V58" s="342"/>
      <c r="W58" s="342"/>
      <c r="X58" s="342"/>
      <c r="Y58" s="342"/>
    </row>
    <row r="59" ht="81.0" customHeight="1">
      <c r="A59" s="285"/>
      <c r="B59" s="285"/>
      <c r="C59" s="285"/>
      <c r="D59" s="285"/>
      <c r="E59" s="290"/>
      <c r="F59" s="288"/>
      <c r="G59" s="288"/>
      <c r="H59" s="288"/>
      <c r="I59" s="288"/>
      <c r="J59" s="561"/>
      <c r="K59" s="561"/>
      <c r="L59" s="290"/>
      <c r="M59" s="285"/>
      <c r="N59" s="285"/>
      <c r="O59" s="342"/>
      <c r="P59" s="342"/>
      <c r="Q59" s="342"/>
      <c r="R59" s="342"/>
      <c r="S59" s="342"/>
      <c r="T59" s="342"/>
      <c r="U59" s="342"/>
      <c r="V59" s="342"/>
      <c r="W59" s="342"/>
      <c r="X59" s="342"/>
      <c r="Y59" s="342"/>
    </row>
    <row r="60" ht="81.0" customHeight="1">
      <c r="A60" s="285"/>
      <c r="B60" s="285"/>
      <c r="C60" s="285"/>
      <c r="D60" s="285"/>
      <c r="E60" s="290"/>
      <c r="F60" s="288"/>
      <c r="G60" s="288"/>
      <c r="H60" s="288"/>
      <c r="I60" s="285"/>
      <c r="J60" s="561"/>
      <c r="K60" s="561"/>
      <c r="L60" s="290"/>
      <c r="M60" s="285"/>
      <c r="N60" s="285"/>
      <c r="O60" s="342"/>
      <c r="P60" s="342"/>
      <c r="Q60" s="342"/>
      <c r="R60" s="342"/>
      <c r="S60" s="342"/>
      <c r="T60" s="342"/>
      <c r="U60" s="342"/>
      <c r="V60" s="342"/>
      <c r="W60" s="342"/>
      <c r="X60" s="342"/>
      <c r="Y60" s="342"/>
    </row>
    <row r="61" ht="81.0" customHeight="1">
      <c r="A61" s="285"/>
      <c r="B61" s="285"/>
      <c r="C61" s="285"/>
      <c r="D61" s="285"/>
      <c r="E61" s="290"/>
      <c r="F61" s="288"/>
      <c r="G61" s="288"/>
      <c r="H61" s="288"/>
      <c r="I61" s="285"/>
      <c r="J61" s="561"/>
      <c r="K61" s="561"/>
      <c r="L61" s="290"/>
      <c r="M61" s="285"/>
      <c r="N61" s="285"/>
      <c r="O61" s="342"/>
      <c r="P61" s="342"/>
      <c r="Q61" s="342"/>
      <c r="R61" s="342"/>
      <c r="S61" s="342"/>
      <c r="T61" s="342"/>
      <c r="U61" s="342"/>
      <c r="V61" s="342"/>
      <c r="W61" s="342"/>
      <c r="X61" s="342"/>
      <c r="Y61" s="342"/>
    </row>
    <row r="62" ht="81.0" customHeight="1">
      <c r="A62" s="285"/>
      <c r="B62" s="285"/>
      <c r="C62" s="285"/>
      <c r="D62" s="285"/>
      <c r="E62" s="290"/>
      <c r="F62" s="288"/>
      <c r="G62" s="288"/>
      <c r="H62" s="288"/>
      <c r="I62" s="288"/>
      <c r="J62" s="285"/>
      <c r="K62" s="285"/>
      <c r="L62" s="290"/>
      <c r="M62" s="285"/>
      <c r="N62" s="285"/>
      <c r="O62" s="342"/>
      <c r="P62" s="342"/>
      <c r="Q62" s="342"/>
      <c r="R62" s="342"/>
      <c r="S62" s="342"/>
      <c r="T62" s="342"/>
      <c r="U62" s="342"/>
      <c r="V62" s="342"/>
      <c r="W62" s="342"/>
      <c r="X62" s="342"/>
      <c r="Y62" s="342"/>
    </row>
    <row r="63" ht="81.0" customHeight="1">
      <c r="A63" s="285"/>
      <c r="B63" s="285"/>
      <c r="C63" s="285"/>
      <c r="D63" s="285"/>
      <c r="E63" s="290"/>
      <c r="F63" s="288"/>
      <c r="G63" s="288"/>
      <c r="H63" s="288"/>
      <c r="I63" s="288"/>
      <c r="J63" s="561"/>
      <c r="K63" s="561"/>
      <c r="L63" s="290"/>
      <c r="M63" s="285"/>
      <c r="N63" s="285"/>
      <c r="O63" s="342"/>
      <c r="P63" s="342"/>
      <c r="Q63" s="342"/>
      <c r="R63" s="342"/>
      <c r="S63" s="342"/>
      <c r="T63" s="342"/>
      <c r="U63" s="342"/>
      <c r="V63" s="342"/>
      <c r="W63" s="342"/>
      <c r="X63" s="342"/>
      <c r="Y63" s="342"/>
    </row>
    <row r="64" ht="81.0" customHeight="1">
      <c r="A64" s="285"/>
      <c r="B64" s="285"/>
      <c r="C64" s="285"/>
      <c r="D64" s="285"/>
      <c r="E64" s="290"/>
      <c r="F64" s="288"/>
      <c r="G64" s="288"/>
      <c r="H64" s="288"/>
      <c r="I64" s="288"/>
      <c r="J64" s="285"/>
      <c r="K64" s="285"/>
      <c r="L64" s="290"/>
      <c r="M64" s="285"/>
      <c r="N64" s="285"/>
      <c r="O64" s="342"/>
      <c r="P64" s="342"/>
      <c r="Q64" s="342"/>
      <c r="R64" s="342"/>
      <c r="S64" s="342"/>
      <c r="T64" s="342"/>
      <c r="U64" s="342"/>
      <c r="V64" s="342"/>
      <c r="W64" s="342"/>
      <c r="X64" s="342"/>
      <c r="Y64" s="342"/>
    </row>
    <row r="65" ht="81.0" customHeight="1">
      <c r="A65" s="285"/>
      <c r="B65" s="285"/>
      <c r="C65" s="285"/>
      <c r="D65" s="367"/>
      <c r="E65" s="290"/>
      <c r="F65" s="288"/>
      <c r="G65" s="288"/>
      <c r="H65" s="288"/>
      <c r="I65" s="288"/>
      <c r="J65" s="561"/>
      <c r="K65" s="561"/>
      <c r="L65" s="290"/>
      <c r="M65" s="285"/>
      <c r="N65" s="285"/>
      <c r="O65" s="342"/>
      <c r="P65" s="342"/>
      <c r="Q65" s="342"/>
      <c r="R65" s="342"/>
      <c r="S65" s="342"/>
      <c r="T65" s="342"/>
      <c r="U65" s="342"/>
      <c r="V65" s="342"/>
      <c r="W65" s="342"/>
      <c r="X65" s="342"/>
      <c r="Y65" s="342"/>
    </row>
    <row r="66" ht="81.0" customHeight="1">
      <c r="A66" s="285"/>
      <c r="B66" s="285"/>
      <c r="C66" s="285"/>
      <c r="D66" s="285"/>
      <c r="E66" s="290"/>
      <c r="F66" s="288"/>
      <c r="G66" s="288"/>
      <c r="H66" s="288"/>
      <c r="I66" s="285"/>
      <c r="J66" s="561"/>
      <c r="K66" s="561"/>
      <c r="L66" s="290"/>
      <c r="M66" s="285"/>
      <c r="N66" s="285"/>
      <c r="O66" s="342"/>
      <c r="P66" s="342"/>
      <c r="Q66" s="342"/>
      <c r="R66" s="342"/>
      <c r="S66" s="342"/>
      <c r="T66" s="342"/>
      <c r="U66" s="342"/>
      <c r="V66" s="342"/>
      <c r="W66" s="342"/>
      <c r="X66" s="342"/>
      <c r="Y66" s="342"/>
    </row>
    <row r="67" ht="81.0" customHeight="1">
      <c r="A67" s="285"/>
      <c r="B67" s="285"/>
      <c r="C67" s="285"/>
      <c r="D67" s="285"/>
      <c r="E67" s="290"/>
      <c r="F67" s="288"/>
      <c r="G67" s="288"/>
      <c r="H67" s="288"/>
      <c r="I67" s="285"/>
      <c r="J67" s="561"/>
      <c r="K67" s="561"/>
      <c r="L67" s="290"/>
      <c r="M67" s="285"/>
      <c r="N67" s="285"/>
      <c r="O67" s="342"/>
      <c r="P67" s="342"/>
      <c r="Q67" s="342"/>
      <c r="R67" s="342"/>
      <c r="S67" s="342"/>
      <c r="T67" s="342"/>
      <c r="U67" s="342"/>
      <c r="V67" s="342"/>
      <c r="W67" s="342"/>
      <c r="X67" s="342"/>
      <c r="Y67" s="342"/>
    </row>
    <row r="68" ht="81.0" customHeight="1">
      <c r="A68" s="285"/>
      <c r="B68" s="285"/>
      <c r="C68" s="285"/>
      <c r="D68" s="285"/>
      <c r="E68" s="290"/>
      <c r="F68" s="288"/>
      <c r="G68" s="288"/>
      <c r="H68" s="288"/>
      <c r="I68" s="285"/>
      <c r="J68" s="561"/>
      <c r="K68" s="561"/>
      <c r="L68" s="290"/>
      <c r="M68" s="285"/>
      <c r="N68" s="285"/>
      <c r="O68" s="366"/>
      <c r="P68" s="366"/>
      <c r="Q68" s="366"/>
      <c r="R68" s="366"/>
      <c r="S68" s="366"/>
      <c r="T68" s="366"/>
      <c r="U68" s="366"/>
      <c r="V68" s="366"/>
      <c r="W68" s="366"/>
      <c r="X68" s="366"/>
      <c r="Y68" s="366"/>
    </row>
    <row r="69" ht="81.0" customHeight="1">
      <c r="A69" s="285"/>
      <c r="B69" s="285"/>
      <c r="C69" s="285"/>
      <c r="D69" s="367"/>
      <c r="E69" s="290"/>
      <c r="F69" s="288"/>
      <c r="G69" s="288"/>
      <c r="H69" s="288"/>
      <c r="I69" s="288"/>
      <c r="J69" s="561"/>
      <c r="K69" s="561"/>
      <c r="L69" s="290"/>
      <c r="M69" s="285"/>
      <c r="N69" s="285"/>
      <c r="O69" s="342"/>
      <c r="P69" s="342"/>
      <c r="Q69" s="342"/>
      <c r="R69" s="342"/>
      <c r="S69" s="342"/>
      <c r="T69" s="342"/>
      <c r="U69" s="342"/>
      <c r="V69" s="342"/>
      <c r="W69" s="342"/>
      <c r="X69" s="342"/>
      <c r="Y69" s="342"/>
    </row>
    <row r="70" ht="81.0" customHeight="1">
      <c r="A70" s="285"/>
      <c r="B70" s="285"/>
      <c r="C70" s="285"/>
      <c r="D70" s="285"/>
      <c r="E70" s="290"/>
      <c r="F70" s="288"/>
      <c r="G70" s="288"/>
      <c r="H70" s="288"/>
      <c r="I70" s="288"/>
      <c r="J70" s="561"/>
      <c r="K70" s="561"/>
      <c r="L70" s="290"/>
      <c r="M70" s="285"/>
      <c r="N70" s="285"/>
      <c r="O70" s="342"/>
      <c r="P70" s="342"/>
      <c r="Q70" s="342"/>
      <c r="R70" s="342"/>
      <c r="S70" s="342"/>
      <c r="T70" s="342"/>
      <c r="U70" s="342"/>
      <c r="V70" s="342"/>
      <c r="W70" s="342"/>
      <c r="X70" s="342"/>
      <c r="Y70" s="342"/>
    </row>
    <row r="71" ht="81.0" customHeight="1">
      <c r="A71" s="285"/>
      <c r="B71" s="285"/>
      <c r="C71" s="285"/>
      <c r="D71" s="285"/>
      <c r="E71" s="290"/>
      <c r="F71" s="288"/>
      <c r="G71" s="288"/>
      <c r="H71" s="288"/>
      <c r="I71" s="288"/>
      <c r="J71" s="561"/>
      <c r="K71" s="561"/>
      <c r="L71" s="290"/>
      <c r="M71" s="285"/>
      <c r="N71" s="285"/>
      <c r="O71" s="342"/>
      <c r="P71" s="342"/>
      <c r="Q71" s="342"/>
      <c r="R71" s="342"/>
      <c r="S71" s="342"/>
      <c r="T71" s="342"/>
      <c r="U71" s="342"/>
      <c r="V71" s="342"/>
      <c r="W71" s="342"/>
      <c r="X71" s="342"/>
      <c r="Y71" s="342"/>
    </row>
    <row r="72" ht="89.25" customHeight="1">
      <c r="A72" s="596"/>
      <c r="B72" s="285"/>
      <c r="C72" s="285"/>
      <c r="D72" s="285"/>
      <c r="E72" s="290"/>
      <c r="F72" s="288"/>
      <c r="G72" s="288"/>
      <c r="H72" s="288"/>
      <c r="I72" s="285"/>
      <c r="J72" s="561"/>
      <c r="K72" s="561"/>
      <c r="L72" s="290"/>
      <c r="M72" s="285"/>
      <c r="N72" s="285"/>
      <c r="O72" s="342"/>
      <c r="P72" s="342"/>
      <c r="Q72" s="342"/>
      <c r="R72" s="342"/>
      <c r="S72" s="342"/>
      <c r="T72" s="342"/>
      <c r="U72" s="342"/>
      <c r="V72" s="342"/>
      <c r="W72" s="342"/>
      <c r="X72" s="342"/>
      <c r="Y72" s="342"/>
    </row>
    <row r="73" ht="81.0" customHeight="1">
      <c r="A73" s="285"/>
      <c r="B73" s="285"/>
      <c r="C73" s="285"/>
      <c r="D73" s="285"/>
      <c r="E73" s="290"/>
      <c r="F73" s="288"/>
      <c r="G73" s="288"/>
      <c r="H73" s="288"/>
      <c r="I73" s="288"/>
      <c r="J73" s="561"/>
      <c r="K73" s="561"/>
      <c r="L73" s="290"/>
      <c r="M73" s="285"/>
      <c r="N73" s="285"/>
      <c r="O73" s="342"/>
      <c r="P73" s="342"/>
      <c r="Q73" s="342"/>
      <c r="R73" s="342"/>
      <c r="S73" s="342"/>
      <c r="T73" s="342"/>
      <c r="U73" s="342"/>
      <c r="V73" s="342"/>
      <c r="W73" s="342"/>
      <c r="X73" s="342"/>
      <c r="Y73" s="342"/>
    </row>
    <row r="74" ht="81.0" customHeight="1">
      <c r="A74" s="285"/>
      <c r="B74" s="285"/>
      <c r="C74" s="285"/>
      <c r="D74" s="285"/>
      <c r="E74" s="290"/>
      <c r="F74" s="288"/>
      <c r="G74" s="288"/>
      <c r="H74" s="288"/>
      <c r="I74" s="288"/>
      <c r="J74" s="285"/>
      <c r="K74" s="285"/>
      <c r="L74" s="290"/>
      <c r="M74" s="285"/>
      <c r="N74" s="285"/>
      <c r="O74" s="342"/>
      <c r="P74" s="342"/>
      <c r="Q74" s="342"/>
      <c r="R74" s="342"/>
      <c r="S74" s="342"/>
      <c r="T74" s="342"/>
      <c r="U74" s="342"/>
      <c r="V74" s="342"/>
      <c r="W74" s="342"/>
      <c r="X74" s="342"/>
      <c r="Y74" s="342"/>
    </row>
    <row r="75" ht="81.0" customHeight="1">
      <c r="A75" s="285"/>
      <c r="B75" s="285"/>
      <c r="C75" s="285"/>
      <c r="D75" s="285"/>
      <c r="E75" s="290"/>
      <c r="F75" s="288"/>
      <c r="G75" s="288"/>
      <c r="H75" s="288"/>
      <c r="I75" s="288"/>
      <c r="J75" s="285"/>
      <c r="K75" s="561"/>
      <c r="L75" s="290"/>
      <c r="M75" s="285"/>
      <c r="N75" s="285"/>
      <c r="O75" s="342"/>
      <c r="P75" s="342"/>
      <c r="Q75" s="342"/>
      <c r="R75" s="342"/>
      <c r="S75" s="342"/>
      <c r="T75" s="342"/>
      <c r="U75" s="342"/>
      <c r="V75" s="342"/>
      <c r="W75" s="342"/>
      <c r="X75" s="342"/>
      <c r="Y75" s="342"/>
    </row>
    <row r="76" ht="81.0" customHeight="1">
      <c r="A76" s="285"/>
      <c r="B76" s="285"/>
      <c r="C76" s="285"/>
      <c r="D76" s="285"/>
      <c r="E76" s="290"/>
      <c r="F76" s="288"/>
      <c r="G76" s="288"/>
      <c r="H76" s="288"/>
      <c r="I76" s="288"/>
      <c r="J76" s="561"/>
      <c r="K76" s="561"/>
      <c r="L76" s="290"/>
      <c r="M76" s="285"/>
      <c r="N76" s="285"/>
      <c r="O76" s="342"/>
      <c r="P76" s="342"/>
      <c r="Q76" s="342"/>
      <c r="R76" s="342"/>
      <c r="S76" s="342"/>
      <c r="T76" s="342"/>
      <c r="U76" s="342"/>
      <c r="V76" s="342"/>
      <c r="W76" s="342"/>
      <c r="X76" s="342"/>
      <c r="Y76" s="342"/>
    </row>
    <row r="77" ht="81.0" customHeight="1">
      <c r="A77" s="285"/>
      <c r="B77" s="285"/>
      <c r="C77" s="285"/>
      <c r="D77" s="285"/>
      <c r="E77" s="290"/>
      <c r="F77" s="288"/>
      <c r="G77" s="288"/>
      <c r="H77" s="288"/>
      <c r="I77" s="288"/>
      <c r="J77" s="561"/>
      <c r="K77" s="561"/>
      <c r="L77" s="290"/>
      <c r="M77" s="285"/>
      <c r="N77" s="285"/>
      <c r="O77" s="342"/>
      <c r="P77" s="342"/>
      <c r="Q77" s="342"/>
      <c r="R77" s="342"/>
      <c r="S77" s="342"/>
      <c r="T77" s="342"/>
      <c r="U77" s="342"/>
      <c r="V77" s="342"/>
      <c r="W77" s="342"/>
      <c r="X77" s="342"/>
      <c r="Y77" s="342"/>
    </row>
    <row r="78" ht="81.0" customHeight="1">
      <c r="A78" s="285"/>
      <c r="B78" s="285"/>
      <c r="C78" s="285"/>
      <c r="D78" s="285"/>
      <c r="E78" s="290"/>
      <c r="F78" s="288"/>
      <c r="G78" s="288"/>
      <c r="H78" s="288"/>
      <c r="I78" s="288"/>
      <c r="J78" s="561"/>
      <c r="K78" s="561"/>
      <c r="L78" s="290"/>
      <c r="M78" s="285"/>
      <c r="N78" s="285"/>
      <c r="O78" s="342"/>
      <c r="P78" s="342"/>
      <c r="Q78" s="342"/>
      <c r="R78" s="342"/>
      <c r="S78" s="342"/>
      <c r="T78" s="342"/>
      <c r="U78" s="342"/>
      <c r="V78" s="342"/>
      <c r="W78" s="342"/>
      <c r="X78" s="342"/>
      <c r="Y78" s="342"/>
    </row>
    <row r="79" ht="81.0" customHeight="1">
      <c r="A79" s="285"/>
      <c r="B79" s="285"/>
      <c r="C79" s="285"/>
      <c r="D79" s="285"/>
      <c r="E79" s="290"/>
      <c r="F79" s="288"/>
      <c r="G79" s="288"/>
      <c r="H79" s="288"/>
      <c r="I79" s="288"/>
      <c r="J79" s="561"/>
      <c r="K79" s="561"/>
      <c r="L79" s="290"/>
      <c r="M79" s="285"/>
      <c r="N79" s="285"/>
      <c r="O79" s="342"/>
      <c r="P79" s="342"/>
      <c r="Q79" s="342"/>
      <c r="R79" s="342"/>
      <c r="S79" s="342"/>
      <c r="T79" s="342"/>
      <c r="U79" s="342"/>
      <c r="V79" s="342"/>
      <c r="W79" s="342"/>
      <c r="X79" s="342"/>
      <c r="Y79" s="342"/>
    </row>
    <row r="80" ht="81.0" customHeight="1">
      <c r="A80" s="285"/>
      <c r="B80" s="285"/>
      <c r="C80" s="285"/>
      <c r="D80" s="285"/>
      <c r="E80" s="290"/>
      <c r="F80" s="288"/>
      <c r="G80" s="288"/>
      <c r="H80" s="288"/>
      <c r="I80" s="288"/>
      <c r="J80" s="561"/>
      <c r="K80" s="561"/>
      <c r="L80" s="290"/>
      <c r="M80" s="285"/>
      <c r="N80" s="285"/>
      <c r="O80" s="342"/>
      <c r="P80" s="342"/>
      <c r="Q80" s="342"/>
      <c r="R80" s="342"/>
      <c r="S80" s="342"/>
      <c r="T80" s="342"/>
      <c r="U80" s="342"/>
      <c r="V80" s="342"/>
      <c r="W80" s="342"/>
      <c r="X80" s="342"/>
      <c r="Y80" s="342"/>
    </row>
    <row r="81" ht="81.0" customHeight="1">
      <c r="A81" s="285"/>
      <c r="B81" s="285"/>
      <c r="C81" s="285"/>
      <c r="D81" s="285"/>
      <c r="E81" s="290"/>
      <c r="F81" s="288"/>
      <c r="G81" s="288"/>
      <c r="H81" s="288"/>
      <c r="I81" s="288"/>
      <c r="J81" s="561"/>
      <c r="K81" s="561"/>
      <c r="L81" s="290"/>
      <c r="M81" s="285"/>
      <c r="N81" s="285"/>
      <c r="O81" s="342"/>
      <c r="P81" s="342"/>
      <c r="Q81" s="342"/>
      <c r="R81" s="342"/>
      <c r="S81" s="342"/>
      <c r="T81" s="342"/>
      <c r="U81" s="342"/>
      <c r="V81" s="342"/>
      <c r="W81" s="342"/>
      <c r="X81" s="342"/>
      <c r="Y81" s="342"/>
    </row>
    <row r="82" ht="100.5" customHeight="1">
      <c r="A82" s="285"/>
      <c r="B82" s="285"/>
      <c r="C82" s="285"/>
      <c r="D82" s="285"/>
      <c r="E82" s="290"/>
      <c r="F82" s="288"/>
      <c r="G82" s="288"/>
      <c r="H82" s="288"/>
      <c r="I82" s="285"/>
      <c r="J82" s="561"/>
      <c r="K82" s="561"/>
      <c r="L82" s="290"/>
      <c r="M82" s="285"/>
      <c r="N82" s="285"/>
      <c r="O82" s="342"/>
      <c r="P82" s="342"/>
      <c r="Q82" s="342"/>
      <c r="R82" s="342"/>
      <c r="S82" s="342"/>
      <c r="T82" s="342"/>
      <c r="U82" s="342"/>
      <c r="V82" s="342"/>
      <c r="W82" s="342"/>
      <c r="X82" s="342"/>
      <c r="Y82" s="342"/>
    </row>
    <row r="83" ht="88.5" customHeight="1">
      <c r="A83" s="285"/>
      <c r="B83" s="285"/>
      <c r="C83" s="285"/>
      <c r="D83" s="285"/>
      <c r="E83" s="290"/>
      <c r="F83" s="288"/>
      <c r="G83" s="288"/>
      <c r="H83" s="288"/>
      <c r="I83" s="285"/>
      <c r="J83" s="561"/>
      <c r="K83" s="561"/>
      <c r="L83" s="290"/>
      <c r="M83" s="285"/>
      <c r="N83" s="285"/>
      <c r="O83" s="342"/>
      <c r="P83" s="342"/>
      <c r="Q83" s="342"/>
      <c r="R83" s="342"/>
      <c r="S83" s="342"/>
      <c r="T83" s="342"/>
      <c r="U83" s="342"/>
      <c r="V83" s="342"/>
      <c r="W83" s="342"/>
      <c r="X83" s="342"/>
      <c r="Y83" s="342"/>
    </row>
    <row r="84" ht="81.0" customHeight="1">
      <c r="A84" s="285"/>
      <c r="B84" s="285"/>
      <c r="C84" s="285"/>
      <c r="D84" s="285"/>
      <c r="E84" s="290"/>
      <c r="F84" s="288"/>
      <c r="G84" s="288"/>
      <c r="H84" s="288"/>
      <c r="I84" s="285"/>
      <c r="J84" s="285"/>
      <c r="K84" s="285"/>
      <c r="L84" s="290"/>
      <c r="M84" s="285"/>
      <c r="N84" s="285"/>
      <c r="O84" s="342"/>
      <c r="P84" s="342"/>
      <c r="Q84" s="342"/>
      <c r="R84" s="342"/>
      <c r="S84" s="342"/>
      <c r="T84" s="342"/>
      <c r="U84" s="342"/>
      <c r="V84" s="342"/>
      <c r="W84" s="342"/>
      <c r="X84" s="342"/>
      <c r="Y84" s="342"/>
    </row>
    <row r="85" ht="81.0" customHeight="1">
      <c r="A85" s="285"/>
      <c r="B85" s="285"/>
      <c r="C85" s="285"/>
      <c r="D85" s="577"/>
      <c r="E85" s="290"/>
      <c r="F85" s="288"/>
      <c r="G85" s="288"/>
      <c r="H85" s="288"/>
      <c r="I85" s="288"/>
      <c r="J85" s="561"/>
      <c r="K85" s="561"/>
      <c r="L85" s="290"/>
      <c r="M85" s="285"/>
      <c r="N85" s="285"/>
      <c r="O85" s="342"/>
      <c r="P85" s="342"/>
      <c r="Q85" s="342"/>
      <c r="R85" s="342"/>
      <c r="S85" s="342"/>
      <c r="T85" s="342"/>
      <c r="U85" s="342"/>
      <c r="V85" s="342"/>
      <c r="W85" s="342"/>
      <c r="X85" s="342"/>
      <c r="Y85" s="342"/>
    </row>
    <row r="86" ht="81.0" customHeight="1">
      <c r="A86" s="285"/>
      <c r="B86" s="285"/>
      <c r="C86" s="285"/>
      <c r="D86" s="285"/>
      <c r="E86" s="290"/>
      <c r="F86" s="288"/>
      <c r="G86" s="288"/>
      <c r="H86" s="288"/>
      <c r="I86" s="285"/>
      <c r="J86" s="561"/>
      <c r="K86" s="561"/>
      <c r="L86" s="290"/>
      <c r="M86" s="285"/>
      <c r="N86" s="285"/>
      <c r="O86" s="342"/>
      <c r="P86" s="342"/>
      <c r="Q86" s="342"/>
      <c r="R86" s="342"/>
      <c r="S86" s="342"/>
      <c r="T86" s="342"/>
      <c r="U86" s="342"/>
      <c r="V86" s="342"/>
      <c r="W86" s="342"/>
      <c r="X86" s="342"/>
      <c r="Y86" s="342"/>
    </row>
    <row r="87" ht="81.0" customHeight="1">
      <c r="A87" s="285"/>
      <c r="B87" s="285"/>
      <c r="C87" s="285"/>
      <c r="D87" s="285"/>
      <c r="E87" s="290"/>
      <c r="F87" s="288"/>
      <c r="G87" s="288"/>
      <c r="H87" s="288"/>
      <c r="I87" s="288"/>
      <c r="J87" s="561"/>
      <c r="K87" s="561"/>
      <c r="L87" s="290"/>
      <c r="M87" s="285"/>
      <c r="N87" s="285"/>
      <c r="O87" s="342"/>
      <c r="P87" s="342"/>
      <c r="Q87" s="342"/>
      <c r="R87" s="342"/>
      <c r="S87" s="342"/>
      <c r="T87" s="342"/>
      <c r="U87" s="342"/>
      <c r="V87" s="342"/>
      <c r="W87" s="342"/>
      <c r="X87" s="342"/>
      <c r="Y87" s="342"/>
    </row>
    <row r="88" ht="81.0" customHeight="1">
      <c r="A88" s="285"/>
      <c r="B88" s="285"/>
      <c r="C88" s="285"/>
      <c r="D88" s="285"/>
      <c r="E88" s="290"/>
      <c r="F88" s="288"/>
      <c r="G88" s="288"/>
      <c r="H88" s="288"/>
      <c r="I88" s="285"/>
      <c r="J88" s="561"/>
      <c r="K88" s="561"/>
      <c r="L88" s="290"/>
      <c r="M88" s="285"/>
      <c r="N88" s="285"/>
      <c r="O88" s="342"/>
      <c r="P88" s="342"/>
      <c r="Q88" s="342"/>
      <c r="R88" s="342"/>
      <c r="S88" s="342"/>
      <c r="T88" s="342"/>
      <c r="U88" s="342"/>
      <c r="V88" s="342"/>
      <c r="W88" s="342"/>
      <c r="X88" s="342"/>
      <c r="Y88" s="342"/>
    </row>
    <row r="89" ht="81.0" customHeight="1">
      <c r="A89" s="285"/>
      <c r="B89" s="285"/>
      <c r="C89" s="285"/>
      <c r="D89" s="285"/>
      <c r="E89" s="290"/>
      <c r="F89" s="288"/>
      <c r="G89" s="288"/>
      <c r="H89" s="288"/>
      <c r="I89" s="285"/>
      <c r="J89" s="561"/>
      <c r="K89" s="561"/>
      <c r="L89" s="290"/>
      <c r="M89" s="285"/>
      <c r="N89" s="285"/>
      <c r="O89" s="342"/>
      <c r="P89" s="342"/>
      <c r="Q89" s="342"/>
      <c r="R89" s="342"/>
      <c r="S89" s="342"/>
      <c r="T89" s="342"/>
      <c r="U89" s="342"/>
      <c r="V89" s="342"/>
      <c r="W89" s="342"/>
      <c r="X89" s="342"/>
      <c r="Y89" s="342"/>
    </row>
    <row r="90" ht="81.0" customHeight="1">
      <c r="A90" s="285"/>
      <c r="B90" s="285"/>
      <c r="C90" s="285"/>
      <c r="D90" s="285"/>
      <c r="E90" s="290"/>
      <c r="F90" s="288"/>
      <c r="G90" s="288"/>
      <c r="H90" s="288"/>
      <c r="I90" s="288"/>
      <c r="J90" s="561"/>
      <c r="K90" s="561"/>
      <c r="L90" s="290"/>
      <c r="M90" s="285"/>
      <c r="N90" s="285"/>
      <c r="O90" s="342"/>
      <c r="P90" s="342"/>
      <c r="Q90" s="342"/>
      <c r="R90" s="342"/>
      <c r="S90" s="342"/>
      <c r="T90" s="342"/>
      <c r="U90" s="342"/>
      <c r="V90" s="342"/>
      <c r="W90" s="342"/>
      <c r="X90" s="342"/>
      <c r="Y90" s="342"/>
    </row>
    <row r="91" ht="81.0" customHeight="1">
      <c r="A91" s="285"/>
      <c r="B91" s="285"/>
      <c r="C91" s="285"/>
      <c r="D91" s="285"/>
      <c r="E91" s="290"/>
      <c r="F91" s="288"/>
      <c r="G91" s="288"/>
      <c r="H91" s="288"/>
      <c r="I91" s="288"/>
      <c r="J91" s="561"/>
      <c r="K91" s="561"/>
      <c r="L91" s="290"/>
      <c r="M91" s="285"/>
      <c r="N91" s="285"/>
      <c r="O91" s="342"/>
      <c r="P91" s="342"/>
      <c r="Q91" s="342"/>
      <c r="R91" s="342"/>
      <c r="S91" s="342"/>
      <c r="T91" s="342"/>
      <c r="U91" s="342"/>
      <c r="V91" s="342"/>
      <c r="W91" s="342"/>
      <c r="X91" s="342"/>
      <c r="Y91" s="342"/>
    </row>
    <row r="92" ht="81.0" customHeight="1">
      <c r="A92" s="285"/>
      <c r="B92" s="285"/>
      <c r="C92" s="285"/>
      <c r="D92" s="285"/>
      <c r="E92" s="290"/>
      <c r="F92" s="288"/>
      <c r="G92" s="288"/>
      <c r="H92" s="288"/>
      <c r="I92" s="288"/>
      <c r="J92" s="561"/>
      <c r="K92" s="561"/>
      <c r="L92" s="290"/>
      <c r="M92" s="285"/>
      <c r="N92" s="285"/>
      <c r="O92" s="342"/>
      <c r="P92" s="342"/>
      <c r="Q92" s="342"/>
      <c r="R92" s="342"/>
      <c r="S92" s="342"/>
      <c r="T92" s="342"/>
      <c r="U92" s="342"/>
      <c r="V92" s="342"/>
      <c r="W92" s="342"/>
      <c r="X92" s="342"/>
      <c r="Y92" s="342"/>
    </row>
    <row r="93" ht="81.0" customHeight="1">
      <c r="A93" s="285"/>
      <c r="B93" s="285"/>
      <c r="C93" s="285"/>
      <c r="D93" s="285"/>
      <c r="E93" s="290"/>
      <c r="F93" s="288"/>
      <c r="G93" s="288"/>
      <c r="H93" s="288"/>
      <c r="I93" s="285"/>
      <c r="J93" s="285"/>
      <c r="K93" s="285"/>
      <c r="L93" s="290"/>
      <c r="M93" s="285"/>
      <c r="N93" s="285"/>
      <c r="O93" s="342"/>
      <c r="P93" s="342"/>
      <c r="Q93" s="342"/>
      <c r="R93" s="342"/>
      <c r="S93" s="342"/>
      <c r="T93" s="342"/>
      <c r="U93" s="342"/>
      <c r="V93" s="342"/>
      <c r="W93" s="342"/>
      <c r="X93" s="342"/>
      <c r="Y93" s="342"/>
    </row>
    <row r="94" ht="81.0" customHeight="1">
      <c r="A94" s="285"/>
      <c r="B94" s="285"/>
      <c r="C94" s="285"/>
      <c r="D94" s="285"/>
      <c r="E94" s="290"/>
      <c r="F94" s="288"/>
      <c r="G94" s="288"/>
      <c r="H94" s="288"/>
      <c r="I94" s="288"/>
      <c r="J94" s="561"/>
      <c r="K94" s="561"/>
      <c r="L94" s="290"/>
      <c r="M94" s="285"/>
      <c r="N94" s="285"/>
      <c r="O94" s="342"/>
      <c r="P94" s="342"/>
      <c r="Q94" s="342"/>
      <c r="R94" s="342"/>
      <c r="S94" s="342"/>
      <c r="T94" s="342"/>
      <c r="U94" s="342"/>
      <c r="V94" s="342"/>
      <c r="W94" s="342"/>
      <c r="X94" s="342"/>
      <c r="Y94" s="342"/>
    </row>
    <row r="95" ht="81.0" customHeight="1">
      <c r="A95" s="285"/>
      <c r="B95" s="285"/>
      <c r="C95" s="285"/>
      <c r="D95" s="285"/>
      <c r="E95" s="290"/>
      <c r="F95" s="288"/>
      <c r="G95" s="288"/>
      <c r="H95" s="288"/>
      <c r="I95" s="288"/>
      <c r="J95" s="561"/>
      <c r="K95" s="561"/>
      <c r="L95" s="290"/>
      <c r="M95" s="285"/>
      <c r="N95" s="285"/>
      <c r="O95" s="342"/>
      <c r="P95" s="342"/>
      <c r="Q95" s="342"/>
      <c r="R95" s="342"/>
      <c r="S95" s="342"/>
      <c r="T95" s="342"/>
      <c r="U95" s="342"/>
      <c r="V95" s="342"/>
      <c r="W95" s="342"/>
      <c r="X95" s="342"/>
      <c r="Y95" s="342"/>
    </row>
    <row r="96" ht="81.0" customHeight="1">
      <c r="A96" s="285"/>
      <c r="B96" s="285"/>
      <c r="C96" s="285"/>
      <c r="D96" s="285"/>
      <c r="E96" s="290"/>
      <c r="F96" s="288"/>
      <c r="G96" s="288"/>
      <c r="H96" s="288"/>
      <c r="I96" s="288"/>
      <c r="J96" s="561"/>
      <c r="K96" s="561"/>
      <c r="L96" s="290"/>
      <c r="M96" s="285"/>
      <c r="N96" s="285"/>
      <c r="O96" s="342"/>
      <c r="P96" s="342"/>
      <c r="Q96" s="342"/>
      <c r="R96" s="342"/>
      <c r="S96" s="342"/>
      <c r="T96" s="342"/>
      <c r="U96" s="342"/>
      <c r="V96" s="342"/>
      <c r="W96" s="342"/>
      <c r="X96" s="342"/>
      <c r="Y96" s="342"/>
    </row>
    <row r="97" ht="81.0" customHeight="1">
      <c r="A97" s="285"/>
      <c r="B97" s="285"/>
      <c r="C97" s="285"/>
      <c r="D97" s="285"/>
      <c r="E97" s="290"/>
      <c r="F97" s="288"/>
      <c r="G97" s="288"/>
      <c r="H97" s="288"/>
      <c r="I97" s="288"/>
      <c r="J97" s="561"/>
      <c r="K97" s="561"/>
      <c r="L97" s="290"/>
      <c r="M97" s="285"/>
      <c r="N97" s="285"/>
      <c r="O97" s="342"/>
      <c r="P97" s="342"/>
      <c r="Q97" s="342"/>
      <c r="R97" s="342"/>
      <c r="S97" s="342"/>
      <c r="T97" s="342"/>
      <c r="U97" s="342"/>
      <c r="V97" s="342"/>
      <c r="W97" s="342"/>
      <c r="X97" s="342"/>
      <c r="Y97" s="342"/>
    </row>
    <row r="98" ht="81.0" customHeight="1">
      <c r="A98" s="596"/>
      <c r="B98" s="285"/>
      <c r="C98" s="285"/>
      <c r="D98" s="285"/>
      <c r="E98" s="290"/>
      <c r="F98" s="288"/>
      <c r="G98" s="288"/>
      <c r="H98" s="288"/>
      <c r="I98" s="288"/>
      <c r="J98" s="561"/>
      <c r="K98" s="561"/>
      <c r="L98" s="290"/>
      <c r="M98" s="285"/>
      <c r="N98" s="285"/>
      <c r="O98" s="342"/>
      <c r="P98" s="342"/>
      <c r="Q98" s="342"/>
      <c r="R98" s="342"/>
      <c r="S98" s="342"/>
      <c r="T98" s="342"/>
      <c r="U98" s="342"/>
      <c r="V98" s="342"/>
      <c r="W98" s="342"/>
      <c r="X98" s="342"/>
      <c r="Y98" s="342"/>
    </row>
    <row r="99" ht="81.0" customHeight="1">
      <c r="A99" s="596"/>
      <c r="B99" s="285"/>
      <c r="C99" s="285"/>
      <c r="D99" s="285"/>
      <c r="E99" s="290"/>
      <c r="F99" s="288"/>
      <c r="G99" s="288"/>
      <c r="H99" s="288"/>
      <c r="I99" s="288"/>
      <c r="J99" s="561"/>
      <c r="K99" s="561"/>
      <c r="L99" s="290"/>
      <c r="M99" s="285"/>
      <c r="N99" s="285"/>
      <c r="O99" s="342"/>
      <c r="P99" s="342"/>
      <c r="Q99" s="342"/>
      <c r="R99" s="342"/>
      <c r="S99" s="342"/>
      <c r="T99" s="342"/>
      <c r="U99" s="342"/>
      <c r="V99" s="342"/>
      <c r="W99" s="342"/>
      <c r="X99" s="342"/>
      <c r="Y99" s="342"/>
    </row>
    <row r="100" ht="81.0" customHeight="1">
      <c r="A100" s="285"/>
      <c r="B100" s="285"/>
      <c r="C100" s="285"/>
      <c r="D100" s="285"/>
      <c r="E100" s="290"/>
      <c r="F100" s="288"/>
      <c r="G100" s="288"/>
      <c r="H100" s="288"/>
      <c r="I100" s="288"/>
      <c r="J100" s="561"/>
      <c r="K100" s="561"/>
      <c r="L100" s="290"/>
      <c r="M100" s="285"/>
      <c r="N100" s="285"/>
      <c r="O100" s="342"/>
      <c r="P100" s="342"/>
      <c r="Q100" s="342"/>
      <c r="R100" s="342"/>
      <c r="S100" s="342"/>
      <c r="T100" s="342"/>
      <c r="U100" s="342"/>
      <c r="V100" s="342"/>
      <c r="W100" s="342"/>
      <c r="X100" s="342"/>
      <c r="Y100" s="342"/>
    </row>
    <row r="101" ht="81.0" customHeight="1">
      <c r="A101" s="285"/>
      <c r="B101" s="285"/>
      <c r="C101" s="285"/>
      <c r="D101" s="285"/>
      <c r="E101" s="290"/>
      <c r="F101" s="288"/>
      <c r="G101" s="288"/>
      <c r="H101" s="288"/>
      <c r="I101" s="285"/>
      <c r="J101" s="285"/>
      <c r="K101" s="285"/>
      <c r="L101" s="290"/>
      <c r="M101" s="285"/>
      <c r="N101" s="285"/>
      <c r="O101" s="342"/>
      <c r="P101" s="342"/>
      <c r="Q101" s="342"/>
      <c r="R101" s="342"/>
      <c r="S101" s="342"/>
      <c r="T101" s="342"/>
      <c r="U101" s="342"/>
      <c r="V101" s="342"/>
      <c r="W101" s="342"/>
      <c r="X101" s="342"/>
      <c r="Y101" s="342"/>
    </row>
    <row r="102" ht="81.0" customHeight="1">
      <c r="A102" s="285"/>
      <c r="B102" s="285"/>
      <c r="C102" s="285"/>
      <c r="D102" s="285"/>
      <c r="E102" s="290"/>
      <c r="F102" s="288"/>
      <c r="G102" s="288"/>
      <c r="H102" s="288"/>
      <c r="I102" s="288"/>
      <c r="J102" s="285"/>
      <c r="K102" s="285"/>
      <c r="L102" s="290"/>
      <c r="M102" s="285"/>
      <c r="N102" s="285"/>
      <c r="O102" s="342"/>
      <c r="P102" s="342"/>
      <c r="Q102" s="342"/>
      <c r="R102" s="342"/>
      <c r="S102" s="342"/>
      <c r="T102" s="342"/>
      <c r="U102" s="342"/>
      <c r="V102" s="342"/>
      <c r="W102" s="342"/>
      <c r="X102" s="342"/>
      <c r="Y102" s="342"/>
    </row>
    <row r="103" ht="81.0" customHeight="1">
      <c r="A103" s="285"/>
      <c r="B103" s="285"/>
      <c r="C103" s="285"/>
      <c r="D103" s="285"/>
      <c r="E103" s="290"/>
      <c r="F103" s="288"/>
      <c r="G103" s="288"/>
      <c r="H103" s="288"/>
      <c r="I103" s="288"/>
      <c r="J103" s="561"/>
      <c r="K103" s="561"/>
      <c r="L103" s="290"/>
      <c r="M103" s="285"/>
      <c r="N103" s="285"/>
      <c r="O103" s="342"/>
      <c r="P103" s="342"/>
      <c r="Q103" s="342"/>
      <c r="R103" s="342"/>
      <c r="S103" s="342"/>
      <c r="T103" s="342"/>
      <c r="U103" s="342"/>
      <c r="V103" s="342"/>
      <c r="W103" s="342"/>
      <c r="X103" s="342"/>
      <c r="Y103" s="342"/>
    </row>
    <row r="104" ht="81.0" customHeight="1">
      <c r="A104" s="285"/>
      <c r="B104" s="285"/>
      <c r="C104" s="285"/>
      <c r="D104" s="285"/>
      <c r="E104" s="290"/>
      <c r="F104" s="288"/>
      <c r="G104" s="288"/>
      <c r="H104" s="288"/>
      <c r="I104" s="288"/>
      <c r="J104" s="561"/>
      <c r="K104" s="561"/>
      <c r="L104" s="290"/>
      <c r="M104" s="285"/>
      <c r="N104" s="285"/>
      <c r="O104" s="342"/>
      <c r="P104" s="342"/>
      <c r="Q104" s="342"/>
      <c r="R104" s="342"/>
      <c r="S104" s="342"/>
      <c r="T104" s="342"/>
      <c r="U104" s="342"/>
      <c r="V104" s="342"/>
      <c r="W104" s="342"/>
      <c r="X104" s="342"/>
      <c r="Y104" s="342"/>
    </row>
    <row r="105" ht="81.0" customHeight="1">
      <c r="A105" s="285"/>
      <c r="B105" s="285"/>
      <c r="C105" s="285"/>
      <c r="D105" s="285"/>
      <c r="E105" s="290"/>
      <c r="F105" s="288"/>
      <c r="G105" s="288"/>
      <c r="H105" s="288"/>
      <c r="I105" s="288"/>
      <c r="J105" s="285"/>
      <c r="K105" s="285"/>
      <c r="L105" s="290"/>
      <c r="M105" s="285"/>
      <c r="N105" s="285"/>
      <c r="O105" s="342"/>
      <c r="P105" s="342"/>
      <c r="Q105" s="342"/>
      <c r="R105" s="342"/>
      <c r="S105" s="342"/>
      <c r="T105" s="342"/>
      <c r="U105" s="342"/>
      <c r="V105" s="342"/>
      <c r="W105" s="342"/>
      <c r="X105" s="342"/>
      <c r="Y105" s="342"/>
    </row>
    <row r="106" ht="81.0" customHeight="1">
      <c r="A106" s="285"/>
      <c r="B106" s="285"/>
      <c r="C106" s="285"/>
      <c r="D106" s="285"/>
      <c r="E106" s="290"/>
      <c r="F106" s="288"/>
      <c r="G106" s="288"/>
      <c r="H106" s="288"/>
      <c r="I106" s="288"/>
      <c r="J106" s="561"/>
      <c r="K106" s="561"/>
      <c r="L106" s="290"/>
      <c r="M106" s="285"/>
      <c r="N106" s="285"/>
      <c r="O106" s="342"/>
      <c r="P106" s="342"/>
      <c r="Q106" s="342"/>
      <c r="R106" s="342"/>
      <c r="S106" s="342"/>
      <c r="T106" s="342"/>
      <c r="U106" s="342"/>
      <c r="V106" s="342"/>
      <c r="W106" s="342"/>
      <c r="X106" s="342"/>
      <c r="Y106" s="342"/>
    </row>
    <row r="107" ht="81.0" customHeight="1">
      <c r="A107" s="285"/>
      <c r="B107" s="285"/>
      <c r="C107" s="285"/>
      <c r="D107" s="285"/>
      <c r="E107" s="290"/>
      <c r="F107" s="288"/>
      <c r="G107" s="288"/>
      <c r="H107" s="288"/>
      <c r="I107" s="288"/>
      <c r="J107" s="561"/>
      <c r="K107" s="561"/>
      <c r="L107" s="290"/>
      <c r="M107" s="285"/>
      <c r="N107" s="285"/>
      <c r="O107" s="342"/>
      <c r="P107" s="342"/>
      <c r="Q107" s="342"/>
      <c r="R107" s="342"/>
      <c r="S107" s="342"/>
      <c r="T107" s="342"/>
      <c r="U107" s="342"/>
      <c r="V107" s="342"/>
      <c r="W107" s="342"/>
      <c r="X107" s="342"/>
      <c r="Y107" s="342"/>
    </row>
    <row r="108" ht="81.0" customHeight="1">
      <c r="A108" s="285"/>
      <c r="B108" s="285"/>
      <c r="C108" s="285"/>
      <c r="D108" s="285"/>
      <c r="E108" s="290"/>
      <c r="F108" s="288"/>
      <c r="G108" s="288"/>
      <c r="H108" s="288"/>
      <c r="I108" s="288"/>
      <c r="J108" s="561"/>
      <c r="K108" s="561"/>
      <c r="L108" s="290"/>
      <c r="M108" s="285"/>
      <c r="N108" s="285"/>
      <c r="O108" s="342"/>
      <c r="P108" s="342"/>
      <c r="Q108" s="342"/>
      <c r="R108" s="342"/>
      <c r="S108" s="342"/>
      <c r="T108" s="342"/>
      <c r="U108" s="342"/>
      <c r="V108" s="342"/>
      <c r="W108" s="342"/>
      <c r="X108" s="342"/>
      <c r="Y108" s="342"/>
    </row>
    <row r="109" ht="81.0" customHeight="1">
      <c r="A109" s="285"/>
      <c r="B109" s="285"/>
      <c r="C109" s="285"/>
      <c r="D109" s="285"/>
      <c r="E109" s="290"/>
      <c r="F109" s="288"/>
      <c r="G109" s="288"/>
      <c r="H109" s="288"/>
      <c r="I109" s="288"/>
      <c r="J109" s="561"/>
      <c r="K109" s="561"/>
      <c r="L109" s="290"/>
      <c r="M109" s="285"/>
      <c r="N109" s="285"/>
      <c r="O109" s="342"/>
      <c r="P109" s="342"/>
      <c r="Q109" s="342"/>
      <c r="R109" s="342"/>
      <c r="S109" s="342"/>
      <c r="T109" s="342"/>
      <c r="U109" s="342"/>
      <c r="V109" s="342"/>
      <c r="W109" s="342"/>
      <c r="X109" s="342"/>
      <c r="Y109" s="342"/>
    </row>
    <row r="110" ht="81.0" customHeight="1">
      <c r="A110" s="285"/>
      <c r="B110" s="285"/>
      <c r="C110" s="285"/>
      <c r="D110" s="285"/>
      <c r="E110" s="290"/>
      <c r="F110" s="288"/>
      <c r="G110" s="288"/>
      <c r="H110" s="288"/>
      <c r="I110" s="288"/>
      <c r="J110" s="561"/>
      <c r="K110" s="561"/>
      <c r="L110" s="290"/>
      <c r="M110" s="285"/>
      <c r="N110" s="285"/>
      <c r="O110" s="342"/>
      <c r="P110" s="342"/>
      <c r="Q110" s="342"/>
      <c r="R110" s="342"/>
      <c r="S110" s="342"/>
      <c r="T110" s="342"/>
      <c r="U110" s="342"/>
      <c r="V110" s="342"/>
      <c r="W110" s="342"/>
      <c r="X110" s="342"/>
      <c r="Y110" s="342"/>
    </row>
    <row r="111" ht="81.0" customHeight="1">
      <c r="A111" s="285"/>
      <c r="B111" s="285"/>
      <c r="C111" s="285"/>
      <c r="D111" s="285"/>
      <c r="E111" s="290"/>
      <c r="F111" s="288"/>
      <c r="G111" s="288"/>
      <c r="H111" s="288"/>
      <c r="I111" s="288"/>
      <c r="J111" s="561"/>
      <c r="K111" s="561"/>
      <c r="L111" s="290"/>
      <c r="M111" s="285"/>
      <c r="N111" s="285"/>
      <c r="O111" s="342"/>
      <c r="P111" s="342"/>
      <c r="Q111" s="342"/>
      <c r="R111" s="342"/>
      <c r="S111" s="342"/>
      <c r="T111" s="342"/>
      <c r="U111" s="342"/>
      <c r="V111" s="342"/>
      <c r="W111" s="342"/>
      <c r="X111" s="342"/>
      <c r="Y111" s="342"/>
    </row>
    <row r="112" ht="81.0" customHeight="1">
      <c r="A112" s="285"/>
      <c r="B112" s="285"/>
      <c r="C112" s="285"/>
      <c r="D112" s="285"/>
      <c r="E112" s="290"/>
      <c r="F112" s="288"/>
      <c r="G112" s="288"/>
      <c r="H112" s="288"/>
      <c r="I112" s="288"/>
      <c r="J112" s="561"/>
      <c r="K112" s="561"/>
      <c r="L112" s="290"/>
      <c r="M112" s="285"/>
      <c r="N112" s="285"/>
      <c r="O112" s="342"/>
      <c r="P112" s="342"/>
      <c r="Q112" s="342"/>
      <c r="R112" s="342"/>
      <c r="S112" s="342"/>
      <c r="T112" s="342"/>
      <c r="U112" s="342"/>
      <c r="V112" s="342"/>
      <c r="W112" s="342"/>
      <c r="X112" s="342"/>
      <c r="Y112" s="342"/>
    </row>
    <row r="113" ht="101.25" customHeight="1">
      <c r="A113" s="285"/>
      <c r="B113" s="285"/>
      <c r="C113" s="285"/>
      <c r="D113" s="285"/>
      <c r="E113" s="290"/>
      <c r="F113" s="288"/>
      <c r="G113" s="288"/>
      <c r="H113" s="288"/>
      <c r="I113" s="285"/>
      <c r="J113" s="561"/>
      <c r="K113" s="561"/>
      <c r="L113" s="290"/>
      <c r="M113" s="285"/>
      <c r="N113" s="285"/>
      <c r="O113" s="342"/>
      <c r="P113" s="342"/>
      <c r="Q113" s="342"/>
      <c r="R113" s="342"/>
      <c r="S113" s="342"/>
      <c r="T113" s="342"/>
      <c r="U113" s="342"/>
      <c r="V113" s="342"/>
      <c r="W113" s="342"/>
      <c r="X113" s="342"/>
      <c r="Y113" s="342"/>
    </row>
    <row r="114" ht="81.0" customHeight="1">
      <c r="A114" s="285"/>
      <c r="B114" s="285"/>
      <c r="C114" s="285"/>
      <c r="D114" s="285"/>
      <c r="E114" s="290"/>
      <c r="F114" s="288"/>
      <c r="G114" s="288"/>
      <c r="H114" s="288"/>
      <c r="I114" s="288"/>
      <c r="J114" s="561"/>
      <c r="K114" s="561"/>
      <c r="L114" s="290"/>
      <c r="M114" s="285"/>
      <c r="N114" s="285"/>
      <c r="O114" s="342"/>
      <c r="P114" s="342"/>
      <c r="Q114" s="342"/>
      <c r="R114" s="342"/>
      <c r="S114" s="342"/>
      <c r="T114" s="342"/>
      <c r="U114" s="342"/>
      <c r="V114" s="342"/>
      <c r="W114" s="342"/>
      <c r="X114" s="342"/>
      <c r="Y114" s="342"/>
    </row>
    <row r="115" ht="81.0" customHeight="1">
      <c r="A115" s="285"/>
      <c r="B115" s="285"/>
      <c r="C115" s="285"/>
      <c r="D115" s="285"/>
      <c r="E115" s="290"/>
      <c r="F115" s="288"/>
      <c r="G115" s="288"/>
      <c r="H115" s="288"/>
      <c r="I115" s="285"/>
      <c r="J115" s="561"/>
      <c r="K115" s="561"/>
      <c r="L115" s="290"/>
      <c r="M115" s="285"/>
      <c r="N115" s="285"/>
      <c r="O115" s="342"/>
      <c r="P115" s="342"/>
      <c r="Q115" s="342"/>
      <c r="R115" s="342"/>
      <c r="S115" s="342"/>
      <c r="T115" s="342"/>
      <c r="U115" s="342"/>
      <c r="V115" s="342"/>
      <c r="W115" s="342"/>
      <c r="X115" s="342"/>
      <c r="Y115" s="342"/>
    </row>
    <row r="116" ht="81.0" customHeight="1">
      <c r="A116" s="285"/>
      <c r="B116" s="285"/>
      <c r="C116" s="285"/>
      <c r="D116" s="285"/>
      <c r="E116" s="290"/>
      <c r="F116" s="288"/>
      <c r="G116" s="288"/>
      <c r="H116" s="288"/>
      <c r="I116" s="285"/>
      <c r="J116" s="285"/>
      <c r="K116" s="581"/>
      <c r="L116" s="290"/>
      <c r="M116" s="285"/>
      <c r="N116" s="285"/>
      <c r="O116" s="342"/>
      <c r="P116" s="342"/>
      <c r="Q116" s="342"/>
      <c r="R116" s="342"/>
      <c r="S116" s="342"/>
      <c r="T116" s="342"/>
      <c r="U116" s="342"/>
      <c r="V116" s="342"/>
      <c r="W116" s="342"/>
      <c r="X116" s="342"/>
      <c r="Y116" s="342"/>
    </row>
    <row r="117" ht="81.0" customHeight="1">
      <c r="A117" s="285"/>
      <c r="B117" s="285"/>
      <c r="C117" s="285"/>
      <c r="D117" s="285"/>
      <c r="E117" s="290"/>
      <c r="F117" s="288"/>
      <c r="G117" s="288"/>
      <c r="H117" s="288"/>
      <c r="I117" s="288"/>
      <c r="J117" s="561"/>
      <c r="K117" s="561"/>
      <c r="L117" s="290"/>
      <c r="M117" s="285"/>
      <c r="N117" s="285"/>
      <c r="O117" s="342"/>
      <c r="P117" s="342"/>
      <c r="Q117" s="342"/>
      <c r="R117" s="342"/>
      <c r="S117" s="342"/>
      <c r="T117" s="342"/>
      <c r="U117" s="342"/>
      <c r="V117" s="342"/>
      <c r="W117" s="342"/>
      <c r="X117" s="342"/>
      <c r="Y117" s="342"/>
    </row>
    <row r="118" ht="81.0" customHeight="1">
      <c r="A118" s="285"/>
      <c r="B118" s="285"/>
      <c r="C118" s="285"/>
      <c r="D118" s="285"/>
      <c r="E118" s="290"/>
      <c r="F118" s="288"/>
      <c r="G118" s="288"/>
      <c r="H118" s="288"/>
      <c r="I118" s="288"/>
      <c r="J118" s="285"/>
      <c r="K118" s="285"/>
      <c r="L118" s="290"/>
      <c r="M118" s="285"/>
      <c r="N118" s="285"/>
      <c r="O118" s="342"/>
      <c r="P118" s="342"/>
      <c r="Q118" s="342"/>
      <c r="R118" s="342"/>
      <c r="S118" s="342"/>
      <c r="T118" s="342"/>
      <c r="U118" s="342"/>
      <c r="V118" s="342"/>
      <c r="W118" s="342"/>
      <c r="X118" s="342"/>
      <c r="Y118" s="342"/>
    </row>
    <row r="119" ht="81.0" customHeight="1">
      <c r="A119" s="285"/>
      <c r="B119" s="285"/>
      <c r="C119" s="285"/>
      <c r="D119" s="285"/>
      <c r="E119" s="290"/>
      <c r="F119" s="288"/>
      <c r="G119" s="288"/>
      <c r="H119" s="288"/>
      <c r="I119" s="288"/>
      <c r="J119" s="561"/>
      <c r="K119" s="561"/>
      <c r="L119" s="290"/>
      <c r="M119" s="285"/>
      <c r="N119" s="285"/>
      <c r="O119" s="342"/>
      <c r="P119" s="342"/>
      <c r="Q119" s="342"/>
      <c r="R119" s="342"/>
      <c r="S119" s="342"/>
      <c r="T119" s="342"/>
      <c r="U119" s="342"/>
      <c r="V119" s="342"/>
      <c r="W119" s="342"/>
      <c r="X119" s="342"/>
      <c r="Y119" s="342"/>
    </row>
    <row r="120" ht="81.0" customHeight="1">
      <c r="A120" s="285"/>
      <c r="B120" s="285"/>
      <c r="C120" s="285"/>
      <c r="D120" s="285"/>
      <c r="E120" s="290"/>
      <c r="F120" s="288"/>
      <c r="G120" s="288"/>
      <c r="H120" s="288"/>
      <c r="I120" s="288"/>
      <c r="J120" s="561"/>
      <c r="K120" s="561"/>
      <c r="L120" s="290"/>
      <c r="M120" s="285"/>
      <c r="N120" s="285"/>
      <c r="O120" s="342"/>
      <c r="P120" s="342"/>
      <c r="Q120" s="342"/>
      <c r="R120" s="342"/>
      <c r="S120" s="342"/>
      <c r="T120" s="342"/>
      <c r="U120" s="342"/>
      <c r="V120" s="342"/>
      <c r="W120" s="342"/>
      <c r="X120" s="342"/>
      <c r="Y120" s="342"/>
    </row>
    <row r="121" ht="81.0" customHeight="1">
      <c r="A121" s="285"/>
      <c r="B121" s="285"/>
      <c r="C121" s="285"/>
      <c r="D121" s="285"/>
      <c r="E121" s="290"/>
      <c r="F121" s="288"/>
      <c r="G121" s="288"/>
      <c r="H121" s="288"/>
      <c r="I121" s="288"/>
      <c r="J121" s="561"/>
      <c r="K121" s="561"/>
      <c r="L121" s="290"/>
      <c r="M121" s="285"/>
      <c r="N121" s="285"/>
      <c r="O121" s="342"/>
      <c r="P121" s="342"/>
      <c r="Q121" s="342"/>
      <c r="R121" s="342"/>
      <c r="S121" s="342"/>
      <c r="T121" s="342"/>
      <c r="U121" s="342"/>
      <c r="V121" s="342"/>
      <c r="W121" s="342"/>
      <c r="X121" s="342"/>
      <c r="Y121" s="342"/>
    </row>
    <row r="122" ht="81.0" customHeight="1">
      <c r="A122" s="285"/>
      <c r="B122" s="285"/>
      <c r="C122" s="285"/>
      <c r="D122" s="285"/>
      <c r="E122" s="290"/>
      <c r="F122" s="288"/>
      <c r="G122" s="288"/>
      <c r="H122" s="288"/>
      <c r="I122" s="288"/>
      <c r="J122" s="285"/>
      <c r="K122" s="285"/>
      <c r="L122" s="290"/>
      <c r="M122" s="285"/>
      <c r="N122" s="285"/>
      <c r="O122" s="342"/>
      <c r="P122" s="342"/>
      <c r="Q122" s="342"/>
      <c r="R122" s="342"/>
      <c r="S122" s="342"/>
      <c r="T122" s="342"/>
      <c r="U122" s="342"/>
      <c r="V122" s="342"/>
      <c r="W122" s="342"/>
      <c r="X122" s="342"/>
      <c r="Y122" s="342"/>
    </row>
    <row r="123" ht="81.0" customHeight="1">
      <c r="A123" s="285"/>
      <c r="B123" s="285"/>
      <c r="C123" s="285"/>
      <c r="D123" s="285"/>
      <c r="E123" s="290"/>
      <c r="F123" s="288"/>
      <c r="G123" s="288"/>
      <c r="H123" s="288"/>
      <c r="I123" s="288"/>
      <c r="J123" s="285"/>
      <c r="K123" s="285"/>
      <c r="L123" s="290"/>
      <c r="M123" s="285"/>
      <c r="N123" s="285"/>
      <c r="O123" s="342"/>
      <c r="P123" s="342"/>
      <c r="Q123" s="342"/>
      <c r="R123" s="342"/>
      <c r="S123" s="342"/>
      <c r="T123" s="342"/>
      <c r="U123" s="342"/>
      <c r="V123" s="342"/>
      <c r="W123" s="342"/>
      <c r="X123" s="342"/>
      <c r="Y123" s="342"/>
    </row>
    <row r="124" ht="81.0" customHeight="1">
      <c r="A124" s="285"/>
      <c r="B124" s="285"/>
      <c r="C124" s="285"/>
      <c r="D124" s="285"/>
      <c r="E124" s="290"/>
      <c r="F124" s="288"/>
      <c r="G124" s="288"/>
      <c r="H124" s="288"/>
      <c r="I124" s="288"/>
      <c r="J124" s="561"/>
      <c r="K124" s="561"/>
      <c r="L124" s="290"/>
      <c r="M124" s="285"/>
      <c r="N124" s="285"/>
      <c r="O124" s="342"/>
      <c r="P124" s="342"/>
      <c r="Q124" s="342"/>
      <c r="R124" s="342"/>
      <c r="S124" s="342"/>
      <c r="T124" s="342"/>
      <c r="U124" s="342"/>
      <c r="V124" s="342"/>
      <c r="W124" s="342"/>
      <c r="X124" s="342"/>
      <c r="Y124" s="342"/>
    </row>
    <row r="125" ht="81.0" customHeight="1">
      <c r="A125" s="285"/>
      <c r="B125" s="285"/>
      <c r="C125" s="285"/>
      <c r="D125" s="285"/>
      <c r="E125" s="290"/>
      <c r="F125" s="288"/>
      <c r="G125" s="288"/>
      <c r="H125" s="288"/>
      <c r="I125" s="288"/>
      <c r="J125" s="561"/>
      <c r="K125" s="561"/>
      <c r="L125" s="290"/>
      <c r="M125" s="285"/>
      <c r="N125" s="285"/>
      <c r="O125" s="342"/>
      <c r="P125" s="342"/>
      <c r="Q125" s="342"/>
      <c r="R125" s="342"/>
      <c r="S125" s="342"/>
      <c r="T125" s="342"/>
      <c r="U125" s="342"/>
      <c r="V125" s="342"/>
      <c r="W125" s="342"/>
      <c r="X125" s="342"/>
      <c r="Y125" s="342"/>
    </row>
    <row r="126" ht="81.0" customHeight="1">
      <c r="A126" s="285"/>
      <c r="B126" s="285"/>
      <c r="C126" s="285"/>
      <c r="D126" s="285"/>
      <c r="E126" s="290"/>
      <c r="F126" s="288"/>
      <c r="G126" s="288"/>
      <c r="H126" s="288"/>
      <c r="I126" s="288"/>
      <c r="J126" s="285"/>
      <c r="K126" s="285"/>
      <c r="L126" s="290"/>
      <c r="M126" s="285"/>
      <c r="N126" s="285"/>
      <c r="O126" s="342"/>
      <c r="P126" s="342"/>
      <c r="Q126" s="342"/>
      <c r="R126" s="342"/>
      <c r="S126" s="342"/>
      <c r="T126" s="342"/>
      <c r="U126" s="342"/>
      <c r="V126" s="342"/>
      <c r="W126" s="342"/>
      <c r="X126" s="342"/>
      <c r="Y126" s="342"/>
    </row>
    <row r="127" ht="81.0" customHeight="1">
      <c r="A127" s="596"/>
      <c r="B127" s="285"/>
      <c r="C127" s="285"/>
      <c r="D127" s="285"/>
      <c r="E127" s="290"/>
      <c r="F127" s="288"/>
      <c r="G127" s="288"/>
      <c r="H127" s="288"/>
      <c r="I127" s="288"/>
      <c r="J127" s="561"/>
      <c r="K127" s="561"/>
      <c r="L127" s="290"/>
      <c r="M127" s="285"/>
      <c r="N127" s="285"/>
      <c r="O127" s="342"/>
      <c r="P127" s="342"/>
      <c r="Q127" s="342"/>
      <c r="R127" s="342"/>
      <c r="S127" s="342"/>
      <c r="T127" s="342"/>
      <c r="U127" s="342"/>
      <c r="V127" s="342"/>
      <c r="W127" s="342"/>
      <c r="X127" s="342"/>
      <c r="Y127" s="342"/>
    </row>
    <row r="128" ht="81.0" customHeight="1">
      <c r="A128" s="285"/>
      <c r="B128" s="285"/>
      <c r="C128" s="285"/>
      <c r="D128" s="285"/>
      <c r="E128" s="290"/>
      <c r="F128" s="288"/>
      <c r="G128" s="288"/>
      <c r="H128" s="288"/>
      <c r="I128" s="288"/>
      <c r="J128" s="561"/>
      <c r="K128" s="561"/>
      <c r="L128" s="290"/>
      <c r="M128" s="285"/>
      <c r="N128" s="285"/>
      <c r="O128" s="342"/>
      <c r="P128" s="342"/>
      <c r="Q128" s="342"/>
      <c r="R128" s="342"/>
      <c r="S128" s="342"/>
      <c r="T128" s="342"/>
      <c r="U128" s="342"/>
      <c r="V128" s="342"/>
      <c r="W128" s="342"/>
      <c r="X128" s="342"/>
      <c r="Y128" s="342"/>
    </row>
    <row r="129" ht="95.25" customHeight="1">
      <c r="A129" s="285"/>
      <c r="B129" s="285"/>
      <c r="C129" s="285"/>
      <c r="D129" s="285"/>
      <c r="E129" s="290"/>
      <c r="F129" s="288"/>
      <c r="G129" s="288"/>
      <c r="H129" s="288"/>
      <c r="I129" s="285"/>
      <c r="J129" s="561"/>
      <c r="K129" s="561"/>
      <c r="L129" s="290"/>
      <c r="M129" s="285"/>
      <c r="N129" s="285"/>
      <c r="O129" s="342"/>
      <c r="P129" s="342"/>
      <c r="Q129" s="342"/>
      <c r="R129" s="342"/>
      <c r="S129" s="342"/>
      <c r="T129" s="342"/>
      <c r="U129" s="342"/>
      <c r="V129" s="342"/>
      <c r="W129" s="342"/>
      <c r="X129" s="342"/>
      <c r="Y129" s="342"/>
    </row>
    <row r="130" ht="81.0" customHeight="1">
      <c r="A130" s="285"/>
      <c r="B130" s="285"/>
      <c r="C130" s="285"/>
      <c r="D130" s="285"/>
      <c r="E130" s="290"/>
      <c r="F130" s="288"/>
      <c r="G130" s="288"/>
      <c r="H130" s="288"/>
      <c r="I130" s="285"/>
      <c r="J130" s="285"/>
      <c r="K130" s="285"/>
      <c r="L130" s="290"/>
      <c r="M130" s="285"/>
      <c r="N130" s="285"/>
      <c r="O130" s="342"/>
      <c r="P130" s="342"/>
      <c r="Q130" s="342"/>
      <c r="R130" s="342"/>
      <c r="S130" s="342"/>
      <c r="T130" s="342"/>
      <c r="U130" s="342"/>
      <c r="V130" s="342"/>
      <c r="W130" s="342"/>
      <c r="X130" s="342"/>
      <c r="Y130" s="342"/>
    </row>
    <row r="131" ht="81.0" customHeight="1">
      <c r="A131" s="285"/>
      <c r="B131" s="285"/>
      <c r="C131" s="285"/>
      <c r="D131" s="285"/>
      <c r="E131" s="290"/>
      <c r="F131" s="288"/>
      <c r="G131" s="288"/>
      <c r="H131" s="288"/>
      <c r="I131" s="367"/>
      <c r="J131" s="561"/>
      <c r="K131" s="561"/>
      <c r="L131" s="290"/>
      <c r="M131" s="285"/>
      <c r="N131" s="285"/>
      <c r="O131" s="342"/>
      <c r="P131" s="342"/>
      <c r="Q131" s="342"/>
      <c r="R131" s="342"/>
      <c r="S131" s="342"/>
      <c r="T131" s="342"/>
      <c r="U131" s="342"/>
      <c r="V131" s="342"/>
      <c r="W131" s="342"/>
      <c r="X131" s="342"/>
      <c r="Y131" s="342"/>
    </row>
    <row r="132" ht="108.75" customHeight="1">
      <c r="A132" s="285"/>
      <c r="B132" s="285"/>
      <c r="C132" s="285"/>
      <c r="D132" s="285"/>
      <c r="E132" s="290"/>
      <c r="F132" s="288"/>
      <c r="G132" s="288"/>
      <c r="H132" s="288"/>
      <c r="I132" s="285"/>
      <c r="J132" s="561"/>
      <c r="K132" s="561"/>
      <c r="L132" s="290"/>
      <c r="M132" s="285"/>
      <c r="N132" s="285"/>
      <c r="O132" s="342"/>
      <c r="P132" s="342"/>
      <c r="Q132" s="342"/>
      <c r="R132" s="342"/>
      <c r="S132" s="342"/>
      <c r="T132" s="342"/>
      <c r="U132" s="342"/>
      <c r="V132" s="342"/>
      <c r="W132" s="342"/>
      <c r="X132" s="342"/>
      <c r="Y132" s="342"/>
    </row>
    <row r="133" ht="81.0" customHeight="1">
      <c r="A133" s="596"/>
      <c r="B133" s="285"/>
      <c r="C133" s="285"/>
      <c r="D133" s="285"/>
      <c r="E133" s="290"/>
      <c r="F133" s="288"/>
      <c r="G133" s="288"/>
      <c r="H133" s="288"/>
      <c r="I133" s="288"/>
      <c r="J133" s="285"/>
      <c r="K133" s="285"/>
      <c r="L133" s="290"/>
      <c r="M133" s="285"/>
      <c r="N133" s="285"/>
      <c r="O133" s="342"/>
      <c r="P133" s="342"/>
      <c r="Q133" s="342"/>
      <c r="R133" s="342"/>
      <c r="S133" s="342"/>
      <c r="T133" s="342"/>
      <c r="U133" s="342"/>
      <c r="V133" s="342"/>
      <c r="W133" s="342"/>
      <c r="X133" s="342"/>
      <c r="Y133" s="342"/>
    </row>
    <row r="134" ht="81.0" customHeight="1">
      <c r="A134" s="285"/>
      <c r="B134" s="285"/>
      <c r="C134" s="285"/>
      <c r="D134" s="367"/>
      <c r="E134" s="290"/>
      <c r="F134" s="288"/>
      <c r="G134" s="288"/>
      <c r="H134" s="288"/>
      <c r="I134" s="288"/>
      <c r="J134" s="561"/>
      <c r="K134" s="561"/>
      <c r="L134" s="290"/>
      <c r="M134" s="285"/>
      <c r="N134" s="285"/>
      <c r="O134" s="342"/>
      <c r="P134" s="342"/>
      <c r="Q134" s="342"/>
      <c r="R134" s="342"/>
      <c r="S134" s="342"/>
      <c r="T134" s="342"/>
      <c r="U134" s="342"/>
      <c r="V134" s="342"/>
      <c r="W134" s="342"/>
      <c r="X134" s="342"/>
      <c r="Y134" s="342"/>
    </row>
    <row r="135" ht="81.0" customHeight="1">
      <c r="A135" s="285"/>
      <c r="B135" s="285"/>
      <c r="C135" s="285"/>
      <c r="D135" s="285"/>
      <c r="E135" s="290"/>
      <c r="F135" s="288"/>
      <c r="G135" s="288"/>
      <c r="H135" s="288"/>
      <c r="I135" s="285"/>
      <c r="J135" s="285"/>
      <c r="K135" s="285"/>
      <c r="L135" s="290"/>
      <c r="M135" s="285"/>
      <c r="N135" s="285"/>
      <c r="O135" s="342"/>
      <c r="P135" s="342"/>
      <c r="Q135" s="342"/>
      <c r="R135" s="342"/>
      <c r="S135" s="342"/>
      <c r="T135" s="342"/>
      <c r="U135" s="342"/>
      <c r="V135" s="342"/>
      <c r="W135" s="342"/>
      <c r="X135" s="342"/>
      <c r="Y135" s="342"/>
    </row>
    <row r="136" ht="81.0" customHeight="1">
      <c r="A136" s="285"/>
      <c r="B136" s="285"/>
      <c r="C136" s="285"/>
      <c r="D136" s="285"/>
      <c r="E136" s="290"/>
      <c r="F136" s="288"/>
      <c r="G136" s="288"/>
      <c r="H136" s="288"/>
      <c r="I136" s="285"/>
      <c r="J136" s="285"/>
      <c r="K136" s="285"/>
      <c r="L136" s="290"/>
      <c r="M136" s="285"/>
      <c r="N136" s="285"/>
      <c r="O136" s="342"/>
      <c r="P136" s="342"/>
      <c r="Q136" s="342"/>
      <c r="R136" s="342"/>
      <c r="S136" s="342"/>
      <c r="T136" s="342"/>
      <c r="U136" s="342"/>
      <c r="V136" s="342"/>
      <c r="W136" s="342"/>
      <c r="X136" s="342"/>
      <c r="Y136" s="342"/>
    </row>
    <row r="137" ht="81.0" customHeight="1">
      <c r="A137" s="285"/>
      <c r="B137" s="285"/>
      <c r="C137" s="285"/>
      <c r="D137" s="367"/>
      <c r="E137" s="290"/>
      <c r="F137" s="288"/>
      <c r="G137" s="288"/>
      <c r="H137" s="288"/>
      <c r="I137" s="288"/>
      <c r="J137" s="561"/>
      <c r="K137" s="561"/>
      <c r="L137" s="290"/>
      <c r="M137" s="285"/>
      <c r="N137" s="285"/>
      <c r="O137" s="342"/>
      <c r="P137" s="342"/>
      <c r="Q137" s="342"/>
      <c r="R137" s="342"/>
      <c r="S137" s="342"/>
      <c r="T137" s="342"/>
      <c r="U137" s="342"/>
      <c r="V137" s="342"/>
      <c r="W137" s="342"/>
      <c r="X137" s="342"/>
      <c r="Y137" s="342"/>
    </row>
    <row r="138" ht="102.0" customHeight="1">
      <c r="A138" s="285"/>
      <c r="B138" s="285"/>
      <c r="C138" s="285"/>
      <c r="D138" s="285"/>
      <c r="E138" s="290"/>
      <c r="F138" s="288"/>
      <c r="G138" s="288"/>
      <c r="H138" s="288"/>
      <c r="I138" s="285"/>
      <c r="J138" s="561"/>
      <c r="K138" s="561"/>
      <c r="L138" s="290"/>
      <c r="M138" s="285"/>
      <c r="N138" s="285"/>
      <c r="O138" s="342"/>
      <c r="P138" s="342"/>
      <c r="Q138" s="342"/>
      <c r="R138" s="342"/>
      <c r="S138" s="342"/>
      <c r="T138" s="342"/>
      <c r="U138" s="342"/>
      <c r="V138" s="342"/>
      <c r="W138" s="342"/>
      <c r="X138" s="342"/>
      <c r="Y138" s="342"/>
    </row>
    <row r="139" ht="81.0" customHeight="1">
      <c r="A139" s="285"/>
      <c r="B139" s="285"/>
      <c r="C139" s="285"/>
      <c r="D139" s="285"/>
      <c r="E139" s="290"/>
      <c r="F139" s="288"/>
      <c r="G139" s="288"/>
      <c r="H139" s="288"/>
      <c r="I139" s="288"/>
      <c r="J139" s="561"/>
      <c r="K139" s="561"/>
      <c r="L139" s="290"/>
      <c r="M139" s="285"/>
      <c r="N139" s="285"/>
      <c r="O139" s="342"/>
      <c r="P139" s="342"/>
      <c r="Q139" s="342"/>
      <c r="R139" s="342"/>
      <c r="S139" s="342"/>
      <c r="T139" s="342"/>
      <c r="U139" s="342"/>
      <c r="V139" s="342"/>
      <c r="W139" s="342"/>
      <c r="X139" s="342"/>
      <c r="Y139" s="342"/>
    </row>
    <row r="140" ht="81.0" customHeight="1">
      <c r="A140" s="285"/>
      <c r="B140" s="285"/>
      <c r="C140" s="285"/>
      <c r="D140" s="285"/>
      <c r="E140" s="290"/>
      <c r="F140" s="288"/>
      <c r="G140" s="288"/>
      <c r="H140" s="288"/>
      <c r="I140" s="285"/>
      <c r="J140" s="561"/>
      <c r="K140" s="561"/>
      <c r="L140" s="290"/>
      <c r="M140" s="285"/>
      <c r="N140" s="285"/>
      <c r="O140" s="342"/>
      <c r="P140" s="342"/>
      <c r="Q140" s="342"/>
      <c r="R140" s="342"/>
      <c r="S140" s="342"/>
      <c r="T140" s="342"/>
      <c r="U140" s="342"/>
      <c r="V140" s="342"/>
      <c r="W140" s="342"/>
      <c r="X140" s="342"/>
      <c r="Y140" s="342"/>
    </row>
    <row r="141" ht="84.0" customHeight="1">
      <c r="A141" s="285"/>
      <c r="B141" s="285"/>
      <c r="C141" s="285"/>
      <c r="D141" s="285"/>
      <c r="E141" s="290"/>
      <c r="F141" s="288"/>
      <c r="G141" s="288"/>
      <c r="H141" s="288"/>
      <c r="I141" s="288"/>
      <c r="J141" s="285"/>
      <c r="K141" s="285"/>
      <c r="L141" s="290"/>
      <c r="M141" s="285"/>
      <c r="N141" s="285"/>
      <c r="O141" s="342"/>
      <c r="P141" s="342"/>
      <c r="Q141" s="342"/>
      <c r="R141" s="342"/>
      <c r="S141" s="342"/>
      <c r="T141" s="342"/>
      <c r="U141" s="342"/>
      <c r="V141" s="342"/>
      <c r="W141" s="342"/>
      <c r="X141" s="342"/>
      <c r="Y141" s="342"/>
    </row>
    <row r="142" ht="81.0" customHeight="1">
      <c r="A142" s="285"/>
      <c r="B142" s="285"/>
      <c r="C142" s="285"/>
      <c r="D142" s="285"/>
      <c r="E142" s="290"/>
      <c r="F142" s="288"/>
      <c r="G142" s="288"/>
      <c r="H142" s="288"/>
      <c r="I142" s="285"/>
      <c r="J142" s="561"/>
      <c r="K142" s="561"/>
      <c r="L142" s="290"/>
      <c r="M142" s="285"/>
      <c r="N142" s="285"/>
      <c r="O142" s="342"/>
      <c r="P142" s="342"/>
      <c r="Q142" s="342"/>
      <c r="R142" s="342"/>
      <c r="S142" s="342"/>
      <c r="T142" s="342"/>
      <c r="U142" s="342"/>
      <c r="V142" s="342"/>
      <c r="W142" s="342"/>
      <c r="X142" s="342"/>
      <c r="Y142" s="342"/>
    </row>
    <row r="143" ht="81.0" customHeight="1">
      <c r="A143" s="285"/>
      <c r="B143" s="285"/>
      <c r="C143" s="285"/>
      <c r="D143" s="285"/>
      <c r="E143" s="290"/>
      <c r="F143" s="288"/>
      <c r="G143" s="288"/>
      <c r="H143" s="288"/>
      <c r="I143" s="288"/>
      <c r="J143" s="561"/>
      <c r="K143" s="561"/>
      <c r="L143" s="290"/>
      <c r="M143" s="285"/>
      <c r="N143" s="285"/>
      <c r="O143" s="342"/>
      <c r="P143" s="342"/>
      <c r="Q143" s="342"/>
      <c r="R143" s="342"/>
      <c r="S143" s="342"/>
      <c r="T143" s="342"/>
      <c r="U143" s="342"/>
      <c r="V143" s="342"/>
      <c r="W143" s="342"/>
      <c r="X143" s="342"/>
      <c r="Y143" s="342"/>
    </row>
    <row r="144" ht="81.0" customHeight="1">
      <c r="A144" s="285"/>
      <c r="B144" s="285"/>
      <c r="C144" s="285"/>
      <c r="D144" s="285"/>
      <c r="E144" s="290"/>
      <c r="F144" s="288"/>
      <c r="G144" s="288"/>
      <c r="H144" s="288"/>
      <c r="I144" s="285"/>
      <c r="J144" s="285"/>
      <c r="K144" s="285"/>
      <c r="L144" s="290"/>
      <c r="M144" s="285"/>
      <c r="N144" s="285"/>
      <c r="O144" s="342"/>
      <c r="P144" s="342"/>
      <c r="Q144" s="342"/>
      <c r="R144" s="342"/>
      <c r="S144" s="342"/>
      <c r="T144" s="342"/>
      <c r="U144" s="342"/>
      <c r="V144" s="342"/>
      <c r="W144" s="342"/>
      <c r="X144" s="342"/>
      <c r="Y144" s="342"/>
    </row>
    <row r="145" ht="81.0" customHeight="1">
      <c r="A145" s="285"/>
      <c r="B145" s="285"/>
      <c r="C145" s="285"/>
      <c r="D145" s="285"/>
      <c r="E145" s="290"/>
      <c r="F145" s="288"/>
      <c r="G145" s="288"/>
      <c r="H145" s="288"/>
      <c r="I145" s="288"/>
      <c r="J145" s="561"/>
      <c r="K145" s="561"/>
      <c r="L145" s="290"/>
      <c r="M145" s="285"/>
      <c r="N145" s="285"/>
      <c r="O145" s="342"/>
      <c r="P145" s="342"/>
      <c r="Q145" s="342"/>
      <c r="R145" s="342"/>
      <c r="S145" s="342"/>
      <c r="T145" s="342"/>
      <c r="U145" s="342"/>
      <c r="V145" s="342"/>
      <c r="W145" s="342"/>
      <c r="X145" s="342"/>
      <c r="Y145" s="342"/>
    </row>
    <row r="146" ht="81.0" customHeight="1">
      <c r="A146" s="285"/>
      <c r="B146" s="285"/>
      <c r="C146" s="285"/>
      <c r="D146" s="285"/>
      <c r="E146" s="290"/>
      <c r="F146" s="288"/>
      <c r="G146" s="288"/>
      <c r="H146" s="288"/>
      <c r="I146" s="288"/>
      <c r="J146" s="561"/>
      <c r="K146" s="561"/>
      <c r="L146" s="290"/>
      <c r="M146" s="285"/>
      <c r="N146" s="285"/>
      <c r="O146" s="342"/>
      <c r="P146" s="342"/>
      <c r="Q146" s="342"/>
      <c r="R146" s="342"/>
      <c r="S146" s="342"/>
      <c r="T146" s="342"/>
      <c r="U146" s="342"/>
      <c r="V146" s="342"/>
      <c r="W146" s="342"/>
      <c r="X146" s="342"/>
      <c r="Y146" s="342"/>
    </row>
    <row r="147" ht="81.0" customHeight="1">
      <c r="A147" s="285"/>
      <c r="B147" s="285"/>
      <c r="C147" s="285"/>
      <c r="D147" s="285"/>
      <c r="E147" s="290"/>
      <c r="F147" s="288"/>
      <c r="G147" s="288"/>
      <c r="H147" s="288"/>
      <c r="I147" s="285"/>
      <c r="J147" s="561"/>
      <c r="K147" s="561"/>
      <c r="L147" s="290"/>
      <c r="M147" s="285"/>
      <c r="N147" s="285"/>
      <c r="O147" s="342"/>
      <c r="P147" s="342"/>
      <c r="Q147" s="342"/>
      <c r="R147" s="342"/>
      <c r="S147" s="342"/>
      <c r="T147" s="342"/>
      <c r="U147" s="342"/>
      <c r="V147" s="342"/>
      <c r="W147" s="342"/>
      <c r="X147" s="342"/>
      <c r="Y147" s="342"/>
    </row>
    <row r="148" ht="81.0" customHeight="1">
      <c r="A148" s="285"/>
      <c r="B148" s="285"/>
      <c r="C148" s="285"/>
      <c r="D148" s="285"/>
      <c r="E148" s="290"/>
      <c r="F148" s="288"/>
      <c r="G148" s="288"/>
      <c r="H148" s="288"/>
      <c r="I148" s="285"/>
      <c r="J148" s="561"/>
      <c r="K148" s="561"/>
      <c r="L148" s="290"/>
      <c r="M148" s="285"/>
      <c r="N148" s="285"/>
      <c r="O148" s="342"/>
      <c r="P148" s="342"/>
      <c r="Q148" s="342"/>
      <c r="R148" s="342"/>
      <c r="S148" s="342"/>
      <c r="T148" s="342"/>
      <c r="U148" s="342"/>
      <c r="V148" s="342"/>
      <c r="W148" s="342"/>
      <c r="X148" s="342"/>
      <c r="Y148" s="342"/>
    </row>
    <row r="149" ht="81.0" customHeight="1">
      <c r="A149" s="285"/>
      <c r="B149" s="285"/>
      <c r="C149" s="285"/>
      <c r="D149" s="285"/>
      <c r="E149" s="290"/>
      <c r="F149" s="288"/>
      <c r="G149" s="288"/>
      <c r="H149" s="288"/>
      <c r="I149" s="288"/>
      <c r="J149" s="561"/>
      <c r="K149" s="561"/>
      <c r="L149" s="290"/>
      <c r="M149" s="285"/>
      <c r="N149" s="285"/>
      <c r="O149" s="342"/>
      <c r="P149" s="342"/>
      <c r="Q149" s="342"/>
      <c r="R149" s="342"/>
      <c r="S149" s="342"/>
      <c r="T149" s="342"/>
      <c r="U149" s="342"/>
      <c r="V149" s="342"/>
      <c r="W149" s="342"/>
      <c r="X149" s="342"/>
      <c r="Y149" s="342"/>
    </row>
    <row r="150" ht="81.0" customHeight="1">
      <c r="A150" s="285"/>
      <c r="B150" s="285"/>
      <c r="C150" s="285"/>
      <c r="D150" s="285"/>
      <c r="E150" s="290"/>
      <c r="F150" s="288"/>
      <c r="G150" s="288"/>
      <c r="H150" s="288"/>
      <c r="I150" s="288"/>
      <c r="J150" s="561"/>
      <c r="K150" s="561"/>
      <c r="L150" s="290"/>
      <c r="M150" s="285"/>
      <c r="N150" s="285"/>
      <c r="O150" s="342"/>
      <c r="P150" s="342"/>
      <c r="Q150" s="342"/>
      <c r="R150" s="342"/>
      <c r="S150" s="342"/>
      <c r="T150" s="342"/>
      <c r="U150" s="342"/>
      <c r="V150" s="342"/>
      <c r="W150" s="342"/>
      <c r="X150" s="342"/>
      <c r="Y150" s="342"/>
    </row>
    <row r="151" ht="80.25" customHeight="1">
      <c r="A151" s="285"/>
      <c r="B151" s="285"/>
      <c r="C151" s="285"/>
      <c r="D151" s="285"/>
      <c r="E151" s="290"/>
      <c r="F151" s="288"/>
      <c r="G151" s="288"/>
      <c r="H151" s="288"/>
      <c r="I151" s="288"/>
      <c r="J151" s="561"/>
      <c r="K151" s="561"/>
      <c r="L151" s="290"/>
      <c r="M151" s="285"/>
      <c r="N151" s="285"/>
      <c r="O151" s="342"/>
      <c r="P151" s="342"/>
      <c r="Q151" s="342"/>
      <c r="R151" s="342"/>
      <c r="S151" s="342"/>
      <c r="T151" s="342"/>
      <c r="U151" s="342"/>
      <c r="V151" s="342"/>
      <c r="W151" s="342"/>
      <c r="X151" s="342"/>
      <c r="Y151" s="342"/>
    </row>
    <row r="152" ht="80.25" customHeight="1">
      <c r="A152" s="285"/>
      <c r="B152" s="285"/>
      <c r="C152" s="285"/>
      <c r="D152" s="285"/>
      <c r="E152" s="290"/>
      <c r="F152" s="288"/>
      <c r="G152" s="288"/>
      <c r="H152" s="288"/>
      <c r="I152" s="288"/>
      <c r="J152" s="561"/>
      <c r="K152" s="561"/>
      <c r="L152" s="290"/>
      <c r="M152" s="285"/>
      <c r="N152" s="285"/>
      <c r="O152" s="342"/>
      <c r="P152" s="342"/>
      <c r="Q152" s="342"/>
      <c r="R152" s="342"/>
      <c r="S152" s="342"/>
      <c r="T152" s="342"/>
      <c r="U152" s="342"/>
      <c r="V152" s="342"/>
      <c r="W152" s="342"/>
      <c r="X152" s="342"/>
      <c r="Y152" s="342"/>
    </row>
    <row r="153" ht="80.25" customHeight="1">
      <c r="A153" s="285"/>
      <c r="B153" s="285"/>
      <c r="C153" s="285"/>
      <c r="D153" s="285"/>
      <c r="E153" s="290"/>
      <c r="F153" s="288"/>
      <c r="G153" s="288"/>
      <c r="H153" s="288"/>
      <c r="I153" s="288"/>
      <c r="J153" s="285"/>
      <c r="K153" s="285"/>
      <c r="L153" s="290"/>
      <c r="M153" s="285"/>
      <c r="N153" s="285"/>
      <c r="O153" s="342"/>
      <c r="P153" s="342"/>
      <c r="Q153" s="342"/>
      <c r="R153" s="342"/>
      <c r="S153" s="342"/>
      <c r="T153" s="342"/>
      <c r="U153" s="342"/>
      <c r="V153" s="342"/>
      <c r="W153" s="342"/>
      <c r="X153" s="342"/>
      <c r="Y153" s="342"/>
    </row>
    <row r="154" ht="80.25" customHeight="1">
      <c r="A154" s="285"/>
      <c r="B154" s="285"/>
      <c r="C154" s="285"/>
      <c r="D154" s="285"/>
      <c r="E154" s="290"/>
      <c r="F154" s="288"/>
      <c r="G154" s="288"/>
      <c r="H154" s="288"/>
      <c r="I154" s="288"/>
      <c r="J154" s="561"/>
      <c r="K154" s="561"/>
      <c r="L154" s="290"/>
      <c r="M154" s="285"/>
      <c r="N154" s="285"/>
      <c r="O154" s="342"/>
      <c r="P154" s="342"/>
      <c r="Q154" s="342"/>
      <c r="R154" s="342"/>
      <c r="S154" s="342"/>
      <c r="T154" s="342"/>
      <c r="U154" s="342"/>
      <c r="V154" s="342"/>
      <c r="W154" s="342"/>
      <c r="X154" s="342"/>
      <c r="Y154" s="342"/>
    </row>
    <row r="155" ht="80.25" customHeight="1">
      <c r="A155" s="285"/>
      <c r="B155" s="285"/>
      <c r="C155" s="285"/>
      <c r="D155" s="285"/>
      <c r="E155" s="290"/>
      <c r="F155" s="288"/>
      <c r="G155" s="288"/>
      <c r="H155" s="288"/>
      <c r="I155" s="285"/>
      <c r="J155" s="561"/>
      <c r="K155" s="561"/>
      <c r="L155" s="290"/>
      <c r="M155" s="285"/>
      <c r="N155" s="285"/>
      <c r="O155" s="342"/>
      <c r="P155" s="342"/>
      <c r="Q155" s="342"/>
      <c r="R155" s="342"/>
      <c r="S155" s="342"/>
      <c r="T155" s="342"/>
      <c r="U155" s="342"/>
      <c r="V155" s="342"/>
      <c r="W155" s="342"/>
      <c r="X155" s="342"/>
      <c r="Y155" s="342"/>
    </row>
    <row r="156" ht="81.0" customHeight="1">
      <c r="A156" s="285"/>
      <c r="B156" s="285"/>
      <c r="C156" s="285"/>
      <c r="D156" s="285"/>
      <c r="E156" s="290"/>
      <c r="F156" s="288"/>
      <c r="G156" s="288"/>
      <c r="H156" s="288"/>
      <c r="I156" s="288"/>
      <c r="J156" s="285"/>
      <c r="K156" s="285"/>
      <c r="L156" s="290"/>
      <c r="M156" s="285"/>
      <c r="N156" s="285"/>
      <c r="O156" s="342"/>
      <c r="P156" s="342"/>
      <c r="Q156" s="342"/>
      <c r="R156" s="342"/>
      <c r="S156" s="342"/>
      <c r="T156" s="342"/>
      <c r="U156" s="342"/>
      <c r="V156" s="342"/>
      <c r="W156" s="342"/>
      <c r="X156" s="342"/>
      <c r="Y156" s="342"/>
    </row>
    <row r="157" ht="81.0" customHeight="1">
      <c r="A157" s="285"/>
      <c r="B157" s="285"/>
      <c r="C157" s="285"/>
      <c r="D157" s="285"/>
      <c r="E157" s="290"/>
      <c r="F157" s="288"/>
      <c r="G157" s="288"/>
      <c r="H157" s="288"/>
      <c r="I157" s="288"/>
      <c r="J157" s="561"/>
      <c r="K157" s="561"/>
      <c r="L157" s="290"/>
      <c r="M157" s="285"/>
      <c r="N157" s="285"/>
      <c r="O157" s="342"/>
      <c r="P157" s="342"/>
      <c r="Q157" s="342"/>
      <c r="R157" s="342"/>
      <c r="S157" s="342"/>
      <c r="T157" s="342"/>
      <c r="U157" s="342"/>
      <c r="V157" s="342"/>
      <c r="W157" s="342"/>
      <c r="X157" s="342"/>
      <c r="Y157" s="342"/>
    </row>
    <row r="158" ht="81.0" customHeight="1">
      <c r="A158" s="285"/>
      <c r="B158" s="285"/>
      <c r="C158" s="285"/>
      <c r="D158" s="285"/>
      <c r="E158" s="290"/>
      <c r="F158" s="288"/>
      <c r="G158" s="288"/>
      <c r="H158" s="288"/>
      <c r="I158" s="285"/>
      <c r="J158" s="561"/>
      <c r="K158" s="561"/>
      <c r="L158" s="290"/>
      <c r="M158" s="285"/>
      <c r="N158" s="285"/>
      <c r="O158" s="342"/>
      <c r="P158" s="342"/>
      <c r="Q158" s="342"/>
      <c r="R158" s="342"/>
      <c r="S158" s="342"/>
      <c r="T158" s="342"/>
      <c r="U158" s="342"/>
      <c r="V158" s="342"/>
      <c r="W158" s="342"/>
      <c r="X158" s="342"/>
      <c r="Y158" s="342"/>
    </row>
    <row r="159" ht="84.75" customHeight="1">
      <c r="A159" s="285"/>
      <c r="B159" s="285"/>
      <c r="C159" s="285"/>
      <c r="D159" s="285"/>
      <c r="E159" s="290"/>
      <c r="F159" s="288"/>
      <c r="G159" s="288"/>
      <c r="H159" s="288"/>
      <c r="I159" s="285"/>
      <c r="J159" s="285"/>
      <c r="K159" s="285"/>
      <c r="L159" s="290"/>
      <c r="M159" s="285"/>
      <c r="N159" s="285"/>
      <c r="O159" s="342"/>
      <c r="P159" s="342"/>
      <c r="Q159" s="342"/>
      <c r="R159" s="342"/>
      <c r="S159" s="342"/>
      <c r="T159" s="342"/>
      <c r="U159" s="342"/>
      <c r="V159" s="342"/>
      <c r="W159" s="342"/>
      <c r="X159" s="342"/>
      <c r="Y159" s="342"/>
    </row>
    <row r="160" ht="79.5" customHeight="1">
      <c r="A160" s="285"/>
      <c r="B160" s="285"/>
      <c r="C160" s="285"/>
      <c r="D160" s="285"/>
      <c r="E160" s="290"/>
      <c r="F160" s="288"/>
      <c r="G160" s="288"/>
      <c r="H160" s="288"/>
      <c r="I160" s="288"/>
      <c r="J160" s="561"/>
      <c r="K160" s="561"/>
      <c r="L160" s="290"/>
      <c r="M160" s="285"/>
      <c r="N160" s="285"/>
      <c r="O160" s="342"/>
      <c r="P160" s="342"/>
      <c r="Q160" s="342"/>
      <c r="R160" s="342"/>
      <c r="S160" s="342"/>
      <c r="T160" s="342"/>
      <c r="U160" s="342"/>
      <c r="V160" s="342"/>
      <c r="W160" s="342"/>
      <c r="X160" s="342"/>
      <c r="Y160" s="342"/>
    </row>
    <row r="161" ht="79.5" customHeight="1">
      <c r="A161" s="285"/>
      <c r="B161" s="285"/>
      <c r="C161" s="285"/>
      <c r="D161" s="285"/>
      <c r="E161" s="290"/>
      <c r="F161" s="288"/>
      <c r="G161" s="288"/>
      <c r="H161" s="288"/>
      <c r="I161" s="285"/>
      <c r="J161" s="561"/>
      <c r="K161" s="561"/>
      <c r="L161" s="290"/>
      <c r="M161" s="285"/>
      <c r="N161" s="285"/>
      <c r="O161" s="342"/>
      <c r="P161" s="342"/>
      <c r="Q161" s="342"/>
      <c r="R161" s="342"/>
      <c r="S161" s="342"/>
      <c r="T161" s="342"/>
      <c r="U161" s="342"/>
      <c r="V161" s="342"/>
      <c r="W161" s="342"/>
      <c r="X161" s="342"/>
      <c r="Y161" s="342"/>
    </row>
    <row r="162" ht="89.25" customHeight="1">
      <c r="A162" s="285"/>
      <c r="B162" s="285"/>
      <c r="C162" s="285"/>
      <c r="D162" s="285"/>
      <c r="E162" s="290"/>
      <c r="F162" s="288"/>
      <c r="G162" s="288"/>
      <c r="H162" s="288"/>
      <c r="I162" s="285"/>
      <c r="J162" s="285"/>
      <c r="K162" s="285"/>
      <c r="L162" s="290"/>
      <c r="M162" s="285"/>
      <c r="N162" s="285"/>
      <c r="O162" s="342"/>
      <c r="P162" s="342"/>
      <c r="Q162" s="342"/>
      <c r="R162" s="342"/>
      <c r="S162" s="342"/>
      <c r="T162" s="342"/>
      <c r="U162" s="342"/>
      <c r="V162" s="342"/>
      <c r="W162" s="342"/>
      <c r="X162" s="342"/>
      <c r="Y162" s="342"/>
    </row>
    <row r="163" ht="79.5" customHeight="1">
      <c r="A163" s="285"/>
      <c r="B163" s="285"/>
      <c r="C163" s="285"/>
      <c r="D163" s="285"/>
      <c r="E163" s="290"/>
      <c r="F163" s="288"/>
      <c r="G163" s="288"/>
      <c r="H163" s="288"/>
      <c r="I163" s="288"/>
      <c r="J163" s="561"/>
      <c r="K163" s="561"/>
      <c r="L163" s="290"/>
      <c r="M163" s="285"/>
      <c r="N163" s="285"/>
      <c r="O163" s="342"/>
      <c r="P163" s="342"/>
      <c r="Q163" s="342"/>
      <c r="R163" s="342"/>
      <c r="S163" s="342"/>
      <c r="T163" s="342"/>
      <c r="U163" s="342"/>
      <c r="V163" s="342"/>
      <c r="W163" s="342"/>
      <c r="X163" s="342"/>
      <c r="Y163" s="342"/>
    </row>
    <row r="164" ht="84.75" customHeight="1">
      <c r="A164" s="285"/>
      <c r="B164" s="285"/>
      <c r="C164" s="285"/>
      <c r="D164" s="285"/>
      <c r="E164" s="290"/>
      <c r="F164" s="288"/>
      <c r="G164" s="288"/>
      <c r="H164" s="288"/>
      <c r="I164" s="288"/>
      <c r="J164" s="285"/>
      <c r="K164" s="285"/>
      <c r="L164" s="290"/>
      <c r="M164" s="285"/>
      <c r="N164" s="285"/>
      <c r="O164" s="342"/>
      <c r="P164" s="342"/>
      <c r="Q164" s="342"/>
      <c r="R164" s="342"/>
      <c r="S164" s="342"/>
      <c r="T164" s="342"/>
      <c r="U164" s="342"/>
      <c r="V164" s="342"/>
      <c r="W164" s="342"/>
      <c r="X164" s="342"/>
      <c r="Y164" s="342"/>
    </row>
    <row r="165" ht="95.25" customHeight="1">
      <c r="A165" s="285"/>
      <c r="B165" s="285"/>
      <c r="C165" s="285"/>
      <c r="D165" s="285"/>
      <c r="E165" s="290"/>
      <c r="F165" s="288"/>
      <c r="G165" s="288"/>
      <c r="H165" s="288"/>
      <c r="I165" s="285"/>
      <c r="J165" s="561"/>
      <c r="K165" s="561"/>
      <c r="L165" s="290"/>
      <c r="M165" s="285"/>
      <c r="N165" s="285"/>
      <c r="O165" s="342"/>
      <c r="P165" s="342"/>
      <c r="Q165" s="342"/>
      <c r="R165" s="342"/>
      <c r="S165" s="342"/>
      <c r="T165" s="342"/>
      <c r="U165" s="342"/>
      <c r="V165" s="342"/>
      <c r="W165" s="342"/>
      <c r="X165" s="342"/>
      <c r="Y165" s="342"/>
    </row>
    <row r="166" ht="78.75" customHeight="1">
      <c r="A166" s="285"/>
      <c r="B166" s="285"/>
      <c r="C166" s="285"/>
      <c r="D166" s="285"/>
      <c r="E166" s="290"/>
      <c r="F166" s="288"/>
      <c r="G166" s="288"/>
      <c r="H166" s="288"/>
      <c r="I166" s="288"/>
      <c r="J166" s="561"/>
      <c r="K166" s="561"/>
      <c r="L166" s="290"/>
      <c r="M166" s="285"/>
      <c r="N166" s="285"/>
      <c r="O166" s="342"/>
      <c r="P166" s="342"/>
      <c r="Q166" s="342"/>
      <c r="R166" s="342"/>
      <c r="S166" s="342"/>
      <c r="T166" s="342"/>
      <c r="U166" s="342"/>
      <c r="V166" s="342"/>
      <c r="W166" s="342"/>
      <c r="X166" s="342"/>
      <c r="Y166" s="342"/>
    </row>
    <row r="167" ht="78.0" customHeight="1">
      <c r="A167" s="285"/>
      <c r="B167" s="285"/>
      <c r="C167" s="285"/>
      <c r="D167" s="285"/>
      <c r="E167" s="290"/>
      <c r="F167" s="288"/>
      <c r="G167" s="288"/>
      <c r="H167" s="288"/>
      <c r="I167" s="288"/>
      <c r="J167" s="561"/>
      <c r="K167" s="561"/>
      <c r="L167" s="290"/>
      <c r="M167" s="285"/>
      <c r="N167" s="285"/>
      <c r="O167" s="342"/>
      <c r="P167" s="342"/>
      <c r="Q167" s="342"/>
      <c r="R167" s="342"/>
      <c r="S167" s="342"/>
      <c r="T167" s="342"/>
      <c r="U167" s="342"/>
      <c r="V167" s="342"/>
      <c r="W167" s="342"/>
      <c r="X167" s="342"/>
      <c r="Y167" s="342"/>
    </row>
    <row r="168" ht="76.5" customHeight="1">
      <c r="A168" s="285"/>
      <c r="B168" s="285"/>
      <c r="C168" s="285"/>
      <c r="D168" s="285"/>
      <c r="E168" s="290"/>
      <c r="F168" s="288"/>
      <c r="G168" s="288"/>
      <c r="H168" s="288"/>
      <c r="I168" s="288"/>
      <c r="J168" s="561"/>
      <c r="K168" s="561"/>
      <c r="L168" s="290"/>
      <c r="M168" s="285"/>
      <c r="N168" s="285"/>
      <c r="O168" s="342"/>
      <c r="P168" s="342"/>
      <c r="Q168" s="342"/>
      <c r="R168" s="342"/>
      <c r="S168" s="342"/>
      <c r="T168" s="342"/>
      <c r="U168" s="342"/>
      <c r="V168" s="342"/>
      <c r="W168" s="342"/>
      <c r="X168" s="342"/>
      <c r="Y168" s="342"/>
    </row>
    <row r="169" ht="84.0" customHeight="1">
      <c r="A169" s="285"/>
      <c r="B169" s="285"/>
      <c r="C169" s="285"/>
      <c r="D169" s="285"/>
      <c r="E169" s="290"/>
      <c r="F169" s="288"/>
      <c r="G169" s="288"/>
      <c r="H169" s="288"/>
      <c r="I169" s="288"/>
      <c r="J169" s="561"/>
      <c r="K169" s="561"/>
      <c r="L169" s="290"/>
      <c r="M169" s="285"/>
      <c r="N169" s="285"/>
      <c r="O169" s="342"/>
      <c r="P169" s="342"/>
      <c r="Q169" s="342"/>
      <c r="R169" s="342"/>
      <c r="S169" s="342"/>
      <c r="T169" s="342"/>
      <c r="U169" s="342"/>
      <c r="V169" s="342"/>
      <c r="W169" s="342"/>
      <c r="X169" s="342"/>
      <c r="Y169" s="342"/>
    </row>
    <row r="170" ht="84.0" customHeight="1">
      <c r="A170" s="596"/>
      <c r="B170" s="285"/>
      <c r="C170" s="285"/>
      <c r="D170" s="285"/>
      <c r="E170" s="290"/>
      <c r="F170" s="288"/>
      <c r="G170" s="288"/>
      <c r="H170" s="288"/>
      <c r="I170" s="288"/>
      <c r="J170" s="561"/>
      <c r="K170" s="561"/>
      <c r="L170" s="290"/>
      <c r="M170" s="285"/>
      <c r="N170" s="285"/>
      <c r="O170" s="342"/>
      <c r="P170" s="342"/>
      <c r="Q170" s="342"/>
      <c r="R170" s="342"/>
      <c r="S170" s="342"/>
      <c r="T170" s="342"/>
      <c r="U170" s="342"/>
      <c r="V170" s="342"/>
      <c r="W170" s="342"/>
      <c r="X170" s="342"/>
      <c r="Y170" s="342"/>
    </row>
    <row r="171" ht="84.0" customHeight="1">
      <c r="A171" s="285"/>
      <c r="B171" s="285"/>
      <c r="C171" s="285"/>
      <c r="D171" s="285"/>
      <c r="E171" s="290"/>
      <c r="F171" s="288"/>
      <c r="G171" s="288"/>
      <c r="H171" s="288"/>
      <c r="I171" s="288"/>
      <c r="J171" s="561"/>
      <c r="K171" s="561"/>
      <c r="L171" s="290"/>
      <c r="M171" s="285"/>
      <c r="N171" s="285"/>
      <c r="O171" s="342"/>
      <c r="P171" s="342"/>
      <c r="Q171" s="342"/>
      <c r="R171" s="342"/>
      <c r="S171" s="342"/>
      <c r="T171" s="342"/>
      <c r="U171" s="342"/>
      <c r="V171" s="342"/>
      <c r="W171" s="342"/>
      <c r="X171" s="342"/>
      <c r="Y171" s="342"/>
    </row>
    <row r="172" ht="84.0" customHeight="1">
      <c r="A172" s="285"/>
      <c r="B172" s="285"/>
      <c r="C172" s="285"/>
      <c r="D172" s="285"/>
      <c r="E172" s="290"/>
      <c r="F172" s="288"/>
      <c r="G172" s="288"/>
      <c r="H172" s="288"/>
      <c r="I172" s="288"/>
      <c r="J172" s="285"/>
      <c r="K172" s="285"/>
      <c r="L172" s="290"/>
      <c r="M172" s="285"/>
      <c r="N172" s="285"/>
      <c r="O172" s="342"/>
      <c r="P172" s="342"/>
      <c r="Q172" s="342"/>
      <c r="R172" s="342"/>
      <c r="S172" s="342"/>
      <c r="T172" s="342"/>
      <c r="U172" s="342"/>
      <c r="V172" s="342"/>
      <c r="W172" s="342"/>
      <c r="X172" s="342"/>
      <c r="Y172" s="342"/>
    </row>
    <row r="173" ht="97.5" customHeight="1">
      <c r="A173" s="285"/>
      <c r="B173" s="285"/>
      <c r="C173" s="285"/>
      <c r="D173" s="285"/>
      <c r="E173" s="290"/>
      <c r="F173" s="288"/>
      <c r="G173" s="288"/>
      <c r="H173" s="288"/>
      <c r="I173" s="288"/>
      <c r="J173" s="561"/>
      <c r="K173" s="561"/>
      <c r="L173" s="290"/>
      <c r="M173" s="285"/>
      <c r="N173" s="285"/>
      <c r="O173" s="342"/>
      <c r="P173" s="342"/>
      <c r="Q173" s="342"/>
      <c r="R173" s="342"/>
      <c r="S173" s="342"/>
      <c r="T173" s="342"/>
      <c r="U173" s="342"/>
      <c r="V173" s="342"/>
      <c r="W173" s="342"/>
      <c r="X173" s="342"/>
      <c r="Y173" s="342"/>
    </row>
    <row r="174" ht="84.0" customHeight="1">
      <c r="A174" s="596"/>
      <c r="B174" s="285"/>
      <c r="C174" s="285"/>
      <c r="D174" s="285"/>
      <c r="E174" s="290"/>
      <c r="F174" s="288"/>
      <c r="G174" s="288"/>
      <c r="H174" s="288"/>
      <c r="I174" s="285"/>
      <c r="J174" s="561"/>
      <c r="K174" s="561"/>
      <c r="L174" s="290"/>
      <c r="M174" s="285"/>
      <c r="N174" s="285"/>
      <c r="O174" s="342"/>
      <c r="P174" s="342"/>
      <c r="Q174" s="342"/>
      <c r="R174" s="342"/>
      <c r="S174" s="342"/>
      <c r="T174" s="342"/>
      <c r="U174" s="342"/>
      <c r="V174" s="342"/>
      <c r="W174" s="342"/>
      <c r="X174" s="342"/>
      <c r="Y174" s="342"/>
    </row>
    <row r="175" ht="84.0" customHeight="1">
      <c r="A175" s="285"/>
      <c r="B175" s="285"/>
      <c r="C175" s="285"/>
      <c r="D175" s="285"/>
      <c r="E175" s="290"/>
      <c r="F175" s="288"/>
      <c r="G175" s="288"/>
      <c r="H175" s="288"/>
      <c r="I175" s="288"/>
      <c r="J175" s="561"/>
      <c r="K175" s="561"/>
      <c r="L175" s="290"/>
      <c r="M175" s="285"/>
      <c r="N175" s="285"/>
      <c r="O175" s="342"/>
      <c r="P175" s="342"/>
      <c r="Q175" s="342"/>
      <c r="R175" s="342"/>
      <c r="S175" s="342"/>
      <c r="T175" s="342"/>
      <c r="U175" s="342"/>
      <c r="V175" s="342"/>
      <c r="W175" s="342"/>
      <c r="X175" s="342"/>
      <c r="Y175" s="342"/>
    </row>
    <row r="176" ht="84.0" customHeight="1">
      <c r="A176" s="596"/>
      <c r="B176" s="285"/>
      <c r="C176" s="285"/>
      <c r="D176" s="285"/>
      <c r="E176" s="290"/>
      <c r="F176" s="288"/>
      <c r="G176" s="288"/>
      <c r="H176" s="288"/>
      <c r="I176" s="288"/>
      <c r="J176" s="561"/>
      <c r="K176" s="561"/>
      <c r="L176" s="290"/>
      <c r="M176" s="285"/>
      <c r="N176" s="285"/>
      <c r="O176" s="342"/>
      <c r="P176" s="342"/>
      <c r="Q176" s="342"/>
      <c r="R176" s="342"/>
      <c r="S176" s="342"/>
      <c r="T176" s="342"/>
      <c r="U176" s="342"/>
      <c r="V176" s="342"/>
      <c r="W176" s="342"/>
      <c r="X176" s="342"/>
      <c r="Y176" s="342"/>
    </row>
    <row r="177" ht="84.0" customHeight="1">
      <c r="A177" s="285"/>
      <c r="B177" s="285"/>
      <c r="C177" s="285"/>
      <c r="D177" s="285"/>
      <c r="E177" s="290"/>
      <c r="F177" s="288"/>
      <c r="G177" s="288"/>
      <c r="H177" s="288"/>
      <c r="I177" s="288"/>
      <c r="J177" s="561"/>
      <c r="K177" s="561"/>
      <c r="L177" s="290"/>
      <c r="M177" s="285"/>
      <c r="N177" s="285"/>
      <c r="O177" s="342"/>
      <c r="P177" s="342"/>
      <c r="Q177" s="342"/>
      <c r="R177" s="342"/>
      <c r="S177" s="342"/>
      <c r="T177" s="342"/>
      <c r="U177" s="342"/>
      <c r="V177" s="342"/>
      <c r="W177" s="342"/>
      <c r="X177" s="342"/>
      <c r="Y177" s="342"/>
    </row>
    <row r="178" ht="84.0" customHeight="1">
      <c r="A178" s="285"/>
      <c r="B178" s="285"/>
      <c r="C178" s="285"/>
      <c r="D178" s="285"/>
      <c r="E178" s="290"/>
      <c r="F178" s="288"/>
      <c r="G178" s="288"/>
      <c r="H178" s="288"/>
      <c r="I178" s="288"/>
      <c r="J178" s="561"/>
      <c r="K178" s="561"/>
      <c r="L178" s="290"/>
      <c r="M178" s="285"/>
      <c r="N178" s="285"/>
      <c r="O178" s="342"/>
      <c r="P178" s="342"/>
      <c r="Q178" s="342"/>
      <c r="R178" s="342"/>
      <c r="S178" s="342"/>
      <c r="T178" s="342"/>
      <c r="U178" s="342"/>
      <c r="V178" s="342"/>
      <c r="W178" s="342"/>
      <c r="X178" s="342"/>
      <c r="Y178" s="342"/>
    </row>
    <row r="179" ht="84.0" customHeight="1">
      <c r="A179" s="328"/>
      <c r="B179" s="328"/>
      <c r="C179" s="328"/>
      <c r="D179" s="328"/>
      <c r="E179" s="341"/>
      <c r="F179" s="333"/>
      <c r="G179" s="600"/>
      <c r="H179" s="600"/>
      <c r="I179" s="600"/>
      <c r="J179" s="328"/>
      <c r="K179" s="590"/>
      <c r="L179" s="341"/>
      <c r="M179" s="328"/>
      <c r="N179" s="328"/>
      <c r="O179" s="366"/>
      <c r="P179" s="366"/>
      <c r="Q179" s="366"/>
      <c r="R179" s="366"/>
      <c r="S179" s="366"/>
      <c r="T179" s="366"/>
      <c r="U179" s="366"/>
      <c r="V179" s="366"/>
      <c r="W179" s="366"/>
      <c r="X179" s="366"/>
      <c r="Y179" s="366"/>
    </row>
    <row r="180" ht="84.0" customHeight="1">
      <c r="A180" s="328"/>
      <c r="B180" s="328"/>
      <c r="C180" s="328"/>
      <c r="D180" s="328"/>
      <c r="E180" s="341"/>
      <c r="F180" s="333"/>
      <c r="G180" s="600"/>
      <c r="H180" s="600"/>
      <c r="I180" s="600"/>
      <c r="J180" s="328"/>
      <c r="K180" s="590"/>
      <c r="L180" s="341"/>
      <c r="M180" s="328"/>
      <c r="N180" s="328"/>
      <c r="O180" s="366"/>
      <c r="P180" s="366"/>
      <c r="Q180" s="366"/>
      <c r="R180" s="366"/>
      <c r="S180" s="366"/>
      <c r="T180" s="366"/>
      <c r="U180" s="366"/>
      <c r="V180" s="366"/>
      <c r="W180" s="366"/>
      <c r="X180" s="366"/>
      <c r="Y180" s="366"/>
    </row>
    <row r="181" ht="84.0" customHeight="1">
      <c r="A181" s="328"/>
      <c r="B181" s="328"/>
      <c r="C181" s="328"/>
      <c r="D181" s="328"/>
      <c r="E181" s="341"/>
      <c r="F181" s="333"/>
      <c r="G181" s="600"/>
      <c r="H181" s="600"/>
      <c r="I181" s="600"/>
      <c r="J181" s="328"/>
      <c r="K181" s="590"/>
      <c r="L181" s="341"/>
      <c r="M181" s="328"/>
      <c r="N181" s="328"/>
      <c r="O181" s="366"/>
      <c r="P181" s="366"/>
      <c r="Q181" s="366"/>
      <c r="R181" s="366"/>
      <c r="S181" s="366"/>
      <c r="T181" s="366"/>
      <c r="U181" s="366"/>
      <c r="V181" s="366"/>
      <c r="W181" s="366"/>
      <c r="X181" s="366"/>
      <c r="Y181" s="366"/>
    </row>
    <row r="182" ht="84.0" customHeight="1">
      <c r="A182" s="328"/>
      <c r="B182" s="328"/>
      <c r="C182" s="328"/>
      <c r="D182" s="328"/>
      <c r="E182" s="341"/>
      <c r="F182" s="333"/>
      <c r="G182" s="600"/>
      <c r="H182" s="600"/>
      <c r="I182" s="600"/>
      <c r="J182" s="328"/>
      <c r="K182" s="590"/>
      <c r="L182" s="341"/>
      <c r="M182" s="328"/>
      <c r="N182" s="328"/>
      <c r="O182" s="366"/>
      <c r="P182" s="366"/>
      <c r="Q182" s="366"/>
      <c r="R182" s="366"/>
      <c r="S182" s="366"/>
      <c r="T182" s="366"/>
      <c r="U182" s="366"/>
      <c r="V182" s="366"/>
      <c r="W182" s="366"/>
      <c r="X182" s="366"/>
      <c r="Y182" s="366"/>
    </row>
    <row r="183" ht="84.0" customHeight="1">
      <c r="A183" s="328"/>
      <c r="B183" s="328"/>
      <c r="C183" s="328"/>
      <c r="D183" s="328"/>
      <c r="E183" s="341"/>
      <c r="F183" s="333"/>
      <c r="G183" s="600"/>
      <c r="H183" s="600"/>
      <c r="I183" s="600"/>
      <c r="J183" s="328"/>
      <c r="K183" s="590"/>
      <c r="L183" s="341"/>
      <c r="M183" s="328"/>
      <c r="N183" s="328"/>
      <c r="O183" s="366"/>
      <c r="P183" s="366"/>
      <c r="Q183" s="366"/>
      <c r="R183" s="366"/>
      <c r="S183" s="366"/>
      <c r="T183" s="366"/>
      <c r="U183" s="366"/>
      <c r="V183" s="366"/>
      <c r="W183" s="366"/>
      <c r="X183" s="366"/>
      <c r="Y183" s="366"/>
    </row>
    <row r="184" ht="84.0" customHeight="1">
      <c r="A184" s="328"/>
      <c r="B184" s="328"/>
      <c r="C184" s="328"/>
      <c r="D184" s="328"/>
      <c r="E184" s="341"/>
      <c r="F184" s="333"/>
      <c r="G184" s="600"/>
      <c r="H184" s="600"/>
      <c r="I184" s="600"/>
      <c r="J184" s="328"/>
      <c r="K184" s="590"/>
      <c r="L184" s="341"/>
      <c r="M184" s="328"/>
      <c r="N184" s="328"/>
      <c r="O184" s="366"/>
      <c r="P184" s="366"/>
      <c r="Q184" s="366"/>
      <c r="R184" s="366"/>
      <c r="S184" s="366"/>
      <c r="T184" s="366"/>
      <c r="U184" s="366"/>
      <c r="V184" s="366"/>
      <c r="W184" s="366"/>
      <c r="X184" s="366"/>
      <c r="Y184" s="366"/>
    </row>
    <row r="185" ht="84.0" customHeight="1">
      <c r="A185" s="328"/>
      <c r="B185" s="328"/>
      <c r="C185" s="328"/>
      <c r="D185" s="328"/>
      <c r="E185" s="341"/>
      <c r="F185" s="333"/>
      <c r="G185" s="600"/>
      <c r="H185" s="600"/>
      <c r="I185" s="600"/>
      <c r="J185" s="328"/>
      <c r="K185" s="590"/>
      <c r="L185" s="341"/>
      <c r="M185" s="328"/>
      <c r="N185" s="328"/>
      <c r="O185" s="366"/>
      <c r="P185" s="366"/>
      <c r="Q185" s="366"/>
      <c r="R185" s="366"/>
      <c r="S185" s="366"/>
      <c r="T185" s="366"/>
      <c r="U185" s="366"/>
      <c r="V185" s="366"/>
      <c r="W185" s="366"/>
      <c r="X185" s="366"/>
      <c r="Y185" s="366"/>
    </row>
    <row r="186" ht="84.0" customHeight="1">
      <c r="A186" s="328"/>
      <c r="B186" s="328"/>
      <c r="C186" s="328"/>
      <c r="D186" s="328"/>
      <c r="E186" s="341"/>
      <c r="F186" s="333"/>
      <c r="G186" s="600"/>
      <c r="H186" s="600"/>
      <c r="I186" s="600"/>
      <c r="J186" s="328"/>
      <c r="K186" s="590"/>
      <c r="L186" s="341"/>
      <c r="M186" s="328"/>
      <c r="N186" s="328"/>
      <c r="O186" s="366"/>
      <c r="P186" s="366"/>
      <c r="Q186" s="366"/>
      <c r="R186" s="366"/>
      <c r="S186" s="366"/>
      <c r="T186" s="366"/>
      <c r="U186" s="366"/>
      <c r="V186" s="366"/>
      <c r="W186" s="366"/>
      <c r="X186" s="366"/>
      <c r="Y186" s="366"/>
    </row>
    <row r="187" ht="84.0" customHeight="1">
      <c r="A187" s="328"/>
      <c r="B187" s="328"/>
      <c r="C187" s="328"/>
      <c r="D187" s="328"/>
      <c r="E187" s="341"/>
      <c r="F187" s="333"/>
      <c r="G187" s="600"/>
      <c r="H187" s="600"/>
      <c r="I187" s="600"/>
      <c r="J187" s="328"/>
      <c r="K187" s="590"/>
      <c r="L187" s="341"/>
      <c r="M187" s="328"/>
      <c r="N187" s="328"/>
      <c r="O187" s="366"/>
      <c r="P187" s="366"/>
      <c r="Q187" s="366"/>
      <c r="R187" s="366"/>
      <c r="S187" s="366"/>
      <c r="T187" s="366"/>
      <c r="U187" s="366"/>
      <c r="V187" s="366"/>
      <c r="W187" s="366"/>
      <c r="X187" s="366"/>
      <c r="Y187" s="366"/>
    </row>
    <row r="188" ht="84.0" customHeight="1">
      <c r="A188" s="328"/>
      <c r="B188" s="328"/>
      <c r="C188" s="328"/>
      <c r="D188" s="328"/>
      <c r="E188" s="341"/>
      <c r="F188" s="333"/>
      <c r="G188" s="600"/>
      <c r="H188" s="600"/>
      <c r="I188" s="600"/>
      <c r="J188" s="328"/>
      <c r="K188" s="590"/>
      <c r="L188" s="341"/>
      <c r="M188" s="328"/>
      <c r="N188" s="328"/>
      <c r="O188" s="366"/>
      <c r="P188" s="366"/>
      <c r="Q188" s="366"/>
      <c r="R188" s="366"/>
      <c r="S188" s="366"/>
      <c r="T188" s="366"/>
      <c r="U188" s="366"/>
      <c r="V188" s="366"/>
      <c r="W188" s="366"/>
      <c r="X188" s="366"/>
      <c r="Y188" s="366"/>
    </row>
    <row r="189" ht="84.0" customHeight="1">
      <c r="A189" s="328"/>
      <c r="B189" s="328"/>
      <c r="C189" s="328"/>
      <c r="D189" s="328"/>
      <c r="E189" s="341"/>
      <c r="F189" s="333"/>
      <c r="G189" s="600"/>
      <c r="H189" s="600"/>
      <c r="I189" s="600"/>
      <c r="J189" s="328"/>
      <c r="K189" s="590"/>
      <c r="L189" s="341"/>
      <c r="M189" s="328"/>
      <c r="N189" s="328"/>
      <c r="O189" s="366"/>
      <c r="P189" s="366"/>
      <c r="Q189" s="366"/>
      <c r="R189" s="366"/>
      <c r="S189" s="366"/>
      <c r="T189" s="366"/>
      <c r="U189" s="366"/>
      <c r="V189" s="366"/>
      <c r="W189" s="366"/>
      <c r="X189" s="366"/>
      <c r="Y189" s="366"/>
    </row>
    <row r="190" ht="84.0" customHeight="1">
      <c r="A190" s="328"/>
      <c r="B190" s="328"/>
      <c r="C190" s="328"/>
      <c r="D190" s="328"/>
      <c r="E190" s="341"/>
      <c r="F190" s="333"/>
      <c r="G190" s="600"/>
      <c r="H190" s="600"/>
      <c r="I190" s="600"/>
      <c r="J190" s="328"/>
      <c r="K190" s="590"/>
      <c r="L190" s="341"/>
      <c r="M190" s="328"/>
      <c r="N190" s="328"/>
      <c r="O190" s="366"/>
      <c r="P190" s="366"/>
      <c r="Q190" s="366"/>
      <c r="R190" s="366"/>
      <c r="S190" s="366"/>
      <c r="T190" s="366"/>
      <c r="U190" s="366"/>
      <c r="V190" s="366"/>
      <c r="W190" s="366"/>
      <c r="X190" s="366"/>
      <c r="Y190" s="366"/>
    </row>
    <row r="191" ht="84.0" customHeight="1">
      <c r="A191" s="328"/>
      <c r="B191" s="328"/>
      <c r="C191" s="328"/>
      <c r="D191" s="328"/>
      <c r="E191" s="341"/>
      <c r="F191" s="333"/>
      <c r="G191" s="600"/>
      <c r="H191" s="600"/>
      <c r="I191" s="600"/>
      <c r="J191" s="328"/>
      <c r="K191" s="590"/>
      <c r="L191" s="341"/>
      <c r="M191" s="328"/>
      <c r="N191" s="328"/>
      <c r="O191" s="366"/>
      <c r="P191" s="366"/>
      <c r="Q191" s="366"/>
      <c r="R191" s="366"/>
      <c r="S191" s="366"/>
      <c r="T191" s="366"/>
      <c r="U191" s="366"/>
      <c r="V191" s="366"/>
      <c r="W191" s="366"/>
      <c r="X191" s="366"/>
      <c r="Y191" s="366"/>
    </row>
    <row r="192" ht="84.0" customHeight="1">
      <c r="A192" s="328"/>
      <c r="B192" s="328"/>
      <c r="C192" s="328"/>
      <c r="D192" s="328"/>
      <c r="E192" s="341"/>
      <c r="F192" s="333"/>
      <c r="G192" s="600"/>
      <c r="H192" s="600"/>
      <c r="I192" s="600"/>
      <c r="J192" s="328"/>
      <c r="K192" s="590"/>
      <c r="L192" s="341"/>
      <c r="M192" s="328"/>
      <c r="N192" s="328"/>
      <c r="O192" s="366"/>
      <c r="P192" s="366"/>
      <c r="Q192" s="366"/>
      <c r="R192" s="366"/>
      <c r="S192" s="366"/>
      <c r="T192" s="366"/>
      <c r="U192" s="366"/>
      <c r="V192" s="366"/>
      <c r="W192" s="366"/>
      <c r="X192" s="366"/>
      <c r="Y192" s="366"/>
    </row>
    <row r="193" ht="84.0" customHeight="1">
      <c r="A193" s="328"/>
      <c r="B193" s="328"/>
      <c r="C193" s="328"/>
      <c r="D193" s="328"/>
      <c r="E193" s="341"/>
      <c r="F193" s="333"/>
      <c r="G193" s="600"/>
      <c r="H193" s="600"/>
      <c r="I193" s="600"/>
      <c r="J193" s="328"/>
      <c r="K193" s="590"/>
      <c r="L193" s="341"/>
      <c r="M193" s="328"/>
      <c r="N193" s="328"/>
      <c r="O193" s="366"/>
      <c r="P193" s="366"/>
      <c r="Q193" s="366"/>
      <c r="R193" s="366"/>
      <c r="S193" s="366"/>
      <c r="T193" s="366"/>
      <c r="U193" s="366"/>
      <c r="V193" s="366"/>
      <c r="W193" s="366"/>
      <c r="X193" s="366"/>
      <c r="Y193" s="366"/>
    </row>
    <row r="194" ht="84.0" customHeight="1">
      <c r="A194" s="328"/>
      <c r="B194" s="328"/>
      <c r="C194" s="328"/>
      <c r="D194" s="328"/>
      <c r="E194" s="341"/>
      <c r="F194" s="333"/>
      <c r="G194" s="600"/>
      <c r="H194" s="600"/>
      <c r="I194" s="600"/>
      <c r="J194" s="328"/>
      <c r="K194" s="590"/>
      <c r="L194" s="341"/>
      <c r="M194" s="328"/>
      <c r="N194" s="328"/>
      <c r="O194" s="366"/>
      <c r="P194" s="366"/>
      <c r="Q194" s="366"/>
      <c r="R194" s="366"/>
      <c r="S194" s="366"/>
      <c r="T194" s="366"/>
      <c r="U194" s="366"/>
      <c r="V194" s="366"/>
      <c r="W194" s="366"/>
      <c r="X194" s="366"/>
      <c r="Y194" s="366"/>
    </row>
    <row r="195" ht="84.0" customHeight="1">
      <c r="A195" s="328"/>
      <c r="B195" s="328"/>
      <c r="C195" s="328"/>
      <c r="D195" s="328"/>
      <c r="E195" s="341"/>
      <c r="F195" s="333"/>
      <c r="G195" s="600"/>
      <c r="H195" s="600"/>
      <c r="I195" s="600"/>
      <c r="J195" s="328"/>
      <c r="K195" s="590"/>
      <c r="L195" s="341"/>
      <c r="M195" s="328"/>
      <c r="N195" s="328"/>
      <c r="O195" s="366"/>
      <c r="P195" s="366"/>
      <c r="Q195" s="366"/>
      <c r="R195" s="366"/>
      <c r="S195" s="366"/>
      <c r="T195" s="366"/>
      <c r="U195" s="366"/>
      <c r="V195" s="366"/>
      <c r="W195" s="366"/>
      <c r="X195" s="366"/>
      <c r="Y195" s="366"/>
    </row>
    <row r="196" ht="84.0" customHeight="1">
      <c r="A196" s="328"/>
      <c r="B196" s="328"/>
      <c r="C196" s="328"/>
      <c r="D196" s="328"/>
      <c r="E196" s="341"/>
      <c r="F196" s="333"/>
      <c r="G196" s="600"/>
      <c r="H196" s="600"/>
      <c r="I196" s="600"/>
      <c r="J196" s="328"/>
      <c r="K196" s="590"/>
      <c r="L196" s="341"/>
      <c r="M196" s="328"/>
      <c r="N196" s="328"/>
      <c r="O196" s="366"/>
      <c r="P196" s="366"/>
      <c r="Q196" s="366"/>
      <c r="R196" s="366"/>
      <c r="S196" s="366"/>
      <c r="T196" s="366"/>
      <c r="U196" s="366"/>
      <c r="V196" s="366"/>
      <c r="W196" s="366"/>
      <c r="X196" s="366"/>
      <c r="Y196" s="366"/>
    </row>
    <row r="197" ht="84.0" customHeight="1">
      <c r="A197" s="328"/>
      <c r="B197" s="328"/>
      <c r="C197" s="328"/>
      <c r="D197" s="328"/>
      <c r="E197" s="341"/>
      <c r="F197" s="333"/>
      <c r="G197" s="600"/>
      <c r="H197" s="600"/>
      <c r="I197" s="600"/>
      <c r="J197" s="328"/>
      <c r="K197" s="590"/>
      <c r="L197" s="341"/>
      <c r="M197" s="328"/>
      <c r="N197" s="328"/>
      <c r="O197" s="366"/>
      <c r="P197" s="366"/>
      <c r="Q197" s="366"/>
      <c r="R197" s="366"/>
      <c r="S197" s="366"/>
      <c r="T197" s="366"/>
      <c r="U197" s="366"/>
      <c r="V197" s="366"/>
      <c r="W197" s="366"/>
      <c r="X197" s="366"/>
      <c r="Y197" s="366"/>
    </row>
    <row r="198" ht="84.0" customHeight="1">
      <c r="A198" s="328"/>
      <c r="B198" s="328"/>
      <c r="C198" s="328"/>
      <c r="D198" s="328"/>
      <c r="E198" s="341"/>
      <c r="F198" s="333"/>
      <c r="G198" s="600"/>
      <c r="H198" s="600"/>
      <c r="I198" s="600"/>
      <c r="J198" s="328"/>
      <c r="K198" s="590"/>
      <c r="L198" s="341"/>
      <c r="M198" s="328"/>
      <c r="N198" s="328"/>
      <c r="O198" s="366"/>
      <c r="P198" s="366"/>
      <c r="Q198" s="366"/>
      <c r="R198" s="366"/>
      <c r="S198" s="366"/>
      <c r="T198" s="366"/>
      <c r="U198" s="366"/>
      <c r="V198" s="366"/>
      <c r="W198" s="366"/>
      <c r="X198" s="366"/>
      <c r="Y198" s="366"/>
    </row>
    <row r="199" ht="84.0" customHeight="1">
      <c r="A199" s="328"/>
      <c r="B199" s="328"/>
      <c r="C199" s="328"/>
      <c r="D199" s="328"/>
      <c r="E199" s="341"/>
      <c r="F199" s="333"/>
      <c r="G199" s="600"/>
      <c r="H199" s="600"/>
      <c r="I199" s="600"/>
      <c r="J199" s="328"/>
      <c r="K199" s="590"/>
      <c r="L199" s="341"/>
      <c r="M199" s="328"/>
      <c r="N199" s="328"/>
      <c r="O199" s="366"/>
      <c r="P199" s="366"/>
      <c r="Q199" s="366"/>
      <c r="R199" s="366"/>
      <c r="S199" s="366"/>
      <c r="T199" s="366"/>
      <c r="U199" s="366"/>
      <c r="V199" s="366"/>
      <c r="W199" s="366"/>
      <c r="X199" s="366"/>
      <c r="Y199" s="366"/>
    </row>
    <row r="200" ht="84.0" customHeight="1">
      <c r="A200" s="328"/>
      <c r="B200" s="328"/>
      <c r="C200" s="328"/>
      <c r="D200" s="328"/>
      <c r="E200" s="341"/>
      <c r="F200" s="333"/>
      <c r="G200" s="600"/>
      <c r="H200" s="600"/>
      <c r="I200" s="600"/>
      <c r="J200" s="328"/>
      <c r="K200" s="590"/>
      <c r="L200" s="341"/>
      <c r="M200" s="328"/>
      <c r="N200" s="328"/>
      <c r="O200" s="366"/>
      <c r="P200" s="366"/>
      <c r="Q200" s="366"/>
      <c r="R200" s="366"/>
      <c r="S200" s="366"/>
      <c r="T200" s="366"/>
      <c r="U200" s="366"/>
      <c r="V200" s="366"/>
      <c r="W200" s="366"/>
      <c r="X200" s="366"/>
      <c r="Y200" s="366"/>
    </row>
    <row r="201" ht="84.0" customHeight="1">
      <c r="A201" s="328"/>
      <c r="B201" s="328"/>
      <c r="C201" s="328"/>
      <c r="D201" s="328"/>
      <c r="E201" s="341"/>
      <c r="F201" s="333"/>
      <c r="G201" s="600"/>
      <c r="H201" s="600"/>
      <c r="I201" s="600"/>
      <c r="J201" s="328"/>
      <c r="K201" s="590"/>
      <c r="L201" s="341"/>
      <c r="M201" s="328"/>
      <c r="N201" s="328"/>
      <c r="O201" s="366"/>
      <c r="P201" s="366"/>
      <c r="Q201" s="366"/>
      <c r="R201" s="366"/>
      <c r="S201" s="366"/>
      <c r="T201" s="366"/>
      <c r="U201" s="366"/>
      <c r="V201" s="366"/>
      <c r="W201" s="366"/>
      <c r="X201" s="366"/>
      <c r="Y201" s="366"/>
    </row>
    <row r="202" ht="84.0" customHeight="1">
      <c r="A202" s="328"/>
      <c r="B202" s="328"/>
      <c r="C202" s="328"/>
      <c r="D202" s="328"/>
      <c r="E202" s="341"/>
      <c r="F202" s="333"/>
      <c r="G202" s="600"/>
      <c r="H202" s="600"/>
      <c r="I202" s="600"/>
      <c r="J202" s="328"/>
      <c r="K202" s="590"/>
      <c r="L202" s="341"/>
      <c r="M202" s="328"/>
      <c r="N202" s="328"/>
      <c r="O202" s="366"/>
      <c r="P202" s="366"/>
      <c r="Q202" s="366"/>
      <c r="R202" s="366"/>
      <c r="S202" s="366"/>
      <c r="T202" s="366"/>
      <c r="U202" s="366"/>
      <c r="V202" s="366"/>
      <c r="W202" s="366"/>
      <c r="X202" s="366"/>
      <c r="Y202" s="366"/>
    </row>
    <row r="203" ht="84.0" customHeight="1">
      <c r="A203" s="328"/>
      <c r="B203" s="328"/>
      <c r="C203" s="328"/>
      <c r="D203" s="328"/>
      <c r="E203" s="341"/>
      <c r="F203" s="333"/>
      <c r="G203" s="600"/>
      <c r="H203" s="600"/>
      <c r="I203" s="600"/>
      <c r="J203" s="328"/>
      <c r="K203" s="590"/>
      <c r="L203" s="341"/>
      <c r="M203" s="328"/>
      <c r="N203" s="328"/>
      <c r="O203" s="366"/>
      <c r="P203" s="366"/>
      <c r="Q203" s="366"/>
      <c r="R203" s="366"/>
      <c r="S203" s="366"/>
      <c r="T203" s="366"/>
      <c r="U203" s="366"/>
      <c r="V203" s="366"/>
      <c r="W203" s="366"/>
      <c r="X203" s="366"/>
      <c r="Y203" s="366"/>
    </row>
    <row r="204" ht="84.0" customHeight="1">
      <c r="A204" s="328"/>
      <c r="B204" s="328"/>
      <c r="C204" s="328"/>
      <c r="D204" s="328"/>
      <c r="E204" s="341"/>
      <c r="F204" s="333"/>
      <c r="G204" s="600"/>
      <c r="H204" s="600"/>
      <c r="I204" s="600"/>
      <c r="J204" s="328"/>
      <c r="K204" s="590"/>
      <c r="L204" s="341"/>
      <c r="M204" s="328"/>
      <c r="N204" s="328"/>
      <c r="O204" s="366"/>
      <c r="P204" s="366"/>
      <c r="Q204" s="366"/>
      <c r="R204" s="366"/>
      <c r="S204" s="366"/>
      <c r="T204" s="366"/>
      <c r="U204" s="366"/>
      <c r="V204" s="366"/>
      <c r="W204" s="366"/>
      <c r="X204" s="366"/>
      <c r="Y204" s="366"/>
    </row>
    <row r="205" ht="84.0" customHeight="1">
      <c r="A205" s="328"/>
      <c r="B205" s="328"/>
      <c r="C205" s="328"/>
      <c r="D205" s="328"/>
      <c r="E205" s="341"/>
      <c r="F205" s="333"/>
      <c r="G205" s="600"/>
      <c r="H205" s="600"/>
      <c r="I205" s="600"/>
      <c r="J205" s="328"/>
      <c r="K205" s="590"/>
      <c r="L205" s="341"/>
      <c r="M205" s="328"/>
      <c r="N205" s="328"/>
      <c r="O205" s="366"/>
      <c r="P205" s="366"/>
      <c r="Q205" s="366"/>
      <c r="R205" s="366"/>
      <c r="S205" s="366"/>
      <c r="T205" s="366"/>
      <c r="U205" s="366"/>
      <c r="V205" s="366"/>
      <c r="W205" s="366"/>
      <c r="X205" s="366"/>
      <c r="Y205" s="366"/>
    </row>
    <row r="206" ht="84.0" customHeight="1">
      <c r="A206" s="328"/>
      <c r="B206" s="328"/>
      <c r="C206" s="328"/>
      <c r="D206" s="328"/>
      <c r="E206" s="341"/>
      <c r="F206" s="333"/>
      <c r="G206" s="600"/>
      <c r="H206" s="600"/>
      <c r="I206" s="600"/>
      <c r="J206" s="328"/>
      <c r="K206" s="590"/>
      <c r="L206" s="341"/>
      <c r="M206" s="328"/>
      <c r="N206" s="328"/>
      <c r="O206" s="366"/>
      <c r="P206" s="366"/>
      <c r="Q206" s="366"/>
      <c r="R206" s="366"/>
      <c r="S206" s="366"/>
      <c r="T206" s="366"/>
      <c r="U206" s="366"/>
      <c r="V206" s="366"/>
      <c r="W206" s="366"/>
      <c r="X206" s="366"/>
      <c r="Y206" s="366"/>
    </row>
    <row r="207" ht="84.0" customHeight="1">
      <c r="A207" s="328"/>
      <c r="B207" s="328"/>
      <c r="C207" s="328"/>
      <c r="D207" s="328"/>
      <c r="E207" s="341"/>
      <c r="F207" s="333"/>
      <c r="G207" s="600"/>
      <c r="H207" s="600"/>
      <c r="I207" s="600"/>
      <c r="J207" s="328"/>
      <c r="K207" s="590"/>
      <c r="L207" s="341"/>
      <c r="M207" s="328"/>
      <c r="N207" s="328"/>
      <c r="O207" s="366"/>
      <c r="P207" s="366"/>
      <c r="Q207" s="366"/>
      <c r="R207" s="366"/>
      <c r="S207" s="366"/>
      <c r="T207" s="366"/>
      <c r="U207" s="366"/>
      <c r="V207" s="366"/>
      <c r="W207" s="366"/>
      <c r="X207" s="366"/>
      <c r="Y207" s="366"/>
    </row>
    <row r="208" ht="84.0" customHeight="1">
      <c r="A208" s="328"/>
      <c r="B208" s="328"/>
      <c r="C208" s="328"/>
      <c r="D208" s="328"/>
      <c r="E208" s="341"/>
      <c r="F208" s="333"/>
      <c r="G208" s="600"/>
      <c r="H208" s="600"/>
      <c r="I208" s="600"/>
      <c r="J208" s="328"/>
      <c r="K208" s="590"/>
      <c r="L208" s="341"/>
      <c r="M208" s="328"/>
      <c r="N208" s="328"/>
      <c r="O208" s="366"/>
      <c r="P208" s="366"/>
      <c r="Q208" s="366"/>
      <c r="R208" s="366"/>
      <c r="S208" s="366"/>
      <c r="T208" s="366"/>
      <c r="U208" s="366"/>
      <c r="V208" s="366"/>
      <c r="W208" s="366"/>
      <c r="X208" s="366"/>
      <c r="Y208" s="366"/>
    </row>
    <row r="209" ht="84.0" customHeight="1">
      <c r="A209" s="328"/>
      <c r="B209" s="328"/>
      <c r="C209" s="328"/>
      <c r="D209" s="328"/>
      <c r="E209" s="341"/>
      <c r="F209" s="333"/>
      <c r="G209" s="600"/>
      <c r="H209" s="600"/>
      <c r="I209" s="600"/>
      <c r="J209" s="328"/>
      <c r="K209" s="590"/>
      <c r="L209" s="341"/>
      <c r="M209" s="328"/>
      <c r="N209" s="328"/>
      <c r="O209" s="366"/>
      <c r="P209" s="366"/>
      <c r="Q209" s="366"/>
      <c r="R209" s="366"/>
      <c r="S209" s="366"/>
      <c r="T209" s="366"/>
      <c r="U209" s="366"/>
      <c r="V209" s="366"/>
      <c r="W209" s="366"/>
      <c r="X209" s="366"/>
      <c r="Y209" s="366"/>
    </row>
    <row r="210" ht="84.0" customHeight="1">
      <c r="A210" s="328"/>
      <c r="B210" s="328"/>
      <c r="C210" s="328"/>
      <c r="D210" s="328"/>
      <c r="E210" s="341"/>
      <c r="F210" s="333"/>
      <c r="G210" s="600"/>
      <c r="H210" s="600"/>
      <c r="I210" s="600"/>
      <c r="J210" s="328"/>
      <c r="K210" s="590"/>
      <c r="L210" s="341"/>
      <c r="M210" s="328"/>
      <c r="N210" s="328"/>
      <c r="O210" s="366"/>
      <c r="P210" s="366"/>
      <c r="Q210" s="366"/>
      <c r="R210" s="366"/>
      <c r="S210" s="366"/>
      <c r="T210" s="366"/>
      <c r="U210" s="366"/>
      <c r="V210" s="366"/>
      <c r="W210" s="366"/>
      <c r="X210" s="366"/>
      <c r="Y210" s="366"/>
    </row>
    <row r="211" ht="84.0" customHeight="1">
      <c r="A211" s="328"/>
      <c r="B211" s="328"/>
      <c r="C211" s="328"/>
      <c r="D211" s="328"/>
      <c r="E211" s="341"/>
      <c r="F211" s="333"/>
      <c r="G211" s="600"/>
      <c r="H211" s="600"/>
      <c r="I211" s="600"/>
      <c r="J211" s="328"/>
      <c r="K211" s="590"/>
      <c r="L211" s="341"/>
      <c r="M211" s="328"/>
      <c r="N211" s="328"/>
      <c r="O211" s="366"/>
      <c r="P211" s="366"/>
      <c r="Q211" s="366"/>
      <c r="R211" s="366"/>
      <c r="S211" s="366"/>
      <c r="T211" s="366"/>
      <c r="U211" s="366"/>
      <c r="V211" s="366"/>
      <c r="W211" s="366"/>
      <c r="X211" s="366"/>
      <c r="Y211" s="366"/>
    </row>
    <row r="212" ht="84.0" customHeight="1">
      <c r="A212" s="436"/>
      <c r="B212" s="328"/>
      <c r="C212" s="328"/>
      <c r="D212" s="328"/>
      <c r="E212" s="341"/>
      <c r="F212" s="333"/>
      <c r="G212" s="589"/>
      <c r="H212" s="589"/>
      <c r="I212" s="589"/>
      <c r="J212" s="328"/>
      <c r="K212" s="590"/>
      <c r="L212" s="341"/>
      <c r="M212" s="436"/>
      <c r="N212" s="436"/>
      <c r="O212" s="366"/>
      <c r="P212" s="366"/>
      <c r="Q212" s="366"/>
      <c r="R212" s="366"/>
      <c r="S212" s="366"/>
      <c r="T212" s="366"/>
      <c r="U212" s="366"/>
      <c r="V212" s="366"/>
      <c r="W212" s="366"/>
      <c r="X212" s="366"/>
      <c r="Y212" s="366"/>
    </row>
    <row r="213" ht="84.0" customHeight="1">
      <c r="A213" s="436"/>
      <c r="B213" s="328"/>
      <c r="C213" s="328"/>
      <c r="D213" s="328"/>
      <c r="E213" s="341"/>
      <c r="F213" s="333"/>
      <c r="G213" s="589"/>
      <c r="H213" s="589"/>
      <c r="I213" s="589"/>
      <c r="J213" s="328"/>
      <c r="K213" s="590"/>
      <c r="L213" s="341"/>
      <c r="M213" s="436"/>
      <c r="N213" s="436"/>
      <c r="O213" s="366"/>
      <c r="P213" s="366"/>
      <c r="Q213" s="366"/>
      <c r="R213" s="366"/>
      <c r="S213" s="366"/>
      <c r="T213" s="366"/>
      <c r="U213" s="366"/>
      <c r="V213" s="366"/>
      <c r="W213" s="366"/>
      <c r="X213" s="366"/>
      <c r="Y213" s="366"/>
    </row>
    <row r="214" ht="84.0" customHeight="1">
      <c r="A214" s="436"/>
      <c r="B214" s="328"/>
      <c r="C214" s="328"/>
      <c r="D214" s="328"/>
      <c r="E214" s="341"/>
      <c r="F214" s="333"/>
      <c r="G214" s="589"/>
      <c r="H214" s="589"/>
      <c r="I214" s="589"/>
      <c r="J214" s="328"/>
      <c r="K214" s="590"/>
      <c r="L214" s="341"/>
      <c r="M214" s="436"/>
      <c r="N214" s="436"/>
      <c r="O214" s="366"/>
      <c r="P214" s="366"/>
      <c r="Q214" s="366"/>
      <c r="R214" s="366"/>
      <c r="S214" s="366"/>
      <c r="T214" s="366"/>
      <c r="U214" s="366"/>
      <c r="V214" s="366"/>
      <c r="W214" s="366"/>
      <c r="X214" s="366"/>
      <c r="Y214" s="366"/>
    </row>
    <row r="215" ht="84.0" customHeight="1">
      <c r="A215" s="436"/>
      <c r="B215" s="328"/>
      <c r="C215" s="328"/>
      <c r="D215" s="328"/>
      <c r="E215" s="341"/>
      <c r="F215" s="333"/>
      <c r="G215" s="589"/>
      <c r="H215" s="589"/>
      <c r="I215" s="589"/>
      <c r="J215" s="328"/>
      <c r="K215" s="590"/>
      <c r="L215" s="341"/>
      <c r="M215" s="436"/>
      <c r="N215" s="436"/>
      <c r="O215" s="366"/>
      <c r="P215" s="366"/>
      <c r="Q215" s="366"/>
      <c r="R215" s="366"/>
      <c r="S215" s="366"/>
      <c r="T215" s="366"/>
      <c r="U215" s="366"/>
      <c r="V215" s="366"/>
      <c r="W215" s="366"/>
      <c r="X215" s="366"/>
      <c r="Y215" s="366"/>
    </row>
    <row r="216" ht="84.0" customHeight="1">
      <c r="A216" s="436"/>
      <c r="B216" s="328"/>
      <c r="C216" s="328"/>
      <c r="D216" s="328"/>
      <c r="E216" s="341"/>
      <c r="F216" s="333"/>
      <c r="G216" s="589"/>
      <c r="H216" s="589"/>
      <c r="I216" s="589"/>
      <c r="J216" s="328"/>
      <c r="K216" s="590"/>
      <c r="L216" s="341"/>
      <c r="M216" s="436"/>
      <c r="N216" s="436"/>
      <c r="O216" s="366"/>
      <c r="P216" s="366"/>
      <c r="Q216" s="366"/>
      <c r="R216" s="366"/>
      <c r="S216" s="366"/>
      <c r="T216" s="366"/>
      <c r="U216" s="366"/>
      <c r="V216" s="366"/>
      <c r="W216" s="366"/>
      <c r="X216" s="366"/>
      <c r="Y216" s="366"/>
    </row>
    <row r="217" ht="84.0" customHeight="1">
      <c r="A217" s="436"/>
      <c r="B217" s="328"/>
      <c r="C217" s="328"/>
      <c r="D217" s="328"/>
      <c r="E217" s="341"/>
      <c r="F217" s="333"/>
      <c r="G217" s="589"/>
      <c r="H217" s="589"/>
      <c r="I217" s="589"/>
      <c r="J217" s="328"/>
      <c r="K217" s="590"/>
      <c r="L217" s="341"/>
      <c r="M217" s="436"/>
      <c r="N217" s="436"/>
      <c r="O217" s="366"/>
      <c r="P217" s="366"/>
      <c r="Q217" s="366"/>
      <c r="R217" s="366"/>
      <c r="S217" s="366"/>
      <c r="T217" s="366"/>
      <c r="U217" s="366"/>
      <c r="V217" s="366"/>
      <c r="W217" s="366"/>
      <c r="X217" s="366"/>
      <c r="Y217" s="366"/>
    </row>
    <row r="218" ht="84.0" customHeight="1">
      <c r="A218" s="436"/>
      <c r="B218" s="328"/>
      <c r="C218" s="328"/>
      <c r="D218" s="328"/>
      <c r="E218" s="341"/>
      <c r="F218" s="333"/>
      <c r="G218" s="589"/>
      <c r="H218" s="589"/>
      <c r="I218" s="589"/>
      <c r="J218" s="328"/>
      <c r="K218" s="590"/>
      <c r="L218" s="341"/>
      <c r="M218" s="436"/>
      <c r="N218" s="436"/>
      <c r="O218" s="366"/>
      <c r="P218" s="366"/>
      <c r="Q218" s="366"/>
      <c r="R218" s="366"/>
      <c r="S218" s="366"/>
      <c r="T218" s="366"/>
      <c r="U218" s="366"/>
      <c r="V218" s="366"/>
      <c r="W218" s="366"/>
      <c r="X218" s="366"/>
      <c r="Y218" s="366"/>
    </row>
    <row r="219" ht="84.0" customHeight="1">
      <c r="A219" s="436"/>
      <c r="B219" s="328"/>
      <c r="C219" s="328"/>
      <c r="D219" s="328"/>
      <c r="E219" s="341"/>
      <c r="F219" s="333"/>
      <c r="G219" s="589"/>
      <c r="H219" s="589"/>
      <c r="I219" s="589"/>
      <c r="J219" s="328"/>
      <c r="K219" s="590"/>
      <c r="L219" s="341"/>
      <c r="M219" s="436"/>
      <c r="N219" s="436"/>
      <c r="O219" s="366"/>
      <c r="P219" s="366"/>
      <c r="Q219" s="366"/>
      <c r="R219" s="366"/>
      <c r="S219" s="366"/>
      <c r="T219" s="366"/>
      <c r="U219" s="366"/>
      <c r="V219" s="366"/>
      <c r="W219" s="366"/>
      <c r="X219" s="366"/>
      <c r="Y219" s="366"/>
    </row>
    <row r="220" ht="84.0" customHeight="1">
      <c r="A220" s="436"/>
      <c r="B220" s="328"/>
      <c r="C220" s="328"/>
      <c r="D220" s="328"/>
      <c r="E220" s="341"/>
      <c r="F220" s="333"/>
      <c r="G220" s="589"/>
      <c r="H220" s="589"/>
      <c r="I220" s="589"/>
      <c r="J220" s="328"/>
      <c r="K220" s="590"/>
      <c r="L220" s="341"/>
      <c r="M220" s="436"/>
      <c r="N220" s="436"/>
      <c r="O220" s="366"/>
      <c r="P220" s="366"/>
      <c r="Q220" s="366"/>
      <c r="R220" s="366"/>
      <c r="S220" s="366"/>
      <c r="T220" s="366"/>
      <c r="U220" s="366"/>
      <c r="V220" s="366"/>
      <c r="W220" s="366"/>
      <c r="X220" s="366"/>
      <c r="Y220" s="366"/>
    </row>
    <row r="221" ht="84.0" customHeight="1">
      <c r="A221" s="436"/>
      <c r="B221" s="328"/>
      <c r="C221" s="328"/>
      <c r="D221" s="328"/>
      <c r="E221" s="341"/>
      <c r="F221" s="333"/>
      <c r="G221" s="589"/>
      <c r="H221" s="589"/>
      <c r="I221" s="589"/>
      <c r="J221" s="328"/>
      <c r="K221" s="590"/>
      <c r="L221" s="341"/>
      <c r="M221" s="436"/>
      <c r="N221" s="436"/>
      <c r="O221" s="366"/>
      <c r="P221" s="366"/>
      <c r="Q221" s="366"/>
      <c r="R221" s="366"/>
      <c r="S221" s="366"/>
      <c r="T221" s="366"/>
      <c r="U221" s="366"/>
      <c r="V221" s="366"/>
      <c r="W221" s="366"/>
      <c r="X221" s="366"/>
      <c r="Y221" s="366"/>
    </row>
    <row r="222" ht="84.0" customHeight="1">
      <c r="A222" s="436"/>
      <c r="B222" s="328"/>
      <c r="C222" s="328"/>
      <c r="D222" s="328"/>
      <c r="E222" s="341"/>
      <c r="F222" s="333"/>
      <c r="G222" s="589"/>
      <c r="H222" s="589"/>
      <c r="I222" s="589"/>
      <c r="J222" s="328"/>
      <c r="K222" s="590"/>
      <c r="L222" s="341"/>
      <c r="M222" s="436"/>
      <c r="N222" s="436"/>
      <c r="O222" s="366"/>
      <c r="P222" s="366"/>
      <c r="Q222" s="366"/>
      <c r="R222" s="366"/>
      <c r="S222" s="366"/>
      <c r="T222" s="366"/>
      <c r="U222" s="366"/>
      <c r="V222" s="366"/>
      <c r="W222" s="366"/>
      <c r="X222" s="366"/>
      <c r="Y222" s="366"/>
    </row>
    <row r="223" ht="84.0" customHeight="1">
      <c r="A223" s="436"/>
      <c r="B223" s="328"/>
      <c r="C223" s="328"/>
      <c r="D223" s="328"/>
      <c r="E223" s="341"/>
      <c r="F223" s="333"/>
      <c r="G223" s="589"/>
      <c r="H223" s="589"/>
      <c r="I223" s="589"/>
      <c r="J223" s="328"/>
      <c r="K223" s="590"/>
      <c r="L223" s="341"/>
      <c r="M223" s="436"/>
      <c r="N223" s="436"/>
      <c r="O223" s="366"/>
      <c r="P223" s="366"/>
      <c r="Q223" s="366"/>
      <c r="R223" s="366"/>
      <c r="S223" s="366"/>
      <c r="T223" s="366"/>
      <c r="U223" s="366"/>
      <c r="V223" s="366"/>
      <c r="W223" s="366"/>
      <c r="X223" s="366"/>
      <c r="Y223" s="366"/>
    </row>
    <row r="224" ht="84.0" customHeight="1">
      <c r="A224" s="436"/>
      <c r="B224" s="328"/>
      <c r="C224" s="328"/>
      <c r="D224" s="328"/>
      <c r="E224" s="341"/>
      <c r="F224" s="333"/>
      <c r="G224" s="589"/>
      <c r="H224" s="589"/>
      <c r="I224" s="589"/>
      <c r="J224" s="328"/>
      <c r="K224" s="590"/>
      <c r="L224" s="341"/>
      <c r="M224" s="436"/>
      <c r="N224" s="436"/>
      <c r="O224" s="366"/>
      <c r="P224" s="366"/>
      <c r="Q224" s="366"/>
      <c r="R224" s="366"/>
      <c r="S224" s="366"/>
      <c r="T224" s="366"/>
      <c r="U224" s="366"/>
      <c r="V224" s="366"/>
      <c r="W224" s="366"/>
      <c r="X224" s="366"/>
      <c r="Y224" s="366"/>
    </row>
    <row r="225" ht="84.0" customHeight="1">
      <c r="A225" s="436"/>
      <c r="B225" s="328"/>
      <c r="C225" s="328"/>
      <c r="D225" s="328"/>
      <c r="E225" s="341"/>
      <c r="F225" s="333"/>
      <c r="G225" s="589"/>
      <c r="H225" s="589"/>
      <c r="I225" s="589"/>
      <c r="J225" s="328"/>
      <c r="K225" s="590"/>
      <c r="L225" s="341"/>
      <c r="M225" s="436"/>
      <c r="N225" s="436"/>
      <c r="O225" s="366"/>
      <c r="P225" s="366"/>
      <c r="Q225" s="366"/>
      <c r="R225" s="366"/>
      <c r="S225" s="366"/>
      <c r="T225" s="366"/>
      <c r="U225" s="366"/>
      <c r="V225" s="366"/>
      <c r="W225" s="366"/>
      <c r="X225" s="366"/>
      <c r="Y225" s="366"/>
    </row>
    <row r="226" ht="84.0" customHeight="1">
      <c r="A226" s="436"/>
      <c r="B226" s="328"/>
      <c r="C226" s="328"/>
      <c r="D226" s="328"/>
      <c r="E226" s="341"/>
      <c r="F226" s="333"/>
      <c r="G226" s="589"/>
      <c r="H226" s="589"/>
      <c r="I226" s="589"/>
      <c r="J226" s="328"/>
      <c r="K226" s="590"/>
      <c r="L226" s="341"/>
      <c r="M226" s="436"/>
      <c r="N226" s="436"/>
      <c r="O226" s="366"/>
      <c r="P226" s="366"/>
      <c r="Q226" s="366"/>
      <c r="R226" s="366"/>
      <c r="S226" s="366"/>
      <c r="T226" s="366"/>
      <c r="U226" s="366"/>
      <c r="V226" s="366"/>
      <c r="W226" s="366"/>
      <c r="X226" s="366"/>
      <c r="Y226" s="366"/>
    </row>
    <row r="227" ht="84.0" customHeight="1">
      <c r="A227" s="436"/>
      <c r="B227" s="328"/>
      <c r="C227" s="328"/>
      <c r="D227" s="328"/>
      <c r="E227" s="341"/>
      <c r="F227" s="333"/>
      <c r="G227" s="589"/>
      <c r="H227" s="589"/>
      <c r="I227" s="589"/>
      <c r="J227" s="328"/>
      <c r="K227" s="590"/>
      <c r="L227" s="341"/>
      <c r="M227" s="436"/>
      <c r="N227" s="436"/>
      <c r="O227" s="366"/>
      <c r="P227" s="366"/>
      <c r="Q227" s="366"/>
      <c r="R227" s="366"/>
      <c r="S227" s="366"/>
      <c r="T227" s="366"/>
      <c r="U227" s="366"/>
      <c r="V227" s="366"/>
      <c r="W227" s="366"/>
      <c r="X227" s="366"/>
      <c r="Y227" s="366"/>
    </row>
    <row r="228" ht="84.0" customHeight="1">
      <c r="A228" s="436"/>
      <c r="B228" s="328"/>
      <c r="C228" s="328"/>
      <c r="D228" s="328"/>
      <c r="E228" s="341"/>
      <c r="F228" s="333"/>
      <c r="G228" s="589"/>
      <c r="H228" s="589"/>
      <c r="I228" s="589"/>
      <c r="J228" s="328"/>
      <c r="K228" s="590"/>
      <c r="L228" s="341"/>
      <c r="M228" s="436"/>
      <c r="N228" s="436"/>
      <c r="O228" s="366"/>
      <c r="P228" s="366"/>
      <c r="Q228" s="366"/>
      <c r="R228" s="366"/>
      <c r="S228" s="366"/>
      <c r="T228" s="366"/>
      <c r="U228" s="366"/>
      <c r="V228" s="366"/>
      <c r="W228" s="366"/>
      <c r="X228" s="366"/>
      <c r="Y228" s="366"/>
    </row>
    <row r="229" ht="84.0" customHeight="1">
      <c r="A229" s="436"/>
      <c r="B229" s="328"/>
      <c r="C229" s="328"/>
      <c r="D229" s="328"/>
      <c r="E229" s="341"/>
      <c r="F229" s="333"/>
      <c r="G229" s="589"/>
      <c r="H229" s="589"/>
      <c r="I229" s="589"/>
      <c r="J229" s="328"/>
      <c r="K229" s="590"/>
      <c r="L229" s="341"/>
      <c r="M229" s="436"/>
      <c r="N229" s="436"/>
      <c r="O229" s="366"/>
      <c r="P229" s="366"/>
      <c r="Q229" s="366"/>
      <c r="R229" s="366"/>
      <c r="S229" s="366"/>
      <c r="T229" s="366"/>
      <c r="U229" s="366"/>
      <c r="V229" s="366"/>
      <c r="W229" s="366"/>
      <c r="X229" s="366"/>
      <c r="Y229" s="366"/>
    </row>
    <row r="230" ht="84.0" customHeight="1">
      <c r="A230" s="436"/>
      <c r="B230" s="328"/>
      <c r="C230" s="328"/>
      <c r="D230" s="328"/>
      <c r="E230" s="341"/>
      <c r="F230" s="333"/>
      <c r="G230" s="589"/>
      <c r="H230" s="589"/>
      <c r="I230" s="589"/>
      <c r="J230" s="328"/>
      <c r="K230" s="590"/>
      <c r="L230" s="341"/>
      <c r="M230" s="436"/>
      <c r="N230" s="436"/>
      <c r="O230" s="366"/>
      <c r="P230" s="366"/>
      <c r="Q230" s="366"/>
      <c r="R230" s="366"/>
      <c r="S230" s="366"/>
      <c r="T230" s="366"/>
      <c r="U230" s="366"/>
      <c r="V230" s="366"/>
      <c r="W230" s="366"/>
      <c r="X230" s="366"/>
      <c r="Y230" s="366"/>
    </row>
    <row r="231" ht="84.0" customHeight="1">
      <c r="A231" s="436"/>
      <c r="B231" s="328"/>
      <c r="C231" s="328"/>
      <c r="D231" s="328"/>
      <c r="E231" s="341"/>
      <c r="F231" s="333"/>
      <c r="G231" s="589"/>
      <c r="H231" s="589"/>
      <c r="I231" s="589"/>
      <c r="J231" s="328"/>
      <c r="K231" s="590"/>
      <c r="L231" s="341"/>
      <c r="M231" s="436"/>
      <c r="N231" s="436"/>
      <c r="O231" s="366"/>
      <c r="P231" s="366"/>
      <c r="Q231" s="366"/>
      <c r="R231" s="366"/>
      <c r="S231" s="366"/>
      <c r="T231" s="366"/>
      <c r="U231" s="366"/>
      <c r="V231" s="366"/>
      <c r="W231" s="366"/>
      <c r="X231" s="366"/>
      <c r="Y231" s="366"/>
    </row>
    <row r="232" ht="84.0" customHeight="1">
      <c r="A232" s="436"/>
      <c r="B232" s="328"/>
      <c r="C232" s="328"/>
      <c r="D232" s="328"/>
      <c r="E232" s="341"/>
      <c r="F232" s="333"/>
      <c r="G232" s="589"/>
      <c r="H232" s="589"/>
      <c r="I232" s="589"/>
      <c r="J232" s="328"/>
      <c r="K232" s="590"/>
      <c r="L232" s="341"/>
      <c r="M232" s="436"/>
      <c r="N232" s="436"/>
      <c r="O232" s="366"/>
      <c r="P232" s="366"/>
      <c r="Q232" s="366"/>
      <c r="R232" s="366"/>
      <c r="S232" s="366"/>
      <c r="T232" s="366"/>
      <c r="U232" s="366"/>
      <c r="V232" s="366"/>
      <c r="W232" s="366"/>
      <c r="X232" s="366"/>
      <c r="Y232" s="366"/>
    </row>
    <row r="233" ht="84.0" customHeight="1">
      <c r="A233" s="436"/>
      <c r="B233" s="328"/>
      <c r="C233" s="328"/>
      <c r="D233" s="328"/>
      <c r="E233" s="341"/>
      <c r="F233" s="333"/>
      <c r="G233" s="589"/>
      <c r="H233" s="589"/>
      <c r="I233" s="589"/>
      <c r="J233" s="328"/>
      <c r="K233" s="590"/>
      <c r="L233" s="341"/>
      <c r="M233" s="436"/>
      <c r="N233" s="436"/>
      <c r="O233" s="366"/>
      <c r="P233" s="366"/>
      <c r="Q233" s="366"/>
      <c r="R233" s="366"/>
      <c r="S233" s="366"/>
      <c r="T233" s="366"/>
      <c r="U233" s="366"/>
      <c r="V233" s="366"/>
      <c r="W233" s="366"/>
      <c r="X233" s="366"/>
      <c r="Y233" s="366"/>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Y$178">
    <sortState ref="A2:Y178">
      <sortCondition descending="1" ref="M2:M178"/>
      <sortCondition descending="1" ref="F2:F178"/>
    </sortState>
  </autoFilter>
  <dataValidations>
    <dataValidation type="list" allowBlank="1" showErrorMessage="1" sqref="N3:N178">
      <formula1>"TB"</formula1>
    </dataValidation>
  </dataValidations>
  <hyperlinks>
    <hyperlink r:id="rId1" ref="A8"/>
    <hyperlink r:id="rId2" ref="A9"/>
    <hyperlink r:id="rId3" ref="A10"/>
    <hyperlink r:id="rId4" ref="A11"/>
    <hyperlink r:id="rId5" ref="A12"/>
    <hyperlink r:id="rId6" ref="A13"/>
    <hyperlink r:id="rId7" ref="A14"/>
    <hyperlink r:id="rId8" ref="A15"/>
    <hyperlink r:id="rId9" ref="A16"/>
    <hyperlink r:id="rId10" ref="A17"/>
    <hyperlink r:id="rId11" ref="A18"/>
    <hyperlink r:id="rId12" ref="A19"/>
    <hyperlink r:id="rId13" ref="A20"/>
    <hyperlink r:id="rId14" ref="A21"/>
    <hyperlink r:id="rId15" ref="A22"/>
    <hyperlink r:id="rId16" ref="A23"/>
    <hyperlink r:id="rId17" ref="A24"/>
    <hyperlink r:id="rId18" ref="A25"/>
    <hyperlink r:id="rId19" ref="A26"/>
    <hyperlink r:id="rId20" ref="A27"/>
    <hyperlink r:id="rId21" ref="A28"/>
    <hyperlink r:id="rId22" ref="A29"/>
    <hyperlink r:id="rId23" ref="A30"/>
    <hyperlink r:id="rId24" ref="A31"/>
    <hyperlink r:id="rId25" ref="A32"/>
    <hyperlink r:id="rId26" ref="A33"/>
  </hyperlinks>
  <printOptions/>
  <pageMargins bottom="0.75" footer="0.0" header="0.0" left="0.7" right="0.7" top="0.75"/>
  <pageSetup orientation="landscape"/>
  <drawing r:id="rId2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4.43"/>
    <col customWidth="1" min="2" max="2" width="22.86"/>
    <col customWidth="1" min="3" max="6" width="14.43"/>
    <col customWidth="1" min="7" max="7" width="17.14"/>
    <col customWidth="1" min="12" max="12" width="9.71"/>
  </cols>
  <sheetData>
    <row r="1" ht="12.75" customHeight="1">
      <c r="A1" s="601" t="s">
        <v>2017</v>
      </c>
      <c r="B1" s="159"/>
      <c r="C1" s="159"/>
      <c r="D1" s="160"/>
      <c r="E1" s="351"/>
      <c r="F1" s="602"/>
      <c r="G1" s="160"/>
      <c r="H1" s="603"/>
      <c r="I1" s="603"/>
      <c r="J1" s="603"/>
      <c r="K1" s="603"/>
      <c r="L1" s="603"/>
      <c r="M1" s="603"/>
      <c r="N1" s="603"/>
      <c r="O1" s="603"/>
      <c r="P1" s="351"/>
      <c r="Q1" s="351"/>
      <c r="R1" s="351"/>
      <c r="S1" s="351"/>
      <c r="T1" s="351"/>
      <c r="U1" s="351"/>
      <c r="V1" s="351"/>
      <c r="W1" s="351"/>
      <c r="X1" s="351"/>
    </row>
    <row r="2" ht="12.75" customHeight="1">
      <c r="A2" s="604"/>
      <c r="B2" s="159"/>
      <c r="C2" s="159"/>
      <c r="D2" s="160"/>
      <c r="E2" s="161"/>
      <c r="F2" s="605"/>
      <c r="G2" s="159"/>
      <c r="H2" s="159"/>
      <c r="I2" s="160"/>
      <c r="J2" s="603"/>
      <c r="K2" s="603"/>
      <c r="L2" s="603"/>
      <c r="M2" s="603"/>
      <c r="N2" s="161"/>
      <c r="O2" s="161"/>
      <c r="P2" s="161"/>
      <c r="Q2" s="161"/>
      <c r="R2" s="161"/>
      <c r="S2" s="161"/>
      <c r="T2" s="161"/>
      <c r="U2" s="161"/>
      <c r="V2" s="161"/>
      <c r="W2" s="161"/>
      <c r="X2" s="161"/>
    </row>
    <row r="3" ht="1.5" customHeight="1">
      <c r="A3" s="161">
        <v>120.0</v>
      </c>
      <c r="B3" s="161"/>
      <c r="C3" s="161"/>
      <c r="D3" s="161"/>
      <c r="E3" s="161"/>
      <c r="F3" s="603"/>
      <c r="G3" s="603"/>
      <c r="H3" s="603"/>
      <c r="I3" s="603"/>
      <c r="J3" s="603"/>
      <c r="K3" s="603"/>
      <c r="L3" s="603"/>
      <c r="M3" s="603"/>
      <c r="N3" s="161"/>
      <c r="O3" s="161"/>
      <c r="P3" s="161"/>
      <c r="Q3" s="161"/>
      <c r="R3" s="161"/>
      <c r="S3" s="161"/>
      <c r="T3" s="161"/>
      <c r="U3" s="161"/>
      <c r="V3" s="161"/>
      <c r="W3" s="161"/>
      <c r="X3" s="161"/>
    </row>
    <row r="4" ht="12.75" customHeight="1">
      <c r="A4" s="164" t="s">
        <v>2019</v>
      </c>
      <c r="B4" s="164" t="s">
        <v>10</v>
      </c>
      <c r="C4" s="164" t="s">
        <v>5499</v>
      </c>
      <c r="D4" s="164" t="s">
        <v>5500</v>
      </c>
      <c r="E4" s="161"/>
      <c r="F4" s="161"/>
      <c r="G4" s="161"/>
      <c r="H4" s="161"/>
      <c r="I4" s="161"/>
      <c r="J4" s="161"/>
      <c r="K4" s="161"/>
      <c r="L4" s="161"/>
      <c r="M4" s="161"/>
      <c r="N4" s="161"/>
      <c r="O4" s="161"/>
      <c r="P4" s="161"/>
      <c r="Q4" s="161"/>
      <c r="R4" s="161"/>
      <c r="S4" s="161"/>
      <c r="T4" s="161"/>
      <c r="U4" s="161"/>
      <c r="V4" s="161"/>
      <c r="W4" s="161"/>
      <c r="X4" s="161"/>
    </row>
    <row r="5" ht="12.75" customHeight="1">
      <c r="A5" s="165">
        <v>34753.0</v>
      </c>
      <c r="B5" s="215" t="s">
        <v>5476</v>
      </c>
      <c r="C5" s="166">
        <v>44196.0</v>
      </c>
      <c r="D5" s="165" t="s">
        <v>2526</v>
      </c>
      <c r="E5" s="387"/>
      <c r="F5" s="212"/>
      <c r="G5" s="161"/>
      <c r="H5" s="161"/>
      <c r="I5" s="161"/>
      <c r="J5" s="161"/>
      <c r="K5" s="161"/>
      <c r="L5" s="161"/>
      <c r="M5" s="161"/>
      <c r="N5" s="161"/>
      <c r="O5" s="161"/>
      <c r="P5" s="161"/>
      <c r="Q5" s="161"/>
      <c r="R5" s="161"/>
      <c r="S5" s="161"/>
      <c r="T5" s="161"/>
      <c r="U5" s="161"/>
      <c r="V5" s="161"/>
      <c r="W5" s="161"/>
      <c r="X5" s="161"/>
    </row>
    <row r="6" ht="12.75" customHeight="1">
      <c r="A6" s="165">
        <v>35069.0</v>
      </c>
      <c r="B6" s="215" t="s">
        <v>5460</v>
      </c>
      <c r="C6" s="166">
        <v>44196.0</v>
      </c>
      <c r="D6" s="165" t="s">
        <v>2526</v>
      </c>
      <c r="E6" s="387"/>
      <c r="F6" s="161"/>
      <c r="G6" s="161"/>
      <c r="H6" s="161"/>
      <c r="I6" s="161"/>
      <c r="J6" s="161"/>
      <c r="K6" s="161"/>
      <c r="L6" s="161"/>
      <c r="M6" s="161"/>
      <c r="N6" s="161"/>
      <c r="O6" s="161"/>
      <c r="P6" s="161"/>
      <c r="Q6" s="161"/>
      <c r="R6" s="161"/>
      <c r="S6" s="161"/>
      <c r="T6" s="161"/>
      <c r="U6" s="161"/>
      <c r="V6" s="161"/>
      <c r="W6" s="161"/>
      <c r="X6" s="161"/>
    </row>
    <row r="7" ht="12.75" customHeight="1">
      <c r="A7" s="165">
        <v>34623.0</v>
      </c>
      <c r="B7" s="165" t="s">
        <v>5467</v>
      </c>
      <c r="C7" s="166">
        <v>44200.0</v>
      </c>
      <c r="D7" s="165" t="s">
        <v>2526</v>
      </c>
      <c r="E7" s="387"/>
      <c r="F7" s="161"/>
      <c r="G7" s="161"/>
      <c r="H7" s="161"/>
      <c r="I7" s="161"/>
      <c r="J7" s="161"/>
      <c r="K7" s="161"/>
      <c r="L7" s="161"/>
      <c r="M7" s="161"/>
      <c r="N7" s="161"/>
      <c r="O7" s="161"/>
      <c r="P7" s="161"/>
      <c r="Q7" s="161"/>
      <c r="R7" s="161"/>
      <c r="S7" s="161"/>
      <c r="T7" s="161"/>
      <c r="U7" s="161"/>
      <c r="V7" s="161"/>
      <c r="W7" s="161"/>
      <c r="X7" s="161"/>
    </row>
    <row r="8" ht="12.75" customHeight="1">
      <c r="A8" s="165">
        <v>35060.0</v>
      </c>
      <c r="B8" s="239" t="s">
        <v>5898</v>
      </c>
      <c r="C8" s="166">
        <v>44200.0</v>
      </c>
      <c r="D8" s="165" t="s">
        <v>2526</v>
      </c>
      <c r="E8" s="387"/>
      <c r="F8" s="161"/>
      <c r="G8" s="606" t="s">
        <v>12369</v>
      </c>
      <c r="H8" s="607"/>
      <c r="I8" s="607"/>
      <c r="J8" s="607"/>
      <c r="K8" s="607"/>
      <c r="L8" s="608"/>
      <c r="M8" s="609" t="s">
        <v>12370</v>
      </c>
      <c r="N8" s="607"/>
      <c r="O8" s="607"/>
      <c r="P8" s="608"/>
      <c r="Q8" s="161"/>
      <c r="R8" s="161"/>
      <c r="S8" s="161"/>
      <c r="T8" s="161"/>
      <c r="U8" s="161"/>
      <c r="V8" s="161"/>
      <c r="W8" s="161"/>
      <c r="X8" s="161"/>
    </row>
    <row r="9" ht="12.75" customHeight="1">
      <c r="A9" s="165">
        <v>35011.0</v>
      </c>
      <c r="B9" s="165" t="s">
        <v>5900</v>
      </c>
      <c r="C9" s="166">
        <v>44200.0</v>
      </c>
      <c r="D9" s="165" t="s">
        <v>2526</v>
      </c>
      <c r="E9" s="387"/>
      <c r="F9" s="161"/>
      <c r="G9" s="610"/>
      <c r="L9" s="611"/>
      <c r="M9" s="610"/>
      <c r="P9" s="611"/>
      <c r="Q9" s="161"/>
      <c r="R9" s="161"/>
      <c r="S9" s="161"/>
      <c r="T9" s="161"/>
      <c r="U9" s="161"/>
      <c r="V9" s="161"/>
      <c r="W9" s="161"/>
      <c r="X9" s="161"/>
    </row>
    <row r="10" ht="12.75" customHeight="1">
      <c r="A10" s="165">
        <v>34508.0</v>
      </c>
      <c r="B10" s="239" t="s">
        <v>5453</v>
      </c>
      <c r="C10" s="166">
        <v>44201.0</v>
      </c>
      <c r="D10" s="165" t="s">
        <v>2526</v>
      </c>
      <c r="E10" s="161"/>
      <c r="F10" s="161"/>
      <c r="G10" s="610"/>
      <c r="L10" s="611"/>
      <c r="M10" s="610"/>
      <c r="P10" s="611"/>
      <c r="Q10" s="161"/>
      <c r="R10" s="161"/>
      <c r="S10" s="161"/>
      <c r="T10" s="161"/>
      <c r="U10" s="161"/>
      <c r="V10" s="161"/>
      <c r="W10" s="161"/>
      <c r="X10" s="161"/>
    </row>
    <row r="11" ht="12.75" customHeight="1">
      <c r="A11" s="165">
        <v>35012.0</v>
      </c>
      <c r="B11" s="215" t="s">
        <v>5902</v>
      </c>
      <c r="C11" s="166">
        <v>44201.0</v>
      </c>
      <c r="D11" s="165" t="s">
        <v>2526</v>
      </c>
      <c r="E11" s="161"/>
      <c r="F11" s="161"/>
      <c r="G11" s="610"/>
      <c r="L11" s="611"/>
      <c r="M11" s="610"/>
      <c r="P11" s="611"/>
      <c r="Q11" s="161"/>
      <c r="R11" s="161"/>
      <c r="S11" s="161"/>
      <c r="T11" s="161"/>
      <c r="U11" s="161"/>
      <c r="V11" s="161"/>
      <c r="W11" s="161"/>
      <c r="X11" s="161"/>
    </row>
    <row r="12" ht="12.75" customHeight="1">
      <c r="A12" s="165">
        <v>35110.0</v>
      </c>
      <c r="B12" s="239" t="s">
        <v>5457</v>
      </c>
      <c r="C12" s="166">
        <v>44207.0</v>
      </c>
      <c r="D12" s="165" t="s">
        <v>2526</v>
      </c>
      <c r="E12" s="161"/>
      <c r="F12" s="161"/>
      <c r="G12" s="610"/>
      <c r="L12" s="611"/>
      <c r="M12" s="610"/>
      <c r="P12" s="611"/>
      <c r="Q12" s="161"/>
      <c r="R12" s="161"/>
      <c r="S12" s="161"/>
      <c r="T12" s="161"/>
      <c r="U12" s="161"/>
      <c r="V12" s="161"/>
      <c r="W12" s="161"/>
      <c r="X12" s="161"/>
    </row>
    <row r="13" ht="12.75" customHeight="1">
      <c r="A13" s="165">
        <v>35062.0</v>
      </c>
      <c r="B13" s="165" t="s">
        <v>5407</v>
      </c>
      <c r="C13" s="166">
        <v>44216.0</v>
      </c>
      <c r="D13" s="165" t="s">
        <v>2526</v>
      </c>
      <c r="E13" s="161"/>
      <c r="F13" s="161"/>
      <c r="G13" s="610"/>
      <c r="L13" s="611"/>
      <c r="M13" s="610"/>
      <c r="P13" s="611"/>
      <c r="Q13" s="161"/>
      <c r="R13" s="161"/>
      <c r="S13" s="161"/>
      <c r="T13" s="161"/>
      <c r="U13" s="161"/>
      <c r="V13" s="161"/>
      <c r="W13" s="161"/>
      <c r="X13" s="161"/>
    </row>
    <row r="14" ht="12.75" customHeight="1">
      <c r="A14" s="165">
        <v>35176.0</v>
      </c>
      <c r="B14" s="165" t="s">
        <v>5404</v>
      </c>
      <c r="C14" s="166">
        <v>44216.0</v>
      </c>
      <c r="D14" s="165" t="s">
        <v>2526</v>
      </c>
      <c r="E14" s="161"/>
      <c r="F14" s="161"/>
      <c r="G14" s="610"/>
      <c r="L14" s="611"/>
      <c r="M14" s="610"/>
      <c r="P14" s="611"/>
      <c r="Q14" s="161"/>
      <c r="R14" s="161"/>
      <c r="S14" s="161"/>
      <c r="T14" s="161"/>
      <c r="U14" s="161"/>
      <c r="V14" s="161"/>
      <c r="W14" s="161"/>
      <c r="X14" s="161"/>
    </row>
    <row r="15" ht="12.75" customHeight="1">
      <c r="A15" s="165">
        <v>34718.0</v>
      </c>
      <c r="B15" s="165" t="s">
        <v>5396</v>
      </c>
      <c r="C15" s="166">
        <v>44218.0</v>
      </c>
      <c r="D15" s="165" t="s">
        <v>2526</v>
      </c>
      <c r="E15" s="161"/>
      <c r="F15" s="161"/>
      <c r="G15" s="610"/>
      <c r="L15" s="611"/>
      <c r="M15" s="610"/>
      <c r="P15" s="611"/>
      <c r="Q15" s="161"/>
      <c r="R15" s="161"/>
      <c r="S15" s="161"/>
      <c r="T15" s="161"/>
      <c r="U15" s="161"/>
      <c r="V15" s="161"/>
      <c r="W15" s="161"/>
      <c r="X15" s="161"/>
    </row>
    <row r="16" ht="12.75" customHeight="1">
      <c r="A16" s="165">
        <v>34812.0</v>
      </c>
      <c r="B16" s="165" t="s">
        <v>5398</v>
      </c>
      <c r="C16" s="166">
        <v>44218.0</v>
      </c>
      <c r="D16" s="165" t="s">
        <v>2526</v>
      </c>
      <c r="E16" s="161"/>
      <c r="F16" s="161"/>
      <c r="G16" s="610"/>
      <c r="L16" s="611"/>
      <c r="M16" s="610"/>
      <c r="P16" s="611"/>
      <c r="Q16" s="161"/>
      <c r="R16" s="161"/>
      <c r="S16" s="161"/>
      <c r="T16" s="161"/>
      <c r="U16" s="161"/>
      <c r="V16" s="161"/>
      <c r="W16" s="161"/>
      <c r="X16" s="161"/>
    </row>
    <row r="17" ht="12.75" customHeight="1">
      <c r="A17" s="165">
        <v>34575.0</v>
      </c>
      <c r="B17" s="165" t="s">
        <v>5393</v>
      </c>
      <c r="C17" s="166">
        <v>44223.0</v>
      </c>
      <c r="D17" s="165" t="s">
        <v>2526</v>
      </c>
      <c r="E17" s="161"/>
      <c r="F17" s="161"/>
      <c r="G17" s="610"/>
      <c r="L17" s="611"/>
      <c r="M17" s="610"/>
      <c r="P17" s="611"/>
      <c r="Q17" s="161"/>
      <c r="R17" s="161"/>
      <c r="S17" s="161"/>
      <c r="T17" s="161"/>
      <c r="U17" s="161"/>
      <c r="V17" s="161"/>
      <c r="W17" s="161"/>
      <c r="X17" s="161"/>
    </row>
    <row r="18" ht="12.75" customHeight="1">
      <c r="A18" s="165">
        <v>35107.0</v>
      </c>
      <c r="B18" s="165" t="s">
        <v>5401</v>
      </c>
      <c r="C18" s="166">
        <v>44223.0</v>
      </c>
      <c r="D18" s="165" t="s">
        <v>2526</v>
      </c>
      <c r="E18" s="161"/>
      <c r="F18" s="161"/>
      <c r="G18" s="610"/>
      <c r="L18" s="611"/>
      <c r="M18" s="610"/>
      <c r="P18" s="611"/>
      <c r="Q18" s="161"/>
      <c r="R18" s="161"/>
      <c r="S18" s="161"/>
      <c r="T18" s="161"/>
      <c r="U18" s="161"/>
      <c r="V18" s="161"/>
      <c r="W18" s="161"/>
      <c r="X18" s="161"/>
    </row>
    <row r="19" ht="12.75" customHeight="1">
      <c r="A19" s="165">
        <v>34853.0</v>
      </c>
      <c r="B19" s="165" t="s">
        <v>5372</v>
      </c>
      <c r="C19" s="166">
        <v>44235.0</v>
      </c>
      <c r="D19" s="165" t="s">
        <v>2526</v>
      </c>
      <c r="E19" s="161"/>
      <c r="F19" s="161"/>
      <c r="G19" s="610"/>
      <c r="L19" s="611"/>
      <c r="M19" s="610"/>
      <c r="P19" s="611"/>
      <c r="Q19" s="161"/>
      <c r="R19" s="161"/>
      <c r="S19" s="161"/>
      <c r="T19" s="161"/>
      <c r="U19" s="161"/>
      <c r="V19" s="161"/>
      <c r="W19" s="161"/>
      <c r="X19" s="161"/>
    </row>
    <row r="20" ht="12.75" customHeight="1">
      <c r="A20" s="165">
        <v>35109.0</v>
      </c>
      <c r="B20" s="165" t="s">
        <v>5375</v>
      </c>
      <c r="C20" s="166">
        <v>44235.0</v>
      </c>
      <c r="D20" s="165" t="s">
        <v>2526</v>
      </c>
      <c r="E20" s="161"/>
      <c r="F20" s="161"/>
      <c r="G20" s="610"/>
      <c r="L20" s="611"/>
      <c r="M20" s="610"/>
      <c r="P20" s="611"/>
      <c r="Q20" s="161"/>
      <c r="R20" s="161"/>
      <c r="S20" s="161"/>
      <c r="T20" s="161"/>
      <c r="U20" s="161"/>
      <c r="V20" s="161"/>
      <c r="W20" s="161"/>
      <c r="X20" s="161"/>
    </row>
    <row r="21" ht="12.75" customHeight="1">
      <c r="A21" s="165">
        <v>35182.0</v>
      </c>
      <c r="B21" s="165" t="s">
        <v>5863</v>
      </c>
      <c r="C21" s="166">
        <v>44235.0</v>
      </c>
      <c r="D21" s="165" t="s">
        <v>2526</v>
      </c>
      <c r="E21" s="161"/>
      <c r="F21" s="161"/>
      <c r="G21" s="610"/>
      <c r="L21" s="611"/>
      <c r="M21" s="610"/>
      <c r="P21" s="611"/>
      <c r="Q21" s="161"/>
      <c r="R21" s="161"/>
      <c r="S21" s="161"/>
      <c r="T21" s="161"/>
      <c r="U21" s="161"/>
      <c r="V21" s="161"/>
      <c r="W21" s="161"/>
      <c r="X21" s="161"/>
    </row>
    <row r="22" ht="12.75" customHeight="1">
      <c r="A22" s="165">
        <v>35163.0</v>
      </c>
      <c r="B22" s="165" t="s">
        <v>5379</v>
      </c>
      <c r="C22" s="166">
        <v>44235.0</v>
      </c>
      <c r="D22" s="165" t="s">
        <v>2526</v>
      </c>
      <c r="E22" s="161"/>
      <c r="F22" s="161"/>
      <c r="G22" s="610"/>
      <c r="L22" s="611"/>
      <c r="M22" s="610"/>
      <c r="P22" s="611"/>
      <c r="Q22" s="161"/>
      <c r="R22" s="161"/>
      <c r="S22" s="161"/>
      <c r="T22" s="161"/>
      <c r="U22" s="161"/>
      <c r="V22" s="161"/>
      <c r="W22" s="161"/>
      <c r="X22" s="161"/>
    </row>
    <row r="23" ht="12.75" customHeight="1">
      <c r="A23" s="165">
        <v>35158.0</v>
      </c>
      <c r="B23" s="165" t="s">
        <v>5868</v>
      </c>
      <c r="C23" s="166">
        <v>44235.0</v>
      </c>
      <c r="D23" s="165" t="s">
        <v>2526</v>
      </c>
      <c r="E23" s="161"/>
      <c r="F23" s="161"/>
      <c r="G23" s="610"/>
      <c r="L23" s="611"/>
      <c r="M23" s="610"/>
      <c r="P23" s="611"/>
      <c r="Q23" s="161"/>
      <c r="R23" s="161"/>
      <c r="S23" s="161"/>
      <c r="T23" s="161"/>
      <c r="U23" s="161"/>
      <c r="V23" s="161"/>
      <c r="W23" s="161"/>
      <c r="X23" s="161"/>
    </row>
    <row r="24" ht="12.75" customHeight="1">
      <c r="A24" s="165">
        <v>34990.0</v>
      </c>
      <c r="B24" s="165" t="s">
        <v>5355</v>
      </c>
      <c r="C24" s="166">
        <v>44244.0</v>
      </c>
      <c r="D24" s="165" t="s">
        <v>2526</v>
      </c>
      <c r="E24" s="161"/>
      <c r="F24" s="161"/>
      <c r="G24" s="610"/>
      <c r="L24" s="611"/>
      <c r="M24" s="610"/>
      <c r="P24" s="611"/>
      <c r="Q24" s="161"/>
      <c r="R24" s="161"/>
      <c r="S24" s="161"/>
      <c r="T24" s="161"/>
      <c r="U24" s="161"/>
      <c r="V24" s="161"/>
      <c r="W24" s="161"/>
      <c r="X24" s="161"/>
    </row>
    <row r="25" ht="12.75" customHeight="1">
      <c r="A25" s="165">
        <v>34641.0</v>
      </c>
      <c r="B25" s="165" t="s">
        <v>5367</v>
      </c>
      <c r="C25" s="166">
        <v>44244.0</v>
      </c>
      <c r="D25" s="165" t="s">
        <v>2526</v>
      </c>
      <c r="E25" s="161"/>
      <c r="F25" s="161"/>
      <c r="G25" s="610"/>
      <c r="L25" s="611"/>
      <c r="M25" s="610"/>
      <c r="P25" s="611"/>
      <c r="Q25" s="161"/>
      <c r="R25" s="161"/>
      <c r="S25" s="161"/>
      <c r="T25" s="161"/>
      <c r="U25" s="161"/>
      <c r="V25" s="161"/>
      <c r="W25" s="161"/>
      <c r="X25" s="161"/>
    </row>
    <row r="26" ht="12.75" customHeight="1">
      <c r="A26" s="165">
        <v>34875.0</v>
      </c>
      <c r="B26" s="165" t="s">
        <v>5370</v>
      </c>
      <c r="C26" s="166">
        <v>44244.0</v>
      </c>
      <c r="D26" s="165" t="s">
        <v>2526</v>
      </c>
      <c r="E26" s="161"/>
      <c r="F26" s="161"/>
      <c r="G26" s="610"/>
      <c r="L26" s="611"/>
      <c r="M26" s="610"/>
      <c r="P26" s="611"/>
      <c r="Q26" s="161"/>
      <c r="R26" s="161"/>
      <c r="S26" s="161"/>
      <c r="T26" s="161"/>
      <c r="U26" s="161"/>
      <c r="V26" s="161"/>
      <c r="W26" s="161"/>
      <c r="X26" s="161"/>
    </row>
    <row r="27" ht="12.75" customHeight="1">
      <c r="A27" s="165">
        <v>35192.0</v>
      </c>
      <c r="B27" s="165" t="s">
        <v>5855</v>
      </c>
      <c r="C27" s="166">
        <v>44251.0</v>
      </c>
      <c r="D27" s="165" t="s">
        <v>2526</v>
      </c>
      <c r="E27" s="161"/>
      <c r="F27" s="161"/>
      <c r="G27" s="610"/>
      <c r="L27" s="611"/>
      <c r="M27" s="610"/>
      <c r="P27" s="611"/>
      <c r="Q27" s="161"/>
      <c r="R27" s="161"/>
      <c r="S27" s="161"/>
      <c r="T27" s="161"/>
      <c r="U27" s="161"/>
      <c r="V27" s="161"/>
      <c r="W27" s="161"/>
      <c r="X27" s="161"/>
    </row>
    <row r="28" ht="12.75" customHeight="1">
      <c r="A28" s="165">
        <v>34966.0</v>
      </c>
      <c r="B28" s="165" t="s">
        <v>5364</v>
      </c>
      <c r="C28" s="166">
        <v>44253.0</v>
      </c>
      <c r="D28" s="165" t="s">
        <v>12371</v>
      </c>
      <c r="E28" s="161"/>
      <c r="F28" s="161"/>
      <c r="G28" s="610"/>
      <c r="L28" s="611"/>
      <c r="M28" s="610"/>
      <c r="P28" s="611"/>
      <c r="Q28" s="161"/>
      <c r="R28" s="161"/>
      <c r="S28" s="161"/>
      <c r="T28" s="161"/>
      <c r="U28" s="161"/>
      <c r="V28" s="161"/>
      <c r="W28" s="161"/>
      <c r="X28" s="161"/>
    </row>
    <row r="29" ht="12.75" customHeight="1">
      <c r="A29" s="165">
        <v>34854.0</v>
      </c>
      <c r="B29" s="165" t="s">
        <v>5328</v>
      </c>
      <c r="C29" s="166">
        <v>44253.0</v>
      </c>
      <c r="D29" s="165" t="s">
        <v>12371</v>
      </c>
      <c r="E29" s="161"/>
      <c r="F29" s="161"/>
      <c r="G29" s="610"/>
      <c r="L29" s="611"/>
      <c r="M29" s="610"/>
      <c r="P29" s="611"/>
      <c r="Q29" s="161"/>
      <c r="R29" s="161"/>
      <c r="S29" s="161"/>
      <c r="T29" s="161"/>
      <c r="U29" s="161"/>
      <c r="V29" s="161"/>
      <c r="W29" s="161"/>
      <c r="X29" s="161"/>
    </row>
    <row r="30" ht="12.75" customHeight="1">
      <c r="A30" s="165">
        <v>34867.0</v>
      </c>
      <c r="B30" s="165" t="s">
        <v>5288</v>
      </c>
      <c r="C30" s="166">
        <v>44256.0</v>
      </c>
      <c r="D30" s="165" t="s">
        <v>12371</v>
      </c>
      <c r="E30" s="161"/>
      <c r="F30" s="161"/>
      <c r="G30" s="610"/>
      <c r="L30" s="611"/>
      <c r="M30" s="610"/>
      <c r="P30" s="611"/>
      <c r="Q30" s="161"/>
      <c r="R30" s="161"/>
      <c r="S30" s="161"/>
      <c r="T30" s="161"/>
      <c r="U30" s="161"/>
      <c r="V30" s="161"/>
      <c r="W30" s="161"/>
      <c r="X30" s="161"/>
    </row>
    <row r="31" ht="12.75" customHeight="1">
      <c r="A31" s="165">
        <v>35183.0</v>
      </c>
      <c r="B31" s="165" t="s">
        <v>5843</v>
      </c>
      <c r="C31" s="166">
        <v>44256.0</v>
      </c>
      <c r="D31" s="165" t="s">
        <v>12371</v>
      </c>
      <c r="E31" s="161"/>
      <c r="F31" s="161"/>
      <c r="G31" s="610"/>
      <c r="L31" s="611"/>
      <c r="M31" s="610"/>
      <c r="P31" s="611"/>
      <c r="Q31" s="161"/>
      <c r="R31" s="161"/>
      <c r="S31" s="161"/>
      <c r="T31" s="161"/>
      <c r="U31" s="161"/>
      <c r="V31" s="161"/>
      <c r="W31" s="161"/>
      <c r="X31" s="161"/>
    </row>
    <row r="32" ht="12.75" customHeight="1">
      <c r="A32" s="165">
        <v>35212.0</v>
      </c>
      <c r="B32" s="165" t="s">
        <v>5335</v>
      </c>
      <c r="C32" s="166">
        <v>44257.0</v>
      </c>
      <c r="D32" s="165" t="s">
        <v>12371</v>
      </c>
      <c r="E32" s="161"/>
      <c r="F32" s="161"/>
      <c r="G32" s="612"/>
      <c r="H32" s="613"/>
      <c r="I32" s="613"/>
      <c r="J32" s="613"/>
      <c r="K32" s="613"/>
      <c r="L32" s="614"/>
      <c r="M32" s="612"/>
      <c r="N32" s="613"/>
      <c r="O32" s="613"/>
      <c r="P32" s="614"/>
      <c r="Q32" s="161"/>
      <c r="R32" s="161"/>
      <c r="S32" s="161"/>
      <c r="T32" s="161"/>
      <c r="U32" s="161"/>
      <c r="V32" s="161"/>
      <c r="W32" s="161"/>
      <c r="X32" s="161"/>
    </row>
    <row r="33" ht="12.75" customHeight="1">
      <c r="A33" s="165">
        <v>34989.0</v>
      </c>
      <c r="B33" s="165" t="s">
        <v>5325</v>
      </c>
      <c r="C33" s="166">
        <v>44263.0</v>
      </c>
      <c r="D33" s="165" t="s">
        <v>12371</v>
      </c>
      <c r="E33" s="161"/>
      <c r="F33" s="161"/>
      <c r="M33" s="161"/>
      <c r="N33" s="161"/>
      <c r="O33" s="161"/>
      <c r="P33" s="161"/>
      <c r="Q33" s="161"/>
      <c r="R33" s="161"/>
      <c r="S33" s="161"/>
      <c r="T33" s="161"/>
      <c r="U33" s="161"/>
      <c r="V33" s="161"/>
      <c r="W33" s="161"/>
      <c r="X33" s="161"/>
    </row>
    <row r="34" ht="12.75" customHeight="1">
      <c r="A34" s="165">
        <v>35162.0</v>
      </c>
      <c r="B34" s="165" t="s">
        <v>5312</v>
      </c>
      <c r="C34" s="166">
        <v>44263.0</v>
      </c>
      <c r="D34" s="165" t="s">
        <v>12371</v>
      </c>
      <c r="E34" s="161"/>
      <c r="F34" s="161"/>
      <c r="G34" s="161"/>
      <c r="H34" s="161"/>
      <c r="I34" s="161"/>
      <c r="J34" s="161"/>
      <c r="K34" s="161"/>
      <c r="L34" s="161"/>
      <c r="M34" s="161"/>
      <c r="N34" s="161"/>
      <c r="O34" s="161"/>
      <c r="P34" s="161"/>
      <c r="Q34" s="161"/>
      <c r="R34" s="161"/>
      <c r="S34" s="161"/>
      <c r="T34" s="161"/>
      <c r="U34" s="161"/>
      <c r="V34" s="161"/>
      <c r="W34" s="161"/>
      <c r="X34" s="161"/>
    </row>
    <row r="35" ht="12.75" customHeight="1">
      <c r="A35" s="165">
        <v>35070.0</v>
      </c>
      <c r="B35" s="165" t="s">
        <v>5281</v>
      </c>
      <c r="C35" s="166">
        <v>44280.0</v>
      </c>
      <c r="D35" s="165" t="s">
        <v>12371</v>
      </c>
      <c r="E35" s="161"/>
      <c r="F35" s="161"/>
      <c r="G35" s="156"/>
      <c r="H35" s="161"/>
      <c r="I35" s="161"/>
      <c r="J35" s="161"/>
      <c r="K35" s="161"/>
      <c r="L35" s="161"/>
      <c r="M35" s="161"/>
      <c r="N35" s="161"/>
      <c r="O35" s="161"/>
      <c r="P35" s="161"/>
      <c r="Q35" s="161"/>
      <c r="R35" s="161"/>
      <c r="S35" s="161"/>
      <c r="T35" s="161"/>
      <c r="U35" s="161"/>
      <c r="V35" s="161"/>
      <c r="W35" s="161"/>
      <c r="X35" s="161"/>
    </row>
    <row r="36" ht="12.75" customHeight="1">
      <c r="A36" s="165">
        <v>35338.0</v>
      </c>
      <c r="B36" s="165" t="s">
        <v>5285</v>
      </c>
      <c r="C36" s="166">
        <v>44284.0</v>
      </c>
      <c r="D36" s="165" t="s">
        <v>12371</v>
      </c>
      <c r="E36" s="161"/>
      <c r="F36" s="161"/>
      <c r="I36" s="161"/>
      <c r="J36" s="161"/>
      <c r="K36" s="161"/>
      <c r="L36" s="161"/>
      <c r="M36" s="161"/>
      <c r="N36" s="161"/>
      <c r="O36" s="161"/>
      <c r="P36" s="161"/>
      <c r="Q36" s="161"/>
      <c r="R36" s="161"/>
      <c r="S36" s="161"/>
      <c r="T36" s="161"/>
      <c r="U36" s="161"/>
      <c r="V36" s="161"/>
      <c r="W36" s="161"/>
      <c r="X36" s="161"/>
    </row>
    <row r="37" ht="12.75" customHeight="1">
      <c r="A37" s="165">
        <v>34898.0</v>
      </c>
      <c r="B37" s="165" t="s">
        <v>5275</v>
      </c>
      <c r="C37" s="166">
        <v>44284.0</v>
      </c>
      <c r="D37" s="165" t="s">
        <v>12371</v>
      </c>
      <c r="E37" s="161"/>
      <c r="F37" s="161"/>
      <c r="G37" s="161"/>
      <c r="H37" s="161"/>
      <c r="I37" s="161"/>
      <c r="J37" s="161"/>
      <c r="K37" s="161"/>
      <c r="L37" s="161"/>
      <c r="M37" s="161"/>
      <c r="N37" s="161"/>
      <c r="O37" s="161"/>
      <c r="P37" s="161"/>
      <c r="Q37" s="161"/>
      <c r="R37" s="161"/>
      <c r="S37" s="161"/>
      <c r="T37" s="161"/>
      <c r="U37" s="161"/>
      <c r="V37" s="161"/>
      <c r="W37" s="161"/>
      <c r="X37" s="161"/>
    </row>
    <row r="38" ht="12.75" customHeight="1">
      <c r="A38" s="165">
        <v>35298.0</v>
      </c>
      <c r="B38" s="165" t="s">
        <v>5820</v>
      </c>
      <c r="C38" s="166">
        <v>44285.0</v>
      </c>
      <c r="D38" s="165" t="s">
        <v>12371</v>
      </c>
      <c r="E38" s="161"/>
      <c r="F38" s="161"/>
      <c r="G38" s="161"/>
      <c r="H38" s="161"/>
      <c r="I38" s="161"/>
      <c r="J38" s="161"/>
      <c r="K38" s="161"/>
      <c r="L38" s="161"/>
      <c r="M38" s="161"/>
      <c r="N38" s="161"/>
      <c r="O38" s="161"/>
      <c r="P38" s="161"/>
      <c r="Q38" s="161"/>
      <c r="R38" s="161"/>
      <c r="S38" s="161"/>
      <c r="T38" s="161"/>
      <c r="U38" s="161"/>
      <c r="V38" s="161"/>
      <c r="W38" s="161"/>
      <c r="X38" s="161"/>
    </row>
    <row r="39" ht="12.75" customHeight="1">
      <c r="A39" s="165">
        <v>35127.0</v>
      </c>
      <c r="B39" s="165" t="s">
        <v>5264</v>
      </c>
      <c r="C39" s="166">
        <v>44286.0</v>
      </c>
      <c r="D39" s="165" t="s">
        <v>12371</v>
      </c>
      <c r="E39" s="161"/>
      <c r="F39" s="161"/>
      <c r="G39" s="161"/>
      <c r="H39" s="161"/>
      <c r="I39" s="161"/>
      <c r="J39" s="161"/>
      <c r="K39" s="161"/>
      <c r="L39" s="161"/>
      <c r="M39" s="161"/>
      <c r="N39" s="161"/>
      <c r="O39" s="161"/>
      <c r="P39" s="161"/>
      <c r="Q39" s="161"/>
      <c r="R39" s="161"/>
      <c r="S39" s="161"/>
      <c r="T39" s="161"/>
      <c r="U39" s="161"/>
      <c r="V39" s="161"/>
      <c r="W39" s="161"/>
      <c r="X39" s="161"/>
    </row>
    <row r="40" ht="12.75" customHeight="1">
      <c r="A40" s="165">
        <v>35235.0</v>
      </c>
      <c r="B40" s="165" t="s">
        <v>5812</v>
      </c>
      <c r="C40" s="166">
        <v>44287.0</v>
      </c>
      <c r="D40" s="165" t="s">
        <v>12371</v>
      </c>
      <c r="E40" s="161"/>
      <c r="F40" s="161"/>
      <c r="G40" s="161"/>
      <c r="H40" s="161"/>
      <c r="I40" s="161"/>
      <c r="J40" s="161"/>
      <c r="K40" s="161"/>
      <c r="L40" s="161"/>
      <c r="M40" s="161"/>
      <c r="N40" s="161"/>
      <c r="O40" s="161"/>
      <c r="P40" s="161"/>
      <c r="Q40" s="161"/>
      <c r="R40" s="161"/>
      <c r="S40" s="161"/>
      <c r="T40" s="161"/>
      <c r="U40" s="161"/>
      <c r="V40" s="161"/>
      <c r="W40" s="161"/>
      <c r="X40" s="161"/>
    </row>
    <row r="41" ht="12.75" customHeight="1">
      <c r="A41" s="165">
        <v>35151.0</v>
      </c>
      <c r="B41" s="165" t="s">
        <v>5248</v>
      </c>
      <c r="C41" s="166">
        <v>44298.0</v>
      </c>
      <c r="D41" s="165" t="s">
        <v>12371</v>
      </c>
      <c r="E41" s="161"/>
      <c r="F41" s="161"/>
      <c r="G41" s="161"/>
      <c r="H41" s="161"/>
      <c r="I41" s="161"/>
      <c r="J41" s="161"/>
      <c r="K41" s="161"/>
      <c r="L41" s="161"/>
      <c r="M41" s="161"/>
      <c r="N41" s="161"/>
      <c r="O41" s="161"/>
      <c r="P41" s="161"/>
      <c r="Q41" s="161"/>
      <c r="R41" s="161"/>
      <c r="S41" s="161"/>
      <c r="T41" s="161"/>
      <c r="U41" s="161"/>
      <c r="V41" s="161"/>
      <c r="W41" s="161"/>
      <c r="X41" s="161"/>
    </row>
    <row r="42" ht="12.75" customHeight="1">
      <c r="A42" s="165">
        <v>35313.0</v>
      </c>
      <c r="B42" s="165" t="s">
        <v>5256</v>
      </c>
      <c r="C42" s="166">
        <v>44300.0</v>
      </c>
      <c r="D42" s="165" t="s">
        <v>12371</v>
      </c>
      <c r="E42" s="161"/>
      <c r="F42" s="161"/>
      <c r="G42" s="161"/>
      <c r="H42" s="161"/>
      <c r="I42" s="161"/>
      <c r="J42" s="161"/>
      <c r="K42" s="161"/>
      <c r="L42" s="161"/>
      <c r="M42" s="161"/>
      <c r="N42" s="161"/>
      <c r="O42" s="161"/>
      <c r="P42" s="161"/>
      <c r="Q42" s="161"/>
      <c r="R42" s="161"/>
      <c r="S42" s="161"/>
      <c r="T42" s="161"/>
      <c r="U42" s="161"/>
      <c r="V42" s="161"/>
      <c r="W42" s="161"/>
      <c r="X42" s="161"/>
    </row>
    <row r="43" ht="12.75" customHeight="1">
      <c r="A43" s="165">
        <v>35397.0</v>
      </c>
      <c r="B43" s="215" t="s">
        <v>5233</v>
      </c>
      <c r="C43" s="166">
        <v>44309.0</v>
      </c>
      <c r="D43" s="165" t="s">
        <v>12371</v>
      </c>
      <c r="E43" s="161"/>
      <c r="F43" s="161"/>
      <c r="G43" s="161"/>
      <c r="H43" s="161"/>
      <c r="I43" s="161"/>
      <c r="J43" s="161"/>
      <c r="K43" s="161"/>
      <c r="L43" s="161"/>
      <c r="M43" s="161"/>
      <c r="N43" s="161"/>
      <c r="O43" s="161"/>
      <c r="P43" s="161"/>
      <c r="Q43" s="161"/>
      <c r="R43" s="161"/>
      <c r="S43" s="161"/>
      <c r="T43" s="161"/>
      <c r="U43" s="161"/>
      <c r="V43" s="161"/>
      <c r="W43" s="161"/>
      <c r="X43" s="161"/>
    </row>
    <row r="44" ht="12.75" customHeight="1">
      <c r="A44" s="165">
        <v>35063.0</v>
      </c>
      <c r="B44" s="165" t="s">
        <v>5231</v>
      </c>
      <c r="C44" s="166">
        <v>44309.0</v>
      </c>
      <c r="D44" s="165" t="s">
        <v>12371</v>
      </c>
      <c r="E44" s="161"/>
      <c r="F44" s="161"/>
      <c r="G44" s="161"/>
      <c r="H44" s="161"/>
      <c r="I44" s="161"/>
      <c r="J44" s="161"/>
      <c r="K44" s="161"/>
      <c r="L44" s="161"/>
      <c r="M44" s="161"/>
      <c r="N44" s="161"/>
      <c r="O44" s="161"/>
      <c r="P44" s="161"/>
      <c r="Q44" s="161"/>
      <c r="R44" s="161"/>
      <c r="S44" s="161"/>
      <c r="T44" s="161"/>
      <c r="U44" s="161"/>
      <c r="V44" s="161"/>
      <c r="W44" s="161"/>
      <c r="X44" s="161"/>
    </row>
    <row r="45" ht="12.75" customHeight="1">
      <c r="A45" s="165">
        <v>35442.0</v>
      </c>
      <c r="B45" s="165" t="s">
        <v>5793</v>
      </c>
      <c r="C45" s="166">
        <v>44320.0</v>
      </c>
      <c r="D45" s="165" t="s">
        <v>12371</v>
      </c>
      <c r="E45" s="161"/>
      <c r="F45" s="161"/>
      <c r="G45" s="161"/>
      <c r="H45" s="161"/>
      <c r="I45" s="161"/>
      <c r="J45" s="161"/>
      <c r="K45" s="161"/>
      <c r="L45" s="161"/>
      <c r="M45" s="161"/>
      <c r="N45" s="161"/>
      <c r="O45" s="161"/>
      <c r="P45" s="161"/>
      <c r="Q45" s="161"/>
      <c r="R45" s="161"/>
      <c r="S45" s="161"/>
      <c r="T45" s="161"/>
      <c r="U45" s="161"/>
      <c r="V45" s="161"/>
      <c r="W45" s="161"/>
      <c r="X45" s="161"/>
    </row>
    <row r="46" ht="12.75" customHeight="1">
      <c r="A46" s="165">
        <v>35358.0</v>
      </c>
      <c r="B46" s="165" t="s">
        <v>5780</v>
      </c>
      <c r="C46" s="166">
        <v>44321.0</v>
      </c>
      <c r="D46" s="165" t="s">
        <v>12371</v>
      </c>
      <c r="E46" s="161"/>
      <c r="F46" s="161"/>
      <c r="G46" s="161"/>
      <c r="H46" s="161"/>
      <c r="I46" s="161"/>
      <c r="J46" s="161"/>
      <c r="K46" s="161"/>
      <c r="L46" s="161"/>
      <c r="M46" s="161"/>
      <c r="N46" s="161"/>
      <c r="O46" s="161"/>
      <c r="P46" s="161"/>
      <c r="Q46" s="161"/>
      <c r="R46" s="161"/>
      <c r="S46" s="161"/>
      <c r="T46" s="161"/>
      <c r="U46" s="161"/>
      <c r="V46" s="161"/>
      <c r="W46" s="161"/>
      <c r="X46" s="161"/>
    </row>
    <row r="47" ht="12.75" customHeight="1">
      <c r="A47" s="165">
        <v>35372.0</v>
      </c>
      <c r="B47" s="165" t="s">
        <v>5788</v>
      </c>
      <c r="C47" s="166">
        <v>44321.0</v>
      </c>
      <c r="D47" s="165" t="s">
        <v>12371</v>
      </c>
      <c r="E47" s="161"/>
      <c r="F47" s="161"/>
      <c r="G47" s="161"/>
      <c r="H47" s="161"/>
      <c r="I47" s="161"/>
      <c r="J47" s="161"/>
      <c r="K47" s="161"/>
      <c r="L47" s="161"/>
      <c r="M47" s="161"/>
      <c r="N47" s="161"/>
      <c r="O47" s="161"/>
      <c r="P47" s="161"/>
      <c r="Q47" s="161"/>
      <c r="R47" s="161"/>
      <c r="S47" s="161"/>
      <c r="T47" s="161"/>
      <c r="U47" s="161"/>
      <c r="V47" s="161"/>
      <c r="W47" s="161"/>
      <c r="X47" s="161"/>
    </row>
    <row r="48" ht="12.75" customHeight="1">
      <c r="A48" s="165">
        <v>35462.0</v>
      </c>
      <c r="B48" s="165" t="s">
        <v>5216</v>
      </c>
      <c r="C48" s="166">
        <v>44322.0</v>
      </c>
      <c r="D48" s="165" t="s">
        <v>12371</v>
      </c>
      <c r="E48" s="161"/>
      <c r="F48" s="161"/>
      <c r="G48" s="161"/>
      <c r="H48" s="161"/>
      <c r="I48" s="161"/>
      <c r="J48" s="161"/>
      <c r="K48" s="161"/>
      <c r="L48" s="161"/>
      <c r="M48" s="161"/>
      <c r="N48" s="161"/>
      <c r="O48" s="161"/>
      <c r="P48" s="161"/>
      <c r="Q48" s="161"/>
      <c r="R48" s="161"/>
      <c r="S48" s="161"/>
      <c r="T48" s="161"/>
      <c r="U48" s="161"/>
      <c r="V48" s="161"/>
      <c r="W48" s="161"/>
      <c r="X48" s="161"/>
    </row>
    <row r="49" ht="12.75" customHeight="1">
      <c r="A49" s="165">
        <v>35251.0</v>
      </c>
      <c r="B49" s="215" t="s">
        <v>5213</v>
      </c>
      <c r="C49" s="166">
        <v>44327.0</v>
      </c>
      <c r="D49" s="165" t="s">
        <v>12371</v>
      </c>
      <c r="E49" s="161"/>
      <c r="F49" s="161"/>
      <c r="G49" s="161"/>
      <c r="H49" s="161"/>
      <c r="I49" s="161"/>
      <c r="J49" s="161"/>
      <c r="K49" s="161"/>
      <c r="L49" s="161"/>
      <c r="M49" s="161"/>
      <c r="N49" s="161"/>
      <c r="O49" s="161"/>
      <c r="P49" s="161"/>
      <c r="Q49" s="161"/>
      <c r="R49" s="161"/>
      <c r="S49" s="161"/>
      <c r="T49" s="161"/>
      <c r="U49" s="161"/>
      <c r="V49" s="161"/>
      <c r="W49" s="161"/>
      <c r="X49" s="161"/>
    </row>
    <row r="50" ht="12.75" customHeight="1">
      <c r="A50" s="165">
        <v>35461.0</v>
      </c>
      <c r="B50" s="165" t="s">
        <v>5174</v>
      </c>
      <c r="C50" s="166">
        <v>44335.0</v>
      </c>
      <c r="D50" s="165" t="s">
        <v>12371</v>
      </c>
      <c r="E50" s="161"/>
      <c r="F50" s="161"/>
      <c r="G50" s="161"/>
      <c r="H50" s="161"/>
      <c r="I50" s="161"/>
      <c r="J50" s="161"/>
      <c r="K50" s="161"/>
      <c r="L50" s="161"/>
      <c r="M50" s="161"/>
      <c r="N50" s="161"/>
      <c r="O50" s="161"/>
      <c r="P50" s="161"/>
      <c r="Q50" s="161"/>
      <c r="R50" s="161"/>
      <c r="S50" s="161"/>
      <c r="T50" s="161"/>
      <c r="U50" s="161"/>
      <c r="V50" s="161"/>
      <c r="W50" s="161"/>
      <c r="X50" s="161"/>
    </row>
    <row r="51" ht="12.75" customHeight="1">
      <c r="A51" s="165">
        <v>35495.0</v>
      </c>
      <c r="B51" s="165" t="s">
        <v>5739</v>
      </c>
      <c r="C51" s="166">
        <v>44340.0</v>
      </c>
      <c r="D51" s="165" t="s">
        <v>12371</v>
      </c>
      <c r="E51" s="161"/>
      <c r="F51" s="161"/>
      <c r="G51" s="161"/>
      <c r="H51" s="161"/>
      <c r="I51" s="161"/>
      <c r="J51" s="161"/>
      <c r="K51" s="161"/>
      <c r="L51" s="161"/>
      <c r="M51" s="161"/>
      <c r="N51" s="161"/>
      <c r="O51" s="161"/>
      <c r="P51" s="161"/>
      <c r="Q51" s="161"/>
      <c r="R51" s="161"/>
      <c r="S51" s="161"/>
      <c r="T51" s="161"/>
      <c r="U51" s="161"/>
      <c r="V51" s="161"/>
      <c r="W51" s="161"/>
      <c r="X51" s="161"/>
    </row>
    <row r="52" ht="12.75" customHeight="1">
      <c r="A52" s="165">
        <v>35486.0</v>
      </c>
      <c r="B52" s="165" t="s">
        <v>5756</v>
      </c>
      <c r="C52" s="166">
        <v>44340.0</v>
      </c>
      <c r="D52" s="165" t="s">
        <v>12371</v>
      </c>
      <c r="E52" s="161"/>
      <c r="F52" s="161"/>
      <c r="G52" s="161"/>
      <c r="H52" s="161"/>
      <c r="I52" s="161"/>
      <c r="J52" s="161"/>
      <c r="K52" s="161"/>
      <c r="L52" s="161"/>
      <c r="M52" s="161"/>
      <c r="N52" s="161"/>
      <c r="O52" s="161"/>
      <c r="P52" s="161"/>
      <c r="Q52" s="161"/>
      <c r="R52" s="161"/>
      <c r="S52" s="161"/>
      <c r="T52" s="161"/>
      <c r="U52" s="161"/>
      <c r="V52" s="161"/>
      <c r="W52" s="161"/>
      <c r="X52" s="161"/>
    </row>
    <row r="53" ht="12.75" customHeight="1">
      <c r="A53" s="165">
        <v>35427.0</v>
      </c>
      <c r="B53" s="165" t="s">
        <v>5741</v>
      </c>
      <c r="C53" s="166">
        <v>44348.0</v>
      </c>
      <c r="D53" s="165" t="s">
        <v>12371</v>
      </c>
      <c r="E53" s="161"/>
      <c r="F53" s="161"/>
      <c r="G53" s="161"/>
      <c r="H53" s="161"/>
      <c r="I53" s="161"/>
      <c r="J53" s="161"/>
      <c r="K53" s="161"/>
      <c r="L53" s="161"/>
      <c r="M53" s="161"/>
      <c r="N53" s="161"/>
      <c r="O53" s="161"/>
      <c r="P53" s="161"/>
      <c r="Q53" s="161"/>
      <c r="R53" s="161"/>
      <c r="S53" s="161"/>
      <c r="T53" s="161"/>
      <c r="U53" s="161"/>
      <c r="V53" s="161"/>
      <c r="W53" s="161"/>
      <c r="X53" s="161"/>
    </row>
    <row r="54" ht="12.75" customHeight="1">
      <c r="A54" s="165">
        <v>35527.0</v>
      </c>
      <c r="B54" s="165" t="s">
        <v>5729</v>
      </c>
      <c r="C54" s="166">
        <v>44351.0</v>
      </c>
      <c r="D54" s="165" t="s">
        <v>12371</v>
      </c>
      <c r="E54" s="161"/>
      <c r="F54" s="161"/>
      <c r="G54" s="161"/>
      <c r="H54" s="161"/>
      <c r="I54" s="161"/>
      <c r="J54" s="161"/>
      <c r="K54" s="161"/>
      <c r="L54" s="161"/>
      <c r="M54" s="161"/>
      <c r="N54" s="161"/>
      <c r="O54" s="161"/>
      <c r="P54" s="161"/>
      <c r="Q54" s="161"/>
      <c r="R54" s="161"/>
      <c r="S54" s="161"/>
      <c r="T54" s="161"/>
      <c r="U54" s="161"/>
      <c r="V54" s="161"/>
      <c r="W54" s="161"/>
      <c r="X54" s="161"/>
    </row>
    <row r="55" ht="12.75" customHeight="1">
      <c r="A55" s="165">
        <v>35552.0</v>
      </c>
      <c r="B55" s="165" t="s">
        <v>5103</v>
      </c>
      <c r="C55" s="166">
        <v>44357.0</v>
      </c>
      <c r="D55" s="165" t="s">
        <v>12371</v>
      </c>
      <c r="E55" s="161"/>
      <c r="F55" s="161"/>
      <c r="G55" s="161"/>
      <c r="H55" s="161"/>
      <c r="I55" s="161"/>
      <c r="J55" s="161"/>
      <c r="K55" s="161"/>
      <c r="L55" s="161"/>
      <c r="M55" s="161"/>
      <c r="N55" s="161"/>
      <c r="O55" s="161"/>
      <c r="P55" s="161"/>
      <c r="Q55" s="161"/>
      <c r="R55" s="161"/>
      <c r="S55" s="161"/>
      <c r="T55" s="161"/>
      <c r="U55" s="161"/>
      <c r="V55" s="161"/>
      <c r="W55" s="161"/>
      <c r="X55" s="161"/>
    </row>
    <row r="56" ht="12.75" customHeight="1">
      <c r="A56" s="165">
        <v>35553.0</v>
      </c>
      <c r="B56" s="165" t="s">
        <v>5101</v>
      </c>
      <c r="C56" s="166">
        <v>44357.0</v>
      </c>
      <c r="D56" s="165" t="s">
        <v>12371</v>
      </c>
      <c r="E56" s="161"/>
      <c r="F56" s="161"/>
      <c r="G56" s="161"/>
      <c r="H56" s="161"/>
      <c r="I56" s="161"/>
      <c r="J56" s="161"/>
      <c r="K56" s="161"/>
      <c r="L56" s="161"/>
      <c r="M56" s="161"/>
      <c r="N56" s="161"/>
      <c r="O56" s="161"/>
      <c r="P56" s="161"/>
      <c r="Q56" s="161"/>
      <c r="R56" s="161"/>
      <c r="S56" s="161"/>
      <c r="T56" s="161"/>
      <c r="U56" s="161"/>
      <c r="V56" s="161"/>
      <c r="W56" s="161"/>
      <c r="X56" s="161"/>
    </row>
    <row r="57" ht="12.75" customHeight="1">
      <c r="A57" s="165">
        <v>34993.0</v>
      </c>
      <c r="B57" s="165" t="s">
        <v>5095</v>
      </c>
      <c r="C57" s="166">
        <v>44365.0</v>
      </c>
      <c r="D57" s="165" t="s">
        <v>12371</v>
      </c>
      <c r="E57" s="161"/>
      <c r="F57" s="161"/>
      <c r="G57" s="161"/>
      <c r="H57" s="161"/>
      <c r="I57" s="161"/>
      <c r="J57" s="161"/>
      <c r="K57" s="161"/>
      <c r="L57" s="161"/>
      <c r="M57" s="161"/>
      <c r="N57" s="161"/>
      <c r="O57" s="161"/>
      <c r="P57" s="161"/>
      <c r="Q57" s="161"/>
      <c r="R57" s="161"/>
      <c r="S57" s="161"/>
      <c r="T57" s="161"/>
      <c r="U57" s="161"/>
      <c r="V57" s="161"/>
      <c r="W57" s="161"/>
      <c r="X57" s="161"/>
    </row>
    <row r="58" ht="12.75" customHeight="1">
      <c r="A58" s="165">
        <v>35618.0</v>
      </c>
      <c r="B58" s="165" t="s">
        <v>5723</v>
      </c>
      <c r="C58" s="166">
        <v>44365.0</v>
      </c>
      <c r="D58" s="165" t="s">
        <v>12371</v>
      </c>
      <c r="E58" s="161"/>
      <c r="F58" s="161"/>
      <c r="G58" s="161"/>
      <c r="H58" s="161"/>
      <c r="I58" s="161"/>
      <c r="J58" s="161"/>
      <c r="K58" s="161"/>
      <c r="L58" s="161"/>
      <c r="M58" s="161"/>
      <c r="N58" s="161"/>
      <c r="O58" s="161"/>
      <c r="P58" s="161"/>
      <c r="Q58" s="161"/>
      <c r="R58" s="161"/>
      <c r="S58" s="161"/>
      <c r="T58" s="161"/>
      <c r="U58" s="161"/>
      <c r="V58" s="161"/>
      <c r="W58" s="161"/>
      <c r="X58" s="161"/>
    </row>
    <row r="59" ht="12.75" customHeight="1">
      <c r="A59" s="165">
        <v>35558.0</v>
      </c>
      <c r="B59" s="165" t="s">
        <v>5706</v>
      </c>
      <c r="C59" s="166">
        <v>44375.0</v>
      </c>
      <c r="D59" s="165" t="s">
        <v>12371</v>
      </c>
      <c r="E59" s="161"/>
      <c r="F59" s="161"/>
      <c r="G59" s="161"/>
      <c r="H59" s="161"/>
      <c r="I59" s="161"/>
      <c r="J59" s="161"/>
      <c r="K59" s="161"/>
      <c r="L59" s="161"/>
      <c r="M59" s="161"/>
      <c r="N59" s="161"/>
      <c r="O59" s="161"/>
      <c r="P59" s="161"/>
      <c r="Q59" s="161"/>
      <c r="R59" s="161"/>
      <c r="S59" s="161"/>
      <c r="T59" s="161"/>
      <c r="U59" s="161"/>
      <c r="V59" s="161"/>
      <c r="W59" s="161"/>
      <c r="X59" s="161"/>
    </row>
    <row r="60" ht="12.75" customHeight="1">
      <c r="A60" s="165">
        <v>35673.0</v>
      </c>
      <c r="B60" s="165" t="s">
        <v>5702</v>
      </c>
      <c r="C60" s="166">
        <v>44375.0</v>
      </c>
      <c r="D60" s="165" t="s">
        <v>12371</v>
      </c>
      <c r="E60" s="161"/>
      <c r="F60" s="161"/>
      <c r="G60" s="161"/>
      <c r="H60" s="161"/>
      <c r="I60" s="161"/>
      <c r="J60" s="161"/>
      <c r="K60" s="161"/>
      <c r="L60" s="161"/>
      <c r="M60" s="161"/>
      <c r="N60" s="161"/>
      <c r="O60" s="161"/>
      <c r="P60" s="161"/>
      <c r="Q60" s="161"/>
      <c r="R60" s="161"/>
      <c r="S60" s="161"/>
      <c r="T60" s="161"/>
      <c r="U60" s="161"/>
      <c r="V60" s="161"/>
      <c r="W60" s="161"/>
      <c r="X60" s="161"/>
    </row>
    <row r="61" ht="12.75" customHeight="1">
      <c r="A61" s="165">
        <v>35609.0</v>
      </c>
      <c r="B61" s="165" t="s">
        <v>5679</v>
      </c>
      <c r="C61" s="166">
        <v>44376.0</v>
      </c>
      <c r="D61" s="165" t="s">
        <v>12371</v>
      </c>
      <c r="E61" s="161"/>
      <c r="F61" s="161"/>
      <c r="G61" s="161"/>
      <c r="H61" s="161"/>
      <c r="I61" s="161"/>
      <c r="J61" s="161"/>
      <c r="K61" s="161"/>
      <c r="L61" s="161"/>
      <c r="M61" s="161"/>
      <c r="N61" s="161"/>
      <c r="O61" s="161"/>
      <c r="P61" s="161"/>
      <c r="Q61" s="161"/>
      <c r="R61" s="161"/>
      <c r="S61" s="161"/>
      <c r="T61" s="161"/>
      <c r="U61" s="161"/>
      <c r="V61" s="161"/>
      <c r="W61" s="161"/>
      <c r="X61" s="161"/>
    </row>
    <row r="62" ht="12.75" customHeight="1">
      <c r="A62" s="165">
        <v>35360.0</v>
      </c>
      <c r="B62" s="165" t="s">
        <v>5086</v>
      </c>
      <c r="C62" s="166">
        <v>44383.0</v>
      </c>
      <c r="D62" s="165" t="s">
        <v>12371</v>
      </c>
      <c r="E62" s="161"/>
      <c r="F62" s="161"/>
      <c r="G62" s="161"/>
      <c r="H62" s="161"/>
      <c r="I62" s="161"/>
      <c r="J62" s="161"/>
      <c r="K62" s="161"/>
      <c r="L62" s="161"/>
      <c r="M62" s="161"/>
      <c r="N62" s="161"/>
      <c r="O62" s="161"/>
      <c r="P62" s="161"/>
      <c r="Q62" s="161"/>
      <c r="R62" s="161"/>
      <c r="S62" s="161"/>
      <c r="T62" s="161"/>
      <c r="U62" s="161"/>
      <c r="V62" s="161"/>
      <c r="W62" s="161"/>
      <c r="X62" s="161"/>
    </row>
    <row r="63" ht="12.75" customHeight="1">
      <c r="A63" s="165" t="s">
        <v>5068</v>
      </c>
      <c r="B63" s="165" t="s">
        <v>5069</v>
      </c>
      <c r="C63" s="166">
        <v>44383.0</v>
      </c>
      <c r="D63" s="165" t="s">
        <v>12371</v>
      </c>
      <c r="E63" s="161"/>
      <c r="F63" s="161"/>
      <c r="G63" s="161"/>
      <c r="H63" s="161"/>
      <c r="I63" s="161"/>
      <c r="J63" s="161"/>
      <c r="K63" s="161"/>
      <c r="L63" s="161"/>
      <c r="M63" s="161"/>
      <c r="N63" s="161"/>
      <c r="O63" s="161"/>
      <c r="P63" s="161"/>
      <c r="Q63" s="161"/>
      <c r="R63" s="161"/>
      <c r="S63" s="161"/>
      <c r="T63" s="161"/>
      <c r="U63" s="161"/>
      <c r="V63" s="161"/>
      <c r="W63" s="161"/>
      <c r="X63" s="161"/>
    </row>
    <row r="64" ht="12.75" customHeight="1">
      <c r="A64" s="165">
        <v>35287.0</v>
      </c>
      <c r="B64" s="165" t="s">
        <v>5051</v>
      </c>
      <c r="C64" s="166">
        <v>44384.0</v>
      </c>
      <c r="D64" s="165" t="s">
        <v>12371</v>
      </c>
      <c r="E64" s="161"/>
      <c r="F64" s="161"/>
      <c r="G64" s="161"/>
      <c r="H64" s="161"/>
      <c r="I64" s="161"/>
      <c r="J64" s="161"/>
      <c r="K64" s="161"/>
      <c r="L64" s="161"/>
      <c r="M64" s="161"/>
      <c r="N64" s="161"/>
      <c r="O64" s="161"/>
      <c r="P64" s="161"/>
      <c r="Q64" s="161"/>
      <c r="R64" s="161"/>
      <c r="S64" s="161"/>
      <c r="T64" s="161"/>
      <c r="U64" s="161"/>
      <c r="V64" s="161"/>
      <c r="W64" s="161"/>
      <c r="X64" s="161"/>
    </row>
    <row r="65" ht="12.75" customHeight="1">
      <c r="A65" s="165">
        <v>35569.0</v>
      </c>
      <c r="B65" s="165" t="s">
        <v>5080</v>
      </c>
      <c r="C65" s="166">
        <v>44384.0</v>
      </c>
      <c r="D65" s="165" t="s">
        <v>12371</v>
      </c>
      <c r="E65" s="161"/>
      <c r="F65" s="161"/>
      <c r="G65" s="161"/>
      <c r="H65" s="161"/>
      <c r="I65" s="161"/>
      <c r="J65" s="161"/>
      <c r="K65" s="161"/>
      <c r="L65" s="161"/>
      <c r="M65" s="161"/>
      <c r="N65" s="161"/>
      <c r="O65" s="161"/>
      <c r="P65" s="161"/>
      <c r="Q65" s="161"/>
      <c r="R65" s="161"/>
      <c r="S65" s="161"/>
      <c r="T65" s="161"/>
      <c r="U65" s="161"/>
      <c r="V65" s="161"/>
      <c r="W65" s="161"/>
      <c r="X65" s="161"/>
    </row>
    <row r="66" ht="12.75" customHeight="1">
      <c r="A66" s="165">
        <v>35288.0</v>
      </c>
      <c r="B66" s="165" t="s">
        <v>5048</v>
      </c>
      <c r="C66" s="166">
        <v>44384.0</v>
      </c>
      <c r="D66" s="165" t="s">
        <v>12371</v>
      </c>
      <c r="E66" s="161"/>
      <c r="F66" s="161"/>
      <c r="G66" s="161"/>
      <c r="H66" s="161"/>
      <c r="I66" s="161"/>
      <c r="J66" s="161"/>
      <c r="K66" s="161"/>
      <c r="L66" s="161"/>
      <c r="M66" s="161"/>
      <c r="N66" s="161"/>
      <c r="O66" s="161"/>
      <c r="P66" s="161"/>
      <c r="Q66" s="161"/>
      <c r="R66" s="161"/>
      <c r="S66" s="161"/>
      <c r="T66" s="161"/>
      <c r="U66" s="161"/>
      <c r="V66" s="161"/>
      <c r="W66" s="161"/>
      <c r="X66" s="161"/>
    </row>
    <row r="67" ht="12.75" customHeight="1">
      <c r="A67" s="165" t="s">
        <v>5027</v>
      </c>
      <c r="B67" s="165" t="s">
        <v>5028</v>
      </c>
      <c r="C67" s="166">
        <v>44384.0</v>
      </c>
      <c r="D67" s="165" t="s">
        <v>12371</v>
      </c>
      <c r="E67" s="161"/>
      <c r="F67" s="161"/>
      <c r="G67" s="161"/>
      <c r="H67" s="161"/>
      <c r="I67" s="161"/>
      <c r="J67" s="161"/>
      <c r="K67" s="161"/>
      <c r="L67" s="161"/>
      <c r="M67" s="161"/>
      <c r="N67" s="161"/>
      <c r="O67" s="161"/>
      <c r="P67" s="161"/>
      <c r="Q67" s="161"/>
      <c r="R67" s="161"/>
      <c r="S67" s="161"/>
      <c r="T67" s="161"/>
      <c r="U67" s="161"/>
      <c r="V67" s="161"/>
      <c r="W67" s="161"/>
      <c r="X67" s="161"/>
    </row>
    <row r="68" ht="12.75" customHeight="1">
      <c r="A68" s="165">
        <v>35686.0</v>
      </c>
      <c r="B68" s="165" t="s">
        <v>5684</v>
      </c>
      <c r="C68" s="166">
        <v>44392.0</v>
      </c>
      <c r="D68" s="165" t="s">
        <v>12371</v>
      </c>
      <c r="E68" s="161"/>
      <c r="F68" s="161"/>
      <c r="G68" s="161"/>
      <c r="H68" s="161"/>
      <c r="I68" s="161"/>
      <c r="J68" s="161"/>
      <c r="K68" s="161"/>
      <c r="L68" s="161"/>
      <c r="M68" s="161"/>
      <c r="N68" s="161"/>
      <c r="O68" s="161"/>
      <c r="P68" s="161"/>
      <c r="Q68" s="161"/>
      <c r="R68" s="161"/>
      <c r="S68" s="161"/>
      <c r="T68" s="161"/>
      <c r="U68" s="161"/>
      <c r="V68" s="161"/>
      <c r="W68" s="161"/>
      <c r="X68" s="161"/>
    </row>
    <row r="69" ht="12.75" customHeight="1">
      <c r="A69" s="165">
        <v>35363.0</v>
      </c>
      <c r="B69" s="165" t="s">
        <v>4957</v>
      </c>
      <c r="C69" s="166">
        <v>44411.0</v>
      </c>
      <c r="D69" s="165" t="s">
        <v>12371</v>
      </c>
      <c r="E69" s="161"/>
      <c r="F69" s="161"/>
      <c r="G69" s="161"/>
      <c r="H69" s="161"/>
      <c r="I69" s="161"/>
      <c r="J69" s="161"/>
      <c r="K69" s="161"/>
      <c r="L69" s="161"/>
      <c r="M69" s="161"/>
      <c r="N69" s="161"/>
      <c r="O69" s="161"/>
      <c r="P69" s="161"/>
      <c r="Q69" s="161"/>
      <c r="R69" s="161"/>
      <c r="S69" s="161"/>
      <c r="T69" s="161"/>
      <c r="U69" s="161"/>
      <c r="V69" s="161"/>
      <c r="W69" s="161"/>
      <c r="X69" s="161"/>
    </row>
    <row r="70" ht="12.75" customHeight="1">
      <c r="A70" s="165">
        <v>35705.0</v>
      </c>
      <c r="B70" s="165" t="s">
        <v>4985</v>
      </c>
      <c r="C70" s="166">
        <v>44414.0</v>
      </c>
      <c r="D70" s="165" t="s">
        <v>12371</v>
      </c>
      <c r="E70" s="161"/>
      <c r="F70" s="161"/>
      <c r="G70" s="161"/>
      <c r="H70" s="161"/>
      <c r="I70" s="161"/>
      <c r="J70" s="161"/>
      <c r="K70" s="161"/>
      <c r="L70" s="161"/>
      <c r="M70" s="161"/>
      <c r="N70" s="161"/>
      <c r="O70" s="161"/>
      <c r="P70" s="161"/>
      <c r="Q70" s="161"/>
      <c r="R70" s="161"/>
      <c r="S70" s="161"/>
      <c r="T70" s="161"/>
      <c r="U70" s="161"/>
      <c r="V70" s="161"/>
      <c r="W70" s="161"/>
      <c r="X70" s="161"/>
    </row>
    <row r="71" ht="12.75" customHeight="1">
      <c r="A71" s="165">
        <v>35736.0</v>
      </c>
      <c r="B71" s="165" t="s">
        <v>5675</v>
      </c>
      <c r="C71" s="166">
        <v>44419.0</v>
      </c>
      <c r="D71" s="165" t="s">
        <v>12371</v>
      </c>
      <c r="E71" s="161"/>
      <c r="F71" s="161"/>
      <c r="G71" s="161"/>
      <c r="H71" s="161"/>
      <c r="I71" s="161"/>
      <c r="J71" s="161"/>
      <c r="K71" s="161"/>
      <c r="L71" s="161"/>
      <c r="M71" s="161"/>
      <c r="N71" s="161"/>
      <c r="O71" s="161"/>
      <c r="P71" s="161"/>
      <c r="Q71" s="161"/>
      <c r="R71" s="161"/>
      <c r="S71" s="161"/>
      <c r="T71" s="161"/>
      <c r="U71" s="161"/>
      <c r="V71" s="161"/>
      <c r="W71" s="161"/>
      <c r="X71" s="161"/>
    </row>
    <row r="72" ht="12.75" customHeight="1">
      <c r="A72" s="165">
        <v>35747.0</v>
      </c>
      <c r="B72" s="165" t="s">
        <v>4963</v>
      </c>
      <c r="C72" s="166">
        <v>44419.0</v>
      </c>
      <c r="D72" s="165" t="s">
        <v>12371</v>
      </c>
      <c r="E72" s="161"/>
      <c r="F72" s="161"/>
      <c r="G72" s="161"/>
      <c r="H72" s="161"/>
      <c r="I72" s="161"/>
      <c r="J72" s="161"/>
      <c r="K72" s="161"/>
      <c r="L72" s="161"/>
      <c r="M72" s="161"/>
      <c r="N72" s="161"/>
      <c r="O72" s="161"/>
      <c r="P72" s="161"/>
      <c r="Q72" s="161"/>
      <c r="R72" s="161"/>
      <c r="S72" s="161"/>
      <c r="T72" s="161"/>
      <c r="U72" s="161"/>
      <c r="V72" s="161"/>
      <c r="W72" s="161"/>
      <c r="X72" s="161"/>
    </row>
    <row r="73" ht="12.75" customHeight="1">
      <c r="A73" s="165">
        <v>35699.0</v>
      </c>
      <c r="B73" s="165" t="s">
        <v>4954</v>
      </c>
      <c r="C73" s="166">
        <v>44421.0</v>
      </c>
      <c r="D73" s="165" t="s">
        <v>12371</v>
      </c>
      <c r="E73" s="161"/>
      <c r="F73" s="161"/>
      <c r="G73" s="161"/>
      <c r="H73" s="161"/>
      <c r="I73" s="161"/>
      <c r="J73" s="161"/>
      <c r="K73" s="161"/>
      <c r="L73" s="161"/>
      <c r="M73" s="161"/>
      <c r="N73" s="161"/>
      <c r="O73" s="161"/>
      <c r="P73" s="161"/>
      <c r="Q73" s="161"/>
      <c r="R73" s="161"/>
      <c r="S73" s="161"/>
      <c r="T73" s="161"/>
      <c r="U73" s="161"/>
      <c r="V73" s="161"/>
      <c r="W73" s="161"/>
      <c r="X73" s="161"/>
    </row>
    <row r="74" ht="12.75" customHeight="1">
      <c r="A74" s="165">
        <v>35700.0</v>
      </c>
      <c r="B74" s="165" t="s">
        <v>4951</v>
      </c>
      <c r="C74" s="166">
        <v>44421.0</v>
      </c>
      <c r="D74" s="165" t="s">
        <v>12371</v>
      </c>
      <c r="E74" s="161"/>
      <c r="F74" s="161"/>
      <c r="G74" s="161"/>
      <c r="H74" s="161"/>
      <c r="I74" s="161"/>
      <c r="J74" s="161"/>
      <c r="K74" s="161"/>
      <c r="L74" s="161"/>
      <c r="M74" s="161"/>
      <c r="N74" s="161"/>
      <c r="O74" s="161"/>
      <c r="P74" s="161"/>
      <c r="Q74" s="161"/>
      <c r="R74" s="161"/>
      <c r="S74" s="161"/>
      <c r="T74" s="161"/>
      <c r="U74" s="161"/>
      <c r="V74" s="161"/>
      <c r="W74" s="161"/>
      <c r="X74" s="161"/>
    </row>
    <row r="75" ht="12.75" customHeight="1">
      <c r="A75" s="165">
        <v>35511.0</v>
      </c>
      <c r="B75" s="165" t="s">
        <v>4943</v>
      </c>
      <c r="C75" s="166">
        <v>44424.0</v>
      </c>
      <c r="D75" s="165" t="s">
        <v>12371</v>
      </c>
      <c r="E75" s="161"/>
      <c r="F75" s="161"/>
      <c r="G75" s="161"/>
      <c r="H75" s="161"/>
      <c r="I75" s="161"/>
      <c r="J75" s="161"/>
      <c r="K75" s="161"/>
      <c r="L75" s="161"/>
      <c r="M75" s="161"/>
      <c r="N75" s="161"/>
      <c r="O75" s="161"/>
      <c r="P75" s="161"/>
      <c r="Q75" s="161"/>
      <c r="R75" s="161"/>
      <c r="S75" s="161"/>
      <c r="T75" s="161"/>
      <c r="U75" s="161"/>
      <c r="V75" s="161"/>
      <c r="W75" s="161"/>
      <c r="X75" s="161"/>
    </row>
    <row r="76" ht="12.75" customHeight="1">
      <c r="A76" s="165">
        <v>35866.0</v>
      </c>
      <c r="B76" s="165" t="s">
        <v>4884</v>
      </c>
      <c r="C76" s="166">
        <v>44448.0</v>
      </c>
      <c r="D76" s="165" t="s">
        <v>12371</v>
      </c>
      <c r="E76" s="161"/>
      <c r="F76" s="161"/>
      <c r="G76" s="161"/>
      <c r="H76" s="161"/>
      <c r="I76" s="161"/>
      <c r="J76" s="161"/>
      <c r="K76" s="161"/>
      <c r="L76" s="161"/>
      <c r="M76" s="161"/>
      <c r="N76" s="161"/>
      <c r="O76" s="161"/>
      <c r="P76" s="161"/>
      <c r="Q76" s="161"/>
      <c r="R76" s="161"/>
      <c r="S76" s="161"/>
      <c r="T76" s="161"/>
      <c r="U76" s="161"/>
      <c r="V76" s="161"/>
      <c r="W76" s="161"/>
      <c r="X76" s="161"/>
    </row>
    <row r="77" ht="12.75" customHeight="1">
      <c r="A77" s="165">
        <v>35262.0</v>
      </c>
      <c r="B77" s="165" t="s">
        <v>4874</v>
      </c>
      <c r="C77" s="166">
        <v>44453.0</v>
      </c>
      <c r="D77" s="165" t="s">
        <v>12371</v>
      </c>
      <c r="E77" s="161"/>
      <c r="F77" s="161"/>
      <c r="G77" s="161"/>
      <c r="H77" s="161"/>
      <c r="I77" s="161"/>
      <c r="J77" s="161"/>
      <c r="K77" s="161"/>
      <c r="L77" s="161"/>
      <c r="M77" s="161"/>
      <c r="N77" s="161"/>
      <c r="O77" s="161"/>
      <c r="P77" s="161"/>
      <c r="Q77" s="161"/>
      <c r="R77" s="161"/>
      <c r="S77" s="161"/>
      <c r="T77" s="161"/>
      <c r="U77" s="161"/>
      <c r="V77" s="161"/>
      <c r="W77" s="161"/>
      <c r="X77" s="161"/>
    </row>
    <row r="78" ht="12.75" customHeight="1">
      <c r="A78" s="165">
        <v>35873.0</v>
      </c>
      <c r="B78" s="165" t="s">
        <v>5635</v>
      </c>
      <c r="C78" s="166">
        <v>44462.0</v>
      </c>
      <c r="D78" s="165" t="s">
        <v>12371</v>
      </c>
      <c r="E78" s="161"/>
      <c r="F78" s="161"/>
      <c r="G78" s="161"/>
      <c r="H78" s="161"/>
      <c r="I78" s="161"/>
      <c r="J78" s="161"/>
      <c r="K78" s="161"/>
      <c r="L78" s="161"/>
      <c r="M78" s="161"/>
      <c r="N78" s="161"/>
      <c r="O78" s="161"/>
      <c r="P78" s="161"/>
      <c r="Q78" s="161"/>
      <c r="R78" s="161"/>
      <c r="S78" s="161"/>
      <c r="T78" s="161"/>
      <c r="U78" s="161"/>
      <c r="V78" s="161"/>
      <c r="W78" s="161"/>
      <c r="X78" s="161"/>
    </row>
    <row r="79" ht="12.75" customHeight="1">
      <c r="A79" s="165">
        <v>35622.0</v>
      </c>
      <c r="B79" s="165" t="s">
        <v>4820</v>
      </c>
      <c r="C79" s="166">
        <v>44482.0</v>
      </c>
      <c r="D79" s="165" t="s">
        <v>12371</v>
      </c>
      <c r="E79" s="161"/>
      <c r="F79" s="161"/>
      <c r="G79" s="161"/>
      <c r="H79" s="161"/>
      <c r="I79" s="161"/>
      <c r="J79" s="161"/>
      <c r="K79" s="161"/>
      <c r="L79" s="161"/>
      <c r="M79" s="161"/>
      <c r="N79" s="161"/>
      <c r="O79" s="161"/>
      <c r="P79" s="161"/>
      <c r="Q79" s="161"/>
      <c r="R79" s="161"/>
      <c r="S79" s="161"/>
      <c r="T79" s="161"/>
      <c r="U79" s="161"/>
      <c r="V79" s="161"/>
      <c r="W79" s="161"/>
      <c r="X79" s="161"/>
    </row>
    <row r="80" ht="12.75" customHeight="1">
      <c r="A80" s="165">
        <v>36029.0</v>
      </c>
      <c r="B80" s="165" t="s">
        <v>4781</v>
      </c>
      <c r="C80" s="166">
        <v>44496.0</v>
      </c>
      <c r="D80" s="165" t="s">
        <v>12371</v>
      </c>
      <c r="E80" s="161"/>
      <c r="F80" s="161"/>
      <c r="G80" s="161"/>
      <c r="H80" s="161"/>
      <c r="I80" s="161"/>
      <c r="J80" s="161"/>
      <c r="K80" s="161"/>
      <c r="L80" s="161"/>
      <c r="M80" s="161"/>
      <c r="N80" s="161"/>
      <c r="O80" s="161"/>
      <c r="P80" s="161"/>
      <c r="Q80" s="161"/>
      <c r="R80" s="161"/>
      <c r="S80" s="161"/>
      <c r="T80" s="161"/>
      <c r="U80" s="161"/>
      <c r="V80" s="161"/>
      <c r="W80" s="161"/>
      <c r="X80" s="161"/>
    </row>
    <row r="81" ht="12.75" customHeight="1">
      <c r="A81" s="165">
        <v>36028.0</v>
      </c>
      <c r="B81" s="165" t="s">
        <v>4776</v>
      </c>
      <c r="C81" s="166">
        <v>44496.0</v>
      </c>
      <c r="D81" s="165" t="s">
        <v>12371</v>
      </c>
      <c r="E81" s="161"/>
      <c r="F81" s="161"/>
      <c r="G81" s="161"/>
      <c r="H81" s="161"/>
      <c r="I81" s="161"/>
      <c r="J81" s="161"/>
      <c r="K81" s="161"/>
      <c r="L81" s="161"/>
      <c r="M81" s="161"/>
      <c r="N81" s="161"/>
      <c r="O81" s="161"/>
      <c r="P81" s="161"/>
      <c r="Q81" s="161"/>
      <c r="R81" s="161"/>
      <c r="S81" s="161"/>
      <c r="T81" s="161"/>
      <c r="U81" s="161"/>
      <c r="V81" s="161"/>
      <c r="W81" s="161"/>
      <c r="X81" s="161"/>
    </row>
    <row r="82" ht="12.75" customHeight="1">
      <c r="A82" s="191">
        <v>36066.0</v>
      </c>
      <c r="B82" s="165" t="s">
        <v>4773</v>
      </c>
      <c r="C82" s="166">
        <v>44496.0</v>
      </c>
      <c r="D82" s="165" t="s">
        <v>12371</v>
      </c>
      <c r="E82" s="161"/>
      <c r="F82" s="161"/>
      <c r="G82" s="161"/>
      <c r="H82" s="161"/>
      <c r="I82" s="161"/>
      <c r="J82" s="161"/>
      <c r="K82" s="161"/>
      <c r="L82" s="161"/>
      <c r="M82" s="161"/>
      <c r="N82" s="161"/>
      <c r="O82" s="161"/>
      <c r="P82" s="161"/>
      <c r="Q82" s="161"/>
      <c r="R82" s="161"/>
      <c r="S82" s="161"/>
      <c r="T82" s="161"/>
      <c r="U82" s="161"/>
      <c r="V82" s="161"/>
      <c r="W82" s="161"/>
      <c r="X82" s="161"/>
    </row>
    <row r="83" ht="12.75" customHeight="1">
      <c r="A83" s="165">
        <v>36030.0</v>
      </c>
      <c r="B83" s="165" t="s">
        <v>4779</v>
      </c>
      <c r="C83" s="166">
        <v>44496.0</v>
      </c>
      <c r="D83" s="165" t="s">
        <v>12371</v>
      </c>
      <c r="E83" s="161"/>
      <c r="F83" s="161"/>
      <c r="G83" s="161"/>
      <c r="H83" s="161"/>
      <c r="I83" s="161"/>
      <c r="J83" s="161"/>
      <c r="K83" s="161"/>
      <c r="L83" s="161"/>
      <c r="M83" s="161"/>
      <c r="N83" s="161"/>
      <c r="O83" s="161"/>
      <c r="P83" s="161"/>
      <c r="Q83" s="161"/>
      <c r="R83" s="161"/>
      <c r="S83" s="161"/>
      <c r="T83" s="161"/>
      <c r="U83" s="161"/>
      <c r="V83" s="161"/>
      <c r="W83" s="161"/>
      <c r="X83" s="161"/>
    </row>
    <row r="84" ht="12.75" customHeight="1">
      <c r="A84" s="165">
        <v>36018.0</v>
      </c>
      <c r="B84" s="165" t="s">
        <v>5573</v>
      </c>
      <c r="C84" s="166">
        <v>44512.0</v>
      </c>
      <c r="D84" s="165" t="s">
        <v>12371</v>
      </c>
      <c r="E84" s="161"/>
      <c r="F84" s="161"/>
      <c r="G84" s="161"/>
      <c r="H84" s="161"/>
      <c r="I84" s="161"/>
      <c r="J84" s="161"/>
      <c r="K84" s="161"/>
      <c r="L84" s="161"/>
      <c r="M84" s="161"/>
      <c r="N84" s="161"/>
      <c r="O84" s="161"/>
      <c r="P84" s="161"/>
      <c r="Q84" s="161"/>
      <c r="R84" s="161"/>
      <c r="S84" s="161"/>
      <c r="T84" s="161"/>
      <c r="U84" s="161"/>
      <c r="V84" s="161"/>
      <c r="W84" s="161"/>
      <c r="X84" s="161"/>
    </row>
    <row r="85" ht="12.75" customHeight="1">
      <c r="A85" s="165">
        <v>35976.0</v>
      </c>
      <c r="B85" s="165" t="s">
        <v>4725</v>
      </c>
      <c r="C85" s="166">
        <v>44516.0</v>
      </c>
      <c r="D85" s="165" t="s">
        <v>12371</v>
      </c>
      <c r="E85" s="161"/>
      <c r="F85" s="161"/>
      <c r="G85" s="161"/>
      <c r="H85" s="161"/>
      <c r="I85" s="161"/>
      <c r="J85" s="161"/>
      <c r="K85" s="161"/>
      <c r="L85" s="161"/>
      <c r="M85" s="161"/>
      <c r="N85" s="161"/>
      <c r="O85" s="161"/>
      <c r="P85" s="161"/>
      <c r="Q85" s="161"/>
      <c r="R85" s="161"/>
      <c r="S85" s="161"/>
      <c r="T85" s="161"/>
      <c r="U85" s="161"/>
      <c r="V85" s="161"/>
      <c r="W85" s="161"/>
      <c r="X85" s="161"/>
    </row>
    <row r="86" ht="12.75" customHeight="1">
      <c r="A86" s="165">
        <v>36125.0</v>
      </c>
      <c r="B86" s="165" t="s">
        <v>4701</v>
      </c>
      <c r="C86" s="166">
        <v>44519.0</v>
      </c>
      <c r="D86" s="165" t="s">
        <v>12371</v>
      </c>
      <c r="E86" s="161"/>
      <c r="F86" s="161"/>
      <c r="G86" s="161"/>
      <c r="H86" s="161"/>
      <c r="I86" s="161"/>
      <c r="J86" s="161"/>
      <c r="K86" s="161"/>
      <c r="L86" s="161"/>
      <c r="M86" s="161"/>
      <c r="N86" s="161"/>
      <c r="O86" s="161"/>
      <c r="P86" s="161"/>
      <c r="Q86" s="161"/>
      <c r="R86" s="161"/>
      <c r="S86" s="161"/>
      <c r="T86" s="161"/>
      <c r="U86" s="161"/>
      <c r="V86" s="161"/>
      <c r="W86" s="161"/>
      <c r="X86" s="161"/>
    </row>
    <row r="87" ht="12.75" customHeight="1">
      <c r="A87" s="165">
        <v>35598.0</v>
      </c>
      <c r="B87" s="165" t="s">
        <v>4709</v>
      </c>
      <c r="C87" s="166">
        <v>44523.0</v>
      </c>
      <c r="D87" s="165" t="s">
        <v>12371</v>
      </c>
      <c r="E87" s="161"/>
      <c r="F87" s="161"/>
      <c r="G87" s="161"/>
      <c r="H87" s="161"/>
      <c r="I87" s="161"/>
      <c r="J87" s="161"/>
      <c r="K87" s="161"/>
      <c r="L87" s="161"/>
      <c r="M87" s="161"/>
      <c r="N87" s="161"/>
      <c r="O87" s="161"/>
      <c r="P87" s="161"/>
      <c r="Q87" s="161"/>
      <c r="R87" s="161"/>
      <c r="S87" s="161"/>
      <c r="T87" s="161"/>
      <c r="U87" s="161"/>
      <c r="V87" s="161"/>
      <c r="W87" s="161"/>
      <c r="X87" s="161"/>
    </row>
    <row r="88" ht="12.75" customHeight="1">
      <c r="A88" s="165">
        <v>36037.0</v>
      </c>
      <c r="B88" s="165" t="s">
        <v>5562</v>
      </c>
      <c r="C88" s="166">
        <v>44530.0</v>
      </c>
      <c r="D88" s="165" t="s">
        <v>12371</v>
      </c>
      <c r="E88" s="161"/>
      <c r="F88" s="161"/>
      <c r="G88" s="161"/>
      <c r="H88" s="161"/>
      <c r="I88" s="161"/>
      <c r="J88" s="161"/>
      <c r="K88" s="161"/>
      <c r="L88" s="161"/>
      <c r="M88" s="161"/>
      <c r="N88" s="161"/>
      <c r="O88" s="161"/>
      <c r="P88" s="161"/>
      <c r="Q88" s="161"/>
      <c r="R88" s="161"/>
      <c r="S88" s="161"/>
      <c r="T88" s="161"/>
      <c r="U88" s="161"/>
      <c r="V88" s="161"/>
      <c r="W88" s="161"/>
      <c r="X88" s="161"/>
    </row>
    <row r="89" ht="12.75" customHeight="1">
      <c r="A89" s="165">
        <v>36140.0</v>
      </c>
      <c r="B89" s="165" t="s">
        <v>4675</v>
      </c>
      <c r="C89" s="166">
        <v>44531.0</v>
      </c>
      <c r="D89" s="165" t="s">
        <v>12371</v>
      </c>
      <c r="E89" s="161"/>
      <c r="F89" s="161"/>
      <c r="G89" s="161"/>
      <c r="H89" s="161"/>
      <c r="I89" s="161"/>
      <c r="J89" s="161"/>
      <c r="K89" s="161"/>
      <c r="L89" s="161"/>
      <c r="M89" s="161"/>
      <c r="N89" s="161"/>
      <c r="O89" s="161"/>
      <c r="P89" s="161"/>
      <c r="Q89" s="161"/>
      <c r="R89" s="161"/>
      <c r="S89" s="161"/>
      <c r="T89" s="161"/>
      <c r="U89" s="161"/>
      <c r="V89" s="161"/>
      <c r="W89" s="161"/>
      <c r="X89" s="161"/>
    </row>
    <row r="90" ht="12.75" customHeight="1">
      <c r="A90" s="165">
        <v>36139.0</v>
      </c>
      <c r="B90" s="165" t="s">
        <v>4672</v>
      </c>
      <c r="C90" s="166">
        <v>44531.0</v>
      </c>
      <c r="D90" s="165" t="s">
        <v>12371</v>
      </c>
      <c r="E90" s="161"/>
      <c r="F90" s="161"/>
      <c r="G90" s="161"/>
      <c r="H90" s="161"/>
      <c r="I90" s="161"/>
      <c r="J90" s="161"/>
      <c r="K90" s="161"/>
      <c r="L90" s="161"/>
      <c r="M90" s="161"/>
      <c r="N90" s="161"/>
      <c r="O90" s="161"/>
      <c r="P90" s="161"/>
      <c r="Q90" s="161"/>
      <c r="R90" s="161"/>
      <c r="S90" s="161"/>
      <c r="T90" s="161"/>
      <c r="U90" s="161"/>
      <c r="V90" s="161"/>
      <c r="W90" s="161"/>
      <c r="X90" s="161"/>
    </row>
    <row r="91" ht="12.75" customHeight="1">
      <c r="A91" s="165">
        <v>36016.0</v>
      </c>
      <c r="B91" s="165" t="s">
        <v>4654</v>
      </c>
      <c r="C91" s="166">
        <v>44536.0</v>
      </c>
      <c r="D91" s="165" t="s">
        <v>12371</v>
      </c>
      <c r="E91" s="161"/>
      <c r="F91" s="161"/>
      <c r="G91" s="161"/>
      <c r="H91" s="161"/>
      <c r="I91" s="161"/>
      <c r="J91" s="161"/>
      <c r="K91" s="161"/>
      <c r="L91" s="161"/>
      <c r="M91" s="161"/>
      <c r="N91" s="161"/>
      <c r="O91" s="161"/>
      <c r="P91" s="161"/>
      <c r="Q91" s="161"/>
      <c r="R91" s="161"/>
      <c r="S91" s="161"/>
      <c r="T91" s="161"/>
      <c r="U91" s="161"/>
      <c r="V91" s="161"/>
      <c r="W91" s="161"/>
      <c r="X91" s="161"/>
    </row>
    <row r="92" ht="12.75" customHeight="1">
      <c r="A92" s="165">
        <v>36203.0</v>
      </c>
      <c r="B92" s="165" t="s">
        <v>7387</v>
      </c>
      <c r="C92" s="166">
        <v>44557.0</v>
      </c>
      <c r="D92" s="165" t="s">
        <v>12371</v>
      </c>
      <c r="E92" s="161"/>
      <c r="F92" s="161"/>
      <c r="G92" s="161"/>
      <c r="H92" s="161"/>
      <c r="I92" s="161"/>
      <c r="J92" s="161"/>
      <c r="K92" s="161"/>
      <c r="L92" s="161"/>
      <c r="M92" s="161"/>
      <c r="N92" s="161"/>
      <c r="O92" s="161"/>
      <c r="P92" s="161"/>
      <c r="Q92" s="161"/>
      <c r="R92" s="161"/>
      <c r="S92" s="161"/>
      <c r="T92" s="161"/>
      <c r="U92" s="161"/>
      <c r="V92" s="161"/>
      <c r="W92" s="161"/>
      <c r="X92" s="161"/>
    </row>
    <row r="93" ht="12.75" customHeight="1">
      <c r="A93" s="165">
        <v>36204.0</v>
      </c>
      <c r="B93" s="165" t="s">
        <v>7384</v>
      </c>
      <c r="C93" s="166">
        <v>44557.0</v>
      </c>
      <c r="D93" s="165" t="s">
        <v>12371</v>
      </c>
      <c r="E93" s="161"/>
      <c r="F93" s="161"/>
      <c r="G93" s="161"/>
      <c r="H93" s="161"/>
      <c r="I93" s="161"/>
      <c r="J93" s="161"/>
      <c r="K93" s="161"/>
      <c r="L93" s="161"/>
      <c r="M93" s="161"/>
      <c r="N93" s="161"/>
      <c r="O93" s="161"/>
      <c r="P93" s="161"/>
      <c r="Q93" s="161"/>
      <c r="R93" s="161"/>
      <c r="S93" s="161"/>
      <c r="T93" s="161"/>
      <c r="U93" s="161"/>
      <c r="V93" s="161"/>
      <c r="W93" s="161"/>
      <c r="X93" s="161"/>
    </row>
    <row r="94" ht="12.75" customHeight="1">
      <c r="A94" s="165">
        <v>35634.0</v>
      </c>
      <c r="B94" s="165" t="s">
        <v>7398</v>
      </c>
      <c r="C94" s="166">
        <v>44560.0</v>
      </c>
      <c r="D94" s="165" t="s">
        <v>12371</v>
      </c>
      <c r="E94" s="161"/>
      <c r="F94" s="161"/>
      <c r="G94" s="161"/>
      <c r="H94" s="161"/>
      <c r="I94" s="161"/>
      <c r="J94" s="161"/>
      <c r="K94" s="161"/>
      <c r="L94" s="161"/>
      <c r="M94" s="161"/>
      <c r="N94" s="161"/>
      <c r="O94" s="161"/>
      <c r="P94" s="161"/>
      <c r="Q94" s="161"/>
      <c r="R94" s="161"/>
      <c r="S94" s="161"/>
      <c r="T94" s="161"/>
      <c r="U94" s="161"/>
      <c r="V94" s="161"/>
      <c r="W94" s="161"/>
      <c r="X94" s="161"/>
    </row>
    <row r="95" ht="12.75" customHeight="1">
      <c r="A95" s="165">
        <v>35635.0</v>
      </c>
      <c r="B95" s="165" t="s">
        <v>7377</v>
      </c>
      <c r="C95" s="166">
        <v>44574.0</v>
      </c>
      <c r="D95" s="165" t="s">
        <v>12371</v>
      </c>
      <c r="E95" s="161"/>
      <c r="F95" s="161"/>
      <c r="G95" s="161"/>
      <c r="H95" s="161"/>
      <c r="I95" s="161"/>
      <c r="J95" s="161"/>
      <c r="K95" s="161"/>
      <c r="L95" s="161"/>
      <c r="M95" s="161"/>
      <c r="N95" s="161"/>
      <c r="O95" s="161"/>
      <c r="P95" s="161"/>
      <c r="Q95" s="161"/>
      <c r="R95" s="161"/>
      <c r="S95" s="161"/>
      <c r="T95" s="161"/>
      <c r="U95" s="161"/>
      <c r="V95" s="161"/>
      <c r="W95" s="161"/>
      <c r="X95" s="161"/>
    </row>
    <row r="96" ht="12.75" customHeight="1">
      <c r="A96" s="165">
        <v>36309.0</v>
      </c>
      <c r="B96" s="165" t="s">
        <v>6278</v>
      </c>
      <c r="C96" s="166">
        <v>44578.0</v>
      </c>
      <c r="D96" s="165" t="s">
        <v>12371</v>
      </c>
      <c r="E96" s="161"/>
      <c r="F96" s="161"/>
      <c r="G96" s="161"/>
      <c r="H96" s="161"/>
      <c r="I96" s="161"/>
      <c r="J96" s="161"/>
      <c r="K96" s="161"/>
      <c r="L96" s="161"/>
      <c r="M96" s="161"/>
      <c r="N96" s="161"/>
      <c r="O96" s="161"/>
      <c r="P96" s="161"/>
      <c r="Q96" s="161"/>
      <c r="R96" s="161"/>
      <c r="S96" s="161"/>
      <c r="T96" s="161"/>
      <c r="U96" s="161"/>
      <c r="V96" s="161"/>
      <c r="W96" s="161"/>
      <c r="X96" s="161"/>
    </row>
    <row r="97" ht="12.75" customHeight="1">
      <c r="A97" s="191">
        <v>36398.0</v>
      </c>
      <c r="B97" s="191" t="s">
        <v>7317</v>
      </c>
      <c r="C97" s="259">
        <v>44592.0</v>
      </c>
      <c r="D97" s="191" t="s">
        <v>12371</v>
      </c>
      <c r="E97" s="161"/>
      <c r="F97" s="161"/>
      <c r="G97" s="161"/>
      <c r="H97" s="161"/>
      <c r="I97" s="161"/>
      <c r="J97" s="161"/>
      <c r="K97" s="161"/>
      <c r="L97" s="161"/>
      <c r="M97" s="161"/>
      <c r="N97" s="161"/>
      <c r="O97" s="161"/>
      <c r="P97" s="161"/>
      <c r="Q97" s="161"/>
      <c r="R97" s="161"/>
      <c r="S97" s="161"/>
      <c r="T97" s="161"/>
      <c r="U97" s="161"/>
      <c r="V97" s="161"/>
      <c r="W97" s="161"/>
      <c r="X97" s="161"/>
    </row>
    <row r="98" ht="12.75" customHeight="1">
      <c r="A98" s="191">
        <v>36387.0</v>
      </c>
      <c r="B98" s="191" t="s">
        <v>7313</v>
      </c>
      <c r="C98" s="259">
        <v>44592.0</v>
      </c>
      <c r="D98" s="191" t="s">
        <v>12371</v>
      </c>
      <c r="E98" s="161"/>
      <c r="F98" s="161"/>
      <c r="G98" s="161"/>
      <c r="H98" s="161"/>
      <c r="I98" s="161"/>
      <c r="J98" s="161"/>
      <c r="K98" s="161"/>
      <c r="L98" s="161"/>
      <c r="M98" s="161"/>
      <c r="N98" s="161"/>
      <c r="O98" s="161"/>
      <c r="P98" s="161"/>
      <c r="Q98" s="161"/>
      <c r="R98" s="161"/>
      <c r="S98" s="161"/>
      <c r="T98" s="161"/>
      <c r="U98" s="161"/>
      <c r="V98" s="161"/>
      <c r="W98" s="161"/>
      <c r="X98" s="161"/>
    </row>
    <row r="99" ht="12.75" customHeight="1">
      <c r="A99" s="191">
        <v>36397.0</v>
      </c>
      <c r="B99" s="191" t="s">
        <v>7311</v>
      </c>
      <c r="C99" s="259">
        <v>44592.0</v>
      </c>
      <c r="D99" s="191" t="s">
        <v>12371</v>
      </c>
      <c r="E99" s="161"/>
      <c r="F99" s="161"/>
      <c r="G99" s="161"/>
      <c r="H99" s="161"/>
      <c r="I99" s="161"/>
      <c r="J99" s="161"/>
      <c r="K99" s="161"/>
      <c r="L99" s="161"/>
      <c r="M99" s="161"/>
      <c r="N99" s="161"/>
      <c r="O99" s="161"/>
      <c r="P99" s="161"/>
      <c r="Q99" s="161"/>
      <c r="R99" s="161"/>
      <c r="S99" s="161"/>
      <c r="T99" s="161"/>
      <c r="U99" s="161"/>
      <c r="V99" s="161"/>
      <c r="W99" s="161"/>
      <c r="X99" s="161"/>
    </row>
    <row r="100" ht="12.75" customHeight="1">
      <c r="A100" s="191">
        <v>36375.0</v>
      </c>
      <c r="B100" s="191" t="s">
        <v>7305</v>
      </c>
      <c r="C100" s="259">
        <v>44592.0</v>
      </c>
      <c r="D100" s="191" t="s">
        <v>12371</v>
      </c>
      <c r="E100" s="161"/>
      <c r="F100" s="161"/>
      <c r="G100" s="161"/>
      <c r="H100" s="161"/>
      <c r="I100" s="161"/>
      <c r="J100" s="161"/>
      <c r="K100" s="161"/>
      <c r="L100" s="161"/>
      <c r="M100" s="161"/>
      <c r="N100" s="161"/>
      <c r="O100" s="161"/>
      <c r="P100" s="161"/>
      <c r="Q100" s="161"/>
      <c r="R100" s="161"/>
      <c r="S100" s="161"/>
      <c r="T100" s="161"/>
      <c r="U100" s="161"/>
      <c r="V100" s="161"/>
      <c r="W100" s="161"/>
      <c r="X100" s="161"/>
    </row>
    <row r="101" ht="12.75" customHeight="1">
      <c r="A101" s="191">
        <v>36381.0</v>
      </c>
      <c r="B101" s="191" t="s">
        <v>7308</v>
      </c>
      <c r="C101" s="259">
        <v>44592.0</v>
      </c>
      <c r="D101" s="191" t="s">
        <v>12371</v>
      </c>
      <c r="E101" s="161"/>
      <c r="F101" s="161"/>
      <c r="G101" s="161"/>
      <c r="H101" s="161"/>
      <c r="I101" s="161"/>
      <c r="J101" s="161"/>
      <c r="K101" s="161"/>
      <c r="L101" s="161"/>
      <c r="M101" s="161"/>
      <c r="N101" s="161"/>
      <c r="O101" s="161"/>
      <c r="P101" s="161"/>
      <c r="Q101" s="161"/>
      <c r="R101" s="161"/>
      <c r="S101" s="161"/>
      <c r="T101" s="161"/>
      <c r="U101" s="161"/>
      <c r="V101" s="161"/>
      <c r="W101" s="161"/>
      <c r="X101" s="161"/>
    </row>
    <row r="102" ht="12.75" customHeight="1">
      <c r="A102" s="191">
        <v>36451.0</v>
      </c>
      <c r="B102" s="191" t="s">
        <v>6266</v>
      </c>
      <c r="C102" s="259">
        <v>44601.0</v>
      </c>
      <c r="D102" s="191" t="s">
        <v>12371</v>
      </c>
      <c r="E102" s="161"/>
      <c r="F102" s="161"/>
      <c r="G102" s="161"/>
      <c r="H102" s="161"/>
      <c r="I102" s="161"/>
      <c r="J102" s="161"/>
      <c r="K102" s="161"/>
      <c r="L102" s="161"/>
      <c r="M102" s="161"/>
      <c r="N102" s="161"/>
      <c r="O102" s="161"/>
      <c r="P102" s="161"/>
      <c r="Q102" s="161"/>
      <c r="R102" s="161"/>
      <c r="S102" s="161"/>
      <c r="T102" s="161"/>
      <c r="U102" s="161"/>
      <c r="V102" s="161"/>
      <c r="W102" s="161"/>
      <c r="X102" s="161"/>
    </row>
    <row r="103" ht="12.75" customHeight="1">
      <c r="A103" s="165">
        <v>36161.0</v>
      </c>
      <c r="B103" s="165" t="s">
        <v>7222</v>
      </c>
      <c r="C103" s="166">
        <v>44602.0</v>
      </c>
      <c r="D103" s="165" t="s">
        <v>12371</v>
      </c>
      <c r="E103" s="161"/>
      <c r="F103" s="161"/>
      <c r="G103" s="161"/>
      <c r="H103" s="161"/>
      <c r="I103" s="161"/>
      <c r="J103" s="161"/>
      <c r="K103" s="161"/>
      <c r="L103" s="161"/>
      <c r="M103" s="161"/>
      <c r="N103" s="161"/>
      <c r="O103" s="161"/>
      <c r="P103" s="161"/>
      <c r="Q103" s="161"/>
      <c r="R103" s="161"/>
      <c r="S103" s="161"/>
      <c r="T103" s="161"/>
      <c r="U103" s="161"/>
      <c r="V103" s="161"/>
      <c r="W103" s="161"/>
      <c r="X103" s="161"/>
    </row>
    <row r="104" ht="12.75" customHeight="1">
      <c r="A104" s="165">
        <v>36396.0</v>
      </c>
      <c r="B104" s="165" t="s">
        <v>7270</v>
      </c>
      <c r="C104" s="166">
        <v>44606.0</v>
      </c>
      <c r="D104" s="165" t="s">
        <v>12371</v>
      </c>
      <c r="E104" s="161"/>
      <c r="F104" s="161"/>
      <c r="G104" s="161"/>
      <c r="H104" s="161"/>
      <c r="I104" s="161"/>
      <c r="J104" s="161"/>
      <c r="K104" s="161"/>
      <c r="L104" s="161"/>
      <c r="M104" s="161"/>
      <c r="N104" s="161"/>
      <c r="O104" s="161"/>
      <c r="P104" s="161"/>
      <c r="Q104" s="161"/>
      <c r="R104" s="161"/>
      <c r="S104" s="161"/>
      <c r="T104" s="161"/>
      <c r="U104" s="161"/>
      <c r="V104" s="161"/>
      <c r="W104" s="161"/>
      <c r="X104" s="161"/>
    </row>
    <row r="105" ht="12.75" customHeight="1">
      <c r="A105" s="165">
        <v>35579.0</v>
      </c>
      <c r="B105" s="165" t="s">
        <v>7243</v>
      </c>
      <c r="C105" s="166">
        <v>44609.0</v>
      </c>
      <c r="D105" s="165" t="s">
        <v>12371</v>
      </c>
      <c r="E105" s="161"/>
      <c r="F105" s="161"/>
      <c r="G105" s="161"/>
      <c r="H105" s="161"/>
      <c r="I105" s="161"/>
      <c r="J105" s="161"/>
      <c r="K105" s="161"/>
      <c r="L105" s="161"/>
      <c r="M105" s="161"/>
      <c r="N105" s="161"/>
      <c r="O105" s="161"/>
      <c r="P105" s="161"/>
      <c r="Q105" s="161"/>
      <c r="R105" s="161"/>
      <c r="S105" s="161"/>
      <c r="T105" s="161"/>
      <c r="U105" s="161"/>
      <c r="V105" s="161"/>
      <c r="W105" s="161"/>
      <c r="X105" s="161"/>
    </row>
    <row r="106" ht="12.75" customHeight="1">
      <c r="A106" s="165">
        <v>35666.0</v>
      </c>
      <c r="B106" s="165" t="s">
        <v>7241</v>
      </c>
      <c r="C106" s="166">
        <v>44609.0</v>
      </c>
      <c r="D106" s="165" t="s">
        <v>12371</v>
      </c>
      <c r="E106" s="161"/>
      <c r="F106" s="161"/>
      <c r="G106" s="161"/>
      <c r="H106" s="161"/>
      <c r="I106" s="161"/>
      <c r="J106" s="161"/>
      <c r="K106" s="161"/>
      <c r="L106" s="161"/>
      <c r="M106" s="161"/>
      <c r="N106" s="161"/>
      <c r="O106" s="161"/>
      <c r="P106" s="161"/>
      <c r="Q106" s="161"/>
      <c r="R106" s="161"/>
      <c r="S106" s="161"/>
      <c r="T106" s="161"/>
      <c r="U106" s="161"/>
      <c r="V106" s="161"/>
      <c r="W106" s="161"/>
      <c r="X106" s="161"/>
    </row>
    <row r="107" ht="12.75" customHeight="1">
      <c r="A107" s="165">
        <v>36075.0</v>
      </c>
      <c r="B107" s="165" t="s">
        <v>7219</v>
      </c>
      <c r="C107" s="166">
        <v>44609.0</v>
      </c>
      <c r="D107" s="165" t="s">
        <v>12371</v>
      </c>
      <c r="E107" s="161"/>
      <c r="F107" s="161"/>
      <c r="G107" s="161"/>
      <c r="H107" s="161"/>
      <c r="I107" s="161"/>
      <c r="J107" s="161"/>
      <c r="K107" s="161"/>
      <c r="L107" s="161"/>
      <c r="M107" s="161"/>
      <c r="N107" s="161"/>
      <c r="O107" s="161"/>
      <c r="P107" s="161"/>
      <c r="Q107" s="161"/>
      <c r="R107" s="161"/>
      <c r="S107" s="161"/>
      <c r="T107" s="161"/>
      <c r="U107" s="161"/>
      <c r="V107" s="161"/>
      <c r="W107" s="161"/>
      <c r="X107" s="161"/>
    </row>
    <row r="108" ht="12.75" customHeight="1">
      <c r="A108" s="165">
        <v>35606.0</v>
      </c>
      <c r="B108" s="165" t="s">
        <v>7140</v>
      </c>
      <c r="C108" s="166">
        <v>44620.0</v>
      </c>
      <c r="D108" s="165" t="s">
        <v>12371</v>
      </c>
      <c r="E108" s="161"/>
      <c r="F108" s="161"/>
      <c r="G108" s="161"/>
      <c r="H108" s="161"/>
      <c r="I108" s="161"/>
      <c r="J108" s="161"/>
      <c r="K108" s="161"/>
      <c r="L108" s="161"/>
      <c r="M108" s="161"/>
      <c r="N108" s="161"/>
      <c r="O108" s="161"/>
      <c r="P108" s="161"/>
      <c r="Q108" s="161"/>
      <c r="R108" s="161"/>
      <c r="S108" s="161"/>
      <c r="T108" s="161"/>
      <c r="U108" s="161"/>
      <c r="V108" s="161"/>
      <c r="W108" s="161"/>
      <c r="X108" s="161"/>
    </row>
    <row r="109" ht="12.75" customHeight="1">
      <c r="A109" s="165">
        <v>36410.0</v>
      </c>
      <c r="B109" s="165" t="s">
        <v>7164</v>
      </c>
      <c r="C109" s="166">
        <v>44627.0</v>
      </c>
      <c r="D109" s="165" t="s">
        <v>12371</v>
      </c>
      <c r="E109" s="161"/>
      <c r="F109" s="161"/>
      <c r="G109" s="161"/>
      <c r="H109" s="161"/>
      <c r="I109" s="161"/>
      <c r="J109" s="161"/>
      <c r="K109" s="161"/>
      <c r="L109" s="161"/>
      <c r="M109" s="161"/>
      <c r="N109" s="161"/>
      <c r="O109" s="161"/>
      <c r="P109" s="161"/>
      <c r="Q109" s="161"/>
      <c r="R109" s="161"/>
      <c r="S109" s="161"/>
      <c r="T109" s="161"/>
      <c r="U109" s="161"/>
      <c r="V109" s="161"/>
      <c r="W109" s="161"/>
      <c r="X109" s="161"/>
    </row>
    <row r="110" ht="12.75" customHeight="1">
      <c r="A110" s="165">
        <v>36478.0</v>
      </c>
      <c r="B110" s="165" t="s">
        <v>6228</v>
      </c>
      <c r="C110" s="166">
        <v>44628.0</v>
      </c>
      <c r="D110" s="165" t="s">
        <v>12371</v>
      </c>
      <c r="E110" s="161"/>
      <c r="F110" s="161"/>
      <c r="G110" s="161"/>
      <c r="H110" s="161"/>
      <c r="I110" s="161"/>
      <c r="J110" s="161"/>
      <c r="K110" s="161"/>
      <c r="L110" s="161"/>
      <c r="M110" s="161"/>
      <c r="N110" s="161"/>
      <c r="O110" s="161"/>
      <c r="P110" s="161"/>
      <c r="Q110" s="161"/>
      <c r="R110" s="161"/>
      <c r="S110" s="161"/>
      <c r="T110" s="161"/>
      <c r="U110" s="161"/>
      <c r="V110" s="161"/>
      <c r="W110" s="161"/>
      <c r="X110" s="161"/>
    </row>
    <row r="111" ht="12.75" customHeight="1">
      <c r="A111" s="165">
        <v>35641.0</v>
      </c>
      <c r="B111" s="165" t="s">
        <v>7158</v>
      </c>
      <c r="C111" s="166">
        <v>44628.0</v>
      </c>
      <c r="D111" s="165" t="s">
        <v>12371</v>
      </c>
      <c r="E111" s="161"/>
      <c r="F111" s="161"/>
      <c r="G111" s="161"/>
      <c r="H111" s="161"/>
      <c r="I111" s="161"/>
      <c r="J111" s="161"/>
      <c r="K111" s="161"/>
      <c r="L111" s="161"/>
      <c r="M111" s="161"/>
      <c r="N111" s="161"/>
      <c r="O111" s="161"/>
      <c r="P111" s="161"/>
      <c r="Q111" s="161"/>
      <c r="R111" s="161"/>
      <c r="S111" s="161"/>
      <c r="T111" s="161"/>
      <c r="U111" s="161"/>
      <c r="V111" s="161"/>
      <c r="W111" s="161"/>
      <c r="X111" s="161"/>
    </row>
    <row r="112" ht="12.75" customHeight="1">
      <c r="A112" s="165">
        <v>35772.0</v>
      </c>
      <c r="B112" s="165" t="s">
        <v>7156</v>
      </c>
      <c r="C112" s="166">
        <v>44628.0</v>
      </c>
      <c r="D112" s="165" t="s">
        <v>12371</v>
      </c>
      <c r="E112" s="161"/>
      <c r="F112" s="161"/>
      <c r="G112" s="161"/>
      <c r="H112" s="161"/>
      <c r="I112" s="161"/>
      <c r="J112" s="161"/>
      <c r="K112" s="161"/>
      <c r="L112" s="161"/>
      <c r="M112" s="161"/>
      <c r="N112" s="161"/>
      <c r="O112" s="161"/>
      <c r="P112" s="161"/>
      <c r="Q112" s="161"/>
      <c r="R112" s="161"/>
      <c r="S112" s="161"/>
      <c r="T112" s="161"/>
      <c r="U112" s="161"/>
      <c r="V112" s="161"/>
      <c r="W112" s="161"/>
      <c r="X112" s="161"/>
    </row>
    <row r="113" ht="12.75" customHeight="1">
      <c r="A113" s="165">
        <v>35786.0</v>
      </c>
      <c r="B113" s="165" t="s">
        <v>7153</v>
      </c>
      <c r="C113" s="166">
        <v>44628.0</v>
      </c>
      <c r="D113" s="165" t="s">
        <v>12371</v>
      </c>
      <c r="E113" s="161"/>
      <c r="F113" s="161"/>
      <c r="G113" s="161"/>
      <c r="H113" s="161"/>
      <c r="I113" s="161"/>
      <c r="J113" s="161"/>
      <c r="K113" s="161"/>
      <c r="L113" s="161"/>
      <c r="M113" s="161"/>
      <c r="N113" s="161"/>
      <c r="O113" s="161"/>
      <c r="P113" s="161"/>
      <c r="Q113" s="161"/>
      <c r="R113" s="161"/>
      <c r="S113" s="161"/>
      <c r="T113" s="161"/>
      <c r="U113" s="161"/>
      <c r="V113" s="161"/>
      <c r="W113" s="161"/>
      <c r="X113" s="161"/>
    </row>
    <row r="114" ht="12.75" customHeight="1">
      <c r="A114" s="165">
        <v>35572.0</v>
      </c>
      <c r="B114" s="165" t="s">
        <v>7111</v>
      </c>
      <c r="C114" s="166">
        <v>44629.0</v>
      </c>
      <c r="D114" s="165" t="s">
        <v>12371</v>
      </c>
      <c r="E114" s="161"/>
      <c r="F114" s="161"/>
      <c r="G114" s="161"/>
      <c r="H114" s="161"/>
      <c r="I114" s="161"/>
      <c r="J114" s="161"/>
      <c r="K114" s="161"/>
      <c r="L114" s="161"/>
      <c r="M114" s="161"/>
      <c r="N114" s="161"/>
      <c r="O114" s="161"/>
      <c r="P114" s="161"/>
      <c r="Q114" s="161"/>
      <c r="R114" s="161"/>
      <c r="S114" s="161"/>
      <c r="T114" s="161"/>
      <c r="U114" s="161"/>
      <c r="V114" s="161"/>
      <c r="W114" s="161"/>
      <c r="X114" s="161"/>
    </row>
    <row r="115" ht="12.75" customHeight="1">
      <c r="A115" s="165">
        <v>36409.0</v>
      </c>
      <c r="B115" s="165" t="s">
        <v>7123</v>
      </c>
      <c r="C115" s="166">
        <v>44630.0</v>
      </c>
      <c r="D115" s="165" t="s">
        <v>12371</v>
      </c>
      <c r="E115" s="161"/>
      <c r="F115" s="161"/>
      <c r="G115" s="161"/>
      <c r="H115" s="161"/>
      <c r="I115" s="161"/>
      <c r="J115" s="161"/>
      <c r="K115" s="161"/>
      <c r="L115" s="161"/>
      <c r="M115" s="161"/>
      <c r="N115" s="161"/>
      <c r="O115" s="161"/>
      <c r="P115" s="161"/>
      <c r="Q115" s="161"/>
      <c r="R115" s="161"/>
      <c r="S115" s="161"/>
      <c r="T115" s="161"/>
      <c r="U115" s="161"/>
      <c r="V115" s="161"/>
      <c r="W115" s="161"/>
      <c r="X115" s="161"/>
    </row>
    <row r="116" ht="12.75" customHeight="1">
      <c r="A116" s="165">
        <v>36422.0</v>
      </c>
      <c r="B116" s="165" t="s">
        <v>7118</v>
      </c>
      <c r="C116" s="166">
        <v>44630.0</v>
      </c>
      <c r="D116" s="165" t="s">
        <v>12371</v>
      </c>
      <c r="E116" s="161"/>
      <c r="F116" s="161"/>
      <c r="G116" s="161"/>
      <c r="H116" s="161"/>
      <c r="I116" s="161"/>
      <c r="J116" s="161"/>
      <c r="K116" s="161"/>
      <c r="L116" s="161"/>
      <c r="M116" s="161"/>
      <c r="N116" s="161"/>
      <c r="O116" s="161"/>
      <c r="P116" s="161"/>
      <c r="Q116" s="161"/>
      <c r="R116" s="161"/>
      <c r="S116" s="161"/>
      <c r="T116" s="161"/>
      <c r="U116" s="161"/>
      <c r="V116" s="161"/>
      <c r="W116" s="161"/>
      <c r="X116" s="161"/>
    </row>
    <row r="117" ht="12.75" customHeight="1">
      <c r="A117" s="165">
        <v>36421.0</v>
      </c>
      <c r="B117" s="165" t="s">
        <v>7116</v>
      </c>
      <c r="C117" s="166">
        <v>44630.0</v>
      </c>
      <c r="D117" s="165" t="s">
        <v>12371</v>
      </c>
      <c r="E117" s="161"/>
      <c r="F117" s="161"/>
      <c r="G117" s="161"/>
      <c r="H117" s="161"/>
      <c r="I117" s="161"/>
      <c r="J117" s="161"/>
      <c r="K117" s="161"/>
      <c r="L117" s="161"/>
      <c r="M117" s="161"/>
      <c r="N117" s="161"/>
      <c r="O117" s="161"/>
      <c r="P117" s="161"/>
      <c r="Q117" s="161"/>
      <c r="R117" s="161"/>
      <c r="S117" s="161"/>
      <c r="T117" s="161"/>
      <c r="U117" s="161"/>
      <c r="V117" s="161"/>
      <c r="W117" s="161"/>
      <c r="X117" s="161"/>
    </row>
    <row r="118" ht="12.75" customHeight="1">
      <c r="A118" s="165">
        <v>36423.0</v>
      </c>
      <c r="B118" s="165" t="s">
        <v>7114</v>
      </c>
      <c r="C118" s="166">
        <v>44630.0</v>
      </c>
      <c r="D118" s="165" t="s">
        <v>12371</v>
      </c>
      <c r="E118" s="161"/>
      <c r="F118" s="161"/>
      <c r="G118" s="161"/>
      <c r="H118" s="161"/>
      <c r="I118" s="161"/>
      <c r="J118" s="161"/>
      <c r="K118" s="161"/>
      <c r="L118" s="161"/>
      <c r="M118" s="161"/>
      <c r="N118" s="161"/>
      <c r="O118" s="161"/>
      <c r="P118" s="161"/>
      <c r="Q118" s="161"/>
      <c r="R118" s="161"/>
      <c r="S118" s="161"/>
      <c r="T118" s="161"/>
      <c r="U118" s="161"/>
      <c r="V118" s="161"/>
      <c r="W118" s="161"/>
      <c r="X118" s="161"/>
    </row>
    <row r="119" ht="12.75" customHeight="1">
      <c r="A119" s="165">
        <v>36420.0</v>
      </c>
      <c r="B119" s="165" t="s">
        <v>7120</v>
      </c>
      <c r="C119" s="166">
        <v>44630.0</v>
      </c>
      <c r="D119" s="165" t="s">
        <v>12371</v>
      </c>
      <c r="E119" s="161"/>
      <c r="F119" s="161"/>
      <c r="G119" s="161"/>
      <c r="H119" s="161"/>
      <c r="I119" s="161"/>
      <c r="J119" s="161"/>
      <c r="K119" s="161"/>
      <c r="L119" s="161"/>
      <c r="M119" s="161"/>
      <c r="N119" s="161"/>
      <c r="O119" s="161"/>
      <c r="P119" s="161"/>
      <c r="Q119" s="161"/>
      <c r="R119" s="161"/>
      <c r="S119" s="161"/>
      <c r="T119" s="161"/>
      <c r="U119" s="161"/>
      <c r="V119" s="161"/>
      <c r="W119" s="161"/>
      <c r="X119" s="161"/>
    </row>
    <row r="120" ht="12.75" customHeight="1">
      <c r="A120" s="165">
        <v>36184.0</v>
      </c>
      <c r="B120" s="165" t="s">
        <v>7132</v>
      </c>
      <c r="C120" s="166">
        <v>44631.0</v>
      </c>
      <c r="D120" s="165" t="s">
        <v>12371</v>
      </c>
      <c r="E120" s="161"/>
      <c r="F120" s="161"/>
      <c r="G120" s="161"/>
      <c r="H120" s="161"/>
      <c r="I120" s="161"/>
      <c r="J120" s="161"/>
      <c r="K120" s="161"/>
      <c r="L120" s="161"/>
      <c r="M120" s="161"/>
      <c r="N120" s="161"/>
      <c r="O120" s="161"/>
      <c r="P120" s="161"/>
      <c r="Q120" s="161"/>
      <c r="R120" s="161"/>
      <c r="S120" s="161"/>
      <c r="T120" s="161"/>
      <c r="U120" s="161"/>
      <c r="V120" s="161"/>
      <c r="W120" s="161"/>
      <c r="X120" s="161"/>
    </row>
    <row r="121" ht="12.75" customHeight="1">
      <c r="A121" s="165">
        <v>36338.0</v>
      </c>
      <c r="B121" s="165" t="s">
        <v>7134</v>
      </c>
      <c r="C121" s="166">
        <v>44635.0</v>
      </c>
      <c r="D121" s="165" t="s">
        <v>12371</v>
      </c>
      <c r="E121" s="161"/>
      <c r="F121" s="161"/>
      <c r="G121" s="161"/>
      <c r="H121" s="161"/>
      <c r="I121" s="161"/>
      <c r="J121" s="161"/>
      <c r="K121" s="161"/>
      <c r="L121" s="161"/>
      <c r="M121" s="161"/>
      <c r="N121" s="161"/>
      <c r="O121" s="161"/>
      <c r="P121" s="161"/>
      <c r="Q121" s="161"/>
      <c r="R121" s="161"/>
      <c r="S121" s="161"/>
      <c r="T121" s="161"/>
      <c r="U121" s="161"/>
      <c r="V121" s="161"/>
      <c r="W121" s="161"/>
      <c r="X121" s="161"/>
    </row>
    <row r="122" ht="12.75" customHeight="1">
      <c r="A122" s="165">
        <v>35788.0</v>
      </c>
      <c r="B122" s="165" t="s">
        <v>7096</v>
      </c>
      <c r="C122" s="166">
        <v>44641.0</v>
      </c>
      <c r="D122" s="165" t="s">
        <v>12371</v>
      </c>
      <c r="E122" s="161"/>
      <c r="F122" s="161"/>
      <c r="G122" s="161"/>
      <c r="H122" s="161"/>
      <c r="I122" s="161"/>
      <c r="J122" s="161"/>
      <c r="K122" s="161"/>
      <c r="L122" s="161"/>
      <c r="M122" s="161"/>
      <c r="N122" s="161"/>
      <c r="O122" s="161"/>
      <c r="P122" s="161"/>
      <c r="Q122" s="161"/>
      <c r="R122" s="161"/>
      <c r="S122" s="161"/>
      <c r="T122" s="161"/>
      <c r="U122" s="161"/>
      <c r="V122" s="161"/>
      <c r="W122" s="161"/>
      <c r="X122" s="161"/>
    </row>
    <row r="123" ht="12.75" customHeight="1">
      <c r="A123" s="165">
        <v>35787.0</v>
      </c>
      <c r="B123" s="165" t="s">
        <v>7094</v>
      </c>
      <c r="C123" s="166">
        <v>44641.0</v>
      </c>
      <c r="D123" s="165" t="s">
        <v>12371</v>
      </c>
      <c r="E123" s="161"/>
      <c r="F123" s="161"/>
      <c r="G123" s="161"/>
      <c r="H123" s="161"/>
      <c r="I123" s="161"/>
      <c r="J123" s="161"/>
      <c r="K123" s="161"/>
      <c r="L123" s="161"/>
      <c r="M123" s="161"/>
      <c r="N123" s="161"/>
      <c r="O123" s="161"/>
      <c r="P123" s="161"/>
      <c r="Q123" s="161"/>
      <c r="R123" s="161"/>
      <c r="S123" s="161"/>
      <c r="T123" s="161"/>
      <c r="U123" s="161"/>
      <c r="V123" s="161"/>
      <c r="W123" s="161"/>
      <c r="X123" s="161"/>
    </row>
    <row r="124" ht="12.75" customHeight="1">
      <c r="A124" s="165">
        <v>35785.0</v>
      </c>
      <c r="B124" s="165" t="s">
        <v>7092</v>
      </c>
      <c r="C124" s="166">
        <v>44641.0</v>
      </c>
      <c r="D124" s="165" t="s">
        <v>12371</v>
      </c>
      <c r="E124" s="161"/>
      <c r="F124" s="161"/>
      <c r="G124" s="161"/>
      <c r="H124" s="161"/>
      <c r="I124" s="161"/>
      <c r="J124" s="161"/>
      <c r="K124" s="161"/>
      <c r="L124" s="161"/>
      <c r="M124" s="161"/>
      <c r="N124" s="161"/>
      <c r="O124" s="161"/>
      <c r="P124" s="161"/>
      <c r="Q124" s="161"/>
      <c r="R124" s="161"/>
      <c r="S124" s="161"/>
      <c r="T124" s="161"/>
      <c r="U124" s="161"/>
      <c r="V124" s="161"/>
      <c r="W124" s="161"/>
      <c r="X124" s="161"/>
    </row>
    <row r="125" ht="12.75" customHeight="1">
      <c r="A125" s="165">
        <v>35784.0</v>
      </c>
      <c r="B125" s="165" t="s">
        <v>7090</v>
      </c>
      <c r="C125" s="166">
        <v>44641.0</v>
      </c>
      <c r="D125" s="165" t="s">
        <v>12371</v>
      </c>
      <c r="E125" s="161"/>
      <c r="F125" s="161"/>
      <c r="G125" s="161"/>
      <c r="H125" s="161"/>
      <c r="I125" s="161"/>
      <c r="J125" s="161"/>
      <c r="K125" s="161"/>
      <c r="L125" s="161"/>
      <c r="M125" s="161"/>
      <c r="N125" s="161"/>
      <c r="O125" s="161"/>
      <c r="P125" s="161"/>
      <c r="Q125" s="161"/>
      <c r="R125" s="161"/>
      <c r="S125" s="161"/>
      <c r="T125" s="161"/>
      <c r="U125" s="161"/>
      <c r="V125" s="161"/>
      <c r="W125" s="161"/>
      <c r="X125" s="161"/>
    </row>
    <row r="126" ht="12.75" customHeight="1">
      <c r="A126" s="165">
        <v>35782.0</v>
      </c>
      <c r="B126" s="165" t="s">
        <v>7088</v>
      </c>
      <c r="C126" s="166">
        <v>44641.0</v>
      </c>
      <c r="D126" s="165" t="s">
        <v>12371</v>
      </c>
      <c r="E126" s="161"/>
      <c r="F126" s="161"/>
      <c r="G126" s="161"/>
      <c r="H126" s="161"/>
      <c r="I126" s="161"/>
      <c r="J126" s="161"/>
      <c r="K126" s="161"/>
      <c r="L126" s="161"/>
      <c r="M126" s="161"/>
      <c r="N126" s="161"/>
      <c r="O126" s="161"/>
      <c r="P126" s="161"/>
      <c r="Q126" s="161"/>
      <c r="R126" s="161"/>
      <c r="S126" s="161"/>
      <c r="T126" s="161"/>
      <c r="U126" s="161"/>
      <c r="V126" s="161"/>
      <c r="W126" s="161"/>
      <c r="X126" s="161"/>
    </row>
    <row r="127" ht="12.75" customHeight="1">
      <c r="A127" s="165">
        <v>35603.0</v>
      </c>
      <c r="B127" s="165" t="s">
        <v>7086</v>
      </c>
      <c r="C127" s="166">
        <v>44641.0</v>
      </c>
      <c r="D127" s="165" t="s">
        <v>12371</v>
      </c>
      <c r="E127" s="161"/>
      <c r="F127" s="161"/>
      <c r="G127" s="161"/>
      <c r="H127" s="161"/>
      <c r="I127" s="161"/>
      <c r="J127" s="161"/>
      <c r="K127" s="161"/>
      <c r="L127" s="161"/>
      <c r="M127" s="161"/>
      <c r="N127" s="161"/>
      <c r="O127" s="161"/>
      <c r="P127" s="161"/>
      <c r="Q127" s="161"/>
      <c r="R127" s="161"/>
      <c r="S127" s="161"/>
      <c r="T127" s="161"/>
      <c r="U127" s="161"/>
      <c r="V127" s="161"/>
      <c r="W127" s="161"/>
      <c r="X127" s="161"/>
    </row>
    <row r="128" ht="12.75" customHeight="1">
      <c r="A128" s="165">
        <v>35770.0</v>
      </c>
      <c r="B128" s="165" t="s">
        <v>7069</v>
      </c>
      <c r="C128" s="166">
        <v>44658.0</v>
      </c>
      <c r="D128" s="165" t="s">
        <v>5271</v>
      </c>
      <c r="E128" s="161"/>
      <c r="F128" s="161"/>
      <c r="G128" s="161"/>
      <c r="H128" s="161"/>
      <c r="I128" s="161"/>
      <c r="J128" s="161"/>
      <c r="K128" s="161"/>
      <c r="L128" s="161"/>
      <c r="M128" s="161"/>
      <c r="N128" s="161"/>
      <c r="O128" s="161"/>
      <c r="P128" s="161"/>
      <c r="Q128" s="161"/>
      <c r="R128" s="161"/>
      <c r="S128" s="161"/>
      <c r="T128" s="161"/>
      <c r="U128" s="161"/>
      <c r="V128" s="161"/>
      <c r="W128" s="161"/>
      <c r="X128" s="161"/>
    </row>
    <row r="129" ht="12.75" customHeight="1">
      <c r="A129" s="165">
        <v>36127.0</v>
      </c>
      <c r="B129" s="165" t="s">
        <v>12372</v>
      </c>
      <c r="C129" s="166">
        <v>44659.0</v>
      </c>
      <c r="D129" s="165" t="s">
        <v>5271</v>
      </c>
      <c r="E129" s="161"/>
      <c r="F129" s="161"/>
      <c r="G129" s="161"/>
      <c r="H129" s="161"/>
      <c r="I129" s="161"/>
      <c r="J129" s="161"/>
      <c r="K129" s="161"/>
      <c r="L129" s="161"/>
      <c r="M129" s="161"/>
      <c r="N129" s="161"/>
      <c r="O129" s="161"/>
      <c r="P129" s="161"/>
      <c r="Q129" s="161"/>
      <c r="R129" s="161"/>
      <c r="S129" s="161"/>
      <c r="T129" s="161"/>
      <c r="U129" s="161"/>
      <c r="V129" s="161"/>
      <c r="W129" s="161"/>
      <c r="X129" s="161"/>
    </row>
    <row r="130" ht="12.75" customHeight="1">
      <c r="A130" s="165">
        <v>36127.0</v>
      </c>
      <c r="B130" s="165" t="s">
        <v>12373</v>
      </c>
      <c r="C130" s="166">
        <v>44659.0</v>
      </c>
      <c r="D130" s="165" t="s">
        <v>5271</v>
      </c>
      <c r="E130" s="161"/>
      <c r="F130" s="161"/>
      <c r="G130" s="161"/>
      <c r="H130" s="161"/>
      <c r="I130" s="161"/>
      <c r="J130" s="161"/>
      <c r="K130" s="161"/>
      <c r="L130" s="161"/>
      <c r="M130" s="161"/>
      <c r="N130" s="161"/>
      <c r="O130" s="161"/>
      <c r="P130" s="161"/>
      <c r="Q130" s="161"/>
      <c r="R130" s="161"/>
      <c r="S130" s="161"/>
      <c r="T130" s="161"/>
      <c r="U130" s="161"/>
      <c r="V130" s="161"/>
      <c r="W130" s="161"/>
      <c r="X130" s="161"/>
    </row>
    <row r="131" ht="12.75" customHeight="1">
      <c r="A131" s="165">
        <v>36292.0</v>
      </c>
      <c r="B131" s="165" t="s">
        <v>12374</v>
      </c>
      <c r="C131" s="166">
        <v>44662.0</v>
      </c>
      <c r="D131" s="165" t="s">
        <v>12371</v>
      </c>
      <c r="E131" s="161"/>
      <c r="F131" s="161"/>
      <c r="G131" s="161"/>
      <c r="H131" s="161"/>
      <c r="I131" s="161"/>
      <c r="J131" s="161"/>
      <c r="K131" s="161"/>
      <c r="L131" s="161"/>
      <c r="M131" s="161"/>
      <c r="N131" s="161"/>
      <c r="O131" s="161"/>
      <c r="P131" s="161"/>
      <c r="Q131" s="161"/>
      <c r="R131" s="161"/>
      <c r="S131" s="161"/>
      <c r="T131" s="161"/>
      <c r="U131" s="161"/>
      <c r="V131" s="161"/>
      <c r="W131" s="161"/>
      <c r="X131" s="161"/>
    </row>
    <row r="132" ht="12.75" customHeight="1">
      <c r="A132" s="165">
        <v>36292.0</v>
      </c>
      <c r="B132" s="165" t="s">
        <v>12375</v>
      </c>
      <c r="C132" s="166">
        <v>44663.0</v>
      </c>
      <c r="D132" s="165" t="s">
        <v>12371</v>
      </c>
      <c r="E132" s="161"/>
      <c r="F132" s="161"/>
      <c r="G132" s="161"/>
      <c r="H132" s="161"/>
      <c r="I132" s="161"/>
      <c r="J132" s="161"/>
      <c r="K132" s="161"/>
      <c r="L132" s="161"/>
      <c r="M132" s="161"/>
      <c r="N132" s="161"/>
      <c r="O132" s="161"/>
      <c r="P132" s="161"/>
      <c r="Q132" s="161"/>
      <c r="R132" s="161"/>
      <c r="S132" s="161"/>
      <c r="T132" s="161"/>
      <c r="U132" s="161"/>
      <c r="V132" s="161"/>
      <c r="W132" s="161"/>
      <c r="X132" s="161"/>
    </row>
    <row r="133" ht="12.75" customHeight="1">
      <c r="A133" s="165">
        <v>36543.0</v>
      </c>
      <c r="B133" s="165" t="s">
        <v>7036</v>
      </c>
      <c r="C133" s="166">
        <v>44671.0</v>
      </c>
      <c r="D133" s="165" t="s">
        <v>12371</v>
      </c>
      <c r="E133" s="161"/>
      <c r="F133" s="161"/>
      <c r="G133" s="161"/>
      <c r="H133" s="161"/>
      <c r="I133" s="161"/>
      <c r="J133" s="161"/>
      <c r="K133" s="161"/>
      <c r="L133" s="161"/>
      <c r="M133" s="161"/>
      <c r="N133" s="161"/>
      <c r="O133" s="161"/>
      <c r="P133" s="161"/>
      <c r="Q133" s="161"/>
      <c r="R133" s="161"/>
      <c r="S133" s="161"/>
      <c r="T133" s="161"/>
      <c r="U133" s="161"/>
      <c r="V133" s="161"/>
      <c r="W133" s="161"/>
      <c r="X133" s="161"/>
    </row>
    <row r="134" ht="12.75" customHeight="1">
      <c r="A134" s="165">
        <v>36544.0</v>
      </c>
      <c r="B134" s="165" t="s">
        <v>7042</v>
      </c>
      <c r="C134" s="166">
        <v>44671.0</v>
      </c>
      <c r="D134" s="165" t="s">
        <v>12371</v>
      </c>
      <c r="E134" s="161"/>
      <c r="F134" s="161"/>
      <c r="G134" s="161"/>
      <c r="H134" s="161"/>
      <c r="I134" s="161"/>
      <c r="J134" s="161"/>
      <c r="K134" s="161"/>
      <c r="L134" s="161"/>
      <c r="M134" s="161"/>
      <c r="N134" s="161"/>
      <c r="O134" s="161"/>
      <c r="P134" s="161"/>
      <c r="Q134" s="161"/>
      <c r="R134" s="161"/>
      <c r="S134" s="161"/>
      <c r="T134" s="161"/>
      <c r="U134" s="161"/>
      <c r="V134" s="161"/>
      <c r="W134" s="161"/>
      <c r="X134" s="161"/>
    </row>
    <row r="135" ht="12.75" customHeight="1">
      <c r="A135" s="165">
        <v>36503.0</v>
      </c>
      <c r="B135" s="165" t="s">
        <v>7039</v>
      </c>
      <c r="C135" s="166">
        <v>44671.0</v>
      </c>
      <c r="D135" s="165" t="s">
        <v>12371</v>
      </c>
      <c r="E135" s="161"/>
      <c r="F135" s="161"/>
      <c r="G135" s="161"/>
      <c r="H135" s="161"/>
      <c r="I135" s="161"/>
      <c r="J135" s="161"/>
      <c r="K135" s="161"/>
      <c r="L135" s="161"/>
      <c r="M135" s="161"/>
      <c r="N135" s="161"/>
      <c r="O135" s="161"/>
      <c r="P135" s="161"/>
      <c r="Q135" s="161"/>
      <c r="R135" s="161"/>
      <c r="S135" s="161"/>
      <c r="T135" s="161"/>
      <c r="U135" s="161"/>
      <c r="V135" s="161"/>
      <c r="W135" s="161"/>
      <c r="X135" s="161"/>
    </row>
    <row r="136" ht="12.75" customHeight="1">
      <c r="A136" s="165">
        <v>36658.0</v>
      </c>
      <c r="B136" s="165" t="s">
        <v>6178</v>
      </c>
      <c r="C136" s="166">
        <v>44672.0</v>
      </c>
      <c r="D136" s="165" t="s">
        <v>12371</v>
      </c>
      <c r="E136" s="161"/>
      <c r="F136" s="161"/>
      <c r="G136" s="161"/>
      <c r="H136" s="161"/>
      <c r="I136" s="161"/>
      <c r="J136" s="161"/>
      <c r="K136" s="161"/>
      <c r="L136" s="161"/>
      <c r="M136" s="161"/>
      <c r="N136" s="161"/>
      <c r="O136" s="161"/>
      <c r="P136" s="161"/>
      <c r="Q136" s="161"/>
      <c r="R136" s="161"/>
      <c r="S136" s="161"/>
      <c r="T136" s="161"/>
      <c r="U136" s="161"/>
      <c r="V136" s="161"/>
      <c r="W136" s="161"/>
      <c r="X136" s="161"/>
    </row>
    <row r="137" ht="12.75" customHeight="1">
      <c r="A137" s="165">
        <v>36146.0</v>
      </c>
      <c r="B137" s="165" t="s">
        <v>7052</v>
      </c>
      <c r="C137" s="166">
        <v>44672.0</v>
      </c>
      <c r="D137" s="165" t="s">
        <v>12371</v>
      </c>
      <c r="E137" s="161"/>
      <c r="F137" s="161"/>
      <c r="G137" s="161"/>
      <c r="H137" s="161"/>
      <c r="I137" s="161"/>
      <c r="J137" s="161"/>
      <c r="K137" s="161"/>
      <c r="L137" s="161"/>
      <c r="M137" s="161"/>
      <c r="N137" s="161"/>
      <c r="O137" s="161"/>
      <c r="P137" s="161"/>
      <c r="Q137" s="161"/>
      <c r="R137" s="161"/>
      <c r="S137" s="161"/>
      <c r="T137" s="161"/>
      <c r="U137" s="161"/>
      <c r="V137" s="161"/>
      <c r="W137" s="161"/>
      <c r="X137" s="161"/>
    </row>
    <row r="138" ht="12.75" customHeight="1">
      <c r="A138" s="165">
        <v>36545.0</v>
      </c>
      <c r="B138" s="165" t="s">
        <v>7045</v>
      </c>
      <c r="C138" s="166">
        <v>44676.0</v>
      </c>
      <c r="D138" s="165" t="s">
        <v>12371</v>
      </c>
      <c r="E138" s="161"/>
      <c r="F138" s="161"/>
      <c r="G138" s="161"/>
      <c r="H138" s="161"/>
      <c r="I138" s="161"/>
      <c r="J138" s="161"/>
      <c r="K138" s="161"/>
      <c r="L138" s="161"/>
      <c r="M138" s="161"/>
      <c r="N138" s="161"/>
      <c r="O138" s="161"/>
      <c r="P138" s="161"/>
      <c r="Q138" s="161"/>
      <c r="R138" s="161"/>
      <c r="S138" s="161"/>
      <c r="T138" s="161"/>
      <c r="U138" s="161"/>
      <c r="V138" s="161"/>
      <c r="W138" s="161"/>
      <c r="X138" s="161"/>
    </row>
    <row r="139" ht="12.75" customHeight="1">
      <c r="A139" s="165">
        <v>36240.0</v>
      </c>
      <c r="B139" s="165" t="s">
        <v>7018</v>
      </c>
      <c r="C139" s="166">
        <v>44677.0</v>
      </c>
      <c r="D139" s="165" t="s">
        <v>12371</v>
      </c>
      <c r="E139" s="161"/>
      <c r="F139" s="161"/>
      <c r="G139" s="161"/>
      <c r="H139" s="161"/>
      <c r="I139" s="161"/>
      <c r="J139" s="161"/>
      <c r="K139" s="161"/>
      <c r="L139" s="161"/>
      <c r="M139" s="161"/>
      <c r="N139" s="161"/>
      <c r="O139" s="161"/>
      <c r="P139" s="161"/>
      <c r="Q139" s="161"/>
      <c r="R139" s="161"/>
      <c r="S139" s="161"/>
      <c r="T139" s="161"/>
      <c r="U139" s="161"/>
      <c r="V139" s="161"/>
      <c r="W139" s="161"/>
      <c r="X139" s="161"/>
    </row>
    <row r="140" ht="12.75" customHeight="1">
      <c r="A140" s="165">
        <v>36705.0</v>
      </c>
      <c r="B140" s="165" t="s">
        <v>6169</v>
      </c>
      <c r="C140" s="166">
        <v>44684.0</v>
      </c>
      <c r="D140" s="165" t="s">
        <v>12371</v>
      </c>
      <c r="E140" s="161"/>
      <c r="F140" s="161"/>
      <c r="G140" s="161"/>
      <c r="H140" s="161"/>
      <c r="I140" s="161"/>
      <c r="J140" s="161"/>
      <c r="K140" s="161"/>
      <c r="L140" s="161"/>
      <c r="M140" s="161"/>
      <c r="N140" s="161"/>
      <c r="O140" s="161"/>
      <c r="P140" s="161"/>
      <c r="Q140" s="161"/>
      <c r="R140" s="161"/>
      <c r="S140" s="161"/>
      <c r="T140" s="161"/>
      <c r="U140" s="161"/>
      <c r="V140" s="161"/>
      <c r="W140" s="161"/>
      <c r="X140" s="161"/>
    </row>
    <row r="141" ht="12.75" customHeight="1">
      <c r="A141" s="165">
        <v>35950.0</v>
      </c>
      <c r="B141" s="165" t="s">
        <v>6993</v>
      </c>
      <c r="C141" s="166">
        <v>44684.0</v>
      </c>
      <c r="D141" s="165" t="s">
        <v>12371</v>
      </c>
      <c r="E141" s="161"/>
      <c r="F141" s="161"/>
      <c r="G141" s="161"/>
      <c r="H141" s="161"/>
      <c r="I141" s="161"/>
      <c r="J141" s="161"/>
      <c r="K141" s="161"/>
      <c r="L141" s="161"/>
      <c r="M141" s="161"/>
      <c r="N141" s="161"/>
      <c r="O141" s="161"/>
      <c r="P141" s="161"/>
      <c r="Q141" s="161"/>
      <c r="R141" s="161"/>
      <c r="S141" s="161"/>
      <c r="T141" s="161"/>
      <c r="U141" s="161"/>
      <c r="V141" s="161"/>
      <c r="W141" s="161"/>
      <c r="X141" s="161"/>
    </row>
    <row r="142" ht="12.75" customHeight="1">
      <c r="A142" s="165">
        <v>36520.0</v>
      </c>
      <c r="B142" s="165" t="s">
        <v>6971</v>
      </c>
      <c r="C142" s="166">
        <v>44685.0</v>
      </c>
      <c r="D142" s="165" t="s">
        <v>12371</v>
      </c>
      <c r="E142" s="161"/>
      <c r="F142" s="161"/>
      <c r="G142" s="161"/>
      <c r="H142" s="161"/>
      <c r="I142" s="161"/>
      <c r="J142" s="161"/>
      <c r="K142" s="161"/>
      <c r="L142" s="161"/>
      <c r="M142" s="161"/>
      <c r="N142" s="161"/>
      <c r="O142" s="161"/>
      <c r="P142" s="161"/>
      <c r="Q142" s="161"/>
      <c r="R142" s="161"/>
      <c r="S142" s="161"/>
      <c r="T142" s="161"/>
      <c r="U142" s="161"/>
      <c r="V142" s="161"/>
      <c r="W142" s="161"/>
      <c r="X142" s="161"/>
    </row>
    <row r="143" ht="12.75" customHeight="1">
      <c r="A143" s="165">
        <v>36639.0</v>
      </c>
      <c r="B143" s="165" t="s">
        <v>6990</v>
      </c>
      <c r="C143" s="166">
        <v>44685.0</v>
      </c>
      <c r="D143" s="165" t="s">
        <v>12371</v>
      </c>
      <c r="E143" s="161"/>
      <c r="F143" s="161"/>
      <c r="G143" s="161"/>
      <c r="H143" s="161"/>
      <c r="I143" s="161"/>
      <c r="J143" s="161"/>
      <c r="K143" s="161"/>
      <c r="L143" s="161"/>
      <c r="M143" s="161"/>
      <c r="N143" s="161"/>
      <c r="O143" s="161"/>
      <c r="P143" s="161"/>
      <c r="Q143" s="161"/>
      <c r="R143" s="161"/>
      <c r="S143" s="161"/>
      <c r="T143" s="161"/>
      <c r="U143" s="161"/>
      <c r="V143" s="161"/>
      <c r="W143" s="161"/>
      <c r="X143" s="161"/>
    </row>
    <row r="144" ht="12.75" customHeight="1">
      <c r="A144" s="165">
        <v>36750.0</v>
      </c>
      <c r="B144" s="165" t="s">
        <v>6148</v>
      </c>
      <c r="C144" s="166">
        <v>44686.0</v>
      </c>
      <c r="D144" s="165" t="s">
        <v>12371</v>
      </c>
      <c r="E144" s="161"/>
      <c r="F144" s="161"/>
      <c r="G144" s="161"/>
      <c r="H144" s="161"/>
      <c r="I144" s="161"/>
      <c r="J144" s="161"/>
      <c r="K144" s="161"/>
      <c r="L144" s="161"/>
      <c r="M144" s="161"/>
      <c r="N144" s="161"/>
      <c r="O144" s="161"/>
      <c r="P144" s="161"/>
      <c r="Q144" s="161"/>
      <c r="R144" s="161"/>
      <c r="S144" s="161"/>
      <c r="T144" s="161"/>
      <c r="U144" s="161"/>
      <c r="V144" s="161"/>
      <c r="W144" s="161"/>
      <c r="X144" s="161"/>
    </row>
    <row r="145" ht="12.75" customHeight="1">
      <c r="A145" s="165">
        <v>36265.0</v>
      </c>
      <c r="B145" s="165" t="s">
        <v>6952</v>
      </c>
      <c r="C145" s="166">
        <v>44690.0</v>
      </c>
      <c r="D145" s="165" t="s">
        <v>12371</v>
      </c>
      <c r="E145" s="161"/>
      <c r="F145" s="161"/>
      <c r="G145" s="161"/>
      <c r="H145" s="161"/>
      <c r="I145" s="161"/>
      <c r="J145" s="161"/>
      <c r="K145" s="161"/>
      <c r="L145" s="161"/>
      <c r="M145" s="161"/>
      <c r="N145" s="161"/>
      <c r="O145" s="161"/>
      <c r="P145" s="161"/>
      <c r="Q145" s="161"/>
      <c r="R145" s="161"/>
      <c r="S145" s="161"/>
      <c r="T145" s="161"/>
      <c r="U145" s="161"/>
      <c r="V145" s="161"/>
      <c r="W145" s="161"/>
      <c r="X145" s="161"/>
    </row>
    <row r="146" ht="12.75" customHeight="1">
      <c r="A146" s="165">
        <v>36238.0</v>
      </c>
      <c r="B146" s="165" t="s">
        <v>6949</v>
      </c>
      <c r="C146" s="166">
        <v>44690.0</v>
      </c>
      <c r="D146" s="165" t="s">
        <v>12371</v>
      </c>
      <c r="E146" s="161"/>
      <c r="F146" s="161"/>
      <c r="G146" s="161"/>
      <c r="H146" s="161"/>
      <c r="I146" s="161"/>
      <c r="J146" s="161"/>
      <c r="K146" s="161"/>
      <c r="L146" s="161"/>
      <c r="M146" s="161"/>
      <c r="N146" s="161"/>
      <c r="O146" s="161"/>
      <c r="P146" s="161"/>
      <c r="Q146" s="161"/>
      <c r="R146" s="161"/>
      <c r="S146" s="161"/>
      <c r="T146" s="161"/>
      <c r="U146" s="161"/>
      <c r="V146" s="161"/>
      <c r="W146" s="161"/>
      <c r="X146" s="161"/>
    </row>
    <row r="147" ht="12.75" customHeight="1">
      <c r="A147" s="165">
        <v>36830.0</v>
      </c>
      <c r="B147" s="165" t="s">
        <v>6155</v>
      </c>
      <c r="C147" s="166">
        <v>44692.0</v>
      </c>
      <c r="D147" s="165" t="s">
        <v>12371</v>
      </c>
      <c r="E147" s="161"/>
      <c r="F147" s="161"/>
      <c r="G147" s="161"/>
      <c r="H147" s="161"/>
      <c r="I147" s="161"/>
      <c r="J147" s="161"/>
      <c r="K147" s="161"/>
      <c r="L147" s="161"/>
      <c r="M147" s="161"/>
      <c r="N147" s="161"/>
      <c r="O147" s="161"/>
      <c r="P147" s="161"/>
      <c r="Q147" s="161"/>
      <c r="R147" s="161"/>
      <c r="S147" s="161"/>
      <c r="T147" s="161"/>
      <c r="U147" s="161"/>
      <c r="V147" s="161"/>
      <c r="W147" s="161"/>
      <c r="X147" s="161"/>
    </row>
    <row r="148" ht="12.75" customHeight="1">
      <c r="A148" s="165">
        <v>36325.0</v>
      </c>
      <c r="B148" s="165" t="s">
        <v>6962</v>
      </c>
      <c r="C148" s="166">
        <v>44692.0</v>
      </c>
      <c r="D148" s="165" t="s">
        <v>12371</v>
      </c>
      <c r="E148" s="161"/>
      <c r="F148" s="161"/>
      <c r="G148" s="161"/>
      <c r="H148" s="161"/>
      <c r="I148" s="161"/>
      <c r="J148" s="161"/>
      <c r="K148" s="161"/>
      <c r="L148" s="161"/>
      <c r="M148" s="161"/>
      <c r="N148" s="161"/>
      <c r="O148" s="161"/>
      <c r="P148" s="161"/>
      <c r="Q148" s="161"/>
      <c r="R148" s="161"/>
      <c r="S148" s="161"/>
      <c r="T148" s="161"/>
      <c r="U148" s="161"/>
      <c r="V148" s="161"/>
      <c r="W148" s="161"/>
      <c r="X148" s="161"/>
    </row>
    <row r="149" ht="12.75" customHeight="1">
      <c r="A149" s="165">
        <v>36031.0</v>
      </c>
      <c r="B149" s="165" t="s">
        <v>6967</v>
      </c>
      <c r="C149" s="166">
        <v>44692.0</v>
      </c>
      <c r="D149" s="165" t="s">
        <v>12371</v>
      </c>
      <c r="E149" s="161"/>
      <c r="F149" s="161"/>
      <c r="G149" s="161"/>
      <c r="H149" s="161"/>
      <c r="I149" s="161"/>
      <c r="J149" s="161"/>
      <c r="K149" s="161"/>
      <c r="L149" s="161"/>
      <c r="M149" s="161"/>
      <c r="N149" s="161"/>
      <c r="O149" s="161"/>
      <c r="P149" s="161"/>
      <c r="Q149" s="161"/>
      <c r="R149" s="161"/>
      <c r="S149" s="161"/>
      <c r="T149" s="161"/>
      <c r="U149" s="161"/>
      <c r="V149" s="161"/>
      <c r="W149" s="161"/>
      <c r="X149" s="161"/>
    </row>
    <row r="150" ht="12.75" customHeight="1">
      <c r="A150" s="165">
        <v>36267.0</v>
      </c>
      <c r="B150" s="165" t="s">
        <v>6964</v>
      </c>
      <c r="C150" s="166">
        <v>44692.0</v>
      </c>
      <c r="D150" s="165" t="s">
        <v>12371</v>
      </c>
      <c r="E150" s="161"/>
      <c r="F150" s="161"/>
      <c r="G150" s="161"/>
      <c r="H150" s="161"/>
      <c r="I150" s="161"/>
      <c r="J150" s="161"/>
      <c r="K150" s="161"/>
      <c r="L150" s="161"/>
      <c r="M150" s="161"/>
      <c r="N150" s="161"/>
      <c r="O150" s="161"/>
      <c r="P150" s="161"/>
      <c r="Q150" s="161"/>
      <c r="R150" s="161"/>
      <c r="S150" s="161"/>
      <c r="T150" s="161"/>
      <c r="U150" s="161"/>
      <c r="V150" s="161"/>
      <c r="W150" s="161"/>
      <c r="X150" s="161"/>
    </row>
    <row r="151" ht="12.75" customHeight="1">
      <c r="A151" s="165">
        <v>36802.0</v>
      </c>
      <c r="B151" s="165" t="s">
        <v>6947</v>
      </c>
      <c r="C151" s="166">
        <v>44692.0</v>
      </c>
      <c r="D151" s="165" t="s">
        <v>12371</v>
      </c>
      <c r="E151" s="161"/>
      <c r="F151" s="161"/>
      <c r="G151" s="161"/>
      <c r="H151" s="161"/>
      <c r="I151" s="161"/>
      <c r="J151" s="161"/>
      <c r="K151" s="161"/>
      <c r="L151" s="161"/>
      <c r="M151" s="161"/>
      <c r="N151" s="161"/>
      <c r="O151" s="161"/>
      <c r="P151" s="161"/>
      <c r="Q151" s="161"/>
      <c r="R151" s="161"/>
      <c r="S151" s="161"/>
      <c r="T151" s="161"/>
      <c r="U151" s="161"/>
      <c r="V151" s="161"/>
      <c r="W151" s="161"/>
      <c r="X151" s="161"/>
    </row>
    <row r="152" ht="12.75" customHeight="1">
      <c r="A152" s="165">
        <v>36853.0</v>
      </c>
      <c r="B152" s="165" t="s">
        <v>6944</v>
      </c>
      <c r="C152" s="166">
        <v>44692.0</v>
      </c>
      <c r="D152" s="165" t="s">
        <v>12371</v>
      </c>
      <c r="E152" s="161"/>
      <c r="F152" s="161"/>
      <c r="G152" s="161"/>
      <c r="H152" s="161"/>
      <c r="I152" s="161"/>
      <c r="J152" s="161"/>
      <c r="K152" s="161"/>
      <c r="L152" s="161"/>
      <c r="M152" s="161"/>
      <c r="N152" s="161"/>
      <c r="O152" s="161"/>
      <c r="P152" s="161"/>
      <c r="Q152" s="161"/>
      <c r="R152" s="161"/>
      <c r="S152" s="161"/>
      <c r="T152" s="161"/>
      <c r="U152" s="161"/>
      <c r="V152" s="161"/>
      <c r="W152" s="161"/>
      <c r="X152" s="161"/>
    </row>
    <row r="153" ht="12.75" customHeight="1">
      <c r="A153" s="165">
        <v>36801.0</v>
      </c>
      <c r="B153" s="165" t="s">
        <v>6942</v>
      </c>
      <c r="C153" s="166">
        <v>44692.0</v>
      </c>
      <c r="D153" s="165" t="s">
        <v>12371</v>
      </c>
      <c r="E153" s="161"/>
      <c r="F153" s="161"/>
      <c r="G153" s="161"/>
      <c r="H153" s="161"/>
      <c r="I153" s="161"/>
      <c r="J153" s="161"/>
      <c r="K153" s="161"/>
      <c r="L153" s="161"/>
      <c r="M153" s="161"/>
      <c r="N153" s="161"/>
      <c r="O153" s="161"/>
      <c r="P153" s="161"/>
      <c r="Q153" s="161"/>
      <c r="R153" s="161"/>
      <c r="S153" s="161"/>
      <c r="T153" s="161"/>
      <c r="U153" s="161"/>
      <c r="V153" s="161"/>
      <c r="W153" s="161"/>
      <c r="X153" s="161"/>
    </row>
    <row r="154" ht="12.75" customHeight="1">
      <c r="A154" s="165">
        <v>36270.0</v>
      </c>
      <c r="B154" s="165" t="s">
        <v>6916</v>
      </c>
      <c r="C154" s="166">
        <v>44700.0</v>
      </c>
      <c r="D154" s="165" t="s">
        <v>12371</v>
      </c>
      <c r="E154" s="161"/>
      <c r="F154" s="161"/>
      <c r="G154" s="161"/>
      <c r="H154" s="161"/>
      <c r="I154" s="161"/>
      <c r="J154" s="161"/>
      <c r="K154" s="161"/>
      <c r="L154" s="161"/>
      <c r="M154" s="161"/>
      <c r="N154" s="161"/>
      <c r="O154" s="161"/>
      <c r="P154" s="161"/>
      <c r="Q154" s="161"/>
      <c r="R154" s="161"/>
      <c r="S154" s="161"/>
      <c r="T154" s="161"/>
      <c r="U154" s="161"/>
      <c r="V154" s="161"/>
      <c r="W154" s="161"/>
      <c r="X154" s="161"/>
    </row>
    <row r="155" ht="12.75" customHeight="1">
      <c r="A155" s="165">
        <v>36268.0</v>
      </c>
      <c r="B155" s="165" t="s">
        <v>6914</v>
      </c>
      <c r="C155" s="166">
        <v>44700.0</v>
      </c>
      <c r="D155" s="165" t="s">
        <v>12371</v>
      </c>
      <c r="E155" s="161"/>
      <c r="F155" s="161"/>
      <c r="G155" s="161"/>
      <c r="H155" s="161"/>
      <c r="I155" s="161"/>
      <c r="J155" s="161"/>
      <c r="K155" s="161"/>
      <c r="L155" s="161"/>
      <c r="M155" s="161"/>
      <c r="N155" s="161"/>
      <c r="O155" s="161"/>
      <c r="P155" s="161"/>
      <c r="Q155" s="161"/>
      <c r="R155" s="161"/>
      <c r="S155" s="161"/>
      <c r="T155" s="161"/>
      <c r="U155" s="161"/>
      <c r="V155" s="161"/>
      <c r="W155" s="161"/>
      <c r="X155" s="161"/>
    </row>
    <row r="156" ht="12.75" customHeight="1">
      <c r="A156" s="165">
        <v>35853.0</v>
      </c>
      <c r="B156" s="165" t="s">
        <v>6911</v>
      </c>
      <c r="C156" s="166">
        <v>44700.0</v>
      </c>
      <c r="D156" s="165" t="s">
        <v>12371</v>
      </c>
      <c r="E156" s="161"/>
      <c r="F156" s="161"/>
      <c r="G156" s="161"/>
      <c r="H156" s="161"/>
      <c r="I156" s="161"/>
      <c r="J156" s="161"/>
      <c r="K156" s="161"/>
      <c r="L156" s="161"/>
      <c r="M156" s="161"/>
      <c r="N156" s="161"/>
      <c r="O156" s="161"/>
      <c r="P156" s="161"/>
      <c r="Q156" s="161"/>
      <c r="R156" s="161"/>
      <c r="S156" s="161"/>
      <c r="T156" s="161"/>
      <c r="U156" s="161"/>
      <c r="V156" s="161"/>
      <c r="W156" s="161"/>
      <c r="X156" s="161"/>
    </row>
    <row r="157" ht="12.75" customHeight="1">
      <c r="A157" s="165">
        <v>36630.0</v>
      </c>
      <c r="B157" s="165" t="s">
        <v>6904</v>
      </c>
      <c r="C157" s="166">
        <v>44701.0</v>
      </c>
      <c r="D157" s="165" t="s">
        <v>12371</v>
      </c>
      <c r="E157" s="161"/>
      <c r="F157" s="161"/>
      <c r="G157" s="161"/>
      <c r="H157" s="161"/>
      <c r="I157" s="161"/>
      <c r="J157" s="161"/>
      <c r="K157" s="161"/>
      <c r="L157" s="161"/>
      <c r="M157" s="161"/>
      <c r="N157" s="161"/>
      <c r="O157" s="161"/>
      <c r="P157" s="161"/>
      <c r="Q157" s="161"/>
      <c r="R157" s="161"/>
      <c r="S157" s="161"/>
      <c r="T157" s="161"/>
      <c r="U157" s="161"/>
      <c r="V157" s="161"/>
      <c r="W157" s="161"/>
      <c r="X157" s="161"/>
    </row>
    <row r="158" ht="12.75" customHeight="1">
      <c r="A158" s="165">
        <v>36700.0</v>
      </c>
      <c r="B158" s="165" t="s">
        <v>6900</v>
      </c>
      <c r="C158" s="166">
        <v>44701.0</v>
      </c>
      <c r="D158" s="165" t="s">
        <v>12371</v>
      </c>
      <c r="E158" s="161"/>
      <c r="F158" s="161"/>
      <c r="G158" s="161"/>
      <c r="H158" s="161"/>
      <c r="I158" s="161"/>
      <c r="J158" s="161"/>
      <c r="K158" s="161"/>
      <c r="L158" s="161"/>
      <c r="M158" s="161"/>
      <c r="N158" s="161"/>
      <c r="O158" s="161"/>
      <c r="P158" s="161"/>
      <c r="Q158" s="161"/>
      <c r="R158" s="161"/>
      <c r="S158" s="161"/>
      <c r="T158" s="161"/>
      <c r="U158" s="161"/>
      <c r="V158" s="161"/>
      <c r="W158" s="161"/>
      <c r="X158" s="161"/>
    </row>
    <row r="159" ht="12.75" customHeight="1">
      <c r="A159" s="165">
        <v>36779.0</v>
      </c>
      <c r="B159" s="165" t="s">
        <v>6908</v>
      </c>
      <c r="C159" s="166">
        <v>44701.0</v>
      </c>
      <c r="D159" s="165" t="s">
        <v>12371</v>
      </c>
      <c r="E159" s="161"/>
      <c r="F159" s="161"/>
      <c r="G159" s="161"/>
      <c r="H159" s="161"/>
      <c r="I159" s="161"/>
      <c r="J159" s="161"/>
      <c r="K159" s="161"/>
      <c r="L159" s="161"/>
      <c r="M159" s="161"/>
      <c r="N159" s="161"/>
      <c r="O159" s="161"/>
      <c r="P159" s="161"/>
      <c r="Q159" s="161"/>
      <c r="R159" s="161"/>
      <c r="S159" s="161"/>
      <c r="T159" s="161"/>
      <c r="U159" s="161"/>
      <c r="V159" s="161"/>
      <c r="W159" s="161"/>
      <c r="X159" s="161"/>
    </row>
    <row r="160" ht="12.75" customHeight="1">
      <c r="A160" s="165">
        <v>36660.0</v>
      </c>
      <c r="B160" s="165" t="s">
        <v>6135</v>
      </c>
      <c r="C160" s="166">
        <v>44704.0</v>
      </c>
      <c r="D160" s="165" t="s">
        <v>12371</v>
      </c>
      <c r="E160" s="161"/>
      <c r="F160" s="161"/>
      <c r="G160" s="161"/>
      <c r="H160" s="161"/>
      <c r="I160" s="161"/>
      <c r="J160" s="161"/>
      <c r="K160" s="161"/>
      <c r="L160" s="161"/>
      <c r="M160" s="161"/>
      <c r="N160" s="161"/>
      <c r="O160" s="161"/>
      <c r="P160" s="161"/>
      <c r="Q160" s="161"/>
      <c r="R160" s="161"/>
      <c r="S160" s="161"/>
      <c r="T160" s="161"/>
      <c r="U160" s="161"/>
      <c r="V160" s="161"/>
      <c r="W160" s="161"/>
      <c r="X160" s="161"/>
    </row>
    <row r="161" ht="12.75" customHeight="1">
      <c r="A161" s="165">
        <v>36463.0</v>
      </c>
      <c r="B161" s="165" t="s">
        <v>6849</v>
      </c>
      <c r="C161" s="166">
        <v>44708.0</v>
      </c>
      <c r="D161" s="165" t="s">
        <v>12371</v>
      </c>
      <c r="E161" s="161"/>
      <c r="F161" s="161"/>
      <c r="G161" s="161"/>
      <c r="H161" s="161"/>
      <c r="I161" s="161"/>
      <c r="J161" s="161"/>
      <c r="K161" s="161"/>
      <c r="L161" s="161"/>
      <c r="M161" s="161"/>
      <c r="N161" s="161"/>
      <c r="O161" s="161"/>
      <c r="P161" s="161"/>
      <c r="Q161" s="161"/>
      <c r="R161" s="161"/>
      <c r="S161" s="161"/>
      <c r="T161" s="161"/>
      <c r="U161" s="161"/>
      <c r="V161" s="161"/>
      <c r="W161" s="161"/>
      <c r="X161" s="161"/>
    </row>
    <row r="162" ht="12.75" customHeight="1">
      <c r="A162" s="165">
        <v>36900.0</v>
      </c>
      <c r="B162" s="165" t="s">
        <v>6865</v>
      </c>
      <c r="C162" s="166">
        <v>44708.0</v>
      </c>
      <c r="D162" s="165" t="s">
        <v>12371</v>
      </c>
      <c r="E162" s="161"/>
      <c r="F162" s="161"/>
      <c r="G162" s="161"/>
      <c r="H162" s="161"/>
      <c r="I162" s="161"/>
      <c r="J162" s="161"/>
      <c r="K162" s="161"/>
      <c r="L162" s="161"/>
      <c r="M162" s="161"/>
      <c r="N162" s="161"/>
      <c r="O162" s="161"/>
      <c r="P162" s="161"/>
      <c r="Q162" s="161"/>
      <c r="R162" s="161"/>
      <c r="S162" s="161"/>
      <c r="T162" s="161"/>
      <c r="U162" s="161"/>
      <c r="V162" s="161"/>
      <c r="W162" s="161"/>
      <c r="X162" s="161"/>
    </row>
    <row r="163" ht="12.75" customHeight="1">
      <c r="A163" s="165">
        <v>36899.0</v>
      </c>
      <c r="B163" s="165" t="s">
        <v>6863</v>
      </c>
      <c r="C163" s="166">
        <v>44708.0</v>
      </c>
      <c r="D163" s="165" t="s">
        <v>12371</v>
      </c>
      <c r="E163" s="161"/>
      <c r="F163" s="161"/>
      <c r="G163" s="161"/>
      <c r="H163" s="161"/>
      <c r="I163" s="161"/>
      <c r="J163" s="161"/>
      <c r="K163" s="161"/>
      <c r="L163" s="161"/>
      <c r="M163" s="161"/>
      <c r="N163" s="161"/>
      <c r="O163" s="161"/>
      <c r="P163" s="161"/>
      <c r="Q163" s="161"/>
      <c r="R163" s="161"/>
      <c r="S163" s="161"/>
      <c r="T163" s="161"/>
      <c r="U163" s="161"/>
      <c r="V163" s="161"/>
      <c r="W163" s="161"/>
      <c r="X163" s="161"/>
    </row>
    <row r="164" ht="12.75" customHeight="1">
      <c r="A164" s="165">
        <v>36898.0</v>
      </c>
      <c r="B164" s="165" t="s">
        <v>6861</v>
      </c>
      <c r="C164" s="166">
        <v>44708.0</v>
      </c>
      <c r="D164" s="165" t="s">
        <v>12371</v>
      </c>
      <c r="E164" s="161"/>
      <c r="F164" s="161"/>
      <c r="G164" s="161"/>
      <c r="H164" s="161"/>
      <c r="I164" s="161"/>
      <c r="J164" s="161"/>
      <c r="K164" s="161"/>
      <c r="L164" s="161"/>
      <c r="M164" s="161"/>
      <c r="N164" s="161"/>
      <c r="O164" s="161"/>
      <c r="P164" s="161"/>
      <c r="Q164" s="161"/>
      <c r="R164" s="161"/>
      <c r="S164" s="161"/>
      <c r="T164" s="161"/>
      <c r="U164" s="161"/>
      <c r="V164" s="161"/>
      <c r="W164" s="161"/>
      <c r="X164" s="161"/>
    </row>
    <row r="165" ht="12.75" customHeight="1">
      <c r="A165" s="165">
        <v>36291.0</v>
      </c>
      <c r="B165" s="165" t="s">
        <v>6125</v>
      </c>
      <c r="C165" s="166">
        <v>44712.0</v>
      </c>
      <c r="D165" s="165" t="s">
        <v>12371</v>
      </c>
      <c r="E165" s="161"/>
      <c r="F165" s="161"/>
      <c r="G165" s="161"/>
      <c r="H165" s="161"/>
      <c r="I165" s="161"/>
      <c r="J165" s="161"/>
      <c r="K165" s="161"/>
      <c r="L165" s="161"/>
      <c r="M165" s="161"/>
      <c r="N165" s="161"/>
      <c r="O165" s="161"/>
      <c r="P165" s="161"/>
      <c r="Q165" s="161"/>
      <c r="R165" s="161"/>
      <c r="S165" s="161"/>
      <c r="T165" s="161"/>
      <c r="U165" s="161"/>
      <c r="V165" s="161"/>
      <c r="W165" s="161"/>
      <c r="X165" s="161"/>
    </row>
    <row r="166" ht="12.75" customHeight="1">
      <c r="A166" s="165">
        <v>36486.0</v>
      </c>
      <c r="B166" s="165" t="s">
        <v>6837</v>
      </c>
      <c r="C166" s="166">
        <v>44721.0</v>
      </c>
      <c r="D166" s="165" t="s">
        <v>12371</v>
      </c>
      <c r="E166" s="161"/>
      <c r="F166" s="161"/>
      <c r="G166" s="161"/>
      <c r="H166" s="161"/>
      <c r="I166" s="161"/>
      <c r="J166" s="161"/>
      <c r="K166" s="161"/>
      <c r="L166" s="161"/>
      <c r="M166" s="161"/>
      <c r="N166" s="161"/>
      <c r="O166" s="161"/>
      <c r="P166" s="161"/>
      <c r="Q166" s="161"/>
      <c r="R166" s="161"/>
      <c r="S166" s="161"/>
      <c r="T166" s="161"/>
      <c r="U166" s="161"/>
      <c r="V166" s="161"/>
      <c r="W166" s="161"/>
      <c r="X166" s="161"/>
    </row>
    <row r="167" ht="12.75" customHeight="1">
      <c r="A167" s="165">
        <v>36590.0</v>
      </c>
      <c r="B167" s="165" t="s">
        <v>6834</v>
      </c>
      <c r="C167" s="166">
        <v>44721.0</v>
      </c>
      <c r="D167" s="165" t="s">
        <v>12371</v>
      </c>
      <c r="E167" s="161"/>
      <c r="F167" s="161"/>
      <c r="G167" s="161"/>
      <c r="H167" s="161"/>
      <c r="I167" s="161"/>
      <c r="J167" s="161"/>
      <c r="K167" s="161"/>
      <c r="L167" s="161"/>
      <c r="M167" s="161"/>
      <c r="N167" s="161"/>
      <c r="O167" s="161"/>
      <c r="P167" s="161"/>
      <c r="Q167" s="161"/>
      <c r="R167" s="161"/>
      <c r="S167" s="161"/>
      <c r="T167" s="161"/>
      <c r="U167" s="161"/>
      <c r="V167" s="161"/>
      <c r="W167" s="161"/>
      <c r="X167" s="161"/>
    </row>
    <row r="168" ht="12.75" customHeight="1">
      <c r="A168" s="165">
        <v>36286.0</v>
      </c>
      <c r="B168" s="165" t="s">
        <v>6831</v>
      </c>
      <c r="C168" s="166">
        <v>44721.0</v>
      </c>
      <c r="D168" s="165" t="s">
        <v>12371</v>
      </c>
      <c r="E168" s="161"/>
      <c r="F168" s="161"/>
      <c r="G168" s="161"/>
      <c r="H168" s="161"/>
      <c r="I168" s="161"/>
      <c r="J168" s="161"/>
      <c r="K168" s="161"/>
      <c r="L168" s="161"/>
      <c r="M168" s="161"/>
      <c r="N168" s="161"/>
      <c r="O168" s="161"/>
      <c r="P168" s="161"/>
      <c r="Q168" s="161"/>
      <c r="R168" s="161"/>
      <c r="S168" s="161"/>
      <c r="T168" s="161"/>
      <c r="U168" s="161"/>
      <c r="V168" s="161"/>
      <c r="W168" s="161"/>
      <c r="X168" s="161"/>
    </row>
    <row r="169" ht="12.75" customHeight="1">
      <c r="A169" s="165">
        <v>36287.0</v>
      </c>
      <c r="B169" s="165" t="s">
        <v>6826</v>
      </c>
      <c r="C169" s="166">
        <v>44721.0</v>
      </c>
      <c r="D169" s="165" t="s">
        <v>12371</v>
      </c>
      <c r="E169" s="161"/>
      <c r="F169" s="161"/>
      <c r="G169" s="161"/>
      <c r="H169" s="161"/>
      <c r="I169" s="161"/>
      <c r="J169" s="161"/>
      <c r="K169" s="161"/>
      <c r="L169" s="161"/>
      <c r="M169" s="161"/>
      <c r="N169" s="161"/>
      <c r="O169" s="161"/>
      <c r="P169" s="161"/>
      <c r="Q169" s="161"/>
      <c r="R169" s="161"/>
      <c r="S169" s="161"/>
      <c r="T169" s="161"/>
      <c r="U169" s="161"/>
      <c r="V169" s="161"/>
      <c r="W169" s="161"/>
      <c r="X169" s="161"/>
    </row>
    <row r="170" ht="12.75" customHeight="1">
      <c r="A170" s="165">
        <v>36592.0</v>
      </c>
      <c r="B170" s="165" t="s">
        <v>6843</v>
      </c>
      <c r="C170" s="166">
        <v>44721.0</v>
      </c>
      <c r="D170" s="165" t="s">
        <v>12371</v>
      </c>
      <c r="E170" s="161"/>
      <c r="F170" s="161"/>
      <c r="G170" s="161"/>
      <c r="H170" s="161"/>
      <c r="I170" s="161"/>
      <c r="J170" s="161"/>
      <c r="K170" s="161"/>
      <c r="L170" s="161"/>
      <c r="M170" s="161"/>
      <c r="N170" s="161"/>
      <c r="O170" s="161"/>
      <c r="P170" s="161"/>
      <c r="Q170" s="161"/>
      <c r="R170" s="161"/>
      <c r="S170" s="161"/>
      <c r="T170" s="161"/>
      <c r="U170" s="161"/>
      <c r="V170" s="161"/>
      <c r="W170" s="161"/>
      <c r="X170" s="161"/>
    </row>
    <row r="171" ht="12.75" customHeight="1">
      <c r="A171" s="165">
        <v>36661.0</v>
      </c>
      <c r="B171" s="165" t="s">
        <v>6829</v>
      </c>
      <c r="C171" s="166">
        <v>44721.0</v>
      </c>
      <c r="D171" s="165" t="s">
        <v>12371</v>
      </c>
      <c r="E171" s="161"/>
      <c r="F171" s="161"/>
      <c r="G171" s="161"/>
      <c r="H171" s="161"/>
      <c r="I171" s="161"/>
      <c r="J171" s="161"/>
      <c r="K171" s="161"/>
      <c r="L171" s="161"/>
      <c r="M171" s="161"/>
      <c r="N171" s="161"/>
      <c r="O171" s="161"/>
      <c r="P171" s="161"/>
      <c r="Q171" s="161"/>
      <c r="R171" s="161"/>
      <c r="S171" s="161"/>
      <c r="T171" s="161"/>
      <c r="U171" s="161"/>
      <c r="V171" s="161"/>
      <c r="W171" s="161"/>
      <c r="X171" s="161"/>
    </row>
    <row r="172" ht="12.75" customHeight="1">
      <c r="A172" s="191">
        <v>36977.0</v>
      </c>
      <c r="B172" s="191" t="s">
        <v>6108</v>
      </c>
      <c r="C172" s="259">
        <v>44721.0</v>
      </c>
      <c r="D172" s="191" t="s">
        <v>12371</v>
      </c>
      <c r="E172" s="161"/>
      <c r="F172" s="161"/>
      <c r="G172" s="161"/>
      <c r="H172" s="161"/>
      <c r="I172" s="161"/>
      <c r="J172" s="161"/>
      <c r="K172" s="161"/>
      <c r="L172" s="161"/>
      <c r="M172" s="161"/>
      <c r="N172" s="161"/>
      <c r="O172" s="161"/>
      <c r="P172" s="161"/>
      <c r="Q172" s="161"/>
      <c r="R172" s="161"/>
      <c r="S172" s="161"/>
      <c r="T172" s="161"/>
      <c r="U172" s="161"/>
      <c r="V172" s="161"/>
      <c r="W172" s="161"/>
      <c r="X172" s="161"/>
    </row>
    <row r="173" ht="12.75" customHeight="1">
      <c r="A173" s="165">
        <v>36964.0</v>
      </c>
      <c r="B173" s="165" t="s">
        <v>12376</v>
      </c>
      <c r="C173" s="166">
        <v>44724.0</v>
      </c>
      <c r="D173" s="165" t="s">
        <v>12371</v>
      </c>
      <c r="E173" s="161"/>
      <c r="F173" s="161"/>
      <c r="G173" s="161"/>
      <c r="H173" s="161"/>
      <c r="I173" s="161"/>
      <c r="J173" s="161"/>
      <c r="K173" s="161"/>
      <c r="L173" s="161"/>
      <c r="M173" s="161"/>
      <c r="N173" s="161"/>
      <c r="O173" s="161"/>
      <c r="P173" s="161"/>
      <c r="Q173" s="161"/>
      <c r="R173" s="161"/>
      <c r="S173" s="161"/>
      <c r="T173" s="161"/>
      <c r="U173" s="161"/>
      <c r="V173" s="161"/>
      <c r="W173" s="161"/>
      <c r="X173" s="161"/>
    </row>
    <row r="174" ht="12.75" customHeight="1">
      <c r="A174" s="165">
        <v>36964.0</v>
      </c>
      <c r="B174" s="165" t="s">
        <v>12377</v>
      </c>
      <c r="C174" s="166">
        <v>44724.0</v>
      </c>
      <c r="D174" s="165" t="s">
        <v>12371</v>
      </c>
      <c r="E174" s="161"/>
      <c r="F174" s="161"/>
      <c r="G174" s="161"/>
      <c r="H174" s="161"/>
      <c r="I174" s="161"/>
      <c r="J174" s="161"/>
      <c r="K174" s="161"/>
      <c r="L174" s="161"/>
      <c r="M174" s="161"/>
      <c r="N174" s="161"/>
      <c r="O174" s="161"/>
      <c r="P174" s="161"/>
      <c r="Q174" s="161"/>
      <c r="R174" s="161"/>
      <c r="S174" s="161"/>
      <c r="T174" s="161"/>
      <c r="U174" s="161"/>
      <c r="V174" s="161"/>
      <c r="W174" s="161"/>
      <c r="X174" s="161"/>
    </row>
    <row r="175" ht="12.75" customHeight="1">
      <c r="A175" s="165">
        <v>35804.0</v>
      </c>
      <c r="B175" s="165" t="s">
        <v>6803</v>
      </c>
      <c r="C175" s="166">
        <v>44728.0</v>
      </c>
      <c r="D175" s="165" t="s">
        <v>12371</v>
      </c>
      <c r="E175" s="161"/>
      <c r="F175" s="161"/>
      <c r="G175" s="161"/>
      <c r="H175" s="161"/>
      <c r="I175" s="161"/>
      <c r="J175" s="161"/>
      <c r="K175" s="161"/>
      <c r="L175" s="161"/>
      <c r="M175" s="161"/>
      <c r="N175" s="161"/>
      <c r="O175" s="161"/>
      <c r="P175" s="161"/>
      <c r="Q175" s="161"/>
      <c r="R175" s="161"/>
      <c r="S175" s="161"/>
      <c r="T175" s="161"/>
      <c r="U175" s="161"/>
      <c r="V175" s="161"/>
      <c r="W175" s="161"/>
      <c r="X175" s="161"/>
    </row>
    <row r="176" ht="12.75" customHeight="1">
      <c r="A176" s="165">
        <v>35970.0</v>
      </c>
      <c r="B176" s="165" t="s">
        <v>6813</v>
      </c>
      <c r="C176" s="166">
        <v>44728.0</v>
      </c>
      <c r="D176" s="165" t="s">
        <v>12371</v>
      </c>
      <c r="E176" s="161"/>
      <c r="F176" s="161"/>
      <c r="G176" s="161"/>
      <c r="H176" s="161"/>
      <c r="I176" s="161"/>
      <c r="J176" s="161"/>
      <c r="K176" s="161"/>
      <c r="L176" s="161"/>
      <c r="M176" s="161"/>
      <c r="N176" s="161"/>
      <c r="O176" s="161"/>
      <c r="P176" s="161"/>
      <c r="Q176" s="161"/>
      <c r="R176" s="161"/>
      <c r="S176" s="161"/>
      <c r="T176" s="161"/>
      <c r="U176" s="161"/>
      <c r="V176" s="161"/>
      <c r="W176" s="161"/>
      <c r="X176" s="161"/>
    </row>
    <row r="177" ht="12.75" customHeight="1">
      <c r="A177" s="165">
        <v>36969.0</v>
      </c>
      <c r="B177" s="165" t="s">
        <v>6810</v>
      </c>
      <c r="C177" s="166">
        <v>44728.0</v>
      </c>
      <c r="D177" s="165" t="s">
        <v>12371</v>
      </c>
      <c r="E177" s="161"/>
      <c r="F177" s="161"/>
      <c r="G177" s="161"/>
      <c r="H177" s="161"/>
      <c r="I177" s="161"/>
      <c r="J177" s="161"/>
      <c r="K177" s="161"/>
      <c r="L177" s="161"/>
      <c r="M177" s="161"/>
      <c r="N177" s="161"/>
      <c r="O177" s="161"/>
      <c r="P177" s="161"/>
      <c r="Q177" s="161"/>
      <c r="R177" s="161"/>
      <c r="S177" s="161"/>
      <c r="T177" s="161"/>
      <c r="U177" s="161"/>
      <c r="V177" s="161"/>
      <c r="W177" s="161"/>
      <c r="X177" s="161"/>
    </row>
    <row r="178" ht="12.75" customHeight="1">
      <c r="A178" s="165">
        <v>36749.0</v>
      </c>
      <c r="B178" s="165" t="s">
        <v>6092</v>
      </c>
      <c r="C178" s="166">
        <v>44729.0</v>
      </c>
      <c r="D178" s="165" t="s">
        <v>12371</v>
      </c>
      <c r="E178" s="161"/>
      <c r="F178" s="161"/>
      <c r="G178" s="161"/>
      <c r="H178" s="161"/>
      <c r="I178" s="161"/>
      <c r="J178" s="161"/>
      <c r="K178" s="161"/>
      <c r="L178" s="161"/>
      <c r="M178" s="161"/>
      <c r="N178" s="161"/>
      <c r="O178" s="161"/>
      <c r="P178" s="161"/>
      <c r="Q178" s="161"/>
      <c r="R178" s="161"/>
      <c r="S178" s="161"/>
      <c r="T178" s="161"/>
      <c r="U178" s="161"/>
      <c r="V178" s="161"/>
      <c r="W178" s="161"/>
      <c r="X178" s="161"/>
    </row>
    <row r="179" ht="12.75" customHeight="1">
      <c r="A179" s="165">
        <v>37003.0</v>
      </c>
      <c r="B179" s="165" t="s">
        <v>6085</v>
      </c>
      <c r="C179" s="166">
        <v>44739.0</v>
      </c>
      <c r="D179" s="165" t="s">
        <v>12371</v>
      </c>
      <c r="E179" s="161"/>
      <c r="F179" s="161"/>
      <c r="G179" s="161"/>
      <c r="H179" s="161"/>
      <c r="I179" s="161"/>
      <c r="J179" s="161"/>
      <c r="K179" s="161"/>
      <c r="L179" s="161"/>
      <c r="M179" s="161"/>
      <c r="N179" s="161"/>
      <c r="O179" s="161"/>
      <c r="P179" s="161"/>
      <c r="Q179" s="161"/>
      <c r="R179" s="161"/>
      <c r="S179" s="161"/>
      <c r="T179" s="161"/>
      <c r="U179" s="161"/>
      <c r="V179" s="161"/>
      <c r="W179" s="161"/>
      <c r="X179" s="161"/>
    </row>
    <row r="180" ht="12.75" customHeight="1">
      <c r="A180" s="165">
        <v>36439.0</v>
      </c>
      <c r="B180" s="165" t="s">
        <v>6751</v>
      </c>
      <c r="C180" s="166">
        <v>44742.0</v>
      </c>
      <c r="D180" s="165" t="s">
        <v>12371</v>
      </c>
      <c r="E180" s="161"/>
      <c r="F180" s="161"/>
      <c r="G180" s="161"/>
      <c r="H180" s="161"/>
      <c r="I180" s="161"/>
      <c r="J180" s="161"/>
      <c r="K180" s="161"/>
      <c r="L180" s="161"/>
      <c r="M180" s="161"/>
      <c r="N180" s="161"/>
      <c r="O180" s="161"/>
      <c r="P180" s="161"/>
      <c r="Q180" s="161"/>
      <c r="R180" s="161"/>
      <c r="S180" s="161"/>
      <c r="T180" s="161"/>
      <c r="U180" s="161"/>
      <c r="V180" s="161"/>
      <c r="W180" s="161"/>
      <c r="X180" s="161"/>
    </row>
    <row r="181" ht="12.75" customHeight="1">
      <c r="A181" s="165">
        <v>36576.0</v>
      </c>
      <c r="B181" s="165" t="s">
        <v>6748</v>
      </c>
      <c r="C181" s="166">
        <v>44742.0</v>
      </c>
      <c r="D181" s="165" t="s">
        <v>12371</v>
      </c>
      <c r="E181" s="161"/>
      <c r="F181" s="161"/>
      <c r="G181" s="161"/>
      <c r="H181" s="161"/>
      <c r="I181" s="161"/>
      <c r="J181" s="161"/>
      <c r="K181" s="161"/>
      <c r="L181" s="161"/>
      <c r="M181" s="161"/>
      <c r="N181" s="161"/>
      <c r="O181" s="161"/>
      <c r="P181" s="161"/>
      <c r="Q181" s="161"/>
      <c r="R181" s="161"/>
      <c r="S181" s="161"/>
      <c r="T181" s="161"/>
      <c r="U181" s="161"/>
      <c r="V181" s="161"/>
      <c r="W181" s="161"/>
      <c r="X181" s="161"/>
    </row>
    <row r="182" ht="12.75" customHeight="1">
      <c r="A182" s="165">
        <v>36837.0</v>
      </c>
      <c r="B182" s="165" t="s">
        <v>6745</v>
      </c>
      <c r="C182" s="166">
        <v>44742.0</v>
      </c>
      <c r="D182" s="165" t="s">
        <v>12371</v>
      </c>
      <c r="E182" s="161"/>
      <c r="F182" s="161"/>
      <c r="G182" s="161"/>
      <c r="H182" s="161"/>
      <c r="I182" s="161"/>
      <c r="J182" s="161"/>
      <c r="K182" s="161"/>
      <c r="L182" s="161"/>
      <c r="M182" s="161"/>
      <c r="N182" s="161"/>
      <c r="O182" s="161"/>
      <c r="P182" s="161"/>
      <c r="Q182" s="161"/>
      <c r="R182" s="161"/>
      <c r="S182" s="161"/>
      <c r="T182" s="161"/>
      <c r="U182" s="161"/>
      <c r="V182" s="161"/>
      <c r="W182" s="161"/>
      <c r="X182" s="161"/>
    </row>
    <row r="183" ht="12.75" customHeight="1">
      <c r="A183" s="165">
        <v>36800.0</v>
      </c>
      <c r="B183" s="165" t="s">
        <v>6728</v>
      </c>
      <c r="C183" s="166">
        <v>44753.0</v>
      </c>
      <c r="D183" s="165" t="s">
        <v>12371</v>
      </c>
      <c r="E183" s="161"/>
      <c r="F183" s="161"/>
      <c r="G183" s="161"/>
      <c r="H183" s="161"/>
      <c r="I183" s="161"/>
      <c r="J183" s="161"/>
      <c r="K183" s="161"/>
      <c r="L183" s="161"/>
      <c r="M183" s="161"/>
      <c r="N183" s="161"/>
      <c r="O183" s="161"/>
      <c r="P183" s="161"/>
      <c r="Q183" s="161"/>
      <c r="R183" s="161"/>
      <c r="S183" s="161"/>
      <c r="T183" s="161"/>
      <c r="U183" s="161"/>
      <c r="V183" s="161"/>
      <c r="W183" s="161"/>
      <c r="X183" s="161"/>
    </row>
    <row r="184" ht="12.75" customHeight="1">
      <c r="A184" s="165">
        <v>36906.0</v>
      </c>
      <c r="B184" s="165" t="s">
        <v>6688</v>
      </c>
      <c r="C184" s="166">
        <v>44753.0</v>
      </c>
      <c r="D184" s="165" t="s">
        <v>12371</v>
      </c>
      <c r="E184" s="161"/>
      <c r="F184" s="161"/>
      <c r="G184" s="161"/>
      <c r="H184" s="161"/>
      <c r="I184" s="161"/>
      <c r="J184" s="161"/>
      <c r="K184" s="161"/>
      <c r="L184" s="161"/>
      <c r="M184" s="161"/>
      <c r="N184" s="161"/>
      <c r="O184" s="161"/>
      <c r="P184" s="161"/>
      <c r="Q184" s="161"/>
      <c r="R184" s="161"/>
      <c r="S184" s="161"/>
      <c r="T184" s="161"/>
      <c r="U184" s="161"/>
      <c r="V184" s="161"/>
      <c r="W184" s="161"/>
      <c r="X184" s="161"/>
    </row>
    <row r="185" ht="12.75" customHeight="1">
      <c r="A185" s="165">
        <v>37040.0</v>
      </c>
      <c r="B185" s="165" t="s">
        <v>6718</v>
      </c>
      <c r="C185" s="166">
        <v>44755.0</v>
      </c>
      <c r="D185" s="165" t="s">
        <v>12371</v>
      </c>
      <c r="E185" s="161"/>
      <c r="F185" s="161"/>
      <c r="G185" s="161"/>
      <c r="H185" s="161"/>
      <c r="I185" s="161"/>
      <c r="J185" s="161"/>
      <c r="K185" s="161"/>
      <c r="L185" s="161"/>
      <c r="M185" s="161"/>
      <c r="N185" s="161"/>
      <c r="O185" s="161"/>
      <c r="P185" s="161"/>
      <c r="Q185" s="161"/>
      <c r="R185" s="161"/>
      <c r="S185" s="161"/>
      <c r="T185" s="161"/>
      <c r="U185" s="161"/>
      <c r="V185" s="161"/>
      <c r="W185" s="161"/>
      <c r="X185" s="161"/>
    </row>
    <row r="186" ht="12.75" customHeight="1">
      <c r="A186" s="165">
        <v>37041.0</v>
      </c>
      <c r="B186" s="165" t="s">
        <v>6720</v>
      </c>
      <c r="C186" s="166">
        <v>44756.0</v>
      </c>
      <c r="D186" s="165" t="s">
        <v>12371</v>
      </c>
      <c r="E186" s="161"/>
      <c r="F186" s="161"/>
      <c r="G186" s="161"/>
      <c r="H186" s="161"/>
      <c r="I186" s="161"/>
      <c r="J186" s="161"/>
      <c r="K186" s="161"/>
      <c r="L186" s="161"/>
      <c r="M186" s="161"/>
      <c r="N186" s="161"/>
      <c r="O186" s="161"/>
      <c r="P186" s="161"/>
      <c r="Q186" s="161"/>
      <c r="R186" s="161"/>
      <c r="S186" s="161"/>
      <c r="T186" s="161"/>
      <c r="U186" s="161"/>
      <c r="V186" s="161"/>
      <c r="W186" s="161"/>
      <c r="X186" s="161"/>
    </row>
    <row r="187" ht="12.75" customHeight="1">
      <c r="A187" s="165">
        <v>37042.0</v>
      </c>
      <c r="B187" s="165" t="s">
        <v>6709</v>
      </c>
      <c r="C187" s="166">
        <v>44756.0</v>
      </c>
      <c r="D187" s="165" t="s">
        <v>12371</v>
      </c>
      <c r="E187" s="161"/>
      <c r="F187" s="161"/>
      <c r="G187" s="161"/>
      <c r="H187" s="161"/>
      <c r="I187" s="161"/>
      <c r="J187" s="161"/>
      <c r="K187" s="161"/>
      <c r="L187" s="161"/>
      <c r="M187" s="161"/>
      <c r="N187" s="161"/>
      <c r="O187" s="161"/>
      <c r="P187" s="161"/>
      <c r="Q187" s="161"/>
      <c r="R187" s="161"/>
      <c r="S187" s="161"/>
      <c r="T187" s="161"/>
      <c r="U187" s="161"/>
      <c r="V187" s="161"/>
      <c r="W187" s="161"/>
      <c r="X187" s="161"/>
    </row>
    <row r="188" ht="12.75" customHeight="1">
      <c r="A188" s="165">
        <v>37043.0</v>
      </c>
      <c r="B188" s="165" t="s">
        <v>6712</v>
      </c>
      <c r="C188" s="166">
        <v>44756.0</v>
      </c>
      <c r="D188" s="165" t="s">
        <v>12371</v>
      </c>
      <c r="E188" s="161"/>
      <c r="F188" s="161"/>
      <c r="G188" s="161"/>
      <c r="H188" s="161"/>
      <c r="I188" s="161"/>
      <c r="J188" s="161"/>
      <c r="K188" s="161"/>
      <c r="L188" s="161"/>
      <c r="M188" s="161"/>
      <c r="N188" s="161"/>
      <c r="O188" s="161"/>
      <c r="P188" s="161"/>
      <c r="Q188" s="161"/>
      <c r="R188" s="161"/>
      <c r="S188" s="161"/>
      <c r="T188" s="161"/>
      <c r="U188" s="161"/>
      <c r="V188" s="161"/>
      <c r="W188" s="161"/>
      <c r="X188" s="161"/>
    </row>
    <row r="189" ht="12.75" customHeight="1">
      <c r="A189" s="165">
        <v>37001.0</v>
      </c>
      <c r="B189" s="165" t="s">
        <v>6715</v>
      </c>
      <c r="C189" s="166">
        <v>44756.0</v>
      </c>
      <c r="D189" s="165" t="s">
        <v>12371</v>
      </c>
      <c r="E189" s="161"/>
      <c r="F189" s="161"/>
      <c r="G189" s="161"/>
      <c r="H189" s="161"/>
      <c r="I189" s="161"/>
      <c r="J189" s="161"/>
      <c r="K189" s="161"/>
      <c r="L189" s="161"/>
      <c r="M189" s="161"/>
      <c r="N189" s="161"/>
      <c r="O189" s="161"/>
      <c r="P189" s="161"/>
      <c r="Q189" s="161"/>
      <c r="R189" s="161"/>
      <c r="S189" s="161"/>
      <c r="T189" s="161"/>
      <c r="U189" s="161"/>
      <c r="V189" s="161"/>
      <c r="W189" s="161"/>
      <c r="X189" s="161"/>
    </row>
    <row r="190" ht="12.75" customHeight="1">
      <c r="A190" s="165">
        <v>37000.0</v>
      </c>
      <c r="B190" s="165" t="s">
        <v>6724</v>
      </c>
      <c r="C190" s="166">
        <v>44756.0</v>
      </c>
      <c r="D190" s="165" t="s">
        <v>12371</v>
      </c>
      <c r="E190" s="161"/>
      <c r="F190" s="161"/>
      <c r="G190" s="161"/>
      <c r="H190" s="161"/>
      <c r="I190" s="161"/>
      <c r="J190" s="161"/>
      <c r="K190" s="161"/>
      <c r="L190" s="161"/>
      <c r="M190" s="161"/>
      <c r="N190" s="161"/>
      <c r="O190" s="161"/>
      <c r="P190" s="161"/>
      <c r="Q190" s="161"/>
      <c r="R190" s="161"/>
      <c r="S190" s="161"/>
      <c r="T190" s="161"/>
      <c r="U190" s="161"/>
      <c r="V190" s="161"/>
      <c r="W190" s="161"/>
      <c r="X190" s="161"/>
    </row>
    <row r="191" ht="12.75" customHeight="1">
      <c r="A191" s="165">
        <v>37039.0</v>
      </c>
      <c r="B191" s="165" t="s">
        <v>6706</v>
      </c>
      <c r="C191" s="166">
        <v>44756.0</v>
      </c>
      <c r="D191" s="165" t="s">
        <v>12371</v>
      </c>
      <c r="E191" s="161"/>
      <c r="F191" s="161"/>
      <c r="G191" s="161"/>
      <c r="H191" s="161"/>
      <c r="I191" s="161"/>
      <c r="J191" s="161"/>
      <c r="K191" s="161"/>
      <c r="L191" s="161"/>
      <c r="M191" s="161"/>
      <c r="N191" s="161"/>
      <c r="O191" s="161"/>
      <c r="P191" s="161"/>
      <c r="Q191" s="161"/>
      <c r="R191" s="161"/>
      <c r="S191" s="161"/>
      <c r="T191" s="161"/>
      <c r="U191" s="161"/>
      <c r="V191" s="161"/>
      <c r="W191" s="161"/>
      <c r="X191" s="161"/>
    </row>
    <row r="192" ht="12.75" customHeight="1">
      <c r="A192" s="165">
        <v>37002.0</v>
      </c>
      <c r="B192" s="165" t="s">
        <v>6722</v>
      </c>
      <c r="C192" s="166">
        <v>44756.0</v>
      </c>
      <c r="D192" s="165" t="s">
        <v>12371</v>
      </c>
      <c r="E192" s="161"/>
      <c r="F192" s="161"/>
      <c r="G192" s="161"/>
      <c r="H192" s="161"/>
      <c r="I192" s="161"/>
      <c r="J192" s="161"/>
      <c r="K192" s="161"/>
      <c r="L192" s="161"/>
      <c r="M192" s="161"/>
      <c r="N192" s="161"/>
      <c r="O192" s="161"/>
      <c r="P192" s="161"/>
      <c r="Q192" s="161"/>
      <c r="R192" s="161"/>
      <c r="S192" s="161"/>
      <c r="T192" s="161"/>
      <c r="U192" s="161"/>
      <c r="V192" s="161"/>
      <c r="W192" s="161"/>
      <c r="X192" s="161"/>
    </row>
    <row r="193" ht="12.75" customHeight="1">
      <c r="A193" s="165">
        <v>36597.0</v>
      </c>
      <c r="B193" s="165" t="s">
        <v>6670</v>
      </c>
      <c r="C193" s="166">
        <v>44761.0</v>
      </c>
      <c r="D193" s="165" t="s">
        <v>12371</v>
      </c>
      <c r="E193" s="161"/>
      <c r="F193" s="161"/>
      <c r="G193" s="161"/>
      <c r="H193" s="161"/>
      <c r="I193" s="161"/>
      <c r="J193" s="161"/>
      <c r="K193" s="161"/>
      <c r="L193" s="161"/>
      <c r="M193" s="161"/>
      <c r="N193" s="161"/>
      <c r="O193" s="161"/>
      <c r="P193" s="161"/>
      <c r="Q193" s="161"/>
      <c r="R193" s="161"/>
      <c r="S193" s="161"/>
      <c r="T193" s="161"/>
      <c r="U193" s="161"/>
      <c r="V193" s="161"/>
      <c r="W193" s="161"/>
      <c r="X193" s="161"/>
    </row>
    <row r="194" ht="12.75" customHeight="1">
      <c r="A194" s="165">
        <v>37016.0</v>
      </c>
      <c r="B194" s="165" t="s">
        <v>6645</v>
      </c>
      <c r="C194" s="166">
        <v>44762.0</v>
      </c>
      <c r="D194" s="165" t="s">
        <v>12371</v>
      </c>
      <c r="E194" s="161"/>
      <c r="F194" s="161"/>
      <c r="G194" s="161"/>
      <c r="H194" s="161"/>
      <c r="I194" s="161"/>
      <c r="J194" s="161"/>
      <c r="K194" s="161"/>
      <c r="L194" s="161"/>
      <c r="M194" s="161"/>
      <c r="N194" s="161"/>
      <c r="O194" s="161"/>
      <c r="P194" s="161"/>
      <c r="Q194" s="161"/>
      <c r="R194" s="161"/>
      <c r="S194" s="161"/>
      <c r="T194" s="161"/>
      <c r="U194" s="161"/>
      <c r="V194" s="161"/>
      <c r="W194" s="161"/>
      <c r="X194" s="161"/>
    </row>
    <row r="195" ht="12.75" customHeight="1">
      <c r="A195" s="165">
        <v>37070.0</v>
      </c>
      <c r="B195" s="165" t="s">
        <v>6055</v>
      </c>
      <c r="C195" s="166">
        <v>44767.0</v>
      </c>
      <c r="D195" s="165" t="s">
        <v>12371</v>
      </c>
      <c r="E195" s="161"/>
      <c r="F195" s="161"/>
      <c r="G195" s="161"/>
      <c r="H195" s="161"/>
      <c r="I195" s="161"/>
      <c r="J195" s="161"/>
      <c r="K195" s="161"/>
      <c r="L195" s="161"/>
      <c r="M195" s="161"/>
      <c r="N195" s="161"/>
      <c r="O195" s="161"/>
      <c r="P195" s="161"/>
      <c r="Q195" s="161"/>
      <c r="R195" s="161"/>
      <c r="S195" s="161"/>
      <c r="T195" s="161"/>
      <c r="U195" s="161"/>
      <c r="V195" s="161"/>
      <c r="W195" s="161"/>
      <c r="X195" s="161"/>
    </row>
    <row r="196" ht="12.75" customHeight="1">
      <c r="A196" s="165">
        <v>37075.0</v>
      </c>
      <c r="B196" s="165" t="s">
        <v>6057</v>
      </c>
      <c r="C196" s="166">
        <v>44767.0</v>
      </c>
      <c r="D196" s="165" t="s">
        <v>12371</v>
      </c>
      <c r="E196" s="161"/>
      <c r="F196" s="161"/>
      <c r="G196" s="161"/>
      <c r="H196" s="161"/>
      <c r="I196" s="161"/>
      <c r="J196" s="161"/>
      <c r="K196" s="161"/>
      <c r="L196" s="161"/>
      <c r="M196" s="161"/>
      <c r="N196" s="161"/>
      <c r="O196" s="161"/>
      <c r="P196" s="161"/>
      <c r="Q196" s="161"/>
      <c r="R196" s="161"/>
      <c r="S196" s="161"/>
      <c r="T196" s="161"/>
      <c r="U196" s="161"/>
      <c r="V196" s="161"/>
      <c r="W196" s="161"/>
      <c r="X196" s="161"/>
    </row>
    <row r="197" ht="12.75" customHeight="1">
      <c r="A197" s="165">
        <v>36593.0</v>
      </c>
      <c r="B197" s="165" t="s">
        <v>6630</v>
      </c>
      <c r="C197" s="166">
        <v>44767.0</v>
      </c>
      <c r="D197" s="165" t="s">
        <v>12371</v>
      </c>
      <c r="E197" s="161"/>
      <c r="F197" s="161"/>
      <c r="G197" s="161"/>
      <c r="H197" s="161"/>
      <c r="I197" s="161"/>
      <c r="J197" s="161"/>
      <c r="K197" s="161"/>
      <c r="L197" s="161"/>
      <c r="M197" s="161"/>
      <c r="N197" s="161"/>
      <c r="O197" s="161"/>
      <c r="P197" s="161"/>
      <c r="Q197" s="161"/>
      <c r="R197" s="161"/>
      <c r="S197" s="161"/>
      <c r="T197" s="161"/>
      <c r="U197" s="161"/>
      <c r="V197" s="161"/>
      <c r="W197" s="161"/>
      <c r="X197" s="161"/>
    </row>
    <row r="198" ht="12.75" customHeight="1">
      <c r="A198" s="165">
        <v>36588.0</v>
      </c>
      <c r="B198" s="165" t="s">
        <v>6627</v>
      </c>
      <c r="C198" s="166">
        <v>44767.0</v>
      </c>
      <c r="D198" s="165" t="s">
        <v>12371</v>
      </c>
      <c r="E198" s="161"/>
      <c r="F198" s="161"/>
      <c r="G198" s="161"/>
      <c r="H198" s="161"/>
      <c r="I198" s="161"/>
      <c r="J198" s="161"/>
      <c r="K198" s="161"/>
      <c r="L198" s="161"/>
      <c r="M198" s="161"/>
      <c r="N198" s="161"/>
      <c r="O198" s="161"/>
      <c r="P198" s="161"/>
      <c r="Q198" s="161"/>
      <c r="R198" s="161"/>
      <c r="S198" s="161"/>
      <c r="T198" s="161"/>
      <c r="U198" s="161"/>
      <c r="V198" s="161"/>
      <c r="W198" s="161"/>
      <c r="X198" s="161"/>
    </row>
    <row r="199" ht="12.75" customHeight="1">
      <c r="A199" s="165">
        <v>36578.0</v>
      </c>
      <c r="B199" s="165" t="s">
        <v>6637</v>
      </c>
      <c r="C199" s="166">
        <v>44767.0</v>
      </c>
      <c r="D199" s="165" t="s">
        <v>12371</v>
      </c>
      <c r="E199" s="161"/>
      <c r="F199" s="161"/>
      <c r="G199" s="161"/>
      <c r="H199" s="161"/>
      <c r="I199" s="161"/>
      <c r="J199" s="161"/>
      <c r="K199" s="161"/>
      <c r="L199" s="161"/>
      <c r="M199" s="161"/>
      <c r="N199" s="161"/>
      <c r="O199" s="161"/>
      <c r="P199" s="161"/>
      <c r="Q199" s="161"/>
      <c r="R199" s="161"/>
      <c r="S199" s="161"/>
      <c r="T199" s="161"/>
      <c r="U199" s="161"/>
      <c r="V199" s="161"/>
      <c r="W199" s="161"/>
      <c r="X199" s="161"/>
    </row>
    <row r="200" ht="12.75" customHeight="1">
      <c r="A200" s="165">
        <v>36864.0</v>
      </c>
      <c r="B200" s="165" t="s">
        <v>6596</v>
      </c>
      <c r="C200" s="166">
        <v>44774.0</v>
      </c>
      <c r="D200" s="165" t="s">
        <v>12371</v>
      </c>
      <c r="E200" s="161"/>
      <c r="F200" s="161"/>
      <c r="G200" s="161"/>
      <c r="H200" s="161"/>
      <c r="I200" s="161"/>
      <c r="J200" s="161"/>
      <c r="K200" s="161"/>
      <c r="L200" s="161"/>
      <c r="M200" s="161"/>
      <c r="N200" s="161"/>
      <c r="O200" s="161"/>
      <c r="P200" s="161"/>
      <c r="Q200" s="161"/>
      <c r="R200" s="161"/>
      <c r="S200" s="161"/>
      <c r="T200" s="161"/>
      <c r="U200" s="161"/>
      <c r="V200" s="161"/>
      <c r="W200" s="161"/>
      <c r="X200" s="161"/>
    </row>
    <row r="201" ht="12.75" customHeight="1">
      <c r="A201" s="165">
        <v>37050.0</v>
      </c>
      <c r="B201" s="165" t="s">
        <v>6608</v>
      </c>
      <c r="C201" s="166">
        <v>44776.0</v>
      </c>
      <c r="D201" s="165" t="s">
        <v>12371</v>
      </c>
      <c r="E201" s="161"/>
      <c r="F201" s="161"/>
      <c r="G201" s="161"/>
      <c r="H201" s="161"/>
      <c r="I201" s="161"/>
      <c r="J201" s="161"/>
      <c r="K201" s="161"/>
      <c r="L201" s="161"/>
      <c r="M201" s="161"/>
      <c r="N201" s="161"/>
      <c r="O201" s="161"/>
      <c r="P201" s="161"/>
      <c r="Q201" s="161"/>
      <c r="R201" s="161"/>
      <c r="S201" s="161"/>
      <c r="T201" s="161"/>
      <c r="U201" s="161"/>
      <c r="V201" s="161"/>
      <c r="W201" s="161"/>
      <c r="X201" s="161"/>
    </row>
    <row r="202" ht="12.75" customHeight="1">
      <c r="A202" s="165">
        <v>36826.0</v>
      </c>
      <c r="B202" s="165" t="s">
        <v>6585</v>
      </c>
      <c r="C202" s="166">
        <v>44783.0</v>
      </c>
      <c r="D202" s="165" t="s">
        <v>12371</v>
      </c>
      <c r="E202" s="161"/>
      <c r="F202" s="161"/>
      <c r="G202" s="161"/>
      <c r="H202" s="161"/>
      <c r="I202" s="161"/>
      <c r="J202" s="161"/>
      <c r="K202" s="161"/>
      <c r="L202" s="161"/>
      <c r="M202" s="161"/>
      <c r="N202" s="161"/>
      <c r="O202" s="161"/>
      <c r="P202" s="161"/>
      <c r="Q202" s="161"/>
      <c r="R202" s="161"/>
      <c r="S202" s="161"/>
      <c r="T202" s="161"/>
      <c r="U202" s="161"/>
      <c r="V202" s="161"/>
      <c r="W202" s="161"/>
      <c r="X202" s="161"/>
    </row>
    <row r="203" ht="12.75" customHeight="1">
      <c r="A203" s="165">
        <v>37157.0</v>
      </c>
      <c r="B203" s="165" t="s">
        <v>12378</v>
      </c>
      <c r="C203" s="166">
        <v>44788.0</v>
      </c>
      <c r="D203" s="165" t="s">
        <v>12371</v>
      </c>
      <c r="E203" s="161"/>
      <c r="F203" s="161"/>
      <c r="G203" s="161"/>
      <c r="H203" s="161"/>
      <c r="I203" s="161"/>
      <c r="J203" s="161"/>
      <c r="K203" s="161"/>
      <c r="L203" s="161"/>
      <c r="M203" s="161"/>
      <c r="N203" s="161"/>
      <c r="O203" s="161"/>
      <c r="P203" s="161"/>
      <c r="Q203" s="161"/>
      <c r="R203" s="161"/>
      <c r="S203" s="161"/>
      <c r="T203" s="161"/>
      <c r="U203" s="161"/>
      <c r="V203" s="161"/>
      <c r="W203" s="161"/>
      <c r="X203" s="161"/>
    </row>
    <row r="204" ht="12.75" customHeight="1">
      <c r="A204" s="165">
        <v>37157.0</v>
      </c>
      <c r="B204" s="165" t="s">
        <v>12379</v>
      </c>
      <c r="C204" s="166">
        <v>44788.0</v>
      </c>
      <c r="D204" s="165" t="s">
        <v>12371</v>
      </c>
      <c r="E204" s="161"/>
      <c r="F204" s="161"/>
      <c r="G204" s="161"/>
      <c r="H204" s="161"/>
      <c r="I204" s="161"/>
      <c r="J204" s="161"/>
      <c r="K204" s="161"/>
      <c r="L204" s="161"/>
      <c r="M204" s="161"/>
      <c r="N204" s="161"/>
      <c r="O204" s="161"/>
      <c r="P204" s="161"/>
      <c r="Q204" s="161"/>
      <c r="R204" s="161"/>
      <c r="S204" s="161"/>
      <c r="T204" s="161"/>
      <c r="U204" s="161"/>
      <c r="V204" s="161"/>
      <c r="W204" s="161"/>
      <c r="X204" s="161"/>
    </row>
    <row r="205" ht="12.75" customHeight="1">
      <c r="A205" s="165">
        <v>36322.0</v>
      </c>
      <c r="B205" s="165" t="s">
        <v>6572</v>
      </c>
      <c r="C205" s="166">
        <v>44788.0</v>
      </c>
      <c r="D205" s="165" t="s">
        <v>12371</v>
      </c>
      <c r="E205" s="161"/>
      <c r="F205" s="161"/>
      <c r="G205" s="161"/>
      <c r="H205" s="161"/>
      <c r="I205" s="161"/>
      <c r="J205" s="161"/>
      <c r="K205" s="161"/>
      <c r="L205" s="161"/>
      <c r="M205" s="161"/>
      <c r="N205" s="161"/>
      <c r="O205" s="161"/>
      <c r="P205" s="161"/>
      <c r="Q205" s="161"/>
      <c r="R205" s="161"/>
      <c r="S205" s="161"/>
      <c r="T205" s="161"/>
      <c r="U205" s="161"/>
      <c r="V205" s="161"/>
      <c r="W205" s="161"/>
      <c r="X205" s="161"/>
    </row>
    <row r="206" ht="12.75" customHeight="1">
      <c r="A206" s="165">
        <v>36617.0</v>
      </c>
      <c r="B206" s="165" t="s">
        <v>6570</v>
      </c>
      <c r="C206" s="166">
        <v>44788.0</v>
      </c>
      <c r="D206" s="165" t="s">
        <v>12371</v>
      </c>
      <c r="E206" s="161"/>
      <c r="F206" s="161"/>
      <c r="G206" s="161"/>
      <c r="H206" s="161"/>
      <c r="I206" s="161"/>
      <c r="J206" s="161"/>
      <c r="K206" s="161"/>
      <c r="L206" s="161"/>
      <c r="M206" s="161"/>
      <c r="N206" s="161"/>
      <c r="O206" s="161"/>
      <c r="P206" s="161"/>
      <c r="Q206" s="161"/>
      <c r="R206" s="161"/>
      <c r="S206" s="161"/>
      <c r="T206" s="161"/>
      <c r="U206" s="161"/>
      <c r="V206" s="161"/>
      <c r="W206" s="161"/>
      <c r="X206" s="161"/>
    </row>
    <row r="207" ht="12.75" customHeight="1">
      <c r="A207" s="165">
        <v>36814.0</v>
      </c>
      <c r="B207" s="165" t="s">
        <v>6556</v>
      </c>
      <c r="C207" s="166">
        <v>44788.0</v>
      </c>
      <c r="D207" s="165" t="s">
        <v>12371</v>
      </c>
      <c r="E207" s="161"/>
      <c r="F207" s="161"/>
      <c r="G207" s="161"/>
      <c r="H207" s="161"/>
      <c r="I207" s="161"/>
      <c r="J207" s="161"/>
      <c r="K207" s="161"/>
      <c r="L207" s="161"/>
      <c r="M207" s="161"/>
      <c r="N207" s="161"/>
      <c r="O207" s="161"/>
      <c r="P207" s="161"/>
      <c r="Q207" s="161"/>
      <c r="R207" s="161"/>
      <c r="S207" s="161"/>
      <c r="T207" s="161"/>
      <c r="U207" s="161"/>
      <c r="V207" s="161"/>
      <c r="W207" s="161"/>
      <c r="X207" s="161"/>
    </row>
    <row r="208" ht="12.75" customHeight="1">
      <c r="A208" s="165">
        <v>36808.0</v>
      </c>
      <c r="B208" s="165" t="s">
        <v>6567</v>
      </c>
      <c r="C208" s="166">
        <v>44788.0</v>
      </c>
      <c r="D208" s="165" t="s">
        <v>12371</v>
      </c>
      <c r="E208" s="161"/>
      <c r="F208" s="161"/>
      <c r="G208" s="161"/>
      <c r="H208" s="161"/>
      <c r="I208" s="161"/>
      <c r="J208" s="161"/>
      <c r="K208" s="161"/>
      <c r="L208" s="161"/>
      <c r="M208" s="161"/>
      <c r="N208" s="161"/>
      <c r="O208" s="161"/>
      <c r="P208" s="161"/>
      <c r="Q208" s="161"/>
      <c r="R208" s="161"/>
      <c r="S208" s="161"/>
      <c r="T208" s="161"/>
      <c r="U208" s="161"/>
      <c r="V208" s="161"/>
      <c r="W208" s="161"/>
      <c r="X208" s="161"/>
    </row>
    <row r="209" ht="12.75" customHeight="1">
      <c r="A209" s="165">
        <v>36616.0</v>
      </c>
      <c r="B209" s="165" t="s">
        <v>6565</v>
      </c>
      <c r="C209" s="166">
        <v>44788.0</v>
      </c>
      <c r="D209" s="165" t="s">
        <v>12371</v>
      </c>
      <c r="E209" s="161"/>
      <c r="F209" s="161"/>
      <c r="G209" s="161"/>
      <c r="H209" s="161"/>
      <c r="I209" s="161"/>
      <c r="J209" s="161"/>
      <c r="K209" s="161"/>
      <c r="L209" s="161"/>
      <c r="M209" s="161"/>
      <c r="N209" s="161"/>
      <c r="O209" s="161"/>
      <c r="P209" s="161"/>
      <c r="Q209" s="161"/>
      <c r="R209" s="161"/>
      <c r="S209" s="161"/>
      <c r="T209" s="161"/>
      <c r="U209" s="161"/>
      <c r="V209" s="161"/>
      <c r="W209" s="161"/>
      <c r="X209" s="161"/>
    </row>
    <row r="210" ht="12.75" customHeight="1">
      <c r="A210" s="165">
        <v>36931.0</v>
      </c>
      <c r="B210" s="165" t="s">
        <v>6553</v>
      </c>
      <c r="C210" s="166">
        <v>44788.0</v>
      </c>
      <c r="D210" s="165" t="s">
        <v>12371</v>
      </c>
      <c r="E210" s="161"/>
      <c r="F210" s="161"/>
      <c r="G210" s="161"/>
      <c r="H210" s="161"/>
      <c r="I210" s="161"/>
      <c r="J210" s="161"/>
      <c r="K210" s="161"/>
      <c r="L210" s="161"/>
      <c r="M210" s="161"/>
      <c r="N210" s="161"/>
      <c r="O210" s="161"/>
      <c r="P210" s="161"/>
      <c r="Q210" s="161"/>
      <c r="R210" s="161"/>
      <c r="S210" s="161"/>
      <c r="T210" s="161"/>
      <c r="U210" s="161"/>
      <c r="V210" s="161"/>
      <c r="W210" s="161"/>
      <c r="X210" s="161"/>
    </row>
    <row r="211" ht="12.75" customHeight="1">
      <c r="A211" s="165">
        <v>37168.0</v>
      </c>
      <c r="B211" s="165" t="s">
        <v>6026</v>
      </c>
      <c r="C211" s="166">
        <v>44790.0</v>
      </c>
      <c r="D211" s="165" t="s">
        <v>12371</v>
      </c>
      <c r="E211" s="161"/>
      <c r="F211" s="161"/>
      <c r="G211" s="161"/>
      <c r="H211" s="161"/>
      <c r="I211" s="161"/>
      <c r="J211" s="161"/>
      <c r="K211" s="161"/>
      <c r="L211" s="161"/>
      <c r="M211" s="161"/>
      <c r="N211" s="161"/>
      <c r="O211" s="161"/>
      <c r="P211" s="161"/>
      <c r="Q211" s="161"/>
      <c r="R211" s="161"/>
      <c r="S211" s="161"/>
      <c r="T211" s="161"/>
      <c r="U211" s="161"/>
      <c r="V211" s="161"/>
      <c r="W211" s="161"/>
      <c r="X211" s="161"/>
    </row>
    <row r="212" ht="12.75" customHeight="1">
      <c r="A212" s="165">
        <v>37096.0</v>
      </c>
      <c r="B212" s="165" t="s">
        <v>6538</v>
      </c>
      <c r="C212" s="166">
        <v>44795.0</v>
      </c>
      <c r="D212" s="165" t="s">
        <v>12371</v>
      </c>
      <c r="E212" s="161"/>
      <c r="F212" s="161"/>
      <c r="G212" s="161"/>
      <c r="H212" s="161"/>
      <c r="I212" s="161"/>
      <c r="J212" s="161"/>
      <c r="K212" s="161"/>
      <c r="L212" s="161"/>
      <c r="M212" s="161"/>
      <c r="N212" s="161"/>
      <c r="O212" s="161"/>
      <c r="P212" s="161"/>
      <c r="Q212" s="161"/>
      <c r="R212" s="161"/>
      <c r="S212" s="161"/>
      <c r="T212" s="161"/>
      <c r="U212" s="161"/>
      <c r="V212" s="161"/>
      <c r="W212" s="161"/>
      <c r="X212" s="161"/>
    </row>
    <row r="213" ht="12.75" customHeight="1">
      <c r="A213" s="165">
        <v>37140.0</v>
      </c>
      <c r="B213" s="165" t="s">
        <v>6541</v>
      </c>
      <c r="C213" s="166">
        <v>44795.0</v>
      </c>
      <c r="D213" s="165" t="s">
        <v>12371</v>
      </c>
      <c r="E213" s="161"/>
      <c r="F213" s="161"/>
      <c r="G213" s="161"/>
      <c r="H213" s="161"/>
      <c r="I213" s="161"/>
      <c r="J213" s="161"/>
      <c r="K213" s="161"/>
      <c r="L213" s="161"/>
      <c r="M213" s="161"/>
      <c r="N213" s="161"/>
      <c r="O213" s="161"/>
      <c r="P213" s="161"/>
      <c r="Q213" s="161"/>
      <c r="R213" s="161"/>
      <c r="S213" s="161"/>
      <c r="T213" s="161"/>
      <c r="U213" s="161"/>
      <c r="V213" s="161"/>
      <c r="W213" s="161"/>
      <c r="X213" s="161"/>
    </row>
    <row r="214" ht="12.75" customHeight="1">
      <c r="A214" s="165">
        <v>37086.0</v>
      </c>
      <c r="B214" s="165" t="s">
        <v>12380</v>
      </c>
      <c r="C214" s="166">
        <v>44802.0</v>
      </c>
      <c r="D214" s="165" t="s">
        <v>12371</v>
      </c>
      <c r="E214" s="161"/>
      <c r="F214" s="161"/>
      <c r="G214" s="161"/>
      <c r="H214" s="161"/>
      <c r="I214" s="161"/>
      <c r="J214" s="161"/>
      <c r="K214" s="161"/>
      <c r="L214" s="161"/>
      <c r="M214" s="161"/>
      <c r="N214" s="161"/>
      <c r="O214" s="161"/>
      <c r="P214" s="161"/>
      <c r="Q214" s="161"/>
      <c r="R214" s="161"/>
      <c r="S214" s="161"/>
      <c r="T214" s="161"/>
      <c r="U214" s="161"/>
      <c r="V214" s="161"/>
      <c r="W214" s="161"/>
      <c r="X214" s="161"/>
    </row>
    <row r="215" ht="12.75" customHeight="1">
      <c r="A215" s="165">
        <v>37086.0</v>
      </c>
      <c r="B215" s="165" t="s">
        <v>12381</v>
      </c>
      <c r="C215" s="166">
        <v>44802.0</v>
      </c>
      <c r="D215" s="165" t="s">
        <v>12371</v>
      </c>
      <c r="E215" s="161"/>
      <c r="F215" s="161"/>
      <c r="G215" s="161"/>
      <c r="H215" s="161"/>
      <c r="I215" s="161"/>
      <c r="J215" s="161"/>
      <c r="K215" s="161"/>
      <c r="L215" s="161"/>
      <c r="M215" s="161"/>
      <c r="N215" s="161"/>
      <c r="O215" s="161"/>
      <c r="P215" s="161"/>
      <c r="Q215" s="161"/>
      <c r="R215" s="161"/>
      <c r="S215" s="161"/>
      <c r="T215" s="161"/>
      <c r="U215" s="161"/>
      <c r="V215" s="161"/>
      <c r="W215" s="161"/>
      <c r="X215" s="161"/>
    </row>
    <row r="216" ht="12.75" customHeight="1">
      <c r="A216" s="165">
        <v>37086.0</v>
      </c>
      <c r="B216" s="165" t="s">
        <v>12382</v>
      </c>
      <c r="C216" s="166">
        <v>44802.0</v>
      </c>
      <c r="D216" s="165" t="s">
        <v>12371</v>
      </c>
      <c r="E216" s="161"/>
      <c r="F216" s="161"/>
      <c r="G216" s="161"/>
      <c r="H216" s="161"/>
      <c r="I216" s="161"/>
      <c r="J216" s="161"/>
      <c r="K216" s="161"/>
      <c r="L216" s="161"/>
      <c r="M216" s="161"/>
      <c r="N216" s="161"/>
      <c r="O216" s="161"/>
      <c r="P216" s="161"/>
      <c r="Q216" s="161"/>
      <c r="R216" s="161"/>
      <c r="S216" s="161"/>
      <c r="T216" s="161"/>
      <c r="U216" s="161"/>
      <c r="V216" s="161"/>
      <c r="W216" s="161"/>
      <c r="X216" s="161"/>
    </row>
    <row r="217" ht="12.75" customHeight="1">
      <c r="A217" s="165">
        <v>36441.0</v>
      </c>
      <c r="B217" s="165" t="s">
        <v>6517</v>
      </c>
      <c r="C217" s="166">
        <v>44804.0</v>
      </c>
      <c r="D217" s="165" t="s">
        <v>12371</v>
      </c>
      <c r="E217" s="161"/>
      <c r="F217" s="161"/>
      <c r="G217" s="161"/>
      <c r="H217" s="161"/>
      <c r="I217" s="161"/>
      <c r="J217" s="161"/>
      <c r="K217" s="161"/>
      <c r="L217" s="161"/>
      <c r="M217" s="161"/>
      <c r="N217" s="161"/>
      <c r="O217" s="161"/>
      <c r="P217" s="161"/>
      <c r="Q217" s="161"/>
      <c r="R217" s="161"/>
      <c r="S217" s="161"/>
      <c r="T217" s="161"/>
      <c r="U217" s="161"/>
      <c r="V217" s="161"/>
      <c r="W217" s="161"/>
      <c r="X217" s="161"/>
    </row>
    <row r="218" ht="12.75" customHeight="1">
      <c r="A218" s="165">
        <v>36275.0</v>
      </c>
      <c r="B218" s="165" t="s">
        <v>6513</v>
      </c>
      <c r="C218" s="166">
        <v>44804.0</v>
      </c>
      <c r="D218" s="165" t="s">
        <v>12371</v>
      </c>
      <c r="E218" s="161"/>
      <c r="F218" s="161"/>
      <c r="G218" s="161"/>
      <c r="H218" s="161"/>
      <c r="I218" s="161"/>
      <c r="J218" s="161"/>
      <c r="K218" s="161"/>
      <c r="L218" s="161"/>
      <c r="M218" s="161"/>
      <c r="N218" s="161"/>
      <c r="O218" s="161"/>
      <c r="P218" s="161"/>
      <c r="Q218" s="161"/>
      <c r="R218" s="161"/>
      <c r="S218" s="161"/>
      <c r="T218" s="161"/>
      <c r="U218" s="161"/>
      <c r="V218" s="161"/>
      <c r="W218" s="161"/>
      <c r="X218" s="161"/>
    </row>
    <row r="219" ht="12.75" customHeight="1">
      <c r="A219" s="165">
        <v>36551.0</v>
      </c>
      <c r="B219" s="165" t="s">
        <v>6510</v>
      </c>
      <c r="C219" s="166">
        <v>44804.0</v>
      </c>
      <c r="D219" s="165" t="s">
        <v>12371</v>
      </c>
      <c r="E219" s="161"/>
      <c r="F219" s="161"/>
      <c r="G219" s="161"/>
      <c r="H219" s="161"/>
      <c r="I219" s="161"/>
      <c r="J219" s="161"/>
      <c r="K219" s="161"/>
      <c r="L219" s="161"/>
      <c r="M219" s="161"/>
      <c r="N219" s="161"/>
      <c r="O219" s="161"/>
      <c r="P219" s="161"/>
      <c r="Q219" s="161"/>
      <c r="R219" s="161"/>
      <c r="S219" s="161"/>
      <c r="T219" s="161"/>
      <c r="U219" s="161"/>
      <c r="V219" s="161"/>
      <c r="W219" s="161"/>
      <c r="X219" s="161"/>
    </row>
    <row r="220" ht="12.75" customHeight="1">
      <c r="A220" s="165">
        <v>37221.0</v>
      </c>
      <c r="B220" s="165" t="s">
        <v>6465</v>
      </c>
      <c r="C220" s="166">
        <v>44824.0</v>
      </c>
      <c r="D220" s="165" t="s">
        <v>12371</v>
      </c>
      <c r="E220" s="161"/>
      <c r="F220" s="161"/>
      <c r="G220" s="161"/>
      <c r="H220" s="161"/>
      <c r="I220" s="161"/>
      <c r="J220" s="161"/>
      <c r="K220" s="161"/>
      <c r="L220" s="161"/>
      <c r="M220" s="161"/>
      <c r="N220" s="161"/>
      <c r="O220" s="161"/>
      <c r="P220" s="161"/>
      <c r="Q220" s="161"/>
      <c r="R220" s="161"/>
      <c r="S220" s="161"/>
      <c r="T220" s="161"/>
      <c r="U220" s="161"/>
      <c r="V220" s="161"/>
      <c r="W220" s="161"/>
      <c r="X220" s="161"/>
    </row>
    <row r="221" ht="12.75" customHeight="1">
      <c r="A221" s="165">
        <v>36468.0</v>
      </c>
      <c r="B221" s="165" t="s">
        <v>6429</v>
      </c>
      <c r="C221" s="166">
        <v>44844.0</v>
      </c>
      <c r="D221" s="165" t="s">
        <v>12371</v>
      </c>
      <c r="E221" s="161"/>
      <c r="F221" s="161"/>
      <c r="G221" s="161"/>
      <c r="H221" s="161"/>
      <c r="I221" s="161"/>
      <c r="J221" s="161"/>
      <c r="K221" s="161"/>
      <c r="L221" s="161"/>
      <c r="M221" s="161"/>
      <c r="N221" s="161"/>
      <c r="O221" s="161"/>
      <c r="P221" s="161"/>
      <c r="Q221" s="161"/>
      <c r="R221" s="161"/>
      <c r="S221" s="161"/>
      <c r="T221" s="161"/>
      <c r="U221" s="161"/>
      <c r="V221" s="161"/>
      <c r="W221" s="161"/>
      <c r="X221" s="161"/>
    </row>
    <row r="222" ht="12.75" customHeight="1">
      <c r="A222" s="165">
        <v>37170.0</v>
      </c>
      <c r="B222" s="165" t="s">
        <v>5974</v>
      </c>
      <c r="C222" s="166">
        <v>44852.0</v>
      </c>
      <c r="D222" s="165" t="s">
        <v>12371</v>
      </c>
      <c r="E222" s="161"/>
      <c r="F222" s="161"/>
      <c r="G222" s="161"/>
      <c r="H222" s="161"/>
      <c r="I222" s="161"/>
      <c r="J222" s="161"/>
      <c r="K222" s="161"/>
      <c r="L222" s="161"/>
      <c r="M222" s="161"/>
      <c r="N222" s="161"/>
      <c r="O222" s="161"/>
      <c r="P222" s="161"/>
      <c r="Q222" s="161"/>
      <c r="R222" s="161"/>
      <c r="S222" s="161"/>
      <c r="T222" s="161"/>
      <c r="U222" s="161"/>
      <c r="V222" s="161"/>
      <c r="W222" s="161"/>
      <c r="X222" s="161"/>
    </row>
    <row r="223" ht="12.75" customHeight="1">
      <c r="A223" s="165">
        <v>36841.0</v>
      </c>
      <c r="B223" s="165" t="s">
        <v>6417</v>
      </c>
      <c r="C223" s="166">
        <v>44852.0</v>
      </c>
      <c r="D223" s="165" t="s">
        <v>12371</v>
      </c>
      <c r="E223" s="161"/>
      <c r="F223" s="161"/>
      <c r="G223" s="161"/>
      <c r="H223" s="161"/>
      <c r="I223" s="161"/>
      <c r="J223" s="161"/>
      <c r="K223" s="161"/>
      <c r="L223" s="161"/>
      <c r="M223" s="161"/>
      <c r="N223" s="161"/>
      <c r="O223" s="161"/>
      <c r="P223" s="161"/>
      <c r="Q223" s="161"/>
      <c r="R223" s="161"/>
      <c r="S223" s="161"/>
      <c r="T223" s="161"/>
      <c r="U223" s="161"/>
      <c r="V223" s="161"/>
      <c r="W223" s="161"/>
      <c r="X223" s="161"/>
    </row>
    <row r="224" ht="12.75" customHeight="1">
      <c r="A224" s="165">
        <v>36993.0</v>
      </c>
      <c r="B224" s="165" t="s">
        <v>6419</v>
      </c>
      <c r="C224" s="166">
        <v>44852.0</v>
      </c>
      <c r="D224" s="165" t="s">
        <v>12371</v>
      </c>
      <c r="E224" s="161"/>
      <c r="F224" s="161"/>
      <c r="G224" s="161"/>
      <c r="H224" s="161"/>
      <c r="I224" s="161"/>
      <c r="J224" s="161"/>
      <c r="K224" s="161"/>
      <c r="L224" s="161"/>
      <c r="M224" s="161"/>
      <c r="N224" s="161"/>
      <c r="O224" s="161"/>
      <c r="P224" s="161"/>
      <c r="Q224" s="161"/>
      <c r="R224" s="161"/>
      <c r="S224" s="161"/>
      <c r="T224" s="161"/>
      <c r="U224" s="161"/>
      <c r="V224" s="161"/>
      <c r="W224" s="161"/>
      <c r="X224" s="161"/>
    </row>
    <row r="225" ht="12.75" customHeight="1">
      <c r="A225" s="165">
        <v>36833.0</v>
      </c>
      <c r="B225" s="165" t="s">
        <v>6422</v>
      </c>
      <c r="C225" s="166">
        <v>44854.0</v>
      </c>
      <c r="D225" s="165" t="s">
        <v>12371</v>
      </c>
      <c r="E225" s="161"/>
      <c r="F225" s="161"/>
      <c r="G225" s="161"/>
      <c r="H225" s="161"/>
      <c r="I225" s="161"/>
      <c r="J225" s="161"/>
      <c r="K225" s="161"/>
      <c r="L225" s="161"/>
      <c r="M225" s="161"/>
      <c r="N225" s="161"/>
      <c r="O225" s="161"/>
      <c r="P225" s="161"/>
      <c r="Q225" s="161"/>
      <c r="R225" s="161"/>
      <c r="S225" s="161"/>
      <c r="T225" s="161"/>
      <c r="U225" s="161"/>
      <c r="V225" s="161"/>
      <c r="W225" s="161"/>
      <c r="X225" s="161"/>
    </row>
    <row r="226" ht="12.75" customHeight="1">
      <c r="A226" s="165">
        <v>37277.0</v>
      </c>
      <c r="B226" s="165" t="s">
        <v>6405</v>
      </c>
      <c r="C226" s="166">
        <v>44865.0</v>
      </c>
      <c r="D226" s="165" t="s">
        <v>12371</v>
      </c>
      <c r="E226" s="161"/>
      <c r="F226" s="161"/>
      <c r="G226" s="161"/>
      <c r="H226" s="161"/>
      <c r="I226" s="161"/>
      <c r="J226" s="161"/>
      <c r="K226" s="161"/>
      <c r="L226" s="161"/>
      <c r="M226" s="161"/>
      <c r="N226" s="161"/>
      <c r="O226" s="161"/>
      <c r="P226" s="161"/>
      <c r="Q226" s="161"/>
      <c r="R226" s="161"/>
      <c r="S226" s="161"/>
      <c r="T226" s="161"/>
      <c r="U226" s="161"/>
      <c r="V226" s="161"/>
      <c r="W226" s="161"/>
      <c r="X226" s="161"/>
    </row>
    <row r="227" ht="12.75" customHeight="1">
      <c r="A227" s="165">
        <v>36552.0</v>
      </c>
      <c r="B227" s="165" t="s">
        <v>6400</v>
      </c>
      <c r="C227" s="166">
        <v>44872.0</v>
      </c>
      <c r="D227" s="165" t="s">
        <v>12371</v>
      </c>
      <c r="E227" s="161"/>
      <c r="F227" s="161"/>
      <c r="G227" s="161"/>
      <c r="H227" s="161"/>
      <c r="I227" s="161"/>
      <c r="J227" s="161"/>
      <c r="K227" s="161"/>
      <c r="L227" s="161"/>
      <c r="M227" s="161"/>
      <c r="N227" s="161"/>
      <c r="O227" s="161"/>
      <c r="P227" s="161"/>
      <c r="Q227" s="161"/>
      <c r="R227" s="161"/>
      <c r="S227" s="161"/>
      <c r="T227" s="161"/>
      <c r="U227" s="161"/>
      <c r="V227" s="161"/>
      <c r="W227" s="161"/>
      <c r="X227" s="161"/>
    </row>
    <row r="228" ht="12.75" customHeight="1">
      <c r="A228" s="165">
        <v>36933.0</v>
      </c>
      <c r="B228" s="165" t="s">
        <v>6397</v>
      </c>
      <c r="C228" s="166">
        <v>44872.0</v>
      </c>
      <c r="D228" s="165" t="s">
        <v>12371</v>
      </c>
      <c r="E228" s="161"/>
      <c r="F228" s="161"/>
      <c r="G228" s="161"/>
      <c r="H228" s="161"/>
      <c r="I228" s="161"/>
      <c r="J228" s="161"/>
      <c r="K228" s="161"/>
      <c r="L228" s="161"/>
      <c r="M228" s="161"/>
      <c r="N228" s="161"/>
      <c r="O228" s="161"/>
      <c r="P228" s="161"/>
      <c r="Q228" s="161"/>
      <c r="R228" s="161"/>
      <c r="S228" s="161"/>
      <c r="T228" s="161"/>
      <c r="U228" s="161"/>
      <c r="V228" s="161"/>
      <c r="W228" s="161"/>
      <c r="X228" s="161"/>
    </row>
    <row r="229" ht="12.75" customHeight="1">
      <c r="A229" s="165">
        <v>37355.0</v>
      </c>
      <c r="B229" s="165" t="s">
        <v>6377</v>
      </c>
      <c r="C229" s="166">
        <v>44879.0</v>
      </c>
      <c r="D229" s="165" t="s">
        <v>12371</v>
      </c>
      <c r="E229" s="161"/>
      <c r="F229" s="161"/>
      <c r="G229" s="161"/>
      <c r="H229" s="161"/>
      <c r="I229" s="161"/>
      <c r="J229" s="161"/>
      <c r="K229" s="161"/>
      <c r="L229" s="161"/>
      <c r="M229" s="161"/>
      <c r="N229" s="161"/>
      <c r="O229" s="161"/>
      <c r="P229" s="161"/>
      <c r="Q229" s="161"/>
      <c r="R229" s="161"/>
      <c r="S229" s="161"/>
      <c r="T229" s="161"/>
      <c r="U229" s="161"/>
      <c r="V229" s="161"/>
      <c r="W229" s="161"/>
      <c r="X229" s="161"/>
    </row>
    <row r="230" ht="12.75" customHeight="1">
      <c r="A230" s="165">
        <v>37367.0</v>
      </c>
      <c r="B230" s="165" t="s">
        <v>5951</v>
      </c>
      <c r="C230" s="166">
        <v>44880.0</v>
      </c>
      <c r="D230" s="165" t="s">
        <v>12371</v>
      </c>
      <c r="E230" s="161"/>
      <c r="F230" s="161"/>
      <c r="G230" s="161"/>
      <c r="H230" s="161"/>
      <c r="I230" s="161"/>
      <c r="J230" s="161"/>
      <c r="K230" s="161"/>
      <c r="L230" s="161"/>
      <c r="M230" s="161"/>
      <c r="N230" s="161"/>
      <c r="O230" s="161"/>
      <c r="P230" s="161"/>
      <c r="Q230" s="161"/>
      <c r="R230" s="161"/>
      <c r="S230" s="161"/>
      <c r="T230" s="161"/>
      <c r="U230" s="161"/>
      <c r="V230" s="161"/>
      <c r="W230" s="161"/>
      <c r="X230" s="161"/>
    </row>
    <row r="231" ht="12.75" customHeight="1">
      <c r="A231" s="165">
        <v>37377.0</v>
      </c>
      <c r="B231" s="165" t="s">
        <v>6371</v>
      </c>
      <c r="C231" s="166">
        <v>44886.0</v>
      </c>
      <c r="D231" s="165" t="s">
        <v>12371</v>
      </c>
      <c r="E231" s="161"/>
      <c r="F231" s="161"/>
      <c r="G231" s="161"/>
      <c r="H231" s="161"/>
      <c r="I231" s="161"/>
      <c r="J231" s="161"/>
      <c r="K231" s="161"/>
      <c r="L231" s="161"/>
      <c r="M231" s="161"/>
      <c r="N231" s="161"/>
      <c r="O231" s="161"/>
      <c r="P231" s="161"/>
      <c r="Q231" s="161"/>
      <c r="R231" s="161"/>
      <c r="S231" s="161"/>
      <c r="T231" s="161"/>
      <c r="U231" s="161"/>
      <c r="V231" s="161"/>
      <c r="W231" s="161"/>
      <c r="X231" s="161"/>
    </row>
    <row r="232" ht="12.75" customHeight="1">
      <c r="A232" s="165">
        <v>37278.0</v>
      </c>
      <c r="B232" s="165" t="s">
        <v>6357</v>
      </c>
      <c r="C232" s="166">
        <v>44896.0</v>
      </c>
      <c r="D232" s="165" t="s">
        <v>12371</v>
      </c>
      <c r="E232" s="161"/>
      <c r="F232" s="161"/>
      <c r="G232" s="161"/>
      <c r="H232" s="161"/>
      <c r="I232" s="161"/>
      <c r="J232" s="161"/>
      <c r="K232" s="161"/>
      <c r="L232" s="161"/>
      <c r="M232" s="161"/>
      <c r="N232" s="161"/>
      <c r="O232" s="161"/>
      <c r="P232" s="161"/>
      <c r="Q232" s="161"/>
      <c r="R232" s="161"/>
      <c r="S232" s="161"/>
      <c r="T232" s="161"/>
      <c r="U232" s="161"/>
      <c r="V232" s="161"/>
      <c r="W232" s="161"/>
      <c r="X232" s="161"/>
    </row>
    <row r="233" ht="12.75" customHeight="1">
      <c r="A233" s="165">
        <v>36954.0</v>
      </c>
      <c r="B233" s="165" t="s">
        <v>6354</v>
      </c>
      <c r="C233" s="166">
        <v>44896.0</v>
      </c>
      <c r="D233" s="165" t="s">
        <v>12371</v>
      </c>
      <c r="E233" s="161"/>
      <c r="F233" s="161"/>
      <c r="G233" s="161"/>
      <c r="H233" s="161"/>
      <c r="I233" s="161"/>
      <c r="J233" s="161"/>
      <c r="K233" s="161"/>
      <c r="L233" s="161"/>
      <c r="M233" s="161"/>
      <c r="N233" s="161"/>
      <c r="O233" s="161"/>
      <c r="P233" s="161"/>
      <c r="Q233" s="161"/>
      <c r="R233" s="161"/>
      <c r="S233" s="161"/>
      <c r="T233" s="161"/>
      <c r="U233" s="161"/>
      <c r="V233" s="161"/>
      <c r="W233" s="161"/>
      <c r="X233" s="161"/>
    </row>
    <row r="234" ht="12.75" customHeight="1">
      <c r="A234" s="165">
        <v>36971.0</v>
      </c>
      <c r="B234" s="165" t="s">
        <v>6351</v>
      </c>
      <c r="C234" s="166">
        <v>44896.0</v>
      </c>
      <c r="D234" s="165" t="s">
        <v>12371</v>
      </c>
      <c r="E234" s="161"/>
      <c r="F234" s="161"/>
      <c r="G234" s="161"/>
      <c r="H234" s="161"/>
      <c r="I234" s="161"/>
      <c r="J234" s="161"/>
      <c r="K234" s="161"/>
      <c r="L234" s="161"/>
      <c r="M234" s="161"/>
      <c r="N234" s="161"/>
      <c r="O234" s="161"/>
      <c r="P234" s="161"/>
      <c r="Q234" s="161"/>
      <c r="R234" s="161"/>
      <c r="S234" s="161"/>
      <c r="T234" s="161"/>
      <c r="U234" s="161"/>
      <c r="V234" s="161"/>
      <c r="W234" s="161"/>
      <c r="X234" s="161"/>
    </row>
    <row r="235" ht="12.75" customHeight="1">
      <c r="A235" s="165">
        <v>36553.0</v>
      </c>
      <c r="B235" s="165" t="s">
        <v>6348</v>
      </c>
      <c r="C235" s="166">
        <v>44896.0</v>
      </c>
      <c r="D235" s="165" t="s">
        <v>12371</v>
      </c>
      <c r="E235" s="161"/>
      <c r="F235" s="161"/>
      <c r="G235" s="161"/>
      <c r="H235" s="161"/>
      <c r="I235" s="161"/>
      <c r="J235" s="161"/>
      <c r="K235" s="161"/>
      <c r="L235" s="161"/>
      <c r="M235" s="161"/>
      <c r="N235" s="161"/>
      <c r="O235" s="161"/>
      <c r="P235" s="161"/>
      <c r="Q235" s="161"/>
      <c r="R235" s="161"/>
      <c r="S235" s="161"/>
      <c r="T235" s="161"/>
      <c r="U235" s="161"/>
      <c r="V235" s="161"/>
      <c r="W235" s="161"/>
      <c r="X235" s="161"/>
    </row>
    <row r="236" ht="12.75" customHeight="1">
      <c r="A236" s="165">
        <v>36838.0</v>
      </c>
      <c r="B236" s="165" t="s">
        <v>6346</v>
      </c>
      <c r="C236" s="166">
        <v>44896.0</v>
      </c>
      <c r="D236" s="165" t="s">
        <v>12371</v>
      </c>
      <c r="E236" s="161"/>
      <c r="F236" s="161"/>
      <c r="G236" s="161"/>
      <c r="H236" s="161"/>
      <c r="I236" s="161"/>
      <c r="J236" s="161"/>
      <c r="K236" s="161"/>
      <c r="L236" s="161"/>
      <c r="M236" s="161"/>
      <c r="N236" s="161"/>
      <c r="O236" s="161"/>
      <c r="P236" s="161"/>
      <c r="Q236" s="161"/>
      <c r="R236" s="161"/>
      <c r="S236" s="161"/>
      <c r="T236" s="161"/>
      <c r="U236" s="161"/>
      <c r="V236" s="161"/>
      <c r="W236" s="161"/>
      <c r="X236" s="161"/>
    </row>
    <row r="237" ht="12.75" customHeight="1">
      <c r="A237" s="165">
        <v>37445.0</v>
      </c>
      <c r="B237" s="165" t="s">
        <v>6325</v>
      </c>
      <c r="C237" s="166">
        <v>44909.0</v>
      </c>
      <c r="D237" s="165" t="s">
        <v>12371</v>
      </c>
      <c r="E237" s="161"/>
      <c r="F237" s="161"/>
      <c r="G237" s="161"/>
      <c r="H237" s="161"/>
      <c r="I237" s="161"/>
      <c r="J237" s="161"/>
      <c r="K237" s="161"/>
      <c r="L237" s="161"/>
      <c r="M237" s="161"/>
      <c r="N237" s="161"/>
      <c r="O237" s="161"/>
      <c r="P237" s="161"/>
      <c r="Q237" s="161"/>
      <c r="R237" s="161"/>
      <c r="S237" s="161"/>
      <c r="T237" s="161"/>
      <c r="U237" s="161"/>
      <c r="V237" s="161"/>
      <c r="W237" s="161"/>
      <c r="X237" s="161"/>
    </row>
    <row r="238" ht="12.75" customHeight="1">
      <c r="A238" s="165">
        <v>37023.0</v>
      </c>
      <c r="B238" s="165" t="s">
        <v>6321</v>
      </c>
      <c r="C238" s="166">
        <v>44914.0</v>
      </c>
      <c r="D238" s="165" t="s">
        <v>12371</v>
      </c>
      <c r="E238" s="161"/>
      <c r="F238" s="161"/>
      <c r="G238" s="161"/>
      <c r="H238" s="161"/>
      <c r="I238" s="161"/>
      <c r="J238" s="161"/>
      <c r="K238" s="161"/>
      <c r="L238" s="161"/>
      <c r="M238" s="161"/>
      <c r="N238" s="161"/>
      <c r="O238" s="161"/>
      <c r="P238" s="161"/>
      <c r="Q238" s="161"/>
      <c r="R238" s="161"/>
      <c r="S238" s="161"/>
      <c r="T238" s="161"/>
      <c r="U238" s="161"/>
      <c r="V238" s="161"/>
      <c r="W238" s="161"/>
      <c r="X238" s="161"/>
    </row>
    <row r="239" ht="12.75" customHeight="1">
      <c r="A239" s="165">
        <v>37451.0</v>
      </c>
      <c r="B239" s="165" t="s">
        <v>5925</v>
      </c>
      <c r="C239" s="166">
        <v>44916.0</v>
      </c>
      <c r="D239" s="165" t="s">
        <v>12371</v>
      </c>
      <c r="E239" s="161"/>
      <c r="F239" s="161"/>
      <c r="G239" s="161"/>
      <c r="H239" s="161"/>
      <c r="I239" s="161"/>
      <c r="J239" s="161"/>
      <c r="K239" s="161"/>
      <c r="L239" s="161"/>
      <c r="M239" s="161"/>
      <c r="N239" s="161"/>
      <c r="O239" s="161"/>
      <c r="P239" s="161"/>
      <c r="Q239" s="161"/>
      <c r="R239" s="161"/>
      <c r="S239" s="161"/>
      <c r="T239" s="161"/>
      <c r="U239" s="161"/>
      <c r="V239" s="161"/>
      <c r="W239" s="161"/>
      <c r="X239" s="161"/>
    </row>
    <row r="240" ht="12.75" customHeight="1">
      <c r="A240" s="165">
        <v>37455.0</v>
      </c>
      <c r="B240" s="165" t="s">
        <v>12383</v>
      </c>
      <c r="C240" s="166">
        <v>44918.0</v>
      </c>
      <c r="D240" s="165" t="s">
        <v>12371</v>
      </c>
      <c r="E240" s="161"/>
      <c r="F240" s="161"/>
      <c r="G240" s="161"/>
      <c r="H240" s="161"/>
      <c r="I240" s="161"/>
      <c r="J240" s="161"/>
      <c r="K240" s="161"/>
      <c r="L240" s="161"/>
      <c r="M240" s="161"/>
      <c r="N240" s="161"/>
      <c r="O240" s="161"/>
      <c r="P240" s="161"/>
      <c r="Q240" s="161"/>
      <c r="R240" s="161"/>
      <c r="S240" s="161"/>
      <c r="T240" s="161"/>
      <c r="U240" s="161"/>
      <c r="V240" s="161"/>
      <c r="W240" s="161"/>
      <c r="X240" s="161"/>
    </row>
    <row r="241" ht="12.75" customHeight="1">
      <c r="A241" s="165">
        <v>37455.0</v>
      </c>
      <c r="B241" s="165" t="s">
        <v>12384</v>
      </c>
      <c r="C241" s="259">
        <v>44918.0</v>
      </c>
      <c r="D241" s="165" t="s">
        <v>12371</v>
      </c>
      <c r="E241" s="161"/>
      <c r="F241" s="161"/>
      <c r="G241" s="161"/>
      <c r="H241" s="161"/>
      <c r="I241" s="161"/>
      <c r="J241" s="161"/>
      <c r="K241" s="161"/>
      <c r="L241" s="161"/>
      <c r="M241" s="161"/>
      <c r="N241" s="161"/>
      <c r="O241" s="161"/>
      <c r="P241" s="161"/>
      <c r="Q241" s="161"/>
      <c r="R241" s="161"/>
      <c r="S241" s="161"/>
      <c r="T241" s="161"/>
      <c r="U241" s="161"/>
      <c r="V241" s="161"/>
      <c r="W241" s="161"/>
      <c r="X241" s="161"/>
    </row>
    <row r="242" ht="12.75" customHeight="1">
      <c r="A242" s="165">
        <v>37442.0</v>
      </c>
      <c r="B242" s="165" t="s">
        <v>8171</v>
      </c>
      <c r="C242" s="166">
        <v>44929.0</v>
      </c>
      <c r="D242" s="165" t="s">
        <v>5271</v>
      </c>
      <c r="E242" s="161"/>
      <c r="F242" s="161"/>
      <c r="G242" s="161"/>
      <c r="H242" s="161"/>
      <c r="I242" s="161"/>
      <c r="J242" s="161"/>
      <c r="K242" s="161"/>
      <c r="L242" s="161"/>
      <c r="M242" s="161"/>
      <c r="N242" s="161"/>
      <c r="O242" s="161"/>
      <c r="P242" s="161"/>
      <c r="Q242" s="161"/>
      <c r="R242" s="161"/>
      <c r="S242" s="161"/>
      <c r="T242" s="161"/>
      <c r="U242" s="161"/>
      <c r="V242" s="161"/>
      <c r="W242" s="161"/>
      <c r="X242" s="161"/>
    </row>
    <row r="243" ht="12.75" customHeight="1">
      <c r="A243" s="165">
        <v>37419.0</v>
      </c>
      <c r="B243" s="165" t="s">
        <v>8151</v>
      </c>
      <c r="C243" s="166">
        <v>44949.0</v>
      </c>
      <c r="D243" s="165" t="s">
        <v>12371</v>
      </c>
      <c r="E243" s="161"/>
      <c r="F243" s="161"/>
      <c r="G243" s="161"/>
      <c r="H243" s="161"/>
      <c r="I243" s="161"/>
      <c r="J243" s="161"/>
      <c r="K243" s="161"/>
      <c r="L243" s="161"/>
      <c r="M243" s="161"/>
      <c r="N243" s="161"/>
      <c r="O243" s="161"/>
      <c r="P243" s="161"/>
      <c r="Q243" s="161"/>
      <c r="R243" s="161"/>
      <c r="S243" s="161"/>
      <c r="T243" s="161"/>
      <c r="U243" s="161"/>
      <c r="V243" s="161"/>
      <c r="W243" s="161"/>
      <c r="X243" s="161"/>
    </row>
    <row r="244" ht="12.75" customHeight="1">
      <c r="A244" s="165" t="s">
        <v>8134</v>
      </c>
      <c r="B244" s="165" t="s">
        <v>8136</v>
      </c>
      <c r="C244" s="166">
        <v>44953.0</v>
      </c>
      <c r="D244" s="165" t="s">
        <v>12371</v>
      </c>
      <c r="E244" s="161"/>
      <c r="F244" s="161"/>
      <c r="G244" s="161"/>
      <c r="H244" s="161"/>
      <c r="I244" s="161"/>
      <c r="J244" s="161"/>
      <c r="K244" s="161"/>
      <c r="L244" s="161"/>
      <c r="M244" s="161"/>
      <c r="N244" s="161"/>
      <c r="O244" s="161"/>
      <c r="P244" s="161"/>
      <c r="Q244" s="161"/>
      <c r="R244" s="161"/>
      <c r="S244" s="161"/>
      <c r="T244" s="161"/>
      <c r="U244" s="161"/>
      <c r="V244" s="161"/>
      <c r="W244" s="161"/>
      <c r="X244" s="161"/>
    </row>
    <row r="245" ht="12.75" customHeight="1">
      <c r="A245" s="165">
        <v>37438.0</v>
      </c>
      <c r="B245" s="165" t="s">
        <v>8129</v>
      </c>
      <c r="C245" s="166">
        <v>44953.0</v>
      </c>
      <c r="D245" s="165" t="s">
        <v>12371</v>
      </c>
      <c r="E245" s="161"/>
      <c r="F245" s="161"/>
      <c r="G245" s="161"/>
      <c r="H245" s="161"/>
      <c r="I245" s="161"/>
      <c r="J245" s="161"/>
      <c r="K245" s="161"/>
      <c r="L245" s="161"/>
      <c r="M245" s="161"/>
      <c r="N245" s="161"/>
      <c r="O245" s="161"/>
      <c r="P245" s="161"/>
      <c r="Q245" s="161"/>
      <c r="R245" s="161"/>
      <c r="S245" s="161"/>
      <c r="T245" s="161"/>
      <c r="U245" s="161"/>
      <c r="V245" s="161"/>
      <c r="W245" s="161"/>
      <c r="X245" s="161"/>
    </row>
    <row r="246" ht="12.75" customHeight="1">
      <c r="A246" s="165">
        <v>36828.0</v>
      </c>
      <c r="B246" s="165" t="s">
        <v>8132</v>
      </c>
      <c r="C246" s="166">
        <v>44953.0</v>
      </c>
      <c r="D246" s="165" t="s">
        <v>12371</v>
      </c>
      <c r="E246" s="161"/>
      <c r="F246" s="161"/>
      <c r="G246" s="161"/>
      <c r="H246" s="161"/>
      <c r="I246" s="161"/>
      <c r="J246" s="161"/>
      <c r="K246" s="161"/>
      <c r="L246" s="161"/>
      <c r="M246" s="161"/>
      <c r="N246" s="161"/>
      <c r="O246" s="161"/>
      <c r="P246" s="161"/>
      <c r="Q246" s="161"/>
      <c r="R246" s="161"/>
      <c r="S246" s="161"/>
      <c r="T246" s="161"/>
      <c r="U246" s="161"/>
      <c r="V246" s="161"/>
      <c r="W246" s="161"/>
      <c r="X246" s="161"/>
    </row>
    <row r="247" ht="12.75" customHeight="1">
      <c r="A247" s="165">
        <v>36959.0</v>
      </c>
      <c r="B247" s="165" t="s">
        <v>8126</v>
      </c>
      <c r="C247" s="166">
        <v>44957.0</v>
      </c>
      <c r="D247" s="165" t="s">
        <v>12371</v>
      </c>
      <c r="E247" s="161"/>
      <c r="F247" s="161"/>
      <c r="G247" s="161"/>
      <c r="H247" s="161"/>
      <c r="I247" s="161"/>
      <c r="J247" s="161"/>
      <c r="K247" s="161"/>
      <c r="L247" s="161"/>
      <c r="M247" s="161"/>
      <c r="N247" s="161"/>
      <c r="O247" s="161"/>
      <c r="P247" s="161"/>
      <c r="Q247" s="161"/>
      <c r="R247" s="161"/>
      <c r="S247" s="161"/>
      <c r="T247" s="161"/>
      <c r="U247" s="161"/>
      <c r="V247" s="161"/>
      <c r="W247" s="161"/>
      <c r="X247" s="161"/>
    </row>
    <row r="248" ht="12.75" customHeight="1">
      <c r="A248" s="165">
        <v>36962.0</v>
      </c>
      <c r="B248" s="165" t="s">
        <v>8124</v>
      </c>
      <c r="C248" s="166">
        <v>44957.0</v>
      </c>
      <c r="D248" s="165" t="s">
        <v>12371</v>
      </c>
      <c r="E248" s="161"/>
      <c r="F248" s="161"/>
      <c r="G248" s="161"/>
      <c r="H248" s="161"/>
      <c r="I248" s="161"/>
      <c r="J248" s="161"/>
      <c r="K248" s="161"/>
      <c r="L248" s="161"/>
      <c r="M248" s="161"/>
      <c r="N248" s="161"/>
      <c r="O248" s="161"/>
      <c r="P248" s="161"/>
      <c r="Q248" s="161"/>
      <c r="R248" s="161"/>
      <c r="S248" s="161"/>
      <c r="T248" s="161"/>
      <c r="U248" s="161"/>
      <c r="V248" s="161"/>
      <c r="W248" s="161"/>
      <c r="X248" s="161"/>
    </row>
    <row r="249" ht="12.75" customHeight="1">
      <c r="A249" s="165">
        <v>36960.0</v>
      </c>
      <c r="B249" s="165" t="s">
        <v>8122</v>
      </c>
      <c r="C249" s="166">
        <v>44957.0</v>
      </c>
      <c r="D249" s="165" t="s">
        <v>12371</v>
      </c>
      <c r="E249" s="161"/>
      <c r="F249" s="161"/>
      <c r="G249" s="161"/>
      <c r="H249" s="161"/>
      <c r="I249" s="161"/>
      <c r="J249" s="161"/>
      <c r="K249" s="161"/>
      <c r="L249" s="161"/>
      <c r="M249" s="161"/>
      <c r="N249" s="161"/>
      <c r="O249" s="161"/>
      <c r="P249" s="161"/>
      <c r="Q249" s="161"/>
      <c r="R249" s="161"/>
      <c r="S249" s="161"/>
      <c r="T249" s="161"/>
      <c r="U249" s="161"/>
      <c r="V249" s="161"/>
      <c r="W249" s="161"/>
      <c r="X249" s="161"/>
    </row>
    <row r="250" ht="12.75" customHeight="1">
      <c r="A250" s="165">
        <v>36952.0</v>
      </c>
      <c r="B250" s="165" t="s">
        <v>8117</v>
      </c>
      <c r="C250" s="166">
        <v>44959.0</v>
      </c>
      <c r="D250" s="165" t="s">
        <v>12371</v>
      </c>
      <c r="E250" s="161"/>
      <c r="F250" s="161"/>
      <c r="G250" s="161"/>
      <c r="H250" s="161"/>
      <c r="I250" s="161"/>
      <c r="J250" s="161"/>
      <c r="K250" s="161"/>
      <c r="L250" s="161"/>
      <c r="M250" s="161"/>
      <c r="N250" s="161"/>
      <c r="O250" s="161"/>
      <c r="P250" s="161"/>
      <c r="Q250" s="161"/>
      <c r="R250" s="161"/>
      <c r="S250" s="161"/>
      <c r="T250" s="161"/>
      <c r="U250" s="161"/>
      <c r="V250" s="161"/>
      <c r="W250" s="161"/>
      <c r="X250" s="161"/>
    </row>
    <row r="251" ht="12.75" customHeight="1">
      <c r="A251" s="165">
        <v>37543.0</v>
      </c>
      <c r="B251" s="165" t="s">
        <v>8110</v>
      </c>
      <c r="C251" s="166">
        <v>44965.0</v>
      </c>
      <c r="D251" s="165" t="s">
        <v>12371</v>
      </c>
      <c r="E251" s="161"/>
      <c r="F251" s="161"/>
      <c r="G251" s="161"/>
      <c r="H251" s="161"/>
      <c r="I251" s="161"/>
      <c r="J251" s="161"/>
      <c r="K251" s="161"/>
      <c r="L251" s="161"/>
      <c r="M251" s="161"/>
      <c r="N251" s="161"/>
      <c r="O251" s="161"/>
      <c r="P251" s="161"/>
      <c r="Q251" s="161"/>
      <c r="R251" s="161"/>
      <c r="S251" s="161"/>
      <c r="T251" s="161"/>
      <c r="U251" s="161"/>
      <c r="V251" s="161"/>
      <c r="W251" s="161"/>
      <c r="X251" s="161"/>
    </row>
    <row r="252" ht="12.75" customHeight="1">
      <c r="A252" s="165">
        <v>37510.0</v>
      </c>
      <c r="B252" s="165" t="s">
        <v>8114</v>
      </c>
      <c r="C252" s="166">
        <v>44965.0</v>
      </c>
      <c r="D252" s="165" t="s">
        <v>12371</v>
      </c>
      <c r="E252" s="161"/>
      <c r="F252" s="161"/>
      <c r="G252" s="161"/>
      <c r="H252" s="161"/>
      <c r="I252" s="161"/>
      <c r="J252" s="161"/>
      <c r="K252" s="161"/>
      <c r="L252" s="161"/>
      <c r="M252" s="161"/>
      <c r="N252" s="161"/>
      <c r="O252" s="161"/>
      <c r="P252" s="161"/>
      <c r="Q252" s="161"/>
      <c r="R252" s="161"/>
      <c r="S252" s="161"/>
      <c r="T252" s="161"/>
      <c r="U252" s="161"/>
      <c r="V252" s="161"/>
      <c r="W252" s="161"/>
      <c r="X252" s="161"/>
    </row>
    <row r="253" ht="12.75" customHeight="1">
      <c r="A253" s="165">
        <v>37515.0</v>
      </c>
      <c r="B253" s="165" t="s">
        <v>8105</v>
      </c>
      <c r="C253" s="166">
        <v>44970.0</v>
      </c>
      <c r="D253" s="165" t="s">
        <v>12371</v>
      </c>
      <c r="E253" s="161"/>
      <c r="F253" s="161"/>
      <c r="G253" s="161"/>
      <c r="H253" s="161"/>
      <c r="I253" s="161"/>
      <c r="J253" s="161"/>
      <c r="K253" s="161"/>
      <c r="L253" s="161"/>
      <c r="M253" s="161"/>
      <c r="N253" s="161"/>
      <c r="O253" s="161"/>
      <c r="P253" s="161"/>
      <c r="Q253" s="161"/>
      <c r="R253" s="161"/>
      <c r="S253" s="161"/>
      <c r="T253" s="161"/>
      <c r="U253" s="161"/>
      <c r="V253" s="161"/>
      <c r="W253" s="161"/>
      <c r="X253" s="161"/>
    </row>
    <row r="254" ht="12.75" customHeight="1">
      <c r="A254" s="165">
        <v>37661.0</v>
      </c>
      <c r="B254" s="165" t="s">
        <v>8389</v>
      </c>
      <c r="C254" s="166">
        <v>44978.0</v>
      </c>
      <c r="D254" s="165" t="s">
        <v>12371</v>
      </c>
      <c r="E254" s="161"/>
      <c r="F254" s="161"/>
      <c r="G254" s="161"/>
      <c r="H254" s="161"/>
      <c r="I254" s="161"/>
      <c r="J254" s="161"/>
      <c r="K254" s="161"/>
      <c r="L254" s="161"/>
      <c r="M254" s="161"/>
      <c r="N254" s="161"/>
      <c r="O254" s="161"/>
      <c r="P254" s="161"/>
      <c r="Q254" s="161"/>
      <c r="R254" s="161"/>
      <c r="S254" s="161"/>
      <c r="T254" s="161"/>
      <c r="U254" s="161"/>
      <c r="V254" s="161"/>
      <c r="W254" s="161"/>
      <c r="X254" s="161"/>
    </row>
    <row r="255" ht="12.75" customHeight="1">
      <c r="A255" s="165">
        <v>37564.0</v>
      </c>
      <c r="B255" s="165" t="s">
        <v>8093</v>
      </c>
      <c r="C255" s="166">
        <v>44978.0</v>
      </c>
      <c r="D255" s="165" t="s">
        <v>12371</v>
      </c>
      <c r="E255" s="161"/>
      <c r="F255" s="161"/>
      <c r="G255" s="161"/>
      <c r="H255" s="161"/>
      <c r="I255" s="161"/>
      <c r="J255" s="161"/>
      <c r="K255" s="161"/>
      <c r="L255" s="161"/>
      <c r="M255" s="161"/>
      <c r="N255" s="161"/>
      <c r="O255" s="161"/>
      <c r="P255" s="161"/>
      <c r="Q255" s="161"/>
      <c r="R255" s="161"/>
      <c r="S255" s="161"/>
      <c r="T255" s="161"/>
      <c r="U255" s="161"/>
      <c r="V255" s="161"/>
      <c r="W255" s="161"/>
      <c r="X255" s="161"/>
    </row>
    <row r="256" ht="12.75" customHeight="1">
      <c r="A256" s="165">
        <v>37403.0</v>
      </c>
      <c r="B256" s="165" t="s">
        <v>8099</v>
      </c>
      <c r="C256" s="166">
        <v>44984.0</v>
      </c>
      <c r="D256" s="165" t="s">
        <v>12371</v>
      </c>
      <c r="E256" s="161"/>
      <c r="F256" s="161"/>
      <c r="G256" s="161"/>
      <c r="H256" s="161"/>
      <c r="I256" s="161"/>
      <c r="J256" s="161"/>
      <c r="K256" s="161"/>
      <c r="L256" s="161"/>
      <c r="M256" s="161"/>
      <c r="N256" s="161"/>
      <c r="O256" s="161"/>
      <c r="P256" s="161"/>
      <c r="Q256" s="161"/>
      <c r="R256" s="161"/>
      <c r="S256" s="161"/>
      <c r="T256" s="161"/>
      <c r="U256" s="161"/>
      <c r="V256" s="161"/>
      <c r="W256" s="161"/>
      <c r="X256" s="161"/>
    </row>
    <row r="257" ht="12.75" customHeight="1">
      <c r="A257" s="165">
        <v>36972.0</v>
      </c>
      <c r="B257" s="165" t="s">
        <v>8085</v>
      </c>
      <c r="C257" s="166">
        <v>44985.0</v>
      </c>
      <c r="D257" s="165" t="s">
        <v>12371</v>
      </c>
      <c r="E257" s="161"/>
      <c r="F257" s="161"/>
      <c r="G257" s="161"/>
      <c r="H257" s="161"/>
      <c r="I257" s="161"/>
      <c r="J257" s="161"/>
      <c r="K257" s="161"/>
      <c r="L257" s="161"/>
      <c r="M257" s="161"/>
      <c r="N257" s="161"/>
      <c r="O257" s="161"/>
      <c r="P257" s="161"/>
      <c r="Q257" s="161"/>
      <c r="R257" s="161"/>
      <c r="S257" s="161"/>
      <c r="T257" s="161"/>
      <c r="U257" s="161"/>
      <c r="V257" s="161"/>
      <c r="W257" s="161"/>
      <c r="X257" s="161"/>
    </row>
    <row r="258" ht="12.75" customHeight="1">
      <c r="A258" s="165">
        <v>37552.0</v>
      </c>
      <c r="B258" s="165" t="s">
        <v>8082</v>
      </c>
      <c r="C258" s="166">
        <v>44987.0</v>
      </c>
      <c r="D258" s="165" t="s">
        <v>12371</v>
      </c>
      <c r="E258" s="161"/>
      <c r="F258" s="161"/>
      <c r="G258" s="161"/>
      <c r="H258" s="161"/>
      <c r="I258" s="161"/>
      <c r="J258" s="161"/>
      <c r="K258" s="161"/>
      <c r="L258" s="161"/>
      <c r="M258" s="161"/>
      <c r="N258" s="161"/>
      <c r="O258" s="161"/>
      <c r="P258" s="161"/>
      <c r="Q258" s="161"/>
      <c r="R258" s="161"/>
      <c r="S258" s="161"/>
      <c r="T258" s="161"/>
      <c r="U258" s="161"/>
      <c r="V258" s="161"/>
      <c r="W258" s="161"/>
      <c r="X258" s="161"/>
    </row>
    <row r="259" ht="12.75" customHeight="1">
      <c r="A259" s="165">
        <v>37512.0</v>
      </c>
      <c r="B259" s="165" t="s">
        <v>8069</v>
      </c>
      <c r="C259" s="166">
        <v>44998.0</v>
      </c>
      <c r="D259" s="165" t="s">
        <v>12371</v>
      </c>
      <c r="E259" s="161"/>
      <c r="F259" s="161"/>
      <c r="G259" s="161"/>
      <c r="H259" s="161"/>
      <c r="I259" s="161"/>
      <c r="J259" s="161"/>
      <c r="K259" s="161"/>
      <c r="L259" s="161"/>
      <c r="M259" s="161"/>
      <c r="N259" s="161"/>
      <c r="O259" s="161"/>
      <c r="P259" s="161"/>
      <c r="Q259" s="161"/>
      <c r="R259" s="161"/>
      <c r="S259" s="161"/>
      <c r="T259" s="161"/>
      <c r="U259" s="161"/>
      <c r="V259" s="161"/>
      <c r="W259" s="161"/>
      <c r="X259" s="161"/>
    </row>
    <row r="260" ht="12.75" customHeight="1">
      <c r="A260" s="165">
        <v>37435.0</v>
      </c>
      <c r="B260" s="165" t="s">
        <v>8067</v>
      </c>
      <c r="C260" s="166">
        <v>44998.0</v>
      </c>
      <c r="D260" s="165" t="s">
        <v>12371</v>
      </c>
      <c r="E260" s="161"/>
      <c r="F260" s="161"/>
      <c r="G260" s="161"/>
      <c r="H260" s="161"/>
      <c r="I260" s="161"/>
      <c r="J260" s="161"/>
      <c r="K260" s="161"/>
      <c r="L260" s="161"/>
      <c r="M260" s="161"/>
      <c r="N260" s="161"/>
      <c r="O260" s="161"/>
      <c r="P260" s="161"/>
      <c r="Q260" s="161"/>
      <c r="R260" s="161"/>
      <c r="S260" s="161"/>
      <c r="T260" s="161"/>
      <c r="U260" s="161"/>
      <c r="V260" s="161"/>
      <c r="W260" s="161"/>
      <c r="X260" s="161"/>
    </row>
    <row r="261" ht="12.75" customHeight="1">
      <c r="A261" s="165">
        <v>37349.0</v>
      </c>
      <c r="B261" s="165" t="s">
        <v>8063</v>
      </c>
      <c r="C261" s="166">
        <v>44999.0</v>
      </c>
      <c r="D261" s="165" t="s">
        <v>12371</v>
      </c>
      <c r="E261" s="161"/>
      <c r="F261" s="161"/>
      <c r="G261" s="161"/>
      <c r="H261" s="161"/>
      <c r="I261" s="161"/>
      <c r="J261" s="161"/>
      <c r="K261" s="161"/>
      <c r="L261" s="161"/>
      <c r="M261" s="161"/>
      <c r="N261" s="161"/>
      <c r="O261" s="161"/>
      <c r="P261" s="161"/>
      <c r="Q261" s="161"/>
      <c r="R261" s="161"/>
      <c r="S261" s="161"/>
      <c r="T261" s="161"/>
      <c r="U261" s="161"/>
      <c r="V261" s="161"/>
      <c r="W261" s="161"/>
      <c r="X261" s="161"/>
    </row>
    <row r="262" ht="12.75" customHeight="1">
      <c r="A262" s="165">
        <v>37767.0</v>
      </c>
      <c r="B262" s="165" t="s">
        <v>8362</v>
      </c>
      <c r="C262" s="166">
        <v>45016.0</v>
      </c>
      <c r="D262" s="165" t="s">
        <v>12371</v>
      </c>
      <c r="E262" s="161"/>
      <c r="F262" s="161"/>
      <c r="G262" s="161"/>
      <c r="H262" s="161"/>
      <c r="I262" s="161"/>
      <c r="J262" s="161"/>
      <c r="K262" s="161"/>
      <c r="L262" s="161"/>
      <c r="M262" s="161"/>
      <c r="N262" s="161"/>
      <c r="O262" s="161"/>
      <c r="P262" s="161"/>
      <c r="Q262" s="161"/>
      <c r="R262" s="161"/>
      <c r="S262" s="161"/>
      <c r="T262" s="161"/>
      <c r="U262" s="161"/>
      <c r="V262" s="161"/>
      <c r="W262" s="161"/>
      <c r="X262" s="161"/>
    </row>
    <row r="263" ht="12.75" customHeight="1">
      <c r="A263" s="165">
        <v>37738.0</v>
      </c>
      <c r="B263" s="165" t="s">
        <v>8048</v>
      </c>
      <c r="C263" s="166">
        <v>45016.0</v>
      </c>
      <c r="D263" s="165" t="s">
        <v>12371</v>
      </c>
      <c r="E263" s="161"/>
      <c r="F263" s="161"/>
      <c r="G263" s="161"/>
      <c r="H263" s="161"/>
      <c r="I263" s="161"/>
      <c r="J263" s="161"/>
      <c r="K263" s="161"/>
      <c r="L263" s="161"/>
      <c r="M263" s="161"/>
      <c r="N263" s="161"/>
      <c r="O263" s="161"/>
      <c r="P263" s="161"/>
      <c r="Q263" s="161"/>
      <c r="R263" s="161"/>
      <c r="S263" s="161"/>
      <c r="T263" s="161"/>
      <c r="U263" s="161"/>
      <c r="V263" s="161"/>
      <c r="W263" s="161"/>
      <c r="X263" s="161"/>
    </row>
    <row r="264" ht="12.75" customHeight="1">
      <c r="A264" s="165">
        <v>37624.0</v>
      </c>
      <c r="B264" s="165" t="s">
        <v>8054</v>
      </c>
      <c r="C264" s="166">
        <v>45019.0</v>
      </c>
      <c r="D264" s="165" t="s">
        <v>12371</v>
      </c>
      <c r="E264" s="161"/>
      <c r="F264" s="161"/>
      <c r="G264" s="161"/>
      <c r="H264" s="161"/>
      <c r="I264" s="161"/>
      <c r="J264" s="161"/>
      <c r="K264" s="161"/>
      <c r="L264" s="161"/>
      <c r="M264" s="161"/>
      <c r="N264" s="161"/>
      <c r="O264" s="161"/>
      <c r="P264" s="161"/>
      <c r="Q264" s="161"/>
      <c r="R264" s="161"/>
      <c r="S264" s="161"/>
      <c r="T264" s="161"/>
      <c r="U264" s="161"/>
      <c r="V264" s="161"/>
      <c r="W264" s="161"/>
      <c r="X264" s="161"/>
    </row>
    <row r="265" ht="12.75" customHeight="1">
      <c r="A265" s="165">
        <v>37818.0</v>
      </c>
      <c r="B265" s="165" t="s">
        <v>8029</v>
      </c>
      <c r="C265" s="166">
        <v>45030.0</v>
      </c>
      <c r="D265" s="165" t="s">
        <v>12371</v>
      </c>
      <c r="E265" s="161"/>
      <c r="F265" s="161"/>
      <c r="G265" s="161"/>
      <c r="H265" s="161"/>
      <c r="I265" s="161"/>
      <c r="J265" s="161"/>
      <c r="K265" s="161"/>
      <c r="L265" s="161"/>
      <c r="M265" s="161"/>
      <c r="N265" s="161"/>
      <c r="O265" s="161"/>
      <c r="P265" s="161"/>
      <c r="Q265" s="161"/>
      <c r="R265" s="161"/>
      <c r="S265" s="161"/>
      <c r="T265" s="161"/>
      <c r="U265" s="161"/>
      <c r="V265" s="161"/>
      <c r="W265" s="161"/>
      <c r="X265" s="161"/>
    </row>
    <row r="266" ht="12.75" customHeight="1">
      <c r="A266" s="165">
        <v>37610.0</v>
      </c>
      <c r="B266" s="165" t="s">
        <v>8032</v>
      </c>
      <c r="C266" s="166">
        <v>45033.0</v>
      </c>
      <c r="D266" s="165" t="s">
        <v>12371</v>
      </c>
      <c r="E266" s="161"/>
      <c r="F266" s="161"/>
      <c r="G266" s="161"/>
      <c r="H266" s="161"/>
      <c r="I266" s="161"/>
      <c r="J266" s="161"/>
      <c r="K266" s="161"/>
      <c r="L266" s="161"/>
      <c r="M266" s="161"/>
      <c r="N266" s="161"/>
      <c r="O266" s="161"/>
      <c r="P266" s="161"/>
      <c r="Q266" s="161"/>
      <c r="R266" s="161"/>
      <c r="S266" s="161"/>
      <c r="T266" s="161"/>
      <c r="U266" s="161"/>
      <c r="V266" s="161"/>
      <c r="W266" s="161"/>
      <c r="X266" s="161"/>
    </row>
    <row r="267" ht="12.75" customHeight="1">
      <c r="A267" s="165">
        <v>37646.0</v>
      </c>
      <c r="B267" s="165" t="s">
        <v>8012</v>
      </c>
      <c r="C267" s="166">
        <v>45047.0</v>
      </c>
      <c r="D267" s="165" t="s">
        <v>12371</v>
      </c>
      <c r="E267" s="161"/>
      <c r="F267" s="161"/>
      <c r="G267" s="161"/>
      <c r="H267" s="161"/>
      <c r="I267" s="161"/>
      <c r="J267" s="161"/>
      <c r="K267" s="161"/>
      <c r="L267" s="161"/>
      <c r="M267" s="161"/>
      <c r="N267" s="161"/>
      <c r="O267" s="161"/>
      <c r="P267" s="161"/>
      <c r="Q267" s="161"/>
      <c r="R267" s="161"/>
      <c r="S267" s="161"/>
      <c r="T267" s="161"/>
      <c r="U267" s="161"/>
      <c r="V267" s="161"/>
      <c r="W267" s="161"/>
      <c r="X267" s="161"/>
    </row>
    <row r="268" ht="12.75" customHeight="1">
      <c r="A268" s="165">
        <v>37647.0</v>
      </c>
      <c r="B268" s="165" t="s">
        <v>8010</v>
      </c>
      <c r="C268" s="166">
        <v>45047.0</v>
      </c>
      <c r="D268" s="165" t="s">
        <v>12371</v>
      </c>
      <c r="E268" s="161"/>
      <c r="F268" s="161"/>
      <c r="G268" s="161"/>
      <c r="H268" s="161"/>
      <c r="I268" s="161"/>
      <c r="J268" s="161"/>
      <c r="K268" s="161"/>
      <c r="L268" s="161"/>
      <c r="M268" s="161"/>
      <c r="N268" s="161"/>
      <c r="O268" s="161"/>
      <c r="P268" s="161"/>
      <c r="Q268" s="161"/>
      <c r="R268" s="161"/>
      <c r="S268" s="161"/>
      <c r="T268" s="161"/>
      <c r="U268" s="161"/>
      <c r="V268" s="161"/>
      <c r="W268" s="161"/>
      <c r="X268" s="161"/>
    </row>
    <row r="269" ht="12.75" customHeight="1">
      <c r="A269" s="165">
        <v>37583.0</v>
      </c>
      <c r="B269" s="165" t="s">
        <v>8006</v>
      </c>
      <c r="C269" s="166">
        <v>45047.0</v>
      </c>
      <c r="D269" s="165" t="s">
        <v>12371</v>
      </c>
      <c r="E269" s="161"/>
      <c r="F269" s="161"/>
      <c r="G269" s="161"/>
      <c r="H269" s="161"/>
      <c r="I269" s="161"/>
      <c r="J269" s="161"/>
      <c r="K269" s="161"/>
      <c r="L269" s="161"/>
      <c r="M269" s="161"/>
      <c r="N269" s="161"/>
      <c r="O269" s="161"/>
      <c r="P269" s="161"/>
      <c r="Q269" s="161"/>
      <c r="R269" s="161"/>
      <c r="S269" s="161"/>
      <c r="T269" s="161"/>
      <c r="U269" s="161"/>
      <c r="V269" s="161"/>
      <c r="W269" s="161"/>
      <c r="X269" s="161"/>
    </row>
    <row r="270" ht="12.75" customHeight="1">
      <c r="A270" s="165">
        <v>37845.0</v>
      </c>
      <c r="B270" s="165" t="s">
        <v>7993</v>
      </c>
      <c r="C270" s="166">
        <v>45049.0</v>
      </c>
      <c r="D270" s="165" t="s">
        <v>12371</v>
      </c>
      <c r="E270" s="161"/>
      <c r="F270" s="161"/>
      <c r="G270" s="161"/>
      <c r="H270" s="161"/>
      <c r="I270" s="161"/>
      <c r="J270" s="161"/>
      <c r="K270" s="161"/>
      <c r="L270" s="161"/>
      <c r="M270" s="161"/>
      <c r="N270" s="161"/>
      <c r="O270" s="161"/>
      <c r="P270" s="161"/>
      <c r="Q270" s="161"/>
      <c r="R270" s="161"/>
      <c r="S270" s="161"/>
      <c r="T270" s="161"/>
      <c r="U270" s="161"/>
      <c r="V270" s="161"/>
      <c r="W270" s="161"/>
      <c r="X270" s="161"/>
    </row>
    <row r="271" ht="12.75" customHeight="1">
      <c r="A271" s="165">
        <v>37804.0</v>
      </c>
      <c r="B271" s="165" t="s">
        <v>7990</v>
      </c>
      <c r="C271" s="166">
        <v>45056.0</v>
      </c>
      <c r="D271" s="165" t="s">
        <v>12371</v>
      </c>
      <c r="E271" s="161"/>
      <c r="F271" s="161"/>
      <c r="G271" s="161"/>
      <c r="H271" s="161"/>
      <c r="I271" s="161"/>
      <c r="J271" s="161"/>
      <c r="K271" s="161"/>
      <c r="L271" s="161"/>
      <c r="M271" s="161"/>
      <c r="N271" s="161"/>
      <c r="O271" s="161"/>
      <c r="P271" s="161"/>
      <c r="Q271" s="161"/>
      <c r="R271" s="161"/>
      <c r="S271" s="161"/>
      <c r="T271" s="161"/>
      <c r="U271" s="161"/>
      <c r="V271" s="161"/>
      <c r="W271" s="161"/>
      <c r="X271" s="161"/>
    </row>
    <row r="272" ht="12.75" customHeight="1">
      <c r="A272" s="165">
        <v>37633.0</v>
      </c>
      <c r="B272" s="165" t="s">
        <v>7983</v>
      </c>
      <c r="C272" s="166">
        <v>45061.0</v>
      </c>
      <c r="D272" s="165" t="s">
        <v>12371</v>
      </c>
      <c r="E272" s="161"/>
      <c r="F272" s="161"/>
      <c r="G272" s="161"/>
      <c r="H272" s="161"/>
      <c r="I272" s="161"/>
      <c r="J272" s="161"/>
      <c r="K272" s="161"/>
      <c r="L272" s="161"/>
      <c r="M272" s="161"/>
      <c r="N272" s="161"/>
      <c r="O272" s="161"/>
      <c r="P272" s="161"/>
      <c r="Q272" s="161"/>
      <c r="R272" s="161"/>
      <c r="S272" s="161"/>
      <c r="T272" s="161"/>
      <c r="U272" s="161"/>
      <c r="V272" s="161"/>
      <c r="W272" s="161"/>
      <c r="X272" s="161"/>
    </row>
    <row r="273" ht="12.75" customHeight="1">
      <c r="A273" s="165">
        <v>37837.0</v>
      </c>
      <c r="B273" s="165" t="s">
        <v>7978</v>
      </c>
      <c r="C273" s="166">
        <v>45064.0</v>
      </c>
      <c r="D273" s="165" t="s">
        <v>12371</v>
      </c>
      <c r="E273" s="161"/>
      <c r="F273" s="161"/>
      <c r="G273" s="161"/>
      <c r="H273" s="161"/>
      <c r="I273" s="161"/>
      <c r="J273" s="161"/>
      <c r="K273" s="161"/>
      <c r="L273" s="161"/>
      <c r="M273" s="161"/>
      <c r="N273" s="161"/>
      <c r="O273" s="161"/>
      <c r="P273" s="161"/>
      <c r="Q273" s="161"/>
      <c r="R273" s="161"/>
      <c r="S273" s="161"/>
      <c r="T273" s="161"/>
      <c r="U273" s="161"/>
      <c r="V273" s="161"/>
      <c r="W273" s="161"/>
      <c r="X273" s="161"/>
    </row>
    <row r="274" ht="12.75" customHeight="1">
      <c r="A274" s="165">
        <v>37922.0</v>
      </c>
      <c r="B274" s="165" t="s">
        <v>8334</v>
      </c>
      <c r="C274" s="166">
        <v>45070.0</v>
      </c>
      <c r="D274" s="165" t="s">
        <v>12371</v>
      </c>
      <c r="E274" s="161"/>
      <c r="F274" s="161"/>
      <c r="G274" s="161"/>
      <c r="H274" s="161"/>
      <c r="I274" s="161"/>
      <c r="J274" s="161"/>
      <c r="K274" s="161"/>
      <c r="L274" s="161"/>
      <c r="M274" s="161"/>
      <c r="N274" s="161"/>
      <c r="O274" s="161"/>
      <c r="P274" s="161"/>
      <c r="Q274" s="161"/>
      <c r="R274" s="161"/>
      <c r="S274" s="161"/>
      <c r="T274" s="161"/>
      <c r="U274" s="161"/>
      <c r="V274" s="161"/>
      <c r="W274" s="161"/>
      <c r="X274" s="161"/>
    </row>
    <row r="275" ht="12.75" customHeight="1">
      <c r="A275" s="165">
        <v>37537.0</v>
      </c>
      <c r="B275" s="165" t="s">
        <v>7964</v>
      </c>
      <c r="C275" s="166">
        <v>45085.0</v>
      </c>
      <c r="D275" s="165" t="s">
        <v>12371</v>
      </c>
      <c r="E275" s="161"/>
      <c r="F275" s="161"/>
      <c r="G275" s="161"/>
      <c r="H275" s="161"/>
      <c r="I275" s="161"/>
      <c r="J275" s="161"/>
      <c r="K275" s="161"/>
      <c r="L275" s="161"/>
      <c r="M275" s="161"/>
      <c r="N275" s="161"/>
      <c r="O275" s="161"/>
      <c r="P275" s="161"/>
      <c r="Q275" s="161"/>
      <c r="R275" s="161"/>
      <c r="S275" s="161"/>
      <c r="T275" s="161"/>
      <c r="U275" s="161"/>
      <c r="V275" s="161"/>
      <c r="W275" s="161"/>
      <c r="X275" s="161"/>
    </row>
    <row r="276" ht="12.75" customHeight="1">
      <c r="A276" s="165">
        <v>37680.0</v>
      </c>
      <c r="B276" s="165" t="s">
        <v>7961</v>
      </c>
      <c r="C276" s="166">
        <v>45085.0</v>
      </c>
      <c r="D276" s="165" t="s">
        <v>12371</v>
      </c>
      <c r="E276" s="161"/>
      <c r="F276" s="161"/>
      <c r="G276" s="161"/>
      <c r="H276" s="161"/>
      <c r="I276" s="161"/>
      <c r="J276" s="161"/>
      <c r="K276" s="161"/>
      <c r="L276" s="161"/>
      <c r="M276" s="161"/>
      <c r="N276" s="161"/>
      <c r="O276" s="161"/>
      <c r="P276" s="161"/>
      <c r="Q276" s="161"/>
      <c r="R276" s="161"/>
      <c r="S276" s="161"/>
      <c r="T276" s="161"/>
      <c r="U276" s="161"/>
      <c r="V276" s="161"/>
      <c r="W276" s="161"/>
      <c r="X276" s="161"/>
    </row>
    <row r="277" ht="12.75" customHeight="1">
      <c r="A277" s="165">
        <v>37678.0</v>
      </c>
      <c r="B277" s="165" t="s">
        <v>7959</v>
      </c>
      <c r="C277" s="166">
        <v>45085.0</v>
      </c>
      <c r="D277" s="165" t="s">
        <v>12371</v>
      </c>
      <c r="E277" s="161"/>
      <c r="F277" s="161"/>
      <c r="G277" s="161"/>
      <c r="H277" s="161"/>
      <c r="I277" s="161"/>
      <c r="J277" s="161"/>
      <c r="K277" s="161"/>
      <c r="L277" s="161"/>
      <c r="M277" s="161"/>
      <c r="N277" s="161"/>
      <c r="O277" s="161"/>
      <c r="P277" s="161"/>
      <c r="Q277" s="161"/>
      <c r="R277" s="161"/>
      <c r="S277" s="161"/>
      <c r="T277" s="161"/>
      <c r="U277" s="161"/>
      <c r="V277" s="161"/>
      <c r="W277" s="161"/>
      <c r="X277" s="161"/>
    </row>
    <row r="278" ht="12.75" customHeight="1">
      <c r="A278" s="165">
        <v>37679.0</v>
      </c>
      <c r="B278" s="165" t="s">
        <v>7956</v>
      </c>
      <c r="C278" s="166">
        <v>45085.0</v>
      </c>
      <c r="D278" s="165" t="s">
        <v>12371</v>
      </c>
      <c r="E278" s="161"/>
      <c r="F278" s="161"/>
      <c r="G278" s="161"/>
      <c r="H278" s="161"/>
      <c r="I278" s="161"/>
      <c r="J278" s="161"/>
      <c r="K278" s="161"/>
      <c r="L278" s="161"/>
      <c r="M278" s="161"/>
      <c r="N278" s="161"/>
      <c r="O278" s="161"/>
      <c r="P278" s="161"/>
      <c r="Q278" s="161"/>
      <c r="R278" s="161"/>
      <c r="S278" s="161"/>
      <c r="T278" s="161"/>
      <c r="U278" s="161"/>
      <c r="V278" s="161"/>
      <c r="W278" s="161"/>
      <c r="X278" s="161"/>
    </row>
    <row r="279" ht="12.75" customHeight="1">
      <c r="A279" s="165">
        <v>37708.0</v>
      </c>
      <c r="B279" s="165" t="s">
        <v>7949</v>
      </c>
      <c r="C279" s="166">
        <v>45089.0</v>
      </c>
      <c r="D279" s="165" t="s">
        <v>12371</v>
      </c>
      <c r="E279" s="161"/>
      <c r="F279" s="161"/>
      <c r="G279" s="161"/>
      <c r="H279" s="161"/>
      <c r="I279" s="161"/>
      <c r="J279" s="161"/>
      <c r="K279" s="161"/>
      <c r="L279" s="161"/>
      <c r="M279" s="161"/>
      <c r="N279" s="161"/>
      <c r="O279" s="161"/>
      <c r="P279" s="161"/>
      <c r="Q279" s="161"/>
      <c r="R279" s="161"/>
      <c r="S279" s="161"/>
      <c r="T279" s="161"/>
      <c r="U279" s="161"/>
      <c r="V279" s="161"/>
      <c r="W279" s="161"/>
      <c r="X279" s="161"/>
    </row>
    <row r="280" ht="12.75" customHeight="1">
      <c r="A280" s="165">
        <v>37707.0</v>
      </c>
      <c r="B280" s="165" t="s">
        <v>7947</v>
      </c>
      <c r="C280" s="166">
        <v>45089.0</v>
      </c>
      <c r="D280" s="165" t="s">
        <v>12385</v>
      </c>
      <c r="E280" s="161"/>
      <c r="F280" s="161"/>
      <c r="G280" s="161"/>
      <c r="H280" s="161"/>
      <c r="I280" s="161"/>
      <c r="J280" s="161"/>
      <c r="K280" s="161"/>
      <c r="L280" s="161"/>
      <c r="M280" s="161"/>
      <c r="N280" s="161"/>
      <c r="O280" s="161"/>
      <c r="P280" s="161"/>
      <c r="Q280" s="161"/>
      <c r="R280" s="161"/>
      <c r="S280" s="161"/>
      <c r="T280" s="161"/>
      <c r="U280" s="161"/>
      <c r="V280" s="161"/>
      <c r="W280" s="161"/>
      <c r="X280" s="161"/>
    </row>
    <row r="281" ht="12.75" customHeight="1">
      <c r="A281" s="165">
        <v>38004.0</v>
      </c>
      <c r="B281" s="191" t="s">
        <v>7945</v>
      </c>
      <c r="C281" s="166">
        <v>45090.0</v>
      </c>
      <c r="D281" s="165" t="s">
        <v>12385</v>
      </c>
      <c r="E281" s="161"/>
      <c r="F281" s="161"/>
      <c r="G281" s="161"/>
      <c r="H281" s="161"/>
      <c r="I281" s="161"/>
      <c r="J281" s="161"/>
      <c r="K281" s="161"/>
      <c r="L281" s="161"/>
      <c r="M281" s="161"/>
      <c r="N281" s="161"/>
      <c r="O281" s="161"/>
      <c r="P281" s="161"/>
      <c r="Q281" s="161"/>
      <c r="R281" s="161"/>
      <c r="S281" s="161"/>
      <c r="T281" s="161"/>
      <c r="U281" s="161"/>
      <c r="V281" s="161"/>
      <c r="W281" s="161"/>
      <c r="X281" s="161"/>
    </row>
    <row r="282" ht="12.75" customHeight="1">
      <c r="A282" s="165">
        <v>37792.0</v>
      </c>
      <c r="B282" s="165" t="s">
        <v>7934</v>
      </c>
      <c r="C282" s="166">
        <v>45096.0</v>
      </c>
      <c r="D282" s="165" t="s">
        <v>12385</v>
      </c>
      <c r="E282" s="161"/>
      <c r="F282" s="161"/>
      <c r="G282" s="161"/>
      <c r="H282" s="161"/>
      <c r="I282" s="161"/>
      <c r="J282" s="161"/>
      <c r="K282" s="161"/>
      <c r="L282" s="161"/>
      <c r="M282" s="161"/>
      <c r="N282" s="161"/>
      <c r="O282" s="161"/>
      <c r="P282" s="161"/>
      <c r="Q282" s="161"/>
      <c r="R282" s="161"/>
      <c r="S282" s="161"/>
      <c r="T282" s="161"/>
      <c r="U282" s="161"/>
      <c r="V282" s="161"/>
      <c r="W282" s="161"/>
      <c r="X282" s="161"/>
    </row>
    <row r="283" ht="12.75" customHeight="1">
      <c r="A283" s="165">
        <v>38001.0</v>
      </c>
      <c r="B283" s="165" t="s">
        <v>7927</v>
      </c>
      <c r="C283" s="166">
        <v>45096.0</v>
      </c>
      <c r="D283" s="165" t="s">
        <v>12385</v>
      </c>
      <c r="E283" s="161"/>
      <c r="F283" s="161"/>
      <c r="G283" s="161"/>
      <c r="H283" s="161"/>
      <c r="I283" s="161"/>
      <c r="J283" s="161"/>
      <c r="K283" s="161"/>
      <c r="L283" s="161"/>
      <c r="M283" s="161"/>
      <c r="N283" s="161"/>
      <c r="O283" s="161"/>
      <c r="P283" s="161"/>
      <c r="Q283" s="161"/>
      <c r="R283" s="161"/>
      <c r="S283" s="161"/>
      <c r="T283" s="161"/>
      <c r="U283" s="161"/>
      <c r="V283" s="161"/>
      <c r="W283" s="161"/>
      <c r="X283" s="161"/>
    </row>
    <row r="284" ht="12.75" customHeight="1">
      <c r="A284" s="165">
        <v>37716.0</v>
      </c>
      <c r="B284" s="165" t="s">
        <v>7924</v>
      </c>
      <c r="C284" s="166">
        <v>45103.0</v>
      </c>
      <c r="D284" s="165" t="s">
        <v>12385</v>
      </c>
      <c r="E284" s="161"/>
      <c r="F284" s="161"/>
      <c r="G284" s="161"/>
      <c r="H284" s="161"/>
      <c r="I284" s="161"/>
      <c r="J284" s="161"/>
      <c r="K284" s="161"/>
      <c r="L284" s="161"/>
      <c r="M284" s="161"/>
      <c r="N284" s="161"/>
      <c r="O284" s="161"/>
      <c r="P284" s="161"/>
      <c r="Q284" s="161"/>
      <c r="R284" s="161"/>
      <c r="S284" s="161"/>
      <c r="T284" s="161"/>
      <c r="U284" s="161"/>
      <c r="V284" s="161"/>
      <c r="W284" s="161"/>
      <c r="X284" s="161"/>
    </row>
    <row r="285" ht="12.75" customHeight="1">
      <c r="A285" s="165">
        <v>37968.0</v>
      </c>
      <c r="B285" s="165" t="s">
        <v>12386</v>
      </c>
      <c r="C285" s="166">
        <v>45103.0</v>
      </c>
      <c r="D285" s="165" t="s">
        <v>12385</v>
      </c>
      <c r="E285" s="161"/>
      <c r="F285" s="161"/>
      <c r="G285" s="161"/>
      <c r="H285" s="161"/>
      <c r="I285" s="161"/>
      <c r="J285" s="161"/>
      <c r="K285" s="161"/>
      <c r="L285" s="161"/>
      <c r="M285" s="161"/>
      <c r="N285" s="161"/>
      <c r="O285" s="161"/>
      <c r="P285" s="161"/>
      <c r="Q285" s="161"/>
      <c r="R285" s="161"/>
      <c r="S285" s="161"/>
      <c r="T285" s="161"/>
      <c r="U285" s="161"/>
      <c r="V285" s="161"/>
      <c r="W285" s="161"/>
      <c r="X285" s="161"/>
    </row>
    <row r="286" ht="12.75" customHeight="1">
      <c r="A286" s="165">
        <v>37969.0</v>
      </c>
      <c r="B286" s="165" t="s">
        <v>7915</v>
      </c>
      <c r="C286" s="166">
        <v>45103.0</v>
      </c>
      <c r="D286" s="165" t="s">
        <v>12385</v>
      </c>
      <c r="E286" s="161"/>
      <c r="F286" s="161"/>
      <c r="G286" s="161"/>
      <c r="H286" s="161"/>
      <c r="I286" s="161"/>
      <c r="J286" s="161"/>
      <c r="K286" s="161"/>
      <c r="L286" s="161"/>
      <c r="M286" s="161"/>
      <c r="N286" s="161"/>
      <c r="O286" s="161"/>
      <c r="P286" s="161"/>
      <c r="Q286" s="161"/>
      <c r="R286" s="161"/>
      <c r="S286" s="161"/>
      <c r="T286" s="161"/>
      <c r="U286" s="161"/>
      <c r="V286" s="161"/>
      <c r="W286" s="161"/>
      <c r="X286" s="161"/>
    </row>
    <row r="287" ht="12.75" customHeight="1">
      <c r="A287" s="165">
        <v>38059.0</v>
      </c>
      <c r="B287" s="165" t="s">
        <v>7906</v>
      </c>
      <c r="C287" s="166">
        <v>45103.0</v>
      </c>
      <c r="D287" s="165" t="s">
        <v>12385</v>
      </c>
      <c r="E287" s="161"/>
      <c r="F287" s="161"/>
      <c r="G287" s="161"/>
      <c r="H287" s="161"/>
      <c r="I287" s="161"/>
      <c r="J287" s="161"/>
      <c r="K287" s="161"/>
      <c r="L287" s="161"/>
      <c r="M287" s="161"/>
      <c r="N287" s="161"/>
      <c r="O287" s="161"/>
      <c r="P287" s="161"/>
      <c r="Q287" s="161"/>
      <c r="R287" s="161"/>
      <c r="S287" s="161"/>
      <c r="T287" s="161"/>
      <c r="U287" s="161"/>
      <c r="V287" s="161"/>
      <c r="W287" s="161"/>
      <c r="X287" s="161"/>
    </row>
    <row r="288" ht="12.75" customHeight="1">
      <c r="A288" s="165">
        <v>37822.0</v>
      </c>
      <c r="B288" s="165" t="s">
        <v>7896</v>
      </c>
      <c r="C288" s="166">
        <v>45110.0</v>
      </c>
      <c r="D288" s="165" t="s">
        <v>12385</v>
      </c>
      <c r="E288" s="161"/>
      <c r="F288" s="161"/>
      <c r="G288" s="161"/>
      <c r="H288" s="161"/>
      <c r="I288" s="161"/>
      <c r="J288" s="161"/>
      <c r="K288" s="161"/>
      <c r="L288" s="161"/>
      <c r="M288" s="161"/>
      <c r="N288" s="161"/>
      <c r="O288" s="161"/>
      <c r="P288" s="161"/>
      <c r="Q288" s="161"/>
      <c r="R288" s="161"/>
      <c r="S288" s="161"/>
      <c r="T288" s="161"/>
      <c r="U288" s="161"/>
      <c r="V288" s="161"/>
      <c r="W288" s="161"/>
      <c r="X288" s="161"/>
    </row>
    <row r="289" ht="12.75" customHeight="1">
      <c r="A289" s="165">
        <v>37711.0</v>
      </c>
      <c r="B289" s="165" t="s">
        <v>7898</v>
      </c>
      <c r="C289" s="166">
        <v>45110.0</v>
      </c>
      <c r="D289" s="165" t="s">
        <v>12385</v>
      </c>
      <c r="E289" s="161"/>
      <c r="F289" s="161"/>
      <c r="G289" s="161"/>
      <c r="H289" s="161"/>
      <c r="I289" s="161"/>
      <c r="J289" s="161"/>
      <c r="K289" s="161"/>
      <c r="L289" s="161"/>
      <c r="M289" s="161"/>
      <c r="N289" s="161"/>
      <c r="O289" s="161"/>
      <c r="P289" s="161"/>
      <c r="Q289" s="161"/>
      <c r="R289" s="161"/>
      <c r="S289" s="161"/>
      <c r="T289" s="161"/>
      <c r="U289" s="161"/>
      <c r="V289" s="161"/>
      <c r="W289" s="161"/>
      <c r="X289" s="161"/>
    </row>
    <row r="290" ht="12.75" customHeight="1">
      <c r="A290" s="165">
        <v>38036.0</v>
      </c>
      <c r="B290" s="165" t="s">
        <v>7903</v>
      </c>
      <c r="C290" s="166">
        <v>45112.0</v>
      </c>
      <c r="D290" s="165" t="s">
        <v>12385</v>
      </c>
      <c r="E290" s="161"/>
      <c r="F290" s="161"/>
      <c r="G290" s="161"/>
      <c r="H290" s="161"/>
      <c r="I290" s="161"/>
      <c r="J290" s="161"/>
      <c r="K290" s="161"/>
      <c r="L290" s="161"/>
      <c r="M290" s="161"/>
      <c r="N290" s="161"/>
      <c r="O290" s="161"/>
      <c r="P290" s="161"/>
      <c r="Q290" s="161"/>
      <c r="R290" s="161"/>
      <c r="S290" s="161"/>
      <c r="T290" s="161"/>
      <c r="U290" s="161"/>
      <c r="V290" s="161"/>
      <c r="W290" s="161"/>
      <c r="X290" s="161"/>
    </row>
    <row r="291" ht="12.75" customHeight="1">
      <c r="A291" s="165">
        <v>38057.0</v>
      </c>
      <c r="B291" s="165" t="s">
        <v>7871</v>
      </c>
      <c r="C291" s="166">
        <v>45112.0</v>
      </c>
      <c r="D291" s="165" t="s">
        <v>12385</v>
      </c>
      <c r="E291" s="161"/>
      <c r="F291" s="161"/>
      <c r="G291" s="161"/>
      <c r="H291" s="161"/>
      <c r="I291" s="161"/>
      <c r="J291" s="161"/>
      <c r="K291" s="161"/>
      <c r="L291" s="161"/>
      <c r="M291" s="161"/>
      <c r="N291" s="161"/>
      <c r="O291" s="161"/>
      <c r="P291" s="161"/>
      <c r="Q291" s="161"/>
      <c r="R291" s="161"/>
      <c r="S291" s="161"/>
      <c r="T291" s="161"/>
      <c r="U291" s="161"/>
      <c r="V291" s="161"/>
      <c r="W291" s="161"/>
      <c r="X291" s="161"/>
    </row>
    <row r="292" ht="12.75" customHeight="1">
      <c r="A292" s="165">
        <v>37981.0</v>
      </c>
      <c r="B292" s="165" t="s">
        <v>7874</v>
      </c>
      <c r="C292" s="166">
        <v>45113.0</v>
      </c>
      <c r="D292" s="165" t="s">
        <v>12385</v>
      </c>
      <c r="E292" s="161"/>
      <c r="F292" s="161"/>
      <c r="G292" s="161"/>
      <c r="H292" s="161"/>
      <c r="I292" s="161"/>
      <c r="J292" s="161"/>
      <c r="K292" s="161"/>
      <c r="L292" s="161"/>
      <c r="M292" s="161"/>
      <c r="N292" s="161"/>
      <c r="O292" s="161"/>
      <c r="P292" s="161"/>
      <c r="Q292" s="161"/>
      <c r="R292" s="161"/>
      <c r="S292" s="161"/>
      <c r="T292" s="161"/>
      <c r="U292" s="161"/>
      <c r="V292" s="161"/>
      <c r="W292" s="161"/>
      <c r="X292" s="161"/>
    </row>
    <row r="293" ht="12.75" customHeight="1">
      <c r="A293" s="165">
        <v>37870.0</v>
      </c>
      <c r="B293" s="165" t="s">
        <v>7888</v>
      </c>
      <c r="C293" s="166">
        <v>45114.0</v>
      </c>
      <c r="D293" s="165" t="s">
        <v>12371</v>
      </c>
      <c r="E293" s="161"/>
      <c r="F293" s="161"/>
      <c r="G293" s="161"/>
      <c r="H293" s="161"/>
      <c r="I293" s="161"/>
      <c r="J293" s="161"/>
      <c r="K293" s="161"/>
      <c r="L293" s="161"/>
      <c r="M293" s="161"/>
      <c r="N293" s="161"/>
      <c r="O293" s="161"/>
      <c r="P293" s="161"/>
      <c r="Q293" s="161"/>
      <c r="R293" s="161"/>
      <c r="S293" s="161"/>
      <c r="T293" s="161"/>
      <c r="U293" s="161"/>
      <c r="V293" s="161"/>
      <c r="W293" s="161"/>
      <c r="X293" s="161"/>
    </row>
    <row r="294" ht="12.75" customHeight="1">
      <c r="A294" s="165">
        <v>37912.0</v>
      </c>
      <c r="B294" s="165" t="s">
        <v>7886</v>
      </c>
      <c r="C294" s="166">
        <v>45114.0</v>
      </c>
      <c r="D294" s="165" t="s">
        <v>12385</v>
      </c>
      <c r="E294" s="161"/>
      <c r="F294" s="161"/>
      <c r="G294" s="161"/>
      <c r="H294" s="161"/>
      <c r="I294" s="161"/>
      <c r="J294" s="161"/>
      <c r="K294" s="161"/>
      <c r="L294" s="161"/>
      <c r="M294" s="161"/>
      <c r="N294" s="161"/>
      <c r="O294" s="161"/>
      <c r="P294" s="161"/>
      <c r="Q294" s="161"/>
      <c r="R294" s="161"/>
      <c r="S294" s="161"/>
      <c r="T294" s="161"/>
      <c r="U294" s="161"/>
      <c r="V294" s="161"/>
      <c r="W294" s="161"/>
      <c r="X294" s="161"/>
    </row>
    <row r="295" ht="12.75" customHeight="1">
      <c r="A295" s="165">
        <v>37913.0</v>
      </c>
      <c r="B295" s="165" t="s">
        <v>7884</v>
      </c>
      <c r="C295" s="166">
        <v>45114.0</v>
      </c>
      <c r="D295" s="165" t="s">
        <v>12385</v>
      </c>
      <c r="E295" s="161"/>
      <c r="F295" s="161"/>
      <c r="G295" s="161"/>
      <c r="H295" s="161"/>
      <c r="I295" s="161"/>
      <c r="J295" s="161"/>
      <c r="K295" s="161"/>
      <c r="L295" s="161"/>
      <c r="M295" s="161"/>
      <c r="N295" s="161"/>
      <c r="O295" s="161"/>
      <c r="P295" s="161"/>
      <c r="Q295" s="161"/>
      <c r="R295" s="161"/>
      <c r="S295" s="161"/>
      <c r="T295" s="161"/>
      <c r="U295" s="161"/>
      <c r="V295" s="161"/>
      <c r="W295" s="161"/>
      <c r="X295" s="161"/>
    </row>
    <row r="296" ht="12.75" customHeight="1">
      <c r="A296" s="165">
        <v>37914.0</v>
      </c>
      <c r="B296" s="165" t="s">
        <v>7882</v>
      </c>
      <c r="C296" s="166">
        <v>45114.0</v>
      </c>
      <c r="D296" s="165" t="s">
        <v>12385</v>
      </c>
      <c r="E296" s="161"/>
      <c r="F296" s="161"/>
      <c r="G296" s="161"/>
      <c r="H296" s="161"/>
      <c r="I296" s="161"/>
      <c r="J296" s="161"/>
      <c r="K296" s="161"/>
      <c r="L296" s="161"/>
      <c r="M296" s="161"/>
      <c r="N296" s="161"/>
      <c r="O296" s="161"/>
      <c r="P296" s="161"/>
      <c r="Q296" s="161"/>
      <c r="R296" s="161"/>
      <c r="S296" s="161"/>
      <c r="T296" s="161"/>
      <c r="U296" s="161"/>
      <c r="V296" s="161"/>
      <c r="W296" s="161"/>
      <c r="X296" s="161"/>
    </row>
    <row r="297" ht="12.75" customHeight="1">
      <c r="A297" s="165">
        <v>37796.0</v>
      </c>
      <c r="B297" s="165" t="s">
        <v>7869</v>
      </c>
      <c r="C297" s="166">
        <v>45117.0</v>
      </c>
      <c r="D297" s="165" t="s">
        <v>12385</v>
      </c>
      <c r="E297" s="161"/>
      <c r="F297" s="161"/>
      <c r="G297" s="161"/>
      <c r="H297" s="161"/>
      <c r="I297" s="161"/>
      <c r="J297" s="161"/>
      <c r="K297" s="161"/>
      <c r="L297" s="161"/>
      <c r="M297" s="161"/>
      <c r="N297" s="161"/>
      <c r="O297" s="161"/>
      <c r="P297" s="161"/>
      <c r="Q297" s="161"/>
      <c r="R297" s="161"/>
      <c r="S297" s="161"/>
      <c r="T297" s="161"/>
      <c r="U297" s="161"/>
      <c r="V297" s="161"/>
      <c r="W297" s="161"/>
      <c r="X297" s="161"/>
    </row>
    <row r="298" ht="12.75" customHeight="1">
      <c r="A298" s="165">
        <v>38082.0</v>
      </c>
      <c r="B298" s="78" t="s">
        <v>8308</v>
      </c>
      <c r="C298" s="166">
        <v>45121.0</v>
      </c>
      <c r="D298" s="165" t="s">
        <v>12385</v>
      </c>
      <c r="E298" s="161"/>
      <c r="F298" s="161"/>
      <c r="G298" s="161"/>
      <c r="H298" s="161"/>
      <c r="I298" s="161"/>
      <c r="J298" s="161"/>
      <c r="K298" s="161"/>
      <c r="L298" s="161"/>
      <c r="M298" s="161"/>
      <c r="N298" s="161"/>
      <c r="O298" s="161"/>
      <c r="P298" s="161"/>
      <c r="Q298" s="161"/>
      <c r="R298" s="161"/>
      <c r="S298" s="161"/>
      <c r="T298" s="161"/>
      <c r="U298" s="161"/>
      <c r="V298" s="161"/>
      <c r="W298" s="161"/>
      <c r="X298" s="161"/>
    </row>
    <row r="299" ht="12.75" customHeight="1">
      <c r="A299" s="165" t="s">
        <v>4916</v>
      </c>
      <c r="B299" s="165" t="s">
        <v>7859</v>
      </c>
      <c r="C299" s="166">
        <v>45121.0</v>
      </c>
      <c r="D299" s="165" t="s">
        <v>12385</v>
      </c>
      <c r="E299" s="161"/>
      <c r="F299" s="161"/>
      <c r="G299" s="161"/>
      <c r="H299" s="161"/>
      <c r="I299" s="161"/>
      <c r="J299" s="161"/>
      <c r="K299" s="161"/>
      <c r="L299" s="161"/>
      <c r="M299" s="161"/>
      <c r="N299" s="161"/>
      <c r="O299" s="161"/>
      <c r="P299" s="161"/>
      <c r="Q299" s="161"/>
      <c r="R299" s="161"/>
      <c r="S299" s="161"/>
      <c r="T299" s="161"/>
      <c r="U299" s="161"/>
      <c r="V299" s="161"/>
      <c r="W299" s="161"/>
      <c r="X299" s="161"/>
    </row>
    <row r="300" ht="12.75" customHeight="1">
      <c r="A300" s="165">
        <v>37585.0</v>
      </c>
      <c r="B300" s="165" t="s">
        <v>7862</v>
      </c>
      <c r="C300" s="166">
        <v>45124.0</v>
      </c>
      <c r="D300" s="165" t="s">
        <v>12385</v>
      </c>
      <c r="E300" s="161"/>
      <c r="F300" s="161"/>
      <c r="G300" s="161"/>
      <c r="H300" s="161"/>
      <c r="I300" s="161"/>
      <c r="J300" s="161"/>
      <c r="K300" s="161"/>
      <c r="L300" s="161"/>
      <c r="M300" s="161"/>
      <c r="N300" s="161"/>
      <c r="O300" s="161"/>
      <c r="P300" s="161"/>
      <c r="Q300" s="161"/>
      <c r="R300" s="161"/>
      <c r="S300" s="161"/>
      <c r="T300" s="161"/>
      <c r="U300" s="161"/>
      <c r="V300" s="161"/>
      <c r="W300" s="161"/>
      <c r="X300" s="161"/>
    </row>
    <row r="301" ht="12.75" customHeight="1">
      <c r="A301" s="165">
        <v>37710.0</v>
      </c>
      <c r="B301" s="165" t="s">
        <v>7857</v>
      </c>
      <c r="C301" s="166">
        <v>45124.0</v>
      </c>
      <c r="D301" s="165" t="s">
        <v>12385</v>
      </c>
      <c r="E301" s="161"/>
      <c r="F301" s="161"/>
      <c r="G301" s="161"/>
      <c r="H301" s="161"/>
      <c r="I301" s="161"/>
      <c r="J301" s="161"/>
      <c r="K301" s="161"/>
      <c r="L301" s="161"/>
      <c r="M301" s="161"/>
      <c r="N301" s="161"/>
      <c r="O301" s="161"/>
      <c r="P301" s="161"/>
      <c r="Q301" s="161"/>
      <c r="R301" s="161"/>
      <c r="S301" s="161"/>
      <c r="T301" s="161"/>
      <c r="U301" s="161"/>
      <c r="V301" s="161"/>
      <c r="W301" s="161"/>
      <c r="X301" s="161"/>
    </row>
    <row r="302" ht="12.75" customHeight="1">
      <c r="A302" s="165">
        <v>38015.0</v>
      </c>
      <c r="B302" s="165" t="s">
        <v>7842</v>
      </c>
      <c r="C302" s="166">
        <v>45131.0</v>
      </c>
      <c r="D302" s="165" t="s">
        <v>12385</v>
      </c>
      <c r="E302" s="161"/>
      <c r="F302" s="161"/>
      <c r="G302" s="161"/>
      <c r="H302" s="161"/>
      <c r="I302" s="161"/>
      <c r="J302" s="161"/>
      <c r="K302" s="161"/>
      <c r="L302" s="161"/>
      <c r="M302" s="161"/>
      <c r="N302" s="161"/>
      <c r="O302" s="161"/>
      <c r="P302" s="161"/>
      <c r="Q302" s="161"/>
      <c r="R302" s="161"/>
      <c r="S302" s="161"/>
      <c r="T302" s="161"/>
      <c r="U302" s="161"/>
      <c r="V302" s="161"/>
      <c r="W302" s="161"/>
      <c r="X302" s="161"/>
    </row>
    <row r="303" ht="12.75" customHeight="1">
      <c r="A303" s="165">
        <v>38207.0</v>
      </c>
      <c r="B303" s="165" t="s">
        <v>7815</v>
      </c>
      <c r="C303" s="166">
        <v>45148.0</v>
      </c>
      <c r="D303" s="165" t="s">
        <v>12371</v>
      </c>
      <c r="E303" s="161"/>
      <c r="F303" s="161"/>
      <c r="G303" s="161"/>
      <c r="H303" s="161"/>
      <c r="I303" s="161"/>
      <c r="J303" s="161"/>
      <c r="K303" s="161"/>
      <c r="L303" s="161"/>
      <c r="M303" s="161"/>
      <c r="N303" s="161"/>
      <c r="O303" s="161"/>
      <c r="P303" s="161"/>
      <c r="Q303" s="161"/>
      <c r="R303" s="161"/>
      <c r="S303" s="161"/>
      <c r="T303" s="161"/>
      <c r="U303" s="161"/>
      <c r="V303" s="161"/>
      <c r="W303" s="161"/>
      <c r="X303" s="161"/>
    </row>
    <row r="304" ht="12.75" customHeight="1">
      <c r="A304" s="165">
        <v>38277.0</v>
      </c>
      <c r="B304" s="165" t="s">
        <v>8285</v>
      </c>
      <c r="C304" s="166">
        <v>45152.0</v>
      </c>
      <c r="D304" s="165" t="s">
        <v>12371</v>
      </c>
      <c r="E304" s="161"/>
      <c r="F304" s="161"/>
      <c r="G304" s="161"/>
      <c r="H304" s="161"/>
      <c r="I304" s="161"/>
      <c r="J304" s="161"/>
      <c r="K304" s="161"/>
      <c r="L304" s="161"/>
      <c r="M304" s="161"/>
      <c r="N304" s="161"/>
      <c r="O304" s="161"/>
      <c r="P304" s="161"/>
      <c r="Q304" s="161"/>
      <c r="R304" s="161"/>
      <c r="S304" s="161"/>
      <c r="T304" s="161"/>
      <c r="U304" s="161"/>
      <c r="V304" s="161"/>
      <c r="W304" s="161"/>
      <c r="X304" s="161"/>
    </row>
    <row r="305" ht="12.75" customHeight="1">
      <c r="A305" s="165">
        <v>37848.0</v>
      </c>
      <c r="B305" s="165" t="s">
        <v>7798</v>
      </c>
      <c r="C305" s="166">
        <v>45160.0</v>
      </c>
      <c r="D305" s="165" t="s">
        <v>12371</v>
      </c>
      <c r="E305" s="161"/>
      <c r="F305" s="161"/>
      <c r="G305" s="161"/>
      <c r="H305" s="161"/>
      <c r="I305" s="161"/>
      <c r="J305" s="161"/>
      <c r="K305" s="161"/>
      <c r="L305" s="161"/>
      <c r="M305" s="161"/>
      <c r="N305" s="161"/>
      <c r="O305" s="161"/>
      <c r="P305" s="161"/>
      <c r="Q305" s="161"/>
      <c r="R305" s="161"/>
      <c r="S305" s="161"/>
      <c r="T305" s="161"/>
      <c r="U305" s="161"/>
      <c r="V305" s="161"/>
      <c r="W305" s="161"/>
      <c r="X305" s="161"/>
    </row>
    <row r="306" ht="12.75" customHeight="1">
      <c r="A306" s="165">
        <v>37851.0</v>
      </c>
      <c r="B306" s="165" t="s">
        <v>7796</v>
      </c>
      <c r="C306" s="166">
        <v>45160.0</v>
      </c>
      <c r="D306" s="165" t="s">
        <v>12371</v>
      </c>
      <c r="E306" s="161"/>
      <c r="F306" s="161"/>
      <c r="G306" s="161"/>
      <c r="H306" s="161"/>
      <c r="I306" s="161"/>
      <c r="J306" s="161"/>
      <c r="K306" s="161"/>
      <c r="L306" s="161"/>
      <c r="M306" s="161"/>
      <c r="N306" s="161"/>
      <c r="O306" s="161"/>
      <c r="P306" s="161"/>
      <c r="Q306" s="161"/>
      <c r="R306" s="161"/>
      <c r="S306" s="161"/>
      <c r="T306" s="161"/>
      <c r="U306" s="161"/>
      <c r="V306" s="161"/>
      <c r="W306" s="161"/>
      <c r="X306" s="161"/>
    </row>
    <row r="307" ht="12.75" customHeight="1">
      <c r="A307" s="165">
        <v>37821.0</v>
      </c>
      <c r="B307" s="165" t="s">
        <v>7794</v>
      </c>
      <c r="C307" s="166">
        <v>45160.0</v>
      </c>
      <c r="D307" s="165" t="s">
        <v>12371</v>
      </c>
      <c r="E307" s="161"/>
      <c r="F307" s="161"/>
      <c r="G307" s="161"/>
      <c r="H307" s="161"/>
      <c r="I307" s="161"/>
      <c r="J307" s="161"/>
      <c r="K307" s="161"/>
      <c r="L307" s="161"/>
      <c r="M307" s="161"/>
      <c r="N307" s="161"/>
      <c r="O307" s="161"/>
      <c r="P307" s="161"/>
      <c r="Q307" s="161"/>
      <c r="R307" s="161"/>
      <c r="S307" s="161"/>
      <c r="T307" s="161"/>
      <c r="U307" s="161"/>
      <c r="V307" s="161"/>
      <c r="W307" s="161"/>
      <c r="X307" s="161"/>
    </row>
    <row r="308" ht="12.75" customHeight="1">
      <c r="A308" s="165">
        <v>38281.0</v>
      </c>
      <c r="B308" s="165" t="s">
        <v>12387</v>
      </c>
      <c r="C308" s="166">
        <v>45162.0</v>
      </c>
      <c r="D308" s="165" t="s">
        <v>12371</v>
      </c>
      <c r="E308" s="161"/>
      <c r="F308" s="161"/>
      <c r="G308" s="161"/>
      <c r="H308" s="161"/>
      <c r="I308" s="161"/>
      <c r="J308" s="161"/>
      <c r="K308" s="161"/>
      <c r="L308" s="161"/>
      <c r="M308" s="161"/>
      <c r="N308" s="161"/>
      <c r="O308" s="161"/>
      <c r="P308" s="161"/>
      <c r="Q308" s="161"/>
      <c r="R308" s="161"/>
      <c r="S308" s="161"/>
      <c r="T308" s="161"/>
      <c r="U308" s="161"/>
      <c r="V308" s="161"/>
      <c r="W308" s="161"/>
      <c r="X308" s="161"/>
    </row>
    <row r="309" ht="12.75" customHeight="1">
      <c r="A309" s="165">
        <v>38281.0</v>
      </c>
      <c r="B309" s="165" t="s">
        <v>12388</v>
      </c>
      <c r="C309" s="166">
        <v>45162.0</v>
      </c>
      <c r="D309" s="165" t="s">
        <v>12371</v>
      </c>
      <c r="E309" s="161"/>
      <c r="F309" s="161"/>
      <c r="G309" s="161"/>
      <c r="H309" s="161"/>
      <c r="I309" s="161"/>
      <c r="J309" s="161"/>
      <c r="K309" s="161"/>
      <c r="L309" s="161"/>
      <c r="M309" s="161"/>
      <c r="N309" s="161"/>
      <c r="O309" s="161"/>
      <c r="P309" s="161"/>
      <c r="Q309" s="161"/>
      <c r="R309" s="161"/>
      <c r="S309" s="161"/>
      <c r="T309" s="161"/>
      <c r="U309" s="161"/>
      <c r="V309" s="161"/>
      <c r="W309" s="161"/>
      <c r="X309" s="161"/>
    </row>
    <row r="310" ht="12.75" customHeight="1">
      <c r="A310" s="165">
        <v>38281.0</v>
      </c>
      <c r="B310" s="165" t="s">
        <v>12389</v>
      </c>
      <c r="C310" s="166">
        <v>45162.0</v>
      </c>
      <c r="D310" s="165" t="s">
        <v>12371</v>
      </c>
      <c r="E310" s="161"/>
      <c r="F310" s="161"/>
      <c r="G310" s="161"/>
      <c r="H310" s="161"/>
      <c r="I310" s="161"/>
      <c r="J310" s="161"/>
      <c r="K310" s="161"/>
      <c r="L310" s="161"/>
      <c r="M310" s="161"/>
      <c r="N310" s="161"/>
      <c r="O310" s="161"/>
      <c r="P310" s="161"/>
      <c r="Q310" s="161"/>
      <c r="R310" s="161"/>
      <c r="S310" s="161"/>
      <c r="T310" s="161"/>
      <c r="U310" s="161"/>
      <c r="V310" s="161"/>
      <c r="W310" s="161"/>
      <c r="X310" s="161"/>
    </row>
    <row r="311" ht="12.75" customHeight="1">
      <c r="A311" s="165">
        <v>37942.0</v>
      </c>
      <c r="B311" s="165" t="s">
        <v>7770</v>
      </c>
      <c r="C311" s="166">
        <v>45162.0</v>
      </c>
      <c r="D311" s="165" t="s">
        <v>12371</v>
      </c>
      <c r="E311" s="161"/>
      <c r="F311" s="161"/>
      <c r="G311" s="161"/>
      <c r="H311" s="161"/>
      <c r="I311" s="161"/>
      <c r="J311" s="161"/>
      <c r="K311" s="161"/>
      <c r="L311" s="161"/>
      <c r="M311" s="161"/>
      <c r="N311" s="161"/>
      <c r="O311" s="161"/>
      <c r="P311" s="161"/>
      <c r="Q311" s="161"/>
      <c r="R311" s="161"/>
      <c r="S311" s="161"/>
      <c r="T311" s="161"/>
      <c r="U311" s="161"/>
      <c r="V311" s="161"/>
      <c r="W311" s="161"/>
      <c r="X311" s="161"/>
    </row>
    <row r="312" ht="12.75" customHeight="1">
      <c r="A312" s="165">
        <v>38171.0</v>
      </c>
      <c r="B312" s="165" t="s">
        <v>7778</v>
      </c>
      <c r="C312" s="166">
        <v>45166.0</v>
      </c>
      <c r="D312" s="165" t="s">
        <v>12371</v>
      </c>
      <c r="E312" s="161"/>
      <c r="F312" s="161"/>
      <c r="G312" s="161"/>
      <c r="H312" s="161"/>
      <c r="I312" s="161"/>
      <c r="J312" s="161"/>
      <c r="K312" s="161"/>
      <c r="L312" s="161"/>
      <c r="M312" s="161"/>
      <c r="N312" s="161"/>
      <c r="O312" s="161"/>
      <c r="P312" s="161"/>
      <c r="Q312" s="161"/>
      <c r="R312" s="161"/>
      <c r="S312" s="161"/>
      <c r="T312" s="161"/>
      <c r="U312" s="161"/>
      <c r="V312" s="161"/>
      <c r="W312" s="161"/>
      <c r="X312" s="161"/>
    </row>
    <row r="313" ht="12.75" customHeight="1">
      <c r="A313" s="165">
        <v>37791.0</v>
      </c>
      <c r="B313" s="165" t="s">
        <v>7772</v>
      </c>
      <c r="C313" s="166">
        <v>45166.0</v>
      </c>
      <c r="D313" s="165" t="s">
        <v>12371</v>
      </c>
      <c r="E313" s="161"/>
      <c r="F313" s="161"/>
      <c r="G313" s="161"/>
      <c r="H313" s="161"/>
      <c r="I313" s="161"/>
      <c r="J313" s="161"/>
      <c r="K313" s="161"/>
      <c r="L313" s="161"/>
      <c r="M313" s="161"/>
      <c r="N313" s="161"/>
      <c r="O313" s="161"/>
      <c r="P313" s="161"/>
      <c r="Q313" s="161"/>
      <c r="R313" s="161"/>
      <c r="S313" s="161"/>
      <c r="T313" s="161"/>
      <c r="U313" s="161"/>
      <c r="V313" s="161"/>
      <c r="W313" s="161"/>
      <c r="X313" s="161"/>
    </row>
    <row r="314" ht="12.75" customHeight="1">
      <c r="A314" s="165">
        <v>38280.0</v>
      </c>
      <c r="B314" s="165" t="s">
        <v>8270</v>
      </c>
      <c r="C314" s="166">
        <v>45169.0</v>
      </c>
      <c r="D314" s="165" t="s">
        <v>12371</v>
      </c>
      <c r="E314" s="161"/>
      <c r="F314" s="161"/>
      <c r="G314" s="161"/>
      <c r="H314" s="161"/>
      <c r="I314" s="161"/>
      <c r="J314" s="161"/>
      <c r="K314" s="161"/>
      <c r="L314" s="161"/>
      <c r="M314" s="161"/>
      <c r="N314" s="161"/>
      <c r="O314" s="161"/>
      <c r="P314" s="161"/>
      <c r="Q314" s="161"/>
      <c r="R314" s="161"/>
      <c r="S314" s="161"/>
      <c r="T314" s="161"/>
      <c r="U314" s="161"/>
      <c r="V314" s="161"/>
      <c r="W314" s="161"/>
      <c r="X314" s="161"/>
    </row>
    <row r="315" ht="12.75" customHeight="1">
      <c r="A315" s="165">
        <v>38284.0</v>
      </c>
      <c r="B315" s="165" t="s">
        <v>12390</v>
      </c>
      <c r="C315" s="166">
        <v>45169.0</v>
      </c>
      <c r="D315" s="165" t="s">
        <v>12371</v>
      </c>
      <c r="E315" s="161"/>
      <c r="F315" s="161"/>
      <c r="G315" s="161"/>
      <c r="H315" s="161"/>
      <c r="I315" s="161"/>
      <c r="J315" s="161"/>
      <c r="K315" s="161"/>
      <c r="L315" s="161"/>
      <c r="M315" s="161"/>
      <c r="N315" s="161"/>
      <c r="O315" s="161"/>
      <c r="P315" s="161"/>
      <c r="Q315" s="161"/>
      <c r="R315" s="161"/>
      <c r="S315" s="161"/>
      <c r="T315" s="161"/>
      <c r="U315" s="161"/>
      <c r="V315" s="161"/>
      <c r="W315" s="161"/>
      <c r="X315" s="161"/>
    </row>
    <row r="316" ht="12.75" customHeight="1">
      <c r="A316" s="165">
        <v>38284.0</v>
      </c>
      <c r="B316" s="165" t="s">
        <v>12391</v>
      </c>
      <c r="C316" s="166">
        <v>45169.0</v>
      </c>
      <c r="D316" s="165" t="s">
        <v>12371</v>
      </c>
      <c r="E316" s="161"/>
      <c r="F316" s="161"/>
      <c r="G316" s="161"/>
      <c r="H316" s="161"/>
      <c r="I316" s="161"/>
      <c r="J316" s="161"/>
      <c r="K316" s="161"/>
      <c r="L316" s="161"/>
      <c r="M316" s="161"/>
      <c r="N316" s="161"/>
      <c r="O316" s="161"/>
      <c r="P316" s="161"/>
      <c r="Q316" s="161"/>
      <c r="R316" s="161"/>
      <c r="S316" s="161"/>
      <c r="T316" s="161"/>
      <c r="U316" s="161"/>
      <c r="V316" s="161"/>
      <c r="W316" s="161"/>
      <c r="X316" s="161"/>
    </row>
    <row r="317" ht="12.75" customHeight="1">
      <c r="A317" s="165">
        <v>38254.0</v>
      </c>
      <c r="B317" s="165" t="s">
        <v>7762</v>
      </c>
      <c r="C317" s="166">
        <v>45170.0</v>
      </c>
      <c r="D317" s="165" t="s">
        <v>12371</v>
      </c>
      <c r="E317" s="161"/>
      <c r="F317" s="161"/>
      <c r="G317" s="161"/>
      <c r="H317" s="161"/>
      <c r="I317" s="161"/>
      <c r="J317" s="161"/>
      <c r="K317" s="161"/>
      <c r="L317" s="161"/>
      <c r="M317" s="161"/>
      <c r="N317" s="161"/>
      <c r="O317" s="161"/>
      <c r="P317" s="161"/>
      <c r="Q317" s="161"/>
      <c r="R317" s="161"/>
      <c r="S317" s="161"/>
      <c r="T317" s="161"/>
      <c r="U317" s="161"/>
      <c r="V317" s="161"/>
      <c r="W317" s="161"/>
      <c r="X317" s="161"/>
    </row>
    <row r="318" ht="12.75" customHeight="1">
      <c r="A318" s="165">
        <v>38222.0</v>
      </c>
      <c r="B318" s="165" t="s">
        <v>7752</v>
      </c>
      <c r="C318" s="166">
        <v>45175.0</v>
      </c>
      <c r="D318" s="165" t="s">
        <v>12371</v>
      </c>
      <c r="E318" s="161"/>
      <c r="F318" s="161"/>
      <c r="G318" s="161"/>
      <c r="H318" s="161"/>
      <c r="I318" s="161"/>
      <c r="J318" s="161"/>
      <c r="K318" s="161"/>
      <c r="L318" s="161"/>
      <c r="M318" s="161"/>
      <c r="N318" s="161"/>
      <c r="O318" s="161"/>
      <c r="P318" s="161"/>
      <c r="Q318" s="161"/>
      <c r="R318" s="161"/>
      <c r="S318" s="161"/>
      <c r="T318" s="161"/>
      <c r="U318" s="161"/>
      <c r="V318" s="161"/>
      <c r="W318" s="161"/>
      <c r="X318" s="161"/>
    </row>
    <row r="319" ht="12.75" customHeight="1">
      <c r="A319" s="165">
        <v>37984.0</v>
      </c>
      <c r="B319" s="165" t="s">
        <v>7747</v>
      </c>
      <c r="C319" s="166">
        <v>45175.0</v>
      </c>
      <c r="D319" s="165" t="s">
        <v>12371</v>
      </c>
      <c r="E319" s="161"/>
      <c r="F319" s="161"/>
      <c r="G319" s="161"/>
      <c r="H319" s="161"/>
      <c r="I319" s="161"/>
      <c r="J319" s="161"/>
      <c r="K319" s="161"/>
      <c r="L319" s="161"/>
      <c r="M319" s="161"/>
      <c r="N319" s="161"/>
      <c r="O319" s="161"/>
      <c r="P319" s="161"/>
      <c r="Q319" s="161"/>
      <c r="R319" s="161"/>
      <c r="S319" s="161"/>
      <c r="T319" s="161"/>
      <c r="U319" s="161"/>
      <c r="V319" s="161"/>
      <c r="W319" s="161"/>
      <c r="X319" s="161"/>
    </row>
    <row r="320" ht="12.75" customHeight="1">
      <c r="A320" s="165">
        <v>37932.0</v>
      </c>
      <c r="B320" s="165" t="s">
        <v>7745</v>
      </c>
      <c r="C320" s="166">
        <v>45180.0</v>
      </c>
      <c r="D320" s="165" t="s">
        <v>12371</v>
      </c>
      <c r="E320" s="161"/>
      <c r="F320" s="161"/>
      <c r="G320" s="161"/>
      <c r="H320" s="161"/>
      <c r="I320" s="161"/>
      <c r="J320" s="161"/>
      <c r="K320" s="161"/>
      <c r="L320" s="161"/>
      <c r="M320" s="161"/>
      <c r="N320" s="161"/>
      <c r="O320" s="161"/>
      <c r="P320" s="161"/>
      <c r="Q320" s="161"/>
      <c r="R320" s="161"/>
      <c r="S320" s="161"/>
      <c r="T320" s="161"/>
      <c r="U320" s="161"/>
      <c r="V320" s="161"/>
      <c r="W320" s="161"/>
      <c r="X320" s="161"/>
    </row>
    <row r="321" ht="12.75" customHeight="1">
      <c r="A321" s="165">
        <v>38224.0</v>
      </c>
      <c r="B321" s="165" t="s">
        <v>7741</v>
      </c>
      <c r="C321" s="166">
        <v>45180.0</v>
      </c>
      <c r="D321" s="165" t="s">
        <v>12371</v>
      </c>
      <c r="E321" s="161"/>
      <c r="F321" s="161"/>
      <c r="G321" s="161"/>
      <c r="H321" s="161"/>
      <c r="I321" s="161"/>
      <c r="J321" s="161"/>
      <c r="K321" s="161"/>
      <c r="L321" s="161"/>
      <c r="M321" s="161"/>
      <c r="N321" s="161"/>
      <c r="O321" s="161"/>
      <c r="P321" s="161"/>
      <c r="Q321" s="161"/>
      <c r="R321" s="161"/>
      <c r="S321" s="161"/>
      <c r="T321" s="161"/>
      <c r="U321" s="161"/>
      <c r="V321" s="161"/>
      <c r="W321" s="161"/>
      <c r="X321" s="161"/>
    </row>
    <row r="322" ht="12.75" customHeight="1">
      <c r="A322" s="165">
        <v>38227.0</v>
      </c>
      <c r="B322" s="165" t="s">
        <v>7734</v>
      </c>
      <c r="C322" s="166">
        <v>45180.0</v>
      </c>
      <c r="D322" s="165" t="s">
        <v>12371</v>
      </c>
      <c r="E322" s="161"/>
      <c r="F322" s="161"/>
      <c r="G322" s="161"/>
      <c r="H322" s="161"/>
      <c r="I322" s="161"/>
      <c r="J322" s="161"/>
      <c r="K322" s="161"/>
      <c r="L322" s="161"/>
      <c r="M322" s="161"/>
      <c r="N322" s="161"/>
      <c r="O322" s="161"/>
      <c r="P322" s="161"/>
      <c r="Q322" s="161"/>
      <c r="R322" s="161"/>
      <c r="S322" s="161"/>
      <c r="T322" s="161"/>
      <c r="U322" s="161"/>
      <c r="V322" s="161"/>
      <c r="W322" s="161"/>
      <c r="X322" s="161"/>
    </row>
    <row r="323" ht="12.75" customHeight="1">
      <c r="A323" s="165">
        <v>38416.0</v>
      </c>
      <c r="B323" s="165" t="s">
        <v>8254</v>
      </c>
      <c r="C323" s="166">
        <v>45184.0</v>
      </c>
      <c r="D323" s="165" t="s">
        <v>12371</v>
      </c>
      <c r="E323" s="161"/>
      <c r="F323" s="161"/>
      <c r="G323" s="161"/>
      <c r="H323" s="161"/>
      <c r="I323" s="161"/>
      <c r="J323" s="161"/>
      <c r="K323" s="161"/>
      <c r="L323" s="161"/>
      <c r="M323" s="161"/>
      <c r="N323" s="161"/>
      <c r="O323" s="161"/>
      <c r="P323" s="161"/>
      <c r="Q323" s="161"/>
      <c r="R323" s="161"/>
      <c r="S323" s="161"/>
      <c r="T323" s="161"/>
      <c r="U323" s="161"/>
      <c r="V323" s="161"/>
      <c r="W323" s="161"/>
      <c r="X323" s="161"/>
    </row>
    <row r="324" ht="12.75" customHeight="1">
      <c r="A324" s="165">
        <v>38419.0</v>
      </c>
      <c r="B324" s="165" t="s">
        <v>12392</v>
      </c>
      <c r="C324" s="166">
        <v>45189.0</v>
      </c>
      <c r="D324" s="165" t="s">
        <v>12371</v>
      </c>
      <c r="E324" s="161"/>
      <c r="F324" s="161"/>
      <c r="G324" s="161"/>
      <c r="H324" s="161"/>
      <c r="I324" s="161"/>
      <c r="J324" s="161"/>
      <c r="K324" s="161"/>
      <c r="L324" s="161"/>
      <c r="M324" s="161"/>
      <c r="N324" s="161"/>
      <c r="O324" s="161"/>
      <c r="P324" s="161"/>
      <c r="Q324" s="161"/>
      <c r="R324" s="161"/>
      <c r="S324" s="161"/>
      <c r="T324" s="161"/>
      <c r="U324" s="161"/>
      <c r="V324" s="161"/>
      <c r="W324" s="161"/>
      <c r="X324" s="161"/>
    </row>
    <row r="325" ht="12.75" customHeight="1">
      <c r="A325" s="165">
        <v>38419.0</v>
      </c>
      <c r="B325" s="165" t="s">
        <v>12393</v>
      </c>
      <c r="C325" s="166">
        <v>45189.0</v>
      </c>
      <c r="D325" s="165" t="s">
        <v>12371</v>
      </c>
      <c r="E325" s="161"/>
      <c r="F325" s="161"/>
      <c r="G325" s="161"/>
      <c r="H325" s="161"/>
      <c r="I325" s="161"/>
      <c r="J325" s="161"/>
      <c r="K325" s="161"/>
      <c r="L325" s="161"/>
      <c r="M325" s="161"/>
      <c r="N325" s="161"/>
      <c r="O325" s="161"/>
      <c r="P325" s="161"/>
      <c r="Q325" s="161"/>
      <c r="R325" s="161"/>
      <c r="S325" s="161"/>
      <c r="T325" s="161"/>
      <c r="U325" s="161"/>
      <c r="V325" s="161"/>
      <c r="W325" s="161"/>
      <c r="X325" s="161"/>
    </row>
    <row r="326" ht="12.75" customHeight="1">
      <c r="A326" s="165">
        <v>38306.0</v>
      </c>
      <c r="B326" s="165" t="s">
        <v>7710</v>
      </c>
      <c r="C326" s="166">
        <v>45190.0</v>
      </c>
      <c r="D326" s="165" t="s">
        <v>12371</v>
      </c>
      <c r="E326" s="161"/>
      <c r="F326" s="161"/>
      <c r="G326" s="161"/>
      <c r="H326" s="161"/>
      <c r="I326" s="161"/>
      <c r="J326" s="161"/>
      <c r="K326" s="161"/>
      <c r="L326" s="161"/>
      <c r="M326" s="161"/>
      <c r="N326" s="161"/>
      <c r="O326" s="161"/>
      <c r="P326" s="161"/>
      <c r="Q326" s="161"/>
      <c r="R326" s="161"/>
      <c r="S326" s="161"/>
      <c r="T326" s="161"/>
      <c r="U326" s="161"/>
      <c r="V326" s="161"/>
      <c r="W326" s="161"/>
      <c r="X326" s="161"/>
    </row>
    <row r="327" ht="12.75" customHeight="1">
      <c r="A327" s="165">
        <v>38345.0</v>
      </c>
      <c r="B327" s="165" t="s">
        <v>7702</v>
      </c>
      <c r="C327" s="166">
        <v>45195.0</v>
      </c>
      <c r="D327" s="165" t="s">
        <v>12371</v>
      </c>
      <c r="E327" s="161"/>
      <c r="F327" s="161"/>
      <c r="G327" s="161"/>
      <c r="H327" s="161"/>
      <c r="I327" s="161"/>
      <c r="J327" s="161"/>
      <c r="K327" s="161"/>
      <c r="L327" s="161"/>
      <c r="M327" s="161"/>
      <c r="N327" s="161"/>
      <c r="O327" s="161"/>
      <c r="P327" s="161"/>
      <c r="Q327" s="161"/>
      <c r="R327" s="161"/>
      <c r="S327" s="161"/>
      <c r="T327" s="161"/>
      <c r="U327" s="161"/>
      <c r="V327" s="161"/>
      <c r="W327" s="161"/>
      <c r="X327" s="161"/>
    </row>
    <row r="328" ht="12.75" customHeight="1">
      <c r="A328" s="165">
        <v>38052.0</v>
      </c>
      <c r="B328" s="165" t="s">
        <v>7699</v>
      </c>
      <c r="C328" s="166">
        <v>45195.0</v>
      </c>
      <c r="D328" s="165" t="s">
        <v>12371</v>
      </c>
      <c r="E328" s="161"/>
      <c r="F328" s="161"/>
      <c r="G328" s="161"/>
      <c r="H328" s="161"/>
      <c r="I328" s="161"/>
      <c r="J328" s="161"/>
      <c r="K328" s="161"/>
      <c r="L328" s="161"/>
      <c r="M328" s="161"/>
      <c r="N328" s="161"/>
      <c r="O328" s="161"/>
      <c r="P328" s="161"/>
      <c r="Q328" s="161"/>
      <c r="R328" s="161"/>
      <c r="S328" s="161"/>
      <c r="T328" s="161"/>
      <c r="U328" s="161"/>
      <c r="V328" s="161"/>
      <c r="W328" s="161"/>
      <c r="X328" s="161"/>
    </row>
    <row r="329" ht="12.75" customHeight="1">
      <c r="A329" s="165">
        <v>37899.0</v>
      </c>
      <c r="B329" s="165" t="s">
        <v>7689</v>
      </c>
      <c r="C329" s="166">
        <v>45198.0</v>
      </c>
      <c r="D329" s="165" t="s">
        <v>12371</v>
      </c>
      <c r="E329" s="161"/>
      <c r="F329" s="161"/>
      <c r="G329" s="161"/>
      <c r="H329" s="161"/>
      <c r="I329" s="161"/>
      <c r="J329" s="161"/>
      <c r="K329" s="161"/>
      <c r="L329" s="161"/>
      <c r="M329" s="161"/>
      <c r="N329" s="161"/>
      <c r="O329" s="161"/>
      <c r="P329" s="161"/>
      <c r="Q329" s="161"/>
      <c r="R329" s="161"/>
      <c r="S329" s="161"/>
      <c r="T329" s="161"/>
      <c r="U329" s="161"/>
      <c r="V329" s="161"/>
      <c r="W329" s="161"/>
      <c r="X329" s="161"/>
    </row>
    <row r="330" ht="12.75" customHeight="1">
      <c r="A330" s="165">
        <v>37826.0</v>
      </c>
      <c r="B330" s="165" t="s">
        <v>7687</v>
      </c>
      <c r="C330" s="166">
        <v>45198.0</v>
      </c>
      <c r="D330" s="165" t="s">
        <v>12371</v>
      </c>
      <c r="E330" s="161"/>
      <c r="F330" s="161"/>
      <c r="G330" s="161"/>
      <c r="H330" s="161"/>
      <c r="I330" s="161"/>
      <c r="J330" s="161"/>
      <c r="K330" s="161"/>
      <c r="L330" s="161"/>
      <c r="M330" s="161"/>
      <c r="N330" s="161"/>
      <c r="O330" s="161"/>
      <c r="P330" s="161"/>
      <c r="Q330" s="161"/>
      <c r="R330" s="161"/>
      <c r="S330" s="161"/>
      <c r="T330" s="161"/>
      <c r="U330" s="161"/>
      <c r="V330" s="161"/>
      <c r="W330" s="161"/>
      <c r="X330" s="161"/>
    </row>
    <row r="331" ht="12.75" customHeight="1">
      <c r="A331" s="165">
        <v>38226.0</v>
      </c>
      <c r="B331" s="165" t="s">
        <v>7685</v>
      </c>
      <c r="C331" s="166">
        <v>45198.0</v>
      </c>
      <c r="D331" s="165" t="s">
        <v>12371</v>
      </c>
      <c r="E331" s="161"/>
      <c r="F331" s="161"/>
      <c r="G331" s="161"/>
      <c r="H331" s="161"/>
      <c r="I331" s="161"/>
      <c r="J331" s="161"/>
      <c r="K331" s="161"/>
      <c r="L331" s="161"/>
      <c r="M331" s="161"/>
      <c r="N331" s="161"/>
      <c r="O331" s="161"/>
      <c r="P331" s="161"/>
      <c r="Q331" s="161"/>
      <c r="R331" s="161"/>
      <c r="S331" s="161"/>
      <c r="T331" s="161"/>
      <c r="U331" s="161"/>
      <c r="V331" s="161"/>
      <c r="W331" s="161"/>
      <c r="X331" s="161"/>
    </row>
    <row r="332" ht="12.75" customHeight="1">
      <c r="A332" s="165">
        <v>38458.0</v>
      </c>
      <c r="B332" s="165" t="s">
        <v>8247</v>
      </c>
      <c r="C332" s="166">
        <v>45203.0</v>
      </c>
      <c r="D332" s="165" t="s">
        <v>12371</v>
      </c>
      <c r="E332" s="161"/>
      <c r="F332" s="161"/>
      <c r="G332" s="161"/>
      <c r="H332" s="161"/>
      <c r="I332" s="161"/>
      <c r="J332" s="161"/>
      <c r="K332" s="161"/>
      <c r="L332" s="161"/>
      <c r="M332" s="161"/>
      <c r="N332" s="161"/>
      <c r="O332" s="161"/>
      <c r="P332" s="161"/>
      <c r="Q332" s="161"/>
      <c r="R332" s="161"/>
      <c r="S332" s="161"/>
      <c r="T332" s="161"/>
      <c r="U332" s="161"/>
      <c r="V332" s="161"/>
      <c r="W332" s="161"/>
      <c r="X332" s="161"/>
    </row>
    <row r="333" ht="12.75" customHeight="1">
      <c r="A333" s="165">
        <v>38054.0</v>
      </c>
      <c r="B333" s="165" t="s">
        <v>7671</v>
      </c>
      <c r="C333" s="166">
        <v>45203.0</v>
      </c>
      <c r="D333" s="165" t="s">
        <v>12371</v>
      </c>
      <c r="E333" s="161"/>
      <c r="F333" s="161"/>
      <c r="G333" s="161"/>
      <c r="H333" s="161"/>
      <c r="I333" s="161"/>
      <c r="J333" s="161"/>
      <c r="K333" s="161"/>
      <c r="L333" s="161"/>
      <c r="M333" s="161"/>
      <c r="N333" s="161"/>
      <c r="O333" s="161"/>
      <c r="P333" s="161"/>
      <c r="Q333" s="161"/>
      <c r="R333" s="161"/>
      <c r="S333" s="161"/>
      <c r="T333" s="161"/>
      <c r="U333" s="161"/>
      <c r="V333" s="161"/>
      <c r="W333" s="161"/>
      <c r="X333" s="161"/>
    </row>
    <row r="334" ht="12.75" customHeight="1">
      <c r="A334" s="165">
        <v>38460.0</v>
      </c>
      <c r="B334" s="165" t="s">
        <v>12394</v>
      </c>
      <c r="C334" s="166">
        <v>45208.0</v>
      </c>
      <c r="D334" s="165" t="s">
        <v>12371</v>
      </c>
      <c r="E334" s="161"/>
      <c r="F334" s="161"/>
      <c r="G334" s="161"/>
      <c r="H334" s="161"/>
      <c r="I334" s="161"/>
      <c r="J334" s="161"/>
      <c r="K334" s="161"/>
      <c r="L334" s="161"/>
      <c r="M334" s="161"/>
      <c r="N334" s="161"/>
      <c r="O334" s="161"/>
      <c r="P334" s="161"/>
      <c r="Q334" s="161"/>
      <c r="R334" s="161"/>
      <c r="S334" s="161"/>
      <c r="T334" s="161"/>
      <c r="U334" s="161"/>
      <c r="V334" s="161"/>
      <c r="W334" s="161"/>
      <c r="X334" s="161"/>
    </row>
    <row r="335" ht="12.75" customHeight="1">
      <c r="A335" s="165">
        <v>38460.0</v>
      </c>
      <c r="B335" s="165" t="s">
        <v>12395</v>
      </c>
      <c r="C335" s="166">
        <v>45209.0</v>
      </c>
      <c r="D335" s="165" t="s">
        <v>12371</v>
      </c>
      <c r="E335" s="161"/>
      <c r="F335" s="161"/>
      <c r="G335" s="161"/>
      <c r="H335" s="161"/>
      <c r="I335" s="161"/>
      <c r="J335" s="161"/>
      <c r="K335" s="161"/>
      <c r="L335" s="161"/>
      <c r="M335" s="161"/>
      <c r="N335" s="161"/>
      <c r="O335" s="161"/>
      <c r="P335" s="161"/>
      <c r="Q335" s="161"/>
      <c r="R335" s="161"/>
      <c r="S335" s="161"/>
      <c r="T335" s="161"/>
      <c r="U335" s="161"/>
      <c r="V335" s="161"/>
      <c r="W335" s="161"/>
      <c r="X335" s="161"/>
    </row>
    <row r="336" ht="12.75" customHeight="1">
      <c r="A336" s="165">
        <v>38421.0</v>
      </c>
      <c r="B336" s="165" t="s">
        <v>8240</v>
      </c>
      <c r="C336" s="166">
        <v>45211.0</v>
      </c>
      <c r="D336" s="165" t="s">
        <v>12371</v>
      </c>
      <c r="E336" s="161"/>
      <c r="F336" s="161"/>
      <c r="G336" s="161"/>
      <c r="H336" s="161"/>
      <c r="I336" s="161"/>
      <c r="J336" s="161"/>
      <c r="K336" s="161"/>
      <c r="L336" s="161"/>
      <c r="M336" s="161"/>
      <c r="N336" s="161"/>
      <c r="O336" s="161"/>
      <c r="P336" s="161"/>
      <c r="Q336" s="161"/>
      <c r="R336" s="161"/>
      <c r="S336" s="161"/>
      <c r="T336" s="161"/>
      <c r="U336" s="161"/>
      <c r="V336" s="161"/>
      <c r="W336" s="161"/>
      <c r="X336" s="161"/>
    </row>
    <row r="337" ht="12.75" customHeight="1">
      <c r="A337" s="165">
        <v>38044.0</v>
      </c>
      <c r="B337" s="165" t="s">
        <v>7651</v>
      </c>
      <c r="C337" s="166">
        <v>45211.0</v>
      </c>
      <c r="D337" s="165" t="s">
        <v>12371</v>
      </c>
      <c r="E337" s="161"/>
      <c r="F337" s="161"/>
      <c r="G337" s="161"/>
      <c r="H337" s="161"/>
      <c r="I337" s="161"/>
      <c r="J337" s="161"/>
      <c r="K337" s="161"/>
      <c r="L337" s="161"/>
      <c r="M337" s="161"/>
      <c r="N337" s="161"/>
      <c r="O337" s="161"/>
      <c r="P337" s="161"/>
      <c r="Q337" s="161"/>
      <c r="R337" s="161"/>
      <c r="S337" s="161"/>
      <c r="T337" s="161"/>
      <c r="U337" s="161"/>
      <c r="V337" s="161"/>
      <c r="W337" s="161"/>
      <c r="X337" s="161"/>
    </row>
    <row r="338" ht="12.75" customHeight="1">
      <c r="A338" s="165">
        <v>38511.0</v>
      </c>
      <c r="B338" s="165" t="s">
        <v>7642</v>
      </c>
      <c r="C338" s="166">
        <v>45211.0</v>
      </c>
      <c r="D338" s="165" t="s">
        <v>12371</v>
      </c>
      <c r="E338" s="161"/>
      <c r="F338" s="161"/>
      <c r="G338" s="161"/>
      <c r="H338" s="161"/>
      <c r="I338" s="161"/>
      <c r="J338" s="161"/>
      <c r="K338" s="161"/>
      <c r="L338" s="161"/>
      <c r="M338" s="161"/>
      <c r="N338" s="161"/>
      <c r="O338" s="161"/>
      <c r="P338" s="161"/>
      <c r="Q338" s="161"/>
      <c r="R338" s="161"/>
      <c r="S338" s="161"/>
      <c r="T338" s="161"/>
      <c r="U338" s="161"/>
      <c r="V338" s="161"/>
      <c r="W338" s="161"/>
      <c r="X338" s="161"/>
    </row>
    <row r="339" ht="12.75" customHeight="1">
      <c r="A339" s="165">
        <v>38542.0</v>
      </c>
      <c r="B339" s="165" t="s">
        <v>8236</v>
      </c>
      <c r="C339" s="166">
        <v>45215.0</v>
      </c>
      <c r="D339" s="165" t="s">
        <v>12371</v>
      </c>
      <c r="E339" s="161"/>
      <c r="F339" s="161"/>
      <c r="G339" s="161"/>
      <c r="H339" s="161"/>
      <c r="I339" s="161"/>
      <c r="J339" s="161"/>
      <c r="K339" s="161"/>
      <c r="L339" s="161"/>
      <c r="M339" s="161"/>
      <c r="N339" s="161"/>
      <c r="O339" s="161"/>
      <c r="P339" s="161"/>
      <c r="Q339" s="161"/>
      <c r="R339" s="161"/>
      <c r="S339" s="161"/>
      <c r="T339" s="161"/>
      <c r="U339" s="161"/>
      <c r="V339" s="161"/>
      <c r="W339" s="161"/>
      <c r="X339" s="161"/>
    </row>
    <row r="340" ht="12.75" customHeight="1">
      <c r="A340" s="165">
        <v>38077.0</v>
      </c>
      <c r="B340" s="165" t="s">
        <v>7627</v>
      </c>
      <c r="C340" s="166">
        <v>45222.0</v>
      </c>
      <c r="D340" s="165" t="s">
        <v>12371</v>
      </c>
      <c r="E340" s="161"/>
      <c r="F340" s="161"/>
      <c r="G340" s="161"/>
      <c r="H340" s="161"/>
      <c r="I340" s="161"/>
      <c r="J340" s="161"/>
      <c r="K340" s="161"/>
      <c r="L340" s="161"/>
      <c r="M340" s="161"/>
      <c r="N340" s="161"/>
      <c r="O340" s="161"/>
      <c r="P340" s="161"/>
      <c r="Q340" s="161"/>
      <c r="R340" s="161"/>
      <c r="S340" s="161"/>
      <c r="T340" s="161"/>
      <c r="U340" s="161"/>
      <c r="V340" s="161"/>
      <c r="W340" s="161"/>
      <c r="X340" s="161"/>
    </row>
    <row r="341" ht="12.75" customHeight="1">
      <c r="A341" s="165">
        <v>38108.0</v>
      </c>
      <c r="B341" s="165" t="s">
        <v>7629</v>
      </c>
      <c r="C341" s="166">
        <v>45222.0</v>
      </c>
      <c r="D341" s="165" t="s">
        <v>12371</v>
      </c>
      <c r="E341" s="161"/>
      <c r="F341" s="161"/>
      <c r="G341" s="161"/>
      <c r="H341" s="161"/>
      <c r="I341" s="161"/>
      <c r="J341" s="161"/>
      <c r="K341" s="161"/>
      <c r="L341" s="161"/>
      <c r="M341" s="161"/>
      <c r="N341" s="161"/>
      <c r="O341" s="161"/>
      <c r="P341" s="161"/>
      <c r="Q341" s="161"/>
      <c r="R341" s="161"/>
      <c r="S341" s="161"/>
      <c r="T341" s="161"/>
      <c r="U341" s="161"/>
      <c r="V341" s="161"/>
      <c r="W341" s="161"/>
      <c r="X341" s="161"/>
    </row>
    <row r="342" ht="12.75" customHeight="1">
      <c r="A342" s="165">
        <v>38545.0</v>
      </c>
      <c r="B342" s="165" t="s">
        <v>8229</v>
      </c>
      <c r="C342" s="166">
        <v>45222.0</v>
      </c>
      <c r="D342" s="165" t="s">
        <v>12371</v>
      </c>
      <c r="E342" s="161"/>
      <c r="F342" s="161"/>
      <c r="G342" s="161"/>
      <c r="H342" s="161"/>
      <c r="I342" s="161"/>
      <c r="J342" s="161"/>
      <c r="K342" s="161"/>
      <c r="L342" s="161"/>
      <c r="M342" s="161"/>
      <c r="N342" s="161"/>
      <c r="O342" s="161"/>
      <c r="P342" s="161"/>
      <c r="Q342" s="161"/>
      <c r="R342" s="161"/>
      <c r="S342" s="161"/>
      <c r="T342" s="161"/>
      <c r="U342" s="161"/>
      <c r="V342" s="161"/>
      <c r="W342" s="161"/>
      <c r="X342" s="161"/>
    </row>
    <row r="343" ht="12.75" customHeight="1">
      <c r="A343" s="165">
        <v>38100.0</v>
      </c>
      <c r="B343" s="165" t="s">
        <v>7625</v>
      </c>
      <c r="C343" s="166">
        <v>45222.0</v>
      </c>
      <c r="D343" s="165" t="s">
        <v>12371</v>
      </c>
      <c r="E343" s="161"/>
      <c r="F343" s="161"/>
      <c r="G343" s="161"/>
      <c r="H343" s="161"/>
      <c r="I343" s="161"/>
      <c r="J343" s="161"/>
      <c r="K343" s="161"/>
      <c r="L343" s="161"/>
      <c r="M343" s="161"/>
      <c r="N343" s="161"/>
      <c r="O343" s="161"/>
      <c r="P343" s="161"/>
      <c r="Q343" s="161"/>
      <c r="R343" s="161"/>
      <c r="S343" s="161"/>
      <c r="T343" s="161"/>
      <c r="U343" s="161"/>
      <c r="V343" s="161"/>
      <c r="W343" s="161"/>
      <c r="X343" s="161"/>
    </row>
    <row r="344" ht="12.75" customHeight="1">
      <c r="A344" s="165">
        <v>38040.0</v>
      </c>
      <c r="B344" s="165" t="s">
        <v>7622</v>
      </c>
      <c r="C344" s="166">
        <v>45222.0</v>
      </c>
      <c r="D344" s="165" t="s">
        <v>12371</v>
      </c>
      <c r="E344" s="161"/>
      <c r="F344" s="161"/>
      <c r="G344" s="161"/>
      <c r="H344" s="161"/>
      <c r="I344" s="161"/>
      <c r="J344" s="161"/>
      <c r="K344" s="161"/>
      <c r="L344" s="161"/>
      <c r="M344" s="161"/>
      <c r="N344" s="161"/>
      <c r="O344" s="161"/>
      <c r="P344" s="161"/>
      <c r="Q344" s="161"/>
      <c r="R344" s="161"/>
      <c r="S344" s="161"/>
      <c r="T344" s="161"/>
      <c r="U344" s="161"/>
      <c r="V344" s="161"/>
      <c r="W344" s="161"/>
      <c r="X344" s="161"/>
    </row>
    <row r="345" ht="12.75" customHeight="1">
      <c r="A345" s="165">
        <v>38095.0</v>
      </c>
      <c r="B345" s="165" t="s">
        <v>7620</v>
      </c>
      <c r="C345" s="166">
        <v>45222.0</v>
      </c>
      <c r="D345" s="165" t="s">
        <v>12371</v>
      </c>
      <c r="E345" s="161"/>
      <c r="F345" s="161"/>
      <c r="G345" s="161"/>
      <c r="H345" s="161"/>
      <c r="I345" s="161"/>
      <c r="J345" s="161"/>
      <c r="K345" s="161"/>
      <c r="L345" s="161"/>
      <c r="M345" s="161"/>
      <c r="N345" s="161"/>
      <c r="O345" s="161"/>
      <c r="P345" s="161"/>
      <c r="Q345" s="161"/>
      <c r="R345" s="161"/>
      <c r="S345" s="161"/>
      <c r="T345" s="161"/>
      <c r="U345" s="161"/>
      <c r="V345" s="161"/>
      <c r="W345" s="161"/>
      <c r="X345" s="161"/>
    </row>
    <row r="346" ht="12.75" customHeight="1">
      <c r="A346" s="165">
        <v>38106.0</v>
      </c>
      <c r="B346" s="165" t="s">
        <v>7609</v>
      </c>
      <c r="C346" s="166">
        <v>45224.0</v>
      </c>
      <c r="D346" s="165" t="s">
        <v>12371</v>
      </c>
      <c r="E346" s="161"/>
      <c r="F346" s="161"/>
      <c r="G346" s="161"/>
      <c r="H346" s="161"/>
      <c r="I346" s="161"/>
      <c r="J346" s="161"/>
      <c r="K346" s="161"/>
      <c r="L346" s="161"/>
      <c r="M346" s="161"/>
      <c r="N346" s="161"/>
      <c r="O346" s="161"/>
      <c r="P346" s="161"/>
      <c r="Q346" s="161"/>
      <c r="R346" s="161"/>
      <c r="S346" s="161"/>
      <c r="T346" s="161"/>
      <c r="U346" s="161"/>
      <c r="V346" s="161"/>
      <c r="W346" s="161"/>
      <c r="X346" s="161"/>
    </row>
    <row r="347" ht="12.75" customHeight="1">
      <c r="A347" s="165">
        <v>38037.0</v>
      </c>
      <c r="B347" s="165" t="s">
        <v>7601</v>
      </c>
      <c r="C347" s="166">
        <v>45229.0</v>
      </c>
      <c r="D347" s="165" t="s">
        <v>12371</v>
      </c>
      <c r="E347" s="161"/>
      <c r="F347" s="161"/>
      <c r="G347" s="161"/>
      <c r="H347" s="161"/>
      <c r="I347" s="161"/>
      <c r="J347" s="161"/>
      <c r="K347" s="161"/>
      <c r="L347" s="161"/>
      <c r="M347" s="161"/>
      <c r="N347" s="161"/>
      <c r="O347" s="161"/>
      <c r="P347" s="161"/>
      <c r="Q347" s="161"/>
      <c r="R347" s="161"/>
      <c r="S347" s="161"/>
      <c r="T347" s="161"/>
      <c r="U347" s="161"/>
      <c r="V347" s="161"/>
      <c r="W347" s="161"/>
      <c r="X347" s="161"/>
    </row>
    <row r="348" ht="12.75" customHeight="1">
      <c r="A348" s="165">
        <v>38111.0</v>
      </c>
      <c r="B348" s="165" t="s">
        <v>7570</v>
      </c>
      <c r="C348" s="166">
        <v>45236.0</v>
      </c>
      <c r="D348" s="165" t="s">
        <v>12371</v>
      </c>
      <c r="E348" s="161"/>
      <c r="F348" s="161"/>
      <c r="G348" s="161"/>
      <c r="H348" s="161"/>
      <c r="I348" s="161"/>
      <c r="J348" s="161"/>
      <c r="K348" s="161"/>
      <c r="L348" s="161"/>
      <c r="M348" s="161"/>
      <c r="N348" s="161"/>
      <c r="O348" s="161"/>
      <c r="P348" s="161"/>
      <c r="Q348" s="161"/>
      <c r="R348" s="161"/>
      <c r="S348" s="161"/>
      <c r="T348" s="161"/>
      <c r="U348" s="161"/>
      <c r="V348" s="161"/>
      <c r="W348" s="161"/>
      <c r="X348" s="161"/>
    </row>
    <row r="349" ht="12.75" customHeight="1">
      <c r="A349" s="165">
        <v>38117.0</v>
      </c>
      <c r="B349" s="165" t="s">
        <v>7568</v>
      </c>
      <c r="C349" s="166">
        <v>45236.0</v>
      </c>
      <c r="D349" s="165" t="s">
        <v>12371</v>
      </c>
      <c r="E349" s="161"/>
      <c r="F349" s="161"/>
      <c r="G349" s="161"/>
      <c r="H349" s="161"/>
      <c r="I349" s="161"/>
      <c r="J349" s="161"/>
      <c r="K349" s="161"/>
      <c r="L349" s="161"/>
      <c r="M349" s="161"/>
      <c r="N349" s="161"/>
      <c r="O349" s="161"/>
      <c r="P349" s="161"/>
      <c r="Q349" s="161"/>
      <c r="R349" s="161"/>
      <c r="S349" s="161"/>
      <c r="T349" s="161"/>
      <c r="U349" s="161"/>
      <c r="V349" s="161"/>
      <c r="W349" s="161"/>
      <c r="X349" s="161"/>
    </row>
    <row r="350" ht="12.75" customHeight="1">
      <c r="A350" s="165">
        <v>38088.0</v>
      </c>
      <c r="B350" s="165" t="s">
        <v>7560</v>
      </c>
      <c r="C350" s="166">
        <v>45236.0</v>
      </c>
      <c r="D350" s="165" t="s">
        <v>12371</v>
      </c>
      <c r="E350" s="161"/>
      <c r="F350" s="161"/>
      <c r="G350" s="161"/>
      <c r="H350" s="161"/>
      <c r="I350" s="161"/>
      <c r="J350" s="161"/>
      <c r="K350" s="161"/>
      <c r="L350" s="161"/>
      <c r="M350" s="161"/>
      <c r="N350" s="161"/>
      <c r="O350" s="161"/>
      <c r="P350" s="161"/>
      <c r="Q350" s="161"/>
      <c r="R350" s="161"/>
      <c r="S350" s="161"/>
      <c r="T350" s="161"/>
      <c r="U350" s="161"/>
      <c r="V350" s="161"/>
      <c r="W350" s="161"/>
      <c r="X350" s="161"/>
    </row>
    <row r="351" ht="12.75" customHeight="1">
      <c r="A351" s="165">
        <v>38093.0</v>
      </c>
      <c r="B351" s="165" t="s">
        <v>7565</v>
      </c>
      <c r="C351" s="166">
        <v>45236.0</v>
      </c>
      <c r="D351" s="165" t="s">
        <v>12371</v>
      </c>
      <c r="E351" s="161"/>
      <c r="F351" s="161"/>
      <c r="G351" s="161"/>
      <c r="H351" s="161"/>
      <c r="I351" s="161"/>
      <c r="J351" s="161"/>
      <c r="K351" s="161"/>
      <c r="L351" s="161"/>
      <c r="M351" s="161"/>
      <c r="N351" s="161"/>
      <c r="O351" s="161"/>
      <c r="P351" s="161"/>
      <c r="Q351" s="161"/>
      <c r="R351" s="161"/>
      <c r="S351" s="161"/>
      <c r="T351" s="161"/>
      <c r="U351" s="161"/>
      <c r="V351" s="161"/>
      <c r="W351" s="161"/>
      <c r="X351" s="161"/>
    </row>
    <row r="352" ht="12.75" customHeight="1">
      <c r="A352" s="165">
        <v>38153.0</v>
      </c>
      <c r="B352" s="165" t="s">
        <v>7563</v>
      </c>
      <c r="C352" s="166">
        <v>45237.0</v>
      </c>
      <c r="D352" s="165" t="s">
        <v>12371</v>
      </c>
      <c r="E352" s="161"/>
      <c r="F352" s="161"/>
      <c r="G352" s="161"/>
      <c r="H352" s="161"/>
      <c r="I352" s="161"/>
      <c r="J352" s="161"/>
      <c r="K352" s="161"/>
      <c r="L352" s="161"/>
      <c r="M352" s="161"/>
      <c r="N352" s="161"/>
      <c r="O352" s="161"/>
      <c r="P352" s="161"/>
      <c r="Q352" s="161"/>
      <c r="R352" s="161"/>
      <c r="S352" s="161"/>
      <c r="T352" s="161"/>
      <c r="U352" s="161"/>
      <c r="V352" s="161"/>
      <c r="W352" s="161"/>
      <c r="X352" s="161"/>
    </row>
    <row r="353" ht="12.75" customHeight="1">
      <c r="A353" s="165">
        <v>38228.0</v>
      </c>
      <c r="B353" s="165" t="s">
        <v>7558</v>
      </c>
      <c r="C353" s="166">
        <v>45238.0</v>
      </c>
      <c r="D353" s="165" t="s">
        <v>12371</v>
      </c>
      <c r="E353" s="161"/>
      <c r="F353" s="161"/>
      <c r="G353" s="161"/>
      <c r="H353" s="161"/>
      <c r="I353" s="161"/>
      <c r="J353" s="161"/>
      <c r="K353" s="161"/>
      <c r="L353" s="161"/>
      <c r="M353" s="161"/>
      <c r="N353" s="161"/>
      <c r="O353" s="161"/>
      <c r="P353" s="161"/>
      <c r="Q353" s="161"/>
      <c r="R353" s="161"/>
      <c r="S353" s="161"/>
      <c r="T353" s="161"/>
      <c r="U353" s="161"/>
      <c r="V353" s="161"/>
      <c r="W353" s="161"/>
      <c r="X353" s="161"/>
    </row>
    <row r="354" ht="12.75" customHeight="1">
      <c r="A354" s="165">
        <v>38461.0</v>
      </c>
      <c r="B354" s="165" t="s">
        <v>7540</v>
      </c>
      <c r="C354" s="166">
        <v>45244.0</v>
      </c>
      <c r="D354" s="165" t="s">
        <v>12371</v>
      </c>
      <c r="E354" s="161"/>
      <c r="F354" s="161"/>
      <c r="G354" s="161"/>
      <c r="H354" s="161"/>
      <c r="I354" s="161"/>
      <c r="J354" s="161"/>
      <c r="K354" s="161"/>
      <c r="L354" s="161"/>
      <c r="M354" s="161"/>
      <c r="N354" s="161"/>
      <c r="O354" s="161"/>
      <c r="P354" s="161"/>
      <c r="Q354" s="161"/>
      <c r="R354" s="161"/>
      <c r="S354" s="161"/>
      <c r="T354" s="161"/>
      <c r="U354" s="161"/>
      <c r="V354" s="161"/>
      <c r="W354" s="161"/>
      <c r="X354" s="161"/>
    </row>
    <row r="355" ht="12.75" customHeight="1">
      <c r="A355" s="165">
        <v>38527.0</v>
      </c>
      <c r="B355" s="165" t="s">
        <v>7536</v>
      </c>
      <c r="C355" s="166">
        <v>45244.0</v>
      </c>
      <c r="D355" s="165" t="s">
        <v>12371</v>
      </c>
      <c r="E355" s="161"/>
      <c r="F355" s="161"/>
      <c r="G355" s="161"/>
      <c r="H355" s="161"/>
      <c r="I355" s="161"/>
      <c r="J355" s="161"/>
      <c r="K355" s="161"/>
      <c r="L355" s="161"/>
      <c r="M355" s="161"/>
      <c r="N355" s="161"/>
      <c r="O355" s="161"/>
      <c r="P355" s="161"/>
      <c r="Q355" s="161"/>
      <c r="R355" s="161"/>
      <c r="S355" s="161"/>
      <c r="T355" s="161"/>
      <c r="U355" s="161"/>
      <c r="V355" s="161"/>
      <c r="W355" s="161"/>
      <c r="X355" s="161"/>
    </row>
    <row r="356" ht="12.75" customHeight="1">
      <c r="A356" s="165">
        <v>38310.0</v>
      </c>
      <c r="B356" s="165" t="s">
        <v>7529</v>
      </c>
      <c r="C356" s="166">
        <v>45250.0</v>
      </c>
      <c r="D356" s="165" t="s">
        <v>12371</v>
      </c>
      <c r="E356" s="161"/>
      <c r="F356" s="161"/>
      <c r="G356" s="161"/>
      <c r="H356" s="161"/>
      <c r="I356" s="161"/>
      <c r="J356" s="161"/>
      <c r="K356" s="161"/>
      <c r="L356" s="161"/>
      <c r="M356" s="161"/>
      <c r="N356" s="161"/>
      <c r="O356" s="161"/>
      <c r="P356" s="161"/>
      <c r="Q356" s="161"/>
      <c r="R356" s="161"/>
      <c r="S356" s="161"/>
      <c r="T356" s="161"/>
      <c r="U356" s="161"/>
      <c r="V356" s="161"/>
      <c r="W356" s="161"/>
      <c r="X356" s="161"/>
    </row>
    <row r="357" ht="12.75" customHeight="1">
      <c r="A357" s="165">
        <v>38313.0</v>
      </c>
      <c r="B357" s="165" t="s">
        <v>7526</v>
      </c>
      <c r="C357" s="166">
        <v>45250.0</v>
      </c>
      <c r="D357" s="165" t="s">
        <v>12371</v>
      </c>
      <c r="E357" s="161"/>
      <c r="F357" s="161"/>
      <c r="G357" s="161"/>
      <c r="H357" s="161"/>
      <c r="I357" s="161"/>
      <c r="J357" s="161"/>
      <c r="K357" s="161"/>
      <c r="L357" s="161"/>
      <c r="M357" s="161"/>
      <c r="N357" s="161"/>
      <c r="O357" s="161"/>
      <c r="P357" s="161"/>
      <c r="Q357" s="161"/>
      <c r="R357" s="161"/>
      <c r="S357" s="161"/>
      <c r="T357" s="161"/>
      <c r="U357" s="161"/>
      <c r="V357" s="161"/>
      <c r="W357" s="161"/>
      <c r="X357" s="161"/>
    </row>
    <row r="358" ht="12.75" customHeight="1">
      <c r="A358" s="165">
        <v>38091.0</v>
      </c>
      <c r="B358" s="165" t="s">
        <v>7522</v>
      </c>
      <c r="C358" s="166">
        <v>45250.0</v>
      </c>
      <c r="D358" s="165" t="s">
        <v>12371</v>
      </c>
      <c r="E358" s="161"/>
      <c r="F358" s="161"/>
      <c r="G358" s="161"/>
      <c r="H358" s="161"/>
      <c r="I358" s="161"/>
      <c r="J358" s="161"/>
      <c r="K358" s="161"/>
      <c r="L358" s="161"/>
      <c r="M358" s="161"/>
      <c r="N358" s="161"/>
      <c r="O358" s="161"/>
      <c r="P358" s="161"/>
      <c r="Q358" s="161"/>
      <c r="R358" s="161"/>
      <c r="S358" s="161"/>
      <c r="T358" s="161"/>
      <c r="U358" s="161"/>
      <c r="V358" s="161"/>
      <c r="W358" s="161"/>
      <c r="X358" s="161"/>
    </row>
    <row r="359" ht="12.75" customHeight="1">
      <c r="A359" s="165">
        <v>38656.0</v>
      </c>
      <c r="B359" s="165" t="s">
        <v>8206</v>
      </c>
      <c r="C359" s="166">
        <v>45257.0</v>
      </c>
      <c r="D359" s="165" t="s">
        <v>12371</v>
      </c>
      <c r="E359" s="161"/>
      <c r="F359" s="161"/>
      <c r="G359" s="161"/>
      <c r="H359" s="161"/>
      <c r="I359" s="161"/>
      <c r="J359" s="161"/>
      <c r="K359" s="161"/>
      <c r="L359" s="161"/>
      <c r="M359" s="161"/>
      <c r="N359" s="161"/>
      <c r="O359" s="161"/>
      <c r="P359" s="161"/>
      <c r="Q359" s="161"/>
      <c r="R359" s="161"/>
      <c r="S359" s="161"/>
      <c r="T359" s="161"/>
      <c r="U359" s="161"/>
      <c r="V359" s="161"/>
      <c r="W359" s="161"/>
      <c r="X359" s="161"/>
    </row>
    <row r="360" ht="12.75" customHeight="1">
      <c r="A360" s="165">
        <v>38098.0</v>
      </c>
      <c r="B360" s="165" t="s">
        <v>7497</v>
      </c>
      <c r="C360" s="166">
        <v>45261.0</v>
      </c>
      <c r="D360" s="165" t="s">
        <v>12371</v>
      </c>
      <c r="E360" s="161"/>
      <c r="F360" s="161"/>
      <c r="G360" s="161"/>
      <c r="H360" s="161"/>
      <c r="I360" s="161"/>
      <c r="J360" s="161"/>
      <c r="K360" s="161"/>
      <c r="L360" s="161"/>
      <c r="M360" s="161"/>
      <c r="N360" s="161"/>
      <c r="O360" s="161"/>
      <c r="P360" s="161"/>
      <c r="Q360" s="161"/>
      <c r="R360" s="161"/>
      <c r="S360" s="161"/>
      <c r="T360" s="161"/>
      <c r="U360" s="161"/>
      <c r="V360" s="161"/>
      <c r="W360" s="161"/>
      <c r="X360" s="161"/>
    </row>
    <row r="361" ht="12.75" customHeight="1">
      <c r="A361" s="165">
        <v>38315.0</v>
      </c>
      <c r="B361" s="165" t="s">
        <v>7495</v>
      </c>
      <c r="C361" s="166">
        <v>45261.0</v>
      </c>
      <c r="D361" s="165" t="s">
        <v>12371</v>
      </c>
      <c r="E361" s="161"/>
      <c r="F361" s="161"/>
      <c r="G361" s="161"/>
      <c r="H361" s="161"/>
      <c r="I361" s="161"/>
      <c r="J361" s="161"/>
      <c r="K361" s="161"/>
      <c r="L361" s="161"/>
      <c r="M361" s="161"/>
      <c r="N361" s="161"/>
      <c r="O361" s="161"/>
      <c r="P361" s="161"/>
      <c r="Q361" s="161"/>
      <c r="R361" s="161"/>
      <c r="S361" s="161"/>
      <c r="T361" s="161"/>
      <c r="U361" s="161"/>
      <c r="V361" s="161"/>
      <c r="W361" s="161"/>
      <c r="X361" s="161"/>
    </row>
    <row r="362" ht="12.75" customHeight="1">
      <c r="A362" s="165">
        <v>38348.0</v>
      </c>
      <c r="B362" s="165" t="s">
        <v>7481</v>
      </c>
      <c r="C362" s="166">
        <v>45268.0</v>
      </c>
      <c r="D362" s="165" t="s">
        <v>12371</v>
      </c>
      <c r="E362" s="161"/>
      <c r="F362" s="161"/>
      <c r="G362" s="161"/>
      <c r="H362" s="161"/>
      <c r="I362" s="161"/>
      <c r="J362" s="161"/>
      <c r="K362" s="161"/>
      <c r="L362" s="161"/>
      <c r="M362" s="161"/>
      <c r="N362" s="161"/>
      <c r="O362" s="161"/>
      <c r="P362" s="161"/>
      <c r="Q362" s="161"/>
      <c r="R362" s="161"/>
      <c r="S362" s="161"/>
      <c r="T362" s="161"/>
      <c r="U362" s="161"/>
      <c r="V362" s="161"/>
      <c r="W362" s="161"/>
      <c r="X362" s="161"/>
    </row>
    <row r="363" ht="12.75" customHeight="1">
      <c r="A363" s="165">
        <v>38560.0</v>
      </c>
      <c r="B363" s="165" t="s">
        <v>7459</v>
      </c>
      <c r="C363" s="166">
        <v>45273.0</v>
      </c>
      <c r="D363" s="165" t="s">
        <v>12371</v>
      </c>
      <c r="E363" s="161"/>
      <c r="F363" s="161"/>
      <c r="G363" s="161"/>
      <c r="H363" s="161"/>
      <c r="I363" s="161"/>
      <c r="J363" s="161"/>
      <c r="K363" s="161"/>
      <c r="L363" s="161"/>
      <c r="M363" s="161"/>
      <c r="N363" s="161"/>
      <c r="O363" s="161"/>
      <c r="P363" s="161"/>
      <c r="Q363" s="161"/>
      <c r="R363" s="161"/>
      <c r="S363" s="161"/>
      <c r="T363" s="161"/>
      <c r="U363" s="161"/>
      <c r="V363" s="161"/>
      <c r="W363" s="161"/>
      <c r="X363" s="161"/>
    </row>
    <row r="364" ht="12.75" customHeight="1">
      <c r="A364" s="165">
        <v>38361.0</v>
      </c>
      <c r="B364" s="165" t="s">
        <v>7452</v>
      </c>
      <c r="C364" s="166">
        <v>45275.0</v>
      </c>
      <c r="D364" s="165" t="s">
        <v>12371</v>
      </c>
      <c r="E364" s="161"/>
      <c r="F364" s="161"/>
      <c r="G364" s="161"/>
      <c r="H364" s="161"/>
      <c r="I364" s="161"/>
      <c r="J364" s="161"/>
      <c r="K364" s="161"/>
      <c r="L364" s="161"/>
      <c r="M364" s="161"/>
      <c r="N364" s="161"/>
      <c r="O364" s="161"/>
      <c r="P364" s="161"/>
      <c r="Q364" s="161"/>
      <c r="R364" s="161"/>
      <c r="S364" s="161"/>
      <c r="T364" s="161"/>
      <c r="U364" s="161"/>
      <c r="V364" s="161"/>
      <c r="W364" s="161"/>
      <c r="X364" s="161"/>
    </row>
    <row r="365" ht="12.75" customHeight="1">
      <c r="A365" s="165">
        <v>38752.0</v>
      </c>
      <c r="B365" s="165" t="s">
        <v>8189</v>
      </c>
      <c r="C365" s="166">
        <v>45280.0</v>
      </c>
      <c r="D365" s="165" t="s">
        <v>12371</v>
      </c>
      <c r="E365" s="161"/>
      <c r="F365" s="161"/>
      <c r="G365" s="161"/>
      <c r="H365" s="161"/>
      <c r="I365" s="161"/>
      <c r="J365" s="161"/>
      <c r="K365" s="161"/>
      <c r="L365" s="161"/>
      <c r="M365" s="161"/>
      <c r="N365" s="161"/>
      <c r="O365" s="161"/>
      <c r="P365" s="161"/>
      <c r="Q365" s="161"/>
      <c r="R365" s="161"/>
      <c r="S365" s="161"/>
      <c r="T365" s="161"/>
      <c r="U365" s="161"/>
      <c r="V365" s="161"/>
      <c r="W365" s="161"/>
      <c r="X365" s="161"/>
    </row>
    <row r="366" ht="12.75" customHeight="1">
      <c r="A366" s="165">
        <v>38552.0</v>
      </c>
      <c r="B366" s="165" t="s">
        <v>7428</v>
      </c>
      <c r="C366" s="166">
        <v>45280.0</v>
      </c>
      <c r="D366" s="165" t="s">
        <v>12371</v>
      </c>
      <c r="E366" s="161"/>
      <c r="F366" s="161"/>
      <c r="G366" s="161"/>
      <c r="H366" s="161"/>
      <c r="I366" s="161"/>
      <c r="J366" s="161"/>
      <c r="K366" s="161"/>
      <c r="L366" s="161"/>
      <c r="M366" s="161"/>
      <c r="N366" s="161"/>
      <c r="O366" s="161"/>
      <c r="P366" s="161"/>
      <c r="Q366" s="161"/>
      <c r="R366" s="161"/>
      <c r="S366" s="161"/>
      <c r="T366" s="161"/>
      <c r="U366" s="161"/>
      <c r="V366" s="161"/>
      <c r="W366" s="161"/>
      <c r="X366" s="161"/>
    </row>
    <row r="367" ht="12.75" customHeight="1">
      <c r="A367" s="165">
        <v>38318.0</v>
      </c>
      <c r="B367" s="165" t="s">
        <v>7431</v>
      </c>
      <c r="C367" s="166">
        <v>45282.0</v>
      </c>
      <c r="D367" s="165" t="s">
        <v>12371</v>
      </c>
      <c r="E367" s="161"/>
      <c r="F367" s="161"/>
      <c r="G367" s="161"/>
      <c r="H367" s="161"/>
      <c r="I367" s="161"/>
      <c r="J367" s="161"/>
      <c r="K367" s="161"/>
      <c r="L367" s="161"/>
      <c r="M367" s="161"/>
      <c r="N367" s="161"/>
      <c r="O367" s="161"/>
      <c r="P367" s="161"/>
      <c r="Q367" s="161"/>
      <c r="R367" s="161"/>
      <c r="S367" s="161"/>
      <c r="T367" s="161"/>
      <c r="U367" s="161"/>
      <c r="V367" s="161"/>
      <c r="W367" s="161"/>
      <c r="X367" s="161"/>
    </row>
    <row r="368" ht="12.75" customHeight="1">
      <c r="A368" s="165">
        <v>38321.0</v>
      </c>
      <c r="B368" s="165" t="s">
        <v>7433</v>
      </c>
      <c r="C368" s="166">
        <v>45282.0</v>
      </c>
      <c r="D368" s="165" t="s">
        <v>12371</v>
      </c>
      <c r="E368" s="161"/>
      <c r="F368" s="161"/>
      <c r="G368" s="161"/>
      <c r="H368" s="161"/>
      <c r="I368" s="161"/>
      <c r="J368" s="161"/>
      <c r="K368" s="161"/>
      <c r="L368" s="161"/>
      <c r="M368" s="161"/>
      <c r="N368" s="161"/>
      <c r="O368" s="161"/>
      <c r="P368" s="161"/>
      <c r="Q368" s="161"/>
      <c r="R368" s="161"/>
      <c r="S368" s="161"/>
      <c r="T368" s="161"/>
      <c r="U368" s="161"/>
      <c r="V368" s="161"/>
      <c r="W368" s="161"/>
      <c r="X368" s="161"/>
    </row>
    <row r="369" ht="12.75" customHeight="1">
      <c r="A369" s="165">
        <v>38573.0</v>
      </c>
      <c r="B369" s="165" t="s">
        <v>7411</v>
      </c>
      <c r="C369" s="166">
        <v>45287.0</v>
      </c>
      <c r="D369" s="165" t="s">
        <v>12371</v>
      </c>
      <c r="E369" s="161"/>
      <c r="F369" s="161"/>
      <c r="G369" s="161"/>
      <c r="H369" s="161"/>
      <c r="I369" s="161"/>
      <c r="J369" s="161"/>
      <c r="K369" s="161"/>
      <c r="L369" s="161"/>
      <c r="M369" s="161"/>
      <c r="N369" s="161"/>
      <c r="O369" s="161"/>
      <c r="P369" s="161"/>
      <c r="Q369" s="161"/>
      <c r="R369" s="161"/>
      <c r="S369" s="161"/>
      <c r="T369" s="161"/>
      <c r="U369" s="161"/>
      <c r="V369" s="161"/>
      <c r="W369" s="161"/>
      <c r="X369" s="161"/>
    </row>
    <row r="370" ht="12.75" customHeight="1">
      <c r="A370" s="165">
        <v>38350.0</v>
      </c>
      <c r="B370" s="165" t="s">
        <v>10115</v>
      </c>
      <c r="C370" s="166">
        <v>45296.0</v>
      </c>
      <c r="D370" s="165" t="s">
        <v>12371</v>
      </c>
      <c r="E370" s="161"/>
      <c r="F370" s="161"/>
      <c r="G370" s="161"/>
      <c r="H370" s="161"/>
      <c r="I370" s="161"/>
      <c r="J370" s="161"/>
      <c r="K370" s="161"/>
      <c r="L370" s="161"/>
      <c r="M370" s="161"/>
      <c r="N370" s="161"/>
      <c r="O370" s="161"/>
      <c r="P370" s="161"/>
      <c r="Q370" s="161"/>
      <c r="R370" s="161"/>
      <c r="S370" s="161"/>
      <c r="T370" s="161"/>
      <c r="U370" s="161"/>
      <c r="V370" s="161"/>
      <c r="W370" s="161"/>
      <c r="X370" s="161"/>
    </row>
    <row r="371" ht="12.75" customHeight="1">
      <c r="A371" s="165">
        <v>38785.0</v>
      </c>
      <c r="B371" s="165" t="s">
        <v>10111</v>
      </c>
      <c r="C371" s="166">
        <v>45299.0</v>
      </c>
      <c r="D371" s="165" t="s">
        <v>12371</v>
      </c>
      <c r="E371" s="161"/>
      <c r="F371" s="161"/>
      <c r="G371" s="161"/>
      <c r="H371" s="161"/>
      <c r="I371" s="161"/>
      <c r="J371" s="161"/>
      <c r="K371" s="161"/>
      <c r="L371" s="161"/>
      <c r="M371" s="161"/>
      <c r="N371" s="161"/>
      <c r="O371" s="161"/>
      <c r="P371" s="161"/>
      <c r="Q371" s="161"/>
      <c r="R371" s="161"/>
      <c r="S371" s="161"/>
      <c r="T371" s="161"/>
      <c r="U371" s="161"/>
      <c r="V371" s="161"/>
      <c r="W371" s="161"/>
      <c r="X371" s="161"/>
    </row>
    <row r="372" ht="12.75" customHeight="1">
      <c r="A372" s="165">
        <v>38872.0</v>
      </c>
      <c r="B372" s="165" t="s">
        <v>12396</v>
      </c>
      <c r="C372" s="166">
        <v>45301.0</v>
      </c>
      <c r="D372" s="165" t="s">
        <v>12371</v>
      </c>
      <c r="E372" s="161"/>
      <c r="F372" s="161"/>
      <c r="G372" s="161"/>
      <c r="H372" s="161"/>
      <c r="I372" s="161"/>
      <c r="J372" s="161"/>
      <c r="K372" s="161"/>
      <c r="L372" s="161"/>
      <c r="M372" s="161"/>
      <c r="N372" s="161"/>
      <c r="O372" s="161"/>
      <c r="P372" s="161"/>
      <c r="Q372" s="161"/>
      <c r="R372" s="161"/>
      <c r="S372" s="161"/>
      <c r="T372" s="161"/>
      <c r="U372" s="161"/>
      <c r="V372" s="161"/>
      <c r="W372" s="161"/>
      <c r="X372" s="161"/>
    </row>
    <row r="373" ht="12.75" customHeight="1">
      <c r="A373" s="165">
        <v>38872.0</v>
      </c>
      <c r="B373" s="165" t="s">
        <v>12397</v>
      </c>
      <c r="C373" s="166">
        <v>45301.0</v>
      </c>
      <c r="D373" s="165" t="s">
        <v>12371</v>
      </c>
      <c r="E373" s="161"/>
      <c r="F373" s="161"/>
      <c r="G373" s="161"/>
      <c r="H373" s="161"/>
      <c r="I373" s="161"/>
      <c r="J373" s="161"/>
      <c r="K373" s="161"/>
      <c r="L373" s="161"/>
      <c r="M373" s="161"/>
      <c r="N373" s="161"/>
      <c r="O373" s="161"/>
      <c r="P373" s="161"/>
      <c r="Q373" s="161"/>
      <c r="R373" s="161"/>
      <c r="S373" s="161"/>
      <c r="T373" s="161"/>
      <c r="U373" s="161"/>
      <c r="V373" s="161"/>
      <c r="W373" s="161"/>
      <c r="X373" s="161"/>
    </row>
    <row r="374" ht="12.75" customHeight="1">
      <c r="A374" s="165">
        <v>38877.0</v>
      </c>
      <c r="B374" s="165" t="s">
        <v>10468</v>
      </c>
      <c r="C374" s="166">
        <v>45303.0</v>
      </c>
      <c r="D374" s="165" t="s">
        <v>12371</v>
      </c>
      <c r="E374" s="161"/>
      <c r="F374" s="161"/>
      <c r="G374" s="161"/>
      <c r="H374" s="161"/>
      <c r="I374" s="161"/>
      <c r="J374" s="161"/>
      <c r="K374" s="161"/>
      <c r="L374" s="161"/>
      <c r="M374" s="161"/>
      <c r="N374" s="161"/>
      <c r="O374" s="161"/>
      <c r="P374" s="161"/>
      <c r="Q374" s="161"/>
      <c r="R374" s="161"/>
      <c r="S374" s="161"/>
      <c r="T374" s="161"/>
      <c r="U374" s="161"/>
      <c r="V374" s="161"/>
      <c r="W374" s="161"/>
      <c r="X374" s="161"/>
    </row>
    <row r="375" ht="12.75" customHeight="1">
      <c r="A375" s="165">
        <v>38576.0</v>
      </c>
      <c r="B375" s="165" t="s">
        <v>10109</v>
      </c>
      <c r="C375" s="166">
        <v>45306.0</v>
      </c>
      <c r="D375" s="165" t="s">
        <v>12371</v>
      </c>
      <c r="E375" s="161"/>
      <c r="F375" s="161"/>
      <c r="G375" s="161"/>
      <c r="H375" s="161"/>
      <c r="I375" s="161"/>
      <c r="J375" s="161"/>
      <c r="K375" s="161"/>
      <c r="L375" s="161"/>
      <c r="M375" s="161"/>
      <c r="N375" s="161"/>
      <c r="O375" s="161"/>
      <c r="P375" s="161"/>
      <c r="Q375" s="161"/>
      <c r="R375" s="161"/>
      <c r="S375" s="161"/>
      <c r="T375" s="161"/>
      <c r="U375" s="161"/>
      <c r="V375" s="161"/>
      <c r="W375" s="161"/>
      <c r="X375" s="161"/>
    </row>
    <row r="376" ht="12.75" customHeight="1">
      <c r="A376" s="165">
        <v>38789.0</v>
      </c>
      <c r="B376" s="165" t="s">
        <v>10104</v>
      </c>
      <c r="C376" s="166">
        <v>45308.0</v>
      </c>
      <c r="D376" s="165" t="s">
        <v>12371</v>
      </c>
      <c r="E376" s="161"/>
      <c r="F376" s="161"/>
      <c r="G376" s="161"/>
      <c r="H376" s="161"/>
      <c r="I376" s="161"/>
      <c r="J376" s="161"/>
      <c r="K376" s="161"/>
      <c r="L376" s="161"/>
      <c r="M376" s="161"/>
      <c r="N376" s="161"/>
      <c r="O376" s="161"/>
      <c r="P376" s="161"/>
      <c r="Q376" s="161"/>
      <c r="R376" s="161"/>
      <c r="S376" s="161"/>
      <c r="T376" s="161"/>
      <c r="U376" s="161"/>
      <c r="V376" s="161"/>
      <c r="W376" s="161"/>
      <c r="X376" s="161"/>
    </row>
    <row r="377" ht="12.75" customHeight="1">
      <c r="A377" s="165">
        <v>38878.0</v>
      </c>
      <c r="B377" s="165" t="s">
        <v>10466</v>
      </c>
      <c r="C377" s="166">
        <v>45313.0</v>
      </c>
      <c r="D377" s="165" t="s">
        <v>12371</v>
      </c>
      <c r="E377" s="161"/>
      <c r="F377" s="161"/>
      <c r="G377" s="161"/>
      <c r="H377" s="161"/>
      <c r="I377" s="161"/>
      <c r="J377" s="161"/>
      <c r="K377" s="161"/>
      <c r="L377" s="161"/>
      <c r="M377" s="161"/>
      <c r="N377" s="161"/>
      <c r="O377" s="161"/>
      <c r="P377" s="161"/>
      <c r="Q377" s="161"/>
      <c r="R377" s="161"/>
      <c r="S377" s="161"/>
      <c r="T377" s="161"/>
      <c r="U377" s="161"/>
      <c r="V377" s="161"/>
      <c r="W377" s="161"/>
      <c r="X377" s="161"/>
    </row>
    <row r="378" ht="12.75" customHeight="1">
      <c r="A378" s="165">
        <v>38672.0</v>
      </c>
      <c r="B378" s="165" t="s">
        <v>10089</v>
      </c>
      <c r="C378" s="166">
        <v>45313.0</v>
      </c>
      <c r="D378" s="165" t="s">
        <v>12371</v>
      </c>
      <c r="E378" s="161"/>
      <c r="F378" s="161"/>
      <c r="G378" s="161"/>
      <c r="H378" s="161"/>
      <c r="I378" s="161"/>
      <c r="J378" s="161"/>
      <c r="K378" s="161"/>
      <c r="L378" s="161"/>
      <c r="M378" s="161"/>
      <c r="N378" s="161"/>
      <c r="O378" s="161"/>
      <c r="P378" s="161"/>
      <c r="Q378" s="161"/>
      <c r="R378" s="161"/>
      <c r="S378" s="161"/>
      <c r="T378" s="161"/>
      <c r="U378" s="161"/>
      <c r="V378" s="161"/>
      <c r="W378" s="161"/>
      <c r="X378" s="161"/>
    </row>
    <row r="379" ht="12.75" customHeight="1">
      <c r="A379" s="165">
        <v>38853.0</v>
      </c>
      <c r="B379" s="165" t="s">
        <v>10066</v>
      </c>
      <c r="C379" s="166">
        <v>45331.0</v>
      </c>
      <c r="D379" s="165" t="s">
        <v>12371</v>
      </c>
      <c r="E379" s="161"/>
      <c r="F379" s="161"/>
      <c r="G379" s="161"/>
      <c r="H379" s="161"/>
      <c r="I379" s="161"/>
      <c r="J379" s="161"/>
      <c r="K379" s="161"/>
      <c r="L379" s="161"/>
      <c r="M379" s="161"/>
      <c r="N379" s="161"/>
      <c r="O379" s="161"/>
      <c r="P379" s="161"/>
      <c r="Q379" s="161"/>
      <c r="R379" s="161"/>
      <c r="S379" s="161"/>
      <c r="T379" s="161"/>
      <c r="U379" s="161"/>
      <c r="V379" s="161"/>
      <c r="W379" s="161"/>
      <c r="X379" s="161"/>
    </row>
    <row r="380" ht="12.75" customHeight="1">
      <c r="A380" s="165">
        <v>38760.0</v>
      </c>
      <c r="B380" s="165" t="s">
        <v>10058</v>
      </c>
      <c r="C380" s="166">
        <v>45335.0</v>
      </c>
      <c r="D380" s="165" t="s">
        <v>12371</v>
      </c>
      <c r="E380" s="161"/>
      <c r="F380" s="161"/>
      <c r="G380" s="161"/>
      <c r="H380" s="161"/>
      <c r="I380" s="161"/>
      <c r="J380" s="161"/>
      <c r="K380" s="161"/>
      <c r="L380" s="161"/>
      <c r="M380" s="161"/>
      <c r="N380" s="161"/>
      <c r="O380" s="161"/>
      <c r="P380" s="161"/>
      <c r="Q380" s="161"/>
      <c r="R380" s="161"/>
      <c r="S380" s="161"/>
      <c r="T380" s="161"/>
      <c r="U380" s="161"/>
      <c r="V380" s="161"/>
      <c r="W380" s="161"/>
      <c r="X380" s="161"/>
    </row>
    <row r="381" ht="12.75" customHeight="1">
      <c r="A381" s="165">
        <v>38788.0</v>
      </c>
      <c r="B381" s="165" t="s">
        <v>10032</v>
      </c>
      <c r="C381" s="166">
        <v>45342.0</v>
      </c>
      <c r="D381" s="165" t="s">
        <v>12371</v>
      </c>
      <c r="E381" s="161"/>
      <c r="F381" s="161"/>
      <c r="G381" s="161"/>
      <c r="H381" s="161"/>
      <c r="I381" s="161"/>
      <c r="J381" s="161"/>
      <c r="K381" s="161"/>
      <c r="L381" s="161"/>
      <c r="M381" s="161"/>
      <c r="N381" s="161"/>
      <c r="O381" s="161"/>
      <c r="P381" s="161"/>
      <c r="Q381" s="161"/>
      <c r="R381" s="161"/>
      <c r="S381" s="161"/>
      <c r="T381" s="161"/>
      <c r="U381" s="161"/>
      <c r="V381" s="161"/>
      <c r="W381" s="161"/>
      <c r="X381" s="161"/>
    </row>
    <row r="382" ht="12.75" customHeight="1">
      <c r="A382" s="165">
        <v>39004.0</v>
      </c>
      <c r="B382" s="165" t="s">
        <v>10434</v>
      </c>
      <c r="C382" s="166">
        <v>45343.0</v>
      </c>
      <c r="D382" s="165" t="s">
        <v>12371</v>
      </c>
      <c r="E382" s="161"/>
      <c r="F382" s="161"/>
      <c r="G382" s="161"/>
      <c r="H382" s="161"/>
      <c r="I382" s="161"/>
      <c r="J382" s="161"/>
      <c r="K382" s="161"/>
      <c r="L382" s="161"/>
      <c r="M382" s="161"/>
      <c r="N382" s="161"/>
      <c r="O382" s="161"/>
      <c r="P382" s="161"/>
      <c r="Q382" s="161"/>
      <c r="R382" s="161"/>
      <c r="S382" s="161"/>
      <c r="T382" s="161"/>
      <c r="U382" s="161"/>
      <c r="V382" s="161"/>
      <c r="W382" s="161"/>
      <c r="X382" s="161"/>
    </row>
    <row r="383" ht="12.75" customHeight="1">
      <c r="A383" s="165">
        <v>38693.0</v>
      </c>
      <c r="B383" s="165" t="s">
        <v>10029</v>
      </c>
      <c r="C383" s="166">
        <v>45343.0</v>
      </c>
      <c r="D383" s="165" t="s">
        <v>12371</v>
      </c>
      <c r="E383" s="161"/>
      <c r="F383" s="161"/>
      <c r="G383" s="161"/>
      <c r="H383" s="161"/>
      <c r="I383" s="161"/>
      <c r="J383" s="161"/>
      <c r="K383" s="161"/>
      <c r="L383" s="161"/>
      <c r="M383" s="161"/>
      <c r="N383" s="161"/>
      <c r="O383" s="161"/>
      <c r="P383" s="161"/>
      <c r="Q383" s="161"/>
      <c r="R383" s="161"/>
      <c r="S383" s="161"/>
      <c r="T383" s="161"/>
      <c r="U383" s="161"/>
      <c r="V383" s="161"/>
      <c r="W383" s="161"/>
      <c r="X383" s="161"/>
    </row>
    <row r="384" ht="12.75" customHeight="1">
      <c r="A384" s="165">
        <v>39053.0</v>
      </c>
      <c r="B384" s="165" t="s">
        <v>10436</v>
      </c>
      <c r="C384" s="166">
        <v>45345.0</v>
      </c>
      <c r="D384" s="165" t="s">
        <v>12371</v>
      </c>
      <c r="E384" s="161"/>
      <c r="F384" s="161"/>
      <c r="G384" s="161"/>
      <c r="H384" s="161"/>
      <c r="I384" s="161"/>
      <c r="J384" s="161"/>
      <c r="K384" s="161"/>
      <c r="L384" s="161"/>
      <c r="M384" s="161"/>
      <c r="N384" s="161"/>
      <c r="O384" s="161"/>
      <c r="P384" s="161"/>
      <c r="Q384" s="161"/>
      <c r="R384" s="161"/>
      <c r="S384" s="161"/>
      <c r="T384" s="161"/>
      <c r="U384" s="161"/>
      <c r="V384" s="161"/>
      <c r="W384" s="161"/>
      <c r="X384" s="161"/>
    </row>
    <row r="385" ht="12.75" customHeight="1">
      <c r="A385" s="165">
        <v>38359.0</v>
      </c>
      <c r="B385" s="165" t="s">
        <v>10024</v>
      </c>
      <c r="C385" s="166">
        <v>45348.0</v>
      </c>
      <c r="D385" s="165" t="s">
        <v>12371</v>
      </c>
      <c r="E385" s="161"/>
      <c r="F385" s="161"/>
      <c r="G385" s="161"/>
      <c r="H385" s="161"/>
      <c r="I385" s="161"/>
      <c r="J385" s="161"/>
      <c r="K385" s="161"/>
      <c r="L385" s="161"/>
      <c r="M385" s="161"/>
      <c r="N385" s="161"/>
      <c r="O385" s="161"/>
      <c r="P385" s="161"/>
      <c r="Q385" s="161"/>
      <c r="R385" s="161"/>
      <c r="S385" s="161"/>
      <c r="T385" s="161"/>
      <c r="U385" s="161"/>
      <c r="V385" s="161"/>
      <c r="W385" s="161"/>
      <c r="X385" s="161"/>
    </row>
    <row r="386" ht="12.75" customHeight="1">
      <c r="A386" s="165">
        <v>38444.0</v>
      </c>
      <c r="B386" s="165" t="s">
        <v>10022</v>
      </c>
      <c r="C386" s="166">
        <v>45348.0</v>
      </c>
      <c r="D386" s="165" t="s">
        <v>12371</v>
      </c>
      <c r="E386" s="161"/>
      <c r="F386" s="161"/>
      <c r="G386" s="161"/>
      <c r="H386" s="161"/>
      <c r="I386" s="161"/>
      <c r="J386" s="161"/>
      <c r="K386" s="161"/>
      <c r="L386" s="161"/>
      <c r="M386" s="161"/>
      <c r="N386" s="161"/>
      <c r="O386" s="161"/>
      <c r="P386" s="161"/>
      <c r="Q386" s="161"/>
      <c r="R386" s="161"/>
      <c r="S386" s="161"/>
      <c r="T386" s="161"/>
      <c r="U386" s="161"/>
      <c r="V386" s="161"/>
      <c r="W386" s="161"/>
      <c r="X386" s="161"/>
    </row>
    <row r="387" ht="12.75" customHeight="1">
      <c r="A387" s="165">
        <v>38356.0</v>
      </c>
      <c r="B387" s="165" t="s">
        <v>10020</v>
      </c>
      <c r="C387" s="166">
        <v>45348.0</v>
      </c>
      <c r="D387" s="165" t="s">
        <v>12371</v>
      </c>
      <c r="E387" s="161"/>
      <c r="F387" s="161"/>
      <c r="G387" s="161"/>
      <c r="H387" s="161"/>
      <c r="I387" s="161"/>
      <c r="J387" s="161"/>
      <c r="K387" s="161"/>
      <c r="L387" s="161"/>
      <c r="M387" s="161"/>
      <c r="N387" s="161"/>
      <c r="O387" s="161"/>
      <c r="P387" s="161"/>
      <c r="Q387" s="161"/>
      <c r="R387" s="161"/>
      <c r="S387" s="161"/>
      <c r="T387" s="161"/>
      <c r="U387" s="161"/>
      <c r="V387" s="161"/>
      <c r="W387" s="161"/>
      <c r="X387" s="161"/>
    </row>
    <row r="388" ht="12.75" customHeight="1">
      <c r="A388" s="165">
        <v>38583.0</v>
      </c>
      <c r="B388" s="165" t="s">
        <v>10018</v>
      </c>
      <c r="C388" s="166">
        <v>45348.0</v>
      </c>
      <c r="D388" s="165" t="s">
        <v>12371</v>
      </c>
      <c r="E388" s="161"/>
      <c r="F388" s="161"/>
      <c r="G388" s="161"/>
      <c r="H388" s="161"/>
      <c r="I388" s="161"/>
      <c r="J388" s="161"/>
      <c r="K388" s="161"/>
      <c r="L388" s="161"/>
      <c r="M388" s="161"/>
      <c r="N388" s="161"/>
      <c r="O388" s="161"/>
      <c r="P388" s="161"/>
      <c r="Q388" s="161"/>
      <c r="R388" s="161"/>
      <c r="S388" s="161"/>
      <c r="T388" s="161"/>
      <c r="U388" s="161"/>
      <c r="V388" s="161"/>
      <c r="W388" s="161"/>
      <c r="X388" s="161"/>
    </row>
    <row r="389" ht="12.75" customHeight="1">
      <c r="A389" s="165">
        <v>38580.0</v>
      </c>
      <c r="B389" s="165" t="s">
        <v>10015</v>
      </c>
      <c r="C389" s="166">
        <v>45348.0</v>
      </c>
      <c r="D389" s="165" t="s">
        <v>12371</v>
      </c>
      <c r="E389" s="161"/>
      <c r="F389" s="161"/>
      <c r="G389" s="161"/>
      <c r="H389" s="161"/>
      <c r="I389" s="161"/>
      <c r="J389" s="161"/>
      <c r="K389" s="161"/>
      <c r="L389" s="161"/>
      <c r="M389" s="161"/>
      <c r="N389" s="161"/>
      <c r="O389" s="161"/>
      <c r="P389" s="161"/>
      <c r="Q389" s="161"/>
      <c r="R389" s="161"/>
      <c r="S389" s="161"/>
      <c r="T389" s="161"/>
      <c r="U389" s="161"/>
      <c r="V389" s="161"/>
      <c r="W389" s="161"/>
      <c r="X389" s="161"/>
    </row>
    <row r="390" ht="12.75" customHeight="1">
      <c r="A390" s="165">
        <v>38584.0</v>
      </c>
      <c r="B390" s="165" t="s">
        <v>10012</v>
      </c>
      <c r="C390" s="166">
        <v>45348.0</v>
      </c>
      <c r="D390" s="165" t="s">
        <v>12371</v>
      </c>
      <c r="E390" s="161"/>
      <c r="F390" s="161"/>
      <c r="G390" s="161"/>
      <c r="H390" s="161"/>
      <c r="I390" s="161"/>
      <c r="J390" s="161"/>
      <c r="K390" s="161"/>
      <c r="L390" s="161"/>
      <c r="M390" s="161"/>
      <c r="N390" s="161"/>
      <c r="O390" s="161"/>
      <c r="P390" s="161"/>
      <c r="Q390" s="161"/>
      <c r="R390" s="161"/>
      <c r="S390" s="161"/>
      <c r="T390" s="161"/>
      <c r="U390" s="161"/>
      <c r="V390" s="161"/>
      <c r="W390" s="161"/>
      <c r="X390" s="161"/>
    </row>
    <row r="391" ht="12.75" customHeight="1">
      <c r="A391" s="165">
        <v>39054.0</v>
      </c>
      <c r="B391" s="165" t="s">
        <v>12398</v>
      </c>
      <c r="C391" s="166">
        <v>45350.0</v>
      </c>
      <c r="D391" s="165" t="s">
        <v>12371</v>
      </c>
      <c r="E391" s="161"/>
      <c r="F391" s="161"/>
      <c r="G391" s="161"/>
      <c r="H391" s="161"/>
      <c r="I391" s="161"/>
      <c r="J391" s="161"/>
      <c r="K391" s="161"/>
      <c r="L391" s="161"/>
      <c r="M391" s="161"/>
      <c r="N391" s="161"/>
      <c r="O391" s="161"/>
      <c r="P391" s="161"/>
      <c r="Q391" s="161"/>
      <c r="R391" s="161"/>
      <c r="S391" s="161"/>
      <c r="T391" s="161"/>
      <c r="U391" s="161"/>
      <c r="V391" s="161"/>
      <c r="W391" s="161"/>
      <c r="X391" s="161"/>
    </row>
    <row r="392" ht="12.75" customHeight="1">
      <c r="A392" s="165">
        <v>39054.0</v>
      </c>
      <c r="B392" s="165" t="s">
        <v>12399</v>
      </c>
      <c r="C392" s="166">
        <v>45350.0</v>
      </c>
      <c r="D392" s="165" t="s">
        <v>12371</v>
      </c>
      <c r="E392" s="161"/>
      <c r="F392" s="161"/>
      <c r="G392" s="161"/>
      <c r="H392" s="161"/>
      <c r="I392" s="161"/>
      <c r="J392" s="161"/>
      <c r="K392" s="161"/>
      <c r="L392" s="161"/>
      <c r="M392" s="161"/>
      <c r="N392" s="161"/>
      <c r="O392" s="161"/>
      <c r="P392" s="161"/>
      <c r="Q392" s="161"/>
      <c r="R392" s="161"/>
      <c r="S392" s="161"/>
      <c r="T392" s="161"/>
      <c r="U392" s="161"/>
      <c r="V392" s="161"/>
      <c r="W392" s="161"/>
      <c r="X392" s="161"/>
    </row>
    <row r="393" ht="12.75" customHeight="1">
      <c r="A393" s="165">
        <v>38587.0</v>
      </c>
      <c r="B393" s="165" t="s">
        <v>10002</v>
      </c>
      <c r="C393" s="166">
        <v>45355.0</v>
      </c>
      <c r="D393" s="165" t="s">
        <v>12371</v>
      </c>
      <c r="E393" s="161"/>
      <c r="F393" s="161"/>
      <c r="G393" s="161"/>
      <c r="H393" s="161"/>
      <c r="I393" s="161"/>
      <c r="J393" s="161"/>
      <c r="K393" s="161"/>
      <c r="L393" s="161"/>
      <c r="M393" s="161"/>
      <c r="N393" s="161"/>
      <c r="O393" s="161"/>
      <c r="P393" s="161"/>
      <c r="Q393" s="161"/>
      <c r="R393" s="161"/>
      <c r="S393" s="161"/>
      <c r="T393" s="161"/>
      <c r="U393" s="161"/>
      <c r="V393" s="161"/>
      <c r="W393" s="161"/>
      <c r="X393" s="161"/>
    </row>
    <row r="394" ht="12.75" customHeight="1">
      <c r="A394" s="165">
        <v>38618.0</v>
      </c>
      <c r="B394" s="165" t="s">
        <v>9956</v>
      </c>
      <c r="C394" s="166">
        <v>45378.0</v>
      </c>
      <c r="D394" s="165" t="s">
        <v>12371</v>
      </c>
      <c r="E394" s="161"/>
      <c r="F394" s="161"/>
      <c r="G394" s="161"/>
      <c r="H394" s="161"/>
      <c r="I394" s="161"/>
      <c r="J394" s="161"/>
      <c r="K394" s="161"/>
      <c r="L394" s="161"/>
      <c r="M394" s="161"/>
      <c r="N394" s="161"/>
      <c r="O394" s="161"/>
      <c r="P394" s="161"/>
      <c r="Q394" s="161"/>
      <c r="R394" s="161"/>
      <c r="S394" s="161"/>
      <c r="T394" s="161"/>
      <c r="U394" s="161"/>
      <c r="V394" s="161"/>
      <c r="W394" s="161"/>
      <c r="X394" s="161"/>
    </row>
    <row r="395" ht="12.75" customHeight="1">
      <c r="A395" s="165">
        <v>38802.0</v>
      </c>
      <c r="B395" s="165" t="s">
        <v>9951</v>
      </c>
      <c r="C395" s="166">
        <v>45380.0</v>
      </c>
      <c r="D395" s="165" t="s">
        <v>12371</v>
      </c>
      <c r="E395" s="161"/>
      <c r="F395" s="161"/>
      <c r="G395" s="161"/>
      <c r="H395" s="161"/>
      <c r="I395" s="161"/>
      <c r="J395" s="161"/>
      <c r="K395" s="161"/>
      <c r="L395" s="161"/>
      <c r="M395" s="161"/>
      <c r="N395" s="161"/>
      <c r="O395" s="161"/>
      <c r="P395" s="161"/>
      <c r="Q395" s="161"/>
      <c r="R395" s="161"/>
      <c r="S395" s="161"/>
      <c r="T395" s="161"/>
      <c r="U395" s="161"/>
      <c r="V395" s="161"/>
      <c r="W395" s="161"/>
      <c r="X395" s="161"/>
    </row>
    <row r="396" ht="12.75" customHeight="1">
      <c r="A396" s="165">
        <v>38625.0</v>
      </c>
      <c r="B396" s="165" t="s">
        <v>9954</v>
      </c>
      <c r="C396" s="166">
        <v>45380.0</v>
      </c>
      <c r="D396" s="165" t="s">
        <v>12371</v>
      </c>
      <c r="E396" s="161"/>
      <c r="F396" s="161"/>
      <c r="G396" s="161"/>
      <c r="H396" s="161"/>
      <c r="I396" s="161"/>
      <c r="J396" s="161"/>
      <c r="K396" s="161"/>
      <c r="L396" s="161"/>
      <c r="M396" s="161"/>
      <c r="N396" s="161"/>
      <c r="O396" s="161"/>
      <c r="P396" s="161"/>
      <c r="Q396" s="161"/>
      <c r="R396" s="161"/>
      <c r="S396" s="161"/>
      <c r="T396" s="161"/>
      <c r="U396" s="161"/>
      <c r="V396" s="161"/>
      <c r="W396" s="161"/>
      <c r="X396" s="161"/>
    </row>
    <row r="397" ht="12.75" customHeight="1">
      <c r="A397" s="165">
        <v>39217.0</v>
      </c>
      <c r="B397" s="165" t="s">
        <v>10404</v>
      </c>
      <c r="C397" s="166">
        <v>45392.0</v>
      </c>
      <c r="D397" s="165" t="s">
        <v>12371</v>
      </c>
      <c r="E397" s="161"/>
      <c r="F397" s="161"/>
      <c r="G397" s="161"/>
      <c r="H397" s="161"/>
      <c r="I397" s="161"/>
      <c r="J397" s="161"/>
      <c r="K397" s="161"/>
      <c r="L397" s="161"/>
      <c r="M397" s="161"/>
      <c r="N397" s="161"/>
      <c r="O397" s="161"/>
      <c r="P397" s="161"/>
      <c r="Q397" s="161"/>
      <c r="R397" s="161"/>
      <c r="S397" s="161"/>
      <c r="T397" s="161"/>
      <c r="U397" s="161"/>
      <c r="V397" s="161"/>
      <c r="W397" s="161"/>
      <c r="X397" s="161"/>
    </row>
    <row r="398" ht="12.75" customHeight="1">
      <c r="A398" s="165">
        <v>39219.0</v>
      </c>
      <c r="B398" s="165" t="s">
        <v>10401</v>
      </c>
      <c r="C398" s="166">
        <v>45392.0</v>
      </c>
      <c r="D398" s="165" t="s">
        <v>12371</v>
      </c>
      <c r="E398" s="161"/>
      <c r="F398" s="161"/>
      <c r="G398" s="161"/>
      <c r="H398" s="161"/>
      <c r="I398" s="161"/>
      <c r="J398" s="161"/>
      <c r="K398" s="161"/>
      <c r="L398" s="161"/>
      <c r="M398" s="161"/>
      <c r="N398" s="161"/>
      <c r="O398" s="161"/>
      <c r="P398" s="161"/>
      <c r="Q398" s="161"/>
      <c r="R398" s="161"/>
      <c r="S398" s="161"/>
      <c r="T398" s="161"/>
      <c r="U398" s="161"/>
      <c r="V398" s="161"/>
      <c r="W398" s="161"/>
      <c r="X398" s="161"/>
    </row>
    <row r="399" ht="12.75" customHeight="1">
      <c r="A399" s="165">
        <v>38808.0</v>
      </c>
      <c r="B399" s="191" t="s">
        <v>9918</v>
      </c>
      <c r="C399" s="166">
        <v>45397.0</v>
      </c>
      <c r="D399" s="165" t="s">
        <v>12371</v>
      </c>
      <c r="E399" s="161"/>
      <c r="F399" s="161"/>
      <c r="G399" s="161"/>
      <c r="H399" s="161"/>
      <c r="I399" s="161"/>
      <c r="J399" s="161"/>
      <c r="K399" s="161"/>
      <c r="L399" s="161"/>
      <c r="M399" s="161"/>
      <c r="N399" s="161"/>
      <c r="O399" s="161"/>
      <c r="P399" s="161"/>
      <c r="Q399" s="161"/>
      <c r="R399" s="161"/>
      <c r="S399" s="161"/>
      <c r="T399" s="161"/>
      <c r="U399" s="161"/>
      <c r="V399" s="161"/>
      <c r="W399" s="161"/>
      <c r="X399" s="161"/>
    </row>
    <row r="400" ht="12.75" customHeight="1">
      <c r="A400" s="165">
        <v>38809.0</v>
      </c>
      <c r="B400" s="191" t="s">
        <v>9916</v>
      </c>
      <c r="C400" s="166">
        <v>45397.0</v>
      </c>
      <c r="D400" s="165" t="s">
        <v>12371</v>
      </c>
      <c r="E400" s="161"/>
      <c r="F400" s="161"/>
      <c r="G400" s="161"/>
      <c r="H400" s="161"/>
      <c r="I400" s="161"/>
      <c r="J400" s="161"/>
      <c r="K400" s="161"/>
      <c r="L400" s="161"/>
      <c r="M400" s="161"/>
      <c r="N400" s="161"/>
      <c r="O400" s="161"/>
      <c r="P400" s="161"/>
      <c r="Q400" s="161"/>
      <c r="R400" s="161"/>
      <c r="S400" s="161"/>
      <c r="T400" s="161"/>
      <c r="U400" s="161"/>
      <c r="V400" s="161"/>
      <c r="W400" s="161"/>
      <c r="X400" s="161"/>
    </row>
    <row r="401" ht="12.75" customHeight="1">
      <c r="A401" s="165">
        <v>38616.0</v>
      </c>
      <c r="B401" s="165" t="s">
        <v>9908</v>
      </c>
      <c r="C401" s="166">
        <v>45401.0</v>
      </c>
      <c r="D401" s="165" t="s">
        <v>12371</v>
      </c>
      <c r="E401" s="161"/>
      <c r="F401" s="161"/>
      <c r="G401" s="161"/>
      <c r="H401" s="161"/>
      <c r="I401" s="161"/>
      <c r="J401" s="161"/>
      <c r="K401" s="161"/>
      <c r="L401" s="161"/>
      <c r="M401" s="161"/>
      <c r="N401" s="161"/>
      <c r="O401" s="161"/>
      <c r="P401" s="161"/>
      <c r="Q401" s="161"/>
      <c r="R401" s="161"/>
      <c r="S401" s="161"/>
      <c r="T401" s="161"/>
      <c r="U401" s="161"/>
      <c r="V401" s="161"/>
      <c r="W401" s="161"/>
      <c r="X401" s="161"/>
    </row>
    <row r="402" ht="12.75" customHeight="1">
      <c r="A402" s="165">
        <v>38828.0</v>
      </c>
      <c r="B402" s="165" t="s">
        <v>9898</v>
      </c>
      <c r="C402" s="166">
        <v>45401.0</v>
      </c>
      <c r="D402" s="165" t="s">
        <v>12371</v>
      </c>
      <c r="E402" s="161"/>
      <c r="F402" s="161"/>
      <c r="G402" s="161"/>
      <c r="H402" s="161"/>
      <c r="I402" s="161"/>
      <c r="J402" s="161"/>
      <c r="K402" s="161"/>
      <c r="L402" s="161"/>
      <c r="M402" s="161"/>
      <c r="N402" s="161"/>
      <c r="O402" s="161"/>
      <c r="P402" s="161"/>
      <c r="Q402" s="161"/>
      <c r="R402" s="161"/>
      <c r="S402" s="161"/>
      <c r="T402" s="161"/>
      <c r="U402" s="161"/>
      <c r="V402" s="161"/>
      <c r="W402" s="161"/>
      <c r="X402" s="161"/>
    </row>
    <row r="403" ht="12.75" customHeight="1">
      <c r="A403" s="165">
        <v>39143.0</v>
      </c>
      <c r="B403" s="165" t="s">
        <v>10394</v>
      </c>
      <c r="C403" s="166">
        <v>45404.0</v>
      </c>
      <c r="D403" s="165" t="s">
        <v>12371</v>
      </c>
      <c r="E403" s="161"/>
      <c r="F403" s="161"/>
      <c r="G403" s="161"/>
      <c r="H403" s="161"/>
      <c r="I403" s="161"/>
      <c r="J403" s="161"/>
      <c r="K403" s="161"/>
      <c r="L403" s="161"/>
      <c r="M403" s="161"/>
      <c r="N403" s="161"/>
      <c r="O403" s="161"/>
      <c r="P403" s="161"/>
      <c r="Q403" s="161"/>
      <c r="R403" s="161"/>
      <c r="S403" s="161"/>
      <c r="T403" s="161"/>
      <c r="U403" s="161"/>
      <c r="V403" s="161"/>
      <c r="W403" s="161"/>
      <c r="X403" s="161"/>
    </row>
    <row r="404" ht="12.75" customHeight="1">
      <c r="A404" s="165">
        <v>39225.0</v>
      </c>
      <c r="B404" s="165" t="s">
        <v>10386</v>
      </c>
      <c r="C404" s="166">
        <v>45405.0</v>
      </c>
      <c r="D404" s="165" t="s">
        <v>12371</v>
      </c>
      <c r="E404" s="161"/>
      <c r="F404" s="161"/>
      <c r="G404" s="161"/>
      <c r="H404" s="161"/>
      <c r="I404" s="161"/>
      <c r="J404" s="161"/>
      <c r="K404" s="161"/>
      <c r="L404" s="161"/>
      <c r="M404" s="161"/>
      <c r="N404" s="161"/>
      <c r="O404" s="161"/>
      <c r="P404" s="161"/>
      <c r="Q404" s="161"/>
      <c r="R404" s="161"/>
      <c r="S404" s="161"/>
      <c r="T404" s="161"/>
      <c r="U404" s="161"/>
      <c r="V404" s="161"/>
      <c r="W404" s="161"/>
      <c r="X404" s="161"/>
    </row>
    <row r="405" ht="12.75" customHeight="1">
      <c r="A405" s="165">
        <v>38614.0</v>
      </c>
      <c r="B405" s="165" t="s">
        <v>9871</v>
      </c>
      <c r="C405" s="166">
        <v>45411.0</v>
      </c>
      <c r="D405" s="165" t="s">
        <v>12371</v>
      </c>
      <c r="E405" s="161"/>
      <c r="F405" s="161"/>
      <c r="G405" s="161"/>
      <c r="H405" s="161"/>
      <c r="I405" s="161"/>
      <c r="J405" s="161"/>
      <c r="K405" s="161"/>
      <c r="L405" s="161"/>
      <c r="M405" s="161"/>
      <c r="N405" s="161"/>
      <c r="O405" s="161"/>
      <c r="P405" s="161"/>
      <c r="Q405" s="161"/>
      <c r="R405" s="161"/>
      <c r="S405" s="161"/>
      <c r="T405" s="161"/>
      <c r="U405" s="161"/>
      <c r="V405" s="161"/>
      <c r="W405" s="161"/>
      <c r="X405" s="161"/>
    </row>
    <row r="406" ht="12.75" customHeight="1">
      <c r="A406" s="165">
        <v>38911.0</v>
      </c>
      <c r="B406" s="165" t="s">
        <v>9867</v>
      </c>
      <c r="C406" s="166">
        <v>45418.0</v>
      </c>
      <c r="D406" s="165" t="s">
        <v>12371</v>
      </c>
      <c r="E406" s="161"/>
      <c r="F406" s="161"/>
      <c r="G406" s="161"/>
      <c r="H406" s="161"/>
      <c r="I406" s="161"/>
      <c r="J406" s="161"/>
      <c r="K406" s="161"/>
      <c r="L406" s="161"/>
      <c r="M406" s="161"/>
      <c r="N406" s="161"/>
      <c r="O406" s="161"/>
      <c r="P406" s="161"/>
      <c r="Q406" s="161"/>
      <c r="R406" s="161"/>
      <c r="S406" s="161"/>
      <c r="T406" s="161"/>
      <c r="U406" s="161"/>
      <c r="V406" s="161"/>
      <c r="W406" s="161"/>
      <c r="X406" s="161"/>
    </row>
    <row r="407" ht="12.75" customHeight="1">
      <c r="A407" s="165">
        <v>38812.0</v>
      </c>
      <c r="B407" s="165" t="s">
        <v>9865</v>
      </c>
      <c r="C407" s="166">
        <v>45418.0</v>
      </c>
      <c r="D407" s="165" t="s">
        <v>12371</v>
      </c>
      <c r="E407" s="161"/>
      <c r="F407" s="161"/>
      <c r="G407" s="161"/>
      <c r="H407" s="161"/>
      <c r="I407" s="161"/>
      <c r="J407" s="161"/>
      <c r="K407" s="161"/>
      <c r="L407" s="161"/>
      <c r="M407" s="161"/>
      <c r="N407" s="161"/>
      <c r="O407" s="161"/>
      <c r="P407" s="161"/>
      <c r="Q407" s="161"/>
      <c r="R407" s="161"/>
      <c r="S407" s="161"/>
      <c r="T407" s="161"/>
      <c r="U407" s="161"/>
      <c r="V407" s="161"/>
      <c r="W407" s="161"/>
      <c r="X407" s="161"/>
    </row>
    <row r="408" ht="12.75" customHeight="1">
      <c r="A408" s="165">
        <v>38814.0</v>
      </c>
      <c r="B408" s="165" t="s">
        <v>9863</v>
      </c>
      <c r="C408" s="166">
        <v>45418.0</v>
      </c>
      <c r="D408" s="165" t="s">
        <v>12371</v>
      </c>
      <c r="E408" s="161"/>
      <c r="F408" s="161"/>
      <c r="G408" s="161"/>
      <c r="H408" s="161"/>
      <c r="I408" s="161"/>
      <c r="J408" s="161"/>
      <c r="K408" s="161"/>
      <c r="L408" s="161"/>
      <c r="M408" s="161"/>
      <c r="N408" s="161"/>
      <c r="O408" s="161"/>
      <c r="P408" s="161"/>
      <c r="Q408" s="161"/>
      <c r="R408" s="161"/>
      <c r="S408" s="161"/>
      <c r="T408" s="161"/>
      <c r="U408" s="161"/>
      <c r="V408" s="161"/>
      <c r="W408" s="161"/>
      <c r="X408" s="161"/>
    </row>
    <row r="409" ht="12.75" customHeight="1">
      <c r="A409" s="165">
        <v>38816.0</v>
      </c>
      <c r="B409" s="165" t="s">
        <v>9861</v>
      </c>
      <c r="C409" s="166">
        <v>45418.0</v>
      </c>
      <c r="D409" s="165" t="s">
        <v>12371</v>
      </c>
      <c r="E409" s="161"/>
      <c r="F409" s="161"/>
      <c r="G409" s="161"/>
      <c r="H409" s="161"/>
      <c r="I409" s="161"/>
      <c r="J409" s="161"/>
      <c r="K409" s="161"/>
      <c r="L409" s="161"/>
      <c r="M409" s="161"/>
      <c r="N409" s="161"/>
      <c r="O409" s="161"/>
      <c r="P409" s="161"/>
      <c r="Q409" s="161"/>
      <c r="R409" s="161"/>
      <c r="S409" s="161"/>
      <c r="T409" s="161"/>
      <c r="U409" s="161"/>
      <c r="V409" s="161"/>
      <c r="W409" s="161"/>
      <c r="X409" s="161"/>
    </row>
    <row r="410" ht="12.75" customHeight="1">
      <c r="A410" s="165">
        <v>38947.0</v>
      </c>
      <c r="B410" s="165" t="s">
        <v>9859</v>
      </c>
      <c r="C410" s="166">
        <v>45418.0</v>
      </c>
      <c r="D410" s="165" t="s">
        <v>12371</v>
      </c>
      <c r="E410" s="161"/>
      <c r="F410" s="161"/>
      <c r="G410" s="161"/>
      <c r="H410" s="161"/>
      <c r="I410" s="161"/>
      <c r="J410" s="161"/>
      <c r="K410" s="161"/>
      <c r="L410" s="161"/>
      <c r="M410" s="161"/>
      <c r="N410" s="161"/>
      <c r="O410" s="161"/>
      <c r="P410" s="161"/>
      <c r="Q410" s="161"/>
      <c r="R410" s="161"/>
      <c r="S410" s="161"/>
      <c r="T410" s="161"/>
      <c r="U410" s="161"/>
      <c r="V410" s="161"/>
      <c r="W410" s="161"/>
      <c r="X410" s="161"/>
    </row>
    <row r="411" ht="12.75" customHeight="1">
      <c r="A411" s="165">
        <v>39014.0</v>
      </c>
      <c r="B411" s="165" t="s">
        <v>9853</v>
      </c>
      <c r="C411" s="166">
        <v>45419.0</v>
      </c>
      <c r="D411" s="165" t="s">
        <v>12371</v>
      </c>
      <c r="E411" s="161"/>
      <c r="F411" s="161"/>
      <c r="G411" s="161"/>
      <c r="H411" s="161"/>
      <c r="I411" s="161"/>
      <c r="J411" s="161"/>
      <c r="K411" s="161"/>
      <c r="L411" s="161"/>
      <c r="M411" s="161"/>
      <c r="N411" s="161"/>
      <c r="O411" s="161"/>
      <c r="P411" s="161"/>
      <c r="Q411" s="161"/>
      <c r="R411" s="161"/>
      <c r="S411" s="161"/>
      <c r="T411" s="161"/>
      <c r="U411" s="161"/>
      <c r="V411" s="161"/>
      <c r="W411" s="161"/>
      <c r="X411" s="161"/>
    </row>
    <row r="412" ht="12.75" customHeight="1">
      <c r="A412" s="165">
        <v>38627.0</v>
      </c>
      <c r="B412" s="165" t="s">
        <v>9840</v>
      </c>
      <c r="C412" s="166">
        <v>45422.0</v>
      </c>
      <c r="D412" s="165" t="s">
        <v>12371</v>
      </c>
      <c r="E412" s="161"/>
      <c r="F412" s="161"/>
      <c r="G412" s="161"/>
      <c r="H412" s="161"/>
      <c r="I412" s="161"/>
      <c r="J412" s="161"/>
      <c r="K412" s="161"/>
      <c r="L412" s="161"/>
      <c r="M412" s="161"/>
      <c r="N412" s="161"/>
      <c r="O412" s="161"/>
      <c r="P412" s="161"/>
      <c r="Q412" s="161"/>
      <c r="R412" s="161"/>
      <c r="S412" s="161"/>
      <c r="T412" s="161"/>
      <c r="U412" s="161"/>
      <c r="V412" s="161"/>
      <c r="W412" s="161"/>
      <c r="X412" s="161"/>
    </row>
    <row r="413" ht="12.75" customHeight="1">
      <c r="A413" s="165">
        <v>39072.0</v>
      </c>
      <c r="B413" s="165" t="s">
        <v>9825</v>
      </c>
      <c r="C413" s="166">
        <v>45413.0</v>
      </c>
      <c r="D413" s="165" t="s">
        <v>12371</v>
      </c>
      <c r="E413" s="161"/>
      <c r="F413" s="161"/>
      <c r="G413" s="161"/>
      <c r="H413" s="161"/>
      <c r="I413" s="161"/>
      <c r="J413" s="161"/>
      <c r="K413" s="161"/>
      <c r="L413" s="161"/>
      <c r="M413" s="161"/>
      <c r="N413" s="161"/>
      <c r="O413" s="161"/>
      <c r="P413" s="161"/>
      <c r="Q413" s="161"/>
      <c r="R413" s="161"/>
      <c r="S413" s="161"/>
      <c r="T413" s="161"/>
      <c r="U413" s="161"/>
      <c r="V413" s="161"/>
      <c r="W413" s="161"/>
      <c r="X413" s="161"/>
    </row>
    <row r="414" ht="12.75" customHeight="1">
      <c r="A414" s="165">
        <v>39362.0</v>
      </c>
      <c r="B414" s="165" t="s">
        <v>10363</v>
      </c>
      <c r="C414" s="166">
        <v>45432.0</v>
      </c>
      <c r="D414" s="165" t="s">
        <v>12371</v>
      </c>
      <c r="E414" s="161"/>
      <c r="F414" s="161"/>
      <c r="G414" s="161"/>
      <c r="H414" s="161"/>
      <c r="I414" s="161"/>
      <c r="J414" s="161"/>
      <c r="K414" s="161"/>
      <c r="L414" s="161"/>
      <c r="M414" s="161"/>
      <c r="N414" s="161"/>
      <c r="O414" s="161"/>
      <c r="P414" s="161"/>
      <c r="Q414" s="161"/>
      <c r="R414" s="161"/>
      <c r="S414" s="161"/>
      <c r="T414" s="161"/>
      <c r="U414" s="161"/>
      <c r="V414" s="161"/>
      <c r="W414" s="161"/>
      <c r="X414" s="161"/>
    </row>
    <row r="415" ht="12.75" customHeight="1">
      <c r="A415" s="165">
        <v>38944.0</v>
      </c>
      <c r="B415" s="165" t="s">
        <v>9817</v>
      </c>
      <c r="C415" s="166">
        <v>45432.0</v>
      </c>
      <c r="D415" s="165" t="s">
        <v>12371</v>
      </c>
      <c r="E415" s="161"/>
      <c r="F415" s="161"/>
      <c r="G415" s="161"/>
      <c r="H415" s="161"/>
      <c r="I415" s="161"/>
      <c r="J415" s="161"/>
      <c r="K415" s="161"/>
      <c r="L415" s="161"/>
      <c r="M415" s="161"/>
      <c r="N415" s="161"/>
      <c r="O415" s="161"/>
      <c r="P415" s="161"/>
      <c r="Q415" s="161"/>
      <c r="R415" s="161"/>
      <c r="S415" s="161"/>
      <c r="T415" s="161"/>
      <c r="U415" s="161"/>
      <c r="V415" s="161"/>
      <c r="W415" s="161"/>
      <c r="X415" s="161"/>
    </row>
    <row r="416" ht="12.75" customHeight="1">
      <c r="A416" s="165">
        <v>38980.0</v>
      </c>
      <c r="B416" s="165" t="s">
        <v>9808</v>
      </c>
      <c r="C416" s="166">
        <v>45433.0</v>
      </c>
      <c r="D416" s="165" t="s">
        <v>12371</v>
      </c>
      <c r="E416" s="161"/>
      <c r="F416" s="161"/>
      <c r="G416" s="161"/>
      <c r="H416" s="161"/>
      <c r="I416" s="161"/>
      <c r="J416" s="161"/>
      <c r="K416" s="161"/>
      <c r="L416" s="161"/>
      <c r="M416" s="161"/>
      <c r="N416" s="161"/>
      <c r="O416" s="161"/>
      <c r="P416" s="161"/>
      <c r="Q416" s="161"/>
      <c r="R416" s="161"/>
      <c r="S416" s="161"/>
      <c r="T416" s="161"/>
      <c r="U416" s="161"/>
      <c r="V416" s="161"/>
      <c r="W416" s="161"/>
      <c r="X416" s="161"/>
    </row>
    <row r="417" ht="12.75" customHeight="1">
      <c r="A417" s="165">
        <v>39366.0</v>
      </c>
      <c r="B417" s="165" t="s">
        <v>10352</v>
      </c>
      <c r="C417" s="166">
        <v>45436.0</v>
      </c>
      <c r="D417" s="165" t="s">
        <v>12371</v>
      </c>
      <c r="E417" s="161"/>
      <c r="F417" s="161"/>
      <c r="G417" s="161"/>
      <c r="H417" s="161"/>
      <c r="I417" s="161"/>
      <c r="J417" s="161"/>
      <c r="K417" s="161"/>
      <c r="L417" s="161"/>
      <c r="M417" s="161"/>
      <c r="N417" s="161"/>
      <c r="O417" s="161"/>
      <c r="P417" s="161"/>
      <c r="Q417" s="161"/>
      <c r="R417" s="161"/>
      <c r="S417" s="161"/>
      <c r="T417" s="161"/>
      <c r="U417" s="161"/>
      <c r="V417" s="161"/>
      <c r="W417" s="161"/>
      <c r="X417" s="161"/>
    </row>
    <row r="418" ht="12.75" customHeight="1">
      <c r="A418" s="165">
        <v>38630.0</v>
      </c>
      <c r="B418" s="165" t="s">
        <v>9796</v>
      </c>
      <c r="C418" s="166">
        <v>45443.0</v>
      </c>
      <c r="D418" s="165" t="s">
        <v>12371</v>
      </c>
      <c r="E418" s="161"/>
      <c r="F418" s="161"/>
      <c r="G418" s="161"/>
      <c r="H418" s="161"/>
      <c r="I418" s="161"/>
      <c r="J418" s="161"/>
      <c r="K418" s="161"/>
      <c r="L418" s="161"/>
      <c r="M418" s="161"/>
      <c r="N418" s="161"/>
      <c r="O418" s="161"/>
      <c r="P418" s="161"/>
      <c r="Q418" s="161"/>
      <c r="R418" s="161"/>
      <c r="S418" s="161"/>
      <c r="T418" s="161"/>
      <c r="U418" s="161"/>
      <c r="V418" s="161"/>
      <c r="W418" s="161"/>
      <c r="X418" s="161"/>
    </row>
    <row r="419" ht="12.75" customHeight="1">
      <c r="A419" s="165">
        <v>38615.0</v>
      </c>
      <c r="B419" s="165" t="s">
        <v>9794</v>
      </c>
      <c r="C419" s="166">
        <v>45443.0</v>
      </c>
      <c r="D419" s="165" t="s">
        <v>12371</v>
      </c>
      <c r="E419" s="161"/>
      <c r="F419" s="161"/>
      <c r="G419" s="161"/>
      <c r="H419" s="161"/>
      <c r="I419" s="161"/>
      <c r="J419" s="161"/>
      <c r="K419" s="161"/>
      <c r="L419" s="161"/>
      <c r="M419" s="161"/>
      <c r="N419" s="161"/>
      <c r="O419" s="161"/>
      <c r="P419" s="161"/>
      <c r="Q419" s="161"/>
      <c r="R419" s="161"/>
      <c r="S419" s="161"/>
      <c r="T419" s="161"/>
      <c r="U419" s="161"/>
      <c r="V419" s="161"/>
      <c r="W419" s="161"/>
      <c r="X419" s="161"/>
    </row>
    <row r="420" ht="12.75" customHeight="1">
      <c r="A420" s="165">
        <v>39446.0</v>
      </c>
      <c r="B420" s="165" t="s">
        <v>10338</v>
      </c>
      <c r="C420" s="166">
        <v>45454.0</v>
      </c>
      <c r="D420" s="165" t="s">
        <v>12371</v>
      </c>
      <c r="E420" s="161"/>
      <c r="F420" s="161"/>
      <c r="G420" s="161"/>
      <c r="H420" s="161"/>
      <c r="I420" s="161"/>
      <c r="J420" s="161"/>
      <c r="K420" s="161"/>
      <c r="L420" s="161"/>
      <c r="M420" s="161"/>
      <c r="N420" s="161"/>
      <c r="O420" s="161"/>
      <c r="P420" s="161"/>
      <c r="Q420" s="161"/>
      <c r="R420" s="161"/>
      <c r="S420" s="161"/>
      <c r="T420" s="161"/>
      <c r="U420" s="161"/>
      <c r="V420" s="161"/>
      <c r="W420" s="161"/>
      <c r="X420" s="161"/>
    </row>
    <row r="421" ht="12.75" customHeight="1">
      <c r="A421" s="165">
        <v>39447.0</v>
      </c>
      <c r="B421" s="165" t="s">
        <v>10336</v>
      </c>
      <c r="C421" s="166">
        <v>45461.0</v>
      </c>
      <c r="D421" s="165" t="s">
        <v>12371</v>
      </c>
      <c r="E421" s="161"/>
      <c r="F421" s="161"/>
      <c r="G421" s="161"/>
      <c r="H421" s="161"/>
      <c r="I421" s="161"/>
      <c r="J421" s="161"/>
      <c r="K421" s="161"/>
      <c r="L421" s="161"/>
      <c r="M421" s="161"/>
      <c r="N421" s="161"/>
      <c r="O421" s="161"/>
      <c r="P421" s="161"/>
      <c r="Q421" s="161"/>
      <c r="R421" s="161"/>
      <c r="S421" s="161"/>
      <c r="T421" s="161"/>
      <c r="U421" s="161"/>
      <c r="V421" s="161"/>
      <c r="W421" s="161"/>
      <c r="X421" s="161"/>
    </row>
    <row r="422" ht="12.75" customHeight="1">
      <c r="A422" s="165">
        <v>39451.0</v>
      </c>
      <c r="B422" s="165" t="s">
        <v>10333</v>
      </c>
      <c r="C422" s="166">
        <v>45467.0</v>
      </c>
      <c r="D422" s="165" t="s">
        <v>12371</v>
      </c>
      <c r="E422" s="161"/>
      <c r="F422" s="161"/>
      <c r="G422" s="161"/>
      <c r="H422" s="161"/>
      <c r="I422" s="161"/>
      <c r="J422" s="161"/>
      <c r="K422" s="161"/>
      <c r="L422" s="161"/>
      <c r="M422" s="161"/>
      <c r="N422" s="161"/>
      <c r="O422" s="161"/>
      <c r="P422" s="161"/>
      <c r="Q422" s="161"/>
      <c r="R422" s="161"/>
      <c r="S422" s="161"/>
      <c r="T422" s="161"/>
      <c r="U422" s="161"/>
      <c r="V422" s="161"/>
      <c r="W422" s="161"/>
      <c r="X422" s="161"/>
    </row>
    <row r="423" ht="12.75" customHeight="1">
      <c r="A423" s="165">
        <v>39318.0</v>
      </c>
      <c r="B423" s="165" t="s">
        <v>9760</v>
      </c>
      <c r="C423" s="166">
        <v>45468.0</v>
      </c>
      <c r="D423" s="165" t="s">
        <v>12371</v>
      </c>
      <c r="E423" s="161"/>
      <c r="F423" s="161"/>
      <c r="G423" s="161"/>
      <c r="H423" s="161"/>
      <c r="I423" s="161"/>
      <c r="J423" s="161"/>
      <c r="K423" s="161"/>
      <c r="L423" s="161"/>
      <c r="M423" s="161"/>
      <c r="N423" s="161"/>
      <c r="O423" s="161"/>
      <c r="P423" s="161"/>
      <c r="Q423" s="161"/>
      <c r="R423" s="161"/>
      <c r="S423" s="161"/>
      <c r="T423" s="161"/>
      <c r="U423" s="161"/>
      <c r="V423" s="161"/>
      <c r="W423" s="161"/>
      <c r="X423" s="161"/>
    </row>
    <row r="424" ht="12.75" customHeight="1">
      <c r="A424" s="165" t="s">
        <v>9756</v>
      </c>
      <c r="B424" s="165" t="s">
        <v>9757</v>
      </c>
      <c r="C424" s="166">
        <v>45468.0</v>
      </c>
      <c r="D424" s="165" t="s">
        <v>12371</v>
      </c>
      <c r="E424" s="161"/>
      <c r="F424" s="161"/>
      <c r="G424" s="161"/>
      <c r="H424" s="161"/>
      <c r="I424" s="161"/>
      <c r="J424" s="161"/>
      <c r="K424" s="161"/>
      <c r="L424" s="161"/>
      <c r="M424" s="161"/>
      <c r="N424" s="161"/>
      <c r="O424" s="161"/>
      <c r="P424" s="161"/>
      <c r="Q424" s="161"/>
      <c r="R424" s="161"/>
      <c r="S424" s="161"/>
      <c r="T424" s="161"/>
      <c r="U424" s="161"/>
      <c r="V424" s="161"/>
      <c r="W424" s="161"/>
      <c r="X424" s="161"/>
    </row>
    <row r="425" ht="12.75" customHeight="1">
      <c r="A425" s="165">
        <v>39293.0</v>
      </c>
      <c r="B425" s="165" t="s">
        <v>9751</v>
      </c>
      <c r="C425" s="166">
        <v>45469.0</v>
      </c>
      <c r="D425" s="165" t="s">
        <v>12371</v>
      </c>
      <c r="E425" s="161"/>
      <c r="F425" s="161"/>
      <c r="G425" s="161"/>
      <c r="H425" s="161"/>
      <c r="I425" s="161"/>
      <c r="J425" s="161"/>
      <c r="K425" s="161"/>
      <c r="L425" s="161"/>
      <c r="M425" s="161"/>
      <c r="N425" s="161"/>
      <c r="O425" s="161"/>
      <c r="P425" s="161"/>
      <c r="Q425" s="161"/>
      <c r="R425" s="161"/>
      <c r="S425" s="161"/>
      <c r="T425" s="161"/>
      <c r="U425" s="161"/>
      <c r="V425" s="161"/>
      <c r="W425" s="161"/>
      <c r="X425" s="161"/>
    </row>
    <row r="426" ht="12.75" customHeight="1">
      <c r="A426" s="165">
        <v>38978.0</v>
      </c>
      <c r="B426" s="165" t="s">
        <v>9745</v>
      </c>
      <c r="C426" s="166">
        <v>45474.0</v>
      </c>
      <c r="D426" s="165" t="s">
        <v>12371</v>
      </c>
      <c r="E426" s="161"/>
      <c r="F426" s="161"/>
      <c r="G426" s="161"/>
      <c r="H426" s="161"/>
      <c r="I426" s="161"/>
      <c r="J426" s="161"/>
      <c r="K426" s="161"/>
      <c r="L426" s="161"/>
      <c r="M426" s="161"/>
      <c r="N426" s="161"/>
      <c r="O426" s="161"/>
      <c r="P426" s="161"/>
      <c r="Q426" s="161"/>
      <c r="R426" s="161"/>
      <c r="S426" s="161"/>
      <c r="T426" s="161"/>
      <c r="U426" s="161"/>
      <c r="V426" s="161"/>
      <c r="W426" s="161"/>
      <c r="X426" s="161"/>
    </row>
    <row r="427" ht="12.75" customHeight="1">
      <c r="A427" s="165">
        <v>38973.0</v>
      </c>
      <c r="B427" s="165" t="s">
        <v>9743</v>
      </c>
      <c r="C427" s="166">
        <v>45474.0</v>
      </c>
      <c r="D427" s="165" t="s">
        <v>12371</v>
      </c>
      <c r="E427" s="161"/>
      <c r="F427" s="161"/>
      <c r="G427" s="161"/>
      <c r="H427" s="161"/>
      <c r="I427" s="161"/>
      <c r="J427" s="161"/>
      <c r="K427" s="161"/>
      <c r="L427" s="161"/>
      <c r="M427" s="161"/>
      <c r="N427" s="161"/>
      <c r="O427" s="161"/>
      <c r="P427" s="161"/>
      <c r="Q427" s="161"/>
      <c r="R427" s="161"/>
      <c r="S427" s="161"/>
      <c r="T427" s="161"/>
      <c r="U427" s="161"/>
      <c r="V427" s="161"/>
      <c r="W427" s="161"/>
      <c r="X427" s="161"/>
    </row>
    <row r="428" ht="12.75" customHeight="1">
      <c r="A428" s="165">
        <v>38958.0</v>
      </c>
      <c r="B428" s="165" t="s">
        <v>9741</v>
      </c>
      <c r="C428" s="166">
        <v>45474.0</v>
      </c>
      <c r="D428" s="165" t="s">
        <v>12371</v>
      </c>
      <c r="E428" s="161"/>
      <c r="F428" s="161"/>
      <c r="G428" s="161"/>
      <c r="H428" s="161"/>
      <c r="I428" s="161"/>
      <c r="J428" s="161"/>
      <c r="K428" s="161"/>
      <c r="L428" s="161"/>
      <c r="M428" s="161"/>
      <c r="N428" s="161"/>
      <c r="O428" s="161"/>
      <c r="P428" s="161"/>
      <c r="Q428" s="161"/>
      <c r="R428" s="161"/>
      <c r="S428" s="161"/>
      <c r="T428" s="161"/>
      <c r="U428" s="161"/>
      <c r="V428" s="161"/>
      <c r="W428" s="161"/>
      <c r="X428" s="161"/>
    </row>
    <row r="429" ht="12.75" customHeight="1">
      <c r="A429" s="165">
        <v>38613.0</v>
      </c>
      <c r="B429" s="165" t="s">
        <v>9739</v>
      </c>
      <c r="C429" s="166">
        <v>45474.0</v>
      </c>
      <c r="D429" s="165" t="s">
        <v>12371</v>
      </c>
      <c r="E429" s="161"/>
      <c r="F429" s="161"/>
      <c r="G429" s="161"/>
      <c r="H429" s="161"/>
      <c r="I429" s="161"/>
      <c r="J429" s="161"/>
      <c r="K429" s="161"/>
      <c r="L429" s="161"/>
      <c r="M429" s="161"/>
      <c r="N429" s="161"/>
      <c r="O429" s="161"/>
      <c r="P429" s="161"/>
      <c r="Q429" s="161"/>
      <c r="R429" s="161"/>
      <c r="S429" s="161"/>
      <c r="T429" s="161"/>
      <c r="U429" s="161"/>
      <c r="V429" s="161"/>
      <c r="W429" s="161"/>
      <c r="X429" s="161"/>
    </row>
    <row r="430" ht="12.75" customHeight="1">
      <c r="A430" s="165">
        <v>39232.0</v>
      </c>
      <c r="B430" s="165" t="s">
        <v>9722</v>
      </c>
      <c r="C430" s="166">
        <v>45475.0</v>
      </c>
      <c r="D430" s="165" t="s">
        <v>12371</v>
      </c>
      <c r="E430" s="161"/>
      <c r="F430" s="161"/>
      <c r="G430" s="161"/>
      <c r="H430" s="161"/>
      <c r="I430" s="161"/>
      <c r="J430" s="161"/>
      <c r="K430" s="161"/>
      <c r="L430" s="161"/>
      <c r="M430" s="161"/>
      <c r="N430" s="161"/>
      <c r="O430" s="161"/>
      <c r="P430" s="161"/>
      <c r="Q430" s="161"/>
      <c r="R430" s="161"/>
      <c r="S430" s="161"/>
      <c r="T430" s="161"/>
      <c r="U430" s="161"/>
      <c r="V430" s="161"/>
      <c r="W430" s="161"/>
      <c r="X430" s="161"/>
    </row>
    <row r="431" ht="12.75" customHeight="1">
      <c r="A431" s="165">
        <v>39233.0</v>
      </c>
      <c r="B431" s="165" t="s">
        <v>9720</v>
      </c>
      <c r="C431" s="166">
        <v>45475.0</v>
      </c>
      <c r="D431" s="165" t="s">
        <v>12371</v>
      </c>
      <c r="E431" s="161"/>
      <c r="F431" s="161"/>
      <c r="G431" s="161"/>
      <c r="H431" s="161"/>
      <c r="I431" s="161"/>
      <c r="J431" s="161"/>
      <c r="K431" s="161"/>
      <c r="L431" s="161"/>
      <c r="M431" s="161"/>
      <c r="N431" s="161"/>
      <c r="O431" s="161"/>
      <c r="P431" s="161"/>
      <c r="Q431" s="161"/>
      <c r="R431" s="161"/>
      <c r="S431" s="161"/>
      <c r="T431" s="161"/>
      <c r="U431" s="161"/>
      <c r="V431" s="161"/>
      <c r="W431" s="161"/>
      <c r="X431" s="161"/>
    </row>
    <row r="432" ht="12.75" customHeight="1">
      <c r="A432" s="165">
        <v>39234.0</v>
      </c>
      <c r="B432" s="165" t="s">
        <v>9716</v>
      </c>
      <c r="C432" s="166">
        <v>45475.0</v>
      </c>
      <c r="D432" s="165" t="s">
        <v>12371</v>
      </c>
      <c r="E432" s="161"/>
      <c r="F432" s="161"/>
      <c r="G432" s="161"/>
      <c r="H432" s="161"/>
      <c r="I432" s="161"/>
      <c r="J432" s="161"/>
      <c r="K432" s="161"/>
      <c r="L432" s="161"/>
      <c r="M432" s="161"/>
      <c r="N432" s="161"/>
      <c r="O432" s="161"/>
      <c r="P432" s="161"/>
      <c r="Q432" s="161"/>
      <c r="R432" s="161"/>
      <c r="S432" s="161"/>
      <c r="T432" s="161"/>
      <c r="U432" s="161"/>
      <c r="V432" s="161"/>
      <c r="W432" s="161"/>
      <c r="X432" s="161"/>
    </row>
    <row r="433" ht="12.75" customHeight="1">
      <c r="A433" s="165">
        <v>39304.0</v>
      </c>
      <c r="B433" s="165" t="s">
        <v>9712</v>
      </c>
      <c r="C433" s="166">
        <v>45475.0</v>
      </c>
      <c r="D433" s="165" t="s">
        <v>12371</v>
      </c>
      <c r="E433" s="161"/>
      <c r="F433" s="161"/>
      <c r="G433" s="161"/>
      <c r="H433" s="161"/>
      <c r="I433" s="161"/>
      <c r="J433" s="161"/>
      <c r="K433" s="161"/>
      <c r="L433" s="161"/>
      <c r="M433" s="161"/>
      <c r="N433" s="161"/>
      <c r="O433" s="161"/>
      <c r="P433" s="161"/>
      <c r="Q433" s="161"/>
      <c r="R433" s="161"/>
      <c r="S433" s="161"/>
      <c r="T433" s="161"/>
      <c r="U433" s="161"/>
      <c r="V433" s="161"/>
      <c r="W433" s="161"/>
      <c r="X433" s="161"/>
    </row>
    <row r="434" ht="12.75" customHeight="1">
      <c r="A434" s="165">
        <v>39560.0</v>
      </c>
      <c r="B434" s="165">
        <v>38975.0</v>
      </c>
      <c r="C434" s="166">
        <v>45476.0</v>
      </c>
      <c r="D434" s="165" t="s">
        <v>12371</v>
      </c>
      <c r="E434" s="161"/>
      <c r="F434" s="161"/>
      <c r="G434" s="161"/>
      <c r="H434" s="161"/>
      <c r="I434" s="161"/>
      <c r="J434" s="161"/>
      <c r="K434" s="161"/>
      <c r="L434" s="161"/>
      <c r="M434" s="161"/>
      <c r="N434" s="161"/>
      <c r="O434" s="161"/>
      <c r="P434" s="161"/>
      <c r="Q434" s="161"/>
      <c r="R434" s="161"/>
      <c r="S434" s="161"/>
      <c r="T434" s="161"/>
      <c r="U434" s="161"/>
      <c r="V434" s="161"/>
      <c r="W434" s="161"/>
      <c r="X434" s="161"/>
    </row>
    <row r="435" ht="12.75" customHeight="1">
      <c r="A435" s="165">
        <v>39311.0</v>
      </c>
      <c r="B435" s="165" t="s">
        <v>9728</v>
      </c>
      <c r="C435" s="166">
        <v>45476.0</v>
      </c>
      <c r="D435" s="165" t="s">
        <v>12371</v>
      </c>
      <c r="E435" s="161"/>
      <c r="F435" s="161"/>
      <c r="G435" s="161"/>
      <c r="H435" s="161"/>
      <c r="I435" s="161"/>
      <c r="J435" s="161"/>
      <c r="K435" s="161"/>
      <c r="L435" s="161"/>
      <c r="M435" s="161"/>
      <c r="N435" s="161"/>
      <c r="O435" s="161"/>
      <c r="P435" s="161"/>
      <c r="Q435" s="161"/>
      <c r="R435" s="161"/>
      <c r="S435" s="161"/>
      <c r="T435" s="161"/>
      <c r="U435" s="161"/>
      <c r="V435" s="161"/>
      <c r="W435" s="161"/>
      <c r="X435" s="161"/>
    </row>
    <row r="436" ht="12.75" customHeight="1">
      <c r="A436" s="165">
        <v>39276.0</v>
      </c>
      <c r="B436" s="165" t="s">
        <v>9718</v>
      </c>
      <c r="C436" s="166">
        <v>45476.0</v>
      </c>
      <c r="D436" s="165" t="s">
        <v>12371</v>
      </c>
      <c r="E436" s="161"/>
      <c r="F436" s="161"/>
      <c r="G436" s="161"/>
      <c r="H436" s="161"/>
      <c r="I436" s="161"/>
      <c r="J436" s="161"/>
      <c r="K436" s="161"/>
      <c r="L436" s="161"/>
      <c r="M436" s="161"/>
      <c r="N436" s="161"/>
      <c r="O436" s="161"/>
      <c r="P436" s="161"/>
      <c r="Q436" s="161"/>
      <c r="R436" s="161"/>
      <c r="S436" s="161"/>
      <c r="T436" s="161"/>
      <c r="U436" s="161"/>
      <c r="V436" s="161"/>
      <c r="W436" s="161"/>
      <c r="X436" s="161"/>
    </row>
    <row r="437" ht="12.75" customHeight="1">
      <c r="A437" s="165">
        <v>39319.0</v>
      </c>
      <c r="B437" s="165" t="s">
        <v>9702</v>
      </c>
      <c r="C437" s="166">
        <v>45481.0</v>
      </c>
      <c r="D437" s="165" t="s">
        <v>12371</v>
      </c>
      <c r="E437" s="161"/>
      <c r="F437" s="161"/>
      <c r="G437" s="161"/>
      <c r="H437" s="161"/>
      <c r="I437" s="161"/>
      <c r="J437" s="161"/>
      <c r="K437" s="161"/>
      <c r="L437" s="161"/>
      <c r="M437" s="161"/>
      <c r="N437" s="161"/>
      <c r="O437" s="161"/>
      <c r="P437" s="161"/>
      <c r="Q437" s="161"/>
      <c r="R437" s="161"/>
      <c r="S437" s="161"/>
      <c r="T437" s="161"/>
      <c r="U437" s="161"/>
      <c r="V437" s="161"/>
      <c r="W437" s="161"/>
      <c r="X437" s="161"/>
    </row>
    <row r="438" ht="12.75" customHeight="1">
      <c r="A438" s="165">
        <v>39187.0</v>
      </c>
      <c r="B438" s="165" t="s">
        <v>9700</v>
      </c>
      <c r="C438" s="166">
        <v>45481.0</v>
      </c>
      <c r="D438" s="165" t="s">
        <v>12371</v>
      </c>
      <c r="E438" s="161"/>
      <c r="F438" s="161"/>
      <c r="G438" s="161"/>
      <c r="H438" s="161"/>
      <c r="I438" s="161"/>
      <c r="J438" s="161"/>
      <c r="K438" s="161"/>
      <c r="L438" s="161"/>
      <c r="M438" s="161"/>
      <c r="N438" s="161"/>
      <c r="O438" s="161"/>
      <c r="P438" s="161"/>
      <c r="Q438" s="161"/>
      <c r="R438" s="161"/>
      <c r="S438" s="161"/>
      <c r="T438" s="161"/>
      <c r="U438" s="161"/>
      <c r="V438" s="161"/>
      <c r="W438" s="161"/>
      <c r="X438" s="161"/>
    </row>
    <row r="439" ht="12.75" customHeight="1">
      <c r="A439" s="165">
        <v>38975.0</v>
      </c>
      <c r="B439" s="165" t="s">
        <v>9698</v>
      </c>
      <c r="C439" s="166">
        <v>45481.0</v>
      </c>
      <c r="D439" s="165" t="s">
        <v>12371</v>
      </c>
      <c r="E439" s="161"/>
      <c r="F439" s="161"/>
      <c r="G439" s="161"/>
      <c r="H439" s="161"/>
      <c r="I439" s="161"/>
      <c r="J439" s="161"/>
      <c r="K439" s="161"/>
      <c r="L439" s="161"/>
      <c r="M439" s="161"/>
      <c r="N439" s="161"/>
      <c r="O439" s="161"/>
      <c r="P439" s="161"/>
      <c r="Q439" s="161"/>
      <c r="R439" s="161"/>
      <c r="S439" s="161"/>
      <c r="T439" s="161"/>
      <c r="U439" s="161"/>
      <c r="V439" s="161"/>
      <c r="W439" s="161"/>
      <c r="X439" s="161"/>
    </row>
    <row r="440" ht="12.75" customHeight="1">
      <c r="A440" s="165">
        <v>38961.0</v>
      </c>
      <c r="B440" s="165" t="s">
        <v>9696</v>
      </c>
      <c r="C440" s="166">
        <v>45481.0</v>
      </c>
      <c r="D440" s="165" t="s">
        <v>12371</v>
      </c>
      <c r="E440" s="161"/>
      <c r="F440" s="161"/>
      <c r="G440" s="161"/>
      <c r="H440" s="161"/>
      <c r="I440" s="161"/>
      <c r="J440" s="161"/>
      <c r="K440" s="161"/>
      <c r="L440" s="161"/>
      <c r="M440" s="161"/>
      <c r="N440" s="161"/>
      <c r="O440" s="161"/>
      <c r="P440" s="161"/>
      <c r="Q440" s="161"/>
      <c r="R440" s="161"/>
      <c r="S440" s="161"/>
      <c r="T440" s="161"/>
      <c r="U440" s="161"/>
      <c r="V440" s="161"/>
      <c r="W440" s="161"/>
      <c r="X440" s="161"/>
    </row>
    <row r="441" ht="12.75" customHeight="1">
      <c r="A441" s="165">
        <v>39312.0</v>
      </c>
      <c r="B441" s="165" t="s">
        <v>9689</v>
      </c>
      <c r="C441" s="166">
        <v>45488.0</v>
      </c>
      <c r="D441" s="165" t="s">
        <v>12371</v>
      </c>
      <c r="E441" s="161"/>
      <c r="F441" s="161"/>
      <c r="G441" s="161"/>
      <c r="H441" s="161"/>
      <c r="I441" s="161"/>
      <c r="J441" s="161"/>
      <c r="K441" s="161"/>
      <c r="L441" s="161"/>
      <c r="M441" s="161"/>
      <c r="N441" s="161"/>
      <c r="O441" s="161"/>
      <c r="P441" s="161"/>
      <c r="Q441" s="161"/>
      <c r="R441" s="161"/>
      <c r="S441" s="161"/>
      <c r="T441" s="161"/>
      <c r="U441" s="161"/>
      <c r="V441" s="161"/>
      <c r="W441" s="161"/>
      <c r="X441" s="161"/>
    </row>
    <row r="442" ht="12.75" customHeight="1">
      <c r="A442" s="165">
        <v>38983.0</v>
      </c>
      <c r="B442" s="165" t="s">
        <v>9682</v>
      </c>
      <c r="C442" s="166">
        <v>45489.0</v>
      </c>
      <c r="D442" s="165" t="s">
        <v>12371</v>
      </c>
      <c r="E442" s="161"/>
      <c r="F442" s="161"/>
      <c r="G442" s="161"/>
      <c r="H442" s="161"/>
      <c r="I442" s="161"/>
      <c r="J442" s="161"/>
      <c r="K442" s="161"/>
      <c r="L442" s="161"/>
      <c r="M442" s="161"/>
      <c r="N442" s="161"/>
      <c r="O442" s="161"/>
      <c r="P442" s="161"/>
      <c r="Q442" s="161"/>
      <c r="R442" s="161"/>
      <c r="S442" s="161"/>
      <c r="T442" s="161"/>
      <c r="U442" s="161"/>
      <c r="V442" s="161"/>
      <c r="W442" s="161"/>
      <c r="X442" s="161"/>
    </row>
    <row r="443" ht="12.75" customHeight="1">
      <c r="A443" s="165">
        <v>39564.0</v>
      </c>
      <c r="B443" s="165" t="s">
        <v>10312</v>
      </c>
      <c r="C443" s="166">
        <v>45489.0</v>
      </c>
      <c r="D443" s="165" t="s">
        <v>12371</v>
      </c>
      <c r="E443" s="161"/>
      <c r="F443" s="161"/>
      <c r="G443" s="161"/>
      <c r="H443" s="161"/>
      <c r="I443" s="161"/>
      <c r="J443" s="161"/>
      <c r="K443" s="161"/>
      <c r="L443" s="161"/>
      <c r="M443" s="161"/>
      <c r="N443" s="161"/>
      <c r="O443" s="161"/>
      <c r="P443" s="161"/>
      <c r="Q443" s="161"/>
      <c r="R443" s="161"/>
      <c r="S443" s="161"/>
      <c r="T443" s="161"/>
      <c r="U443" s="161"/>
      <c r="V443" s="161"/>
      <c r="W443" s="161"/>
      <c r="X443" s="161"/>
    </row>
    <row r="444" ht="12.75" customHeight="1">
      <c r="A444" s="165">
        <v>39563.0</v>
      </c>
      <c r="B444" s="165" t="s">
        <v>10310</v>
      </c>
      <c r="C444" s="166">
        <v>45489.0</v>
      </c>
      <c r="D444" s="165" t="s">
        <v>12371</v>
      </c>
      <c r="E444" s="161"/>
      <c r="F444" s="161"/>
      <c r="G444" s="161"/>
      <c r="H444" s="161"/>
      <c r="I444" s="161"/>
      <c r="J444" s="161"/>
      <c r="K444" s="161"/>
      <c r="L444" s="161"/>
      <c r="M444" s="161"/>
      <c r="N444" s="161"/>
      <c r="O444" s="161"/>
      <c r="P444" s="161"/>
      <c r="Q444" s="161"/>
      <c r="R444" s="161"/>
      <c r="S444" s="161"/>
      <c r="T444" s="161"/>
      <c r="U444" s="161"/>
      <c r="V444" s="161"/>
      <c r="W444" s="161"/>
      <c r="X444" s="161"/>
    </row>
    <row r="445" ht="12.75" customHeight="1">
      <c r="A445" s="165">
        <v>39320.0</v>
      </c>
      <c r="B445" s="165" t="s">
        <v>9668</v>
      </c>
      <c r="C445" s="166">
        <v>45492.0</v>
      </c>
      <c r="D445" s="165" t="s">
        <v>12371</v>
      </c>
      <c r="E445" s="161"/>
      <c r="F445" s="161"/>
      <c r="G445" s="161"/>
      <c r="H445" s="161"/>
      <c r="I445" s="161"/>
      <c r="J445" s="161"/>
      <c r="K445" s="161"/>
      <c r="L445" s="161"/>
      <c r="M445" s="161"/>
      <c r="N445" s="161"/>
      <c r="O445" s="161"/>
      <c r="P445" s="161"/>
      <c r="Q445" s="161"/>
      <c r="R445" s="161"/>
      <c r="S445" s="161"/>
      <c r="T445" s="161"/>
      <c r="U445" s="161"/>
      <c r="V445" s="161"/>
      <c r="W445" s="161"/>
      <c r="X445" s="161"/>
    </row>
    <row r="446" ht="12.75" customHeight="1">
      <c r="A446" s="165">
        <v>39612.0</v>
      </c>
      <c r="B446" s="165" t="s">
        <v>10305</v>
      </c>
      <c r="C446" s="166">
        <v>45495.0</v>
      </c>
      <c r="D446" s="165" t="s">
        <v>12371</v>
      </c>
      <c r="E446" s="161"/>
      <c r="F446" s="161"/>
      <c r="G446" s="161"/>
      <c r="H446" s="161"/>
      <c r="I446" s="161"/>
      <c r="J446" s="161"/>
      <c r="K446" s="161"/>
      <c r="L446" s="161"/>
      <c r="M446" s="161"/>
      <c r="N446" s="161"/>
      <c r="O446" s="161"/>
      <c r="P446" s="161"/>
      <c r="Q446" s="161"/>
      <c r="R446" s="161"/>
      <c r="S446" s="161"/>
      <c r="T446" s="161"/>
      <c r="U446" s="161"/>
      <c r="V446" s="161"/>
      <c r="W446" s="161"/>
      <c r="X446" s="161"/>
    </row>
    <row r="447" ht="12.75" customHeight="1">
      <c r="A447" s="165">
        <v>39321.0</v>
      </c>
      <c r="B447" s="165" t="s">
        <v>9639</v>
      </c>
      <c r="C447" s="166">
        <v>45503.0</v>
      </c>
      <c r="D447" s="165" t="s">
        <v>12371</v>
      </c>
      <c r="E447" s="161"/>
      <c r="F447" s="161"/>
      <c r="G447" s="161"/>
      <c r="H447" s="161"/>
      <c r="I447" s="161"/>
      <c r="J447" s="161"/>
      <c r="K447" s="161"/>
      <c r="L447" s="161"/>
      <c r="M447" s="161"/>
      <c r="N447" s="161"/>
      <c r="O447" s="161"/>
      <c r="P447" s="161"/>
      <c r="Q447" s="161"/>
      <c r="R447" s="161"/>
      <c r="S447" s="161"/>
      <c r="T447" s="161"/>
      <c r="U447" s="161"/>
      <c r="V447" s="161"/>
      <c r="W447" s="161"/>
      <c r="X447" s="161"/>
    </row>
    <row r="448" ht="12.75" customHeight="1">
      <c r="A448" s="165">
        <v>39735.0</v>
      </c>
      <c r="B448" s="165" t="s">
        <v>10296</v>
      </c>
      <c r="C448" s="166">
        <v>45505.0</v>
      </c>
      <c r="D448" s="165" t="s">
        <v>12371</v>
      </c>
      <c r="E448" s="161"/>
      <c r="F448" s="161"/>
      <c r="G448" s="161"/>
      <c r="H448" s="161"/>
      <c r="I448" s="161"/>
      <c r="J448" s="161"/>
      <c r="K448" s="161"/>
      <c r="L448" s="161"/>
      <c r="M448" s="161"/>
      <c r="N448" s="161"/>
      <c r="O448" s="161"/>
      <c r="P448" s="161"/>
      <c r="Q448" s="161"/>
      <c r="R448" s="161"/>
      <c r="S448" s="161"/>
      <c r="T448" s="161"/>
      <c r="U448" s="161"/>
      <c r="V448" s="161"/>
      <c r="W448" s="161"/>
      <c r="X448" s="161"/>
    </row>
    <row r="449" ht="12.75" customHeight="1">
      <c r="A449" s="165">
        <v>39201.0</v>
      </c>
      <c r="B449" s="165" t="s">
        <v>9635</v>
      </c>
      <c r="C449" s="166">
        <v>45505.0</v>
      </c>
      <c r="D449" s="165" t="s">
        <v>12371</v>
      </c>
      <c r="E449" s="161"/>
      <c r="F449" s="161"/>
      <c r="G449" s="161"/>
      <c r="H449" s="161"/>
      <c r="I449" s="161"/>
      <c r="J449" s="161"/>
      <c r="K449" s="161"/>
      <c r="L449" s="161"/>
      <c r="M449" s="161"/>
      <c r="N449" s="161"/>
      <c r="O449" s="161"/>
      <c r="P449" s="161"/>
      <c r="Q449" s="161"/>
      <c r="R449" s="161"/>
      <c r="S449" s="161"/>
      <c r="T449" s="161"/>
      <c r="U449" s="161"/>
      <c r="V449" s="161"/>
      <c r="W449" s="161"/>
      <c r="X449" s="161"/>
    </row>
    <row r="450" ht="12.75" customHeight="1">
      <c r="A450" s="165">
        <v>39202.0</v>
      </c>
      <c r="B450" s="165" t="s">
        <v>9633</v>
      </c>
      <c r="C450" s="166">
        <v>45505.0</v>
      </c>
      <c r="D450" s="165" t="s">
        <v>12371</v>
      </c>
      <c r="E450" s="161"/>
      <c r="F450" s="161"/>
      <c r="G450" s="161"/>
      <c r="H450" s="161"/>
      <c r="I450" s="161"/>
      <c r="J450" s="161"/>
      <c r="K450" s="161"/>
      <c r="L450" s="161"/>
      <c r="M450" s="161"/>
      <c r="N450" s="161"/>
      <c r="O450" s="161"/>
      <c r="P450" s="161"/>
      <c r="Q450" s="161"/>
      <c r="R450" s="161"/>
      <c r="S450" s="161"/>
      <c r="T450" s="161"/>
      <c r="U450" s="161"/>
      <c r="V450" s="161"/>
      <c r="W450" s="161"/>
      <c r="X450" s="161"/>
    </row>
    <row r="451" ht="12.75" customHeight="1">
      <c r="A451" s="165">
        <v>39780.0</v>
      </c>
      <c r="B451" s="165" t="s">
        <v>9623</v>
      </c>
      <c r="C451" s="166">
        <v>45511.0</v>
      </c>
      <c r="D451" s="165" t="s">
        <v>12371</v>
      </c>
      <c r="E451" s="161"/>
      <c r="F451" s="161"/>
      <c r="G451" s="161"/>
      <c r="H451" s="161"/>
      <c r="I451" s="161"/>
      <c r="J451" s="161"/>
      <c r="K451" s="161"/>
      <c r="L451" s="161"/>
      <c r="M451" s="161"/>
      <c r="N451" s="161"/>
      <c r="O451" s="161"/>
      <c r="P451" s="161"/>
      <c r="Q451" s="161"/>
      <c r="R451" s="161"/>
      <c r="S451" s="161"/>
      <c r="T451" s="161"/>
      <c r="U451" s="161"/>
      <c r="V451" s="161"/>
      <c r="W451" s="161"/>
      <c r="X451" s="161"/>
    </row>
    <row r="452" ht="12.75" customHeight="1">
      <c r="A452" s="165">
        <v>39324.0</v>
      </c>
      <c r="B452" s="165" t="s">
        <v>9626</v>
      </c>
      <c r="C452" s="166">
        <v>45511.0</v>
      </c>
      <c r="D452" s="165" t="s">
        <v>12371</v>
      </c>
      <c r="E452" s="161"/>
      <c r="F452" s="161"/>
      <c r="G452" s="161"/>
      <c r="H452" s="161"/>
      <c r="I452" s="161"/>
      <c r="J452" s="161"/>
      <c r="K452" s="161"/>
      <c r="L452" s="161"/>
      <c r="M452" s="161"/>
      <c r="N452" s="161"/>
      <c r="O452" s="161"/>
      <c r="P452" s="161"/>
      <c r="Q452" s="161"/>
      <c r="R452" s="161"/>
      <c r="S452" s="161"/>
      <c r="T452" s="161"/>
      <c r="U452" s="161"/>
      <c r="V452" s="161"/>
      <c r="W452" s="161"/>
      <c r="X452" s="161"/>
    </row>
    <row r="453" ht="12.75" customHeight="1">
      <c r="A453" s="165">
        <v>39253.0</v>
      </c>
      <c r="B453" s="165" t="s">
        <v>9616</v>
      </c>
      <c r="C453" s="166">
        <v>45511.0</v>
      </c>
      <c r="D453" s="165" t="s">
        <v>12371</v>
      </c>
      <c r="E453" s="161"/>
      <c r="F453" s="161"/>
      <c r="G453" s="161"/>
      <c r="H453" s="161"/>
      <c r="I453" s="161"/>
      <c r="J453" s="161"/>
      <c r="K453" s="161"/>
      <c r="L453" s="161"/>
      <c r="M453" s="161"/>
      <c r="N453" s="161"/>
      <c r="O453" s="161"/>
      <c r="P453" s="161"/>
      <c r="Q453" s="161"/>
      <c r="R453" s="161"/>
      <c r="S453" s="161"/>
      <c r="T453" s="161"/>
      <c r="U453" s="161"/>
      <c r="V453" s="161"/>
      <c r="W453" s="161"/>
      <c r="X453" s="161"/>
    </row>
    <row r="454" ht="12.75" customHeight="1">
      <c r="A454" s="165">
        <v>39251.0</v>
      </c>
      <c r="B454" s="165" t="s">
        <v>9618</v>
      </c>
      <c r="C454" s="166">
        <v>45511.0</v>
      </c>
      <c r="D454" s="165" t="s">
        <v>12371</v>
      </c>
      <c r="E454" s="161"/>
      <c r="F454" s="161"/>
      <c r="G454" s="161"/>
      <c r="H454" s="161"/>
      <c r="I454" s="161"/>
      <c r="J454" s="161"/>
      <c r="K454" s="161"/>
      <c r="L454" s="161"/>
      <c r="M454" s="161"/>
      <c r="N454" s="161"/>
      <c r="O454" s="161"/>
      <c r="P454" s="161"/>
      <c r="Q454" s="161"/>
      <c r="R454" s="161"/>
      <c r="S454" s="161"/>
      <c r="T454" s="161"/>
      <c r="U454" s="161"/>
      <c r="V454" s="161"/>
      <c r="W454" s="161"/>
      <c r="X454" s="161"/>
    </row>
    <row r="455" ht="12.75" customHeight="1">
      <c r="A455" s="165">
        <v>39782.0</v>
      </c>
      <c r="B455" s="165" t="s">
        <v>9609</v>
      </c>
      <c r="C455" s="166">
        <v>45517.0</v>
      </c>
      <c r="D455" s="165" t="s">
        <v>12371</v>
      </c>
      <c r="E455" s="161"/>
      <c r="F455" s="161"/>
      <c r="G455" s="161"/>
      <c r="H455" s="161"/>
      <c r="I455" s="161"/>
      <c r="J455" s="161"/>
      <c r="K455" s="161"/>
      <c r="L455" s="161"/>
      <c r="M455" s="161"/>
      <c r="N455" s="161"/>
      <c r="O455" s="161"/>
      <c r="P455" s="161"/>
      <c r="Q455" s="161"/>
      <c r="R455" s="161"/>
      <c r="S455" s="161"/>
      <c r="T455" s="161"/>
      <c r="U455" s="161"/>
      <c r="V455" s="161"/>
      <c r="W455" s="161"/>
      <c r="X455" s="161"/>
    </row>
    <row r="456" ht="12.75" customHeight="1">
      <c r="A456" s="165">
        <v>39255.0</v>
      </c>
      <c r="B456" s="165" t="s">
        <v>9605</v>
      </c>
      <c r="C456" s="166">
        <v>45517.0</v>
      </c>
      <c r="D456" s="165" t="s">
        <v>12371</v>
      </c>
      <c r="E456" s="161"/>
      <c r="F456" s="161"/>
      <c r="G456" s="161"/>
      <c r="H456" s="161"/>
      <c r="I456" s="161"/>
      <c r="J456" s="161"/>
      <c r="K456" s="161"/>
      <c r="L456" s="161"/>
      <c r="M456" s="161"/>
      <c r="N456" s="161"/>
      <c r="O456" s="161"/>
      <c r="P456" s="161"/>
      <c r="Q456" s="161"/>
      <c r="R456" s="161"/>
      <c r="S456" s="161"/>
      <c r="T456" s="161"/>
      <c r="U456" s="161"/>
      <c r="V456" s="161"/>
      <c r="W456" s="161"/>
      <c r="X456" s="161"/>
    </row>
    <row r="457" ht="12.75" customHeight="1">
      <c r="A457" s="165">
        <v>39256.0</v>
      </c>
      <c r="B457" s="165" t="s">
        <v>9603</v>
      </c>
      <c r="C457" s="166">
        <v>45517.0</v>
      </c>
      <c r="D457" s="165" t="s">
        <v>12371</v>
      </c>
      <c r="E457" s="161"/>
      <c r="F457" s="161"/>
      <c r="G457" s="161"/>
      <c r="H457" s="161"/>
      <c r="I457" s="161"/>
      <c r="J457" s="161"/>
      <c r="K457" s="161"/>
      <c r="L457" s="161"/>
      <c r="M457" s="161"/>
      <c r="N457" s="161"/>
      <c r="O457" s="161"/>
      <c r="P457" s="161"/>
      <c r="Q457" s="161"/>
      <c r="R457" s="161"/>
      <c r="S457" s="161"/>
      <c r="T457" s="161"/>
      <c r="U457" s="161"/>
      <c r="V457" s="161"/>
      <c r="W457" s="161"/>
      <c r="X457" s="161"/>
    </row>
    <row r="458" ht="12.75" customHeight="1">
      <c r="A458" s="165">
        <v>39254.0</v>
      </c>
      <c r="B458" s="165" t="s">
        <v>9601</v>
      </c>
      <c r="C458" s="166">
        <v>45517.0</v>
      </c>
      <c r="D458" s="165" t="s">
        <v>12371</v>
      </c>
      <c r="E458" s="161"/>
      <c r="F458" s="161"/>
      <c r="G458" s="161"/>
      <c r="H458" s="161"/>
      <c r="I458" s="161"/>
      <c r="J458" s="161"/>
      <c r="K458" s="161"/>
      <c r="L458" s="161"/>
      <c r="M458" s="161"/>
      <c r="N458" s="161"/>
      <c r="O458" s="161"/>
      <c r="P458" s="161"/>
      <c r="Q458" s="161"/>
      <c r="R458" s="161"/>
      <c r="S458" s="161"/>
      <c r="T458" s="161"/>
      <c r="U458" s="161"/>
      <c r="V458" s="161"/>
      <c r="W458" s="161"/>
      <c r="X458" s="161"/>
    </row>
    <row r="459" ht="12.75" customHeight="1">
      <c r="A459" s="165">
        <v>39732.0</v>
      </c>
      <c r="B459" s="165" t="s">
        <v>10275</v>
      </c>
      <c r="C459" s="166">
        <v>45518.0</v>
      </c>
      <c r="D459" s="165" t="s">
        <v>12371</v>
      </c>
      <c r="E459" s="161"/>
      <c r="F459" s="161"/>
      <c r="G459" s="161"/>
      <c r="H459" s="161"/>
      <c r="I459" s="161"/>
      <c r="J459" s="161"/>
      <c r="K459" s="161"/>
      <c r="L459" s="161"/>
      <c r="M459" s="161"/>
      <c r="N459" s="161"/>
      <c r="O459" s="161"/>
      <c r="P459" s="161"/>
      <c r="Q459" s="161"/>
      <c r="R459" s="161"/>
      <c r="S459" s="161"/>
      <c r="T459" s="161"/>
      <c r="U459" s="161"/>
      <c r="V459" s="161"/>
      <c r="W459" s="161"/>
      <c r="X459" s="161"/>
    </row>
    <row r="460" ht="12.75" customHeight="1">
      <c r="A460" s="165">
        <v>39261.0</v>
      </c>
      <c r="B460" s="165" t="s">
        <v>9599</v>
      </c>
      <c r="C460" s="166">
        <v>45518.0</v>
      </c>
      <c r="D460" s="165" t="s">
        <v>12371</v>
      </c>
      <c r="E460" s="161"/>
      <c r="F460" s="161"/>
      <c r="G460" s="161"/>
      <c r="H460" s="161"/>
      <c r="I460" s="161"/>
      <c r="J460" s="161"/>
      <c r="K460" s="161"/>
      <c r="L460" s="161"/>
      <c r="M460" s="161"/>
      <c r="N460" s="161"/>
      <c r="O460" s="161"/>
      <c r="P460" s="161"/>
      <c r="Q460" s="161"/>
      <c r="R460" s="161"/>
      <c r="S460" s="161"/>
      <c r="T460" s="161"/>
      <c r="U460" s="161"/>
      <c r="V460" s="161"/>
      <c r="W460" s="161"/>
      <c r="X460" s="161"/>
    </row>
    <row r="461" ht="12.75" customHeight="1">
      <c r="A461" s="165">
        <v>39259.0</v>
      </c>
      <c r="B461" s="165" t="s">
        <v>9597</v>
      </c>
      <c r="C461" s="166">
        <v>45518.0</v>
      </c>
      <c r="D461" s="165" t="s">
        <v>12371</v>
      </c>
      <c r="E461" s="161"/>
      <c r="F461" s="161"/>
      <c r="G461" s="161"/>
      <c r="H461" s="161"/>
      <c r="I461" s="161"/>
      <c r="J461" s="161"/>
      <c r="K461" s="161"/>
      <c r="L461" s="161"/>
      <c r="M461" s="161"/>
      <c r="N461" s="161"/>
      <c r="O461" s="161"/>
      <c r="P461" s="161"/>
      <c r="Q461" s="161"/>
      <c r="R461" s="161"/>
      <c r="S461" s="161"/>
      <c r="T461" s="161"/>
      <c r="U461" s="161"/>
      <c r="V461" s="161"/>
      <c r="W461" s="161"/>
      <c r="X461" s="161"/>
    </row>
    <row r="462" ht="12.75" customHeight="1">
      <c r="A462" s="165">
        <v>39266.0</v>
      </c>
      <c r="B462" s="165" t="s">
        <v>9595</v>
      </c>
      <c r="C462" s="166">
        <v>45518.0</v>
      </c>
      <c r="D462" s="165" t="s">
        <v>12371</v>
      </c>
      <c r="E462" s="161"/>
      <c r="F462" s="161"/>
      <c r="G462" s="161"/>
      <c r="H462" s="161"/>
      <c r="I462" s="161"/>
      <c r="J462" s="161"/>
      <c r="K462" s="161"/>
      <c r="L462" s="161"/>
      <c r="M462" s="161"/>
      <c r="N462" s="161"/>
      <c r="O462" s="161"/>
      <c r="P462" s="161"/>
      <c r="Q462" s="161"/>
      <c r="R462" s="161"/>
      <c r="S462" s="161"/>
      <c r="T462" s="161"/>
      <c r="U462" s="161"/>
      <c r="V462" s="161"/>
      <c r="W462" s="161"/>
      <c r="X462" s="161"/>
    </row>
    <row r="463" ht="12.75" customHeight="1">
      <c r="A463" s="165">
        <v>39842.0</v>
      </c>
      <c r="B463" s="165" t="s">
        <v>10267</v>
      </c>
      <c r="C463" s="166">
        <v>45523.0</v>
      </c>
      <c r="D463" s="165" t="s">
        <v>12371</v>
      </c>
      <c r="E463" s="161"/>
      <c r="F463" s="161"/>
      <c r="G463" s="161"/>
      <c r="H463" s="161"/>
      <c r="I463" s="161"/>
      <c r="J463" s="161"/>
      <c r="K463" s="161"/>
      <c r="L463" s="161"/>
      <c r="M463" s="161"/>
      <c r="N463" s="161"/>
      <c r="O463" s="161"/>
      <c r="P463" s="161"/>
      <c r="Q463" s="161"/>
      <c r="R463" s="161"/>
      <c r="S463" s="161"/>
      <c r="T463" s="161"/>
      <c r="U463" s="161"/>
      <c r="V463" s="161"/>
      <c r="W463" s="161"/>
      <c r="X463" s="161"/>
    </row>
    <row r="464" ht="12.75" customHeight="1">
      <c r="A464" s="165">
        <v>39887.0</v>
      </c>
      <c r="B464" s="165" t="s">
        <v>9593</v>
      </c>
      <c r="C464" s="166">
        <v>45525.0</v>
      </c>
      <c r="D464" s="165" t="s">
        <v>12371</v>
      </c>
      <c r="E464" s="161"/>
      <c r="F464" s="161"/>
      <c r="G464" s="161"/>
      <c r="H464" s="161"/>
      <c r="I464" s="161"/>
      <c r="J464" s="161"/>
      <c r="K464" s="161"/>
      <c r="L464" s="161"/>
      <c r="M464" s="161"/>
      <c r="N464" s="161"/>
      <c r="O464" s="161"/>
      <c r="P464" s="161"/>
      <c r="Q464" s="161"/>
      <c r="R464" s="161"/>
      <c r="S464" s="161"/>
      <c r="T464" s="161"/>
      <c r="U464" s="161"/>
      <c r="V464" s="161"/>
      <c r="W464" s="161"/>
      <c r="X464" s="161"/>
    </row>
    <row r="465" ht="12.75" customHeight="1">
      <c r="A465" s="165">
        <v>39204.0</v>
      </c>
      <c r="B465" s="165" t="s">
        <v>9582</v>
      </c>
      <c r="C465" s="166">
        <v>45526.0</v>
      </c>
      <c r="D465" s="165" t="s">
        <v>12371</v>
      </c>
      <c r="E465" s="161"/>
      <c r="F465" s="161"/>
      <c r="G465" s="161"/>
      <c r="H465" s="161"/>
      <c r="I465" s="161"/>
      <c r="J465" s="161"/>
      <c r="K465" s="161"/>
      <c r="L465" s="161"/>
      <c r="M465" s="161"/>
      <c r="N465" s="161"/>
      <c r="O465" s="161"/>
      <c r="P465" s="161"/>
      <c r="Q465" s="161"/>
      <c r="R465" s="161"/>
      <c r="S465" s="161"/>
      <c r="T465" s="161"/>
      <c r="U465" s="161"/>
      <c r="V465" s="161"/>
      <c r="W465" s="161"/>
      <c r="X465" s="161"/>
    </row>
    <row r="466" ht="12.75" customHeight="1">
      <c r="A466" s="165">
        <v>39260.0</v>
      </c>
      <c r="B466" s="165" t="s">
        <v>9567</v>
      </c>
      <c r="C466" s="166">
        <v>45534.0</v>
      </c>
      <c r="D466" s="165" t="s">
        <v>12371</v>
      </c>
      <c r="E466" s="161"/>
      <c r="F466" s="161"/>
      <c r="G466" s="161"/>
      <c r="H466" s="161"/>
      <c r="I466" s="161"/>
      <c r="J466" s="161"/>
      <c r="K466" s="161"/>
      <c r="L466" s="161"/>
      <c r="M466" s="161"/>
      <c r="N466" s="161"/>
      <c r="O466" s="161"/>
      <c r="P466" s="161"/>
      <c r="Q466" s="161"/>
      <c r="R466" s="161"/>
      <c r="S466" s="161"/>
      <c r="T466" s="161"/>
      <c r="U466" s="161"/>
      <c r="V466" s="161"/>
      <c r="W466" s="161"/>
      <c r="X466" s="161"/>
    </row>
    <row r="467" ht="12.75" customHeight="1">
      <c r="A467" s="165">
        <v>39218.0</v>
      </c>
      <c r="B467" s="165" t="s">
        <v>9560</v>
      </c>
      <c r="C467" s="166">
        <v>45534.0</v>
      </c>
      <c r="D467" s="165" t="s">
        <v>12371</v>
      </c>
      <c r="E467" s="161"/>
      <c r="F467" s="161"/>
      <c r="G467" s="161"/>
      <c r="H467" s="161"/>
      <c r="I467" s="161"/>
      <c r="J467" s="161"/>
      <c r="K467" s="161"/>
      <c r="L467" s="161"/>
      <c r="M467" s="161"/>
      <c r="N467" s="161"/>
      <c r="O467" s="161"/>
      <c r="P467" s="161"/>
      <c r="Q467" s="161"/>
      <c r="R467" s="161"/>
      <c r="S467" s="161"/>
      <c r="T467" s="161"/>
      <c r="U467" s="161"/>
      <c r="V467" s="161"/>
      <c r="W467" s="161"/>
      <c r="X467" s="161"/>
    </row>
    <row r="468" ht="12.75" customHeight="1">
      <c r="A468" s="165">
        <v>39316.0</v>
      </c>
      <c r="B468" s="165" t="s">
        <v>9548</v>
      </c>
      <c r="C468" s="166">
        <v>45544.0</v>
      </c>
      <c r="D468" s="165" t="s">
        <v>12371</v>
      </c>
      <c r="E468" s="161"/>
      <c r="F468" s="161"/>
      <c r="G468" s="161"/>
      <c r="H468" s="161"/>
      <c r="I468" s="161"/>
      <c r="J468" s="161"/>
      <c r="K468" s="161"/>
      <c r="L468" s="161"/>
      <c r="M468" s="161"/>
      <c r="N468" s="161"/>
      <c r="O468" s="161"/>
      <c r="P468" s="161"/>
      <c r="Q468" s="161"/>
      <c r="R468" s="161"/>
      <c r="S468" s="161"/>
      <c r="T468" s="161"/>
      <c r="U468" s="161"/>
      <c r="V468" s="161"/>
      <c r="W468" s="161"/>
      <c r="X468" s="161"/>
    </row>
    <row r="469" ht="12.75" customHeight="1">
      <c r="A469" s="165">
        <v>39205.0</v>
      </c>
      <c r="B469" s="165" t="s">
        <v>9531</v>
      </c>
      <c r="C469" s="166">
        <v>45551.0</v>
      </c>
      <c r="D469" s="165" t="s">
        <v>12371</v>
      </c>
      <c r="E469" s="161"/>
      <c r="F469" s="161"/>
      <c r="G469" s="161"/>
      <c r="H469" s="161"/>
      <c r="I469" s="161"/>
      <c r="J469" s="161"/>
      <c r="K469" s="161"/>
      <c r="L469" s="161"/>
      <c r="M469" s="161"/>
      <c r="N469" s="161"/>
      <c r="O469" s="161"/>
      <c r="P469" s="161"/>
      <c r="Q469" s="161"/>
      <c r="R469" s="161"/>
      <c r="S469" s="161"/>
      <c r="T469" s="161"/>
      <c r="U469" s="161"/>
      <c r="V469" s="161"/>
      <c r="W469" s="161"/>
      <c r="X469" s="161"/>
    </row>
    <row r="470" ht="12.75" customHeight="1">
      <c r="A470" s="165">
        <v>39269.0</v>
      </c>
      <c r="B470" s="165" t="s">
        <v>9529</v>
      </c>
      <c r="C470" s="166">
        <v>45551.0</v>
      </c>
      <c r="D470" s="165" t="s">
        <v>12371</v>
      </c>
      <c r="E470" s="161"/>
      <c r="F470" s="161"/>
      <c r="G470" s="161"/>
      <c r="H470" s="161"/>
      <c r="I470" s="161"/>
      <c r="J470" s="161"/>
      <c r="K470" s="161"/>
      <c r="L470" s="161"/>
      <c r="M470" s="161"/>
      <c r="N470" s="161"/>
      <c r="O470" s="161"/>
      <c r="P470" s="161"/>
      <c r="Q470" s="161"/>
      <c r="R470" s="161"/>
      <c r="S470" s="161"/>
      <c r="T470" s="161"/>
      <c r="U470" s="161"/>
      <c r="V470" s="161"/>
      <c r="W470" s="161"/>
      <c r="X470" s="161"/>
    </row>
    <row r="471" ht="12.75" customHeight="1">
      <c r="A471" s="165">
        <v>39439.0</v>
      </c>
      <c r="B471" s="165" t="s">
        <v>9517</v>
      </c>
      <c r="C471" s="166">
        <v>45553.0</v>
      </c>
      <c r="D471" s="165" t="s">
        <v>12371</v>
      </c>
      <c r="E471" s="161"/>
      <c r="F471" s="161"/>
      <c r="G471" s="161"/>
      <c r="H471" s="161"/>
      <c r="I471" s="161"/>
      <c r="J471" s="161"/>
      <c r="K471" s="161"/>
      <c r="L471" s="161"/>
      <c r="M471" s="161"/>
      <c r="N471" s="161"/>
      <c r="O471" s="161"/>
      <c r="P471" s="161"/>
      <c r="Q471" s="161"/>
      <c r="R471" s="161"/>
      <c r="S471" s="161"/>
      <c r="T471" s="161"/>
      <c r="U471" s="161"/>
      <c r="V471" s="161"/>
      <c r="W471" s="161"/>
      <c r="X471" s="161"/>
    </row>
    <row r="472" ht="12.75" customHeight="1">
      <c r="A472" s="165">
        <v>39980.0</v>
      </c>
      <c r="B472" s="165" t="s">
        <v>10240</v>
      </c>
      <c r="C472" s="166">
        <v>45558.0</v>
      </c>
      <c r="D472" s="165" t="s">
        <v>12371</v>
      </c>
      <c r="E472" s="161"/>
      <c r="F472" s="161"/>
      <c r="G472" s="161"/>
      <c r="H472" s="161"/>
      <c r="I472" s="161"/>
      <c r="J472" s="161"/>
      <c r="K472" s="161"/>
      <c r="L472" s="161"/>
      <c r="M472" s="161"/>
      <c r="N472" s="161"/>
      <c r="O472" s="161"/>
      <c r="P472" s="161"/>
      <c r="Q472" s="161"/>
      <c r="R472" s="161"/>
      <c r="S472" s="161"/>
      <c r="T472" s="161"/>
      <c r="U472" s="161"/>
      <c r="V472" s="161"/>
      <c r="W472" s="161"/>
      <c r="X472" s="161"/>
    </row>
    <row r="473" ht="12.75" customHeight="1">
      <c r="A473" s="165">
        <v>39654.0</v>
      </c>
      <c r="B473" s="165" t="s">
        <v>9493</v>
      </c>
      <c r="C473" s="166">
        <v>45558.0</v>
      </c>
      <c r="D473" s="165" t="s">
        <v>12371</v>
      </c>
      <c r="E473" s="161"/>
      <c r="F473" s="161"/>
      <c r="G473" s="161"/>
      <c r="H473" s="161"/>
      <c r="I473" s="161"/>
      <c r="J473" s="161"/>
      <c r="K473" s="161"/>
      <c r="L473" s="161"/>
      <c r="M473" s="161"/>
      <c r="N473" s="161"/>
      <c r="O473" s="161"/>
      <c r="P473" s="161"/>
      <c r="Q473" s="161"/>
      <c r="R473" s="161"/>
      <c r="S473" s="161"/>
      <c r="T473" s="161"/>
      <c r="U473" s="161"/>
      <c r="V473" s="161"/>
      <c r="W473" s="161"/>
      <c r="X473" s="161"/>
    </row>
    <row r="474" ht="12.75" customHeight="1">
      <c r="A474" s="165">
        <v>39556.0</v>
      </c>
      <c r="B474" s="165" t="s">
        <v>9497</v>
      </c>
      <c r="C474" s="166">
        <v>45559.0</v>
      </c>
      <c r="D474" s="165" t="s">
        <v>12371</v>
      </c>
      <c r="E474" s="161"/>
      <c r="F474" s="161"/>
      <c r="G474" s="161"/>
      <c r="H474" s="161"/>
      <c r="I474" s="161"/>
      <c r="J474" s="161"/>
      <c r="K474" s="161"/>
      <c r="L474" s="161"/>
      <c r="M474" s="161"/>
      <c r="N474" s="161"/>
      <c r="O474" s="161"/>
      <c r="P474" s="161"/>
      <c r="Q474" s="161"/>
      <c r="R474" s="161"/>
      <c r="S474" s="161"/>
      <c r="T474" s="161"/>
      <c r="U474" s="161"/>
      <c r="V474" s="161"/>
      <c r="W474" s="161"/>
      <c r="X474" s="161"/>
    </row>
    <row r="475" ht="12.75" customHeight="1">
      <c r="A475" s="165">
        <v>39838.0</v>
      </c>
      <c r="B475" s="165" t="s">
        <v>9483</v>
      </c>
      <c r="C475" s="166">
        <v>45561.0</v>
      </c>
      <c r="D475" s="165" t="s">
        <v>12371</v>
      </c>
      <c r="E475" s="161"/>
      <c r="F475" s="161"/>
      <c r="G475" s="161"/>
      <c r="H475" s="161"/>
      <c r="I475" s="161"/>
      <c r="J475" s="161"/>
      <c r="K475" s="161"/>
      <c r="L475" s="161"/>
      <c r="M475" s="161"/>
      <c r="N475" s="161"/>
      <c r="O475" s="161"/>
      <c r="P475" s="161"/>
      <c r="Q475" s="161"/>
      <c r="R475" s="161"/>
      <c r="S475" s="161"/>
      <c r="T475" s="161"/>
      <c r="U475" s="161"/>
      <c r="V475" s="161"/>
      <c r="W475" s="161"/>
      <c r="X475" s="161"/>
    </row>
    <row r="476" ht="12.75" customHeight="1">
      <c r="A476" s="165">
        <v>39524.0</v>
      </c>
      <c r="B476" s="165" t="s">
        <v>9481</v>
      </c>
      <c r="C476" s="166">
        <v>45567.0</v>
      </c>
      <c r="D476" s="165" t="s">
        <v>12371</v>
      </c>
      <c r="E476" s="161"/>
      <c r="F476" s="161"/>
      <c r="G476" s="161"/>
      <c r="H476" s="161"/>
      <c r="I476" s="161"/>
      <c r="J476" s="161"/>
      <c r="K476" s="161"/>
      <c r="L476" s="161"/>
      <c r="M476" s="161"/>
      <c r="N476" s="161"/>
      <c r="O476" s="161"/>
      <c r="P476" s="161"/>
      <c r="Q476" s="161"/>
      <c r="R476" s="161"/>
      <c r="S476" s="161"/>
      <c r="T476" s="161"/>
      <c r="U476" s="161"/>
      <c r="V476" s="161"/>
      <c r="W476" s="161"/>
      <c r="X476" s="161"/>
    </row>
    <row r="477" ht="12.75" customHeight="1">
      <c r="A477" s="165">
        <v>40062.0</v>
      </c>
      <c r="B477" s="165" t="s">
        <v>10231</v>
      </c>
      <c r="C477" s="166">
        <v>45572.0</v>
      </c>
      <c r="D477" s="165" t="s">
        <v>12371</v>
      </c>
      <c r="E477" s="161"/>
      <c r="F477" s="161"/>
      <c r="G477" s="161"/>
      <c r="H477" s="161"/>
      <c r="I477" s="161"/>
      <c r="J477" s="161"/>
      <c r="K477" s="161"/>
      <c r="L477" s="161"/>
      <c r="M477" s="161"/>
      <c r="N477" s="161"/>
      <c r="O477" s="161"/>
      <c r="P477" s="161"/>
      <c r="Q477" s="161"/>
      <c r="R477" s="161"/>
      <c r="S477" s="161"/>
      <c r="T477" s="161"/>
      <c r="U477" s="161"/>
      <c r="V477" s="161"/>
      <c r="W477" s="161"/>
      <c r="X477" s="161"/>
    </row>
    <row r="478" ht="12.75" customHeight="1">
      <c r="A478" s="165">
        <v>40060.0</v>
      </c>
      <c r="B478" s="165" t="s">
        <v>10219</v>
      </c>
      <c r="C478" s="166">
        <v>45572.0</v>
      </c>
      <c r="D478" s="165" t="s">
        <v>12371</v>
      </c>
      <c r="E478" s="161"/>
      <c r="F478" s="161"/>
      <c r="G478" s="161"/>
      <c r="H478" s="161"/>
      <c r="I478" s="161"/>
      <c r="J478" s="161"/>
      <c r="K478" s="161"/>
      <c r="L478" s="161"/>
      <c r="M478" s="161"/>
      <c r="N478" s="161"/>
      <c r="O478" s="161"/>
      <c r="P478" s="161"/>
      <c r="Q478" s="161"/>
      <c r="R478" s="161"/>
      <c r="S478" s="161"/>
      <c r="T478" s="161"/>
      <c r="U478" s="161"/>
      <c r="V478" s="161"/>
      <c r="W478" s="161"/>
      <c r="X478" s="161"/>
    </row>
    <row r="479" ht="12.75" customHeight="1">
      <c r="A479" s="165">
        <v>40065.0</v>
      </c>
      <c r="B479" s="165" t="s">
        <v>10214</v>
      </c>
      <c r="C479" s="166">
        <v>45579.0</v>
      </c>
      <c r="D479" s="165" t="s">
        <v>12371</v>
      </c>
      <c r="E479" s="161"/>
      <c r="F479" s="161"/>
      <c r="G479" s="161"/>
      <c r="H479" s="161"/>
      <c r="I479" s="161"/>
      <c r="J479" s="161"/>
      <c r="K479" s="161"/>
      <c r="L479" s="161"/>
      <c r="M479" s="161"/>
      <c r="N479" s="161"/>
      <c r="O479" s="161"/>
      <c r="P479" s="161"/>
      <c r="Q479" s="161"/>
      <c r="R479" s="161"/>
      <c r="S479" s="161"/>
      <c r="T479" s="161"/>
      <c r="U479" s="161"/>
      <c r="V479" s="161"/>
      <c r="W479" s="161"/>
      <c r="X479" s="161"/>
    </row>
    <row r="480" ht="12.75" customHeight="1">
      <c r="A480" s="165">
        <v>40122.0</v>
      </c>
      <c r="B480" s="165" t="s">
        <v>10206</v>
      </c>
      <c r="C480" s="166">
        <v>45579.0</v>
      </c>
      <c r="D480" s="165" t="s">
        <v>12371</v>
      </c>
      <c r="E480" s="161"/>
      <c r="F480" s="161"/>
      <c r="G480" s="161"/>
      <c r="H480" s="161"/>
      <c r="I480" s="161"/>
      <c r="J480" s="161"/>
      <c r="K480" s="161"/>
      <c r="L480" s="161"/>
      <c r="M480" s="161"/>
      <c r="N480" s="161"/>
      <c r="O480" s="161"/>
      <c r="P480" s="161"/>
      <c r="Q480" s="161"/>
      <c r="R480" s="161"/>
      <c r="S480" s="161"/>
      <c r="T480" s="161"/>
      <c r="U480" s="161"/>
      <c r="V480" s="161"/>
      <c r="W480" s="161"/>
      <c r="X480" s="161"/>
    </row>
    <row r="481" ht="12.75" customHeight="1">
      <c r="A481" s="165">
        <v>39064.0</v>
      </c>
      <c r="B481" s="165" t="s">
        <v>9451</v>
      </c>
      <c r="C481" s="166">
        <v>45579.0</v>
      </c>
      <c r="D481" s="165" t="s">
        <v>12371</v>
      </c>
      <c r="E481" s="161"/>
      <c r="F481" s="161"/>
      <c r="G481" s="161"/>
      <c r="H481" s="161"/>
      <c r="I481" s="161"/>
      <c r="J481" s="161"/>
      <c r="K481" s="161"/>
      <c r="L481" s="161"/>
      <c r="M481" s="161"/>
      <c r="N481" s="161"/>
      <c r="O481" s="161"/>
      <c r="P481" s="161"/>
      <c r="Q481" s="161"/>
      <c r="R481" s="161"/>
      <c r="S481" s="161"/>
      <c r="T481" s="161"/>
      <c r="U481" s="161"/>
      <c r="V481" s="161"/>
      <c r="W481" s="161"/>
      <c r="X481" s="161"/>
    </row>
    <row r="482" ht="12.75" customHeight="1">
      <c r="A482" s="165">
        <v>39527.0</v>
      </c>
      <c r="B482" s="165" t="s">
        <v>9449</v>
      </c>
      <c r="C482" s="166">
        <v>45579.0</v>
      </c>
      <c r="D482" s="165" t="s">
        <v>12371</v>
      </c>
      <c r="E482" s="161"/>
      <c r="F482" s="161"/>
      <c r="G482" s="161"/>
      <c r="H482" s="161"/>
      <c r="I482" s="161"/>
      <c r="J482" s="161"/>
      <c r="K482" s="161"/>
      <c r="L482" s="161"/>
      <c r="M482" s="161"/>
      <c r="N482" s="161"/>
      <c r="O482" s="161"/>
      <c r="P482" s="161"/>
      <c r="Q482" s="161"/>
      <c r="R482" s="161"/>
      <c r="S482" s="161"/>
      <c r="T482" s="161"/>
      <c r="U482" s="161"/>
      <c r="V482" s="161"/>
      <c r="W482" s="161"/>
      <c r="X482" s="161"/>
    </row>
    <row r="483" ht="12.75" customHeight="1">
      <c r="A483" s="165">
        <v>39531.0</v>
      </c>
      <c r="B483" s="165" t="s">
        <v>9447</v>
      </c>
      <c r="C483" s="166">
        <v>45579.0</v>
      </c>
      <c r="D483" s="165" t="s">
        <v>12371</v>
      </c>
      <c r="E483" s="161"/>
      <c r="F483" s="161"/>
      <c r="G483" s="161"/>
      <c r="H483" s="161"/>
      <c r="I483" s="161"/>
      <c r="J483" s="161"/>
      <c r="K483" s="161"/>
      <c r="L483" s="161"/>
      <c r="M483" s="161"/>
      <c r="N483" s="161"/>
      <c r="O483" s="161"/>
      <c r="P483" s="161"/>
      <c r="Q483" s="161"/>
      <c r="R483" s="161"/>
      <c r="S483" s="161"/>
      <c r="T483" s="161"/>
      <c r="U483" s="161"/>
      <c r="V483" s="161"/>
      <c r="W483" s="161"/>
      <c r="X483" s="161"/>
    </row>
    <row r="484" ht="12.75" customHeight="1">
      <c r="A484" s="165">
        <v>39462.0</v>
      </c>
      <c r="B484" s="165" t="s">
        <v>9445</v>
      </c>
      <c r="C484" s="166">
        <v>45579.0</v>
      </c>
      <c r="D484" s="165" t="s">
        <v>12371</v>
      </c>
      <c r="E484" s="161"/>
      <c r="F484" s="161"/>
      <c r="G484" s="161"/>
      <c r="H484" s="161"/>
      <c r="I484" s="161"/>
      <c r="J484" s="161"/>
      <c r="K484" s="161"/>
      <c r="L484" s="161"/>
      <c r="M484" s="161"/>
      <c r="N484" s="161"/>
      <c r="O484" s="161"/>
      <c r="P484" s="161"/>
      <c r="Q484" s="161"/>
      <c r="R484" s="161"/>
      <c r="S484" s="161"/>
      <c r="T484" s="161"/>
      <c r="U484" s="161"/>
      <c r="V484" s="161"/>
      <c r="W484" s="161"/>
      <c r="X484" s="161"/>
    </row>
    <row r="485" ht="12.75" customHeight="1">
      <c r="A485" s="165">
        <v>39529.0</v>
      </c>
      <c r="B485" s="165" t="s">
        <v>9443</v>
      </c>
      <c r="C485" s="166">
        <v>45579.0</v>
      </c>
      <c r="D485" s="165" t="s">
        <v>12371</v>
      </c>
      <c r="E485" s="161"/>
      <c r="F485" s="161"/>
      <c r="G485" s="161"/>
      <c r="H485" s="161"/>
      <c r="I485" s="161"/>
      <c r="J485" s="161"/>
      <c r="K485" s="161"/>
      <c r="L485" s="161"/>
      <c r="M485" s="161"/>
      <c r="N485" s="161"/>
      <c r="O485" s="161"/>
      <c r="P485" s="161"/>
      <c r="Q485" s="161"/>
      <c r="R485" s="161"/>
      <c r="S485" s="161"/>
      <c r="T485" s="161"/>
      <c r="U485" s="161"/>
      <c r="V485" s="161"/>
      <c r="W485" s="161"/>
      <c r="X485" s="161"/>
    </row>
    <row r="486" ht="12.75" customHeight="1">
      <c r="A486" s="165">
        <v>39463.0</v>
      </c>
      <c r="B486" s="165" t="s">
        <v>9422</v>
      </c>
      <c r="C486" s="166">
        <v>45587.0</v>
      </c>
      <c r="D486" s="165" t="s">
        <v>12371</v>
      </c>
      <c r="E486" s="161"/>
      <c r="F486" s="161"/>
      <c r="G486" s="161"/>
      <c r="H486" s="161"/>
      <c r="I486" s="161"/>
      <c r="J486" s="161"/>
      <c r="K486" s="161"/>
      <c r="L486" s="161"/>
      <c r="M486" s="161"/>
      <c r="N486" s="161"/>
      <c r="O486" s="161"/>
      <c r="P486" s="161"/>
      <c r="Q486" s="161"/>
      <c r="R486" s="161"/>
      <c r="S486" s="161"/>
      <c r="T486" s="161"/>
      <c r="U486" s="161"/>
      <c r="V486" s="161"/>
      <c r="W486" s="161"/>
      <c r="X486" s="161"/>
    </row>
    <row r="487" ht="12.75" customHeight="1">
      <c r="A487" s="165">
        <v>39688.0</v>
      </c>
      <c r="B487" s="165" t="s">
        <v>9420</v>
      </c>
      <c r="C487" s="166">
        <v>45587.0</v>
      </c>
      <c r="D487" s="165" t="s">
        <v>12371</v>
      </c>
      <c r="E487" s="161"/>
      <c r="F487" s="161"/>
      <c r="G487" s="161"/>
      <c r="H487" s="161"/>
      <c r="I487" s="161"/>
      <c r="J487" s="161"/>
      <c r="K487" s="161"/>
      <c r="L487" s="161"/>
      <c r="M487" s="161"/>
      <c r="N487" s="161"/>
      <c r="O487" s="161"/>
      <c r="P487" s="161"/>
      <c r="Q487" s="161"/>
      <c r="R487" s="161"/>
      <c r="S487" s="161"/>
      <c r="T487" s="161"/>
      <c r="U487" s="161"/>
      <c r="V487" s="161"/>
      <c r="W487" s="161"/>
      <c r="X487" s="161"/>
    </row>
    <row r="488" ht="12.75" customHeight="1">
      <c r="A488" s="165">
        <v>39690.0</v>
      </c>
      <c r="B488" s="165" t="s">
        <v>9416</v>
      </c>
      <c r="C488" s="166">
        <v>45587.0</v>
      </c>
      <c r="D488" s="165" t="s">
        <v>12371</v>
      </c>
      <c r="E488" s="161"/>
      <c r="F488" s="161"/>
      <c r="G488" s="161"/>
      <c r="H488" s="161"/>
      <c r="I488" s="161"/>
      <c r="J488" s="161"/>
      <c r="K488" s="161"/>
      <c r="L488" s="161"/>
      <c r="M488" s="161"/>
      <c r="N488" s="161"/>
      <c r="O488" s="161"/>
      <c r="P488" s="161"/>
      <c r="Q488" s="161"/>
      <c r="R488" s="161"/>
      <c r="S488" s="161"/>
      <c r="T488" s="161"/>
      <c r="U488" s="161"/>
      <c r="V488" s="161"/>
      <c r="W488" s="161"/>
      <c r="X488" s="161"/>
    </row>
    <row r="489" ht="12.75" customHeight="1">
      <c r="A489" s="165">
        <v>39691.0</v>
      </c>
      <c r="B489" s="165" t="s">
        <v>9418</v>
      </c>
      <c r="C489" s="166">
        <v>45587.0</v>
      </c>
      <c r="D489" s="165" t="s">
        <v>12371</v>
      </c>
      <c r="E489" s="161"/>
      <c r="F489" s="161"/>
      <c r="G489" s="161"/>
      <c r="H489" s="161"/>
      <c r="I489" s="161"/>
      <c r="J489" s="161"/>
      <c r="K489" s="161"/>
      <c r="L489" s="161"/>
      <c r="M489" s="161"/>
      <c r="N489" s="161"/>
      <c r="O489" s="161"/>
      <c r="P489" s="161"/>
      <c r="Q489" s="161"/>
      <c r="R489" s="161"/>
      <c r="S489" s="161"/>
      <c r="T489" s="161"/>
      <c r="U489" s="161"/>
      <c r="V489" s="161"/>
      <c r="W489" s="161"/>
      <c r="X489" s="161"/>
    </row>
    <row r="490" ht="12.75" customHeight="1">
      <c r="A490" s="165">
        <v>39458.0</v>
      </c>
      <c r="B490" s="165" t="s">
        <v>9412</v>
      </c>
      <c r="C490" s="166">
        <v>45587.0</v>
      </c>
      <c r="D490" s="165" t="s">
        <v>12371</v>
      </c>
      <c r="E490" s="161"/>
      <c r="F490" s="161"/>
      <c r="G490" s="161"/>
      <c r="H490" s="161"/>
      <c r="I490" s="161"/>
      <c r="J490" s="161"/>
      <c r="K490" s="161"/>
      <c r="L490" s="161"/>
      <c r="M490" s="161"/>
      <c r="N490" s="161"/>
      <c r="O490" s="161"/>
      <c r="P490" s="161"/>
      <c r="Q490" s="161"/>
      <c r="R490" s="161"/>
      <c r="S490" s="161"/>
      <c r="T490" s="161"/>
      <c r="U490" s="161"/>
      <c r="V490" s="161"/>
      <c r="W490" s="161"/>
      <c r="X490" s="161"/>
    </row>
    <row r="491" ht="12.75" customHeight="1">
      <c r="A491" s="165">
        <v>39460.0</v>
      </c>
      <c r="B491" s="165" t="s">
        <v>9410</v>
      </c>
      <c r="C491" s="166">
        <v>45587.0</v>
      </c>
      <c r="D491" s="165" t="s">
        <v>12371</v>
      </c>
      <c r="E491" s="161"/>
      <c r="F491" s="161"/>
      <c r="G491" s="161"/>
      <c r="H491" s="161"/>
      <c r="I491" s="161"/>
      <c r="J491" s="161"/>
      <c r="K491" s="161"/>
      <c r="L491" s="161"/>
      <c r="M491" s="161"/>
      <c r="N491" s="161"/>
      <c r="O491" s="161"/>
      <c r="P491" s="161"/>
      <c r="Q491" s="161"/>
      <c r="R491" s="161"/>
      <c r="S491" s="161"/>
      <c r="T491" s="161"/>
      <c r="U491" s="161"/>
      <c r="V491" s="161"/>
      <c r="W491" s="161"/>
      <c r="X491" s="161"/>
    </row>
    <row r="492" ht="12.75" customHeight="1">
      <c r="A492" s="165">
        <v>39686.0</v>
      </c>
      <c r="B492" s="165" t="s">
        <v>9393</v>
      </c>
      <c r="C492" s="166">
        <v>45593.0</v>
      </c>
      <c r="D492" s="165" t="s">
        <v>12371</v>
      </c>
      <c r="E492" s="161"/>
      <c r="F492" s="161"/>
      <c r="G492" s="161"/>
      <c r="H492" s="161"/>
      <c r="I492" s="161"/>
      <c r="J492" s="161"/>
      <c r="K492" s="161"/>
      <c r="L492" s="161"/>
      <c r="M492" s="161"/>
      <c r="N492" s="161"/>
      <c r="O492" s="161"/>
      <c r="P492" s="161"/>
      <c r="Q492" s="161"/>
      <c r="R492" s="161"/>
      <c r="S492" s="161"/>
      <c r="T492" s="161"/>
      <c r="U492" s="161"/>
      <c r="V492" s="161"/>
      <c r="W492" s="161"/>
      <c r="X492" s="161"/>
    </row>
    <row r="493" ht="12.75" customHeight="1">
      <c r="A493" s="165">
        <v>39805.0</v>
      </c>
      <c r="B493" s="165" t="s">
        <v>9366</v>
      </c>
      <c r="C493" s="166">
        <v>45595.0</v>
      </c>
      <c r="D493" s="165" t="s">
        <v>12371</v>
      </c>
      <c r="E493" s="161"/>
      <c r="F493" s="161"/>
      <c r="G493" s="161"/>
      <c r="H493" s="161"/>
      <c r="I493" s="161"/>
      <c r="J493" s="161"/>
      <c r="K493" s="161"/>
      <c r="L493" s="161"/>
      <c r="M493" s="161"/>
      <c r="N493" s="161"/>
      <c r="O493" s="161"/>
      <c r="P493" s="161"/>
      <c r="Q493" s="161"/>
      <c r="R493" s="161"/>
      <c r="S493" s="161"/>
      <c r="T493" s="161"/>
      <c r="U493" s="161"/>
      <c r="V493" s="161"/>
      <c r="W493" s="161"/>
      <c r="X493" s="161"/>
    </row>
    <row r="494" ht="12.75" customHeight="1">
      <c r="A494" s="165">
        <v>39687.0</v>
      </c>
      <c r="B494" s="165" t="s">
        <v>9375</v>
      </c>
      <c r="C494" s="166">
        <v>45597.0</v>
      </c>
      <c r="D494" s="165" t="s">
        <v>12371</v>
      </c>
      <c r="E494" s="161"/>
      <c r="F494" s="161"/>
      <c r="G494" s="161"/>
      <c r="H494" s="161"/>
      <c r="I494" s="161"/>
      <c r="J494" s="161"/>
      <c r="K494" s="161"/>
      <c r="L494" s="161"/>
      <c r="M494" s="161"/>
      <c r="N494" s="161"/>
      <c r="O494" s="161"/>
      <c r="P494" s="161"/>
      <c r="Q494" s="161"/>
      <c r="R494" s="161"/>
      <c r="S494" s="161"/>
      <c r="T494" s="161"/>
      <c r="U494" s="161"/>
      <c r="V494" s="161"/>
      <c r="W494" s="161"/>
      <c r="X494" s="161"/>
    </row>
    <row r="495" ht="12.75" customHeight="1">
      <c r="A495" s="165">
        <v>40014.0</v>
      </c>
      <c r="B495" s="165" t="s">
        <v>9373</v>
      </c>
      <c r="C495" s="166">
        <v>45597.0</v>
      </c>
      <c r="D495" s="165" t="s">
        <v>12371</v>
      </c>
      <c r="E495" s="161"/>
      <c r="F495" s="161"/>
      <c r="G495" s="161"/>
      <c r="H495" s="161"/>
      <c r="I495" s="161"/>
      <c r="J495" s="161"/>
      <c r="K495" s="161"/>
      <c r="L495" s="161"/>
      <c r="M495" s="161"/>
      <c r="N495" s="161"/>
      <c r="O495" s="161"/>
      <c r="P495" s="161"/>
      <c r="Q495" s="161"/>
      <c r="R495" s="161"/>
      <c r="S495" s="161"/>
      <c r="T495" s="161"/>
      <c r="U495" s="161"/>
      <c r="V495" s="161"/>
      <c r="W495" s="161"/>
      <c r="X495" s="161"/>
    </row>
    <row r="496" ht="12.75" customHeight="1">
      <c r="A496" s="215">
        <v>40227.0</v>
      </c>
      <c r="B496" s="165" t="s">
        <v>9336</v>
      </c>
      <c r="C496" s="166">
        <v>45600.0</v>
      </c>
      <c r="D496" s="165" t="s">
        <v>12371</v>
      </c>
      <c r="E496" s="161"/>
      <c r="F496" s="161"/>
      <c r="G496" s="161"/>
      <c r="H496" s="161"/>
      <c r="I496" s="161"/>
      <c r="J496" s="161"/>
      <c r="K496" s="161"/>
      <c r="L496" s="161"/>
      <c r="M496" s="161"/>
      <c r="N496" s="161"/>
      <c r="O496" s="161"/>
      <c r="P496" s="161"/>
      <c r="Q496" s="161"/>
      <c r="R496" s="161"/>
      <c r="S496" s="161"/>
      <c r="T496" s="161"/>
      <c r="U496" s="161"/>
      <c r="V496" s="161"/>
      <c r="W496" s="161"/>
      <c r="X496" s="161"/>
    </row>
    <row r="497" ht="12.75" customHeight="1">
      <c r="A497" s="165">
        <v>39684.0</v>
      </c>
      <c r="B497" s="165" t="s">
        <v>9328</v>
      </c>
      <c r="C497" s="166">
        <v>45607.0</v>
      </c>
      <c r="D497" s="165" t="s">
        <v>12371</v>
      </c>
      <c r="E497" s="161"/>
      <c r="F497" s="161"/>
      <c r="G497" s="161"/>
      <c r="H497" s="161"/>
      <c r="I497" s="161"/>
      <c r="J497" s="161"/>
      <c r="K497" s="161"/>
      <c r="L497" s="161"/>
      <c r="M497" s="161"/>
      <c r="N497" s="161"/>
      <c r="O497" s="161"/>
      <c r="P497" s="161"/>
      <c r="Q497" s="161"/>
      <c r="R497" s="161"/>
      <c r="S497" s="161"/>
      <c r="T497" s="161"/>
      <c r="U497" s="161"/>
      <c r="V497" s="161"/>
      <c r="W497" s="161"/>
      <c r="X497" s="161"/>
    </row>
    <row r="498" ht="12.75" customHeight="1">
      <c r="A498" s="165">
        <v>39574.0</v>
      </c>
      <c r="B498" s="165" t="s">
        <v>9338</v>
      </c>
      <c r="C498" s="166">
        <v>45609.0</v>
      </c>
      <c r="D498" s="165" t="s">
        <v>12371</v>
      </c>
      <c r="E498" s="161"/>
      <c r="F498" s="161"/>
      <c r="G498" s="161"/>
      <c r="H498" s="161"/>
      <c r="I498" s="161"/>
      <c r="J498" s="161"/>
      <c r="K498" s="161"/>
      <c r="L498" s="161"/>
      <c r="M498" s="161"/>
      <c r="N498" s="161"/>
      <c r="O498" s="161"/>
      <c r="P498" s="161"/>
      <c r="Q498" s="161"/>
      <c r="R498" s="161"/>
      <c r="S498" s="161"/>
      <c r="T498" s="161"/>
      <c r="U498" s="161"/>
      <c r="V498" s="161"/>
      <c r="W498" s="161"/>
      <c r="X498" s="161"/>
    </row>
    <row r="499" ht="12.75" customHeight="1">
      <c r="A499" s="165">
        <v>39580.0</v>
      </c>
      <c r="B499" s="165" t="s">
        <v>9336</v>
      </c>
      <c r="C499" s="166">
        <v>45609.0</v>
      </c>
      <c r="D499" s="165" t="s">
        <v>12371</v>
      </c>
      <c r="E499" s="161"/>
      <c r="F499" s="161"/>
      <c r="G499" s="161"/>
      <c r="H499" s="161"/>
      <c r="I499" s="161"/>
      <c r="J499" s="161"/>
      <c r="K499" s="161"/>
      <c r="L499" s="161"/>
      <c r="M499" s="161"/>
      <c r="N499" s="161"/>
      <c r="O499" s="161"/>
      <c r="P499" s="161"/>
      <c r="Q499" s="161"/>
      <c r="R499" s="161"/>
      <c r="S499" s="161"/>
      <c r="T499" s="161"/>
      <c r="U499" s="161"/>
      <c r="V499" s="161"/>
      <c r="W499" s="161"/>
      <c r="X499" s="161"/>
    </row>
    <row r="500" ht="12.75" customHeight="1">
      <c r="A500" s="165">
        <v>39694.0</v>
      </c>
      <c r="B500" s="165" t="s">
        <v>9333</v>
      </c>
      <c r="C500" s="166">
        <v>45609.0</v>
      </c>
      <c r="D500" s="165" t="s">
        <v>12371</v>
      </c>
      <c r="E500" s="161"/>
      <c r="F500" s="161"/>
      <c r="G500" s="161"/>
      <c r="H500" s="161"/>
      <c r="I500" s="161"/>
      <c r="J500" s="161"/>
      <c r="K500" s="161"/>
      <c r="L500" s="161"/>
      <c r="M500" s="161"/>
      <c r="N500" s="161"/>
      <c r="O500" s="161"/>
      <c r="P500" s="161"/>
      <c r="Q500" s="161"/>
      <c r="R500" s="161"/>
      <c r="S500" s="161"/>
      <c r="T500" s="161"/>
      <c r="U500" s="161"/>
      <c r="V500" s="161"/>
      <c r="W500" s="161"/>
      <c r="X500" s="161"/>
    </row>
    <row r="501" ht="12.75" customHeight="1">
      <c r="A501" s="165">
        <v>39973.0</v>
      </c>
      <c r="B501" s="165" t="s">
        <v>9330</v>
      </c>
      <c r="C501" s="166">
        <v>45609.0</v>
      </c>
      <c r="D501" s="165" t="s">
        <v>12371</v>
      </c>
      <c r="E501" s="161"/>
      <c r="F501" s="161"/>
      <c r="G501" s="161"/>
      <c r="H501" s="161"/>
      <c r="I501" s="161"/>
      <c r="J501" s="161"/>
      <c r="K501" s="161"/>
      <c r="L501" s="161"/>
      <c r="M501" s="161"/>
      <c r="N501" s="161"/>
      <c r="O501" s="161"/>
      <c r="P501" s="161"/>
      <c r="Q501" s="161"/>
      <c r="R501" s="161"/>
      <c r="S501" s="161"/>
      <c r="T501" s="161"/>
      <c r="U501" s="161"/>
      <c r="V501" s="161"/>
      <c r="W501" s="161"/>
      <c r="X501" s="161"/>
    </row>
    <row r="502" ht="12.75" customHeight="1">
      <c r="A502" s="165">
        <v>39940.0</v>
      </c>
      <c r="B502" s="165" t="s">
        <v>9314</v>
      </c>
      <c r="C502" s="166">
        <v>45614.0</v>
      </c>
      <c r="D502" s="165" t="s">
        <v>12371</v>
      </c>
      <c r="E502" s="161"/>
      <c r="F502" s="161"/>
      <c r="G502" s="161"/>
      <c r="H502" s="161"/>
      <c r="I502" s="161"/>
      <c r="J502" s="161"/>
      <c r="K502" s="161"/>
      <c r="L502" s="161"/>
      <c r="M502" s="161"/>
      <c r="N502" s="161"/>
      <c r="O502" s="161"/>
      <c r="P502" s="161"/>
      <c r="Q502" s="161"/>
      <c r="R502" s="161"/>
      <c r="S502" s="161"/>
      <c r="T502" s="161"/>
      <c r="U502" s="161"/>
      <c r="V502" s="161"/>
      <c r="W502" s="161"/>
      <c r="X502" s="161"/>
    </row>
    <row r="503" ht="12.75" customHeight="1">
      <c r="A503" s="165">
        <v>40224.0</v>
      </c>
      <c r="B503" s="165" t="s">
        <v>10170</v>
      </c>
      <c r="C503" s="166">
        <v>45614.0</v>
      </c>
      <c r="D503" s="165" t="s">
        <v>12371</v>
      </c>
      <c r="E503" s="161"/>
      <c r="F503" s="161"/>
      <c r="G503" s="161"/>
      <c r="H503" s="161"/>
      <c r="I503" s="161"/>
      <c r="J503" s="161"/>
      <c r="K503" s="161"/>
      <c r="L503" s="161"/>
      <c r="M503" s="161"/>
      <c r="N503" s="161"/>
      <c r="O503" s="161"/>
      <c r="P503" s="161"/>
      <c r="Q503" s="161"/>
      <c r="R503" s="161"/>
      <c r="S503" s="161"/>
      <c r="T503" s="161"/>
      <c r="U503" s="161"/>
      <c r="V503" s="161"/>
      <c r="W503" s="161"/>
      <c r="X503" s="161"/>
    </row>
    <row r="504" ht="12.75" customHeight="1">
      <c r="A504" s="165">
        <v>40235.0</v>
      </c>
      <c r="B504" s="165" t="s">
        <v>10166</v>
      </c>
      <c r="C504" s="166">
        <v>45614.0</v>
      </c>
      <c r="D504" s="165" t="s">
        <v>12371</v>
      </c>
      <c r="E504" s="161"/>
      <c r="F504" s="161"/>
      <c r="G504" s="161"/>
      <c r="H504" s="161"/>
      <c r="I504" s="161"/>
      <c r="J504" s="161"/>
      <c r="K504" s="161"/>
      <c r="L504" s="161"/>
      <c r="M504" s="161"/>
      <c r="N504" s="161"/>
      <c r="O504" s="161"/>
      <c r="P504" s="161"/>
      <c r="Q504" s="161"/>
      <c r="R504" s="161"/>
      <c r="S504" s="161"/>
      <c r="T504" s="161"/>
      <c r="U504" s="161"/>
      <c r="V504" s="161"/>
      <c r="W504" s="161"/>
      <c r="X504" s="161"/>
    </row>
    <row r="505" ht="12.75" customHeight="1">
      <c r="A505" s="165">
        <v>39698.0</v>
      </c>
      <c r="B505" s="165" t="s">
        <v>9276</v>
      </c>
      <c r="C505" s="166">
        <v>45623.0</v>
      </c>
      <c r="D505" s="165" t="s">
        <v>12371</v>
      </c>
      <c r="E505" s="161"/>
      <c r="F505" s="161"/>
      <c r="G505" s="161"/>
      <c r="H505" s="161"/>
      <c r="I505" s="161"/>
      <c r="J505" s="161"/>
      <c r="K505" s="161"/>
      <c r="L505" s="161"/>
      <c r="M505" s="161"/>
      <c r="N505" s="161"/>
      <c r="O505" s="161"/>
      <c r="P505" s="161"/>
      <c r="Q505" s="161"/>
      <c r="R505" s="161"/>
      <c r="S505" s="161"/>
      <c r="T505" s="161"/>
      <c r="U505" s="161"/>
      <c r="V505" s="161"/>
      <c r="W505" s="161"/>
      <c r="X505" s="161"/>
    </row>
    <row r="506" ht="12.75" customHeight="1">
      <c r="A506" s="165">
        <v>39623.0</v>
      </c>
      <c r="B506" s="165" t="s">
        <v>9272</v>
      </c>
      <c r="C506" s="166">
        <v>45623.0</v>
      </c>
      <c r="D506" s="165" t="s">
        <v>12371</v>
      </c>
      <c r="E506" s="161"/>
      <c r="F506" s="161"/>
      <c r="G506" s="161"/>
      <c r="H506" s="161"/>
      <c r="I506" s="161"/>
      <c r="J506" s="161"/>
      <c r="K506" s="161"/>
      <c r="L506" s="161"/>
      <c r="M506" s="161"/>
      <c r="N506" s="161"/>
      <c r="O506" s="161"/>
      <c r="P506" s="161"/>
      <c r="Q506" s="161"/>
      <c r="R506" s="161"/>
      <c r="S506" s="161"/>
      <c r="T506" s="161"/>
      <c r="U506" s="161"/>
      <c r="V506" s="161"/>
      <c r="W506" s="161"/>
      <c r="X506" s="161"/>
    </row>
    <row r="507" ht="12.75" customHeight="1">
      <c r="A507" s="165">
        <v>39620.0</v>
      </c>
      <c r="B507" s="165" t="s">
        <v>9274</v>
      </c>
      <c r="C507" s="166">
        <v>45623.0</v>
      </c>
      <c r="D507" s="165" t="s">
        <v>12371</v>
      </c>
      <c r="E507" s="161"/>
      <c r="F507" s="161"/>
      <c r="G507" s="161"/>
      <c r="H507" s="161"/>
      <c r="I507" s="161"/>
      <c r="J507" s="161"/>
      <c r="K507" s="161"/>
      <c r="L507" s="161"/>
      <c r="M507" s="161"/>
      <c r="N507" s="161"/>
      <c r="O507" s="161"/>
      <c r="P507" s="161"/>
      <c r="Q507" s="161"/>
      <c r="R507" s="161"/>
      <c r="S507" s="161"/>
      <c r="T507" s="161"/>
      <c r="U507" s="161"/>
      <c r="V507" s="161"/>
      <c r="W507" s="161"/>
      <c r="X507" s="161"/>
    </row>
    <row r="508" ht="12.75" customHeight="1">
      <c r="A508" s="165">
        <v>39619.0</v>
      </c>
      <c r="B508" s="165" t="s">
        <v>9269</v>
      </c>
      <c r="C508" s="166">
        <v>45623.0</v>
      </c>
      <c r="D508" s="165" t="s">
        <v>12371</v>
      </c>
      <c r="E508" s="161"/>
      <c r="F508" s="161"/>
      <c r="G508" s="161"/>
      <c r="H508" s="161"/>
      <c r="I508" s="161"/>
      <c r="J508" s="161"/>
      <c r="K508" s="161"/>
      <c r="L508" s="161"/>
      <c r="M508" s="161"/>
      <c r="N508" s="161"/>
      <c r="O508" s="161"/>
      <c r="P508" s="161"/>
      <c r="Q508" s="161"/>
      <c r="R508" s="161"/>
      <c r="S508" s="161"/>
      <c r="T508" s="161"/>
      <c r="U508" s="161"/>
      <c r="V508" s="161"/>
      <c r="W508" s="161"/>
      <c r="X508" s="161"/>
    </row>
    <row r="509" ht="12.75" customHeight="1">
      <c r="A509" s="165">
        <v>39700.0</v>
      </c>
      <c r="B509" s="165" t="s">
        <v>9267</v>
      </c>
      <c r="C509" s="166">
        <v>45623.0</v>
      </c>
      <c r="D509" s="165" t="s">
        <v>12371</v>
      </c>
      <c r="E509" s="161"/>
      <c r="F509" s="161"/>
      <c r="G509" s="161"/>
      <c r="H509" s="161"/>
      <c r="I509" s="161"/>
      <c r="J509" s="161"/>
      <c r="K509" s="161"/>
      <c r="L509" s="161"/>
      <c r="M509" s="161"/>
      <c r="N509" s="161"/>
      <c r="O509" s="161"/>
      <c r="P509" s="161"/>
      <c r="Q509" s="161"/>
      <c r="R509" s="161"/>
      <c r="S509" s="161"/>
      <c r="T509" s="161"/>
      <c r="U509" s="161"/>
      <c r="V509" s="161"/>
      <c r="W509" s="161"/>
      <c r="X509" s="161"/>
    </row>
    <row r="510" ht="12.75" customHeight="1">
      <c r="A510" s="165">
        <v>39795.0</v>
      </c>
      <c r="B510" s="165" t="s">
        <v>9264</v>
      </c>
      <c r="C510" s="166">
        <v>45628.0</v>
      </c>
      <c r="D510" s="165" t="s">
        <v>12371</v>
      </c>
      <c r="E510" s="161"/>
      <c r="F510" s="161"/>
      <c r="G510" s="161"/>
      <c r="H510" s="161"/>
      <c r="I510" s="161"/>
      <c r="J510" s="161"/>
      <c r="K510" s="161"/>
      <c r="L510" s="161"/>
      <c r="M510" s="161"/>
      <c r="N510" s="161"/>
      <c r="O510" s="161"/>
      <c r="P510" s="161"/>
      <c r="Q510" s="161"/>
      <c r="R510" s="161"/>
      <c r="S510" s="161"/>
      <c r="T510" s="161"/>
      <c r="U510" s="161"/>
      <c r="V510" s="161"/>
      <c r="W510" s="161"/>
      <c r="X510" s="161"/>
    </row>
    <row r="511" ht="12.75" customHeight="1">
      <c r="A511" s="165">
        <v>40189.0</v>
      </c>
      <c r="B511" s="165" t="s">
        <v>9243</v>
      </c>
      <c r="C511" s="166">
        <v>45629.0</v>
      </c>
      <c r="D511" s="165" t="s">
        <v>12371</v>
      </c>
      <c r="E511" s="161"/>
      <c r="F511" s="161"/>
      <c r="G511" s="161"/>
      <c r="H511" s="161"/>
      <c r="I511" s="161"/>
      <c r="J511" s="161"/>
      <c r="K511" s="161"/>
      <c r="L511" s="161"/>
      <c r="M511" s="161"/>
      <c r="N511" s="161"/>
      <c r="O511" s="161"/>
      <c r="P511" s="161"/>
      <c r="Q511" s="161"/>
      <c r="R511" s="161"/>
      <c r="S511" s="161"/>
      <c r="T511" s="161"/>
      <c r="U511" s="161"/>
      <c r="V511" s="161"/>
      <c r="W511" s="161"/>
      <c r="X511" s="161"/>
    </row>
    <row r="512" ht="12.75" customHeight="1">
      <c r="A512" s="165">
        <v>40229.0</v>
      </c>
      <c r="B512" s="165" t="s">
        <v>10158</v>
      </c>
      <c r="C512" s="166">
        <v>45635.0</v>
      </c>
      <c r="D512" s="165" t="s">
        <v>12371</v>
      </c>
      <c r="E512" s="161"/>
      <c r="F512" s="161"/>
      <c r="G512" s="161"/>
      <c r="H512" s="161"/>
      <c r="I512" s="161"/>
      <c r="J512" s="161"/>
      <c r="K512" s="161"/>
      <c r="L512" s="161"/>
      <c r="M512" s="161"/>
      <c r="N512" s="161"/>
      <c r="O512" s="161"/>
      <c r="P512" s="161"/>
      <c r="Q512" s="161"/>
      <c r="R512" s="161"/>
      <c r="S512" s="161"/>
      <c r="T512" s="161"/>
      <c r="U512" s="161"/>
      <c r="V512" s="161"/>
      <c r="W512" s="161"/>
      <c r="X512" s="161"/>
    </row>
    <row r="513" ht="12.75" customHeight="1">
      <c r="A513" s="165">
        <v>40373.0</v>
      </c>
      <c r="B513" s="165" t="s">
        <v>10153</v>
      </c>
      <c r="C513" s="166">
        <v>45637.0</v>
      </c>
      <c r="D513" s="165" t="s">
        <v>12371</v>
      </c>
      <c r="E513" s="161"/>
      <c r="F513" s="161"/>
      <c r="G513" s="161"/>
      <c r="H513" s="161"/>
      <c r="I513" s="161"/>
      <c r="J513" s="161"/>
      <c r="K513" s="161"/>
      <c r="L513" s="161"/>
      <c r="M513" s="161"/>
      <c r="N513" s="161"/>
      <c r="O513" s="161"/>
      <c r="P513" s="161"/>
      <c r="Q513" s="161"/>
      <c r="R513" s="161"/>
      <c r="S513" s="161"/>
      <c r="T513" s="161"/>
      <c r="U513" s="161"/>
      <c r="V513" s="161"/>
      <c r="W513" s="161"/>
      <c r="X513" s="161"/>
    </row>
    <row r="514" ht="12.75" customHeight="1">
      <c r="A514" s="165">
        <v>39621.0</v>
      </c>
      <c r="B514" s="165" t="s">
        <v>9236</v>
      </c>
      <c r="C514" s="166">
        <v>45637.0</v>
      </c>
      <c r="D514" s="165" t="s">
        <v>12371</v>
      </c>
      <c r="E514" s="161"/>
      <c r="F514" s="161"/>
      <c r="G514" s="161"/>
      <c r="H514" s="161"/>
      <c r="I514" s="161"/>
      <c r="J514" s="161"/>
      <c r="K514" s="161"/>
      <c r="L514" s="161"/>
      <c r="M514" s="161"/>
      <c r="N514" s="161"/>
      <c r="O514" s="161"/>
      <c r="P514" s="161"/>
      <c r="Q514" s="161"/>
      <c r="R514" s="161"/>
      <c r="S514" s="161"/>
      <c r="T514" s="161"/>
      <c r="U514" s="161"/>
      <c r="V514" s="161"/>
      <c r="W514" s="161"/>
      <c r="X514" s="161"/>
    </row>
    <row r="515" ht="12.75" customHeight="1">
      <c r="A515" s="165">
        <v>39701.0</v>
      </c>
      <c r="B515" s="165" t="s">
        <v>9233</v>
      </c>
      <c r="C515" s="166">
        <v>45637.0</v>
      </c>
      <c r="D515" s="165" t="s">
        <v>12371</v>
      </c>
      <c r="E515" s="161"/>
      <c r="F515" s="161"/>
      <c r="G515" s="161"/>
      <c r="H515" s="161"/>
      <c r="I515" s="161"/>
      <c r="J515" s="161"/>
      <c r="K515" s="161"/>
      <c r="L515" s="161"/>
      <c r="M515" s="161"/>
      <c r="N515" s="161"/>
      <c r="O515" s="161"/>
      <c r="P515" s="161"/>
      <c r="Q515" s="161"/>
      <c r="R515" s="161"/>
      <c r="S515" s="161"/>
      <c r="T515" s="161"/>
      <c r="U515" s="161"/>
      <c r="V515" s="161"/>
      <c r="W515" s="161"/>
      <c r="X515" s="161"/>
    </row>
    <row r="516" ht="12.75" customHeight="1">
      <c r="A516" s="165">
        <v>39630.0</v>
      </c>
      <c r="B516" s="165" t="s">
        <v>9230</v>
      </c>
      <c r="C516" s="166">
        <v>45637.0</v>
      </c>
      <c r="D516" s="165" t="s">
        <v>12371</v>
      </c>
      <c r="E516" s="161"/>
      <c r="F516" s="161"/>
      <c r="G516" s="161"/>
      <c r="H516" s="161"/>
      <c r="I516" s="161"/>
      <c r="J516" s="161"/>
      <c r="K516" s="161"/>
      <c r="L516" s="161"/>
      <c r="M516" s="161"/>
      <c r="N516" s="161"/>
      <c r="O516" s="161"/>
      <c r="P516" s="161"/>
      <c r="Q516" s="161"/>
      <c r="R516" s="161"/>
      <c r="S516" s="161"/>
      <c r="T516" s="161"/>
      <c r="U516" s="161"/>
      <c r="V516" s="161"/>
      <c r="W516" s="161"/>
      <c r="X516" s="161"/>
    </row>
    <row r="517" ht="12.75" customHeight="1">
      <c r="A517" s="165">
        <v>39754.0</v>
      </c>
      <c r="B517" s="165" t="s">
        <v>9226</v>
      </c>
      <c r="C517" s="166">
        <v>45637.0</v>
      </c>
      <c r="D517" s="165" t="s">
        <v>12371</v>
      </c>
      <c r="E517" s="161"/>
      <c r="F517" s="161"/>
      <c r="G517" s="161"/>
      <c r="H517" s="161"/>
      <c r="I517" s="161"/>
      <c r="J517" s="161"/>
      <c r="K517" s="161"/>
      <c r="L517" s="161"/>
      <c r="M517" s="161"/>
      <c r="N517" s="161"/>
      <c r="O517" s="161"/>
      <c r="P517" s="161"/>
      <c r="Q517" s="161"/>
      <c r="R517" s="161"/>
      <c r="S517" s="161"/>
      <c r="T517" s="161"/>
      <c r="U517" s="161"/>
      <c r="V517" s="161"/>
      <c r="W517" s="161"/>
      <c r="X517" s="161"/>
    </row>
    <row r="518" ht="12.75" customHeight="1">
      <c r="A518" s="165">
        <v>39625.0</v>
      </c>
      <c r="B518" s="165" t="s">
        <v>9222</v>
      </c>
      <c r="C518" s="166">
        <v>45637.0</v>
      </c>
      <c r="D518" s="165" t="s">
        <v>12371</v>
      </c>
      <c r="E518" s="161"/>
      <c r="F518" s="161"/>
      <c r="G518" s="161"/>
      <c r="H518" s="161"/>
      <c r="I518" s="161"/>
      <c r="J518" s="161"/>
      <c r="K518" s="161"/>
      <c r="L518" s="161"/>
      <c r="M518" s="161"/>
      <c r="N518" s="161"/>
      <c r="O518" s="161"/>
      <c r="P518" s="161"/>
      <c r="Q518" s="161"/>
      <c r="R518" s="161"/>
      <c r="S518" s="161"/>
      <c r="T518" s="161"/>
      <c r="U518" s="161"/>
      <c r="V518" s="161"/>
      <c r="W518" s="161"/>
      <c r="X518" s="161"/>
    </row>
    <row r="519" ht="12.75" customHeight="1">
      <c r="A519" s="165">
        <v>39628.0</v>
      </c>
      <c r="B519" s="165" t="s">
        <v>9220</v>
      </c>
      <c r="C519" s="166">
        <v>45637.0</v>
      </c>
      <c r="D519" s="165" t="s">
        <v>12371</v>
      </c>
      <c r="E519" s="161"/>
      <c r="F519" s="161"/>
      <c r="G519" s="161"/>
      <c r="H519" s="161"/>
      <c r="I519" s="161"/>
      <c r="J519" s="161"/>
      <c r="K519" s="161"/>
      <c r="L519" s="161"/>
      <c r="M519" s="161"/>
      <c r="N519" s="161"/>
      <c r="O519" s="161"/>
      <c r="P519" s="161"/>
      <c r="Q519" s="161"/>
      <c r="R519" s="161"/>
      <c r="S519" s="161"/>
      <c r="T519" s="161"/>
      <c r="U519" s="161"/>
      <c r="V519" s="161"/>
      <c r="W519" s="161"/>
      <c r="X519" s="161"/>
    </row>
    <row r="520" ht="12.75" customHeight="1">
      <c r="A520" s="165">
        <v>39856.0</v>
      </c>
      <c r="B520" s="165" t="s">
        <v>9217</v>
      </c>
      <c r="C520" s="166">
        <v>45637.0</v>
      </c>
      <c r="D520" s="165" t="s">
        <v>12371</v>
      </c>
      <c r="E520" s="161"/>
      <c r="F520" s="161"/>
      <c r="G520" s="161"/>
      <c r="H520" s="161"/>
      <c r="I520" s="161"/>
      <c r="J520" s="161"/>
      <c r="K520" s="161"/>
      <c r="L520" s="161"/>
      <c r="M520" s="161"/>
      <c r="N520" s="161"/>
      <c r="O520" s="161"/>
      <c r="P520" s="161"/>
      <c r="Q520" s="161"/>
      <c r="R520" s="161"/>
      <c r="S520" s="161"/>
      <c r="T520" s="161"/>
      <c r="U520" s="161"/>
      <c r="V520" s="161"/>
      <c r="W520" s="161"/>
      <c r="X520" s="161"/>
    </row>
    <row r="521" ht="12.75" customHeight="1">
      <c r="A521" s="165">
        <v>39796.0</v>
      </c>
      <c r="B521" s="165" t="s">
        <v>9180</v>
      </c>
      <c r="C521" s="166">
        <v>45656.0</v>
      </c>
      <c r="D521" s="165" t="s">
        <v>12371</v>
      </c>
      <c r="E521" s="161"/>
      <c r="F521" s="161"/>
      <c r="G521" s="161"/>
      <c r="H521" s="161"/>
      <c r="I521" s="161"/>
      <c r="J521" s="161"/>
      <c r="K521" s="161"/>
      <c r="L521" s="161"/>
      <c r="M521" s="161"/>
      <c r="N521" s="161"/>
      <c r="O521" s="161"/>
      <c r="P521" s="161"/>
      <c r="Q521" s="161"/>
      <c r="R521" s="161"/>
      <c r="S521" s="161"/>
      <c r="T521" s="161"/>
      <c r="U521" s="161"/>
      <c r="V521" s="161"/>
      <c r="W521" s="161"/>
      <c r="X521" s="161"/>
    </row>
    <row r="522" ht="12.75" customHeight="1">
      <c r="A522" s="165">
        <v>39929.0</v>
      </c>
      <c r="B522" s="165" t="s">
        <v>9174</v>
      </c>
      <c r="C522" s="166">
        <v>45656.0</v>
      </c>
      <c r="D522" s="165" t="s">
        <v>12371</v>
      </c>
      <c r="E522" s="161"/>
      <c r="F522" s="161"/>
      <c r="G522" s="161"/>
      <c r="H522" s="161"/>
      <c r="I522" s="161"/>
      <c r="J522" s="161"/>
      <c r="K522" s="161"/>
      <c r="L522" s="161"/>
      <c r="M522" s="161"/>
      <c r="N522" s="161"/>
      <c r="O522" s="161"/>
      <c r="P522" s="161"/>
      <c r="Q522" s="161"/>
      <c r="R522" s="161"/>
      <c r="S522" s="161"/>
      <c r="T522" s="161"/>
      <c r="U522" s="161"/>
      <c r="V522" s="161"/>
      <c r="W522" s="161"/>
      <c r="X522" s="161"/>
    </row>
    <row r="523" ht="12.75" customHeight="1">
      <c r="A523" s="165">
        <v>39434.0</v>
      </c>
      <c r="B523" s="165" t="s">
        <v>9188</v>
      </c>
      <c r="C523" s="166">
        <v>45656.0</v>
      </c>
      <c r="D523" s="165" t="s">
        <v>12371</v>
      </c>
      <c r="E523" s="161"/>
      <c r="F523" s="161"/>
      <c r="G523" s="161"/>
      <c r="H523" s="161"/>
      <c r="I523" s="161"/>
      <c r="J523" s="161"/>
      <c r="K523" s="161"/>
      <c r="L523" s="161"/>
      <c r="M523" s="161"/>
      <c r="N523" s="161"/>
      <c r="O523" s="161"/>
      <c r="P523" s="161"/>
      <c r="Q523" s="161"/>
      <c r="R523" s="161"/>
      <c r="S523" s="161"/>
      <c r="T523" s="161"/>
      <c r="U523" s="161"/>
      <c r="V523" s="161"/>
      <c r="W523" s="161"/>
      <c r="X523" s="161"/>
    </row>
    <row r="524" ht="12.75" customHeight="1">
      <c r="A524" s="165">
        <v>40380.0</v>
      </c>
      <c r="B524" s="165" t="s">
        <v>10134</v>
      </c>
      <c r="C524" s="166">
        <v>45657.0</v>
      </c>
      <c r="D524" s="165" t="s">
        <v>12371</v>
      </c>
      <c r="E524" s="161"/>
      <c r="F524" s="161"/>
      <c r="G524" s="161"/>
      <c r="H524" s="161"/>
      <c r="I524" s="161"/>
      <c r="J524" s="161"/>
      <c r="K524" s="161"/>
      <c r="L524" s="161"/>
      <c r="M524" s="161"/>
      <c r="N524" s="161"/>
      <c r="O524" s="161"/>
      <c r="P524" s="161"/>
      <c r="Q524" s="161"/>
      <c r="R524" s="161"/>
      <c r="S524" s="161"/>
      <c r="T524" s="161"/>
      <c r="U524" s="161"/>
      <c r="V524" s="161"/>
      <c r="W524" s="161"/>
      <c r="X524" s="161"/>
    </row>
    <row r="525" ht="12.75" customHeight="1">
      <c r="A525" s="165">
        <v>39759.0</v>
      </c>
      <c r="B525" s="165" t="s">
        <v>11480</v>
      </c>
      <c r="C525" s="166">
        <v>45660.0</v>
      </c>
      <c r="D525" s="165" t="s">
        <v>12371</v>
      </c>
      <c r="E525" s="161"/>
      <c r="F525" s="161"/>
      <c r="G525" s="161"/>
      <c r="H525" s="161"/>
      <c r="I525" s="161"/>
      <c r="J525" s="161"/>
      <c r="K525" s="161"/>
      <c r="L525" s="161"/>
      <c r="M525" s="161"/>
      <c r="N525" s="161"/>
      <c r="O525" s="161"/>
      <c r="P525" s="161"/>
      <c r="Q525" s="161"/>
      <c r="R525" s="161"/>
      <c r="S525" s="161"/>
      <c r="T525" s="161"/>
      <c r="U525" s="161"/>
      <c r="V525" s="161"/>
      <c r="W525" s="161"/>
      <c r="X525" s="161"/>
    </row>
    <row r="526" ht="12.75" customHeight="1">
      <c r="A526" s="165">
        <v>39739.0</v>
      </c>
      <c r="B526" s="165" t="s">
        <v>11445</v>
      </c>
      <c r="C526" s="166">
        <v>45667.0</v>
      </c>
      <c r="D526" s="165" t="s">
        <v>12371</v>
      </c>
      <c r="E526" s="161"/>
      <c r="F526" s="161"/>
      <c r="G526" s="161"/>
      <c r="H526" s="161"/>
      <c r="I526" s="161"/>
      <c r="J526" s="161"/>
      <c r="K526" s="161"/>
      <c r="L526" s="161"/>
      <c r="M526" s="161"/>
      <c r="N526" s="161"/>
      <c r="O526" s="161"/>
      <c r="P526" s="161"/>
      <c r="Q526" s="161"/>
      <c r="R526" s="161"/>
      <c r="S526" s="161"/>
      <c r="T526" s="161"/>
      <c r="U526" s="161"/>
      <c r="V526" s="161"/>
      <c r="W526" s="161"/>
      <c r="X526" s="161"/>
    </row>
    <row r="527" ht="12.75" customHeight="1">
      <c r="A527" s="165">
        <v>40118.0</v>
      </c>
      <c r="B527" s="165" t="s">
        <v>11423</v>
      </c>
      <c r="C527" s="166">
        <v>45667.0</v>
      </c>
      <c r="D527" s="165" t="s">
        <v>12371</v>
      </c>
      <c r="E527" s="161"/>
      <c r="F527" s="161"/>
      <c r="G527" s="161"/>
      <c r="H527" s="161"/>
      <c r="I527" s="161"/>
      <c r="J527" s="161"/>
      <c r="K527" s="161"/>
      <c r="L527" s="161"/>
      <c r="M527" s="161"/>
      <c r="N527" s="161"/>
      <c r="O527" s="161"/>
      <c r="P527" s="161"/>
      <c r="Q527" s="161"/>
      <c r="R527" s="161"/>
      <c r="S527" s="161"/>
      <c r="T527" s="161"/>
      <c r="U527" s="161"/>
      <c r="V527" s="161"/>
      <c r="W527" s="161"/>
      <c r="X527" s="161"/>
    </row>
    <row r="528" ht="12.75" customHeight="1">
      <c r="A528" s="165">
        <v>39746.0</v>
      </c>
      <c r="B528" s="165" t="s">
        <v>11451</v>
      </c>
      <c r="C528" s="166">
        <v>45670.0</v>
      </c>
      <c r="D528" s="165" t="s">
        <v>12371</v>
      </c>
      <c r="E528" s="161"/>
      <c r="F528" s="161"/>
      <c r="G528" s="161"/>
      <c r="H528" s="161"/>
      <c r="I528" s="161"/>
      <c r="J528" s="161"/>
      <c r="K528" s="161"/>
      <c r="L528" s="161"/>
      <c r="M528" s="161"/>
      <c r="N528" s="161"/>
      <c r="O528" s="161"/>
      <c r="P528" s="161"/>
      <c r="Q528" s="161"/>
      <c r="R528" s="161"/>
      <c r="S528" s="161"/>
      <c r="T528" s="161"/>
      <c r="U528" s="161"/>
      <c r="V528" s="161"/>
      <c r="W528" s="161"/>
      <c r="X528" s="161"/>
    </row>
    <row r="529" ht="12.75" customHeight="1">
      <c r="A529" s="165">
        <v>39742.0</v>
      </c>
      <c r="B529" s="165" t="s">
        <v>11449</v>
      </c>
      <c r="C529" s="166">
        <v>45670.0</v>
      </c>
      <c r="D529" s="165" t="s">
        <v>12371</v>
      </c>
      <c r="E529" s="161"/>
      <c r="F529" s="161"/>
      <c r="G529" s="161"/>
      <c r="H529" s="161"/>
      <c r="I529" s="161"/>
      <c r="J529" s="161"/>
      <c r="K529" s="161"/>
      <c r="L529" s="161"/>
      <c r="M529" s="161"/>
      <c r="N529" s="161"/>
      <c r="O529" s="161"/>
      <c r="P529" s="161"/>
      <c r="Q529" s="161"/>
      <c r="R529" s="161"/>
      <c r="S529" s="161"/>
      <c r="T529" s="161"/>
      <c r="U529" s="161"/>
      <c r="V529" s="161"/>
      <c r="W529" s="161"/>
      <c r="X529" s="161"/>
    </row>
    <row r="530" ht="12.75" customHeight="1">
      <c r="A530" s="165">
        <v>39639.0</v>
      </c>
      <c r="B530" s="165" t="s">
        <v>11447</v>
      </c>
      <c r="C530" s="166">
        <v>45670.0</v>
      </c>
      <c r="D530" s="165" t="s">
        <v>12371</v>
      </c>
      <c r="E530" s="161"/>
      <c r="F530" s="161"/>
      <c r="G530" s="161"/>
      <c r="H530" s="161"/>
      <c r="I530" s="161"/>
      <c r="J530" s="161"/>
      <c r="K530" s="161"/>
      <c r="L530" s="161"/>
      <c r="M530" s="161"/>
      <c r="N530" s="161"/>
      <c r="O530" s="161"/>
      <c r="P530" s="161"/>
      <c r="Q530" s="161"/>
      <c r="R530" s="161"/>
      <c r="S530" s="161"/>
      <c r="T530" s="161"/>
      <c r="U530" s="161"/>
      <c r="V530" s="161"/>
      <c r="W530" s="161"/>
      <c r="X530" s="161"/>
    </row>
    <row r="531" ht="12.75" customHeight="1">
      <c r="A531" s="165">
        <v>39748.0</v>
      </c>
      <c r="B531" s="165" t="s">
        <v>11413</v>
      </c>
      <c r="C531" s="166">
        <v>45678.0</v>
      </c>
      <c r="D531" s="165" t="s">
        <v>12371</v>
      </c>
      <c r="E531" s="161"/>
      <c r="F531" s="161"/>
      <c r="G531" s="161"/>
      <c r="H531" s="161"/>
      <c r="I531" s="161"/>
      <c r="J531" s="161"/>
      <c r="K531" s="161"/>
      <c r="L531" s="161"/>
      <c r="M531" s="161"/>
      <c r="N531" s="161"/>
      <c r="O531" s="161"/>
      <c r="P531" s="161"/>
      <c r="Q531" s="161"/>
      <c r="R531" s="161"/>
      <c r="S531" s="161"/>
      <c r="T531" s="161"/>
      <c r="U531" s="161"/>
      <c r="V531" s="161"/>
      <c r="W531" s="161"/>
      <c r="X531" s="161"/>
    </row>
    <row r="532" ht="12.75" customHeight="1">
      <c r="A532" s="165">
        <v>39764.0</v>
      </c>
      <c r="B532" s="165" t="s">
        <v>11410</v>
      </c>
      <c r="C532" s="166">
        <v>45678.0</v>
      </c>
      <c r="D532" s="165" t="s">
        <v>12371</v>
      </c>
      <c r="E532" s="161"/>
      <c r="F532" s="161"/>
      <c r="G532" s="161"/>
      <c r="H532" s="161"/>
      <c r="I532" s="161"/>
      <c r="J532" s="161"/>
      <c r="K532" s="161"/>
      <c r="L532" s="161"/>
      <c r="M532" s="161"/>
      <c r="N532" s="161"/>
      <c r="O532" s="161"/>
      <c r="P532" s="161"/>
      <c r="Q532" s="161"/>
      <c r="R532" s="161"/>
      <c r="S532" s="161"/>
      <c r="T532" s="161"/>
      <c r="U532" s="161"/>
      <c r="V532" s="161"/>
      <c r="W532" s="161"/>
      <c r="X532" s="161"/>
    </row>
    <row r="533" ht="12.75" customHeight="1">
      <c r="A533" s="165">
        <v>40020.0</v>
      </c>
      <c r="B533" s="165" t="s">
        <v>11408</v>
      </c>
      <c r="C533" s="166">
        <v>45678.0</v>
      </c>
      <c r="D533" s="165" t="s">
        <v>12371</v>
      </c>
      <c r="E533" s="161"/>
      <c r="F533" s="161"/>
      <c r="G533" s="161"/>
      <c r="H533" s="161"/>
      <c r="I533" s="161"/>
      <c r="J533" s="161"/>
      <c r="K533" s="161"/>
      <c r="L533" s="161"/>
      <c r="M533" s="161"/>
      <c r="N533" s="161"/>
      <c r="O533" s="161"/>
      <c r="P533" s="161"/>
      <c r="Q533" s="161"/>
      <c r="R533" s="161"/>
      <c r="S533" s="161"/>
      <c r="T533" s="161"/>
      <c r="U533" s="161"/>
      <c r="V533" s="161"/>
      <c r="W533" s="161"/>
      <c r="X533" s="161"/>
    </row>
    <row r="534" ht="12.75" customHeight="1">
      <c r="A534" s="165">
        <v>39760.0</v>
      </c>
      <c r="B534" s="165" t="s">
        <v>11391</v>
      </c>
      <c r="C534" s="166">
        <v>45680.0</v>
      </c>
      <c r="D534" s="165" t="s">
        <v>12371</v>
      </c>
      <c r="E534" s="161"/>
      <c r="F534" s="161"/>
      <c r="G534" s="161"/>
      <c r="H534" s="161"/>
      <c r="I534" s="161"/>
      <c r="J534" s="161"/>
      <c r="K534" s="161"/>
      <c r="L534" s="161"/>
      <c r="M534" s="161"/>
      <c r="N534" s="161"/>
      <c r="O534" s="161"/>
      <c r="P534" s="161"/>
      <c r="Q534" s="161"/>
      <c r="R534" s="161"/>
      <c r="S534" s="161"/>
      <c r="T534" s="161"/>
      <c r="U534" s="161"/>
      <c r="V534" s="161"/>
      <c r="W534" s="161"/>
      <c r="X534" s="161"/>
    </row>
    <row r="535" ht="12.75" customHeight="1">
      <c r="A535" s="165">
        <v>40019.0</v>
      </c>
      <c r="B535" s="165" t="s">
        <v>11389</v>
      </c>
      <c r="C535" s="166">
        <v>45680.0</v>
      </c>
      <c r="D535" s="165" t="s">
        <v>12371</v>
      </c>
      <c r="E535" s="161"/>
      <c r="F535" s="161"/>
      <c r="G535" s="161"/>
      <c r="H535" s="161"/>
      <c r="I535" s="161"/>
      <c r="J535" s="161"/>
      <c r="K535" s="161"/>
      <c r="L535" s="161"/>
      <c r="M535" s="161"/>
      <c r="N535" s="161"/>
      <c r="O535" s="161"/>
      <c r="P535" s="161"/>
      <c r="Q535" s="161"/>
      <c r="R535" s="161"/>
      <c r="S535" s="161"/>
      <c r="T535" s="161"/>
      <c r="U535" s="161"/>
      <c r="V535" s="161"/>
      <c r="W535" s="161"/>
      <c r="X535" s="161"/>
    </row>
    <row r="536" ht="12.75" customHeight="1">
      <c r="A536" s="165">
        <v>40453.0</v>
      </c>
      <c r="B536" s="165" t="s">
        <v>11854</v>
      </c>
      <c r="C536" s="166">
        <v>45684.0</v>
      </c>
      <c r="D536" s="165" t="s">
        <v>12371</v>
      </c>
      <c r="E536" s="161"/>
      <c r="F536" s="161"/>
      <c r="G536" s="161"/>
      <c r="H536" s="161"/>
      <c r="I536" s="161"/>
      <c r="J536" s="161"/>
      <c r="K536" s="161"/>
      <c r="L536" s="161"/>
      <c r="M536" s="161"/>
      <c r="N536" s="161"/>
      <c r="O536" s="161"/>
      <c r="P536" s="161"/>
      <c r="Q536" s="161"/>
      <c r="R536" s="161"/>
      <c r="S536" s="161"/>
      <c r="T536" s="161"/>
      <c r="U536" s="161"/>
      <c r="V536" s="161"/>
      <c r="W536" s="161"/>
      <c r="X536" s="161"/>
    </row>
    <row r="537" ht="12.75" customHeight="1">
      <c r="A537" s="165">
        <v>40525.0</v>
      </c>
      <c r="B537" s="165" t="s">
        <v>11849</v>
      </c>
      <c r="C537" s="166">
        <v>45687.0</v>
      </c>
      <c r="D537" s="165" t="s">
        <v>12371</v>
      </c>
      <c r="E537" s="161"/>
      <c r="F537" s="161"/>
      <c r="G537" s="161"/>
      <c r="H537" s="161"/>
      <c r="I537" s="161"/>
      <c r="J537" s="161"/>
      <c r="K537" s="161"/>
      <c r="L537" s="161"/>
      <c r="M537" s="161"/>
      <c r="N537" s="161"/>
      <c r="O537" s="161"/>
      <c r="P537" s="161"/>
      <c r="Q537" s="161"/>
      <c r="R537" s="161"/>
      <c r="S537" s="161"/>
      <c r="T537" s="161"/>
      <c r="U537" s="161"/>
      <c r="V537" s="161"/>
      <c r="W537" s="161"/>
      <c r="X537" s="161"/>
    </row>
    <row r="538" ht="12.75" customHeight="1">
      <c r="A538" s="165">
        <v>40337.0</v>
      </c>
      <c r="B538" s="165" t="s">
        <v>11369</v>
      </c>
      <c r="C538" s="166">
        <v>45687.0</v>
      </c>
      <c r="D538" s="165" t="s">
        <v>12371</v>
      </c>
      <c r="E538" s="161"/>
      <c r="F538" s="161"/>
      <c r="G538" s="161"/>
      <c r="H538" s="161"/>
      <c r="I538" s="161"/>
      <c r="J538" s="161"/>
      <c r="K538" s="161"/>
      <c r="L538" s="161"/>
      <c r="M538" s="161"/>
      <c r="N538" s="161"/>
      <c r="O538" s="161"/>
      <c r="P538" s="161"/>
      <c r="Q538" s="161"/>
      <c r="R538" s="161"/>
      <c r="S538" s="161"/>
      <c r="T538" s="161"/>
      <c r="U538" s="161"/>
      <c r="V538" s="161"/>
      <c r="W538" s="161"/>
      <c r="X538" s="161"/>
    </row>
    <row r="539" ht="12.75" customHeight="1">
      <c r="A539" s="165">
        <v>40523.0</v>
      </c>
      <c r="B539" s="165" t="s">
        <v>11833</v>
      </c>
      <c r="C539" s="166">
        <v>45691.0</v>
      </c>
      <c r="D539" s="165" t="s">
        <v>12371</v>
      </c>
      <c r="E539" s="161"/>
      <c r="F539" s="161"/>
      <c r="G539" s="161"/>
      <c r="H539" s="161"/>
      <c r="I539" s="161"/>
      <c r="J539" s="161"/>
      <c r="K539" s="161"/>
      <c r="L539" s="161"/>
      <c r="M539" s="161"/>
      <c r="N539" s="161"/>
      <c r="O539" s="161"/>
      <c r="P539" s="161"/>
      <c r="Q539" s="161"/>
      <c r="R539" s="161"/>
      <c r="S539" s="161"/>
      <c r="T539" s="161"/>
      <c r="U539" s="161"/>
      <c r="V539" s="161"/>
      <c r="W539" s="161"/>
      <c r="X539" s="161"/>
    </row>
    <row r="540" ht="12.75" customHeight="1">
      <c r="A540" s="165">
        <v>40528.0</v>
      </c>
      <c r="B540" s="165" t="s">
        <v>11841</v>
      </c>
      <c r="C540" s="166">
        <v>45693.0</v>
      </c>
      <c r="D540" s="165" t="s">
        <v>12371</v>
      </c>
      <c r="E540" s="161"/>
      <c r="F540" s="161"/>
      <c r="G540" s="161"/>
      <c r="H540" s="161"/>
      <c r="I540" s="161"/>
      <c r="J540" s="161"/>
      <c r="K540" s="161"/>
      <c r="L540" s="161"/>
      <c r="M540" s="161"/>
      <c r="N540" s="161"/>
      <c r="O540" s="161"/>
      <c r="P540" s="161"/>
      <c r="Q540" s="161"/>
      <c r="R540" s="161"/>
      <c r="S540" s="161"/>
      <c r="T540" s="161"/>
      <c r="U540" s="161"/>
      <c r="V540" s="161"/>
      <c r="W540" s="161"/>
      <c r="X540" s="161"/>
    </row>
    <row r="541" ht="12.75" customHeight="1">
      <c r="A541" s="165">
        <v>39907.0</v>
      </c>
      <c r="B541" s="165" t="s">
        <v>11353</v>
      </c>
      <c r="C541" s="166">
        <v>45694.0</v>
      </c>
      <c r="D541" s="165" t="s">
        <v>12371</v>
      </c>
      <c r="E541" s="161"/>
      <c r="F541" s="161"/>
      <c r="G541" s="161"/>
      <c r="H541" s="161"/>
      <c r="I541" s="161"/>
      <c r="J541" s="161"/>
      <c r="K541" s="161"/>
      <c r="L541" s="161"/>
      <c r="M541" s="161"/>
      <c r="N541" s="161"/>
      <c r="O541" s="161"/>
      <c r="P541" s="161"/>
      <c r="Q541" s="161"/>
      <c r="R541" s="161"/>
      <c r="S541" s="161"/>
      <c r="T541" s="161"/>
      <c r="U541" s="161"/>
      <c r="V541" s="161"/>
      <c r="W541" s="161"/>
      <c r="X541" s="161"/>
    </row>
    <row r="542" ht="12.75" customHeight="1">
      <c r="A542" s="165">
        <v>39765.0</v>
      </c>
      <c r="B542" s="165" t="s">
        <v>11342</v>
      </c>
      <c r="C542" s="166">
        <v>45694.0</v>
      </c>
      <c r="D542" s="165" t="s">
        <v>12371</v>
      </c>
      <c r="E542" s="161"/>
      <c r="F542" s="161"/>
      <c r="G542" s="161"/>
      <c r="H542" s="161"/>
      <c r="I542" s="161"/>
      <c r="J542" s="161"/>
      <c r="K542" s="161"/>
      <c r="L542" s="161"/>
      <c r="M542" s="161"/>
      <c r="N542" s="161"/>
      <c r="O542" s="161"/>
      <c r="P542" s="161"/>
      <c r="Q542" s="161"/>
      <c r="R542" s="161"/>
      <c r="S542" s="161"/>
      <c r="T542" s="161"/>
      <c r="U542" s="161"/>
      <c r="V542" s="161"/>
      <c r="W542" s="161"/>
      <c r="X542" s="161"/>
    </row>
    <row r="543" ht="12.75" customHeight="1">
      <c r="A543" s="165">
        <v>40338.0</v>
      </c>
      <c r="B543" s="165" t="s">
        <v>11338</v>
      </c>
      <c r="C543" s="166">
        <v>45700.0</v>
      </c>
      <c r="D543" s="165" t="s">
        <v>12371</v>
      </c>
      <c r="E543" s="161"/>
      <c r="F543" s="161"/>
      <c r="G543" s="161"/>
      <c r="H543" s="161"/>
      <c r="I543" s="161"/>
      <c r="J543" s="161"/>
      <c r="K543" s="161"/>
      <c r="L543" s="161"/>
      <c r="M543" s="161"/>
      <c r="N543" s="161"/>
      <c r="O543" s="161"/>
      <c r="P543" s="161"/>
      <c r="Q543" s="161"/>
      <c r="R543" s="161"/>
      <c r="S543" s="161"/>
      <c r="T543" s="161"/>
      <c r="U543" s="161"/>
      <c r="V543" s="161"/>
      <c r="W543" s="161"/>
      <c r="X543" s="161"/>
    </row>
    <row r="544" ht="12.75" customHeight="1">
      <c r="A544" s="165">
        <v>39767.0</v>
      </c>
      <c r="B544" s="165" t="s">
        <v>11331</v>
      </c>
      <c r="C544" s="166">
        <v>45702.0</v>
      </c>
      <c r="D544" s="165" t="s">
        <v>12371</v>
      </c>
      <c r="E544" s="161"/>
      <c r="F544" s="161"/>
      <c r="G544" s="161"/>
      <c r="H544" s="161"/>
      <c r="I544" s="161"/>
      <c r="J544" s="161"/>
      <c r="K544" s="161"/>
      <c r="L544" s="161"/>
      <c r="M544" s="161"/>
      <c r="N544" s="161"/>
      <c r="O544" s="161"/>
      <c r="P544" s="161"/>
      <c r="Q544" s="161"/>
      <c r="R544" s="161"/>
      <c r="S544" s="161"/>
      <c r="T544" s="161"/>
      <c r="U544" s="161"/>
      <c r="V544" s="161"/>
      <c r="W544" s="161"/>
      <c r="X544" s="161"/>
    </row>
    <row r="545" ht="12.75" customHeight="1">
      <c r="A545" s="165">
        <v>40421.0</v>
      </c>
      <c r="B545" s="165" t="s">
        <v>11315</v>
      </c>
      <c r="C545" s="166">
        <v>45709.0</v>
      </c>
      <c r="D545" s="165" t="s">
        <v>12371</v>
      </c>
      <c r="E545" s="161"/>
      <c r="F545" s="161"/>
      <c r="G545" s="161"/>
      <c r="H545" s="161"/>
      <c r="I545" s="161"/>
      <c r="J545" s="161"/>
      <c r="K545" s="161"/>
      <c r="L545" s="161"/>
      <c r="M545" s="161"/>
      <c r="N545" s="161"/>
      <c r="O545" s="161"/>
      <c r="P545" s="161"/>
      <c r="Q545" s="161"/>
      <c r="R545" s="161"/>
      <c r="S545" s="161"/>
      <c r="T545" s="161"/>
      <c r="U545" s="161"/>
      <c r="V545" s="161"/>
      <c r="W545" s="161"/>
      <c r="X545" s="161"/>
    </row>
    <row r="546" ht="12.75" customHeight="1">
      <c r="A546" s="165">
        <v>39860.0</v>
      </c>
      <c r="B546" s="165" t="s">
        <v>11309</v>
      </c>
      <c r="C546" s="166">
        <v>45709.0</v>
      </c>
      <c r="D546" s="165" t="s">
        <v>12371</v>
      </c>
      <c r="E546" s="161"/>
      <c r="F546" s="161"/>
      <c r="G546" s="161"/>
      <c r="H546" s="161"/>
      <c r="I546" s="161"/>
      <c r="J546" s="161"/>
      <c r="K546" s="161"/>
      <c r="L546" s="161"/>
      <c r="M546" s="161"/>
      <c r="N546" s="161"/>
      <c r="O546" s="161"/>
      <c r="P546" s="161"/>
      <c r="Q546" s="161"/>
      <c r="R546" s="161"/>
      <c r="S546" s="161"/>
      <c r="T546" s="161"/>
      <c r="U546" s="161"/>
      <c r="V546" s="161"/>
      <c r="W546" s="161"/>
      <c r="X546" s="161"/>
    </row>
    <row r="547" ht="12.75" customHeight="1">
      <c r="A547" s="165">
        <v>40163.0</v>
      </c>
      <c r="B547" s="165" t="s">
        <v>11304</v>
      </c>
      <c r="C547" s="166">
        <v>45712.0</v>
      </c>
      <c r="D547" s="165" t="s">
        <v>12371</v>
      </c>
      <c r="E547" s="161"/>
      <c r="F547" s="161"/>
      <c r="G547" s="161"/>
      <c r="H547" s="161"/>
      <c r="I547" s="161"/>
      <c r="J547" s="161"/>
      <c r="K547" s="161"/>
      <c r="L547" s="161"/>
      <c r="M547" s="161"/>
      <c r="N547" s="161"/>
      <c r="O547" s="161"/>
      <c r="P547" s="161"/>
      <c r="Q547" s="161"/>
      <c r="R547" s="161"/>
      <c r="S547" s="161"/>
      <c r="T547" s="161"/>
      <c r="U547" s="161"/>
      <c r="V547" s="161"/>
      <c r="W547" s="161"/>
      <c r="X547" s="161"/>
    </row>
    <row r="548" ht="12.75" customHeight="1">
      <c r="A548" s="165">
        <v>40161.0</v>
      </c>
      <c r="B548" s="165" t="s">
        <v>11299</v>
      </c>
      <c r="C548" s="166">
        <v>45712.0</v>
      </c>
      <c r="D548" s="165" t="s">
        <v>12371</v>
      </c>
      <c r="E548" s="161"/>
      <c r="F548" s="161"/>
      <c r="G548" s="161"/>
      <c r="H548" s="161"/>
      <c r="I548" s="161"/>
      <c r="J548" s="161"/>
      <c r="K548" s="161"/>
      <c r="L548" s="161"/>
      <c r="M548" s="161"/>
      <c r="N548" s="161"/>
      <c r="O548" s="161"/>
      <c r="P548" s="161"/>
      <c r="Q548" s="161"/>
      <c r="R548" s="161"/>
      <c r="S548" s="161"/>
      <c r="T548" s="161"/>
      <c r="U548" s="161"/>
      <c r="V548" s="161"/>
      <c r="W548" s="161"/>
      <c r="X548" s="161"/>
    </row>
    <row r="549" ht="12.75" customHeight="1">
      <c r="A549" s="165">
        <v>40659.0</v>
      </c>
      <c r="B549" s="165" t="s">
        <v>11799</v>
      </c>
      <c r="C549" s="166">
        <v>45714.0</v>
      </c>
      <c r="D549" s="165" t="s">
        <v>12371</v>
      </c>
      <c r="E549" s="161"/>
      <c r="F549" s="161"/>
      <c r="G549" s="161"/>
      <c r="H549" s="161"/>
      <c r="I549" s="161"/>
      <c r="J549" s="161"/>
      <c r="K549" s="161"/>
      <c r="L549" s="161"/>
      <c r="M549" s="161"/>
      <c r="N549" s="161"/>
      <c r="O549" s="161"/>
      <c r="P549" s="161"/>
      <c r="Q549" s="161"/>
      <c r="R549" s="161"/>
      <c r="S549" s="161"/>
      <c r="T549" s="161"/>
      <c r="U549" s="161"/>
      <c r="V549" s="161"/>
      <c r="W549" s="161"/>
      <c r="X549" s="161"/>
    </row>
    <row r="550" ht="12.75" customHeight="1">
      <c r="A550" s="165">
        <v>40026.0</v>
      </c>
      <c r="B550" s="165" t="s">
        <v>11301</v>
      </c>
      <c r="C550" s="166">
        <v>45715.0</v>
      </c>
      <c r="D550" s="165" t="s">
        <v>12371</v>
      </c>
      <c r="E550" s="161"/>
      <c r="F550" s="161"/>
      <c r="G550" s="161"/>
      <c r="H550" s="161"/>
      <c r="I550" s="161"/>
      <c r="J550" s="161"/>
      <c r="K550" s="161"/>
      <c r="L550" s="161"/>
      <c r="M550" s="161"/>
      <c r="N550" s="161"/>
      <c r="O550" s="161"/>
      <c r="P550" s="161"/>
      <c r="Q550" s="161"/>
      <c r="R550" s="161"/>
      <c r="S550" s="161"/>
      <c r="T550" s="161"/>
      <c r="U550" s="161"/>
      <c r="V550" s="161"/>
      <c r="W550" s="161"/>
      <c r="X550" s="161"/>
    </row>
    <row r="551" ht="12.75" customHeight="1">
      <c r="A551" s="165">
        <v>40587.0</v>
      </c>
      <c r="B551" s="165" t="s">
        <v>11791</v>
      </c>
      <c r="C551" s="166">
        <v>45716.0</v>
      </c>
      <c r="D551" s="165" t="s">
        <v>12371</v>
      </c>
      <c r="E551" s="161"/>
      <c r="F551" s="161"/>
      <c r="G551" s="161"/>
      <c r="H551" s="161"/>
      <c r="I551" s="161"/>
      <c r="J551" s="161"/>
      <c r="K551" s="161"/>
      <c r="L551" s="161"/>
      <c r="M551" s="161"/>
      <c r="N551" s="161"/>
      <c r="O551" s="161"/>
      <c r="P551" s="161"/>
      <c r="Q551" s="161"/>
      <c r="R551" s="161"/>
      <c r="S551" s="161"/>
      <c r="T551" s="161"/>
      <c r="U551" s="161"/>
      <c r="V551" s="161"/>
      <c r="W551" s="161"/>
      <c r="X551" s="161"/>
    </row>
    <row r="552" ht="12.75" customHeight="1">
      <c r="A552" s="165">
        <v>40168.0</v>
      </c>
      <c r="B552" s="165" t="s">
        <v>11285</v>
      </c>
      <c r="C552" s="166">
        <v>45721.0</v>
      </c>
      <c r="D552" s="165" t="s">
        <v>12371</v>
      </c>
      <c r="E552" s="161"/>
      <c r="F552" s="161"/>
      <c r="G552" s="161"/>
      <c r="H552" s="161"/>
      <c r="I552" s="161"/>
      <c r="J552" s="161"/>
      <c r="K552" s="161"/>
      <c r="L552" s="161"/>
      <c r="M552" s="161"/>
      <c r="N552" s="161"/>
      <c r="O552" s="161"/>
      <c r="P552" s="161"/>
      <c r="Q552" s="161"/>
      <c r="R552" s="161"/>
      <c r="S552" s="161"/>
      <c r="T552" s="161"/>
      <c r="U552" s="161"/>
      <c r="V552" s="161"/>
      <c r="W552" s="161"/>
      <c r="X552" s="161"/>
    </row>
    <row r="553" ht="12.75" customHeight="1">
      <c r="A553" s="165">
        <v>40159.0</v>
      </c>
      <c r="B553" s="165" t="s">
        <v>11282</v>
      </c>
      <c r="C553" s="166">
        <v>45721.0</v>
      </c>
      <c r="D553" s="165" t="s">
        <v>12371</v>
      </c>
      <c r="E553" s="161"/>
      <c r="F553" s="161"/>
      <c r="G553" s="161"/>
      <c r="H553" s="161"/>
      <c r="I553" s="161"/>
      <c r="J553" s="161"/>
      <c r="K553" s="161"/>
      <c r="L553" s="161"/>
      <c r="M553" s="161"/>
      <c r="N553" s="161"/>
      <c r="O553" s="161"/>
      <c r="P553" s="161"/>
      <c r="Q553" s="161"/>
      <c r="R553" s="161"/>
      <c r="S553" s="161"/>
      <c r="T553" s="161"/>
      <c r="U553" s="161"/>
      <c r="V553" s="161"/>
      <c r="W553" s="161"/>
      <c r="X553" s="161"/>
    </row>
    <row r="554" ht="12.75" customHeight="1">
      <c r="A554" s="165">
        <v>40158.0</v>
      </c>
      <c r="B554" s="165" t="s">
        <v>11271</v>
      </c>
      <c r="C554" s="166">
        <v>45726.0</v>
      </c>
      <c r="D554" s="165" t="s">
        <v>12371</v>
      </c>
      <c r="E554" s="161"/>
      <c r="F554" s="161"/>
      <c r="G554" s="161"/>
      <c r="H554" s="161"/>
      <c r="I554" s="161"/>
      <c r="J554" s="161"/>
      <c r="K554" s="161"/>
      <c r="L554" s="161"/>
      <c r="M554" s="161"/>
      <c r="N554" s="161"/>
      <c r="O554" s="161"/>
      <c r="P554" s="161"/>
      <c r="Q554" s="161"/>
      <c r="R554" s="161"/>
      <c r="S554" s="161"/>
      <c r="T554" s="161"/>
      <c r="U554" s="161"/>
      <c r="V554" s="161"/>
      <c r="W554" s="161"/>
      <c r="X554" s="161"/>
    </row>
    <row r="555" ht="12.75" customHeight="1">
      <c r="A555" s="165">
        <v>40167.0</v>
      </c>
      <c r="B555" s="165" t="s">
        <v>11269</v>
      </c>
      <c r="C555" s="166">
        <v>45726.0</v>
      </c>
      <c r="D555" s="165" t="s">
        <v>12371</v>
      </c>
      <c r="E555" s="161"/>
      <c r="F555" s="161"/>
      <c r="G555" s="161"/>
      <c r="H555" s="161"/>
      <c r="I555" s="161"/>
      <c r="J555" s="161"/>
      <c r="K555" s="161"/>
      <c r="L555" s="161"/>
      <c r="M555" s="161"/>
      <c r="N555" s="161"/>
      <c r="O555" s="161"/>
      <c r="P555" s="161"/>
      <c r="Q555" s="161"/>
      <c r="R555" s="161"/>
      <c r="S555" s="161"/>
      <c r="T555" s="161"/>
      <c r="U555" s="161"/>
      <c r="V555" s="161"/>
      <c r="W555" s="161"/>
      <c r="X555" s="161"/>
    </row>
    <row r="556" ht="12.75" customHeight="1">
      <c r="A556" s="165">
        <v>40588.0</v>
      </c>
      <c r="B556" s="165" t="s">
        <v>11777</v>
      </c>
      <c r="C556" s="166">
        <v>45727.0</v>
      </c>
      <c r="D556" s="165" t="s">
        <v>12371</v>
      </c>
      <c r="E556" s="161"/>
      <c r="F556" s="161"/>
      <c r="G556" s="161"/>
      <c r="H556" s="161"/>
      <c r="I556" s="161"/>
      <c r="J556" s="161"/>
      <c r="K556" s="161"/>
      <c r="L556" s="161"/>
      <c r="M556" s="161"/>
      <c r="N556" s="161"/>
      <c r="O556" s="161"/>
      <c r="P556" s="161"/>
      <c r="Q556" s="161"/>
      <c r="R556" s="161"/>
      <c r="S556" s="161"/>
      <c r="T556" s="161"/>
      <c r="U556" s="161"/>
      <c r="V556" s="161"/>
      <c r="W556" s="161"/>
      <c r="X556" s="161"/>
    </row>
    <row r="557" ht="12.75" customHeight="1">
      <c r="A557" s="165">
        <v>40779.0</v>
      </c>
      <c r="B557" s="165" t="s">
        <v>11773</v>
      </c>
      <c r="C557" s="166">
        <v>45733.0</v>
      </c>
      <c r="D557" s="165" t="s">
        <v>12371</v>
      </c>
      <c r="E557" s="161"/>
      <c r="F557" s="161"/>
      <c r="G557" s="161"/>
      <c r="H557" s="161"/>
      <c r="I557" s="161"/>
      <c r="J557" s="161"/>
      <c r="K557" s="161"/>
      <c r="L557" s="161"/>
      <c r="M557" s="161"/>
      <c r="N557" s="161"/>
      <c r="O557" s="161"/>
      <c r="P557" s="161"/>
      <c r="Q557" s="161"/>
      <c r="R557" s="161"/>
      <c r="S557" s="161"/>
      <c r="T557" s="161"/>
      <c r="U557" s="161"/>
      <c r="V557" s="161"/>
      <c r="W557" s="161"/>
      <c r="X557" s="161"/>
    </row>
    <row r="558" ht="12.75" customHeight="1">
      <c r="A558" s="165">
        <v>40424.0</v>
      </c>
      <c r="B558" s="165" t="s">
        <v>11255</v>
      </c>
      <c r="C558" s="166">
        <v>45733.0</v>
      </c>
      <c r="D558" s="165" t="s">
        <v>12371</v>
      </c>
      <c r="E558" s="161"/>
      <c r="F558" s="161"/>
      <c r="G558" s="161"/>
      <c r="H558" s="161"/>
      <c r="I558" s="161"/>
      <c r="J558" s="161"/>
      <c r="K558" s="161"/>
      <c r="L558" s="161"/>
      <c r="M558" s="161"/>
      <c r="N558" s="161"/>
      <c r="O558" s="161"/>
      <c r="P558" s="161"/>
      <c r="Q558" s="161"/>
      <c r="R558" s="161"/>
      <c r="S558" s="161"/>
      <c r="T558" s="161"/>
      <c r="U558" s="161"/>
      <c r="V558" s="161"/>
      <c r="W558" s="161"/>
      <c r="X558" s="161"/>
    </row>
    <row r="559" ht="12.75" customHeight="1">
      <c r="A559" s="165">
        <v>40326.0</v>
      </c>
      <c r="B559" s="165" t="s">
        <v>11253</v>
      </c>
      <c r="C559" s="166">
        <v>45733.0</v>
      </c>
      <c r="D559" s="165" t="s">
        <v>12371</v>
      </c>
      <c r="E559" s="161"/>
      <c r="F559" s="161"/>
      <c r="G559" s="161"/>
      <c r="H559" s="161"/>
      <c r="I559" s="161"/>
      <c r="J559" s="161"/>
      <c r="K559" s="161"/>
      <c r="L559" s="161"/>
      <c r="M559" s="161"/>
      <c r="N559" s="161"/>
      <c r="O559" s="161"/>
      <c r="P559" s="161"/>
      <c r="Q559" s="161"/>
      <c r="R559" s="161"/>
      <c r="S559" s="161"/>
      <c r="T559" s="161"/>
      <c r="U559" s="161"/>
      <c r="V559" s="161"/>
      <c r="W559" s="161"/>
      <c r="X559" s="161"/>
    </row>
    <row r="560" ht="12.75" customHeight="1">
      <c r="A560" s="165">
        <v>40173.0</v>
      </c>
      <c r="B560" s="165" t="s">
        <v>11251</v>
      </c>
      <c r="C560" s="166">
        <v>45733.0</v>
      </c>
      <c r="D560" s="165" t="s">
        <v>12371</v>
      </c>
      <c r="E560" s="161"/>
      <c r="F560" s="161"/>
      <c r="G560" s="161"/>
      <c r="H560" s="161"/>
      <c r="I560" s="161"/>
      <c r="J560" s="161"/>
      <c r="K560" s="161"/>
      <c r="L560" s="161"/>
      <c r="M560" s="161"/>
      <c r="N560" s="161"/>
      <c r="O560" s="161"/>
      <c r="P560" s="161"/>
      <c r="Q560" s="161"/>
      <c r="R560" s="161"/>
      <c r="S560" s="161"/>
      <c r="T560" s="161"/>
      <c r="U560" s="161"/>
      <c r="V560" s="161"/>
      <c r="W560" s="161"/>
      <c r="X560" s="161"/>
    </row>
    <row r="561" ht="12.75" customHeight="1">
      <c r="A561" s="165">
        <v>40217.0</v>
      </c>
      <c r="B561" s="165" t="s">
        <v>11242</v>
      </c>
      <c r="C561" s="166">
        <v>45733.0</v>
      </c>
      <c r="D561" s="165" t="s">
        <v>12371</v>
      </c>
      <c r="E561" s="161"/>
      <c r="F561" s="161"/>
      <c r="G561" s="161"/>
      <c r="H561" s="161"/>
      <c r="I561" s="161"/>
      <c r="J561" s="161"/>
      <c r="K561" s="161"/>
      <c r="L561" s="161"/>
      <c r="M561" s="161"/>
      <c r="N561" s="161"/>
      <c r="O561" s="161"/>
      <c r="P561" s="161"/>
      <c r="Q561" s="161"/>
      <c r="R561" s="161"/>
      <c r="S561" s="161"/>
      <c r="T561" s="161"/>
      <c r="U561" s="161"/>
      <c r="V561" s="161"/>
      <c r="W561" s="161"/>
      <c r="X561" s="161"/>
    </row>
    <row r="562" ht="12.75" customHeight="1">
      <c r="A562" s="165">
        <v>39652.0</v>
      </c>
      <c r="B562" s="165" t="s">
        <v>11235</v>
      </c>
      <c r="C562" s="166">
        <v>45736.0</v>
      </c>
      <c r="D562" s="165" t="s">
        <v>12371</v>
      </c>
      <c r="E562" s="161"/>
      <c r="F562" s="161"/>
      <c r="G562" s="161"/>
      <c r="H562" s="161"/>
      <c r="I562" s="161"/>
      <c r="J562" s="161"/>
      <c r="K562" s="161"/>
      <c r="L562" s="161"/>
      <c r="M562" s="161"/>
      <c r="N562" s="161"/>
      <c r="O562" s="161"/>
      <c r="P562" s="161"/>
      <c r="Q562" s="161"/>
      <c r="R562" s="161"/>
      <c r="S562" s="161"/>
      <c r="T562" s="161"/>
      <c r="U562" s="161"/>
      <c r="V562" s="161"/>
      <c r="W562" s="161"/>
      <c r="X562" s="161"/>
    </row>
    <row r="563" ht="12.75" customHeight="1">
      <c r="A563" s="165">
        <v>40783.0</v>
      </c>
      <c r="B563" s="165" t="s">
        <v>11768</v>
      </c>
      <c r="C563" s="166">
        <v>45740.0</v>
      </c>
      <c r="D563" s="165" t="s">
        <v>12371</v>
      </c>
      <c r="E563" s="161"/>
      <c r="F563" s="161"/>
      <c r="G563" s="161"/>
      <c r="H563" s="161"/>
      <c r="I563" s="161"/>
      <c r="J563" s="161"/>
      <c r="K563" s="161"/>
      <c r="L563" s="161"/>
      <c r="M563" s="161"/>
      <c r="N563" s="161"/>
      <c r="O563" s="161"/>
      <c r="P563" s="161"/>
      <c r="Q563" s="161"/>
      <c r="R563" s="161"/>
      <c r="S563" s="161"/>
      <c r="T563" s="161"/>
      <c r="U563" s="161"/>
      <c r="V563" s="161"/>
      <c r="W563" s="161"/>
      <c r="X563" s="161"/>
    </row>
    <row r="564" ht="12.75" customHeight="1">
      <c r="A564" s="165">
        <v>40663.0</v>
      </c>
      <c r="B564" s="165" t="s">
        <v>11756</v>
      </c>
      <c r="C564" s="166">
        <v>45741.0</v>
      </c>
      <c r="D564" s="165" t="s">
        <v>12371</v>
      </c>
      <c r="E564" s="161"/>
      <c r="F564" s="161"/>
      <c r="G564" s="161"/>
      <c r="H564" s="161"/>
      <c r="I564" s="161"/>
      <c r="J564" s="161"/>
      <c r="K564" s="161"/>
      <c r="L564" s="161"/>
      <c r="M564" s="161"/>
      <c r="N564" s="161"/>
      <c r="O564" s="161"/>
      <c r="P564" s="161"/>
      <c r="Q564" s="161"/>
      <c r="R564" s="161"/>
      <c r="S564" s="161"/>
      <c r="T564" s="161"/>
      <c r="U564" s="161"/>
      <c r="V564" s="161"/>
      <c r="W564" s="161"/>
      <c r="X564" s="161"/>
    </row>
    <row r="565" ht="12.75" customHeight="1">
      <c r="A565" s="165">
        <v>40249.0</v>
      </c>
      <c r="B565" s="165" t="s">
        <v>11215</v>
      </c>
      <c r="C565" s="166">
        <v>45747.0</v>
      </c>
      <c r="D565" s="165" t="s">
        <v>12371</v>
      </c>
      <c r="E565" s="161"/>
      <c r="F565" s="161"/>
      <c r="G565" s="161"/>
      <c r="H565" s="161"/>
      <c r="I565" s="161"/>
      <c r="J565" s="161"/>
      <c r="K565" s="161"/>
      <c r="L565" s="161"/>
      <c r="M565" s="161"/>
      <c r="N565" s="161"/>
      <c r="O565" s="161"/>
      <c r="P565" s="161"/>
      <c r="Q565" s="161"/>
      <c r="R565" s="161"/>
      <c r="S565" s="161"/>
      <c r="T565" s="161"/>
      <c r="U565" s="161"/>
      <c r="V565" s="161"/>
      <c r="W565" s="161"/>
      <c r="X565" s="161"/>
    </row>
    <row r="566" ht="12.75" customHeight="1">
      <c r="A566" s="165">
        <v>40570.0</v>
      </c>
      <c r="B566" s="165" t="s">
        <v>11213</v>
      </c>
      <c r="C566" s="166">
        <v>45747.0</v>
      </c>
      <c r="D566" s="165" t="s">
        <v>12371</v>
      </c>
      <c r="E566" s="161"/>
      <c r="F566" s="161"/>
      <c r="G566" s="161"/>
      <c r="H566" s="161"/>
      <c r="I566" s="161"/>
      <c r="J566" s="161"/>
      <c r="K566" s="161"/>
      <c r="L566" s="161"/>
      <c r="M566" s="161"/>
      <c r="N566" s="161"/>
      <c r="O566" s="161"/>
      <c r="P566" s="161"/>
      <c r="Q566" s="161"/>
      <c r="R566" s="161"/>
      <c r="S566" s="161"/>
      <c r="T566" s="161"/>
      <c r="U566" s="161"/>
      <c r="V566" s="161"/>
      <c r="W566" s="161"/>
      <c r="X566" s="161"/>
    </row>
    <row r="567" ht="12.75" customHeight="1">
      <c r="A567" s="165">
        <v>40472.0</v>
      </c>
      <c r="B567" s="165" t="s">
        <v>11193</v>
      </c>
      <c r="C567" s="166">
        <v>45747.0</v>
      </c>
      <c r="D567" s="165" t="s">
        <v>12371</v>
      </c>
      <c r="E567" s="161"/>
      <c r="F567" s="161"/>
      <c r="G567" s="161"/>
      <c r="H567" s="161"/>
      <c r="I567" s="161"/>
      <c r="J567" s="161"/>
      <c r="K567" s="161"/>
      <c r="L567" s="161"/>
      <c r="M567" s="161"/>
      <c r="N567" s="161"/>
      <c r="O567" s="161"/>
      <c r="P567" s="161"/>
      <c r="Q567" s="161"/>
      <c r="R567" s="161"/>
      <c r="S567" s="161"/>
      <c r="T567" s="161"/>
      <c r="U567" s="161"/>
      <c r="V567" s="161"/>
      <c r="W567" s="161"/>
      <c r="X567" s="161"/>
    </row>
    <row r="568" ht="12.75" customHeight="1">
      <c r="A568" s="165">
        <v>40501.0</v>
      </c>
      <c r="B568" s="165" t="s">
        <v>11201</v>
      </c>
      <c r="C568" s="166">
        <v>45751.0</v>
      </c>
      <c r="D568" s="165" t="s">
        <v>12371</v>
      </c>
      <c r="E568" s="161"/>
      <c r="F568" s="161"/>
      <c r="G568" s="161"/>
      <c r="H568" s="161"/>
      <c r="I568" s="161"/>
      <c r="J568" s="161"/>
      <c r="K568" s="161"/>
      <c r="L568" s="161"/>
      <c r="M568" s="161"/>
      <c r="N568" s="161"/>
      <c r="O568" s="161"/>
      <c r="P568" s="161"/>
      <c r="Q568" s="161"/>
      <c r="R568" s="161"/>
      <c r="S568" s="161"/>
      <c r="T568" s="161"/>
      <c r="U568" s="161"/>
      <c r="V568" s="161"/>
      <c r="W568" s="161"/>
      <c r="X568" s="161"/>
    </row>
    <row r="569" ht="12.75" customHeight="1">
      <c r="A569" s="165">
        <v>40545.0</v>
      </c>
      <c r="B569" s="165" t="s">
        <v>11197</v>
      </c>
      <c r="C569" s="166">
        <v>45751.0</v>
      </c>
      <c r="D569" s="165" t="s">
        <v>12371</v>
      </c>
      <c r="E569" s="161"/>
      <c r="F569" s="161"/>
      <c r="G569" s="161"/>
      <c r="H569" s="161"/>
      <c r="I569" s="161"/>
      <c r="J569" s="161"/>
      <c r="K569" s="161"/>
      <c r="L569" s="161"/>
      <c r="M569" s="161"/>
      <c r="N569" s="161"/>
      <c r="O569" s="161"/>
      <c r="P569" s="161"/>
      <c r="Q569" s="161"/>
      <c r="R569" s="161"/>
      <c r="S569" s="161"/>
      <c r="T569" s="161"/>
      <c r="U569" s="161"/>
      <c r="V569" s="161"/>
      <c r="W569" s="161"/>
      <c r="X569" s="161"/>
    </row>
    <row r="570" ht="12.75" customHeight="1">
      <c r="A570" s="165">
        <v>40250.0</v>
      </c>
      <c r="B570" s="165" t="s">
        <v>11174</v>
      </c>
      <c r="C570" s="166">
        <v>45756.0</v>
      </c>
      <c r="D570" s="165" t="s">
        <v>12371</v>
      </c>
      <c r="E570" s="161"/>
      <c r="F570" s="161"/>
      <c r="G570" s="161"/>
      <c r="H570" s="161"/>
      <c r="I570" s="161"/>
      <c r="J570" s="161"/>
      <c r="K570" s="161"/>
      <c r="L570" s="161"/>
      <c r="M570" s="161"/>
      <c r="N570" s="161"/>
      <c r="O570" s="161"/>
      <c r="P570" s="161"/>
      <c r="Q570" s="161"/>
      <c r="R570" s="161"/>
      <c r="S570" s="161"/>
      <c r="T570" s="161"/>
      <c r="U570" s="161"/>
      <c r="V570" s="161"/>
      <c r="W570" s="161"/>
      <c r="X570" s="161"/>
    </row>
    <row r="571" ht="12.75" customHeight="1">
      <c r="A571" s="165">
        <v>40829.0</v>
      </c>
      <c r="B571" s="165" t="s">
        <v>11744</v>
      </c>
      <c r="C571" s="166">
        <v>45756.0</v>
      </c>
      <c r="D571" s="165" t="s">
        <v>12371</v>
      </c>
      <c r="E571" s="161"/>
      <c r="F571" s="161"/>
      <c r="G571" s="161"/>
      <c r="H571" s="161"/>
      <c r="I571" s="161"/>
      <c r="J571" s="161"/>
      <c r="K571" s="161"/>
      <c r="L571" s="161"/>
      <c r="M571" s="161"/>
      <c r="N571" s="161"/>
      <c r="O571" s="161"/>
      <c r="P571" s="161"/>
      <c r="Q571" s="161"/>
      <c r="R571" s="161"/>
      <c r="S571" s="161"/>
      <c r="T571" s="161"/>
      <c r="U571" s="161"/>
      <c r="V571" s="161"/>
      <c r="W571" s="161"/>
      <c r="X571" s="161"/>
    </row>
    <row r="572" ht="12.75" customHeight="1">
      <c r="A572" s="165">
        <v>40827.0</v>
      </c>
      <c r="B572" s="165" t="s">
        <v>11737</v>
      </c>
      <c r="C572" s="166">
        <v>45764.0</v>
      </c>
      <c r="D572" s="165" t="s">
        <v>12371</v>
      </c>
      <c r="E572" s="161"/>
      <c r="F572" s="161"/>
      <c r="G572" s="161"/>
      <c r="H572" s="161"/>
      <c r="I572" s="161"/>
      <c r="J572" s="161"/>
      <c r="K572" s="161"/>
      <c r="L572" s="161"/>
      <c r="M572" s="161"/>
      <c r="N572" s="161"/>
      <c r="O572" s="161"/>
      <c r="P572" s="161"/>
      <c r="Q572" s="161"/>
      <c r="R572" s="161"/>
      <c r="S572" s="161"/>
      <c r="T572" s="161"/>
      <c r="U572" s="161"/>
      <c r="V572" s="161"/>
      <c r="W572" s="161"/>
      <c r="X572" s="161"/>
    </row>
    <row r="573" ht="12.75" customHeight="1">
      <c r="A573" s="165">
        <v>40328.0</v>
      </c>
      <c r="B573" s="165" t="s">
        <v>11159</v>
      </c>
      <c r="C573" s="166">
        <v>45768.0</v>
      </c>
      <c r="D573" s="165" t="s">
        <v>12371</v>
      </c>
      <c r="E573" s="161"/>
      <c r="F573" s="161"/>
      <c r="G573" s="161"/>
      <c r="H573" s="161"/>
      <c r="I573" s="161"/>
      <c r="J573" s="161"/>
      <c r="K573" s="161"/>
      <c r="L573" s="161"/>
      <c r="M573" s="161"/>
      <c r="N573" s="161"/>
      <c r="O573" s="161"/>
      <c r="P573" s="161"/>
      <c r="Q573" s="161"/>
      <c r="R573" s="161"/>
      <c r="S573" s="161"/>
      <c r="T573" s="161"/>
      <c r="U573" s="161"/>
      <c r="V573" s="161"/>
      <c r="W573" s="161"/>
      <c r="X573" s="161"/>
    </row>
    <row r="574" ht="12.75" customHeight="1">
      <c r="A574" s="165">
        <v>40350.0</v>
      </c>
      <c r="B574" s="165" t="s">
        <v>11150</v>
      </c>
      <c r="C574" s="166">
        <v>45768.0</v>
      </c>
      <c r="D574" s="165" t="s">
        <v>12371</v>
      </c>
      <c r="E574" s="161"/>
      <c r="F574" s="161"/>
      <c r="G574" s="161"/>
      <c r="H574" s="161"/>
      <c r="I574" s="161"/>
      <c r="J574" s="161"/>
      <c r="K574" s="161"/>
      <c r="L574" s="161"/>
      <c r="M574" s="161"/>
      <c r="N574" s="161"/>
      <c r="O574" s="161"/>
      <c r="P574" s="161"/>
      <c r="Q574" s="161"/>
      <c r="R574" s="161"/>
      <c r="S574" s="161"/>
      <c r="T574" s="161"/>
      <c r="U574" s="161"/>
      <c r="V574" s="161"/>
      <c r="W574" s="161"/>
      <c r="X574" s="161"/>
    </row>
    <row r="575" ht="12.75" customHeight="1">
      <c r="A575" s="165">
        <v>40900.0</v>
      </c>
      <c r="B575" s="165" t="s">
        <v>11734</v>
      </c>
      <c r="C575" s="166">
        <v>45770.0</v>
      </c>
      <c r="D575" s="165" t="s">
        <v>12371</v>
      </c>
      <c r="E575" s="161"/>
      <c r="F575" s="161"/>
      <c r="G575" s="161"/>
      <c r="H575" s="161"/>
      <c r="I575" s="161"/>
      <c r="J575" s="161"/>
      <c r="K575" s="161"/>
      <c r="L575" s="161"/>
      <c r="M575" s="161"/>
      <c r="N575" s="161"/>
      <c r="O575" s="161"/>
      <c r="P575" s="161"/>
      <c r="Q575" s="161"/>
      <c r="R575" s="161"/>
      <c r="S575" s="161"/>
      <c r="T575" s="161"/>
      <c r="U575" s="161"/>
      <c r="V575" s="161"/>
      <c r="W575" s="161"/>
      <c r="X575" s="161"/>
    </row>
    <row r="576" ht="12.75" customHeight="1">
      <c r="A576" s="165">
        <v>40443.0</v>
      </c>
      <c r="B576" s="165" t="s">
        <v>11139</v>
      </c>
      <c r="C576" s="259">
        <v>45776.0</v>
      </c>
      <c r="D576" s="165" t="s">
        <v>12371</v>
      </c>
      <c r="E576" s="161"/>
      <c r="F576" s="161"/>
      <c r="G576" s="161"/>
      <c r="H576" s="161"/>
      <c r="I576" s="161"/>
      <c r="J576" s="161"/>
      <c r="K576" s="161"/>
      <c r="L576" s="161"/>
      <c r="M576" s="161"/>
      <c r="N576" s="161"/>
      <c r="O576" s="161"/>
      <c r="P576" s="161"/>
      <c r="Q576" s="161"/>
      <c r="R576" s="161"/>
      <c r="S576" s="161"/>
      <c r="T576" s="161"/>
      <c r="U576" s="161"/>
      <c r="V576" s="161"/>
      <c r="W576" s="161"/>
      <c r="X576" s="161"/>
    </row>
    <row r="577" ht="12.75" customHeight="1">
      <c r="A577" s="165">
        <v>40444.0</v>
      </c>
      <c r="B577" s="165" t="s">
        <v>11137</v>
      </c>
      <c r="C577" s="259">
        <v>45776.0</v>
      </c>
      <c r="D577" s="165" t="s">
        <v>12371</v>
      </c>
      <c r="E577" s="161"/>
      <c r="F577" s="161"/>
      <c r="G577" s="161"/>
      <c r="H577" s="161"/>
      <c r="I577" s="161"/>
      <c r="J577" s="161"/>
      <c r="K577" s="161"/>
      <c r="L577" s="161"/>
      <c r="M577" s="161"/>
      <c r="N577" s="161"/>
      <c r="O577" s="161"/>
      <c r="P577" s="161"/>
      <c r="Q577" s="161"/>
      <c r="R577" s="161"/>
      <c r="S577" s="161"/>
      <c r="T577" s="161"/>
      <c r="U577" s="161"/>
      <c r="V577" s="161"/>
      <c r="W577" s="161"/>
      <c r="X577" s="161"/>
    </row>
    <row r="578" ht="12.75" customHeight="1">
      <c r="A578" s="165">
        <v>40445.0</v>
      </c>
      <c r="B578" s="165" t="s">
        <v>11128</v>
      </c>
      <c r="C578" s="259">
        <v>45782.0</v>
      </c>
      <c r="D578" s="165" t="s">
        <v>12371</v>
      </c>
      <c r="E578" s="161"/>
      <c r="F578" s="161"/>
      <c r="G578" s="161"/>
      <c r="H578" s="161"/>
      <c r="I578" s="161"/>
      <c r="J578" s="161"/>
      <c r="K578" s="161"/>
      <c r="L578" s="161"/>
      <c r="M578" s="161"/>
      <c r="N578" s="161"/>
      <c r="O578" s="161"/>
      <c r="P578" s="161"/>
      <c r="Q578" s="161"/>
      <c r="R578" s="161"/>
      <c r="S578" s="161"/>
      <c r="T578" s="161"/>
      <c r="U578" s="161"/>
      <c r="V578" s="161"/>
      <c r="W578" s="161"/>
      <c r="X578" s="161"/>
    </row>
    <row r="579" ht="12.75" customHeight="1">
      <c r="A579" s="165">
        <v>40502.0</v>
      </c>
      <c r="B579" s="165" t="s">
        <v>11123</v>
      </c>
      <c r="C579" s="259">
        <v>45782.0</v>
      </c>
      <c r="D579" s="165" t="s">
        <v>12371</v>
      </c>
      <c r="E579" s="161"/>
      <c r="F579" s="161"/>
      <c r="G579" s="161"/>
      <c r="H579" s="161"/>
      <c r="I579" s="161"/>
      <c r="J579" s="161"/>
      <c r="K579" s="161"/>
      <c r="L579" s="161"/>
      <c r="M579" s="161"/>
      <c r="N579" s="161"/>
      <c r="O579" s="161"/>
      <c r="P579" s="161"/>
      <c r="Q579" s="161"/>
      <c r="R579" s="161"/>
      <c r="S579" s="161"/>
      <c r="T579" s="161"/>
      <c r="U579" s="161"/>
      <c r="V579" s="161"/>
      <c r="W579" s="161"/>
      <c r="X579" s="161"/>
    </row>
    <row r="580" ht="12.75" customHeight="1">
      <c r="A580" s="165">
        <v>40330.0</v>
      </c>
      <c r="B580" s="165" t="s">
        <v>11116</v>
      </c>
      <c r="C580" s="259">
        <v>45785.0</v>
      </c>
      <c r="D580" s="165" t="s">
        <v>12371</v>
      </c>
      <c r="E580" s="161"/>
      <c r="F580" s="161"/>
      <c r="G580" s="161"/>
      <c r="H580" s="161"/>
      <c r="I580" s="161"/>
      <c r="J580" s="161"/>
      <c r="K580" s="161"/>
      <c r="L580" s="161"/>
      <c r="M580" s="161"/>
      <c r="N580" s="161"/>
      <c r="O580" s="161"/>
      <c r="P580" s="161"/>
      <c r="Q580" s="161"/>
      <c r="R580" s="161"/>
      <c r="S580" s="161"/>
      <c r="T580" s="161"/>
      <c r="U580" s="161"/>
      <c r="V580" s="161"/>
      <c r="W580" s="161"/>
      <c r="X580" s="161"/>
    </row>
    <row r="581" ht="12.75" customHeight="1">
      <c r="A581" s="165">
        <v>40935.0</v>
      </c>
      <c r="B581" s="165" t="s">
        <v>11719</v>
      </c>
      <c r="C581" s="166">
        <v>45790.0</v>
      </c>
      <c r="D581" s="165" t="s">
        <v>12371</v>
      </c>
      <c r="E581" s="161"/>
      <c r="F581" s="161"/>
      <c r="G581" s="161"/>
      <c r="H581" s="161"/>
      <c r="I581" s="161"/>
      <c r="J581" s="161"/>
      <c r="K581" s="161"/>
      <c r="L581" s="161"/>
      <c r="M581" s="161"/>
      <c r="N581" s="161"/>
      <c r="O581" s="161"/>
      <c r="P581" s="161"/>
      <c r="Q581" s="161"/>
      <c r="R581" s="161"/>
      <c r="S581" s="161"/>
      <c r="T581" s="161"/>
      <c r="U581" s="161"/>
      <c r="V581" s="161"/>
      <c r="W581" s="161"/>
      <c r="X581" s="161"/>
    </row>
    <row r="582" ht="12.75" customHeight="1">
      <c r="A582" s="165">
        <v>40433.0</v>
      </c>
      <c r="B582" s="165" t="s">
        <v>11103</v>
      </c>
      <c r="C582" s="166">
        <v>45792.0</v>
      </c>
      <c r="D582" s="165" t="s">
        <v>12371</v>
      </c>
      <c r="E582" s="161"/>
      <c r="F582" s="161"/>
      <c r="G582" s="161"/>
      <c r="H582" s="161"/>
      <c r="I582" s="161"/>
      <c r="J582" s="161"/>
      <c r="K582" s="161"/>
      <c r="L582" s="161"/>
      <c r="M582" s="161"/>
      <c r="N582" s="161"/>
      <c r="O582" s="161"/>
      <c r="P582" s="161"/>
      <c r="Q582" s="161"/>
      <c r="R582" s="161"/>
      <c r="S582" s="161"/>
      <c r="T582" s="161"/>
      <c r="U582" s="161"/>
      <c r="V582" s="161"/>
      <c r="W582" s="161"/>
      <c r="X582" s="161"/>
    </row>
    <row r="583" ht="12.75" customHeight="1">
      <c r="A583" s="165">
        <v>40434.0</v>
      </c>
      <c r="B583" s="165" t="s">
        <v>11101</v>
      </c>
      <c r="C583" s="166">
        <v>45792.0</v>
      </c>
      <c r="D583" s="165" t="s">
        <v>12371</v>
      </c>
      <c r="E583" s="161"/>
      <c r="F583" s="161"/>
      <c r="G583" s="161"/>
      <c r="H583" s="161"/>
      <c r="I583" s="161"/>
      <c r="J583" s="161"/>
      <c r="K583" s="161"/>
      <c r="L583" s="161"/>
      <c r="M583" s="161"/>
      <c r="N583" s="161"/>
      <c r="O583" s="161"/>
      <c r="P583" s="161"/>
      <c r="Q583" s="161"/>
      <c r="R583" s="161"/>
      <c r="S583" s="161"/>
      <c r="T583" s="161"/>
      <c r="U583" s="161"/>
      <c r="V583" s="161"/>
      <c r="W583" s="161"/>
      <c r="X583" s="161"/>
    </row>
    <row r="584" ht="12.75" customHeight="1">
      <c r="A584" s="165">
        <v>40435.0</v>
      </c>
      <c r="B584" s="165" t="s">
        <v>11099</v>
      </c>
      <c r="C584" s="166">
        <v>45792.0</v>
      </c>
      <c r="D584" s="165" t="s">
        <v>12371</v>
      </c>
      <c r="E584" s="161"/>
      <c r="F584" s="161"/>
      <c r="G584" s="161"/>
      <c r="H584" s="161"/>
      <c r="I584" s="161"/>
      <c r="J584" s="161"/>
      <c r="K584" s="161"/>
      <c r="L584" s="161"/>
      <c r="M584" s="161"/>
      <c r="N584" s="161"/>
      <c r="O584" s="161"/>
      <c r="P584" s="161"/>
      <c r="Q584" s="161"/>
      <c r="R584" s="161"/>
      <c r="S584" s="161"/>
      <c r="T584" s="161"/>
      <c r="U584" s="161"/>
      <c r="V584" s="161"/>
      <c r="W584" s="161"/>
      <c r="X584" s="161"/>
    </row>
    <row r="585" ht="12.75" customHeight="1">
      <c r="A585" s="165">
        <v>40613.0</v>
      </c>
      <c r="B585" s="165" t="s">
        <v>11091</v>
      </c>
      <c r="C585" s="166">
        <v>45806.0</v>
      </c>
      <c r="D585" s="165" t="s">
        <v>12371</v>
      </c>
      <c r="E585" s="161"/>
      <c r="F585" s="161"/>
      <c r="G585" s="161"/>
      <c r="H585" s="161"/>
      <c r="I585" s="161"/>
      <c r="J585" s="161"/>
      <c r="K585" s="161"/>
      <c r="L585" s="161"/>
      <c r="M585" s="161"/>
      <c r="N585" s="161"/>
      <c r="O585" s="161"/>
      <c r="P585" s="161"/>
      <c r="Q585" s="161"/>
      <c r="R585" s="161"/>
      <c r="S585" s="161"/>
      <c r="T585" s="161"/>
      <c r="U585" s="161"/>
      <c r="V585" s="161"/>
      <c r="W585" s="161"/>
      <c r="X585" s="161"/>
    </row>
    <row r="586" ht="12.75" customHeight="1">
      <c r="A586" s="165">
        <v>40446.0</v>
      </c>
      <c r="B586" s="165" t="s">
        <v>11084</v>
      </c>
      <c r="C586" s="166">
        <v>45806.0</v>
      </c>
      <c r="D586" s="165" t="s">
        <v>12371</v>
      </c>
      <c r="E586" s="161"/>
      <c r="F586" s="161"/>
      <c r="G586" s="161"/>
      <c r="H586" s="161"/>
      <c r="I586" s="161"/>
      <c r="J586" s="161"/>
      <c r="K586" s="161"/>
      <c r="L586" s="161"/>
      <c r="M586" s="161"/>
      <c r="N586" s="161"/>
      <c r="O586" s="161"/>
      <c r="P586" s="161"/>
      <c r="Q586" s="161"/>
      <c r="R586" s="161"/>
      <c r="S586" s="161"/>
      <c r="T586" s="161"/>
      <c r="U586" s="161"/>
      <c r="V586" s="161"/>
      <c r="W586" s="161"/>
      <c r="X586" s="161"/>
    </row>
    <row r="587" ht="12.75" customHeight="1">
      <c r="A587" s="165">
        <v>40708.0</v>
      </c>
      <c r="B587" s="165" t="s">
        <v>11069</v>
      </c>
      <c r="C587" s="166">
        <v>45820.0</v>
      </c>
      <c r="D587" s="165" t="s">
        <v>12371</v>
      </c>
      <c r="E587" s="161"/>
      <c r="F587" s="161"/>
      <c r="G587" s="161"/>
      <c r="H587" s="161"/>
      <c r="I587" s="161"/>
      <c r="J587" s="161"/>
      <c r="K587" s="161"/>
      <c r="L587" s="161"/>
      <c r="M587" s="161"/>
      <c r="N587" s="161"/>
      <c r="O587" s="161"/>
      <c r="P587" s="161"/>
      <c r="Q587" s="161"/>
      <c r="R587" s="161"/>
      <c r="S587" s="161"/>
      <c r="T587" s="161"/>
      <c r="U587" s="161"/>
      <c r="V587" s="161"/>
      <c r="W587" s="161"/>
      <c r="X587" s="161"/>
    </row>
    <row r="588" ht="12.75" customHeight="1">
      <c r="A588" s="165">
        <v>41096.0</v>
      </c>
      <c r="B588" s="165" t="s">
        <v>11692</v>
      </c>
      <c r="C588" s="166">
        <v>45821.0</v>
      </c>
      <c r="D588" s="165" t="s">
        <v>12371</v>
      </c>
      <c r="E588" s="161"/>
      <c r="F588" s="161"/>
      <c r="G588" s="161"/>
      <c r="H588" s="161"/>
      <c r="I588" s="161"/>
      <c r="J588" s="161"/>
      <c r="K588" s="161"/>
      <c r="L588" s="161"/>
      <c r="M588" s="161"/>
      <c r="N588" s="161"/>
      <c r="O588" s="161"/>
      <c r="P588" s="161"/>
      <c r="Q588" s="161"/>
      <c r="R588" s="161"/>
      <c r="S588" s="161"/>
      <c r="T588" s="161"/>
      <c r="U588" s="161"/>
      <c r="V588" s="161"/>
      <c r="W588" s="161"/>
      <c r="X588" s="161"/>
    </row>
    <row r="589" ht="12.75" customHeight="1">
      <c r="A589" s="165">
        <v>40720.0</v>
      </c>
      <c r="B589" s="165" t="s">
        <v>11066</v>
      </c>
      <c r="C589" s="166">
        <v>45824.0</v>
      </c>
      <c r="D589" s="165" t="s">
        <v>12400</v>
      </c>
      <c r="E589" s="161"/>
      <c r="F589" s="161"/>
      <c r="G589" s="161"/>
      <c r="H589" s="161"/>
      <c r="I589" s="161"/>
      <c r="J589" s="161"/>
      <c r="K589" s="161"/>
      <c r="L589" s="161"/>
      <c r="M589" s="161"/>
      <c r="N589" s="161"/>
      <c r="O589" s="161"/>
      <c r="P589" s="161"/>
      <c r="Q589" s="161"/>
      <c r="R589" s="161"/>
      <c r="S589" s="161"/>
      <c r="T589" s="161"/>
      <c r="U589" s="161"/>
      <c r="V589" s="161"/>
      <c r="W589" s="161"/>
      <c r="X589" s="161"/>
    </row>
    <row r="590" ht="12.75" customHeight="1">
      <c r="A590" s="165">
        <v>41102.0</v>
      </c>
      <c r="B590" s="165" t="s">
        <v>12401</v>
      </c>
      <c r="C590" s="166">
        <v>45827.0</v>
      </c>
      <c r="D590" s="165" t="s">
        <v>12400</v>
      </c>
      <c r="E590" s="161"/>
      <c r="F590" s="161"/>
      <c r="G590" s="161"/>
      <c r="H590" s="161"/>
      <c r="I590" s="161"/>
      <c r="J590" s="161"/>
      <c r="K590" s="161"/>
      <c r="L590" s="161"/>
      <c r="M590" s="161"/>
      <c r="N590" s="161"/>
      <c r="O590" s="161"/>
      <c r="P590" s="161"/>
      <c r="Q590" s="161"/>
      <c r="R590" s="161"/>
      <c r="S590" s="161"/>
      <c r="T590" s="161"/>
      <c r="U590" s="161"/>
      <c r="V590" s="161"/>
      <c r="W590" s="161"/>
      <c r="X590" s="161"/>
    </row>
    <row r="591" ht="12.75" customHeight="1">
      <c r="A591" s="165">
        <v>41062.0</v>
      </c>
      <c r="B591" s="165" t="s">
        <v>11685</v>
      </c>
      <c r="C591" s="166">
        <v>45827.0</v>
      </c>
      <c r="D591" s="165" t="s">
        <v>12400</v>
      </c>
      <c r="E591" s="161"/>
      <c r="F591" s="161"/>
      <c r="G591" s="161"/>
      <c r="H591" s="161"/>
      <c r="I591" s="161"/>
      <c r="J591" s="161"/>
      <c r="K591" s="161"/>
      <c r="L591" s="161"/>
      <c r="M591" s="161"/>
      <c r="N591" s="161"/>
      <c r="O591" s="161"/>
      <c r="P591" s="161"/>
      <c r="Q591" s="161"/>
      <c r="R591" s="161"/>
      <c r="S591" s="161"/>
      <c r="T591" s="161"/>
      <c r="U591" s="161"/>
      <c r="V591" s="161"/>
      <c r="W591" s="161"/>
      <c r="X591" s="161"/>
    </row>
    <row r="592" ht="12.75" customHeight="1">
      <c r="A592" s="165">
        <v>40721.0</v>
      </c>
      <c r="B592" s="165" t="s">
        <v>11044</v>
      </c>
      <c r="C592" s="166">
        <v>45831.0</v>
      </c>
      <c r="D592" s="165" t="s">
        <v>12400</v>
      </c>
      <c r="E592" s="161"/>
      <c r="F592" s="161"/>
      <c r="G592" s="161"/>
      <c r="H592" s="161"/>
      <c r="I592" s="161"/>
      <c r="J592" s="161"/>
      <c r="K592" s="161"/>
      <c r="L592" s="161"/>
      <c r="M592" s="161"/>
      <c r="N592" s="161"/>
      <c r="O592" s="161"/>
      <c r="P592" s="161"/>
      <c r="Q592" s="161"/>
      <c r="R592" s="161"/>
      <c r="S592" s="161"/>
      <c r="T592" s="161"/>
      <c r="U592" s="161"/>
      <c r="V592" s="161"/>
      <c r="W592" s="161"/>
      <c r="X592" s="161"/>
    </row>
    <row r="593" ht="12.75" customHeight="1">
      <c r="A593" s="165">
        <v>40839.0</v>
      </c>
      <c r="B593" s="165" t="s">
        <v>11046</v>
      </c>
      <c r="C593" s="166">
        <v>45831.0</v>
      </c>
      <c r="D593" s="165" t="s">
        <v>12400</v>
      </c>
      <c r="E593" s="161"/>
      <c r="F593" s="161"/>
      <c r="G593" s="161"/>
      <c r="H593" s="161"/>
      <c r="I593" s="161"/>
      <c r="J593" s="161"/>
      <c r="K593" s="161"/>
      <c r="L593" s="161"/>
      <c r="M593" s="161"/>
      <c r="N593" s="161"/>
      <c r="O593" s="161"/>
      <c r="P593" s="161"/>
      <c r="Q593" s="161"/>
      <c r="R593" s="161"/>
      <c r="S593" s="161"/>
      <c r="T593" s="161"/>
      <c r="U593" s="161"/>
      <c r="V593" s="161"/>
      <c r="W593" s="161"/>
      <c r="X593" s="161"/>
    </row>
    <row r="594" ht="12.75" customHeight="1">
      <c r="A594" s="165">
        <v>40838.0</v>
      </c>
      <c r="B594" s="165" t="s">
        <v>11048</v>
      </c>
      <c r="C594" s="166">
        <v>45831.0</v>
      </c>
      <c r="D594" s="165" t="s">
        <v>12400</v>
      </c>
      <c r="E594" s="161"/>
      <c r="F594" s="161"/>
      <c r="G594" s="161"/>
      <c r="H594" s="161"/>
      <c r="I594" s="161"/>
      <c r="J594" s="161"/>
      <c r="K594" s="161"/>
      <c r="L594" s="161"/>
      <c r="M594" s="161"/>
      <c r="N594" s="161"/>
      <c r="O594" s="161"/>
      <c r="P594" s="161"/>
      <c r="Q594" s="161"/>
      <c r="R594" s="161"/>
      <c r="S594" s="161"/>
      <c r="T594" s="161"/>
      <c r="U594" s="161"/>
      <c r="V594" s="161"/>
      <c r="W594" s="161"/>
      <c r="X594" s="161"/>
    </row>
    <row r="595" ht="12.75" customHeight="1">
      <c r="A595" s="165">
        <v>40987.0</v>
      </c>
      <c r="B595" s="165" t="s">
        <v>11023</v>
      </c>
      <c r="C595" s="166">
        <v>45841.0</v>
      </c>
      <c r="D595" s="165" t="s">
        <v>12400</v>
      </c>
      <c r="E595" s="161"/>
      <c r="F595" s="161"/>
      <c r="G595" s="161"/>
      <c r="H595" s="161"/>
      <c r="I595" s="161"/>
      <c r="J595" s="161"/>
      <c r="K595" s="161"/>
      <c r="L595" s="161"/>
      <c r="M595" s="161"/>
      <c r="N595" s="161"/>
      <c r="O595" s="161"/>
      <c r="P595" s="161"/>
      <c r="Q595" s="161"/>
      <c r="R595" s="161"/>
      <c r="S595" s="161"/>
      <c r="T595" s="161"/>
      <c r="U595" s="161"/>
      <c r="V595" s="161"/>
      <c r="W595" s="161"/>
      <c r="X595" s="161"/>
    </row>
    <row r="596" ht="12.75" customHeight="1">
      <c r="A596" s="165">
        <v>40800.0</v>
      </c>
      <c r="B596" s="165" t="s">
        <v>11027</v>
      </c>
      <c r="C596" s="166">
        <v>45845.0</v>
      </c>
      <c r="D596" s="165" t="s">
        <v>12400</v>
      </c>
      <c r="E596" s="161"/>
      <c r="F596" s="161"/>
      <c r="G596" s="161"/>
      <c r="H596" s="161"/>
      <c r="I596" s="161"/>
      <c r="J596" s="161"/>
      <c r="K596" s="161"/>
      <c r="L596" s="161"/>
      <c r="M596" s="161"/>
      <c r="N596" s="161"/>
      <c r="O596" s="161"/>
      <c r="P596" s="161"/>
      <c r="Q596" s="161"/>
      <c r="R596" s="161"/>
      <c r="S596" s="161"/>
      <c r="T596" s="161"/>
      <c r="U596" s="161"/>
      <c r="V596" s="161"/>
      <c r="W596" s="161"/>
      <c r="X596" s="161"/>
    </row>
    <row r="597" ht="12.75" customHeight="1">
      <c r="A597" s="165">
        <v>40994.0</v>
      </c>
      <c r="B597" s="165" t="s">
        <v>10998</v>
      </c>
      <c r="C597" s="166">
        <v>45848.0</v>
      </c>
      <c r="D597" s="165" t="s">
        <v>12400</v>
      </c>
      <c r="E597" s="161"/>
      <c r="F597" s="161"/>
      <c r="G597" s="161"/>
      <c r="H597" s="161"/>
      <c r="I597" s="161"/>
      <c r="J597" s="161"/>
      <c r="K597" s="161"/>
      <c r="L597" s="161"/>
      <c r="M597" s="161"/>
      <c r="N597" s="161"/>
      <c r="O597" s="161"/>
      <c r="P597" s="161"/>
      <c r="Q597" s="161"/>
      <c r="R597" s="161"/>
      <c r="S597" s="161"/>
      <c r="T597" s="161"/>
      <c r="U597" s="161"/>
      <c r="V597" s="161"/>
      <c r="W597" s="161"/>
      <c r="X597" s="161"/>
    </row>
    <row r="598" ht="12.75" customHeight="1">
      <c r="A598" s="165">
        <v>41008.0</v>
      </c>
      <c r="B598" s="165" t="s">
        <v>10995</v>
      </c>
      <c r="C598" s="166">
        <v>45848.0</v>
      </c>
      <c r="D598" s="165" t="s">
        <v>12400</v>
      </c>
      <c r="E598" s="161"/>
      <c r="F598" s="161"/>
      <c r="G598" s="161"/>
      <c r="H598" s="161"/>
      <c r="I598" s="161"/>
      <c r="J598" s="161"/>
      <c r="K598" s="161"/>
      <c r="L598" s="161"/>
      <c r="M598" s="161"/>
      <c r="N598" s="161"/>
      <c r="O598" s="161"/>
      <c r="P598" s="161"/>
      <c r="Q598" s="161"/>
      <c r="R598" s="161"/>
      <c r="S598" s="161"/>
      <c r="T598" s="161"/>
      <c r="U598" s="161"/>
      <c r="V598" s="161"/>
      <c r="W598" s="161"/>
      <c r="X598" s="161"/>
    </row>
    <row r="599" ht="12.75" customHeight="1">
      <c r="A599" s="165">
        <v>40840.0</v>
      </c>
      <c r="B599" s="165" t="s">
        <v>11001</v>
      </c>
      <c r="C599" s="166">
        <v>45848.0</v>
      </c>
      <c r="D599" s="165" t="s">
        <v>12400</v>
      </c>
      <c r="E599" s="161"/>
      <c r="F599" s="161"/>
      <c r="G599" s="161"/>
      <c r="H599" s="161"/>
      <c r="I599" s="161"/>
      <c r="J599" s="161"/>
      <c r="K599" s="161"/>
      <c r="L599" s="161"/>
      <c r="M599" s="161"/>
      <c r="N599" s="161"/>
      <c r="O599" s="161"/>
      <c r="P599" s="161"/>
      <c r="Q599" s="161"/>
      <c r="R599" s="161"/>
      <c r="S599" s="161"/>
      <c r="T599" s="161"/>
      <c r="U599" s="161"/>
      <c r="V599" s="161"/>
      <c r="W599" s="161"/>
      <c r="X599" s="161"/>
    </row>
    <row r="600" ht="12.75" customHeight="1">
      <c r="A600" s="165">
        <v>41100.0</v>
      </c>
      <c r="B600" s="165" t="s">
        <v>12402</v>
      </c>
      <c r="C600" s="166">
        <v>45848.0</v>
      </c>
      <c r="D600" s="165" t="s">
        <v>12400</v>
      </c>
      <c r="E600" s="161"/>
      <c r="F600" s="161"/>
      <c r="G600" s="161"/>
      <c r="H600" s="161"/>
      <c r="I600" s="161"/>
      <c r="J600" s="161"/>
      <c r="K600" s="161"/>
      <c r="L600" s="161"/>
      <c r="M600" s="161"/>
      <c r="N600" s="161"/>
      <c r="O600" s="161"/>
      <c r="P600" s="161"/>
      <c r="Q600" s="161"/>
      <c r="R600" s="161"/>
      <c r="S600" s="161"/>
      <c r="T600" s="161"/>
      <c r="U600" s="161"/>
      <c r="V600" s="161"/>
      <c r="W600" s="161"/>
      <c r="X600" s="161"/>
    </row>
    <row r="601" ht="12.75" customHeight="1">
      <c r="A601" s="165">
        <v>40878.0</v>
      </c>
      <c r="B601" s="165" t="s">
        <v>10993</v>
      </c>
      <c r="C601" s="166">
        <v>45852.0</v>
      </c>
      <c r="D601" s="165" t="s">
        <v>12400</v>
      </c>
      <c r="E601" s="161"/>
      <c r="F601" s="161"/>
      <c r="G601" s="161"/>
      <c r="H601" s="161"/>
      <c r="I601" s="161"/>
      <c r="J601" s="161"/>
      <c r="K601" s="161"/>
      <c r="L601" s="161"/>
      <c r="M601" s="161"/>
      <c r="N601" s="161"/>
      <c r="O601" s="161"/>
      <c r="P601" s="161"/>
      <c r="Q601" s="161"/>
      <c r="R601" s="161"/>
      <c r="S601" s="161"/>
      <c r="T601" s="161"/>
      <c r="U601" s="161"/>
      <c r="V601" s="161"/>
      <c r="W601" s="161"/>
      <c r="X601" s="161"/>
    </row>
    <row r="602" ht="12.75" customHeight="1">
      <c r="A602" s="165">
        <v>40841.0</v>
      </c>
      <c r="B602" s="165" t="s">
        <v>10991</v>
      </c>
      <c r="C602" s="166">
        <v>45853.0</v>
      </c>
      <c r="D602" s="165" t="s">
        <v>12400</v>
      </c>
      <c r="E602" s="161"/>
      <c r="F602" s="161"/>
      <c r="G602" s="161"/>
      <c r="H602" s="161"/>
      <c r="I602" s="161"/>
      <c r="J602" s="161"/>
      <c r="K602" s="161"/>
      <c r="L602" s="161"/>
      <c r="M602" s="161"/>
      <c r="N602" s="161"/>
      <c r="O602" s="161"/>
      <c r="P602" s="161"/>
      <c r="Q602" s="161"/>
      <c r="R602" s="161"/>
      <c r="S602" s="161"/>
      <c r="T602" s="161"/>
      <c r="U602" s="161"/>
      <c r="V602" s="161"/>
      <c r="W602" s="161"/>
      <c r="X602" s="161"/>
    </row>
    <row r="603" ht="12.75" customHeight="1">
      <c r="A603" s="165">
        <v>40621.0</v>
      </c>
      <c r="B603" s="165" t="s">
        <v>10984</v>
      </c>
      <c r="C603" s="166">
        <v>45859.0</v>
      </c>
      <c r="D603" s="165" t="s">
        <v>12400</v>
      </c>
      <c r="E603" s="161"/>
      <c r="F603" s="161"/>
      <c r="G603" s="161"/>
      <c r="H603" s="161"/>
      <c r="I603" s="161"/>
      <c r="J603" s="161"/>
      <c r="K603" s="161"/>
      <c r="L603" s="161"/>
      <c r="M603" s="161"/>
      <c r="N603" s="161"/>
      <c r="O603" s="161"/>
      <c r="P603" s="161"/>
      <c r="Q603" s="161"/>
      <c r="R603" s="161"/>
      <c r="S603" s="161"/>
      <c r="T603" s="161"/>
      <c r="U603" s="161"/>
      <c r="V603" s="161"/>
      <c r="W603" s="161"/>
      <c r="X603" s="161"/>
    </row>
    <row r="604" ht="12.75" customHeight="1">
      <c r="A604" s="165">
        <v>40625.0</v>
      </c>
      <c r="B604" s="165" t="s">
        <v>10982</v>
      </c>
      <c r="C604" s="166">
        <v>45859.0</v>
      </c>
      <c r="D604" s="165" t="s">
        <v>12400</v>
      </c>
      <c r="E604" s="161"/>
      <c r="F604" s="161"/>
      <c r="G604" s="161"/>
      <c r="H604" s="161"/>
      <c r="I604" s="161"/>
      <c r="J604" s="161"/>
      <c r="K604" s="161"/>
      <c r="L604" s="161"/>
      <c r="M604" s="161"/>
      <c r="N604" s="161"/>
      <c r="O604" s="161"/>
      <c r="P604" s="161"/>
      <c r="Q604" s="161"/>
      <c r="R604" s="161"/>
      <c r="S604" s="161"/>
      <c r="T604" s="161"/>
      <c r="U604" s="161"/>
      <c r="V604" s="161"/>
      <c r="W604" s="161"/>
      <c r="X604" s="161"/>
    </row>
    <row r="605" ht="12.75" customHeight="1">
      <c r="A605" s="165">
        <v>40801.0</v>
      </c>
      <c r="B605" s="165" t="s">
        <v>10986</v>
      </c>
      <c r="C605" s="166">
        <v>45859.0</v>
      </c>
      <c r="D605" s="165" t="s">
        <v>12400</v>
      </c>
      <c r="E605" s="161"/>
      <c r="F605" s="161"/>
      <c r="G605" s="161"/>
      <c r="H605" s="161"/>
      <c r="I605" s="161"/>
      <c r="J605" s="161"/>
      <c r="K605" s="161"/>
      <c r="L605" s="161"/>
      <c r="M605" s="161"/>
      <c r="N605" s="161"/>
      <c r="O605" s="161"/>
      <c r="P605" s="161"/>
      <c r="Q605" s="161"/>
      <c r="R605" s="161"/>
      <c r="S605" s="161"/>
      <c r="T605" s="161"/>
      <c r="U605" s="161"/>
      <c r="V605" s="161"/>
      <c r="W605" s="161"/>
      <c r="X605" s="161"/>
    </row>
    <row r="606" ht="12.75" customHeight="1">
      <c r="A606" s="165">
        <v>41049.0</v>
      </c>
      <c r="B606" s="165" t="s">
        <v>10973</v>
      </c>
      <c r="C606" s="166">
        <v>45859.0</v>
      </c>
      <c r="D606" s="165" t="s">
        <v>12400</v>
      </c>
      <c r="E606" s="161"/>
      <c r="F606" s="161"/>
      <c r="G606" s="161"/>
      <c r="H606" s="161"/>
      <c r="I606" s="161"/>
      <c r="J606" s="161"/>
      <c r="K606" s="161"/>
      <c r="L606" s="161"/>
      <c r="M606" s="161"/>
      <c r="N606" s="161"/>
      <c r="O606" s="161"/>
      <c r="P606" s="161"/>
      <c r="Q606" s="161"/>
      <c r="R606" s="161"/>
      <c r="S606" s="161"/>
      <c r="T606" s="161"/>
      <c r="U606" s="161"/>
      <c r="V606" s="161"/>
      <c r="W606" s="161"/>
      <c r="X606" s="161"/>
    </row>
    <row r="607" ht="12.75" customHeight="1">
      <c r="A607" s="165">
        <v>41111.0</v>
      </c>
      <c r="B607" s="165" t="s">
        <v>10965</v>
      </c>
      <c r="C607" s="166">
        <v>45860.0</v>
      </c>
      <c r="D607" s="165" t="s">
        <v>12400</v>
      </c>
      <c r="E607" s="161"/>
      <c r="F607" s="161"/>
      <c r="G607" s="161"/>
      <c r="H607" s="161"/>
      <c r="I607" s="161"/>
      <c r="J607" s="161"/>
      <c r="K607" s="161"/>
      <c r="L607" s="161"/>
      <c r="M607" s="161"/>
      <c r="N607" s="161"/>
      <c r="O607" s="161"/>
      <c r="P607" s="161"/>
      <c r="Q607" s="161"/>
      <c r="R607" s="161"/>
      <c r="S607" s="161"/>
      <c r="T607" s="161"/>
      <c r="U607" s="161"/>
      <c r="V607" s="161"/>
      <c r="W607" s="161"/>
      <c r="X607" s="161"/>
    </row>
    <row r="608" ht="12.75" customHeight="1">
      <c r="A608" s="165">
        <v>41006.0</v>
      </c>
      <c r="B608" s="165" t="s">
        <v>10958</v>
      </c>
      <c r="C608" s="166">
        <v>45861.0</v>
      </c>
      <c r="D608" s="165" t="s">
        <v>12400</v>
      </c>
      <c r="E608" s="161"/>
      <c r="F608" s="161"/>
      <c r="G608" s="161"/>
      <c r="H608" s="161"/>
      <c r="I608" s="161"/>
      <c r="J608" s="161"/>
      <c r="K608" s="161"/>
      <c r="L608" s="161"/>
      <c r="M608" s="161"/>
      <c r="N608" s="161"/>
      <c r="O608" s="161"/>
      <c r="P608" s="161"/>
      <c r="Q608" s="161"/>
      <c r="R608" s="161"/>
      <c r="S608" s="161"/>
      <c r="T608" s="161"/>
      <c r="U608" s="161"/>
      <c r="V608" s="161"/>
      <c r="W608" s="161"/>
      <c r="X608" s="161"/>
    </row>
    <row r="609" ht="12.75" customHeight="1">
      <c r="A609" s="165">
        <v>40678.0</v>
      </c>
      <c r="B609" s="165" t="s">
        <v>10971</v>
      </c>
      <c r="C609" s="166">
        <v>45861.0</v>
      </c>
      <c r="D609" s="165" t="s">
        <v>12400</v>
      </c>
      <c r="E609" s="161"/>
      <c r="F609" s="161"/>
      <c r="G609" s="161"/>
      <c r="H609" s="161"/>
      <c r="I609" s="161"/>
      <c r="J609" s="161"/>
      <c r="K609" s="161"/>
      <c r="L609" s="161"/>
      <c r="M609" s="161"/>
      <c r="N609" s="161"/>
      <c r="O609" s="161"/>
      <c r="P609" s="161"/>
      <c r="Q609" s="161"/>
      <c r="R609" s="161"/>
      <c r="S609" s="161"/>
      <c r="T609" s="161"/>
      <c r="U609" s="161"/>
      <c r="V609" s="161"/>
      <c r="W609" s="161"/>
      <c r="X609" s="161"/>
    </row>
    <row r="610" ht="12.75" customHeight="1">
      <c r="A610" s="165">
        <v>40624.0</v>
      </c>
      <c r="B610" s="165" t="s">
        <v>10945</v>
      </c>
      <c r="C610" s="166">
        <v>45863.0</v>
      </c>
      <c r="D610" s="165" t="s">
        <v>12400</v>
      </c>
      <c r="E610" s="161"/>
      <c r="F610" s="161"/>
      <c r="G610" s="161"/>
      <c r="H610" s="161"/>
      <c r="I610" s="161"/>
      <c r="J610" s="161"/>
      <c r="K610" s="161"/>
      <c r="L610" s="161"/>
      <c r="M610" s="161"/>
      <c r="N610" s="161"/>
      <c r="O610" s="161"/>
      <c r="P610" s="161"/>
      <c r="Q610" s="161"/>
      <c r="R610" s="161"/>
      <c r="S610" s="161"/>
      <c r="T610" s="161"/>
      <c r="U610" s="161"/>
      <c r="V610" s="161"/>
      <c r="W610" s="161"/>
      <c r="X610" s="161"/>
    </row>
    <row r="611" ht="12.75" customHeight="1">
      <c r="A611" s="165">
        <v>41051.0</v>
      </c>
      <c r="B611" s="165" t="s">
        <v>10936</v>
      </c>
      <c r="C611" s="166">
        <v>45869.0</v>
      </c>
      <c r="D611" s="165" t="s">
        <v>12371</v>
      </c>
      <c r="E611" s="161"/>
      <c r="F611" s="161"/>
      <c r="G611" s="161"/>
      <c r="H611" s="161"/>
      <c r="I611" s="161"/>
      <c r="J611" s="161"/>
      <c r="K611" s="161"/>
      <c r="L611" s="161"/>
      <c r="M611" s="161"/>
      <c r="N611" s="161"/>
      <c r="O611" s="161"/>
      <c r="P611" s="161"/>
      <c r="Q611" s="161"/>
      <c r="R611" s="161"/>
      <c r="S611" s="161"/>
      <c r="T611" s="161"/>
      <c r="U611" s="161"/>
      <c r="V611" s="161"/>
      <c r="W611" s="161"/>
      <c r="X611" s="161"/>
    </row>
    <row r="612" ht="12.75" customHeight="1">
      <c r="A612" s="165">
        <v>40722.0</v>
      </c>
      <c r="B612" s="165" t="s">
        <v>10939</v>
      </c>
      <c r="C612" s="166">
        <v>45869.0</v>
      </c>
      <c r="D612" s="165" t="s">
        <v>12371</v>
      </c>
      <c r="E612" s="161"/>
      <c r="F612" s="161"/>
      <c r="G612" s="161"/>
      <c r="H612" s="161"/>
      <c r="I612" s="161"/>
      <c r="J612" s="161"/>
      <c r="K612" s="161"/>
      <c r="L612" s="161"/>
      <c r="M612" s="161"/>
      <c r="N612" s="161"/>
      <c r="O612" s="161"/>
      <c r="P612" s="161"/>
      <c r="Q612" s="161"/>
      <c r="R612" s="161"/>
      <c r="S612" s="161"/>
      <c r="T612" s="161"/>
      <c r="U612" s="161"/>
      <c r="V612" s="161"/>
      <c r="W612" s="161"/>
      <c r="X612" s="161"/>
    </row>
    <row r="613" ht="12.75" customHeight="1">
      <c r="A613" s="165">
        <v>41032.0</v>
      </c>
      <c r="B613" s="165" t="s">
        <v>10926</v>
      </c>
      <c r="C613" s="166">
        <v>45875.0</v>
      </c>
      <c r="D613" s="165" t="s">
        <v>12371</v>
      </c>
      <c r="E613" s="161"/>
      <c r="F613" s="161"/>
      <c r="G613" s="161"/>
      <c r="H613" s="161"/>
      <c r="I613" s="161"/>
      <c r="J613" s="161"/>
      <c r="K613" s="161"/>
      <c r="L613" s="161"/>
      <c r="M613" s="161"/>
      <c r="N613" s="161"/>
      <c r="O613" s="161"/>
      <c r="P613" s="161"/>
      <c r="Q613" s="161"/>
      <c r="R613" s="161"/>
      <c r="S613" s="161"/>
      <c r="T613" s="161"/>
      <c r="U613" s="161"/>
      <c r="V613" s="161"/>
      <c r="W613" s="161"/>
      <c r="X613" s="161"/>
    </row>
    <row r="614" ht="12.75" customHeight="1">
      <c r="A614" s="165">
        <v>41014.0</v>
      </c>
      <c r="B614" s="165" t="s">
        <v>10928</v>
      </c>
      <c r="C614" s="166">
        <v>45875.0</v>
      </c>
      <c r="D614" s="165" t="s">
        <v>12371</v>
      </c>
      <c r="E614" s="161"/>
      <c r="F614" s="161"/>
      <c r="G614" s="161"/>
      <c r="H614" s="161"/>
      <c r="I614" s="161"/>
      <c r="J614" s="161"/>
      <c r="K614" s="161"/>
      <c r="L614" s="161"/>
      <c r="M614" s="161"/>
      <c r="N614" s="161"/>
      <c r="O614" s="161"/>
      <c r="P614" s="161"/>
      <c r="Q614" s="161"/>
      <c r="R614" s="161"/>
      <c r="S614" s="161"/>
      <c r="T614" s="161"/>
      <c r="U614" s="161"/>
      <c r="V614" s="161"/>
      <c r="W614" s="161"/>
      <c r="X614" s="161"/>
    </row>
    <row r="615" ht="12.75" customHeight="1">
      <c r="A615" s="165">
        <v>41284.0</v>
      </c>
      <c r="B615" s="165" t="s">
        <v>11609</v>
      </c>
      <c r="C615" s="166">
        <v>45881.0</v>
      </c>
      <c r="D615" s="165" t="s">
        <v>12371</v>
      </c>
      <c r="E615" s="161"/>
      <c r="F615" s="161"/>
      <c r="G615" s="161"/>
      <c r="H615" s="161"/>
      <c r="I615" s="161"/>
      <c r="J615" s="161"/>
      <c r="K615" s="161"/>
      <c r="L615" s="161"/>
      <c r="M615" s="161"/>
      <c r="N615" s="161"/>
      <c r="O615" s="161"/>
      <c r="P615" s="161"/>
      <c r="Q615" s="161"/>
      <c r="R615" s="161"/>
      <c r="S615" s="161"/>
      <c r="T615" s="161"/>
      <c r="U615" s="161"/>
      <c r="V615" s="161"/>
      <c r="W615" s="161"/>
      <c r="X615" s="161"/>
    </row>
    <row r="616" ht="12.75" customHeight="1">
      <c r="A616" s="165">
        <v>41236.0</v>
      </c>
      <c r="B616" s="165" t="s">
        <v>10915</v>
      </c>
      <c r="C616" s="166">
        <v>45881.0</v>
      </c>
      <c r="D616" s="165" t="s">
        <v>12371</v>
      </c>
      <c r="E616" s="161"/>
      <c r="F616" s="161"/>
      <c r="G616" s="161"/>
      <c r="H616" s="161"/>
      <c r="I616" s="161"/>
      <c r="J616" s="161"/>
      <c r="K616" s="161"/>
      <c r="L616" s="161"/>
      <c r="M616" s="161"/>
      <c r="N616" s="161"/>
      <c r="O616" s="161"/>
      <c r="P616" s="161"/>
      <c r="Q616" s="161"/>
      <c r="R616" s="161"/>
      <c r="S616" s="161"/>
      <c r="T616" s="161"/>
      <c r="U616" s="161"/>
      <c r="V616" s="161"/>
      <c r="W616" s="161"/>
      <c r="X616" s="161"/>
    </row>
    <row r="617" ht="12.75" customHeight="1">
      <c r="A617" s="165">
        <v>41031.0</v>
      </c>
      <c r="B617" s="165" t="s">
        <v>10901</v>
      </c>
      <c r="C617" s="166">
        <v>45882.0</v>
      </c>
      <c r="D617" s="165" t="s">
        <v>12371</v>
      </c>
      <c r="E617" s="161"/>
      <c r="F617" s="161"/>
      <c r="G617" s="161"/>
      <c r="H617" s="161"/>
      <c r="I617" s="161"/>
      <c r="J617" s="161"/>
      <c r="K617" s="161"/>
      <c r="L617" s="161"/>
      <c r="M617" s="161"/>
      <c r="N617" s="161"/>
      <c r="O617" s="161"/>
      <c r="P617" s="161"/>
      <c r="Q617" s="161"/>
      <c r="R617" s="161"/>
      <c r="S617" s="161"/>
      <c r="T617" s="161"/>
      <c r="U617" s="161"/>
      <c r="V617" s="161"/>
      <c r="W617" s="161"/>
      <c r="X617" s="161"/>
    </row>
    <row r="618" ht="12.75" customHeight="1">
      <c r="A618" s="165">
        <v>40966.0</v>
      </c>
      <c r="B618" s="165" t="s">
        <v>10899</v>
      </c>
      <c r="C618" s="166">
        <v>45882.0</v>
      </c>
      <c r="D618" s="165" t="s">
        <v>12371</v>
      </c>
      <c r="E618" s="161"/>
      <c r="F618" s="161"/>
      <c r="G618" s="161"/>
      <c r="H618" s="161"/>
      <c r="I618" s="161"/>
      <c r="J618" s="161"/>
      <c r="K618" s="161"/>
      <c r="L618" s="161"/>
      <c r="M618" s="161"/>
      <c r="N618" s="161"/>
      <c r="O618" s="161"/>
      <c r="P618" s="161"/>
      <c r="Q618" s="161"/>
      <c r="R618" s="161"/>
      <c r="S618" s="161"/>
      <c r="T618" s="161"/>
      <c r="U618" s="161"/>
      <c r="V618" s="161"/>
      <c r="W618" s="161"/>
      <c r="X618" s="161"/>
    </row>
    <row r="619" ht="12.75" customHeight="1">
      <c r="A619" s="165">
        <v>41346.0</v>
      </c>
      <c r="B619" s="165" t="s">
        <v>11612</v>
      </c>
      <c r="C619" s="166">
        <v>45884.0</v>
      </c>
      <c r="D619" s="165" t="s">
        <v>12371</v>
      </c>
      <c r="E619" s="161"/>
      <c r="F619" s="161"/>
      <c r="G619" s="161"/>
      <c r="H619" s="161"/>
      <c r="I619" s="161"/>
      <c r="J619" s="161"/>
      <c r="K619" s="161"/>
      <c r="L619" s="161"/>
      <c r="M619" s="161"/>
      <c r="N619" s="161"/>
      <c r="O619" s="161"/>
      <c r="P619" s="161"/>
      <c r="Q619" s="161"/>
      <c r="R619" s="161"/>
      <c r="S619" s="161"/>
      <c r="T619" s="161"/>
      <c r="U619" s="161"/>
      <c r="V619" s="161"/>
      <c r="W619" s="161"/>
      <c r="X619" s="161"/>
    </row>
    <row r="620" ht="12.75" customHeight="1">
      <c r="A620" s="165">
        <v>41015.0</v>
      </c>
      <c r="B620" s="165" t="s">
        <v>10879</v>
      </c>
      <c r="C620" s="166">
        <v>45887.0</v>
      </c>
      <c r="D620" s="165" t="s">
        <v>12371</v>
      </c>
      <c r="E620" s="161"/>
      <c r="F620" s="161"/>
      <c r="G620" s="161"/>
      <c r="H620" s="161"/>
      <c r="I620" s="161"/>
      <c r="J620" s="161"/>
      <c r="K620" s="161"/>
      <c r="L620" s="161"/>
      <c r="M620" s="161"/>
      <c r="N620" s="161"/>
      <c r="O620" s="161"/>
      <c r="P620" s="161"/>
      <c r="Q620" s="161"/>
      <c r="R620" s="161"/>
      <c r="S620" s="161"/>
      <c r="T620" s="161"/>
      <c r="U620" s="161"/>
      <c r="V620" s="161"/>
      <c r="W620" s="161"/>
      <c r="X620" s="161"/>
    </row>
    <row r="621" ht="12.75" customHeight="1">
      <c r="A621" s="165">
        <v>41009.0</v>
      </c>
      <c r="B621" s="165" t="s">
        <v>10886</v>
      </c>
      <c r="C621" s="166">
        <v>45889.0</v>
      </c>
      <c r="D621" s="165" t="s">
        <v>12371</v>
      </c>
      <c r="E621" s="161"/>
      <c r="F621" s="161"/>
      <c r="G621" s="161"/>
      <c r="H621" s="161"/>
      <c r="I621" s="161"/>
      <c r="J621" s="161"/>
      <c r="K621" s="161"/>
      <c r="L621" s="161"/>
      <c r="M621" s="161"/>
      <c r="N621" s="161"/>
      <c r="O621" s="161"/>
      <c r="P621" s="161"/>
      <c r="Q621" s="161"/>
      <c r="R621" s="161"/>
      <c r="S621" s="161"/>
      <c r="T621" s="161"/>
      <c r="U621" s="161"/>
      <c r="V621" s="161"/>
      <c r="W621" s="161"/>
      <c r="X621" s="161"/>
    </row>
    <row r="622" ht="12.75" customHeight="1">
      <c r="A622" s="165">
        <v>41016.0</v>
      </c>
      <c r="B622" s="165" t="s">
        <v>10884</v>
      </c>
      <c r="C622" s="166">
        <v>45889.0</v>
      </c>
      <c r="D622" s="165" t="s">
        <v>12371</v>
      </c>
      <c r="E622" s="161"/>
      <c r="F622" s="161"/>
      <c r="G622" s="161"/>
      <c r="H622" s="161"/>
      <c r="I622" s="161"/>
      <c r="J622" s="161"/>
      <c r="K622" s="161"/>
      <c r="L622" s="161"/>
      <c r="M622" s="161"/>
      <c r="N622" s="161"/>
      <c r="O622" s="161"/>
      <c r="P622" s="161"/>
      <c r="Q622" s="161"/>
      <c r="R622" s="161"/>
      <c r="S622" s="161"/>
      <c r="T622" s="161"/>
      <c r="U622" s="161"/>
      <c r="V622" s="161"/>
      <c r="W622" s="161"/>
      <c r="X622" s="161"/>
    </row>
    <row r="623" ht="12.75" customHeight="1">
      <c r="A623" s="165">
        <v>41017.0</v>
      </c>
      <c r="B623" s="165" t="s">
        <v>10881</v>
      </c>
      <c r="C623" s="166">
        <v>45889.0</v>
      </c>
      <c r="D623" s="165" t="s">
        <v>12371</v>
      </c>
      <c r="E623" s="161"/>
      <c r="F623" s="161"/>
      <c r="G623" s="161"/>
      <c r="H623" s="161"/>
      <c r="I623" s="161"/>
      <c r="J623" s="161"/>
      <c r="K623" s="161"/>
      <c r="L623" s="161"/>
      <c r="M623" s="161"/>
      <c r="N623" s="161"/>
      <c r="O623" s="161"/>
      <c r="P623" s="161"/>
      <c r="Q623" s="161"/>
      <c r="R623" s="161"/>
      <c r="S623" s="161"/>
      <c r="T623" s="161"/>
      <c r="U623" s="161"/>
      <c r="V623" s="161"/>
      <c r="W623" s="161"/>
      <c r="X623" s="161"/>
    </row>
    <row r="624" ht="12.75" customHeight="1">
      <c r="A624" s="165">
        <v>40964.0</v>
      </c>
      <c r="B624" s="165" t="s">
        <v>10877</v>
      </c>
      <c r="C624" s="166">
        <v>45889.0</v>
      </c>
      <c r="D624" s="165" t="s">
        <v>12371</v>
      </c>
      <c r="E624" s="161"/>
      <c r="F624" s="161"/>
      <c r="G624" s="161"/>
      <c r="H624" s="161"/>
      <c r="I624" s="161"/>
      <c r="J624" s="161"/>
      <c r="K624" s="161"/>
      <c r="L624" s="161"/>
      <c r="M624" s="161"/>
      <c r="N624" s="161"/>
      <c r="O624" s="161"/>
      <c r="P624" s="161"/>
      <c r="Q624" s="161"/>
      <c r="R624" s="161"/>
      <c r="S624" s="161"/>
      <c r="T624" s="161"/>
      <c r="U624" s="161"/>
      <c r="V624" s="161"/>
      <c r="W624" s="161"/>
      <c r="X624" s="161"/>
    </row>
    <row r="625" ht="12.75" customHeight="1">
      <c r="A625" s="165">
        <v>40619.0</v>
      </c>
      <c r="B625" s="165" t="s">
        <v>10875</v>
      </c>
      <c r="C625" s="166">
        <v>45895.0</v>
      </c>
      <c r="D625" s="165" t="s">
        <v>12371</v>
      </c>
      <c r="E625" s="161"/>
      <c r="F625" s="161"/>
      <c r="G625" s="161"/>
      <c r="H625" s="161"/>
      <c r="I625" s="161"/>
      <c r="J625" s="161"/>
      <c r="K625" s="161"/>
      <c r="L625" s="161"/>
      <c r="M625" s="161"/>
      <c r="N625" s="161"/>
      <c r="O625" s="161"/>
      <c r="P625" s="161"/>
      <c r="Q625" s="161"/>
      <c r="R625" s="161"/>
      <c r="S625" s="161"/>
      <c r="T625" s="161"/>
      <c r="U625" s="161"/>
      <c r="V625" s="161"/>
      <c r="W625" s="161"/>
      <c r="X625" s="161"/>
    </row>
    <row r="626" ht="12.75" customHeight="1">
      <c r="A626" s="165">
        <v>41134.0</v>
      </c>
      <c r="B626" s="165" t="s">
        <v>10873</v>
      </c>
      <c r="C626" s="166">
        <v>45895.0</v>
      </c>
      <c r="D626" s="165" t="s">
        <v>12371</v>
      </c>
      <c r="E626" s="161"/>
      <c r="F626" s="161"/>
      <c r="G626" s="161"/>
      <c r="H626" s="161"/>
      <c r="I626" s="161"/>
      <c r="J626" s="161"/>
      <c r="K626" s="161"/>
      <c r="L626" s="161"/>
      <c r="M626" s="161"/>
      <c r="N626" s="161"/>
      <c r="O626" s="161"/>
      <c r="P626" s="161"/>
      <c r="Q626" s="161"/>
      <c r="R626" s="161"/>
      <c r="S626" s="161"/>
      <c r="T626" s="161"/>
      <c r="U626" s="161"/>
      <c r="V626" s="161"/>
      <c r="W626" s="161"/>
      <c r="X626" s="161"/>
    </row>
    <row r="627" ht="12.75" customHeight="1">
      <c r="A627" s="165">
        <v>40942.0</v>
      </c>
      <c r="B627" s="165" t="s">
        <v>10871</v>
      </c>
      <c r="C627" s="166">
        <v>45902.0</v>
      </c>
      <c r="D627" s="165" t="s">
        <v>12371</v>
      </c>
      <c r="E627" s="161"/>
      <c r="F627" s="161"/>
      <c r="G627" s="161"/>
      <c r="H627" s="161"/>
      <c r="I627" s="161"/>
      <c r="J627" s="161"/>
      <c r="K627" s="161"/>
      <c r="L627" s="161"/>
      <c r="M627" s="161"/>
      <c r="N627" s="161"/>
      <c r="O627" s="161"/>
      <c r="P627" s="161"/>
      <c r="Q627" s="161"/>
      <c r="R627" s="161"/>
      <c r="S627" s="161"/>
      <c r="T627" s="161"/>
      <c r="U627" s="161"/>
      <c r="V627" s="161"/>
      <c r="W627" s="161"/>
      <c r="X627" s="161"/>
    </row>
    <row r="628" ht="12.75" customHeight="1">
      <c r="A628" s="165">
        <v>41154.0</v>
      </c>
      <c r="B628" s="165" t="s">
        <v>10868</v>
      </c>
      <c r="C628" s="166">
        <v>45902.0</v>
      </c>
      <c r="D628" s="165" t="s">
        <v>12371</v>
      </c>
      <c r="E628" s="161"/>
      <c r="F628" s="161"/>
      <c r="G628" s="161"/>
      <c r="H628" s="161"/>
      <c r="I628" s="161"/>
      <c r="J628" s="161"/>
      <c r="K628" s="161"/>
      <c r="L628" s="161"/>
      <c r="M628" s="161"/>
      <c r="N628" s="161"/>
      <c r="O628" s="161"/>
      <c r="P628" s="161"/>
      <c r="Q628" s="161"/>
      <c r="R628" s="161"/>
      <c r="S628" s="161"/>
      <c r="T628" s="161"/>
      <c r="U628" s="161"/>
      <c r="V628" s="161"/>
      <c r="W628" s="161"/>
      <c r="X628" s="161"/>
    </row>
    <row r="629" ht="12.75" customHeight="1">
      <c r="A629" s="165">
        <v>41033.0</v>
      </c>
      <c r="B629" s="165" t="s">
        <v>10866</v>
      </c>
      <c r="C629" s="166">
        <v>45902.0</v>
      </c>
      <c r="D629" s="165" t="s">
        <v>12371</v>
      </c>
      <c r="E629" s="161"/>
      <c r="F629" s="161"/>
      <c r="G629" s="161"/>
      <c r="H629" s="161"/>
      <c r="I629" s="161"/>
      <c r="J629" s="161"/>
      <c r="K629" s="161"/>
      <c r="L629" s="161"/>
      <c r="M629" s="161"/>
      <c r="N629" s="161"/>
      <c r="O629" s="161"/>
      <c r="P629" s="161"/>
      <c r="Q629" s="161"/>
      <c r="R629" s="161"/>
      <c r="S629" s="161"/>
      <c r="T629" s="161"/>
      <c r="U629" s="161"/>
      <c r="V629" s="161"/>
      <c r="W629" s="161"/>
      <c r="X629" s="161"/>
    </row>
    <row r="630" ht="12.75" customHeight="1">
      <c r="A630" s="165">
        <v>41476.0</v>
      </c>
      <c r="B630" s="165" t="s">
        <v>11576</v>
      </c>
      <c r="C630" s="166">
        <v>45908.0</v>
      </c>
      <c r="D630" s="165" t="s">
        <v>12371</v>
      </c>
      <c r="E630" s="161"/>
      <c r="F630" s="161"/>
      <c r="G630" s="161"/>
      <c r="H630" s="161"/>
      <c r="I630" s="161"/>
      <c r="J630" s="161"/>
      <c r="K630" s="161"/>
      <c r="L630" s="161"/>
      <c r="M630" s="161"/>
      <c r="N630" s="161"/>
      <c r="O630" s="161"/>
      <c r="P630" s="161"/>
      <c r="Q630" s="161"/>
      <c r="R630" s="161"/>
      <c r="S630" s="161"/>
      <c r="T630" s="161"/>
      <c r="U630" s="161"/>
      <c r="V630" s="161"/>
      <c r="W630" s="161"/>
      <c r="X630" s="161"/>
    </row>
    <row r="631" ht="12.75" customHeight="1">
      <c r="A631" s="165">
        <v>40965.0</v>
      </c>
      <c r="B631" s="165" t="s">
        <v>10850</v>
      </c>
      <c r="C631" s="166">
        <v>45908.0</v>
      </c>
      <c r="D631" s="165" t="s">
        <v>12371</v>
      </c>
      <c r="E631" s="161"/>
      <c r="F631" s="161"/>
      <c r="G631" s="161"/>
      <c r="H631" s="161"/>
      <c r="I631" s="161"/>
      <c r="J631" s="161"/>
      <c r="K631" s="161"/>
      <c r="L631" s="161"/>
      <c r="M631" s="161"/>
      <c r="N631" s="161"/>
      <c r="O631" s="161"/>
      <c r="P631" s="161"/>
      <c r="Q631" s="161"/>
      <c r="R631" s="161"/>
      <c r="S631" s="161"/>
      <c r="T631" s="161"/>
      <c r="U631" s="161"/>
      <c r="V631" s="161"/>
      <c r="W631" s="161"/>
      <c r="X631" s="161"/>
    </row>
    <row r="632" ht="12.75" customHeight="1">
      <c r="A632" s="165">
        <v>41349.0</v>
      </c>
      <c r="B632" s="165" t="s">
        <v>11582</v>
      </c>
      <c r="C632" s="166">
        <v>45909.0</v>
      </c>
      <c r="D632" s="165" t="s">
        <v>12371</v>
      </c>
      <c r="E632" s="161"/>
      <c r="F632" s="161"/>
      <c r="G632" s="161"/>
      <c r="H632" s="161"/>
      <c r="I632" s="161"/>
      <c r="J632" s="161"/>
      <c r="K632" s="161"/>
      <c r="L632" s="161"/>
      <c r="M632" s="161"/>
      <c r="N632" s="161"/>
      <c r="O632" s="161"/>
      <c r="P632" s="161"/>
      <c r="Q632" s="161"/>
      <c r="R632" s="161"/>
      <c r="S632" s="161"/>
      <c r="T632" s="161"/>
      <c r="U632" s="161"/>
      <c r="V632" s="161"/>
      <c r="W632" s="161"/>
      <c r="X632" s="161"/>
    </row>
    <row r="633" ht="12.75" customHeight="1">
      <c r="A633" s="165">
        <v>94605.0</v>
      </c>
      <c r="B633" s="165" t="s">
        <v>10829</v>
      </c>
      <c r="C633" s="166">
        <v>45912.0</v>
      </c>
      <c r="D633" s="165" t="s">
        <v>12371</v>
      </c>
      <c r="E633" s="161"/>
      <c r="F633" s="161"/>
      <c r="G633" s="161"/>
      <c r="H633" s="161"/>
      <c r="I633" s="161"/>
      <c r="J633" s="161"/>
      <c r="K633" s="161"/>
      <c r="L633" s="161"/>
      <c r="M633" s="161"/>
      <c r="N633" s="161"/>
      <c r="O633" s="161"/>
      <c r="P633" s="161"/>
      <c r="Q633" s="161"/>
      <c r="R633" s="161"/>
      <c r="S633" s="161"/>
      <c r="T633" s="161"/>
      <c r="U633" s="161"/>
      <c r="V633" s="161"/>
      <c r="W633" s="161"/>
      <c r="X633" s="161"/>
    </row>
    <row r="634" ht="12.75" customHeight="1">
      <c r="A634" s="165">
        <v>41160.0</v>
      </c>
      <c r="B634" s="165" t="s">
        <v>10826</v>
      </c>
      <c r="C634" s="166">
        <v>45915.0</v>
      </c>
      <c r="D634" s="165" t="s">
        <v>12371</v>
      </c>
      <c r="E634" s="161"/>
      <c r="F634" s="161"/>
      <c r="G634" s="161"/>
      <c r="H634" s="161"/>
      <c r="I634" s="161"/>
      <c r="J634" s="161"/>
      <c r="K634" s="161"/>
      <c r="L634" s="161"/>
      <c r="M634" s="161"/>
      <c r="N634" s="161"/>
      <c r="O634" s="161"/>
      <c r="P634" s="161"/>
      <c r="Q634" s="161"/>
      <c r="R634" s="161"/>
      <c r="S634" s="161"/>
      <c r="T634" s="161"/>
      <c r="U634" s="161"/>
      <c r="V634" s="161"/>
      <c r="W634" s="161"/>
      <c r="X634" s="161"/>
    </row>
    <row r="635" ht="12.75" customHeight="1">
      <c r="A635" s="165">
        <v>40711.0</v>
      </c>
      <c r="B635" s="165" t="s">
        <v>10810</v>
      </c>
      <c r="C635" s="166">
        <v>45919.0</v>
      </c>
      <c r="D635" s="165" t="s">
        <v>12371</v>
      </c>
      <c r="E635" s="161"/>
      <c r="F635" s="161"/>
      <c r="G635" s="161"/>
      <c r="H635" s="161"/>
      <c r="I635" s="161"/>
      <c r="J635" s="161"/>
      <c r="K635" s="161"/>
      <c r="L635" s="161"/>
      <c r="M635" s="161"/>
      <c r="N635" s="161"/>
      <c r="O635" s="161"/>
      <c r="P635" s="161"/>
      <c r="Q635" s="161"/>
      <c r="R635" s="161"/>
      <c r="S635" s="161"/>
      <c r="T635" s="161"/>
      <c r="U635" s="161"/>
      <c r="V635" s="161"/>
      <c r="W635" s="161"/>
      <c r="X635" s="161"/>
    </row>
    <row r="636" ht="12.75" customHeight="1">
      <c r="A636" s="165">
        <v>41207.0</v>
      </c>
      <c r="B636" s="165" t="s">
        <v>10769</v>
      </c>
      <c r="C636" s="166">
        <v>45931.0</v>
      </c>
      <c r="D636" s="165" t="s">
        <v>12371</v>
      </c>
      <c r="E636" s="161"/>
      <c r="F636" s="161"/>
      <c r="G636" s="161"/>
      <c r="H636" s="161"/>
      <c r="I636" s="161"/>
      <c r="J636" s="161"/>
      <c r="K636" s="161"/>
      <c r="L636" s="161"/>
      <c r="M636" s="161"/>
      <c r="N636" s="161"/>
      <c r="O636" s="161"/>
      <c r="P636" s="161"/>
      <c r="Q636" s="161"/>
      <c r="R636" s="161"/>
      <c r="S636" s="161"/>
      <c r="T636" s="161"/>
      <c r="U636" s="161"/>
      <c r="V636" s="161"/>
      <c r="W636" s="161"/>
      <c r="X636" s="161"/>
    </row>
    <row r="637" ht="12.75" customHeight="1">
      <c r="A637" s="165">
        <v>41208.0</v>
      </c>
      <c r="B637" s="165" t="s">
        <v>10767</v>
      </c>
      <c r="C637" s="166">
        <v>45931.0</v>
      </c>
      <c r="D637" s="165" t="s">
        <v>12371</v>
      </c>
      <c r="E637" s="161"/>
      <c r="F637" s="161"/>
      <c r="G637" s="161"/>
      <c r="H637" s="161"/>
      <c r="I637" s="161"/>
      <c r="J637" s="161"/>
      <c r="K637" s="161"/>
      <c r="L637" s="161"/>
      <c r="M637" s="161"/>
      <c r="N637" s="161"/>
      <c r="O637" s="161"/>
      <c r="P637" s="161"/>
      <c r="Q637" s="161"/>
      <c r="R637" s="161"/>
      <c r="S637" s="161"/>
      <c r="T637" s="161"/>
      <c r="U637" s="161"/>
      <c r="V637" s="161"/>
      <c r="W637" s="161"/>
      <c r="X637" s="161"/>
    </row>
    <row r="638" ht="12.75" customHeight="1">
      <c r="A638" s="165">
        <v>41209.0</v>
      </c>
      <c r="B638" s="165" t="s">
        <v>10752</v>
      </c>
      <c r="C638" s="166">
        <v>45938.0</v>
      </c>
      <c r="D638" s="165" t="s">
        <v>12371</v>
      </c>
      <c r="E638" s="161"/>
      <c r="F638" s="161"/>
      <c r="G638" s="161"/>
      <c r="H638" s="161"/>
      <c r="I638" s="161"/>
      <c r="J638" s="161"/>
      <c r="K638" s="161"/>
      <c r="L638" s="161"/>
      <c r="M638" s="161"/>
      <c r="N638" s="161"/>
      <c r="O638" s="161"/>
      <c r="P638" s="161"/>
      <c r="Q638" s="161"/>
      <c r="R638" s="161"/>
      <c r="S638" s="161"/>
      <c r="T638" s="161"/>
      <c r="U638" s="161"/>
      <c r="V638" s="161"/>
      <c r="W638" s="161"/>
      <c r="X638" s="161"/>
    </row>
    <row r="639" ht="12.75" customHeight="1">
      <c r="A639" s="165">
        <v>41191.0</v>
      </c>
      <c r="B639" s="165" t="s">
        <v>10750</v>
      </c>
      <c r="C639" s="166">
        <v>45938.0</v>
      </c>
      <c r="D639" s="165" t="s">
        <v>12371</v>
      </c>
      <c r="E639" s="161"/>
      <c r="F639" s="161"/>
      <c r="G639" s="161"/>
      <c r="H639" s="161"/>
      <c r="I639" s="161"/>
      <c r="J639" s="161"/>
      <c r="K639" s="161"/>
      <c r="L639" s="161"/>
      <c r="M639" s="161"/>
      <c r="N639" s="161"/>
      <c r="O639" s="161"/>
      <c r="P639" s="161"/>
      <c r="Q639" s="161"/>
      <c r="R639" s="161"/>
      <c r="S639" s="161"/>
      <c r="T639" s="161"/>
      <c r="U639" s="161"/>
      <c r="V639" s="161"/>
      <c r="W639" s="161"/>
      <c r="X639" s="161"/>
    </row>
    <row r="640" ht="12.75" customHeight="1">
      <c r="A640" s="165">
        <v>41151.0</v>
      </c>
      <c r="B640" s="165" t="s">
        <v>10748</v>
      </c>
      <c r="C640" s="166">
        <v>45938.0</v>
      </c>
      <c r="D640" s="165" t="s">
        <v>12371</v>
      </c>
      <c r="E640" s="161"/>
      <c r="F640" s="161"/>
      <c r="G640" s="161"/>
      <c r="H640" s="161"/>
      <c r="I640" s="161"/>
      <c r="J640" s="161"/>
      <c r="K640" s="161"/>
      <c r="L640" s="161"/>
      <c r="M640" s="161"/>
      <c r="N640" s="161"/>
      <c r="O640" s="161"/>
      <c r="P640" s="161"/>
      <c r="Q640" s="161"/>
      <c r="R640" s="161"/>
      <c r="S640" s="161"/>
      <c r="T640" s="161"/>
      <c r="U640" s="161"/>
      <c r="V640" s="161"/>
      <c r="W640" s="161"/>
      <c r="X640" s="161"/>
    </row>
    <row r="641" ht="12.75" customHeight="1">
      <c r="A641" s="165">
        <v>41352.0</v>
      </c>
      <c r="B641" s="165" t="s">
        <v>10739</v>
      </c>
      <c r="C641" s="166">
        <v>45940.0</v>
      </c>
      <c r="D641" s="165" t="s">
        <v>12371</v>
      </c>
      <c r="E641" s="161"/>
      <c r="F641" s="161"/>
      <c r="G641" s="161"/>
      <c r="H641" s="161"/>
      <c r="I641" s="161"/>
      <c r="J641" s="161"/>
      <c r="K641" s="161"/>
      <c r="L641" s="161"/>
      <c r="M641" s="161"/>
      <c r="N641" s="161"/>
      <c r="O641" s="161"/>
      <c r="P641" s="161"/>
      <c r="Q641" s="161"/>
      <c r="R641" s="161"/>
      <c r="S641" s="161"/>
      <c r="T641" s="161"/>
      <c r="U641" s="161"/>
      <c r="V641" s="161"/>
      <c r="W641" s="161"/>
      <c r="X641" s="161"/>
    </row>
    <row r="642" ht="12.75" customHeight="1">
      <c r="A642" s="165">
        <v>41518.0</v>
      </c>
      <c r="B642" s="165" t="s">
        <v>11546</v>
      </c>
      <c r="C642" s="166">
        <v>45943.0</v>
      </c>
      <c r="D642" s="165" t="s">
        <v>12371</v>
      </c>
      <c r="E642" s="161"/>
      <c r="F642" s="161"/>
      <c r="G642" s="161"/>
      <c r="H642" s="161"/>
      <c r="I642" s="161"/>
      <c r="J642" s="161"/>
      <c r="K642" s="161"/>
      <c r="L642" s="161"/>
      <c r="M642" s="161"/>
      <c r="N642" s="161"/>
      <c r="O642" s="161"/>
      <c r="P642" s="161"/>
      <c r="Q642" s="161"/>
      <c r="R642" s="161"/>
      <c r="S642" s="161"/>
      <c r="T642" s="161"/>
      <c r="U642" s="161"/>
      <c r="V642" s="161"/>
      <c r="W642" s="161"/>
      <c r="X642" s="161"/>
    </row>
    <row r="643" ht="12.75" customHeight="1">
      <c r="A643" s="165">
        <v>41432.0</v>
      </c>
      <c r="B643" s="165" t="s">
        <v>10735</v>
      </c>
      <c r="C643" s="166">
        <v>45945.0</v>
      </c>
      <c r="D643" s="165" t="s">
        <v>12371</v>
      </c>
      <c r="E643" s="161"/>
      <c r="F643" s="161"/>
      <c r="G643" s="161"/>
      <c r="H643" s="161"/>
      <c r="I643" s="161"/>
      <c r="J643" s="161"/>
      <c r="K643" s="161"/>
      <c r="L643" s="161"/>
      <c r="M643" s="161"/>
      <c r="N643" s="161"/>
      <c r="O643" s="161"/>
      <c r="P643" s="161"/>
      <c r="Q643" s="161"/>
      <c r="R643" s="161"/>
      <c r="S643" s="161"/>
      <c r="T643" s="161"/>
      <c r="U643" s="161"/>
      <c r="V643" s="161"/>
      <c r="W643" s="161"/>
      <c r="X643" s="161"/>
    </row>
    <row r="644" ht="12.75" customHeight="1">
      <c r="A644" s="165">
        <v>41210.0</v>
      </c>
      <c r="B644" s="165" t="s">
        <v>10731</v>
      </c>
      <c r="C644" s="166">
        <v>45950.0</v>
      </c>
      <c r="D644" s="165" t="s">
        <v>12371</v>
      </c>
      <c r="E644" s="161"/>
      <c r="F644" s="161"/>
      <c r="G644" s="161"/>
      <c r="H644" s="161"/>
      <c r="I644" s="161"/>
      <c r="J644" s="161"/>
      <c r="K644" s="161"/>
      <c r="L644" s="161"/>
      <c r="M644" s="161"/>
      <c r="N644" s="161"/>
      <c r="O644" s="161"/>
      <c r="P644" s="161"/>
      <c r="Q644" s="161"/>
      <c r="R644" s="161"/>
      <c r="S644" s="161"/>
      <c r="T644" s="161"/>
      <c r="U644" s="161"/>
      <c r="V644" s="161"/>
      <c r="W644" s="161"/>
      <c r="X644" s="161"/>
    </row>
    <row r="645" ht="12.75" customHeight="1">
      <c r="A645" s="165">
        <v>41133.0</v>
      </c>
      <c r="B645" s="165" t="s">
        <v>10718</v>
      </c>
      <c r="C645" s="166">
        <v>45957.0</v>
      </c>
      <c r="D645" s="165" t="s">
        <v>12371</v>
      </c>
      <c r="E645" s="161"/>
      <c r="F645" s="161"/>
      <c r="G645" s="161"/>
      <c r="H645" s="161"/>
      <c r="I645" s="161"/>
      <c r="J645" s="161"/>
      <c r="K645" s="161"/>
      <c r="L645" s="161"/>
      <c r="M645" s="161"/>
      <c r="N645" s="161"/>
      <c r="O645" s="161"/>
      <c r="P645" s="161"/>
      <c r="Q645" s="161"/>
      <c r="R645" s="161"/>
      <c r="S645" s="161"/>
      <c r="T645" s="161"/>
      <c r="U645" s="161"/>
      <c r="V645" s="161"/>
      <c r="W645" s="161"/>
      <c r="X645" s="161"/>
    </row>
    <row r="646" ht="12.75" customHeight="1">
      <c r="A646" s="165">
        <v>41135.0</v>
      </c>
      <c r="B646" s="165" t="s">
        <v>10716</v>
      </c>
      <c r="C646" s="166">
        <v>45957.0</v>
      </c>
      <c r="D646" s="165" t="s">
        <v>12371</v>
      </c>
      <c r="E646" s="161"/>
      <c r="F646" s="161"/>
      <c r="G646" s="161"/>
      <c r="H646" s="161"/>
      <c r="I646" s="161"/>
      <c r="J646" s="161"/>
      <c r="K646" s="161"/>
      <c r="L646" s="161"/>
      <c r="M646" s="161"/>
      <c r="N646" s="161"/>
      <c r="O646" s="161"/>
      <c r="P646" s="161"/>
      <c r="Q646" s="161"/>
      <c r="R646" s="161"/>
      <c r="S646" s="161"/>
      <c r="T646" s="161"/>
      <c r="U646" s="161"/>
      <c r="V646" s="161"/>
      <c r="W646" s="161"/>
      <c r="X646" s="161"/>
    </row>
    <row r="647" ht="12.75" customHeight="1">
      <c r="A647" s="165">
        <v>41137.0</v>
      </c>
      <c r="B647" s="165" t="s">
        <v>10714</v>
      </c>
      <c r="C647" s="166">
        <v>45957.0</v>
      </c>
      <c r="D647" s="165" t="s">
        <v>12371</v>
      </c>
      <c r="E647" s="161"/>
      <c r="F647" s="161"/>
      <c r="G647" s="161"/>
      <c r="H647" s="161"/>
      <c r="I647" s="161"/>
      <c r="J647" s="161"/>
      <c r="K647" s="161"/>
      <c r="L647" s="161"/>
      <c r="M647" s="161"/>
      <c r="N647" s="161"/>
      <c r="O647" s="161"/>
      <c r="P647" s="161"/>
      <c r="Q647" s="161"/>
      <c r="R647" s="161"/>
      <c r="S647" s="161"/>
      <c r="T647" s="161"/>
      <c r="U647" s="161"/>
      <c r="V647" s="161"/>
      <c r="W647" s="161"/>
      <c r="X647" s="161"/>
    </row>
    <row r="648" ht="12.75" customHeight="1">
      <c r="A648" s="165">
        <v>41152.0</v>
      </c>
      <c r="B648" s="165" t="s">
        <v>10712</v>
      </c>
      <c r="C648" s="166">
        <v>45957.0</v>
      </c>
      <c r="D648" s="165" t="s">
        <v>12371</v>
      </c>
      <c r="E648" s="161"/>
      <c r="F648" s="161"/>
      <c r="G648" s="161"/>
      <c r="H648" s="161"/>
      <c r="I648" s="161"/>
      <c r="J648" s="161"/>
      <c r="K648" s="161"/>
      <c r="L648" s="161"/>
      <c r="M648" s="161"/>
      <c r="N648" s="161"/>
      <c r="O648" s="161"/>
      <c r="P648" s="161"/>
      <c r="Q648" s="161"/>
      <c r="R648" s="161"/>
      <c r="S648" s="161"/>
      <c r="T648" s="161"/>
      <c r="U648" s="161"/>
      <c r="V648" s="161"/>
      <c r="W648" s="161"/>
      <c r="X648" s="161"/>
    </row>
    <row r="649" ht="12.75" customHeight="1">
      <c r="A649" s="165">
        <v>41158.0</v>
      </c>
      <c r="B649" s="165" t="s">
        <v>10709</v>
      </c>
      <c r="C649" s="166">
        <v>45957.0</v>
      </c>
      <c r="D649" s="165" t="s">
        <v>12371</v>
      </c>
      <c r="E649" s="161"/>
      <c r="F649" s="161"/>
      <c r="G649" s="161"/>
      <c r="H649" s="161"/>
      <c r="I649" s="161"/>
      <c r="J649" s="161"/>
      <c r="K649" s="161"/>
      <c r="L649" s="161"/>
      <c r="M649" s="161"/>
      <c r="N649" s="161"/>
      <c r="O649" s="161"/>
      <c r="P649" s="161"/>
      <c r="Q649" s="161"/>
      <c r="R649" s="161"/>
      <c r="S649" s="161"/>
      <c r="T649" s="161"/>
      <c r="U649" s="161"/>
      <c r="V649" s="161"/>
      <c r="W649" s="161"/>
      <c r="X649" s="161"/>
    </row>
    <row r="650" ht="12.75" customHeight="1">
      <c r="A650" s="165">
        <v>41212.0</v>
      </c>
      <c r="B650" s="165" t="s">
        <v>10707</v>
      </c>
      <c r="C650" s="166">
        <v>45957.0</v>
      </c>
      <c r="D650" s="165" t="s">
        <v>12371</v>
      </c>
      <c r="E650" s="161"/>
      <c r="F650" s="161"/>
      <c r="G650" s="161"/>
      <c r="H650" s="161"/>
      <c r="I650" s="161"/>
      <c r="J650" s="161"/>
      <c r="K650" s="161"/>
      <c r="L650" s="161"/>
      <c r="M650" s="161"/>
      <c r="N650" s="161"/>
      <c r="O650" s="161"/>
      <c r="P650" s="161"/>
      <c r="Q650" s="161"/>
      <c r="R650" s="161"/>
      <c r="S650" s="161"/>
      <c r="T650" s="161"/>
      <c r="U650" s="161"/>
      <c r="V650" s="161"/>
      <c r="W650" s="161"/>
      <c r="X650" s="161"/>
    </row>
    <row r="651" ht="12.75" customHeight="1">
      <c r="A651" s="165">
        <v>41153.0</v>
      </c>
      <c r="B651" s="165" t="s">
        <v>10704</v>
      </c>
      <c r="C651" s="166">
        <v>45957.0</v>
      </c>
      <c r="D651" s="165" t="s">
        <v>12371</v>
      </c>
      <c r="E651" s="161"/>
      <c r="F651" s="161"/>
      <c r="G651" s="161"/>
      <c r="H651" s="161"/>
      <c r="I651" s="161"/>
      <c r="J651" s="161"/>
      <c r="K651" s="161"/>
      <c r="L651" s="161"/>
      <c r="M651" s="161"/>
      <c r="N651" s="161"/>
      <c r="O651" s="161"/>
      <c r="P651" s="161"/>
      <c r="Q651" s="161"/>
      <c r="R651" s="161"/>
      <c r="S651" s="161"/>
      <c r="T651" s="161"/>
      <c r="U651" s="161"/>
      <c r="V651" s="161"/>
      <c r="W651" s="161"/>
      <c r="X651" s="161"/>
    </row>
    <row r="652" ht="12.75" customHeight="1">
      <c r="A652" s="165">
        <v>41211.0</v>
      </c>
      <c r="B652" s="165" t="s">
        <v>10701</v>
      </c>
      <c r="C652" s="166">
        <v>45957.0</v>
      </c>
      <c r="D652" s="165" t="s">
        <v>12371</v>
      </c>
      <c r="E652" s="161"/>
      <c r="F652" s="161"/>
      <c r="G652" s="161"/>
      <c r="H652" s="161"/>
      <c r="I652" s="161"/>
      <c r="J652" s="161"/>
      <c r="K652" s="161"/>
      <c r="L652" s="161"/>
      <c r="M652" s="161"/>
      <c r="N652" s="161"/>
      <c r="O652" s="161"/>
      <c r="P652" s="161"/>
      <c r="Q652" s="161"/>
      <c r="R652" s="161"/>
      <c r="S652" s="161"/>
      <c r="T652" s="161"/>
      <c r="U652" s="161"/>
      <c r="V652" s="161"/>
      <c r="W652" s="161"/>
      <c r="X652" s="161"/>
    </row>
    <row r="653" ht="12.75" customHeight="1">
      <c r="A653" s="165">
        <v>41136.0</v>
      </c>
      <c r="B653" s="165" t="s">
        <v>10699</v>
      </c>
      <c r="C653" s="166">
        <v>45957.0</v>
      </c>
      <c r="D653" s="165" t="s">
        <v>12371</v>
      </c>
      <c r="E653" s="161"/>
      <c r="F653" s="161"/>
      <c r="G653" s="161"/>
      <c r="H653" s="161"/>
      <c r="I653" s="161"/>
      <c r="J653" s="161"/>
      <c r="K653" s="161"/>
      <c r="L653" s="161"/>
      <c r="M653" s="161"/>
      <c r="N653" s="161"/>
      <c r="O653" s="161"/>
      <c r="P653" s="161"/>
      <c r="Q653" s="161"/>
      <c r="R653" s="161"/>
      <c r="S653" s="161"/>
      <c r="T653" s="161"/>
      <c r="U653" s="161"/>
      <c r="V653" s="161"/>
      <c r="W653" s="161"/>
      <c r="X653" s="161"/>
    </row>
    <row r="654" ht="12.75" customHeight="1">
      <c r="A654" s="165">
        <v>41159.0</v>
      </c>
      <c r="B654" s="165" t="s">
        <v>10697</v>
      </c>
      <c r="C654" s="166">
        <v>45957.0</v>
      </c>
      <c r="D654" s="165" t="s">
        <v>12371</v>
      </c>
      <c r="E654" s="161"/>
      <c r="F654" s="161"/>
      <c r="G654" s="161"/>
      <c r="H654" s="161"/>
      <c r="I654" s="161"/>
      <c r="J654" s="161"/>
      <c r="K654" s="161"/>
      <c r="L654" s="161"/>
      <c r="M654" s="161"/>
      <c r="N654" s="161"/>
      <c r="O654" s="161"/>
      <c r="P654" s="161"/>
      <c r="Q654" s="161"/>
      <c r="R654" s="161"/>
      <c r="S654" s="161"/>
      <c r="T654" s="161"/>
      <c r="U654" s="161"/>
      <c r="V654" s="161"/>
      <c r="W654" s="161"/>
      <c r="X654" s="161"/>
    </row>
    <row r="655" ht="12.75" customHeight="1">
      <c r="A655" s="165">
        <v>41443.0</v>
      </c>
      <c r="B655" s="165" t="s">
        <v>10689</v>
      </c>
      <c r="C655" s="166">
        <v>45961.0</v>
      </c>
      <c r="D655" s="165" t="s">
        <v>12371</v>
      </c>
      <c r="E655" s="161"/>
      <c r="F655" s="161"/>
      <c r="G655" s="161"/>
      <c r="H655" s="161"/>
      <c r="I655" s="161"/>
      <c r="J655" s="161"/>
      <c r="K655" s="161"/>
      <c r="L655" s="161"/>
      <c r="M655" s="161"/>
      <c r="N655" s="161"/>
      <c r="O655" s="161"/>
      <c r="P655" s="161"/>
      <c r="Q655" s="161"/>
      <c r="R655" s="161"/>
      <c r="S655" s="161"/>
      <c r="T655" s="161"/>
      <c r="U655" s="161"/>
      <c r="V655" s="161"/>
      <c r="W655" s="161"/>
      <c r="X655" s="161"/>
    </row>
    <row r="656" ht="12.75" customHeight="1">
      <c r="A656" s="165">
        <v>41693.0</v>
      </c>
      <c r="B656" s="165" t="s">
        <v>11525</v>
      </c>
      <c r="C656" s="166">
        <v>45964.0</v>
      </c>
      <c r="D656" s="165" t="s">
        <v>12371</v>
      </c>
      <c r="E656" s="161"/>
      <c r="F656" s="161"/>
      <c r="G656" s="161"/>
      <c r="H656" s="161"/>
      <c r="I656" s="161"/>
      <c r="J656" s="161"/>
      <c r="K656" s="161"/>
      <c r="L656" s="161"/>
      <c r="M656" s="161"/>
      <c r="N656" s="161"/>
      <c r="O656" s="161"/>
      <c r="P656" s="161"/>
      <c r="Q656" s="161"/>
      <c r="R656" s="161"/>
      <c r="S656" s="161"/>
      <c r="T656" s="161"/>
      <c r="U656" s="161"/>
      <c r="V656" s="161"/>
      <c r="W656" s="161"/>
      <c r="X656" s="161"/>
    </row>
    <row r="657" ht="12.75" customHeight="1">
      <c r="A657" s="165">
        <v>41214.0</v>
      </c>
      <c r="B657" s="165" t="s">
        <v>10683</v>
      </c>
      <c r="C657" s="166">
        <v>45971.0</v>
      </c>
      <c r="D657" s="165" t="s">
        <v>12371</v>
      </c>
      <c r="E657" s="161"/>
      <c r="F657" s="161"/>
      <c r="G657" s="161"/>
      <c r="H657" s="161"/>
      <c r="I657" s="161"/>
      <c r="J657" s="161"/>
      <c r="K657" s="161"/>
      <c r="L657" s="161"/>
      <c r="M657" s="161"/>
      <c r="N657" s="161"/>
      <c r="O657" s="161"/>
      <c r="P657" s="161"/>
      <c r="Q657" s="161"/>
      <c r="R657" s="161"/>
      <c r="S657" s="161"/>
      <c r="T657" s="161"/>
      <c r="U657" s="161"/>
      <c r="V657" s="161"/>
      <c r="W657" s="161"/>
      <c r="X657" s="161"/>
    </row>
    <row r="658" ht="12.75" customHeight="1">
      <c r="A658" s="165">
        <v>41213.0</v>
      </c>
      <c r="B658" s="165" t="s">
        <v>10681</v>
      </c>
      <c r="C658" s="166">
        <v>45973.0</v>
      </c>
      <c r="D658" s="165" t="s">
        <v>12371</v>
      </c>
      <c r="E658" s="161"/>
      <c r="F658" s="161"/>
      <c r="G658" s="161"/>
      <c r="H658" s="161"/>
      <c r="I658" s="161"/>
      <c r="J658" s="161"/>
      <c r="K658" s="161"/>
      <c r="L658" s="161"/>
      <c r="M658" s="161"/>
      <c r="N658" s="161"/>
      <c r="O658" s="161"/>
      <c r="P658" s="161"/>
      <c r="Q658" s="161"/>
      <c r="R658" s="161"/>
      <c r="S658" s="161"/>
      <c r="T658" s="161"/>
      <c r="U658" s="161"/>
      <c r="V658" s="161"/>
      <c r="W658" s="161"/>
      <c r="X658" s="161"/>
    </row>
    <row r="659" ht="12.75" customHeight="1">
      <c r="A659" s="165">
        <v>41433.0</v>
      </c>
      <c r="B659" s="165" t="s">
        <v>10661</v>
      </c>
      <c r="C659" s="166">
        <v>45974.0</v>
      </c>
      <c r="D659" s="165" t="s">
        <v>12371</v>
      </c>
      <c r="E659" s="161"/>
      <c r="F659" s="161"/>
      <c r="G659" s="161"/>
      <c r="H659" s="161"/>
      <c r="I659" s="161"/>
      <c r="J659" s="161"/>
      <c r="K659" s="161"/>
      <c r="L659" s="161"/>
      <c r="M659" s="161"/>
      <c r="N659" s="161"/>
      <c r="O659" s="161"/>
      <c r="P659" s="161"/>
      <c r="Q659" s="161"/>
      <c r="R659" s="161"/>
      <c r="S659" s="161"/>
      <c r="T659" s="161"/>
      <c r="U659" s="161"/>
      <c r="V659" s="161"/>
      <c r="W659" s="161"/>
      <c r="X659" s="161"/>
    </row>
    <row r="660" ht="12.75" customHeight="1">
      <c r="A660" s="165">
        <v>41382.0</v>
      </c>
      <c r="B660" s="165" t="s">
        <v>10645</v>
      </c>
      <c r="C660" s="166">
        <v>45978.0</v>
      </c>
      <c r="D660" s="165" t="s">
        <v>12371</v>
      </c>
      <c r="E660" s="161"/>
      <c r="F660" s="161"/>
      <c r="G660" s="161"/>
      <c r="H660" s="161"/>
      <c r="I660" s="161"/>
      <c r="J660" s="161"/>
      <c r="K660" s="161"/>
      <c r="L660" s="161"/>
      <c r="M660" s="161"/>
      <c r="N660" s="161"/>
      <c r="O660" s="161"/>
      <c r="P660" s="161"/>
      <c r="Q660" s="161"/>
      <c r="R660" s="161"/>
      <c r="S660" s="161"/>
      <c r="T660" s="161"/>
      <c r="U660" s="161"/>
      <c r="V660" s="161"/>
      <c r="W660" s="161"/>
      <c r="X660" s="161"/>
    </row>
    <row r="661" ht="12.75" customHeight="1">
      <c r="A661" s="165">
        <v>41381.0</v>
      </c>
      <c r="B661" s="165" t="s">
        <v>10642</v>
      </c>
      <c r="C661" s="166">
        <v>45979.0</v>
      </c>
      <c r="D661" s="165" t="s">
        <v>12371</v>
      </c>
      <c r="E661" s="161"/>
      <c r="F661" s="161"/>
      <c r="G661" s="161"/>
      <c r="H661" s="161"/>
      <c r="I661" s="161"/>
      <c r="J661" s="161"/>
      <c r="K661" s="161"/>
      <c r="L661" s="161"/>
      <c r="M661" s="161"/>
      <c r="N661" s="161"/>
      <c r="O661" s="161"/>
      <c r="P661" s="161"/>
      <c r="Q661" s="161"/>
      <c r="R661" s="161"/>
      <c r="S661" s="161"/>
      <c r="T661" s="161"/>
      <c r="U661" s="161"/>
      <c r="V661" s="161"/>
      <c r="W661" s="161"/>
      <c r="X661" s="161"/>
    </row>
    <row r="662" ht="12.75" customHeight="1">
      <c r="A662" s="165">
        <v>41294.0</v>
      </c>
      <c r="B662" s="165" t="s">
        <v>10631</v>
      </c>
      <c r="C662" s="166">
        <v>45979.0</v>
      </c>
      <c r="D662" s="165" t="s">
        <v>12371</v>
      </c>
      <c r="E662" s="161"/>
      <c r="F662" s="161"/>
      <c r="G662" s="161"/>
      <c r="H662" s="161"/>
      <c r="I662" s="161"/>
      <c r="J662" s="161"/>
      <c r="K662" s="161"/>
      <c r="L662" s="161"/>
      <c r="M662" s="161"/>
      <c r="N662" s="161"/>
      <c r="O662" s="161"/>
      <c r="P662" s="161"/>
      <c r="Q662" s="161"/>
      <c r="R662" s="161"/>
      <c r="S662" s="161"/>
      <c r="T662" s="161"/>
      <c r="U662" s="161"/>
      <c r="V662" s="161"/>
      <c r="W662" s="161"/>
      <c r="X662" s="161"/>
    </row>
    <row r="663" ht="12.75" customHeight="1">
      <c r="A663" s="165">
        <v>41367.0</v>
      </c>
      <c r="B663" s="165" t="s">
        <v>10634</v>
      </c>
      <c r="C663" s="166">
        <v>45979.0</v>
      </c>
      <c r="D663" s="165" t="s">
        <v>12371</v>
      </c>
      <c r="E663" s="161"/>
      <c r="F663" s="161"/>
      <c r="G663" s="161"/>
      <c r="H663" s="161"/>
      <c r="I663" s="161"/>
      <c r="J663" s="161"/>
      <c r="K663" s="161"/>
      <c r="L663" s="161"/>
      <c r="M663" s="161"/>
      <c r="N663" s="161"/>
      <c r="O663" s="161"/>
      <c r="P663" s="161"/>
      <c r="Q663" s="161"/>
      <c r="R663" s="161"/>
      <c r="S663" s="161"/>
      <c r="T663" s="161"/>
      <c r="U663" s="161"/>
      <c r="V663" s="161"/>
      <c r="W663" s="161"/>
      <c r="X663" s="161"/>
    </row>
    <row r="664" ht="12.75" customHeight="1">
      <c r="A664" s="165">
        <v>41572.0</v>
      </c>
      <c r="B664" s="165" t="s">
        <v>10613</v>
      </c>
      <c r="C664" s="166">
        <v>45985.0</v>
      </c>
      <c r="D664" s="165" t="s">
        <v>12371</v>
      </c>
      <c r="E664" s="161"/>
      <c r="F664" s="161"/>
      <c r="G664" s="161"/>
      <c r="H664" s="161"/>
      <c r="I664" s="161"/>
      <c r="J664" s="161"/>
      <c r="K664" s="161"/>
      <c r="L664" s="161"/>
      <c r="M664" s="161"/>
      <c r="N664" s="161"/>
      <c r="O664" s="161"/>
      <c r="P664" s="161"/>
      <c r="Q664" s="161"/>
      <c r="R664" s="161"/>
      <c r="S664" s="161"/>
      <c r="T664" s="161"/>
      <c r="U664" s="161"/>
      <c r="V664" s="161"/>
      <c r="W664" s="161"/>
      <c r="X664" s="161"/>
    </row>
    <row r="665" ht="12.75" customHeight="1">
      <c r="A665" s="165">
        <v>41215.0</v>
      </c>
      <c r="B665" s="165" t="s">
        <v>10611</v>
      </c>
      <c r="C665" s="166">
        <v>45985.0</v>
      </c>
      <c r="D665" s="165" t="s">
        <v>12371</v>
      </c>
      <c r="E665" s="161"/>
      <c r="F665" s="161"/>
      <c r="G665" s="161"/>
      <c r="H665" s="161"/>
      <c r="I665" s="161"/>
      <c r="J665" s="161"/>
      <c r="K665" s="161"/>
      <c r="L665" s="161"/>
      <c r="M665" s="161"/>
      <c r="N665" s="161"/>
      <c r="O665" s="161"/>
      <c r="P665" s="161"/>
      <c r="Q665" s="161"/>
      <c r="R665" s="161"/>
      <c r="S665" s="161"/>
      <c r="T665" s="161"/>
      <c r="U665" s="161"/>
      <c r="V665" s="161"/>
      <c r="W665" s="161"/>
      <c r="X665" s="161"/>
    </row>
    <row r="666" ht="12.75" customHeight="1">
      <c r="A666" s="165">
        <v>41411.0</v>
      </c>
      <c r="B666" s="165" t="s">
        <v>10608</v>
      </c>
      <c r="C666" s="166">
        <v>45985.0</v>
      </c>
      <c r="D666" s="165" t="s">
        <v>12371</v>
      </c>
      <c r="E666" s="161"/>
      <c r="F666" s="161"/>
      <c r="G666" s="161"/>
      <c r="H666" s="161"/>
      <c r="I666" s="161"/>
      <c r="J666" s="161"/>
      <c r="K666" s="161"/>
      <c r="L666" s="161"/>
      <c r="M666" s="161"/>
      <c r="N666" s="161"/>
      <c r="O666" s="161"/>
      <c r="P666" s="161"/>
      <c r="Q666" s="161"/>
      <c r="R666" s="161"/>
      <c r="S666" s="161"/>
      <c r="T666" s="161"/>
      <c r="U666" s="161"/>
      <c r="V666" s="161"/>
      <c r="W666" s="161"/>
      <c r="X666" s="161"/>
    </row>
    <row r="667" ht="12.75" customHeight="1">
      <c r="A667" s="165">
        <v>41450.0</v>
      </c>
      <c r="B667" s="165" t="s">
        <v>10606</v>
      </c>
      <c r="C667" s="166">
        <v>45985.0</v>
      </c>
      <c r="D667" s="165" t="s">
        <v>12371</v>
      </c>
      <c r="E667" s="161"/>
      <c r="F667" s="161"/>
      <c r="G667" s="161"/>
      <c r="H667" s="161"/>
      <c r="I667" s="161"/>
      <c r="J667" s="161"/>
      <c r="K667" s="161"/>
      <c r="L667" s="161"/>
      <c r="M667" s="161"/>
      <c r="N667" s="161"/>
      <c r="O667" s="161"/>
      <c r="P667" s="161"/>
      <c r="Q667" s="161"/>
      <c r="R667" s="161"/>
      <c r="S667" s="161"/>
      <c r="T667" s="161"/>
      <c r="U667" s="161"/>
      <c r="V667" s="161"/>
      <c r="W667" s="161"/>
      <c r="X667" s="161"/>
    </row>
    <row r="668" ht="12.75" customHeight="1">
      <c r="A668" s="165">
        <v>41402.0</v>
      </c>
      <c r="B668" s="165" t="s">
        <v>10603</v>
      </c>
      <c r="C668" s="166">
        <v>45985.0</v>
      </c>
      <c r="D668" s="165" t="s">
        <v>12371</v>
      </c>
      <c r="E668" s="161"/>
      <c r="F668" s="161"/>
      <c r="G668" s="161"/>
      <c r="H668" s="161"/>
      <c r="I668" s="161"/>
      <c r="J668" s="161"/>
      <c r="K668" s="161"/>
      <c r="L668" s="161"/>
      <c r="M668" s="161"/>
      <c r="N668" s="161"/>
      <c r="O668" s="161"/>
      <c r="P668" s="161"/>
      <c r="Q668" s="161"/>
      <c r="R668" s="161"/>
      <c r="S668" s="161"/>
      <c r="T668" s="161"/>
      <c r="U668" s="161"/>
      <c r="V668" s="161"/>
      <c r="W668" s="161"/>
      <c r="X668" s="161"/>
    </row>
    <row r="669" ht="12.75" customHeight="1">
      <c r="A669" s="165">
        <v>41409.0</v>
      </c>
      <c r="B669" s="165" t="s">
        <v>10600</v>
      </c>
      <c r="C669" s="166">
        <v>45985.0</v>
      </c>
      <c r="D669" s="165" t="s">
        <v>12371</v>
      </c>
      <c r="E669" s="161"/>
      <c r="F669" s="161"/>
      <c r="G669" s="161"/>
      <c r="H669" s="161"/>
      <c r="I669" s="161"/>
      <c r="J669" s="161"/>
      <c r="K669" s="161"/>
      <c r="L669" s="161"/>
      <c r="M669" s="161"/>
      <c r="N669" s="161"/>
      <c r="O669" s="161"/>
      <c r="P669" s="161"/>
      <c r="Q669" s="161"/>
      <c r="R669" s="161"/>
      <c r="S669" s="161"/>
      <c r="T669" s="161"/>
      <c r="U669" s="161"/>
      <c r="V669" s="161"/>
      <c r="W669" s="161"/>
      <c r="X669" s="161"/>
    </row>
    <row r="670" ht="12.75" customHeight="1">
      <c r="A670" s="165">
        <v>41400.0</v>
      </c>
      <c r="B670" s="165" t="s">
        <v>10598</v>
      </c>
      <c r="C670" s="166">
        <v>45985.0</v>
      </c>
      <c r="D670" s="165" t="s">
        <v>12371</v>
      </c>
      <c r="E670" s="161"/>
      <c r="F670" s="161"/>
      <c r="G670" s="161"/>
      <c r="H670" s="161"/>
      <c r="I670" s="161"/>
      <c r="J670" s="161"/>
      <c r="K670" s="161"/>
      <c r="L670" s="161"/>
      <c r="M670" s="161"/>
      <c r="N670" s="161"/>
      <c r="O670" s="161"/>
      <c r="P670" s="161"/>
      <c r="Q670" s="161"/>
      <c r="R670" s="161"/>
      <c r="S670" s="161"/>
      <c r="T670" s="161"/>
      <c r="U670" s="161"/>
      <c r="V670" s="161"/>
      <c r="W670" s="161"/>
      <c r="X670" s="161"/>
    </row>
    <row r="671" ht="12.75" customHeight="1">
      <c r="A671" s="165">
        <v>41401.0</v>
      </c>
      <c r="B671" s="165" t="s">
        <v>10595</v>
      </c>
      <c r="C671" s="166">
        <v>45985.0</v>
      </c>
      <c r="D671" s="165" t="s">
        <v>12371</v>
      </c>
      <c r="E671" s="161"/>
      <c r="F671" s="161"/>
      <c r="G671" s="161"/>
      <c r="H671" s="161"/>
      <c r="I671" s="161"/>
      <c r="J671" s="161"/>
      <c r="K671" s="161"/>
      <c r="L671" s="161"/>
      <c r="M671" s="161"/>
      <c r="N671" s="161"/>
      <c r="O671" s="161"/>
      <c r="P671" s="161"/>
      <c r="Q671" s="161"/>
      <c r="R671" s="161"/>
      <c r="S671" s="161"/>
      <c r="T671" s="161"/>
      <c r="U671" s="161"/>
      <c r="V671" s="161"/>
      <c r="W671" s="161"/>
      <c r="X671" s="161"/>
    </row>
    <row r="672" ht="12.75" customHeight="1">
      <c r="A672" s="165">
        <v>41459.0</v>
      </c>
      <c r="B672" s="165" t="s">
        <v>10576</v>
      </c>
      <c r="C672" s="166">
        <v>45989.0</v>
      </c>
      <c r="D672" s="165" t="s">
        <v>12371</v>
      </c>
      <c r="E672" s="161"/>
      <c r="F672" s="161"/>
      <c r="G672" s="161"/>
      <c r="H672" s="161"/>
      <c r="I672" s="161"/>
      <c r="J672" s="161"/>
      <c r="K672" s="161"/>
      <c r="L672" s="161"/>
      <c r="M672" s="161"/>
      <c r="N672" s="161"/>
      <c r="O672" s="161"/>
      <c r="P672" s="161"/>
      <c r="Q672" s="161"/>
      <c r="R672" s="161"/>
      <c r="S672" s="161"/>
      <c r="T672" s="161"/>
      <c r="U672" s="161"/>
      <c r="V672" s="161"/>
      <c r="W672" s="161"/>
      <c r="X672" s="161"/>
    </row>
    <row r="673" ht="12.75" customHeight="1">
      <c r="A673" s="165">
        <v>41554.0</v>
      </c>
      <c r="B673" s="165" t="s">
        <v>10580</v>
      </c>
      <c r="C673" s="166">
        <v>45989.0</v>
      </c>
      <c r="D673" s="165" t="s">
        <v>12371</v>
      </c>
      <c r="E673" s="161"/>
      <c r="F673" s="161"/>
      <c r="G673" s="161"/>
      <c r="H673" s="161"/>
      <c r="I673" s="161"/>
      <c r="J673" s="161"/>
      <c r="K673" s="161"/>
      <c r="L673" s="161"/>
      <c r="M673" s="161"/>
      <c r="N673" s="161"/>
      <c r="O673" s="161"/>
      <c r="P673" s="161"/>
      <c r="Q673" s="161"/>
      <c r="R673" s="161"/>
      <c r="S673" s="161"/>
      <c r="T673" s="161"/>
      <c r="U673" s="161"/>
      <c r="V673" s="161"/>
      <c r="W673" s="161"/>
      <c r="X673" s="161"/>
    </row>
    <row r="674" ht="12.75" customHeight="1">
      <c r="A674" s="165">
        <v>41842.0</v>
      </c>
      <c r="B674" s="165" t="s">
        <v>11505</v>
      </c>
      <c r="C674" s="166">
        <v>45993.0</v>
      </c>
      <c r="D674" s="165" t="s">
        <v>12371</v>
      </c>
      <c r="E674" s="161"/>
      <c r="F674" s="161"/>
      <c r="G674" s="161"/>
      <c r="H674" s="161"/>
      <c r="I674" s="161"/>
      <c r="J674" s="161"/>
      <c r="K674" s="161"/>
      <c r="L674" s="161"/>
      <c r="M674" s="161"/>
      <c r="N674" s="161"/>
      <c r="O674" s="161"/>
      <c r="P674" s="161"/>
      <c r="Q674" s="161"/>
      <c r="R674" s="161"/>
      <c r="S674" s="161"/>
      <c r="T674" s="161"/>
      <c r="U674" s="161"/>
      <c r="V674" s="161"/>
      <c r="W674" s="161"/>
      <c r="X674" s="161"/>
    </row>
    <row r="675" ht="12.75" customHeight="1">
      <c r="A675" s="165">
        <v>41461.0</v>
      </c>
      <c r="B675" s="165" t="s">
        <v>10552</v>
      </c>
      <c r="C675" s="166">
        <v>45993.0</v>
      </c>
      <c r="D675" s="165" t="s">
        <v>12371</v>
      </c>
      <c r="E675" s="161"/>
      <c r="F675" s="161"/>
      <c r="G675" s="161"/>
      <c r="H675" s="161"/>
      <c r="I675" s="161"/>
      <c r="J675" s="161"/>
      <c r="K675" s="161"/>
      <c r="L675" s="161"/>
      <c r="M675" s="161"/>
      <c r="N675" s="161"/>
      <c r="O675" s="161"/>
      <c r="P675" s="161"/>
      <c r="Q675" s="161"/>
      <c r="R675" s="161"/>
      <c r="S675" s="161"/>
      <c r="T675" s="161"/>
      <c r="U675" s="161"/>
      <c r="V675" s="161"/>
      <c r="W675" s="161"/>
      <c r="X675" s="161"/>
    </row>
    <row r="676" ht="12.75" customHeight="1">
      <c r="A676" s="165">
        <v>41410.0</v>
      </c>
      <c r="B676" s="165" t="s">
        <v>10558</v>
      </c>
      <c r="C676" s="166">
        <v>45994.0</v>
      </c>
      <c r="D676" s="165" t="s">
        <v>12371</v>
      </c>
      <c r="E676" s="161"/>
      <c r="F676" s="161"/>
      <c r="G676" s="161"/>
      <c r="H676" s="161"/>
      <c r="I676" s="161"/>
      <c r="J676" s="161"/>
      <c r="K676" s="161"/>
      <c r="L676" s="161"/>
      <c r="M676" s="161"/>
      <c r="N676" s="161"/>
      <c r="O676" s="161"/>
      <c r="P676" s="161"/>
      <c r="Q676" s="161"/>
      <c r="R676" s="161"/>
      <c r="S676" s="161"/>
      <c r="T676" s="161"/>
      <c r="U676" s="161"/>
      <c r="V676" s="161"/>
      <c r="W676" s="161"/>
      <c r="X676" s="161"/>
    </row>
    <row r="677" ht="12.75" customHeight="1">
      <c r="A677" s="165">
        <v>41216.0</v>
      </c>
      <c r="B677" s="165" t="s">
        <v>10538</v>
      </c>
      <c r="C677" s="166">
        <v>46002.0</v>
      </c>
      <c r="D677" s="165" t="s">
        <v>12371</v>
      </c>
      <c r="E677" s="161"/>
      <c r="F677" s="161"/>
      <c r="G677" s="161"/>
      <c r="H677" s="161"/>
      <c r="I677" s="161"/>
      <c r="J677" s="161"/>
      <c r="K677" s="161"/>
      <c r="L677" s="161"/>
      <c r="M677" s="161"/>
      <c r="N677" s="161"/>
      <c r="O677" s="161"/>
      <c r="P677" s="161"/>
      <c r="Q677" s="161"/>
      <c r="R677" s="161"/>
      <c r="S677" s="161"/>
      <c r="T677" s="161"/>
      <c r="U677" s="161"/>
      <c r="V677" s="161"/>
      <c r="W677" s="161"/>
      <c r="X677" s="161"/>
    </row>
    <row r="678" ht="12.75" customHeight="1">
      <c r="A678" s="165">
        <v>41217.0</v>
      </c>
      <c r="B678" s="165" t="s">
        <v>10535</v>
      </c>
      <c r="C678" s="166">
        <v>46002.0</v>
      </c>
      <c r="D678" s="165" t="s">
        <v>12371</v>
      </c>
      <c r="E678" s="161"/>
      <c r="F678" s="161"/>
      <c r="G678" s="161"/>
      <c r="H678" s="161"/>
      <c r="I678" s="161"/>
      <c r="J678" s="161"/>
      <c r="K678" s="161"/>
      <c r="L678" s="161"/>
      <c r="M678" s="161"/>
      <c r="N678" s="161"/>
      <c r="O678" s="161"/>
      <c r="P678" s="161"/>
      <c r="Q678" s="161"/>
      <c r="R678" s="161"/>
      <c r="S678" s="161"/>
      <c r="T678" s="161"/>
      <c r="U678" s="161"/>
      <c r="V678" s="161"/>
      <c r="W678" s="161"/>
      <c r="X678" s="161"/>
    </row>
    <row r="679" ht="12.75" customHeight="1">
      <c r="A679" s="165">
        <v>41494.0</v>
      </c>
      <c r="B679" s="165" t="s">
        <v>10530</v>
      </c>
      <c r="C679" s="166">
        <v>46003.0</v>
      </c>
      <c r="D679" s="165" t="s">
        <v>12371</v>
      </c>
      <c r="E679" s="161"/>
      <c r="F679" s="161"/>
      <c r="G679" s="161"/>
      <c r="H679" s="161"/>
      <c r="I679" s="161"/>
      <c r="J679" s="161"/>
      <c r="K679" s="161"/>
      <c r="L679" s="161"/>
      <c r="M679" s="161"/>
      <c r="N679" s="161"/>
      <c r="O679" s="161"/>
      <c r="P679" s="161"/>
      <c r="Q679" s="161"/>
      <c r="R679" s="161"/>
      <c r="S679" s="161"/>
      <c r="T679" s="161"/>
      <c r="U679" s="161"/>
      <c r="V679" s="161"/>
      <c r="W679" s="161"/>
      <c r="X679" s="161"/>
    </row>
    <row r="680" ht="12.75" customHeight="1">
      <c r="A680" s="165">
        <v>41557.0</v>
      </c>
      <c r="B680" s="165" t="s">
        <v>10520</v>
      </c>
      <c r="C680" s="166">
        <v>46007.0</v>
      </c>
      <c r="D680" s="165" t="s">
        <v>12371</v>
      </c>
      <c r="E680" s="161"/>
      <c r="F680" s="161"/>
      <c r="G680" s="161"/>
      <c r="H680" s="161"/>
      <c r="I680" s="161"/>
      <c r="J680" s="161"/>
      <c r="K680" s="161"/>
      <c r="L680" s="161"/>
      <c r="M680" s="161"/>
      <c r="N680" s="161"/>
      <c r="O680" s="161"/>
      <c r="P680" s="161"/>
      <c r="Q680" s="161"/>
      <c r="R680" s="161"/>
      <c r="S680" s="161"/>
      <c r="T680" s="161"/>
      <c r="U680" s="161"/>
      <c r="V680" s="161"/>
      <c r="W680" s="161"/>
      <c r="X680" s="161"/>
    </row>
    <row r="681" ht="12.75" customHeight="1">
      <c r="A681" s="165">
        <v>41944.0</v>
      </c>
      <c r="B681" s="165" t="s">
        <v>11482</v>
      </c>
      <c r="C681" s="166">
        <v>46008.0</v>
      </c>
      <c r="D681" s="165" t="s">
        <v>12371</v>
      </c>
      <c r="E681" s="161"/>
      <c r="F681" s="161"/>
      <c r="G681" s="161"/>
      <c r="H681" s="161"/>
      <c r="I681" s="161"/>
      <c r="J681" s="161"/>
      <c r="K681" s="161"/>
      <c r="L681" s="161"/>
      <c r="M681" s="161"/>
      <c r="N681" s="161"/>
      <c r="O681" s="161"/>
      <c r="P681" s="161"/>
      <c r="Q681" s="161"/>
      <c r="R681" s="161"/>
      <c r="S681" s="161"/>
      <c r="T681" s="161"/>
      <c r="U681" s="161"/>
      <c r="V681" s="161"/>
      <c r="W681" s="161"/>
      <c r="X681" s="161"/>
    </row>
    <row r="682" ht="12.75" customHeight="1">
      <c r="A682" s="165">
        <v>41418.0</v>
      </c>
      <c r="B682" s="165" t="s">
        <v>12275</v>
      </c>
      <c r="C682" s="166">
        <v>46021.0</v>
      </c>
      <c r="D682" s="165" t="s">
        <v>12371</v>
      </c>
      <c r="E682" s="161"/>
      <c r="F682" s="161"/>
      <c r="G682" s="161"/>
      <c r="H682" s="161"/>
      <c r="I682" s="161"/>
      <c r="J682" s="161"/>
      <c r="K682" s="161"/>
      <c r="L682" s="161"/>
      <c r="M682" s="161"/>
      <c r="N682" s="161"/>
      <c r="O682" s="161"/>
      <c r="P682" s="161"/>
      <c r="Q682" s="161"/>
      <c r="R682" s="161"/>
      <c r="S682" s="161"/>
      <c r="T682" s="161"/>
      <c r="U682" s="161"/>
      <c r="V682" s="161"/>
      <c r="W682" s="161"/>
      <c r="X682" s="161"/>
    </row>
    <row r="683" ht="12.75" customHeight="1">
      <c r="A683" s="165">
        <v>41799.0</v>
      </c>
      <c r="B683" s="165" t="s">
        <v>12262</v>
      </c>
      <c r="C683" s="166">
        <v>46028.0</v>
      </c>
      <c r="D683" s="165" t="s">
        <v>12371</v>
      </c>
      <c r="E683" s="161"/>
      <c r="F683" s="161"/>
      <c r="G683" s="161"/>
      <c r="H683" s="161"/>
      <c r="I683" s="161"/>
      <c r="J683" s="161"/>
      <c r="K683" s="161"/>
      <c r="L683" s="161"/>
      <c r="M683" s="161"/>
      <c r="N683" s="161"/>
      <c r="O683" s="161"/>
      <c r="P683" s="161"/>
      <c r="Q683" s="161"/>
      <c r="R683" s="161"/>
      <c r="S683" s="161"/>
      <c r="T683" s="161"/>
      <c r="U683" s="161"/>
      <c r="V683" s="161"/>
      <c r="W683" s="161"/>
      <c r="X683" s="161"/>
    </row>
    <row r="684" ht="12.75" customHeight="1">
      <c r="A684" s="165">
        <v>41711.0</v>
      </c>
      <c r="B684" s="165" t="s">
        <v>12260</v>
      </c>
      <c r="C684" s="166">
        <v>46029.0</v>
      </c>
      <c r="D684" s="165" t="s">
        <v>12371</v>
      </c>
      <c r="E684" s="161"/>
      <c r="F684" s="161"/>
      <c r="G684" s="161"/>
      <c r="H684" s="161"/>
      <c r="I684" s="161"/>
      <c r="J684" s="161"/>
      <c r="K684" s="161"/>
      <c r="L684" s="161"/>
      <c r="M684" s="161"/>
      <c r="N684" s="161"/>
      <c r="O684" s="161"/>
      <c r="P684" s="161"/>
      <c r="Q684" s="161"/>
      <c r="R684" s="161"/>
      <c r="S684" s="161"/>
      <c r="T684" s="161"/>
      <c r="U684" s="161"/>
      <c r="V684" s="161"/>
      <c r="W684" s="161"/>
      <c r="X684" s="161"/>
    </row>
    <row r="685" ht="12.75" customHeight="1">
      <c r="A685" s="165">
        <v>41712.0</v>
      </c>
      <c r="B685" s="165" t="s">
        <v>12258</v>
      </c>
      <c r="C685" s="166">
        <v>46029.0</v>
      </c>
      <c r="D685" s="165" t="s">
        <v>12371</v>
      </c>
      <c r="E685" s="161"/>
      <c r="F685" s="161"/>
      <c r="G685" s="161"/>
      <c r="H685" s="161"/>
      <c r="I685" s="161"/>
      <c r="J685" s="161"/>
      <c r="K685" s="161"/>
      <c r="L685" s="161"/>
      <c r="M685" s="161"/>
      <c r="N685" s="161"/>
      <c r="O685" s="161"/>
      <c r="P685" s="161"/>
      <c r="Q685" s="161"/>
      <c r="R685" s="161"/>
      <c r="S685" s="161"/>
      <c r="T685" s="161"/>
      <c r="U685" s="161"/>
      <c r="V685" s="161"/>
      <c r="W685" s="161"/>
      <c r="X685" s="161"/>
    </row>
    <row r="686" ht="12.75" customHeight="1">
      <c r="A686" s="165">
        <v>41713.0</v>
      </c>
      <c r="B686" s="165" t="s">
        <v>12256</v>
      </c>
      <c r="C686" s="166">
        <v>46029.0</v>
      </c>
      <c r="D686" s="165" t="s">
        <v>12371</v>
      </c>
      <c r="E686" s="161"/>
      <c r="F686" s="161"/>
      <c r="G686" s="161"/>
      <c r="H686" s="161"/>
      <c r="I686" s="161"/>
      <c r="J686" s="161"/>
      <c r="K686" s="161"/>
      <c r="L686" s="161"/>
      <c r="M686" s="161"/>
      <c r="N686" s="161"/>
      <c r="O686" s="161"/>
      <c r="P686" s="161"/>
      <c r="Q686" s="161"/>
      <c r="R686" s="161"/>
      <c r="S686" s="161"/>
      <c r="T686" s="161"/>
      <c r="U686" s="161"/>
      <c r="V686" s="161"/>
      <c r="W686" s="161"/>
      <c r="X686" s="161"/>
    </row>
    <row r="687" ht="12.75" customHeight="1">
      <c r="A687" s="165">
        <v>41735.0</v>
      </c>
      <c r="B687" s="165" t="s">
        <v>12253</v>
      </c>
      <c r="C687" s="166">
        <v>46029.0</v>
      </c>
      <c r="D687" s="165" t="s">
        <v>12371</v>
      </c>
      <c r="E687" s="161"/>
      <c r="F687" s="161"/>
      <c r="G687" s="161"/>
      <c r="H687" s="161"/>
      <c r="I687" s="161"/>
      <c r="J687" s="161"/>
      <c r="K687" s="161"/>
      <c r="L687" s="161"/>
      <c r="M687" s="161"/>
      <c r="N687" s="161"/>
      <c r="O687" s="161"/>
      <c r="P687" s="161"/>
      <c r="Q687" s="161"/>
      <c r="R687" s="161"/>
      <c r="S687" s="161"/>
      <c r="T687" s="161"/>
      <c r="U687" s="161"/>
      <c r="V687" s="161"/>
      <c r="W687" s="161"/>
      <c r="X687" s="161"/>
    </row>
    <row r="688" ht="12.75" customHeight="1">
      <c r="A688" s="165">
        <v>41366.0</v>
      </c>
      <c r="B688" s="165" t="s">
        <v>12243</v>
      </c>
      <c r="C688" s="166">
        <v>46032.0</v>
      </c>
      <c r="D688" s="165" t="s">
        <v>12371</v>
      </c>
      <c r="E688" s="161"/>
      <c r="F688" s="161"/>
      <c r="G688" s="161"/>
      <c r="H688" s="161"/>
      <c r="I688" s="161"/>
      <c r="J688" s="161"/>
      <c r="K688" s="161"/>
      <c r="L688" s="161"/>
      <c r="M688" s="161"/>
      <c r="N688" s="161"/>
      <c r="O688" s="161"/>
      <c r="P688" s="161"/>
      <c r="Q688" s="161"/>
      <c r="R688" s="161"/>
      <c r="S688" s="161"/>
      <c r="T688" s="161"/>
      <c r="U688" s="161"/>
      <c r="V688" s="161"/>
      <c r="W688" s="161"/>
      <c r="X688" s="161"/>
    </row>
    <row r="689" ht="12.75" customHeight="1">
      <c r="A689" s="165">
        <v>41419.0</v>
      </c>
      <c r="B689" s="165" t="s">
        <v>12239</v>
      </c>
      <c r="C689" s="166">
        <v>46035.0</v>
      </c>
      <c r="D689" s="165" t="s">
        <v>12371</v>
      </c>
      <c r="E689" s="161"/>
      <c r="F689" s="161"/>
      <c r="G689" s="161"/>
      <c r="H689" s="161"/>
      <c r="I689" s="161"/>
      <c r="J689" s="161"/>
      <c r="K689" s="161"/>
      <c r="L689" s="161"/>
      <c r="M689" s="161"/>
      <c r="N689" s="161"/>
      <c r="O689" s="161"/>
      <c r="P689" s="161"/>
      <c r="Q689" s="161"/>
      <c r="R689" s="161"/>
      <c r="S689" s="161"/>
      <c r="T689" s="161"/>
      <c r="U689" s="161"/>
      <c r="V689" s="161"/>
      <c r="W689" s="161"/>
      <c r="X689" s="161"/>
    </row>
    <row r="690" ht="12.75" customHeight="1">
      <c r="A690" s="165">
        <v>42039.0</v>
      </c>
      <c r="B690" s="165" t="s">
        <v>12355</v>
      </c>
      <c r="C690" s="166">
        <v>46038.0</v>
      </c>
      <c r="D690" s="165" t="s">
        <v>12371</v>
      </c>
      <c r="E690" s="161"/>
      <c r="F690" s="161"/>
      <c r="G690" s="161"/>
      <c r="H690" s="161"/>
      <c r="I690" s="161"/>
      <c r="J690" s="161"/>
      <c r="K690" s="161"/>
      <c r="L690" s="161"/>
      <c r="M690" s="161"/>
      <c r="N690" s="161"/>
      <c r="O690" s="161"/>
      <c r="P690" s="161"/>
      <c r="Q690" s="161"/>
      <c r="R690" s="161"/>
      <c r="S690" s="161"/>
      <c r="T690" s="161"/>
      <c r="U690" s="161"/>
      <c r="V690" s="161"/>
      <c r="W690" s="161"/>
      <c r="X690" s="161"/>
    </row>
    <row r="691" ht="12.75" customHeight="1">
      <c r="A691" s="165">
        <v>42040.0</v>
      </c>
      <c r="B691" s="165" t="s">
        <v>12352</v>
      </c>
      <c r="C691" s="166">
        <v>46038.0</v>
      </c>
      <c r="D691" s="165" t="s">
        <v>12371</v>
      </c>
      <c r="E691" s="161"/>
      <c r="F691" s="161"/>
      <c r="G691" s="161"/>
      <c r="H691" s="161"/>
      <c r="I691" s="161"/>
      <c r="J691" s="161"/>
      <c r="K691" s="161"/>
      <c r="L691" s="161"/>
      <c r="M691" s="161"/>
      <c r="N691" s="161"/>
      <c r="O691" s="161"/>
      <c r="P691" s="161"/>
      <c r="Q691" s="161"/>
      <c r="R691" s="161"/>
      <c r="S691" s="161"/>
      <c r="T691" s="161"/>
      <c r="U691" s="161"/>
      <c r="V691" s="161"/>
      <c r="W691" s="161"/>
      <c r="X691" s="161"/>
    </row>
    <row r="692" ht="12.75" customHeight="1">
      <c r="A692" s="165">
        <v>41746.0</v>
      </c>
      <c r="B692" s="165" t="s">
        <v>12219</v>
      </c>
      <c r="C692" s="166">
        <v>46048.0</v>
      </c>
      <c r="D692" s="165" t="s">
        <v>12371</v>
      </c>
      <c r="E692" s="161"/>
      <c r="F692" s="161"/>
      <c r="G692" s="161"/>
      <c r="H692" s="161"/>
      <c r="I692" s="161"/>
      <c r="J692" s="161"/>
      <c r="K692" s="161"/>
      <c r="L692" s="161"/>
      <c r="M692" s="161"/>
      <c r="N692" s="161"/>
      <c r="O692" s="161"/>
      <c r="P692" s="161"/>
      <c r="Q692" s="161"/>
      <c r="R692" s="161"/>
      <c r="S692" s="161"/>
      <c r="T692" s="161"/>
      <c r="U692" s="161"/>
      <c r="V692" s="161"/>
      <c r="W692" s="161"/>
      <c r="X692" s="161"/>
    </row>
    <row r="693" ht="12.75" customHeight="1">
      <c r="A693" s="165">
        <v>41747.0</v>
      </c>
      <c r="B693" s="165" t="s">
        <v>12216</v>
      </c>
      <c r="C693" s="166">
        <v>46048.0</v>
      </c>
      <c r="D693" s="165" t="s">
        <v>12371</v>
      </c>
      <c r="E693" s="161"/>
      <c r="F693" s="161"/>
      <c r="G693" s="161"/>
      <c r="H693" s="161"/>
      <c r="I693" s="161"/>
      <c r="J693" s="161"/>
      <c r="K693" s="161"/>
      <c r="L693" s="161"/>
      <c r="M693" s="161"/>
      <c r="N693" s="161"/>
      <c r="O693" s="161"/>
      <c r="P693" s="161"/>
      <c r="Q693" s="161"/>
      <c r="R693" s="161"/>
      <c r="S693" s="161"/>
      <c r="T693" s="161"/>
      <c r="U693" s="161"/>
      <c r="V693" s="161"/>
      <c r="W693" s="161"/>
      <c r="X693" s="161"/>
    </row>
    <row r="694" ht="12.75" customHeight="1">
      <c r="A694" s="165">
        <v>41496.0</v>
      </c>
      <c r="B694" s="165" t="s">
        <v>12210</v>
      </c>
      <c r="C694" s="166">
        <v>46050.0</v>
      </c>
      <c r="D694" s="165" t="s">
        <v>12371</v>
      </c>
      <c r="E694" s="161"/>
      <c r="F694" s="161"/>
      <c r="G694" s="161"/>
      <c r="H694" s="161"/>
      <c r="I694" s="161"/>
      <c r="J694" s="161"/>
      <c r="K694" s="161"/>
      <c r="L694" s="161"/>
      <c r="M694" s="161"/>
      <c r="N694" s="161"/>
      <c r="O694" s="161"/>
      <c r="P694" s="161"/>
      <c r="Q694" s="161"/>
      <c r="R694" s="161"/>
      <c r="S694" s="161"/>
      <c r="T694" s="161"/>
      <c r="U694" s="161"/>
      <c r="V694" s="161"/>
      <c r="W694" s="161"/>
      <c r="X694" s="161"/>
    </row>
    <row r="695" ht="12.75" customHeight="1">
      <c r="A695" s="165">
        <v>41948.0</v>
      </c>
      <c r="B695" s="165" t="s">
        <v>12195</v>
      </c>
      <c r="C695" s="166">
        <v>46057.0</v>
      </c>
      <c r="D695" s="165" t="s">
        <v>12371</v>
      </c>
      <c r="E695" s="161"/>
      <c r="F695" s="161"/>
      <c r="G695" s="161"/>
      <c r="H695" s="161"/>
      <c r="I695" s="161"/>
      <c r="J695" s="161"/>
      <c r="K695" s="161"/>
      <c r="L695" s="161"/>
      <c r="M695" s="161"/>
      <c r="N695" s="161"/>
      <c r="O695" s="161"/>
      <c r="P695" s="161"/>
      <c r="Q695" s="161"/>
      <c r="R695" s="161"/>
      <c r="S695" s="161"/>
      <c r="T695" s="161"/>
      <c r="U695" s="161"/>
      <c r="V695" s="161"/>
      <c r="W695" s="161"/>
      <c r="X695" s="161"/>
    </row>
    <row r="696" ht="12.75" customHeight="1">
      <c r="A696" s="165">
        <v>41880.0</v>
      </c>
      <c r="B696" s="165" t="s">
        <v>12186</v>
      </c>
      <c r="C696" s="166">
        <v>46059.0</v>
      </c>
      <c r="D696" s="165" t="s">
        <v>12371</v>
      </c>
      <c r="E696" s="161"/>
      <c r="F696" s="161"/>
      <c r="G696" s="161"/>
      <c r="H696" s="161"/>
      <c r="I696" s="161"/>
      <c r="J696" s="161"/>
      <c r="K696" s="161"/>
      <c r="L696" s="161"/>
      <c r="M696" s="161"/>
      <c r="N696" s="161"/>
      <c r="O696" s="161"/>
      <c r="P696" s="161"/>
      <c r="Q696" s="161"/>
      <c r="R696" s="161"/>
      <c r="S696" s="161"/>
      <c r="T696" s="161"/>
      <c r="U696" s="161"/>
      <c r="V696" s="161"/>
      <c r="W696" s="161"/>
      <c r="X696" s="161"/>
    </row>
    <row r="697" ht="12.75" customHeight="1">
      <c r="A697" s="165">
        <v>41882.0</v>
      </c>
      <c r="B697" s="165" t="s">
        <v>12160</v>
      </c>
      <c r="C697" s="166">
        <v>46071.0</v>
      </c>
      <c r="D697" s="165" t="s">
        <v>12371</v>
      </c>
      <c r="E697" s="161"/>
      <c r="F697" s="161"/>
      <c r="G697" s="161"/>
      <c r="H697" s="161"/>
      <c r="I697" s="161"/>
      <c r="J697" s="161"/>
      <c r="K697" s="161"/>
      <c r="L697" s="161"/>
      <c r="M697" s="161"/>
      <c r="N697" s="161"/>
      <c r="O697" s="161"/>
      <c r="P697" s="161"/>
      <c r="Q697" s="161"/>
      <c r="R697" s="161"/>
      <c r="S697" s="161"/>
      <c r="T697" s="161"/>
      <c r="U697" s="161"/>
      <c r="V697" s="161"/>
      <c r="W697" s="161"/>
      <c r="X697" s="161"/>
    </row>
    <row r="698" ht="12.75" customHeight="1">
      <c r="A698" s="165">
        <v>41490.0</v>
      </c>
      <c r="B698" s="165" t="s">
        <v>12163</v>
      </c>
      <c r="C698" s="166">
        <v>46071.0</v>
      </c>
      <c r="D698" s="165" t="s">
        <v>12371</v>
      </c>
      <c r="E698" s="161"/>
      <c r="F698" s="161"/>
      <c r="G698" s="161"/>
      <c r="H698" s="161"/>
      <c r="I698" s="161"/>
      <c r="J698" s="161"/>
      <c r="K698" s="161"/>
      <c r="L698" s="161"/>
      <c r="M698" s="161"/>
      <c r="N698" s="161"/>
      <c r="O698" s="161"/>
      <c r="P698" s="161"/>
      <c r="Q698" s="161"/>
      <c r="R698" s="161"/>
      <c r="S698" s="161"/>
      <c r="T698" s="161"/>
      <c r="U698" s="161"/>
      <c r="V698" s="161"/>
      <c r="W698" s="161"/>
      <c r="X698" s="161"/>
    </row>
    <row r="699" ht="12.75" customHeight="1">
      <c r="A699" s="165">
        <v>41441.0</v>
      </c>
      <c r="B699" s="165" t="s">
        <v>12157</v>
      </c>
      <c r="C699" s="166">
        <v>46071.0</v>
      </c>
      <c r="D699" s="165" t="s">
        <v>12371</v>
      </c>
      <c r="E699" s="161"/>
      <c r="F699" s="161"/>
      <c r="G699" s="161"/>
      <c r="H699" s="161"/>
      <c r="I699" s="161"/>
      <c r="J699" s="161"/>
      <c r="K699" s="161"/>
      <c r="L699" s="161"/>
      <c r="M699" s="161"/>
      <c r="N699" s="161"/>
      <c r="O699" s="161"/>
      <c r="P699" s="161"/>
      <c r="Q699" s="161"/>
      <c r="R699" s="161"/>
      <c r="S699" s="161"/>
      <c r="T699" s="161"/>
      <c r="U699" s="161"/>
      <c r="V699" s="161"/>
      <c r="W699" s="161"/>
      <c r="X699" s="161"/>
    </row>
    <row r="700" ht="12.75" customHeight="1">
      <c r="A700" s="165">
        <v>41714.0</v>
      </c>
      <c r="B700" s="165" t="s">
        <v>12154</v>
      </c>
      <c r="C700" s="166">
        <v>46071.0</v>
      </c>
      <c r="D700" s="165" t="s">
        <v>12371</v>
      </c>
      <c r="E700" s="161"/>
      <c r="F700" s="161"/>
      <c r="G700" s="161"/>
      <c r="H700" s="161"/>
      <c r="I700" s="161"/>
      <c r="J700" s="161"/>
      <c r="K700" s="161"/>
      <c r="L700" s="161"/>
      <c r="M700" s="161"/>
      <c r="N700" s="161"/>
      <c r="O700" s="161"/>
      <c r="P700" s="161"/>
      <c r="Q700" s="161"/>
      <c r="R700" s="161"/>
      <c r="S700" s="161"/>
      <c r="T700" s="161"/>
      <c r="U700" s="161"/>
      <c r="V700" s="161"/>
      <c r="W700" s="161"/>
      <c r="X700" s="161"/>
    </row>
    <row r="701" ht="12.75" customHeight="1">
      <c r="A701" s="165">
        <v>41839.0</v>
      </c>
      <c r="B701" s="165" t="s">
        <v>12147</v>
      </c>
      <c r="C701" s="166">
        <v>46071.0</v>
      </c>
      <c r="D701" s="165" t="s">
        <v>12371</v>
      </c>
      <c r="E701" s="161"/>
      <c r="F701" s="161"/>
      <c r="G701" s="161"/>
      <c r="H701" s="161"/>
      <c r="I701" s="161"/>
      <c r="J701" s="161"/>
      <c r="K701" s="161"/>
      <c r="L701" s="161"/>
      <c r="M701" s="161"/>
      <c r="N701" s="161"/>
      <c r="O701" s="161"/>
      <c r="P701" s="161"/>
      <c r="Q701" s="161"/>
      <c r="R701" s="161"/>
      <c r="S701" s="161"/>
      <c r="T701" s="161"/>
      <c r="U701" s="161"/>
      <c r="V701" s="161"/>
      <c r="W701" s="161"/>
      <c r="X701" s="161"/>
    </row>
    <row r="702" ht="12.75" customHeight="1">
      <c r="A702" s="165">
        <v>41793.0</v>
      </c>
      <c r="B702" s="165" t="s">
        <v>12137</v>
      </c>
      <c r="C702" s="166">
        <v>46077.0</v>
      </c>
      <c r="D702" s="165" t="s">
        <v>12371</v>
      </c>
      <c r="E702" s="161"/>
      <c r="F702" s="161"/>
      <c r="G702" s="161"/>
      <c r="H702" s="161"/>
      <c r="I702" s="161"/>
      <c r="J702" s="161"/>
      <c r="K702" s="161"/>
      <c r="L702" s="161"/>
      <c r="M702" s="161"/>
      <c r="N702" s="161"/>
      <c r="O702" s="161"/>
      <c r="P702" s="161"/>
      <c r="Q702" s="161"/>
      <c r="R702" s="161"/>
      <c r="S702" s="161"/>
      <c r="T702" s="161"/>
      <c r="U702" s="161"/>
      <c r="V702" s="161"/>
      <c r="W702" s="161"/>
      <c r="X702" s="161"/>
    </row>
    <row r="703" ht="12.75" customHeight="1">
      <c r="A703" s="165">
        <v>41931.0</v>
      </c>
      <c r="B703" s="165" t="s">
        <v>12140</v>
      </c>
      <c r="C703" s="166">
        <v>46077.0</v>
      </c>
      <c r="D703" s="165" t="s">
        <v>12371</v>
      </c>
      <c r="E703" s="161"/>
      <c r="F703" s="161"/>
      <c r="G703" s="161"/>
      <c r="H703" s="161"/>
      <c r="I703" s="161"/>
      <c r="J703" s="161"/>
      <c r="K703" s="161"/>
      <c r="L703" s="161"/>
      <c r="M703" s="161"/>
      <c r="N703" s="161"/>
      <c r="O703" s="161"/>
      <c r="P703" s="161"/>
      <c r="Q703" s="161"/>
      <c r="R703" s="161"/>
      <c r="S703" s="161"/>
      <c r="T703" s="161"/>
      <c r="U703" s="161"/>
      <c r="V703" s="161"/>
      <c r="W703" s="161"/>
      <c r="X703" s="161"/>
    </row>
    <row r="704" ht="12.75" customHeight="1">
      <c r="A704" s="165">
        <v>41949.0</v>
      </c>
      <c r="B704" s="165" t="s">
        <v>12131</v>
      </c>
      <c r="C704" s="166">
        <v>46080.0</v>
      </c>
      <c r="D704" s="165" t="s">
        <v>12371</v>
      </c>
      <c r="E704" s="161"/>
      <c r="F704" s="161"/>
      <c r="G704" s="161"/>
      <c r="H704" s="161"/>
      <c r="I704" s="161"/>
      <c r="J704" s="161"/>
      <c r="K704" s="161"/>
      <c r="L704" s="161"/>
      <c r="M704" s="161"/>
      <c r="N704" s="161"/>
      <c r="O704" s="161"/>
      <c r="P704" s="161"/>
      <c r="Q704" s="161"/>
      <c r="R704" s="161"/>
      <c r="S704" s="161"/>
      <c r="T704" s="161"/>
      <c r="U704" s="161"/>
      <c r="V704" s="161"/>
      <c r="W704" s="161"/>
      <c r="X704" s="161"/>
    </row>
    <row r="705" ht="12.75" customHeight="1">
      <c r="A705" s="165">
        <v>41950.0</v>
      </c>
      <c r="B705" s="165" t="s">
        <v>12118</v>
      </c>
      <c r="C705" s="166">
        <v>46087.0</v>
      </c>
      <c r="D705" s="165" t="s">
        <v>12371</v>
      </c>
      <c r="E705" s="161"/>
      <c r="F705" s="161"/>
      <c r="G705" s="161"/>
      <c r="H705" s="161"/>
      <c r="I705" s="161"/>
      <c r="J705" s="161"/>
      <c r="K705" s="161"/>
      <c r="L705" s="161"/>
      <c r="M705" s="161"/>
      <c r="N705" s="161"/>
      <c r="O705" s="161"/>
      <c r="P705" s="161"/>
      <c r="Q705" s="161"/>
      <c r="R705" s="161"/>
      <c r="S705" s="161"/>
      <c r="T705" s="161"/>
      <c r="U705" s="161"/>
      <c r="V705" s="161"/>
      <c r="W705" s="161"/>
      <c r="X705" s="161"/>
    </row>
    <row r="706" ht="12.75" customHeight="1">
      <c r="A706" s="165">
        <v>42237.0</v>
      </c>
      <c r="B706" s="165" t="s">
        <v>12317</v>
      </c>
      <c r="C706" s="166">
        <v>46090.0</v>
      </c>
      <c r="D706" s="165" t="s">
        <v>12371</v>
      </c>
      <c r="E706" s="161"/>
      <c r="F706" s="161"/>
      <c r="G706" s="161"/>
      <c r="H706" s="161"/>
      <c r="I706" s="161"/>
      <c r="J706" s="161"/>
      <c r="K706" s="161"/>
      <c r="L706" s="161"/>
      <c r="M706" s="161"/>
      <c r="N706" s="161"/>
      <c r="O706" s="161"/>
      <c r="P706" s="161"/>
      <c r="Q706" s="161"/>
      <c r="R706" s="161"/>
      <c r="S706" s="161"/>
      <c r="T706" s="161"/>
      <c r="U706" s="161"/>
      <c r="V706" s="161"/>
      <c r="W706" s="161"/>
      <c r="X706" s="161"/>
    </row>
    <row r="707" ht="12.75" customHeight="1">
      <c r="A707" s="165">
        <v>41787.0</v>
      </c>
      <c r="B707" s="165" t="s">
        <v>12108</v>
      </c>
      <c r="C707" s="166">
        <v>46097.0</v>
      </c>
      <c r="D707" s="165" t="s">
        <v>12371</v>
      </c>
      <c r="E707" s="161"/>
      <c r="F707" s="161"/>
      <c r="G707" s="161"/>
      <c r="H707" s="161"/>
      <c r="I707" s="161"/>
      <c r="J707" s="161"/>
      <c r="K707" s="161"/>
      <c r="L707" s="161"/>
      <c r="M707" s="161"/>
      <c r="N707" s="161"/>
      <c r="O707" s="161"/>
      <c r="P707" s="161"/>
      <c r="Q707" s="161"/>
      <c r="R707" s="161"/>
      <c r="S707" s="161"/>
      <c r="T707" s="161"/>
      <c r="U707" s="161"/>
      <c r="V707" s="161"/>
      <c r="W707" s="161"/>
      <c r="X707" s="161"/>
    </row>
    <row r="708" ht="12.75" customHeight="1">
      <c r="A708" s="165">
        <v>42174.0</v>
      </c>
      <c r="B708" s="165" t="s">
        <v>12089</v>
      </c>
      <c r="C708" s="166">
        <v>46099.0</v>
      </c>
      <c r="D708" s="165" t="s">
        <v>12371</v>
      </c>
      <c r="E708" s="161"/>
      <c r="F708" s="161"/>
      <c r="G708" s="161"/>
      <c r="H708" s="161"/>
      <c r="I708" s="161"/>
      <c r="J708" s="161"/>
      <c r="K708" s="161"/>
      <c r="L708" s="161"/>
      <c r="M708" s="161"/>
      <c r="N708" s="161"/>
      <c r="O708" s="161"/>
      <c r="P708" s="161"/>
      <c r="Q708" s="161"/>
      <c r="R708" s="161"/>
      <c r="S708" s="161"/>
      <c r="T708" s="161"/>
      <c r="U708" s="161"/>
      <c r="V708" s="161"/>
      <c r="W708" s="161"/>
      <c r="X708" s="161"/>
    </row>
    <row r="709" ht="12.75" customHeight="1">
      <c r="A709" s="165">
        <v>41718.0</v>
      </c>
      <c r="B709" s="165" t="s">
        <v>12083</v>
      </c>
      <c r="C709" s="166">
        <v>46104.0</v>
      </c>
      <c r="D709" s="165" t="s">
        <v>12371</v>
      </c>
      <c r="E709" s="161"/>
      <c r="F709" s="161"/>
      <c r="G709" s="161"/>
      <c r="H709" s="161"/>
      <c r="I709" s="161"/>
      <c r="J709" s="161"/>
      <c r="K709" s="161"/>
      <c r="L709" s="161"/>
      <c r="M709" s="161"/>
      <c r="N709" s="161"/>
      <c r="O709" s="161"/>
      <c r="P709" s="161"/>
      <c r="Q709" s="161"/>
      <c r="R709" s="161"/>
      <c r="S709" s="161"/>
      <c r="T709" s="161"/>
      <c r="U709" s="161"/>
      <c r="V709" s="161"/>
      <c r="W709" s="161"/>
      <c r="X709" s="161"/>
    </row>
    <row r="710" ht="12.75" customHeight="1">
      <c r="A710" s="165">
        <v>41440.0</v>
      </c>
      <c r="B710" s="165" t="s">
        <v>12080</v>
      </c>
      <c r="C710" s="166">
        <v>46104.0</v>
      </c>
      <c r="D710" s="165" t="s">
        <v>12371</v>
      </c>
      <c r="E710" s="161"/>
      <c r="F710" s="161"/>
      <c r="G710" s="161"/>
      <c r="H710" s="161"/>
      <c r="I710" s="161"/>
      <c r="J710" s="161"/>
      <c r="K710" s="161"/>
      <c r="L710" s="161"/>
      <c r="M710" s="161"/>
      <c r="N710" s="161"/>
      <c r="O710" s="161"/>
      <c r="P710" s="161"/>
      <c r="Q710" s="161"/>
      <c r="R710" s="161"/>
      <c r="S710" s="161"/>
      <c r="T710" s="161"/>
      <c r="U710" s="161"/>
      <c r="V710" s="161"/>
      <c r="W710" s="161"/>
      <c r="X710" s="161"/>
    </row>
    <row r="711" ht="12.75" customHeight="1">
      <c r="A711" s="165">
        <v>41719.0</v>
      </c>
      <c r="B711" s="165" t="s">
        <v>12055</v>
      </c>
      <c r="C711" s="166">
        <v>46111.0</v>
      </c>
      <c r="D711" s="165" t="s">
        <v>12371</v>
      </c>
      <c r="E711" s="161"/>
      <c r="F711" s="161"/>
      <c r="G711" s="161"/>
      <c r="H711" s="161"/>
      <c r="I711" s="161"/>
      <c r="J711" s="161"/>
      <c r="K711" s="161"/>
      <c r="L711" s="161"/>
      <c r="M711" s="161"/>
      <c r="N711" s="161"/>
      <c r="O711" s="161"/>
      <c r="P711" s="161"/>
      <c r="Q711" s="161"/>
      <c r="R711" s="161"/>
      <c r="S711" s="161"/>
      <c r="T711" s="161"/>
      <c r="U711" s="161"/>
      <c r="V711" s="161"/>
      <c r="W711" s="161"/>
      <c r="X711" s="161"/>
    </row>
    <row r="712" ht="12.75" customHeight="1">
      <c r="A712" s="165">
        <v>41888.0</v>
      </c>
      <c r="B712" s="165" t="s">
        <v>12061</v>
      </c>
      <c r="C712" s="166">
        <v>46111.0</v>
      </c>
      <c r="D712" s="165" t="s">
        <v>12371</v>
      </c>
      <c r="E712" s="161"/>
      <c r="F712" s="161"/>
      <c r="G712" s="161"/>
      <c r="H712" s="161"/>
      <c r="I712" s="161"/>
      <c r="J712" s="161"/>
      <c r="K712" s="161"/>
      <c r="L712" s="161"/>
      <c r="M712" s="161"/>
      <c r="N712" s="161"/>
      <c r="O712" s="161"/>
      <c r="P712" s="161"/>
      <c r="Q712" s="161"/>
      <c r="R712" s="161"/>
      <c r="S712" s="161"/>
      <c r="T712" s="161"/>
      <c r="U712" s="161"/>
      <c r="V712" s="161"/>
      <c r="W712" s="161"/>
      <c r="X712" s="161"/>
    </row>
    <row r="713" ht="12.75" customHeight="1">
      <c r="A713" s="165">
        <v>41717.0</v>
      </c>
      <c r="B713" s="165" t="s">
        <v>12058</v>
      </c>
      <c r="C713" s="166">
        <v>46111.0</v>
      </c>
      <c r="D713" s="165" t="s">
        <v>12371</v>
      </c>
      <c r="E713" s="161"/>
      <c r="F713" s="161"/>
      <c r="G713" s="161"/>
      <c r="H713" s="161"/>
      <c r="I713" s="161"/>
      <c r="J713" s="161"/>
      <c r="K713" s="161"/>
      <c r="L713" s="161"/>
      <c r="M713" s="161"/>
      <c r="N713" s="161"/>
      <c r="O713" s="161"/>
      <c r="P713" s="161"/>
      <c r="Q713" s="161"/>
      <c r="R713" s="161"/>
      <c r="S713" s="161"/>
      <c r="T713" s="161"/>
      <c r="U713" s="161"/>
      <c r="V713" s="161"/>
      <c r="W713" s="161"/>
      <c r="X713" s="161"/>
    </row>
    <row r="714" ht="12.75" customHeight="1">
      <c r="A714" s="165">
        <v>42234.0</v>
      </c>
      <c r="B714" s="165" t="s">
        <v>12307</v>
      </c>
      <c r="C714" s="166">
        <v>46111.0</v>
      </c>
      <c r="D714" s="165" t="s">
        <v>12371</v>
      </c>
      <c r="E714" s="161"/>
      <c r="F714" s="161"/>
      <c r="G714" s="161"/>
      <c r="H714" s="161"/>
      <c r="I714" s="161"/>
      <c r="J714" s="161"/>
      <c r="K714" s="161"/>
      <c r="L714" s="161"/>
      <c r="M714" s="161"/>
      <c r="N714" s="161"/>
      <c r="O714" s="161"/>
      <c r="P714" s="161"/>
      <c r="Q714" s="161"/>
      <c r="R714" s="161"/>
      <c r="S714" s="161"/>
      <c r="T714" s="161"/>
      <c r="U714" s="161"/>
      <c r="V714" s="161"/>
      <c r="W714" s="161"/>
      <c r="X714" s="161"/>
    </row>
    <row r="715" ht="12.75" customHeight="1">
      <c r="A715" s="165">
        <v>41788.0</v>
      </c>
      <c r="B715" s="165" t="s">
        <v>12039</v>
      </c>
      <c r="C715" s="166">
        <v>46120.0</v>
      </c>
      <c r="D715" s="165" t="s">
        <v>12371</v>
      </c>
      <c r="E715" s="161"/>
      <c r="F715" s="161"/>
      <c r="G715" s="161"/>
      <c r="H715" s="161"/>
      <c r="I715" s="161"/>
      <c r="J715" s="161"/>
      <c r="K715" s="161"/>
      <c r="L715" s="161"/>
      <c r="M715" s="161"/>
      <c r="N715" s="161"/>
      <c r="O715" s="161"/>
      <c r="P715" s="161"/>
      <c r="Q715" s="161"/>
      <c r="R715" s="161"/>
      <c r="S715" s="161"/>
      <c r="T715" s="161"/>
      <c r="U715" s="161"/>
      <c r="V715" s="161"/>
      <c r="W715" s="161"/>
      <c r="X715" s="161"/>
    </row>
    <row r="716" ht="12.75" customHeight="1">
      <c r="A716" s="165">
        <v>41917.0</v>
      </c>
      <c r="B716" s="165" t="s">
        <v>12036</v>
      </c>
      <c r="C716" s="166">
        <v>46120.0</v>
      </c>
      <c r="D716" s="165" t="s">
        <v>12371</v>
      </c>
      <c r="E716" s="161"/>
      <c r="F716" s="161"/>
      <c r="G716" s="161"/>
      <c r="H716" s="161"/>
      <c r="I716" s="161"/>
      <c r="J716" s="161"/>
      <c r="K716" s="161"/>
      <c r="L716" s="161"/>
      <c r="M716" s="161"/>
      <c r="N716" s="161"/>
      <c r="O716" s="161"/>
      <c r="P716" s="161"/>
      <c r="Q716" s="161"/>
      <c r="R716" s="161"/>
      <c r="S716" s="161"/>
      <c r="T716" s="161"/>
      <c r="U716" s="161"/>
      <c r="V716" s="161"/>
      <c r="W716" s="161"/>
      <c r="X716" s="161"/>
    </row>
    <row r="717" ht="12.75" customHeight="1">
      <c r="A717" s="165">
        <v>42111.0</v>
      </c>
      <c r="B717" s="165" t="s">
        <v>12033</v>
      </c>
      <c r="C717" s="166">
        <v>46120.0</v>
      </c>
      <c r="D717" s="165" t="s">
        <v>12371</v>
      </c>
      <c r="E717" s="161"/>
      <c r="F717" s="161"/>
      <c r="G717" s="161"/>
      <c r="H717" s="161"/>
      <c r="I717" s="161"/>
      <c r="J717" s="161"/>
      <c r="K717" s="161"/>
      <c r="L717" s="161"/>
      <c r="M717" s="161"/>
      <c r="N717" s="161"/>
      <c r="O717" s="161"/>
      <c r="P717" s="161"/>
      <c r="Q717" s="161"/>
      <c r="R717" s="161"/>
      <c r="S717" s="161"/>
      <c r="T717" s="161"/>
      <c r="U717" s="161"/>
      <c r="V717" s="161"/>
      <c r="W717" s="161"/>
      <c r="X717" s="161"/>
    </row>
    <row r="718" ht="12.75" customHeight="1">
      <c r="A718" s="165">
        <v>41785.0</v>
      </c>
      <c r="B718" s="165" t="s">
        <v>12029</v>
      </c>
      <c r="C718" s="166">
        <v>46120.0</v>
      </c>
      <c r="D718" s="165" t="s">
        <v>12371</v>
      </c>
      <c r="E718" s="161"/>
      <c r="F718" s="161"/>
      <c r="G718" s="161"/>
      <c r="H718" s="161"/>
      <c r="I718" s="161"/>
      <c r="J718" s="161"/>
      <c r="K718" s="161"/>
      <c r="L718" s="161"/>
      <c r="M718" s="161"/>
      <c r="N718" s="161"/>
      <c r="O718" s="161"/>
      <c r="P718" s="161"/>
      <c r="Q718" s="161"/>
      <c r="R718" s="161"/>
      <c r="S718" s="161"/>
      <c r="T718" s="161"/>
      <c r="U718" s="161"/>
      <c r="V718" s="161"/>
      <c r="W718" s="161"/>
      <c r="X718" s="161"/>
    </row>
    <row r="719" ht="12.75" customHeight="1">
      <c r="A719" s="165">
        <v>42377.0</v>
      </c>
      <c r="B719" s="165" t="s">
        <v>12294</v>
      </c>
      <c r="C719" s="166">
        <v>46125.0</v>
      </c>
      <c r="D719" s="165" t="s">
        <v>12371</v>
      </c>
      <c r="E719" s="161"/>
      <c r="F719" s="161"/>
      <c r="G719" s="161"/>
      <c r="H719" s="161"/>
      <c r="I719" s="161"/>
      <c r="J719" s="161"/>
      <c r="K719" s="161"/>
      <c r="L719" s="161"/>
      <c r="M719" s="161"/>
      <c r="N719" s="161"/>
      <c r="O719" s="161"/>
      <c r="P719" s="161"/>
      <c r="Q719" s="161"/>
      <c r="R719" s="161"/>
      <c r="S719" s="161"/>
      <c r="T719" s="161"/>
      <c r="U719" s="161"/>
      <c r="V719" s="161"/>
      <c r="W719" s="161"/>
      <c r="X719" s="161"/>
    </row>
    <row r="720" ht="12.75" customHeight="1">
      <c r="A720" s="165">
        <v>41820.0</v>
      </c>
      <c r="B720" s="165" t="s">
        <v>12003</v>
      </c>
      <c r="C720" s="166">
        <v>46125.0</v>
      </c>
      <c r="D720" s="165" t="s">
        <v>12371</v>
      </c>
      <c r="E720" s="161"/>
      <c r="F720" s="161"/>
      <c r="G720" s="161"/>
      <c r="H720" s="161"/>
      <c r="I720" s="161"/>
      <c r="J720" s="161"/>
      <c r="K720" s="161"/>
      <c r="L720" s="161"/>
      <c r="M720" s="161"/>
      <c r="N720" s="161"/>
      <c r="O720" s="161"/>
      <c r="P720" s="161"/>
      <c r="Q720" s="161"/>
      <c r="R720" s="161"/>
      <c r="S720" s="161"/>
      <c r="T720" s="161"/>
      <c r="U720" s="161"/>
      <c r="V720" s="161"/>
      <c r="W720" s="161"/>
      <c r="X720" s="161"/>
    </row>
    <row r="721" ht="12.75" customHeight="1">
      <c r="A721" s="165"/>
      <c r="B721" s="165"/>
      <c r="C721" s="166"/>
      <c r="D721" s="165"/>
      <c r="E721" s="161"/>
      <c r="F721" s="161"/>
      <c r="G721" s="161"/>
      <c r="H721" s="161"/>
      <c r="I721" s="161"/>
      <c r="J721" s="161"/>
      <c r="K721" s="161"/>
      <c r="L721" s="161"/>
      <c r="M721" s="161"/>
      <c r="N721" s="161"/>
      <c r="O721" s="161"/>
      <c r="P721" s="161"/>
      <c r="Q721" s="161"/>
      <c r="R721" s="161"/>
      <c r="S721" s="161"/>
      <c r="T721" s="161"/>
      <c r="U721" s="161"/>
      <c r="V721" s="161"/>
      <c r="W721" s="161"/>
      <c r="X721" s="161"/>
    </row>
    <row r="722" ht="12.75" customHeight="1">
      <c r="A722" s="165"/>
      <c r="B722" s="165"/>
      <c r="C722" s="166"/>
      <c r="D722" s="165"/>
      <c r="E722" s="161"/>
      <c r="F722" s="161"/>
      <c r="G722" s="161"/>
      <c r="H722" s="161"/>
      <c r="I722" s="161"/>
      <c r="J722" s="161"/>
      <c r="K722" s="161"/>
      <c r="L722" s="161"/>
      <c r="M722" s="161"/>
      <c r="N722" s="161"/>
      <c r="O722" s="161"/>
      <c r="P722" s="161"/>
      <c r="Q722" s="161"/>
      <c r="R722" s="161"/>
      <c r="S722" s="161"/>
      <c r="T722" s="161"/>
      <c r="U722" s="161"/>
      <c r="V722" s="161"/>
      <c r="W722" s="161"/>
      <c r="X722" s="161"/>
    </row>
    <row r="723" ht="12.75" customHeight="1">
      <c r="A723" s="165"/>
      <c r="B723" s="165"/>
      <c r="C723" s="166"/>
      <c r="D723" s="165"/>
      <c r="E723" s="161"/>
      <c r="F723" s="161"/>
      <c r="G723" s="161"/>
      <c r="H723" s="161"/>
      <c r="I723" s="161"/>
      <c r="J723" s="161"/>
      <c r="K723" s="161"/>
      <c r="L723" s="161"/>
      <c r="M723" s="161"/>
      <c r="N723" s="161"/>
      <c r="O723" s="161"/>
      <c r="P723" s="161"/>
      <c r="Q723" s="161"/>
      <c r="R723" s="161"/>
      <c r="S723" s="161"/>
      <c r="T723" s="161"/>
      <c r="U723" s="161"/>
      <c r="V723" s="161"/>
      <c r="W723" s="161"/>
      <c r="X723" s="161"/>
    </row>
    <row r="724" ht="12.75" customHeight="1">
      <c r="A724" s="165"/>
      <c r="B724" s="165"/>
      <c r="C724" s="166"/>
      <c r="D724" s="165"/>
      <c r="E724" s="161"/>
      <c r="F724" s="161"/>
      <c r="G724" s="161"/>
      <c r="H724" s="161"/>
      <c r="I724" s="161"/>
      <c r="J724" s="161"/>
      <c r="K724" s="161"/>
      <c r="L724" s="161"/>
      <c r="M724" s="161"/>
      <c r="N724" s="161"/>
      <c r="O724" s="161"/>
      <c r="P724" s="161"/>
      <c r="Q724" s="161"/>
      <c r="R724" s="161"/>
      <c r="S724" s="161"/>
      <c r="T724" s="161"/>
      <c r="U724" s="161"/>
      <c r="V724" s="161"/>
      <c r="W724" s="161"/>
      <c r="X724" s="161"/>
    </row>
    <row r="725" ht="12.75" customHeight="1">
      <c r="A725" s="165"/>
      <c r="B725" s="165"/>
      <c r="C725" s="166"/>
      <c r="D725" s="165"/>
      <c r="E725" s="161"/>
      <c r="F725" s="161"/>
      <c r="G725" s="161"/>
      <c r="H725" s="161"/>
      <c r="I725" s="161"/>
      <c r="J725" s="161"/>
      <c r="K725" s="161"/>
      <c r="L725" s="161"/>
      <c r="M725" s="161"/>
      <c r="N725" s="161"/>
      <c r="O725" s="161"/>
      <c r="P725" s="161"/>
      <c r="Q725" s="161"/>
      <c r="R725" s="161"/>
      <c r="S725" s="161"/>
      <c r="T725" s="161"/>
      <c r="U725" s="161"/>
      <c r="V725" s="161"/>
      <c r="W725" s="161"/>
      <c r="X725" s="161"/>
    </row>
    <row r="726" ht="12.75" customHeight="1">
      <c r="A726" s="165"/>
      <c r="B726" s="165"/>
      <c r="C726" s="166"/>
      <c r="D726" s="165"/>
      <c r="E726" s="161"/>
      <c r="F726" s="161"/>
      <c r="G726" s="161"/>
      <c r="H726" s="161"/>
      <c r="I726" s="161"/>
      <c r="J726" s="161"/>
      <c r="K726" s="161"/>
      <c r="L726" s="161"/>
      <c r="M726" s="161"/>
      <c r="N726" s="161"/>
      <c r="O726" s="161"/>
      <c r="P726" s="161"/>
      <c r="Q726" s="161"/>
      <c r="R726" s="161"/>
      <c r="S726" s="161"/>
      <c r="T726" s="161"/>
      <c r="U726" s="161"/>
      <c r="V726" s="161"/>
      <c r="W726" s="161"/>
      <c r="X726" s="161"/>
    </row>
    <row r="727" ht="12.75" customHeight="1">
      <c r="A727" s="165"/>
      <c r="B727" s="165"/>
      <c r="C727" s="166"/>
      <c r="D727" s="165"/>
      <c r="E727" s="161"/>
      <c r="F727" s="161"/>
      <c r="G727" s="161"/>
      <c r="H727" s="161"/>
      <c r="I727" s="161"/>
      <c r="J727" s="161"/>
      <c r="K727" s="161"/>
      <c r="L727" s="161"/>
      <c r="M727" s="161"/>
      <c r="N727" s="161"/>
      <c r="O727" s="161"/>
      <c r="P727" s="161"/>
      <c r="Q727" s="161"/>
      <c r="R727" s="161"/>
      <c r="S727" s="161"/>
      <c r="T727" s="161"/>
      <c r="U727" s="161"/>
      <c r="V727" s="161"/>
      <c r="W727" s="161"/>
      <c r="X727" s="161"/>
    </row>
    <row r="728" ht="12.75" customHeight="1">
      <c r="A728" s="165"/>
      <c r="B728" s="165"/>
      <c r="C728" s="166"/>
      <c r="D728" s="165"/>
      <c r="E728" s="161"/>
      <c r="F728" s="161"/>
      <c r="G728" s="161"/>
      <c r="H728" s="161"/>
      <c r="I728" s="161"/>
      <c r="J728" s="161"/>
      <c r="K728" s="161"/>
      <c r="L728" s="161"/>
      <c r="M728" s="161"/>
      <c r="N728" s="161"/>
      <c r="O728" s="161"/>
      <c r="P728" s="161"/>
      <c r="Q728" s="161"/>
      <c r="R728" s="161"/>
      <c r="S728" s="161"/>
      <c r="T728" s="161"/>
      <c r="U728" s="161"/>
      <c r="V728" s="161"/>
      <c r="W728" s="161"/>
      <c r="X728" s="161"/>
    </row>
    <row r="729" ht="12.75" customHeight="1">
      <c r="A729" s="165"/>
      <c r="B729" s="165"/>
      <c r="C729" s="166"/>
      <c r="D729" s="165"/>
      <c r="E729" s="161"/>
      <c r="F729" s="161"/>
      <c r="G729" s="161"/>
      <c r="H729" s="161"/>
      <c r="I729" s="161"/>
      <c r="J729" s="161"/>
      <c r="K729" s="161"/>
      <c r="L729" s="161"/>
      <c r="M729" s="161"/>
      <c r="N729" s="161"/>
      <c r="O729" s="161"/>
      <c r="P729" s="161"/>
      <c r="Q729" s="161"/>
      <c r="R729" s="161"/>
      <c r="S729" s="161"/>
      <c r="T729" s="161"/>
      <c r="U729" s="161"/>
      <c r="V729" s="161"/>
      <c r="W729" s="161"/>
      <c r="X729" s="161"/>
    </row>
    <row r="730" ht="12.75" customHeight="1">
      <c r="A730" s="165"/>
      <c r="B730" s="165"/>
      <c r="C730" s="166"/>
      <c r="D730" s="165"/>
      <c r="E730" s="161"/>
      <c r="F730" s="161"/>
      <c r="G730" s="161"/>
      <c r="H730" s="161"/>
      <c r="I730" s="161"/>
      <c r="J730" s="161"/>
      <c r="K730" s="161"/>
      <c r="L730" s="161"/>
      <c r="M730" s="161"/>
      <c r="N730" s="161"/>
      <c r="O730" s="161"/>
      <c r="P730" s="161"/>
      <c r="Q730" s="161"/>
      <c r="R730" s="161"/>
      <c r="S730" s="161"/>
      <c r="T730" s="161"/>
      <c r="U730" s="161"/>
      <c r="V730" s="161"/>
      <c r="W730" s="161"/>
      <c r="X730" s="161"/>
    </row>
    <row r="731" ht="12.75" customHeight="1">
      <c r="A731" s="165"/>
      <c r="B731" s="165"/>
      <c r="C731" s="166"/>
      <c r="D731" s="165"/>
      <c r="E731" s="161"/>
      <c r="F731" s="161"/>
      <c r="G731" s="161"/>
      <c r="H731" s="161"/>
      <c r="I731" s="161"/>
      <c r="J731" s="161"/>
      <c r="K731" s="161"/>
      <c r="L731" s="161"/>
      <c r="M731" s="161"/>
      <c r="N731" s="161"/>
      <c r="O731" s="161"/>
      <c r="P731" s="161"/>
      <c r="Q731" s="161"/>
      <c r="R731" s="161"/>
      <c r="S731" s="161"/>
      <c r="T731" s="161"/>
      <c r="U731" s="161"/>
      <c r="V731" s="161"/>
      <c r="W731" s="161"/>
      <c r="X731" s="161"/>
    </row>
    <row r="732" ht="12.75" customHeight="1">
      <c r="A732" s="165"/>
      <c r="B732" s="165"/>
      <c r="C732" s="166"/>
      <c r="D732" s="165"/>
      <c r="E732" s="161"/>
      <c r="F732" s="161"/>
      <c r="G732" s="161"/>
      <c r="H732" s="161"/>
      <c r="I732" s="161"/>
      <c r="J732" s="161"/>
      <c r="K732" s="161"/>
      <c r="L732" s="161"/>
      <c r="M732" s="161"/>
      <c r="N732" s="161"/>
      <c r="O732" s="161"/>
      <c r="P732" s="161"/>
      <c r="Q732" s="161"/>
      <c r="R732" s="161"/>
      <c r="S732" s="161"/>
      <c r="T732" s="161"/>
      <c r="U732" s="161"/>
      <c r="V732" s="161"/>
      <c r="W732" s="161"/>
      <c r="X732" s="161"/>
    </row>
    <row r="733" ht="12.75" customHeight="1">
      <c r="A733" s="165"/>
      <c r="B733" s="165"/>
      <c r="C733" s="166"/>
      <c r="D733" s="165"/>
      <c r="E733" s="161"/>
      <c r="F733" s="161"/>
      <c r="G733" s="161"/>
      <c r="H733" s="161"/>
      <c r="I733" s="161"/>
      <c r="J733" s="161"/>
      <c r="K733" s="161"/>
      <c r="L733" s="161"/>
      <c r="M733" s="161"/>
      <c r="N733" s="161"/>
      <c r="O733" s="161"/>
      <c r="P733" s="161"/>
      <c r="Q733" s="161"/>
      <c r="R733" s="161"/>
      <c r="S733" s="161"/>
      <c r="T733" s="161"/>
      <c r="U733" s="161"/>
      <c r="V733" s="161"/>
      <c r="W733" s="161"/>
      <c r="X733" s="161"/>
    </row>
    <row r="734" ht="12.75" customHeight="1">
      <c r="A734" s="165"/>
      <c r="B734" s="165"/>
      <c r="C734" s="166"/>
      <c r="D734" s="165"/>
      <c r="E734" s="161"/>
      <c r="F734" s="161"/>
      <c r="G734" s="161"/>
      <c r="H734" s="161"/>
      <c r="I734" s="161"/>
      <c r="J734" s="161"/>
      <c r="K734" s="161"/>
      <c r="L734" s="161"/>
      <c r="M734" s="161"/>
      <c r="N734" s="161"/>
      <c r="O734" s="161"/>
      <c r="P734" s="161"/>
      <c r="Q734" s="161"/>
      <c r="R734" s="161"/>
      <c r="S734" s="161"/>
      <c r="T734" s="161"/>
      <c r="U734" s="161"/>
      <c r="V734" s="161"/>
      <c r="W734" s="161"/>
      <c r="X734" s="161"/>
    </row>
    <row r="735" ht="12.75" customHeight="1">
      <c r="A735" s="165"/>
      <c r="B735" s="165"/>
      <c r="C735" s="166"/>
      <c r="D735" s="165"/>
      <c r="E735" s="161"/>
      <c r="F735" s="161"/>
      <c r="G735" s="161"/>
      <c r="H735" s="161"/>
      <c r="I735" s="161"/>
      <c r="J735" s="161"/>
      <c r="K735" s="161"/>
      <c r="L735" s="161"/>
      <c r="M735" s="161"/>
      <c r="N735" s="161"/>
      <c r="O735" s="161"/>
      <c r="P735" s="161"/>
      <c r="Q735" s="161"/>
      <c r="R735" s="161"/>
      <c r="S735" s="161"/>
      <c r="T735" s="161"/>
      <c r="U735" s="161"/>
      <c r="V735" s="161"/>
      <c r="W735" s="161"/>
      <c r="X735" s="161"/>
    </row>
    <row r="736" ht="12.75" customHeight="1">
      <c r="A736" s="165"/>
      <c r="B736" s="165"/>
      <c r="C736" s="166"/>
      <c r="D736" s="165"/>
      <c r="E736" s="161"/>
      <c r="F736" s="161"/>
      <c r="G736" s="161"/>
      <c r="H736" s="161"/>
      <c r="I736" s="161"/>
      <c r="J736" s="161"/>
      <c r="K736" s="161"/>
      <c r="L736" s="161"/>
      <c r="M736" s="161"/>
      <c r="N736" s="161"/>
      <c r="O736" s="161"/>
      <c r="P736" s="161"/>
      <c r="Q736" s="161"/>
      <c r="R736" s="161"/>
      <c r="S736" s="161"/>
      <c r="T736" s="161"/>
      <c r="U736" s="161"/>
      <c r="V736" s="161"/>
      <c r="W736" s="161"/>
      <c r="X736" s="161"/>
    </row>
    <row r="737" ht="12.75" customHeight="1">
      <c r="A737" s="165"/>
      <c r="B737" s="165"/>
      <c r="C737" s="166"/>
      <c r="D737" s="165"/>
      <c r="E737" s="161"/>
      <c r="F737" s="161"/>
      <c r="G737" s="161"/>
      <c r="H737" s="161"/>
      <c r="I737" s="161"/>
      <c r="J737" s="161"/>
      <c r="K737" s="161"/>
      <c r="L737" s="161"/>
      <c r="M737" s="161"/>
      <c r="N737" s="161"/>
      <c r="O737" s="161"/>
      <c r="P737" s="161"/>
      <c r="Q737" s="161"/>
      <c r="R737" s="161"/>
      <c r="S737" s="161"/>
      <c r="T737" s="161"/>
      <c r="U737" s="161"/>
      <c r="V737" s="161"/>
      <c r="W737" s="161"/>
      <c r="X737" s="161"/>
    </row>
    <row r="738" ht="12.75" customHeight="1">
      <c r="A738" s="165"/>
      <c r="B738" s="165"/>
      <c r="C738" s="166"/>
      <c r="D738" s="165"/>
      <c r="E738" s="161"/>
      <c r="F738" s="161"/>
      <c r="G738" s="161"/>
      <c r="H738" s="161"/>
      <c r="I738" s="161"/>
      <c r="J738" s="161"/>
      <c r="K738" s="161"/>
      <c r="L738" s="161"/>
      <c r="M738" s="161"/>
      <c r="N738" s="161"/>
      <c r="O738" s="161"/>
      <c r="P738" s="161"/>
      <c r="Q738" s="161"/>
      <c r="R738" s="161"/>
      <c r="S738" s="161"/>
      <c r="T738" s="161"/>
      <c r="U738" s="161"/>
      <c r="V738" s="161"/>
      <c r="W738" s="161"/>
      <c r="X738" s="161"/>
    </row>
    <row r="739" ht="12.75" customHeight="1">
      <c r="A739" s="165"/>
      <c r="B739" s="165"/>
      <c r="C739" s="166"/>
      <c r="D739" s="165"/>
      <c r="E739" s="161"/>
      <c r="F739" s="161"/>
      <c r="G739" s="161"/>
      <c r="H739" s="161"/>
      <c r="I739" s="161"/>
      <c r="J739" s="161"/>
      <c r="K739" s="161"/>
      <c r="L739" s="161"/>
      <c r="M739" s="161"/>
      <c r="N739" s="161"/>
      <c r="O739" s="161"/>
      <c r="P739" s="161"/>
      <c r="Q739" s="161"/>
      <c r="R739" s="161"/>
      <c r="S739" s="161"/>
      <c r="T739" s="161"/>
      <c r="U739" s="161"/>
      <c r="V739" s="161"/>
      <c r="W739" s="161"/>
      <c r="X739" s="161"/>
    </row>
    <row r="740" ht="12.75" customHeight="1">
      <c r="A740" s="165"/>
      <c r="B740" s="165"/>
      <c r="C740" s="166"/>
      <c r="D740" s="165"/>
      <c r="E740" s="161"/>
      <c r="F740" s="161"/>
      <c r="G740" s="161"/>
      <c r="H740" s="161"/>
      <c r="I740" s="161"/>
      <c r="J740" s="161"/>
      <c r="K740" s="161"/>
      <c r="L740" s="161"/>
      <c r="M740" s="161"/>
      <c r="N740" s="161"/>
      <c r="O740" s="161"/>
      <c r="P740" s="161"/>
      <c r="Q740" s="161"/>
      <c r="R740" s="161"/>
      <c r="S740" s="161"/>
      <c r="T740" s="161"/>
      <c r="U740" s="161"/>
      <c r="V740" s="161"/>
      <c r="W740" s="161"/>
      <c r="X740" s="161"/>
    </row>
    <row r="741" ht="12.75" customHeight="1">
      <c r="A741" s="165"/>
      <c r="B741" s="165"/>
      <c r="C741" s="166"/>
      <c r="D741" s="165"/>
      <c r="E741" s="161"/>
      <c r="F741" s="161"/>
      <c r="G741" s="161"/>
      <c r="H741" s="161"/>
      <c r="I741" s="161"/>
      <c r="J741" s="161"/>
      <c r="K741" s="161"/>
      <c r="L741" s="161"/>
      <c r="M741" s="161"/>
      <c r="N741" s="161"/>
      <c r="O741" s="161"/>
      <c r="P741" s="161"/>
      <c r="Q741" s="161"/>
      <c r="R741" s="161"/>
      <c r="S741" s="161"/>
      <c r="T741" s="161"/>
      <c r="U741" s="161"/>
      <c r="V741" s="161"/>
      <c r="W741" s="161"/>
      <c r="X741" s="161"/>
    </row>
    <row r="742" ht="12.75" customHeight="1">
      <c r="A742" s="165"/>
      <c r="B742" s="165"/>
      <c r="C742" s="166"/>
      <c r="D742" s="165"/>
      <c r="E742" s="161"/>
      <c r="F742" s="161"/>
      <c r="G742" s="161"/>
      <c r="H742" s="161"/>
      <c r="I742" s="161"/>
      <c r="J742" s="161"/>
      <c r="K742" s="161"/>
      <c r="L742" s="161"/>
      <c r="M742" s="161"/>
      <c r="N742" s="161"/>
      <c r="O742" s="161"/>
      <c r="P742" s="161"/>
      <c r="Q742" s="161"/>
      <c r="R742" s="161"/>
      <c r="S742" s="161"/>
      <c r="T742" s="161"/>
      <c r="U742" s="161"/>
      <c r="V742" s="161"/>
      <c r="W742" s="161"/>
      <c r="X742" s="161"/>
    </row>
    <row r="743" ht="12.75" customHeight="1">
      <c r="A743" s="165"/>
      <c r="B743" s="165"/>
      <c r="C743" s="166"/>
      <c r="D743" s="165"/>
      <c r="E743" s="161"/>
      <c r="F743" s="161"/>
      <c r="G743" s="161"/>
      <c r="H743" s="161"/>
      <c r="I743" s="161"/>
      <c r="J743" s="161"/>
      <c r="K743" s="161"/>
      <c r="L743" s="161"/>
      <c r="M743" s="161"/>
      <c r="N743" s="161"/>
      <c r="O743" s="161"/>
      <c r="P743" s="161"/>
      <c r="Q743" s="161"/>
      <c r="R743" s="161"/>
      <c r="S743" s="161"/>
      <c r="T743" s="161"/>
      <c r="U743" s="161"/>
      <c r="V743" s="161"/>
      <c r="W743" s="161"/>
      <c r="X743" s="161"/>
    </row>
    <row r="744" ht="12.75" customHeight="1">
      <c r="A744" s="165"/>
      <c r="B744" s="165"/>
      <c r="C744" s="166"/>
      <c r="D744" s="165"/>
      <c r="E744" s="161"/>
      <c r="F744" s="161"/>
      <c r="G744" s="161"/>
      <c r="H744" s="161"/>
      <c r="I744" s="161"/>
      <c r="J744" s="161"/>
      <c r="K744" s="161"/>
      <c r="L744" s="161"/>
      <c r="M744" s="161"/>
      <c r="N744" s="161"/>
      <c r="O744" s="161"/>
      <c r="P744" s="161"/>
      <c r="Q744" s="161"/>
      <c r="R744" s="161"/>
      <c r="S744" s="161"/>
      <c r="T744" s="161"/>
      <c r="U744" s="161"/>
      <c r="V744" s="161"/>
      <c r="W744" s="161"/>
      <c r="X744" s="161"/>
    </row>
    <row r="745" ht="12.75" customHeight="1">
      <c r="A745" s="165"/>
      <c r="B745" s="165"/>
      <c r="C745" s="166"/>
      <c r="D745" s="165"/>
      <c r="E745" s="161"/>
      <c r="F745" s="161"/>
      <c r="G745" s="161"/>
      <c r="H745" s="161"/>
      <c r="I745" s="161"/>
      <c r="J745" s="161"/>
      <c r="K745" s="161"/>
      <c r="L745" s="161"/>
      <c r="M745" s="161"/>
      <c r="N745" s="161"/>
      <c r="O745" s="161"/>
      <c r="P745" s="161"/>
      <c r="Q745" s="161"/>
      <c r="R745" s="161"/>
      <c r="S745" s="161"/>
      <c r="T745" s="161"/>
      <c r="U745" s="161"/>
      <c r="V745" s="161"/>
      <c r="W745" s="161"/>
      <c r="X745" s="161"/>
    </row>
    <row r="746" ht="12.75" customHeight="1">
      <c r="A746" s="165"/>
      <c r="B746" s="165"/>
      <c r="C746" s="166"/>
      <c r="D746" s="165"/>
      <c r="E746" s="161"/>
      <c r="F746" s="161"/>
      <c r="G746" s="161"/>
      <c r="H746" s="161"/>
      <c r="I746" s="161"/>
      <c r="J746" s="161"/>
      <c r="K746" s="161"/>
      <c r="L746" s="161"/>
      <c r="M746" s="161"/>
      <c r="N746" s="161"/>
      <c r="O746" s="161"/>
      <c r="P746" s="161"/>
      <c r="Q746" s="161"/>
      <c r="R746" s="161"/>
      <c r="S746" s="161"/>
      <c r="T746" s="161"/>
      <c r="U746" s="161"/>
      <c r="V746" s="161"/>
      <c r="W746" s="161"/>
      <c r="X746" s="161"/>
    </row>
    <row r="747" ht="12.75" customHeight="1">
      <c r="A747" s="165"/>
      <c r="B747" s="165"/>
      <c r="C747" s="166"/>
      <c r="D747" s="165"/>
      <c r="E747" s="161"/>
      <c r="F747" s="161"/>
      <c r="G747" s="161"/>
      <c r="H747" s="161"/>
      <c r="I747" s="161"/>
      <c r="J747" s="161"/>
      <c r="K747" s="161"/>
      <c r="L747" s="161"/>
      <c r="M747" s="161"/>
      <c r="N747" s="161"/>
      <c r="O747" s="161"/>
      <c r="P747" s="161"/>
      <c r="Q747" s="161"/>
      <c r="R747" s="161"/>
      <c r="S747" s="161"/>
      <c r="T747" s="161"/>
      <c r="U747" s="161"/>
      <c r="V747" s="161"/>
      <c r="W747" s="161"/>
      <c r="X747" s="161"/>
    </row>
    <row r="748" ht="12.75" customHeight="1">
      <c r="A748" s="165"/>
      <c r="B748" s="165"/>
      <c r="C748" s="166"/>
      <c r="D748" s="165"/>
      <c r="E748" s="161"/>
      <c r="F748" s="161"/>
      <c r="G748" s="161"/>
      <c r="H748" s="161"/>
      <c r="I748" s="161"/>
      <c r="J748" s="161"/>
      <c r="K748" s="161"/>
      <c r="L748" s="161"/>
      <c r="M748" s="161"/>
      <c r="N748" s="161"/>
      <c r="O748" s="161"/>
      <c r="P748" s="161"/>
      <c r="Q748" s="161"/>
      <c r="R748" s="161"/>
      <c r="S748" s="161"/>
      <c r="T748" s="161"/>
      <c r="U748" s="161"/>
      <c r="V748" s="161"/>
      <c r="W748" s="161"/>
      <c r="X748" s="161"/>
    </row>
    <row r="749" ht="12.75" customHeight="1">
      <c r="A749" s="165"/>
      <c r="B749" s="165"/>
      <c r="C749" s="166"/>
      <c r="D749" s="165"/>
      <c r="E749" s="161"/>
      <c r="F749" s="161"/>
      <c r="G749" s="161"/>
      <c r="H749" s="161"/>
      <c r="I749" s="161"/>
      <c r="J749" s="161"/>
      <c r="K749" s="161"/>
      <c r="L749" s="161"/>
      <c r="M749" s="161"/>
      <c r="N749" s="161"/>
      <c r="O749" s="161"/>
      <c r="P749" s="161"/>
      <c r="Q749" s="161"/>
      <c r="R749" s="161"/>
      <c r="S749" s="161"/>
      <c r="T749" s="161"/>
      <c r="U749" s="161"/>
      <c r="V749" s="161"/>
      <c r="W749" s="161"/>
      <c r="X749" s="161"/>
    </row>
    <row r="750" ht="12.75" customHeight="1">
      <c r="A750" s="165"/>
      <c r="B750" s="165"/>
      <c r="C750" s="166"/>
      <c r="D750" s="165"/>
      <c r="E750" s="161"/>
      <c r="F750" s="161"/>
      <c r="G750" s="161"/>
      <c r="H750" s="161"/>
      <c r="I750" s="161"/>
      <c r="J750" s="161"/>
      <c r="K750" s="161"/>
      <c r="L750" s="161"/>
      <c r="M750" s="161"/>
      <c r="N750" s="161"/>
      <c r="O750" s="161"/>
      <c r="P750" s="161"/>
      <c r="Q750" s="161"/>
      <c r="R750" s="161"/>
      <c r="S750" s="161"/>
      <c r="T750" s="161"/>
      <c r="U750" s="161"/>
      <c r="V750" s="161"/>
      <c r="W750" s="161"/>
      <c r="X750" s="161"/>
    </row>
    <row r="751" ht="12.75" customHeight="1">
      <c r="A751" s="165"/>
      <c r="B751" s="165"/>
      <c r="C751" s="166"/>
      <c r="D751" s="165"/>
      <c r="E751" s="161"/>
      <c r="F751" s="161"/>
      <c r="G751" s="161"/>
      <c r="H751" s="161"/>
      <c r="I751" s="161"/>
      <c r="J751" s="161"/>
      <c r="K751" s="161"/>
      <c r="L751" s="161"/>
      <c r="M751" s="161"/>
      <c r="N751" s="161"/>
      <c r="O751" s="161"/>
      <c r="P751" s="161"/>
      <c r="Q751" s="161"/>
      <c r="R751" s="161"/>
      <c r="S751" s="161"/>
      <c r="T751" s="161"/>
      <c r="U751" s="161"/>
      <c r="V751" s="161"/>
      <c r="W751" s="161"/>
      <c r="X751" s="161"/>
    </row>
    <row r="752" ht="12.75" customHeight="1">
      <c r="A752" s="165"/>
      <c r="B752" s="165"/>
      <c r="C752" s="166"/>
      <c r="D752" s="165"/>
      <c r="E752" s="161"/>
      <c r="F752" s="161"/>
      <c r="G752" s="161"/>
      <c r="H752" s="161"/>
      <c r="I752" s="161"/>
      <c r="J752" s="161"/>
      <c r="K752" s="161"/>
      <c r="L752" s="161"/>
      <c r="M752" s="161"/>
      <c r="N752" s="161"/>
      <c r="O752" s="161"/>
      <c r="P752" s="161"/>
      <c r="Q752" s="161"/>
      <c r="R752" s="161"/>
      <c r="S752" s="161"/>
      <c r="T752" s="161"/>
      <c r="U752" s="161"/>
      <c r="V752" s="161"/>
      <c r="W752" s="161"/>
      <c r="X752" s="161"/>
    </row>
    <row r="753" ht="12.75" customHeight="1">
      <c r="A753" s="165"/>
      <c r="B753" s="165"/>
      <c r="C753" s="166"/>
      <c r="D753" s="165"/>
      <c r="E753" s="161"/>
      <c r="F753" s="161"/>
      <c r="G753" s="161"/>
      <c r="H753" s="161"/>
      <c r="I753" s="161"/>
      <c r="J753" s="161"/>
      <c r="K753" s="161"/>
      <c r="L753" s="161"/>
      <c r="M753" s="161"/>
      <c r="N753" s="161"/>
      <c r="O753" s="161"/>
      <c r="P753" s="161"/>
      <c r="Q753" s="161"/>
      <c r="R753" s="161"/>
      <c r="S753" s="161"/>
      <c r="T753" s="161"/>
      <c r="U753" s="161"/>
      <c r="V753" s="161"/>
      <c r="W753" s="161"/>
      <c r="X753" s="161"/>
    </row>
    <row r="754" ht="12.75" customHeight="1">
      <c r="A754" s="165"/>
      <c r="B754" s="165"/>
      <c r="C754" s="166"/>
      <c r="D754" s="165"/>
      <c r="E754" s="161"/>
      <c r="F754" s="161"/>
      <c r="G754" s="161"/>
      <c r="H754" s="161"/>
      <c r="I754" s="161"/>
      <c r="J754" s="161"/>
      <c r="K754" s="161"/>
      <c r="L754" s="161"/>
      <c r="M754" s="161"/>
      <c r="N754" s="161"/>
      <c r="O754" s="161"/>
      <c r="P754" s="161"/>
      <c r="Q754" s="161"/>
      <c r="R754" s="161"/>
      <c r="S754" s="161"/>
      <c r="T754" s="161"/>
      <c r="U754" s="161"/>
      <c r="V754" s="161"/>
      <c r="W754" s="161"/>
      <c r="X754" s="161"/>
    </row>
    <row r="755" ht="12.75" customHeight="1">
      <c r="A755" s="165"/>
      <c r="B755" s="165"/>
      <c r="C755" s="166"/>
      <c r="D755" s="165"/>
      <c r="E755" s="161"/>
      <c r="F755" s="161"/>
      <c r="G755" s="161"/>
      <c r="H755" s="161"/>
      <c r="I755" s="161"/>
      <c r="J755" s="161"/>
      <c r="K755" s="161"/>
      <c r="L755" s="161"/>
      <c r="M755" s="161"/>
      <c r="N755" s="161"/>
      <c r="O755" s="161"/>
      <c r="P755" s="161"/>
      <c r="Q755" s="161"/>
      <c r="R755" s="161"/>
      <c r="S755" s="161"/>
      <c r="T755" s="161"/>
      <c r="U755" s="161"/>
      <c r="V755" s="161"/>
      <c r="W755" s="161"/>
      <c r="X755" s="161"/>
    </row>
    <row r="756" ht="12.75" customHeight="1">
      <c r="A756" s="165"/>
      <c r="B756" s="165"/>
      <c r="C756" s="166"/>
      <c r="D756" s="165"/>
      <c r="E756" s="161"/>
      <c r="F756" s="161"/>
      <c r="G756" s="161"/>
      <c r="H756" s="161"/>
      <c r="I756" s="161"/>
      <c r="J756" s="161"/>
      <c r="K756" s="161"/>
      <c r="L756" s="161"/>
      <c r="M756" s="161"/>
      <c r="N756" s="161"/>
      <c r="O756" s="161"/>
      <c r="P756" s="161"/>
      <c r="Q756" s="161"/>
      <c r="R756" s="161"/>
      <c r="S756" s="161"/>
      <c r="T756" s="161"/>
      <c r="U756" s="161"/>
      <c r="V756" s="161"/>
      <c r="W756" s="161"/>
      <c r="X756" s="161"/>
    </row>
    <row r="757" ht="12.75" customHeight="1">
      <c r="A757" s="165"/>
      <c r="B757" s="165"/>
      <c r="C757" s="166"/>
      <c r="D757" s="165"/>
      <c r="E757" s="161"/>
      <c r="F757" s="161"/>
      <c r="G757" s="161"/>
      <c r="H757" s="161"/>
      <c r="I757" s="161"/>
      <c r="J757" s="161"/>
      <c r="K757" s="161"/>
      <c r="L757" s="161"/>
      <c r="M757" s="161"/>
      <c r="N757" s="161"/>
      <c r="O757" s="161"/>
      <c r="P757" s="161"/>
      <c r="Q757" s="161"/>
      <c r="R757" s="161"/>
      <c r="S757" s="161"/>
      <c r="T757" s="161"/>
      <c r="U757" s="161"/>
      <c r="V757" s="161"/>
      <c r="W757" s="161"/>
      <c r="X757" s="161"/>
    </row>
    <row r="758" ht="12.75" customHeight="1">
      <c r="A758" s="165"/>
      <c r="B758" s="165"/>
      <c r="C758" s="166"/>
      <c r="D758" s="165"/>
      <c r="E758" s="161"/>
      <c r="F758" s="161"/>
      <c r="G758" s="161"/>
      <c r="H758" s="161"/>
      <c r="I758" s="161"/>
      <c r="J758" s="161"/>
      <c r="K758" s="161"/>
      <c r="L758" s="161"/>
      <c r="M758" s="161"/>
      <c r="N758" s="161"/>
      <c r="O758" s="161"/>
      <c r="P758" s="161"/>
      <c r="Q758" s="161"/>
      <c r="R758" s="161"/>
      <c r="S758" s="161"/>
      <c r="T758" s="161"/>
      <c r="U758" s="161"/>
      <c r="V758" s="161"/>
      <c r="W758" s="161"/>
      <c r="X758" s="161"/>
    </row>
    <row r="759" ht="12.75" customHeight="1">
      <c r="A759" s="165"/>
      <c r="B759" s="165"/>
      <c r="C759" s="166"/>
      <c r="D759" s="165"/>
      <c r="E759" s="161"/>
      <c r="F759" s="161"/>
      <c r="G759" s="161"/>
      <c r="H759" s="161"/>
      <c r="I759" s="161"/>
      <c r="J759" s="161"/>
      <c r="K759" s="161"/>
      <c r="L759" s="161"/>
      <c r="M759" s="161"/>
      <c r="N759" s="161"/>
      <c r="O759" s="161"/>
      <c r="P759" s="161"/>
      <c r="Q759" s="161"/>
      <c r="R759" s="161"/>
      <c r="S759" s="161"/>
      <c r="T759" s="161"/>
      <c r="U759" s="161"/>
      <c r="V759" s="161"/>
      <c r="W759" s="161"/>
      <c r="X759" s="161"/>
    </row>
    <row r="760" ht="12.75" customHeight="1">
      <c r="A760" s="165"/>
      <c r="B760" s="165"/>
      <c r="C760" s="166"/>
      <c r="D760" s="165"/>
      <c r="E760" s="161"/>
      <c r="F760" s="161"/>
      <c r="G760" s="161"/>
      <c r="H760" s="161"/>
      <c r="I760" s="161"/>
      <c r="J760" s="161"/>
      <c r="K760" s="161"/>
      <c r="L760" s="161"/>
      <c r="M760" s="161"/>
      <c r="N760" s="161"/>
      <c r="O760" s="161"/>
      <c r="P760" s="161"/>
      <c r="Q760" s="161"/>
      <c r="R760" s="161"/>
      <c r="S760" s="161"/>
      <c r="T760" s="161"/>
      <c r="U760" s="161"/>
      <c r="V760" s="161"/>
      <c r="W760" s="161"/>
      <c r="X760" s="161"/>
    </row>
    <row r="761" ht="12.75" customHeight="1">
      <c r="A761" s="165"/>
      <c r="B761" s="165"/>
      <c r="C761" s="166"/>
      <c r="D761" s="165"/>
      <c r="E761" s="161"/>
      <c r="F761" s="161"/>
      <c r="G761" s="161"/>
      <c r="H761" s="161"/>
      <c r="I761" s="161"/>
      <c r="J761" s="161"/>
      <c r="K761" s="161"/>
      <c r="L761" s="161"/>
      <c r="M761" s="161"/>
      <c r="N761" s="161"/>
      <c r="O761" s="161"/>
      <c r="P761" s="161"/>
      <c r="Q761" s="161"/>
      <c r="R761" s="161"/>
      <c r="S761" s="161"/>
      <c r="T761" s="161"/>
      <c r="U761" s="161"/>
      <c r="V761" s="161"/>
      <c r="W761" s="161"/>
      <c r="X761" s="161"/>
    </row>
    <row r="762" ht="12.75" customHeight="1">
      <c r="A762" s="161"/>
      <c r="B762" s="161"/>
      <c r="C762" s="161"/>
      <c r="D762" s="161"/>
      <c r="E762" s="161"/>
      <c r="F762" s="161"/>
      <c r="G762" s="161"/>
      <c r="H762" s="161"/>
      <c r="I762" s="161"/>
      <c r="J762" s="161"/>
      <c r="K762" s="161"/>
      <c r="L762" s="161"/>
      <c r="M762" s="161"/>
      <c r="N762" s="161"/>
      <c r="O762" s="161"/>
      <c r="P762" s="161"/>
      <c r="Q762" s="161"/>
      <c r="R762" s="161"/>
      <c r="S762" s="161"/>
      <c r="T762" s="161"/>
      <c r="U762" s="161"/>
      <c r="V762" s="161"/>
      <c r="W762" s="161"/>
      <c r="X762" s="161"/>
    </row>
    <row r="763" ht="12.75" customHeight="1">
      <c r="A763" s="161"/>
      <c r="B763" s="161"/>
      <c r="C763" s="161"/>
      <c r="D763" s="161"/>
      <c r="E763" s="161"/>
      <c r="F763" s="161"/>
      <c r="G763" s="161"/>
      <c r="H763" s="161"/>
      <c r="I763" s="161"/>
      <c r="J763" s="161"/>
      <c r="K763" s="161"/>
      <c r="L763" s="161"/>
      <c r="M763" s="161"/>
      <c r="N763" s="161"/>
      <c r="O763" s="161"/>
      <c r="P763" s="161"/>
      <c r="Q763" s="161"/>
      <c r="R763" s="161"/>
      <c r="S763" s="161"/>
      <c r="T763" s="161"/>
      <c r="U763" s="161"/>
      <c r="V763" s="161"/>
      <c r="W763" s="161"/>
      <c r="X763" s="161"/>
    </row>
    <row r="764" ht="12.75" customHeight="1">
      <c r="A764" s="161"/>
      <c r="B764" s="161"/>
      <c r="C764" s="161"/>
      <c r="D764" s="161"/>
      <c r="E764" s="161"/>
      <c r="F764" s="161"/>
      <c r="G764" s="161"/>
      <c r="H764" s="161"/>
      <c r="I764" s="161"/>
      <c r="J764" s="161"/>
      <c r="K764" s="161"/>
      <c r="L764" s="161"/>
      <c r="M764" s="161"/>
      <c r="N764" s="161"/>
      <c r="O764" s="161"/>
      <c r="P764" s="161"/>
      <c r="Q764" s="161"/>
      <c r="R764" s="161"/>
      <c r="S764" s="161"/>
      <c r="T764" s="161"/>
      <c r="U764" s="161"/>
      <c r="V764" s="161"/>
      <c r="W764" s="161"/>
      <c r="X764" s="161"/>
    </row>
    <row r="765" ht="12.75" customHeight="1">
      <c r="A765" s="161"/>
      <c r="B765" s="161"/>
      <c r="C765" s="161"/>
      <c r="D765" s="161"/>
      <c r="E765" s="161"/>
      <c r="F765" s="161"/>
      <c r="G765" s="161"/>
      <c r="H765" s="161"/>
      <c r="I765" s="161"/>
      <c r="J765" s="161"/>
      <c r="K765" s="161"/>
      <c r="L765" s="161"/>
      <c r="M765" s="161"/>
      <c r="N765" s="161"/>
      <c r="O765" s="161"/>
      <c r="P765" s="161"/>
      <c r="Q765" s="161"/>
      <c r="R765" s="161"/>
      <c r="S765" s="161"/>
      <c r="T765" s="161"/>
      <c r="U765" s="161"/>
      <c r="V765" s="161"/>
      <c r="W765" s="161"/>
      <c r="X765" s="161"/>
    </row>
    <row r="766" ht="12.75" customHeight="1">
      <c r="A766" s="161"/>
      <c r="B766" s="161"/>
      <c r="C766" s="161"/>
      <c r="D766" s="161"/>
      <c r="E766" s="161"/>
      <c r="F766" s="161"/>
      <c r="G766" s="161"/>
      <c r="H766" s="161"/>
      <c r="I766" s="161"/>
      <c r="J766" s="161"/>
      <c r="K766" s="161"/>
      <c r="L766" s="161"/>
      <c r="M766" s="161"/>
      <c r="N766" s="161"/>
      <c r="O766" s="161"/>
      <c r="P766" s="161"/>
      <c r="Q766" s="161"/>
      <c r="R766" s="161"/>
      <c r="S766" s="161"/>
      <c r="T766" s="161"/>
      <c r="U766" s="161"/>
      <c r="V766" s="161"/>
      <c r="W766" s="161"/>
      <c r="X766" s="161"/>
    </row>
    <row r="767" ht="12.75" customHeight="1">
      <c r="A767" s="161"/>
      <c r="B767" s="161"/>
      <c r="C767" s="161"/>
      <c r="D767" s="161"/>
      <c r="E767" s="161"/>
      <c r="F767" s="161"/>
      <c r="G767" s="161"/>
      <c r="H767" s="161"/>
      <c r="I767" s="161"/>
      <c r="J767" s="161"/>
      <c r="K767" s="161"/>
      <c r="L767" s="161"/>
      <c r="M767" s="161"/>
      <c r="N767" s="161"/>
      <c r="O767" s="161"/>
      <c r="P767" s="161"/>
      <c r="Q767" s="161"/>
      <c r="R767" s="161"/>
      <c r="S767" s="161"/>
      <c r="T767" s="161"/>
      <c r="U767" s="161"/>
      <c r="V767" s="161"/>
      <c r="W767" s="161"/>
      <c r="X767" s="161"/>
    </row>
    <row r="768" ht="12.75" customHeight="1">
      <c r="A768" s="161"/>
      <c r="B768" s="161"/>
      <c r="C768" s="161"/>
      <c r="D768" s="161"/>
      <c r="E768" s="161"/>
      <c r="F768" s="161"/>
      <c r="G768" s="161"/>
      <c r="H768" s="161"/>
      <c r="I768" s="161"/>
      <c r="J768" s="161"/>
      <c r="K768" s="161"/>
      <c r="L768" s="161"/>
      <c r="M768" s="161"/>
      <c r="N768" s="161"/>
      <c r="O768" s="161"/>
      <c r="P768" s="161"/>
      <c r="Q768" s="161"/>
      <c r="R768" s="161"/>
      <c r="S768" s="161"/>
      <c r="T768" s="161"/>
      <c r="U768" s="161"/>
      <c r="V768" s="161"/>
      <c r="W768" s="161"/>
      <c r="X768" s="161"/>
    </row>
    <row r="769" ht="12.75" customHeight="1">
      <c r="A769" s="161"/>
      <c r="B769" s="161"/>
      <c r="C769" s="161"/>
      <c r="D769" s="161"/>
      <c r="E769" s="161"/>
      <c r="F769" s="161"/>
      <c r="G769" s="161"/>
      <c r="H769" s="161"/>
      <c r="I769" s="161"/>
      <c r="J769" s="161"/>
      <c r="K769" s="161"/>
      <c r="L769" s="161"/>
      <c r="M769" s="161"/>
      <c r="N769" s="161"/>
      <c r="O769" s="161"/>
      <c r="P769" s="161"/>
      <c r="Q769" s="161"/>
      <c r="R769" s="161"/>
      <c r="S769" s="161"/>
      <c r="T769" s="161"/>
      <c r="U769" s="161"/>
      <c r="V769" s="161"/>
      <c r="W769" s="161"/>
      <c r="X769" s="161"/>
    </row>
    <row r="770" ht="12.75" customHeight="1">
      <c r="A770" s="161"/>
      <c r="B770" s="161"/>
      <c r="C770" s="161"/>
      <c r="D770" s="161"/>
      <c r="E770" s="161"/>
      <c r="F770" s="161"/>
      <c r="G770" s="161"/>
      <c r="H770" s="161"/>
      <c r="I770" s="161"/>
      <c r="J770" s="161"/>
      <c r="K770" s="161"/>
      <c r="L770" s="161"/>
      <c r="M770" s="161"/>
      <c r="N770" s="161"/>
      <c r="O770" s="161"/>
      <c r="P770" s="161"/>
      <c r="Q770" s="161"/>
      <c r="R770" s="161"/>
      <c r="S770" s="161"/>
      <c r="T770" s="161"/>
      <c r="U770" s="161"/>
      <c r="V770" s="161"/>
      <c r="W770" s="161"/>
      <c r="X770" s="161"/>
    </row>
    <row r="771" ht="12.75" customHeight="1">
      <c r="A771" s="161"/>
      <c r="B771" s="161"/>
      <c r="C771" s="161"/>
      <c r="D771" s="161"/>
      <c r="E771" s="161"/>
      <c r="F771" s="161"/>
      <c r="G771" s="161"/>
      <c r="H771" s="161"/>
      <c r="I771" s="161"/>
      <c r="J771" s="161"/>
      <c r="K771" s="161"/>
      <c r="L771" s="161"/>
      <c r="M771" s="161"/>
      <c r="N771" s="161"/>
      <c r="O771" s="161"/>
      <c r="P771" s="161"/>
      <c r="Q771" s="161"/>
      <c r="R771" s="161"/>
      <c r="S771" s="161"/>
      <c r="T771" s="161"/>
      <c r="U771" s="161"/>
      <c r="V771" s="161"/>
      <c r="W771" s="161"/>
      <c r="X771" s="161"/>
    </row>
    <row r="772" ht="12.75" customHeight="1">
      <c r="A772" s="161"/>
      <c r="B772" s="161"/>
      <c r="C772" s="161"/>
      <c r="D772" s="161"/>
      <c r="E772" s="161"/>
      <c r="F772" s="161"/>
      <c r="G772" s="161"/>
      <c r="H772" s="161"/>
      <c r="I772" s="161"/>
      <c r="J772" s="161"/>
      <c r="K772" s="161"/>
      <c r="L772" s="161"/>
      <c r="M772" s="161"/>
      <c r="N772" s="161"/>
      <c r="O772" s="161"/>
      <c r="P772" s="161"/>
      <c r="Q772" s="161"/>
      <c r="R772" s="161"/>
      <c r="S772" s="161"/>
      <c r="T772" s="161"/>
      <c r="U772" s="161"/>
      <c r="V772" s="161"/>
      <c r="W772" s="161"/>
      <c r="X772" s="161"/>
    </row>
    <row r="773" ht="12.75" customHeight="1">
      <c r="A773" s="161"/>
      <c r="B773" s="161"/>
      <c r="C773" s="161"/>
      <c r="D773" s="161"/>
      <c r="E773" s="161"/>
      <c r="F773" s="161"/>
      <c r="G773" s="161"/>
      <c r="H773" s="161"/>
      <c r="I773" s="161"/>
      <c r="J773" s="161"/>
      <c r="K773" s="161"/>
      <c r="L773" s="161"/>
      <c r="M773" s="161"/>
      <c r="N773" s="161"/>
      <c r="O773" s="161"/>
      <c r="P773" s="161"/>
      <c r="Q773" s="161"/>
      <c r="R773" s="161"/>
      <c r="S773" s="161"/>
      <c r="T773" s="161"/>
      <c r="U773" s="161"/>
      <c r="V773" s="161"/>
      <c r="W773" s="161"/>
      <c r="X773" s="161"/>
    </row>
    <row r="774" ht="12.75" customHeight="1">
      <c r="A774" s="161"/>
      <c r="B774" s="161"/>
      <c r="C774" s="161"/>
      <c r="D774" s="161"/>
      <c r="E774" s="161"/>
      <c r="F774" s="161"/>
      <c r="G774" s="161"/>
      <c r="H774" s="161"/>
      <c r="I774" s="161"/>
      <c r="J774" s="161"/>
      <c r="K774" s="161"/>
      <c r="L774" s="161"/>
      <c r="M774" s="161"/>
      <c r="N774" s="161"/>
      <c r="O774" s="161"/>
      <c r="P774" s="161"/>
      <c r="Q774" s="161"/>
      <c r="R774" s="161"/>
      <c r="S774" s="161"/>
      <c r="T774" s="161"/>
      <c r="U774" s="161"/>
      <c r="V774" s="161"/>
      <c r="W774" s="161"/>
      <c r="X774" s="161"/>
    </row>
    <row r="775" ht="12.75" customHeight="1">
      <c r="A775" s="161"/>
      <c r="B775" s="161"/>
      <c r="C775" s="161"/>
      <c r="D775" s="161"/>
      <c r="E775" s="161"/>
      <c r="F775" s="161"/>
      <c r="G775" s="161"/>
      <c r="H775" s="161"/>
      <c r="I775" s="161"/>
      <c r="J775" s="161"/>
      <c r="K775" s="161"/>
      <c r="L775" s="161"/>
      <c r="M775" s="161"/>
      <c r="N775" s="161"/>
      <c r="O775" s="161"/>
      <c r="P775" s="161"/>
      <c r="Q775" s="161"/>
      <c r="R775" s="161"/>
      <c r="S775" s="161"/>
      <c r="T775" s="161"/>
      <c r="U775" s="161"/>
      <c r="V775" s="161"/>
      <c r="W775" s="161"/>
      <c r="X775" s="161"/>
    </row>
    <row r="776" ht="12.75" customHeight="1">
      <c r="A776" s="161"/>
      <c r="B776" s="161"/>
      <c r="C776" s="161"/>
      <c r="D776" s="161"/>
      <c r="E776" s="161"/>
      <c r="F776" s="161"/>
      <c r="G776" s="161"/>
      <c r="H776" s="161"/>
      <c r="I776" s="161"/>
      <c r="J776" s="161"/>
      <c r="K776" s="161"/>
      <c r="L776" s="161"/>
      <c r="M776" s="161"/>
      <c r="N776" s="161"/>
      <c r="O776" s="161"/>
      <c r="P776" s="161"/>
      <c r="Q776" s="161"/>
      <c r="R776" s="161"/>
      <c r="S776" s="161"/>
      <c r="T776" s="161"/>
      <c r="U776" s="161"/>
      <c r="V776" s="161"/>
      <c r="W776" s="161"/>
      <c r="X776" s="161"/>
    </row>
    <row r="777" ht="12.75" customHeight="1">
      <c r="A777" s="161"/>
      <c r="B777" s="161"/>
      <c r="C777" s="161"/>
      <c r="D777" s="161"/>
      <c r="E777" s="161"/>
      <c r="F777" s="161"/>
      <c r="G777" s="161"/>
      <c r="H777" s="161"/>
      <c r="I777" s="161"/>
      <c r="J777" s="161"/>
      <c r="K777" s="161"/>
      <c r="L777" s="161"/>
      <c r="M777" s="161"/>
      <c r="N777" s="161"/>
      <c r="O777" s="161"/>
      <c r="P777" s="161"/>
      <c r="Q777" s="161"/>
      <c r="R777" s="161"/>
      <c r="S777" s="161"/>
      <c r="T777" s="161"/>
      <c r="U777" s="161"/>
      <c r="V777" s="161"/>
      <c r="W777" s="161"/>
      <c r="X777" s="161"/>
    </row>
    <row r="778" ht="12.75" customHeight="1">
      <c r="A778" s="161"/>
      <c r="B778" s="161"/>
      <c r="C778" s="161"/>
      <c r="D778" s="161"/>
      <c r="E778" s="161"/>
      <c r="F778" s="161"/>
      <c r="G778" s="161"/>
      <c r="H778" s="161"/>
      <c r="I778" s="161"/>
      <c r="J778" s="161"/>
      <c r="K778" s="161"/>
      <c r="L778" s="161"/>
      <c r="M778" s="161"/>
      <c r="N778" s="161"/>
      <c r="O778" s="161"/>
      <c r="P778" s="161"/>
      <c r="Q778" s="161"/>
      <c r="R778" s="161"/>
      <c r="S778" s="161"/>
      <c r="T778" s="161"/>
      <c r="U778" s="161"/>
      <c r="V778" s="161"/>
      <c r="W778" s="161"/>
      <c r="X778" s="161"/>
    </row>
    <row r="779" ht="12.75" customHeight="1">
      <c r="A779" s="161"/>
      <c r="B779" s="161"/>
      <c r="C779" s="161"/>
      <c r="D779" s="161"/>
      <c r="E779" s="161"/>
      <c r="F779" s="161"/>
      <c r="G779" s="161"/>
      <c r="H779" s="161"/>
      <c r="I779" s="161"/>
      <c r="J779" s="161"/>
      <c r="K779" s="161"/>
      <c r="L779" s="161"/>
      <c r="M779" s="161"/>
      <c r="N779" s="161"/>
      <c r="O779" s="161"/>
      <c r="P779" s="161"/>
      <c r="Q779" s="161"/>
      <c r="R779" s="161"/>
      <c r="S779" s="161"/>
      <c r="T779" s="161"/>
      <c r="U779" s="161"/>
      <c r="V779" s="161"/>
      <c r="W779" s="161"/>
      <c r="X779" s="161"/>
    </row>
    <row r="780" ht="12.75" customHeight="1">
      <c r="A780" s="161"/>
      <c r="B780" s="161"/>
      <c r="C780" s="161"/>
      <c r="D780" s="161"/>
      <c r="E780" s="161"/>
      <c r="F780" s="161"/>
      <c r="G780" s="161"/>
      <c r="H780" s="161"/>
      <c r="I780" s="161"/>
      <c r="J780" s="161"/>
      <c r="K780" s="161"/>
      <c r="L780" s="161"/>
      <c r="M780" s="161"/>
      <c r="N780" s="161"/>
      <c r="O780" s="161"/>
      <c r="P780" s="161"/>
      <c r="Q780" s="161"/>
      <c r="R780" s="161"/>
      <c r="S780" s="161"/>
      <c r="T780" s="161"/>
      <c r="U780" s="161"/>
      <c r="V780" s="161"/>
      <c r="W780" s="161"/>
      <c r="X780" s="161"/>
    </row>
    <row r="781" ht="12.75" customHeight="1">
      <c r="A781" s="161"/>
      <c r="B781" s="161"/>
      <c r="C781" s="161"/>
      <c r="D781" s="161"/>
      <c r="E781" s="161"/>
      <c r="F781" s="161"/>
      <c r="G781" s="161"/>
      <c r="H781" s="161"/>
      <c r="I781" s="161"/>
      <c r="J781" s="161"/>
      <c r="K781" s="161"/>
      <c r="L781" s="161"/>
      <c r="M781" s="161"/>
      <c r="N781" s="161"/>
      <c r="O781" s="161"/>
      <c r="P781" s="161"/>
      <c r="Q781" s="161"/>
      <c r="R781" s="161"/>
      <c r="S781" s="161"/>
      <c r="T781" s="161"/>
      <c r="U781" s="161"/>
      <c r="V781" s="161"/>
      <c r="W781" s="161"/>
      <c r="X781" s="161"/>
    </row>
    <row r="782" ht="12.75" customHeight="1">
      <c r="A782" s="161"/>
      <c r="B782" s="161"/>
      <c r="C782" s="161"/>
      <c r="D782" s="161"/>
      <c r="E782" s="161"/>
      <c r="F782" s="161"/>
      <c r="G782" s="161"/>
      <c r="H782" s="161"/>
      <c r="I782" s="161"/>
      <c r="J782" s="161"/>
      <c r="K782" s="161"/>
      <c r="L782" s="161"/>
      <c r="M782" s="161"/>
      <c r="N782" s="161"/>
      <c r="O782" s="161"/>
      <c r="P782" s="161"/>
      <c r="Q782" s="161"/>
      <c r="R782" s="161"/>
      <c r="S782" s="161"/>
      <c r="T782" s="161"/>
      <c r="U782" s="161"/>
      <c r="V782" s="161"/>
      <c r="W782" s="161"/>
      <c r="X782" s="161"/>
    </row>
    <row r="783" ht="12.75" customHeight="1">
      <c r="A783" s="161"/>
      <c r="B783" s="161"/>
      <c r="C783" s="161"/>
      <c r="D783" s="161"/>
      <c r="E783" s="161"/>
      <c r="F783" s="161"/>
      <c r="G783" s="161"/>
      <c r="H783" s="161"/>
      <c r="I783" s="161"/>
      <c r="J783" s="161"/>
      <c r="K783" s="161"/>
      <c r="L783" s="161"/>
      <c r="M783" s="161"/>
      <c r="N783" s="161"/>
      <c r="O783" s="161"/>
      <c r="P783" s="161"/>
      <c r="Q783" s="161"/>
      <c r="R783" s="161"/>
      <c r="S783" s="161"/>
      <c r="T783" s="161"/>
      <c r="U783" s="161"/>
      <c r="V783" s="161"/>
      <c r="W783" s="161"/>
      <c r="X783" s="161"/>
    </row>
    <row r="784" ht="12.75" customHeight="1">
      <c r="A784" s="161"/>
      <c r="B784" s="161"/>
      <c r="C784" s="161"/>
      <c r="D784" s="161"/>
      <c r="E784" s="161"/>
      <c r="F784" s="161"/>
      <c r="G784" s="161"/>
      <c r="H784" s="161"/>
      <c r="I784" s="161"/>
      <c r="J784" s="161"/>
      <c r="K784" s="161"/>
      <c r="L784" s="161"/>
      <c r="M784" s="161"/>
      <c r="N784" s="161"/>
      <c r="O784" s="161"/>
      <c r="P784" s="161"/>
      <c r="Q784" s="161"/>
      <c r="R784" s="161"/>
      <c r="S784" s="161"/>
      <c r="T784" s="161"/>
      <c r="U784" s="161"/>
      <c r="V784" s="161"/>
      <c r="W784" s="161"/>
      <c r="X784" s="161"/>
    </row>
    <row r="785" ht="12.75" customHeight="1">
      <c r="A785" s="161"/>
      <c r="B785" s="161"/>
      <c r="C785" s="161"/>
      <c r="D785" s="161"/>
      <c r="E785" s="161"/>
      <c r="F785" s="161"/>
      <c r="G785" s="161"/>
      <c r="H785" s="161"/>
      <c r="I785" s="161"/>
      <c r="J785" s="161"/>
      <c r="K785" s="161"/>
      <c r="L785" s="161"/>
      <c r="M785" s="161"/>
      <c r="N785" s="161"/>
      <c r="O785" s="161"/>
      <c r="P785" s="161"/>
      <c r="Q785" s="161"/>
      <c r="R785" s="161"/>
      <c r="S785" s="161"/>
      <c r="T785" s="161"/>
      <c r="U785" s="161"/>
      <c r="V785" s="161"/>
      <c r="W785" s="161"/>
      <c r="X785" s="161"/>
    </row>
    <row r="786" ht="12.75" customHeight="1">
      <c r="A786" s="161"/>
      <c r="B786" s="161"/>
      <c r="C786" s="161"/>
      <c r="D786" s="161"/>
      <c r="E786" s="161"/>
      <c r="F786" s="161"/>
      <c r="G786" s="161"/>
      <c r="H786" s="161"/>
      <c r="I786" s="161"/>
      <c r="J786" s="161"/>
      <c r="K786" s="161"/>
      <c r="L786" s="161"/>
      <c r="M786" s="161"/>
      <c r="N786" s="161"/>
      <c r="O786" s="161"/>
      <c r="P786" s="161"/>
      <c r="Q786" s="161"/>
      <c r="R786" s="161"/>
      <c r="S786" s="161"/>
      <c r="T786" s="161"/>
      <c r="U786" s="161"/>
      <c r="V786" s="161"/>
      <c r="W786" s="161"/>
      <c r="X786" s="161"/>
    </row>
    <row r="787" ht="12.75" customHeight="1">
      <c r="A787" s="161"/>
      <c r="B787" s="161"/>
      <c r="C787" s="161"/>
      <c r="D787" s="161"/>
      <c r="E787" s="161"/>
      <c r="F787" s="161"/>
      <c r="G787" s="161"/>
      <c r="H787" s="161"/>
      <c r="I787" s="161"/>
      <c r="J787" s="161"/>
      <c r="K787" s="161"/>
      <c r="L787" s="161"/>
      <c r="M787" s="161"/>
      <c r="N787" s="161"/>
      <c r="O787" s="161"/>
      <c r="P787" s="161"/>
      <c r="Q787" s="161"/>
      <c r="R787" s="161"/>
      <c r="S787" s="161"/>
      <c r="T787" s="161"/>
      <c r="U787" s="161"/>
      <c r="V787" s="161"/>
      <c r="W787" s="161"/>
      <c r="X787" s="161"/>
    </row>
    <row r="788" ht="12.75" customHeight="1">
      <c r="A788" s="161"/>
      <c r="B788" s="161"/>
      <c r="C788" s="161"/>
      <c r="D788" s="161"/>
      <c r="E788" s="161"/>
      <c r="F788" s="161"/>
      <c r="G788" s="161"/>
      <c r="H788" s="161"/>
      <c r="I788" s="161"/>
      <c r="J788" s="161"/>
      <c r="K788" s="161"/>
      <c r="L788" s="161"/>
      <c r="M788" s="161"/>
      <c r="N788" s="161"/>
      <c r="O788" s="161"/>
      <c r="P788" s="161"/>
      <c r="Q788" s="161"/>
      <c r="R788" s="161"/>
      <c r="S788" s="161"/>
      <c r="T788" s="161"/>
      <c r="U788" s="161"/>
      <c r="V788" s="161"/>
      <c r="W788" s="161"/>
      <c r="X788" s="161"/>
    </row>
    <row r="789" ht="12.75" customHeight="1">
      <c r="A789" s="161"/>
      <c r="B789" s="161"/>
      <c r="C789" s="161"/>
      <c r="D789" s="161"/>
      <c r="E789" s="161"/>
      <c r="F789" s="161"/>
      <c r="G789" s="161"/>
      <c r="H789" s="161"/>
      <c r="I789" s="161"/>
      <c r="J789" s="161"/>
      <c r="K789" s="161"/>
      <c r="L789" s="161"/>
      <c r="M789" s="161"/>
      <c r="N789" s="161"/>
      <c r="O789" s="161"/>
      <c r="P789" s="161"/>
      <c r="Q789" s="161"/>
      <c r="R789" s="161"/>
      <c r="S789" s="161"/>
      <c r="T789" s="161"/>
      <c r="U789" s="161"/>
      <c r="V789" s="161"/>
      <c r="W789" s="161"/>
      <c r="X789" s="161"/>
    </row>
    <row r="790" ht="12.75" customHeight="1">
      <c r="A790" s="161"/>
      <c r="B790" s="161"/>
      <c r="C790" s="161"/>
      <c r="D790" s="161"/>
      <c r="E790" s="161"/>
      <c r="F790" s="161"/>
      <c r="G790" s="161"/>
      <c r="H790" s="161"/>
      <c r="I790" s="161"/>
      <c r="J790" s="161"/>
      <c r="K790" s="161"/>
      <c r="L790" s="161"/>
      <c r="M790" s="161"/>
      <c r="N790" s="161"/>
      <c r="O790" s="161"/>
      <c r="P790" s="161"/>
      <c r="Q790" s="161"/>
      <c r="R790" s="161"/>
      <c r="S790" s="161"/>
      <c r="T790" s="161"/>
      <c r="U790" s="161"/>
      <c r="V790" s="161"/>
      <c r="W790" s="161"/>
      <c r="X790" s="161"/>
    </row>
    <row r="791" ht="12.75" customHeight="1">
      <c r="A791" s="161"/>
      <c r="B791" s="161"/>
      <c r="C791" s="161"/>
      <c r="D791" s="161"/>
      <c r="E791" s="161"/>
      <c r="F791" s="161"/>
      <c r="G791" s="161"/>
      <c r="H791" s="161"/>
      <c r="I791" s="161"/>
      <c r="J791" s="161"/>
      <c r="K791" s="161"/>
      <c r="L791" s="161"/>
      <c r="M791" s="161"/>
      <c r="N791" s="161"/>
      <c r="O791" s="161"/>
      <c r="P791" s="161"/>
      <c r="Q791" s="161"/>
      <c r="R791" s="161"/>
      <c r="S791" s="161"/>
      <c r="T791" s="161"/>
      <c r="U791" s="161"/>
      <c r="V791" s="161"/>
      <c r="W791" s="161"/>
      <c r="X791" s="161"/>
    </row>
    <row r="792" ht="12.75" customHeight="1">
      <c r="A792" s="161"/>
      <c r="B792" s="161"/>
      <c r="C792" s="161"/>
      <c r="D792" s="161"/>
      <c r="E792" s="161"/>
      <c r="F792" s="161"/>
      <c r="G792" s="161"/>
      <c r="H792" s="161"/>
      <c r="I792" s="161"/>
      <c r="J792" s="161"/>
      <c r="K792" s="161"/>
      <c r="L792" s="161"/>
      <c r="M792" s="161"/>
      <c r="N792" s="161"/>
      <c r="O792" s="161"/>
      <c r="P792" s="161"/>
      <c r="Q792" s="161"/>
      <c r="R792" s="161"/>
      <c r="S792" s="161"/>
      <c r="T792" s="161"/>
      <c r="U792" s="161"/>
      <c r="V792" s="161"/>
      <c r="W792" s="161"/>
      <c r="X792" s="161"/>
    </row>
    <row r="793" ht="12.75" customHeight="1">
      <c r="A793" s="161"/>
      <c r="B793" s="161"/>
      <c r="C793" s="161"/>
      <c r="D793" s="161"/>
      <c r="E793" s="161"/>
      <c r="F793" s="161"/>
      <c r="G793" s="161"/>
      <c r="H793" s="161"/>
      <c r="I793" s="161"/>
      <c r="J793" s="161"/>
      <c r="K793" s="161"/>
      <c r="L793" s="161"/>
      <c r="M793" s="161"/>
      <c r="N793" s="161"/>
      <c r="O793" s="161"/>
      <c r="P793" s="161"/>
      <c r="Q793" s="161"/>
      <c r="R793" s="161"/>
      <c r="S793" s="161"/>
      <c r="T793" s="161"/>
      <c r="U793" s="161"/>
      <c r="V793" s="161"/>
      <c r="W793" s="161"/>
      <c r="X793" s="161"/>
    </row>
    <row r="794" ht="12.75" customHeight="1">
      <c r="A794" s="161"/>
      <c r="B794" s="161"/>
      <c r="C794" s="161"/>
      <c r="D794" s="161"/>
      <c r="E794" s="161"/>
      <c r="F794" s="161"/>
      <c r="G794" s="161"/>
      <c r="H794" s="161"/>
      <c r="I794" s="161"/>
      <c r="J794" s="161"/>
      <c r="K794" s="161"/>
      <c r="L794" s="161"/>
      <c r="M794" s="161"/>
      <c r="N794" s="161"/>
      <c r="O794" s="161"/>
      <c r="P794" s="161"/>
      <c r="Q794" s="161"/>
      <c r="R794" s="161"/>
      <c r="S794" s="161"/>
      <c r="T794" s="161"/>
      <c r="U794" s="161"/>
      <c r="V794" s="161"/>
      <c r="W794" s="161"/>
      <c r="X794" s="161"/>
    </row>
    <row r="795" ht="12.75" customHeight="1">
      <c r="A795" s="161"/>
      <c r="B795" s="161"/>
      <c r="C795" s="161"/>
      <c r="D795" s="161"/>
      <c r="E795" s="161"/>
      <c r="F795" s="161"/>
      <c r="G795" s="161"/>
      <c r="H795" s="161"/>
      <c r="I795" s="161"/>
      <c r="J795" s="161"/>
      <c r="K795" s="161"/>
      <c r="L795" s="161"/>
      <c r="M795" s="161"/>
      <c r="N795" s="161"/>
      <c r="O795" s="161"/>
      <c r="P795" s="161"/>
      <c r="Q795" s="161"/>
      <c r="R795" s="161"/>
      <c r="S795" s="161"/>
      <c r="T795" s="161"/>
      <c r="U795" s="161"/>
      <c r="V795" s="161"/>
      <c r="W795" s="161"/>
      <c r="X795" s="161"/>
    </row>
    <row r="796" ht="12.75" customHeight="1">
      <c r="A796" s="161"/>
      <c r="B796" s="161"/>
      <c r="C796" s="161"/>
      <c r="D796" s="161"/>
      <c r="E796" s="161"/>
      <c r="F796" s="161"/>
      <c r="G796" s="161"/>
      <c r="H796" s="161"/>
      <c r="I796" s="161"/>
      <c r="J796" s="161"/>
      <c r="K796" s="161"/>
      <c r="L796" s="161"/>
      <c r="M796" s="161"/>
      <c r="N796" s="161"/>
      <c r="O796" s="161"/>
      <c r="P796" s="161"/>
      <c r="Q796" s="161"/>
      <c r="R796" s="161"/>
      <c r="S796" s="161"/>
      <c r="T796" s="161"/>
      <c r="U796" s="161"/>
      <c r="V796" s="161"/>
      <c r="W796" s="161"/>
      <c r="X796" s="161"/>
    </row>
    <row r="797" ht="12.75" customHeight="1">
      <c r="A797" s="161"/>
      <c r="B797" s="161"/>
      <c r="C797" s="161"/>
      <c r="D797" s="161"/>
      <c r="E797" s="161"/>
      <c r="F797" s="161"/>
      <c r="G797" s="161"/>
      <c r="H797" s="161"/>
      <c r="I797" s="161"/>
      <c r="J797" s="161"/>
      <c r="K797" s="161"/>
      <c r="L797" s="161"/>
      <c r="M797" s="161"/>
      <c r="N797" s="161"/>
      <c r="O797" s="161"/>
      <c r="P797" s="161"/>
      <c r="Q797" s="161"/>
      <c r="R797" s="161"/>
      <c r="S797" s="161"/>
      <c r="T797" s="161"/>
      <c r="U797" s="161"/>
      <c r="V797" s="161"/>
      <c r="W797" s="161"/>
      <c r="X797" s="161"/>
    </row>
    <row r="798" ht="12.75" customHeight="1">
      <c r="A798" s="161"/>
      <c r="B798" s="161"/>
      <c r="C798" s="161"/>
      <c r="D798" s="161"/>
      <c r="E798" s="161"/>
      <c r="F798" s="161"/>
      <c r="G798" s="161"/>
      <c r="H798" s="161"/>
      <c r="I798" s="161"/>
      <c r="J798" s="161"/>
      <c r="K798" s="161"/>
      <c r="L798" s="161"/>
      <c r="M798" s="161"/>
      <c r="N798" s="161"/>
      <c r="O798" s="161"/>
      <c r="P798" s="161"/>
      <c r="Q798" s="161"/>
      <c r="R798" s="161"/>
      <c r="S798" s="161"/>
      <c r="T798" s="161"/>
      <c r="U798" s="161"/>
      <c r="V798" s="161"/>
      <c r="W798" s="161"/>
      <c r="X798" s="161"/>
    </row>
    <row r="799" ht="12.75" customHeight="1">
      <c r="A799" s="161"/>
      <c r="B799" s="161"/>
      <c r="C799" s="161"/>
      <c r="D799" s="161"/>
      <c r="E799" s="161"/>
      <c r="F799" s="161"/>
      <c r="G799" s="161"/>
      <c r="H799" s="161"/>
      <c r="I799" s="161"/>
      <c r="J799" s="161"/>
      <c r="K799" s="161"/>
      <c r="L799" s="161"/>
      <c r="M799" s="161"/>
      <c r="N799" s="161"/>
      <c r="O799" s="161"/>
      <c r="P799" s="161"/>
      <c r="Q799" s="161"/>
      <c r="R799" s="161"/>
      <c r="S799" s="161"/>
      <c r="T799" s="161"/>
      <c r="U799" s="161"/>
      <c r="V799" s="161"/>
      <c r="W799" s="161"/>
      <c r="X799" s="161"/>
    </row>
    <row r="800" ht="12.75" customHeight="1">
      <c r="A800" s="161"/>
      <c r="B800" s="161"/>
      <c r="C800" s="161"/>
      <c r="D800" s="161"/>
      <c r="E800" s="161"/>
      <c r="F800" s="161"/>
      <c r="G800" s="161"/>
      <c r="H800" s="161"/>
      <c r="I800" s="161"/>
      <c r="J800" s="161"/>
      <c r="K800" s="161"/>
      <c r="L800" s="161"/>
      <c r="M800" s="161"/>
      <c r="N800" s="161"/>
      <c r="O800" s="161"/>
      <c r="P800" s="161"/>
      <c r="Q800" s="161"/>
      <c r="R800" s="161"/>
      <c r="S800" s="161"/>
      <c r="T800" s="161"/>
      <c r="U800" s="161"/>
      <c r="V800" s="161"/>
      <c r="W800" s="161"/>
      <c r="X800" s="161"/>
    </row>
    <row r="801" ht="12.75" customHeight="1">
      <c r="A801" s="161"/>
      <c r="B801" s="161"/>
      <c r="C801" s="161"/>
      <c r="D801" s="161"/>
      <c r="E801" s="161"/>
      <c r="F801" s="161"/>
      <c r="G801" s="161"/>
      <c r="H801" s="161"/>
      <c r="I801" s="161"/>
      <c r="J801" s="161"/>
      <c r="K801" s="161"/>
      <c r="L801" s="161"/>
      <c r="M801" s="161"/>
      <c r="N801" s="161"/>
      <c r="O801" s="161"/>
      <c r="P801" s="161"/>
      <c r="Q801" s="161"/>
      <c r="R801" s="161"/>
      <c r="S801" s="161"/>
      <c r="T801" s="161"/>
      <c r="U801" s="161"/>
      <c r="V801" s="161"/>
      <c r="W801" s="161"/>
      <c r="X801" s="161"/>
    </row>
    <row r="802" ht="12.75" customHeight="1">
      <c r="A802" s="161"/>
      <c r="B802" s="161"/>
      <c r="C802" s="161"/>
      <c r="D802" s="161"/>
      <c r="E802" s="161"/>
      <c r="F802" s="161"/>
      <c r="G802" s="161"/>
      <c r="H802" s="161"/>
      <c r="I802" s="161"/>
      <c r="J802" s="161"/>
      <c r="K802" s="161"/>
      <c r="L802" s="161"/>
      <c r="M802" s="161"/>
      <c r="N802" s="161"/>
      <c r="O802" s="161"/>
      <c r="P802" s="161"/>
      <c r="Q802" s="161"/>
      <c r="R802" s="161"/>
      <c r="S802" s="161"/>
      <c r="T802" s="161"/>
      <c r="U802" s="161"/>
      <c r="V802" s="161"/>
      <c r="W802" s="161"/>
      <c r="X802" s="161"/>
    </row>
    <row r="803" ht="12.75" customHeight="1">
      <c r="A803" s="161"/>
      <c r="B803" s="161"/>
      <c r="C803" s="161"/>
      <c r="D803" s="161"/>
      <c r="E803" s="161"/>
      <c r="F803" s="161"/>
      <c r="G803" s="161"/>
      <c r="H803" s="161"/>
      <c r="I803" s="161"/>
      <c r="J803" s="161"/>
      <c r="K803" s="161"/>
      <c r="L803" s="161"/>
      <c r="M803" s="161"/>
      <c r="N803" s="161"/>
      <c r="O803" s="161"/>
      <c r="P803" s="161"/>
      <c r="Q803" s="161"/>
      <c r="R803" s="161"/>
      <c r="S803" s="161"/>
      <c r="T803" s="161"/>
      <c r="U803" s="161"/>
      <c r="V803" s="161"/>
      <c r="W803" s="161"/>
      <c r="X803" s="161"/>
    </row>
    <row r="804" ht="12.75" customHeight="1">
      <c r="A804" s="161"/>
      <c r="B804" s="161"/>
      <c r="C804" s="161"/>
      <c r="D804" s="161"/>
      <c r="E804" s="161"/>
      <c r="F804" s="161"/>
      <c r="G804" s="161"/>
      <c r="H804" s="161"/>
      <c r="I804" s="161"/>
      <c r="J804" s="161"/>
      <c r="K804" s="161"/>
      <c r="L804" s="161"/>
      <c r="M804" s="161"/>
      <c r="N804" s="161"/>
      <c r="O804" s="161"/>
      <c r="P804" s="161"/>
      <c r="Q804" s="161"/>
      <c r="R804" s="161"/>
      <c r="S804" s="161"/>
      <c r="T804" s="161"/>
      <c r="U804" s="161"/>
      <c r="V804" s="161"/>
      <c r="W804" s="161"/>
      <c r="X804" s="161"/>
    </row>
    <row r="805" ht="12.75" customHeight="1">
      <c r="A805" s="161"/>
      <c r="B805" s="161"/>
      <c r="C805" s="161"/>
      <c r="D805" s="161"/>
      <c r="E805" s="161"/>
      <c r="F805" s="161"/>
      <c r="G805" s="161"/>
      <c r="H805" s="161"/>
      <c r="I805" s="161"/>
      <c r="J805" s="161"/>
      <c r="K805" s="161"/>
      <c r="L805" s="161"/>
      <c r="M805" s="161"/>
      <c r="N805" s="161"/>
      <c r="O805" s="161"/>
      <c r="P805" s="161"/>
      <c r="Q805" s="161"/>
      <c r="R805" s="161"/>
      <c r="S805" s="161"/>
      <c r="T805" s="161"/>
      <c r="U805" s="161"/>
      <c r="V805" s="161"/>
      <c r="W805" s="161"/>
      <c r="X805" s="161"/>
    </row>
    <row r="806" ht="12.75" customHeight="1">
      <c r="A806" s="161"/>
      <c r="B806" s="161"/>
      <c r="C806" s="161"/>
      <c r="D806" s="161"/>
      <c r="E806" s="161"/>
      <c r="F806" s="161"/>
      <c r="G806" s="161"/>
      <c r="H806" s="161"/>
      <c r="I806" s="161"/>
      <c r="J806" s="161"/>
      <c r="K806" s="161"/>
      <c r="L806" s="161"/>
      <c r="M806" s="161"/>
      <c r="N806" s="161"/>
      <c r="O806" s="161"/>
      <c r="P806" s="161"/>
      <c r="Q806" s="161"/>
      <c r="R806" s="161"/>
      <c r="S806" s="161"/>
      <c r="T806" s="161"/>
      <c r="U806" s="161"/>
      <c r="V806" s="161"/>
      <c r="W806" s="161"/>
      <c r="X806" s="161"/>
    </row>
    <row r="807" ht="12.75" customHeight="1">
      <c r="A807" s="161"/>
      <c r="B807" s="161"/>
      <c r="C807" s="161"/>
      <c r="D807" s="161"/>
      <c r="E807" s="161"/>
      <c r="F807" s="161"/>
      <c r="G807" s="161"/>
      <c r="H807" s="161"/>
      <c r="I807" s="161"/>
      <c r="J807" s="161"/>
      <c r="K807" s="161"/>
      <c r="L807" s="161"/>
      <c r="M807" s="161"/>
      <c r="N807" s="161"/>
      <c r="O807" s="161"/>
      <c r="P807" s="161"/>
      <c r="Q807" s="161"/>
      <c r="R807" s="161"/>
      <c r="S807" s="161"/>
      <c r="T807" s="161"/>
      <c r="U807" s="161"/>
      <c r="V807" s="161"/>
      <c r="W807" s="161"/>
      <c r="X807" s="161"/>
    </row>
    <row r="808" ht="12.75" customHeight="1">
      <c r="A808" s="161"/>
      <c r="B808" s="161"/>
      <c r="C808" s="161"/>
      <c r="D808" s="161"/>
      <c r="E808" s="161"/>
      <c r="F808" s="161"/>
      <c r="G808" s="161"/>
      <c r="H808" s="161"/>
      <c r="I808" s="161"/>
      <c r="J808" s="161"/>
      <c r="K808" s="161"/>
      <c r="L808" s="161"/>
      <c r="M808" s="161"/>
      <c r="N808" s="161"/>
      <c r="O808" s="161"/>
      <c r="P808" s="161"/>
      <c r="Q808" s="161"/>
      <c r="R808" s="161"/>
      <c r="S808" s="161"/>
      <c r="T808" s="161"/>
      <c r="U808" s="161"/>
      <c r="V808" s="161"/>
      <c r="W808" s="161"/>
      <c r="X808" s="161"/>
    </row>
    <row r="809" ht="12.75" customHeight="1">
      <c r="A809" s="161"/>
      <c r="B809" s="161"/>
      <c r="C809" s="161"/>
      <c r="D809" s="161"/>
      <c r="E809" s="161"/>
      <c r="F809" s="161"/>
      <c r="G809" s="161"/>
      <c r="H809" s="161"/>
      <c r="I809" s="161"/>
      <c r="J809" s="161"/>
      <c r="K809" s="161"/>
      <c r="L809" s="161"/>
      <c r="M809" s="161"/>
      <c r="N809" s="161"/>
      <c r="O809" s="161"/>
      <c r="P809" s="161"/>
      <c r="Q809" s="161"/>
      <c r="R809" s="161"/>
      <c r="S809" s="161"/>
      <c r="T809" s="161"/>
      <c r="U809" s="161"/>
      <c r="V809" s="161"/>
      <c r="W809" s="161"/>
      <c r="X809" s="161"/>
    </row>
    <row r="810" ht="12.75" customHeight="1">
      <c r="A810" s="161"/>
      <c r="B810" s="161"/>
      <c r="C810" s="161"/>
      <c r="D810" s="161"/>
      <c r="E810" s="161"/>
      <c r="F810" s="161"/>
      <c r="G810" s="161"/>
      <c r="H810" s="161"/>
      <c r="I810" s="161"/>
      <c r="J810" s="161"/>
      <c r="K810" s="161"/>
      <c r="L810" s="161"/>
      <c r="M810" s="161"/>
      <c r="N810" s="161"/>
      <c r="O810" s="161"/>
      <c r="P810" s="161"/>
      <c r="Q810" s="161"/>
      <c r="R810" s="161"/>
      <c r="S810" s="161"/>
      <c r="T810" s="161"/>
      <c r="U810" s="161"/>
      <c r="V810" s="161"/>
      <c r="W810" s="161"/>
      <c r="X810" s="161"/>
    </row>
    <row r="811" ht="12.75" customHeight="1">
      <c r="A811" s="161"/>
      <c r="B811" s="161"/>
      <c r="C811" s="161"/>
      <c r="D811" s="161"/>
      <c r="E811" s="161"/>
      <c r="F811" s="161"/>
      <c r="G811" s="161"/>
      <c r="H811" s="161"/>
      <c r="I811" s="161"/>
      <c r="J811" s="161"/>
      <c r="K811" s="161"/>
      <c r="L811" s="161"/>
      <c r="M811" s="161"/>
      <c r="N811" s="161"/>
      <c r="O811" s="161"/>
      <c r="P811" s="161"/>
      <c r="Q811" s="161"/>
      <c r="R811" s="161"/>
      <c r="S811" s="161"/>
      <c r="T811" s="161"/>
      <c r="U811" s="161"/>
      <c r="V811" s="161"/>
      <c r="W811" s="161"/>
      <c r="X811" s="161"/>
    </row>
    <row r="812" ht="12.75" customHeight="1">
      <c r="A812" s="161"/>
      <c r="B812" s="161"/>
      <c r="C812" s="161"/>
      <c r="D812" s="161"/>
      <c r="E812" s="161"/>
      <c r="F812" s="161"/>
      <c r="G812" s="161"/>
      <c r="H812" s="161"/>
      <c r="I812" s="161"/>
      <c r="J812" s="161"/>
      <c r="K812" s="161"/>
      <c r="L812" s="161"/>
      <c r="M812" s="161"/>
      <c r="N812" s="161"/>
      <c r="O812" s="161"/>
      <c r="P812" s="161"/>
      <c r="Q812" s="161"/>
      <c r="R812" s="161"/>
      <c r="S812" s="161"/>
      <c r="T812" s="161"/>
      <c r="U812" s="161"/>
      <c r="V812" s="161"/>
      <c r="W812" s="161"/>
      <c r="X812" s="161"/>
    </row>
    <row r="813" ht="12.75" customHeight="1">
      <c r="A813" s="161"/>
      <c r="B813" s="161"/>
      <c r="C813" s="161"/>
      <c r="D813" s="161"/>
      <c r="E813" s="161"/>
      <c r="F813" s="161"/>
      <c r="G813" s="161"/>
      <c r="H813" s="161"/>
      <c r="I813" s="161"/>
      <c r="J813" s="161"/>
      <c r="K813" s="161"/>
      <c r="L813" s="161"/>
      <c r="M813" s="161"/>
      <c r="N813" s="161"/>
      <c r="O813" s="161"/>
      <c r="P813" s="161"/>
      <c r="Q813" s="161"/>
      <c r="R813" s="161"/>
      <c r="S813" s="161"/>
      <c r="T813" s="161"/>
      <c r="U813" s="161"/>
      <c r="V813" s="161"/>
      <c r="W813" s="161"/>
      <c r="X813" s="161"/>
    </row>
    <row r="814" ht="12.75" customHeight="1">
      <c r="A814" s="161"/>
      <c r="B814" s="161"/>
      <c r="C814" s="161"/>
      <c r="D814" s="161"/>
      <c r="E814" s="161"/>
      <c r="F814" s="161"/>
      <c r="G814" s="161"/>
      <c r="H814" s="161"/>
      <c r="I814" s="161"/>
      <c r="J814" s="161"/>
      <c r="K814" s="161"/>
      <c r="L814" s="161"/>
      <c r="M814" s="161"/>
      <c r="N814" s="161"/>
      <c r="O814" s="161"/>
      <c r="P814" s="161"/>
      <c r="Q814" s="161"/>
      <c r="R814" s="161"/>
      <c r="S814" s="161"/>
      <c r="T814" s="161"/>
      <c r="U814" s="161"/>
      <c r="V814" s="161"/>
      <c r="W814" s="161"/>
      <c r="X814" s="161"/>
    </row>
    <row r="815" ht="12.75" customHeight="1">
      <c r="A815" s="161"/>
      <c r="B815" s="161"/>
      <c r="C815" s="161"/>
      <c r="D815" s="161"/>
      <c r="E815" s="161"/>
      <c r="F815" s="161"/>
      <c r="G815" s="161"/>
      <c r="H815" s="161"/>
      <c r="I815" s="161"/>
      <c r="J815" s="161"/>
      <c r="K815" s="161"/>
      <c r="L815" s="161"/>
      <c r="M815" s="161"/>
      <c r="N815" s="161"/>
      <c r="O815" s="161"/>
      <c r="P815" s="161"/>
      <c r="Q815" s="161"/>
      <c r="R815" s="161"/>
      <c r="S815" s="161"/>
      <c r="T815" s="161"/>
      <c r="U815" s="161"/>
      <c r="V815" s="161"/>
      <c r="W815" s="161"/>
      <c r="X815" s="161"/>
    </row>
    <row r="816" ht="12.75" customHeight="1">
      <c r="A816" s="161"/>
      <c r="B816" s="161"/>
      <c r="C816" s="161"/>
      <c r="D816" s="161"/>
      <c r="E816" s="161"/>
      <c r="F816" s="161"/>
      <c r="G816" s="161"/>
      <c r="H816" s="161"/>
      <c r="I816" s="161"/>
      <c r="J816" s="161"/>
      <c r="K816" s="161"/>
      <c r="L816" s="161"/>
      <c r="M816" s="161"/>
      <c r="N816" s="161"/>
      <c r="O816" s="161"/>
      <c r="P816" s="161"/>
      <c r="Q816" s="161"/>
      <c r="R816" s="161"/>
      <c r="S816" s="161"/>
      <c r="T816" s="161"/>
      <c r="U816" s="161"/>
      <c r="V816" s="161"/>
      <c r="W816" s="161"/>
      <c r="X816" s="161"/>
    </row>
    <row r="817" ht="12.75" customHeight="1">
      <c r="A817" s="161"/>
      <c r="B817" s="161"/>
      <c r="C817" s="161"/>
      <c r="D817" s="161"/>
      <c r="E817" s="161"/>
      <c r="F817" s="161"/>
      <c r="G817" s="161"/>
      <c r="H817" s="161"/>
      <c r="I817" s="161"/>
      <c r="J817" s="161"/>
      <c r="K817" s="161"/>
      <c r="L817" s="161"/>
      <c r="M817" s="161"/>
      <c r="N817" s="161"/>
      <c r="O817" s="161"/>
      <c r="P817" s="161"/>
      <c r="Q817" s="161"/>
      <c r="R817" s="161"/>
      <c r="S817" s="161"/>
      <c r="T817" s="161"/>
      <c r="U817" s="161"/>
      <c r="V817" s="161"/>
      <c r="W817" s="161"/>
      <c r="X817" s="161"/>
    </row>
    <row r="818" ht="12.75" customHeight="1">
      <c r="A818" s="161"/>
      <c r="B818" s="161"/>
      <c r="C818" s="161"/>
      <c r="D818" s="161"/>
      <c r="E818" s="161"/>
      <c r="F818" s="161"/>
      <c r="G818" s="161"/>
      <c r="H818" s="161"/>
      <c r="I818" s="161"/>
      <c r="J818" s="161"/>
      <c r="K818" s="161"/>
      <c r="L818" s="161"/>
      <c r="M818" s="161"/>
      <c r="N818" s="161"/>
      <c r="O818" s="161"/>
      <c r="P818" s="161"/>
      <c r="Q818" s="161"/>
      <c r="R818" s="161"/>
      <c r="S818" s="161"/>
      <c r="T818" s="161"/>
      <c r="U818" s="161"/>
      <c r="V818" s="161"/>
      <c r="W818" s="161"/>
      <c r="X818" s="161"/>
    </row>
    <row r="819" ht="12.75" customHeight="1">
      <c r="A819" s="161"/>
      <c r="B819" s="161"/>
      <c r="C819" s="161"/>
      <c r="D819" s="161"/>
      <c r="E819" s="161"/>
      <c r="F819" s="161"/>
      <c r="G819" s="161"/>
      <c r="H819" s="161"/>
      <c r="I819" s="161"/>
      <c r="J819" s="161"/>
      <c r="K819" s="161"/>
      <c r="L819" s="161"/>
      <c r="M819" s="161"/>
      <c r="N819" s="161"/>
      <c r="O819" s="161"/>
      <c r="P819" s="161"/>
      <c r="Q819" s="161"/>
      <c r="R819" s="161"/>
      <c r="S819" s="161"/>
      <c r="T819" s="161"/>
      <c r="U819" s="161"/>
      <c r="V819" s="161"/>
      <c r="W819" s="161"/>
      <c r="X819" s="161"/>
    </row>
    <row r="820" ht="12.75" customHeight="1">
      <c r="A820" s="161"/>
      <c r="B820" s="161"/>
      <c r="C820" s="161"/>
      <c r="D820" s="161"/>
      <c r="E820" s="161"/>
      <c r="F820" s="161"/>
      <c r="G820" s="161"/>
      <c r="H820" s="161"/>
      <c r="I820" s="161"/>
      <c r="J820" s="161"/>
      <c r="K820" s="161"/>
      <c r="L820" s="161"/>
      <c r="M820" s="161"/>
      <c r="N820" s="161"/>
      <c r="O820" s="161"/>
      <c r="P820" s="161"/>
      <c r="Q820" s="161"/>
      <c r="R820" s="161"/>
      <c r="S820" s="161"/>
      <c r="T820" s="161"/>
      <c r="U820" s="161"/>
      <c r="V820" s="161"/>
      <c r="W820" s="161"/>
      <c r="X820" s="161"/>
    </row>
    <row r="821" ht="12.75" customHeight="1">
      <c r="A821" s="161"/>
      <c r="B821" s="161"/>
      <c r="C821" s="161"/>
      <c r="D821" s="161"/>
      <c r="E821" s="161"/>
      <c r="F821" s="161"/>
      <c r="G821" s="161"/>
      <c r="H821" s="161"/>
      <c r="I821" s="161"/>
      <c r="J821" s="161"/>
      <c r="K821" s="161"/>
      <c r="L821" s="161"/>
      <c r="M821" s="161"/>
      <c r="N821" s="161"/>
      <c r="O821" s="161"/>
      <c r="P821" s="161"/>
      <c r="Q821" s="161"/>
      <c r="R821" s="161"/>
      <c r="S821" s="161"/>
      <c r="T821" s="161"/>
      <c r="U821" s="161"/>
      <c r="V821" s="161"/>
      <c r="W821" s="161"/>
      <c r="X821" s="161"/>
    </row>
    <row r="822" ht="12.75" customHeight="1">
      <c r="A822" s="161"/>
      <c r="B822" s="161"/>
      <c r="C822" s="161"/>
      <c r="D822" s="161"/>
      <c r="E822" s="161"/>
      <c r="F822" s="161"/>
      <c r="G822" s="161"/>
      <c r="H822" s="161"/>
      <c r="I822" s="161"/>
      <c r="J822" s="161"/>
      <c r="K822" s="161"/>
      <c r="L822" s="161"/>
      <c r="M822" s="161"/>
      <c r="N822" s="161"/>
      <c r="O822" s="161"/>
      <c r="P822" s="161"/>
      <c r="Q822" s="161"/>
      <c r="R822" s="161"/>
      <c r="S822" s="161"/>
      <c r="T822" s="161"/>
      <c r="U822" s="161"/>
      <c r="V822" s="161"/>
      <c r="W822" s="161"/>
      <c r="X822" s="161"/>
    </row>
    <row r="823" ht="12.75" customHeight="1">
      <c r="A823" s="161"/>
      <c r="B823" s="161"/>
      <c r="C823" s="161"/>
      <c r="D823" s="161"/>
      <c r="E823" s="161"/>
      <c r="F823" s="161"/>
      <c r="G823" s="161"/>
      <c r="H823" s="161"/>
      <c r="I823" s="161"/>
      <c r="J823" s="161"/>
      <c r="K823" s="161"/>
      <c r="L823" s="161"/>
      <c r="M823" s="161"/>
      <c r="N823" s="161"/>
      <c r="O823" s="161"/>
      <c r="P823" s="161"/>
      <c r="Q823" s="161"/>
      <c r="R823" s="161"/>
      <c r="S823" s="161"/>
      <c r="T823" s="161"/>
      <c r="U823" s="161"/>
      <c r="V823" s="161"/>
      <c r="W823" s="161"/>
      <c r="X823" s="161"/>
    </row>
    <row r="824" ht="12.75" customHeight="1">
      <c r="A824" s="161"/>
      <c r="B824" s="161"/>
      <c r="C824" s="161"/>
      <c r="D824" s="161"/>
      <c r="E824" s="161"/>
      <c r="F824" s="161"/>
      <c r="G824" s="161"/>
      <c r="H824" s="161"/>
      <c r="I824" s="161"/>
      <c r="J824" s="161"/>
      <c r="K824" s="161"/>
      <c r="L824" s="161"/>
      <c r="M824" s="161"/>
      <c r="N824" s="161"/>
      <c r="O824" s="161"/>
      <c r="P824" s="161"/>
      <c r="Q824" s="161"/>
      <c r="R824" s="161"/>
      <c r="S824" s="161"/>
      <c r="T824" s="161"/>
      <c r="U824" s="161"/>
      <c r="V824" s="161"/>
      <c r="W824" s="161"/>
      <c r="X824" s="161"/>
    </row>
    <row r="825" ht="12.75" customHeight="1">
      <c r="A825" s="161"/>
      <c r="B825" s="161"/>
      <c r="C825" s="161"/>
      <c r="D825" s="161"/>
      <c r="E825" s="161"/>
      <c r="F825" s="161"/>
      <c r="G825" s="161"/>
      <c r="H825" s="161"/>
      <c r="I825" s="161"/>
      <c r="J825" s="161"/>
      <c r="K825" s="161"/>
      <c r="L825" s="161"/>
      <c r="M825" s="161"/>
      <c r="N825" s="161"/>
      <c r="O825" s="161"/>
      <c r="P825" s="161"/>
      <c r="Q825" s="161"/>
      <c r="R825" s="161"/>
      <c r="S825" s="161"/>
      <c r="T825" s="161"/>
      <c r="U825" s="161"/>
      <c r="V825" s="161"/>
      <c r="W825" s="161"/>
      <c r="X825" s="161"/>
    </row>
    <row r="826" ht="12.75" customHeight="1">
      <c r="A826" s="161"/>
      <c r="B826" s="161"/>
      <c r="C826" s="161"/>
      <c r="D826" s="161"/>
      <c r="E826" s="161"/>
      <c r="F826" s="161"/>
      <c r="G826" s="161"/>
      <c r="H826" s="161"/>
      <c r="I826" s="161"/>
      <c r="J826" s="161"/>
      <c r="K826" s="161"/>
      <c r="L826" s="161"/>
      <c r="M826" s="161"/>
      <c r="N826" s="161"/>
      <c r="O826" s="161"/>
      <c r="P826" s="161"/>
      <c r="Q826" s="161"/>
      <c r="R826" s="161"/>
      <c r="S826" s="161"/>
      <c r="T826" s="161"/>
      <c r="U826" s="161"/>
      <c r="V826" s="161"/>
      <c r="W826" s="161"/>
      <c r="X826" s="161"/>
    </row>
    <row r="827" ht="12.75" customHeight="1">
      <c r="A827" s="161"/>
      <c r="B827" s="161"/>
      <c r="C827" s="161"/>
      <c r="D827" s="161"/>
      <c r="E827" s="161"/>
      <c r="F827" s="161"/>
      <c r="G827" s="161"/>
      <c r="H827" s="161"/>
      <c r="I827" s="161"/>
      <c r="J827" s="161"/>
      <c r="K827" s="161"/>
      <c r="L827" s="161"/>
      <c r="M827" s="161"/>
      <c r="N827" s="161"/>
      <c r="O827" s="161"/>
      <c r="P827" s="161"/>
      <c r="Q827" s="161"/>
      <c r="R827" s="161"/>
      <c r="S827" s="161"/>
      <c r="T827" s="161"/>
      <c r="U827" s="161"/>
      <c r="V827" s="161"/>
      <c r="W827" s="161"/>
      <c r="X827" s="161"/>
    </row>
    <row r="828" ht="12.75" customHeight="1">
      <c r="A828" s="161"/>
      <c r="B828" s="161"/>
      <c r="C828" s="161"/>
      <c r="D828" s="161"/>
      <c r="E828" s="161"/>
      <c r="F828" s="161"/>
      <c r="G828" s="161"/>
      <c r="H828" s="161"/>
      <c r="I828" s="161"/>
      <c r="J828" s="161"/>
      <c r="K828" s="161"/>
      <c r="L828" s="161"/>
      <c r="M828" s="161"/>
      <c r="N828" s="161"/>
      <c r="O828" s="161"/>
      <c r="P828" s="161"/>
      <c r="Q828" s="161"/>
      <c r="R828" s="161"/>
      <c r="S828" s="161"/>
      <c r="T828" s="161"/>
      <c r="U828" s="161"/>
      <c r="V828" s="161"/>
      <c r="W828" s="161"/>
      <c r="X828" s="161"/>
    </row>
    <row r="829" ht="12.75" customHeight="1">
      <c r="A829" s="161"/>
      <c r="B829" s="161"/>
      <c r="C829" s="161"/>
      <c r="D829" s="161"/>
      <c r="E829" s="161"/>
      <c r="F829" s="161"/>
      <c r="G829" s="161"/>
      <c r="H829" s="161"/>
      <c r="I829" s="161"/>
      <c r="J829" s="161"/>
      <c r="K829" s="161"/>
      <c r="L829" s="161"/>
      <c r="M829" s="161"/>
      <c r="N829" s="161"/>
      <c r="O829" s="161"/>
      <c r="P829" s="161"/>
      <c r="Q829" s="161"/>
      <c r="R829" s="161"/>
      <c r="S829" s="161"/>
      <c r="T829" s="161"/>
      <c r="U829" s="161"/>
      <c r="V829" s="161"/>
      <c r="W829" s="161"/>
      <c r="X829" s="161"/>
    </row>
    <row r="830" ht="12.75" customHeight="1">
      <c r="A830" s="161"/>
      <c r="B830" s="161"/>
      <c r="C830" s="161"/>
      <c r="D830" s="161"/>
      <c r="E830" s="161"/>
      <c r="F830" s="161"/>
      <c r="G830" s="161"/>
      <c r="H830" s="161"/>
      <c r="I830" s="161"/>
      <c r="J830" s="161"/>
      <c r="K830" s="161"/>
      <c r="L830" s="161"/>
      <c r="M830" s="161"/>
      <c r="N830" s="161"/>
      <c r="O830" s="161"/>
      <c r="P830" s="161"/>
      <c r="Q830" s="161"/>
      <c r="R830" s="161"/>
      <c r="S830" s="161"/>
      <c r="T830" s="161"/>
      <c r="U830" s="161"/>
      <c r="V830" s="161"/>
      <c r="W830" s="161"/>
      <c r="X830" s="161"/>
    </row>
    <row r="831" ht="12.75" customHeight="1">
      <c r="A831" s="161"/>
      <c r="B831" s="161"/>
      <c r="C831" s="161"/>
      <c r="D831" s="161"/>
      <c r="E831" s="161"/>
      <c r="F831" s="161"/>
      <c r="G831" s="161"/>
      <c r="H831" s="161"/>
      <c r="I831" s="161"/>
      <c r="J831" s="161"/>
      <c r="K831" s="161"/>
      <c r="L831" s="161"/>
      <c r="M831" s="161"/>
      <c r="N831" s="161"/>
      <c r="O831" s="161"/>
      <c r="P831" s="161"/>
      <c r="Q831" s="161"/>
      <c r="R831" s="161"/>
      <c r="S831" s="161"/>
      <c r="T831" s="161"/>
      <c r="U831" s="161"/>
      <c r="V831" s="161"/>
      <c r="W831" s="161"/>
      <c r="X831" s="161"/>
    </row>
    <row r="832" ht="12.75" customHeight="1">
      <c r="A832" s="161"/>
      <c r="B832" s="161"/>
      <c r="C832" s="161"/>
      <c r="D832" s="161"/>
      <c r="E832" s="161"/>
      <c r="F832" s="161"/>
      <c r="G832" s="161"/>
      <c r="H832" s="161"/>
      <c r="I832" s="161"/>
      <c r="J832" s="161"/>
      <c r="K832" s="161"/>
      <c r="L832" s="161"/>
      <c r="M832" s="161"/>
      <c r="N832" s="161"/>
      <c r="O832" s="161"/>
      <c r="P832" s="161"/>
      <c r="Q832" s="161"/>
      <c r="R832" s="161"/>
      <c r="S832" s="161"/>
      <c r="T832" s="161"/>
      <c r="U832" s="161"/>
      <c r="V832" s="161"/>
      <c r="W832" s="161"/>
      <c r="X832" s="161"/>
    </row>
    <row r="833" ht="12.75" customHeight="1">
      <c r="A833" s="161"/>
      <c r="B833" s="161"/>
      <c r="C833" s="161"/>
      <c r="D833" s="161"/>
      <c r="E833" s="161"/>
      <c r="F833" s="161"/>
      <c r="G833" s="161"/>
      <c r="H833" s="161"/>
      <c r="I833" s="161"/>
      <c r="J833" s="161"/>
      <c r="K833" s="161"/>
      <c r="L833" s="161"/>
      <c r="M833" s="161"/>
      <c r="N833" s="161"/>
      <c r="O833" s="161"/>
      <c r="P833" s="161"/>
      <c r="Q833" s="161"/>
      <c r="R833" s="161"/>
      <c r="S833" s="161"/>
      <c r="T833" s="161"/>
      <c r="U833" s="161"/>
      <c r="V833" s="161"/>
      <c r="W833" s="161"/>
      <c r="X833" s="161"/>
    </row>
    <row r="834" ht="12.75" customHeight="1">
      <c r="A834" s="161"/>
      <c r="B834" s="161"/>
      <c r="C834" s="161"/>
      <c r="D834" s="161"/>
      <c r="E834" s="161"/>
      <c r="F834" s="161"/>
      <c r="G834" s="161"/>
      <c r="H834" s="161"/>
      <c r="I834" s="161"/>
      <c r="J834" s="161"/>
      <c r="K834" s="161"/>
      <c r="L834" s="161"/>
      <c r="M834" s="161"/>
      <c r="N834" s="161"/>
      <c r="O834" s="161"/>
      <c r="P834" s="161"/>
      <c r="Q834" s="161"/>
      <c r="R834" s="161"/>
      <c r="S834" s="161"/>
      <c r="T834" s="161"/>
      <c r="U834" s="161"/>
      <c r="V834" s="161"/>
      <c r="W834" s="161"/>
      <c r="X834" s="161"/>
    </row>
    <row r="835" ht="12.75" customHeight="1">
      <c r="A835" s="161"/>
      <c r="B835" s="161"/>
      <c r="C835" s="161"/>
      <c r="D835" s="161"/>
      <c r="E835" s="161"/>
      <c r="F835" s="161"/>
      <c r="G835" s="161"/>
      <c r="H835" s="161"/>
      <c r="I835" s="161"/>
      <c r="J835" s="161"/>
      <c r="K835" s="161"/>
      <c r="L835" s="161"/>
      <c r="M835" s="161"/>
      <c r="N835" s="161"/>
      <c r="O835" s="161"/>
      <c r="P835" s="161"/>
      <c r="Q835" s="161"/>
      <c r="R835" s="161"/>
      <c r="S835" s="161"/>
      <c r="T835" s="161"/>
      <c r="U835" s="161"/>
      <c r="V835" s="161"/>
      <c r="W835" s="161"/>
      <c r="X835" s="161"/>
    </row>
    <row r="836" ht="12.75" customHeight="1">
      <c r="A836" s="161"/>
      <c r="B836" s="161"/>
      <c r="C836" s="161"/>
      <c r="D836" s="161"/>
      <c r="E836" s="161"/>
      <c r="F836" s="161"/>
      <c r="G836" s="161"/>
      <c r="H836" s="161"/>
      <c r="I836" s="161"/>
      <c r="J836" s="161"/>
      <c r="K836" s="161"/>
      <c r="L836" s="161"/>
      <c r="M836" s="161"/>
      <c r="N836" s="161"/>
      <c r="O836" s="161"/>
      <c r="P836" s="161"/>
      <c r="Q836" s="161"/>
      <c r="R836" s="161"/>
      <c r="S836" s="161"/>
      <c r="T836" s="161"/>
      <c r="U836" s="161"/>
      <c r="V836" s="161"/>
      <c r="W836" s="161"/>
      <c r="X836" s="161"/>
    </row>
    <row r="837" ht="12.75" customHeight="1">
      <c r="A837" s="161"/>
      <c r="B837" s="161"/>
      <c r="C837" s="161"/>
      <c r="D837" s="161"/>
      <c r="E837" s="161"/>
      <c r="F837" s="161"/>
      <c r="G837" s="161"/>
      <c r="H837" s="161"/>
      <c r="I837" s="161"/>
      <c r="J837" s="161"/>
      <c r="K837" s="161"/>
      <c r="L837" s="161"/>
      <c r="M837" s="161"/>
      <c r="N837" s="161"/>
      <c r="O837" s="161"/>
      <c r="P837" s="161"/>
      <c r="Q837" s="161"/>
      <c r="R837" s="161"/>
      <c r="S837" s="161"/>
      <c r="T837" s="161"/>
      <c r="U837" s="161"/>
      <c r="V837" s="161"/>
      <c r="W837" s="161"/>
      <c r="X837" s="161"/>
    </row>
    <row r="838" ht="12.75" customHeight="1">
      <c r="A838" s="161"/>
      <c r="B838" s="161"/>
      <c r="C838" s="161"/>
      <c r="D838" s="161"/>
      <c r="E838" s="161"/>
      <c r="F838" s="161"/>
      <c r="G838" s="161"/>
      <c r="H838" s="161"/>
      <c r="I838" s="161"/>
      <c r="J838" s="161"/>
      <c r="K838" s="161"/>
      <c r="L838" s="161"/>
      <c r="M838" s="161"/>
      <c r="N838" s="161"/>
      <c r="O838" s="161"/>
      <c r="P838" s="161"/>
      <c r="Q838" s="161"/>
      <c r="R838" s="161"/>
      <c r="S838" s="161"/>
      <c r="T838" s="161"/>
      <c r="U838" s="161"/>
      <c r="V838" s="161"/>
      <c r="W838" s="161"/>
      <c r="X838" s="161"/>
    </row>
    <row r="839" ht="12.75" customHeight="1">
      <c r="A839" s="161"/>
      <c r="B839" s="161"/>
      <c r="C839" s="161"/>
      <c r="D839" s="161"/>
      <c r="E839" s="161"/>
      <c r="F839" s="161"/>
      <c r="G839" s="161"/>
      <c r="H839" s="161"/>
      <c r="I839" s="161"/>
      <c r="J839" s="161"/>
      <c r="K839" s="161"/>
      <c r="L839" s="161"/>
      <c r="M839" s="161"/>
      <c r="N839" s="161"/>
      <c r="O839" s="161"/>
      <c r="P839" s="161"/>
      <c r="Q839" s="161"/>
      <c r="R839" s="161"/>
      <c r="S839" s="161"/>
      <c r="T839" s="161"/>
      <c r="U839" s="161"/>
      <c r="V839" s="161"/>
      <c r="W839" s="161"/>
      <c r="X839" s="161"/>
    </row>
    <row r="840" ht="12.75" customHeight="1">
      <c r="A840" s="161"/>
      <c r="B840" s="161"/>
      <c r="C840" s="161"/>
      <c r="D840" s="161"/>
      <c r="E840" s="161"/>
      <c r="F840" s="161"/>
      <c r="G840" s="161"/>
      <c r="H840" s="161"/>
      <c r="I840" s="161"/>
      <c r="J840" s="161"/>
      <c r="K840" s="161"/>
      <c r="L840" s="161"/>
      <c r="M840" s="161"/>
      <c r="N840" s="161"/>
      <c r="O840" s="161"/>
      <c r="P840" s="161"/>
      <c r="Q840" s="161"/>
      <c r="R840" s="161"/>
      <c r="S840" s="161"/>
      <c r="T840" s="161"/>
      <c r="U840" s="161"/>
      <c r="V840" s="161"/>
      <c r="W840" s="161"/>
      <c r="X840" s="161"/>
    </row>
    <row r="841" ht="12.75" customHeight="1">
      <c r="A841" s="161"/>
      <c r="B841" s="161"/>
      <c r="C841" s="161"/>
      <c r="D841" s="161"/>
      <c r="E841" s="161"/>
      <c r="F841" s="161"/>
      <c r="G841" s="161"/>
      <c r="H841" s="161"/>
      <c r="I841" s="161"/>
      <c r="J841" s="161"/>
      <c r="K841" s="161"/>
      <c r="L841" s="161"/>
      <c r="M841" s="161"/>
      <c r="N841" s="161"/>
      <c r="O841" s="161"/>
      <c r="P841" s="161"/>
      <c r="Q841" s="161"/>
      <c r="R841" s="161"/>
      <c r="S841" s="161"/>
      <c r="T841" s="161"/>
      <c r="U841" s="161"/>
      <c r="V841" s="161"/>
      <c r="W841" s="161"/>
      <c r="X841" s="161"/>
    </row>
    <row r="842" ht="12.75" customHeight="1">
      <c r="A842" s="161"/>
      <c r="B842" s="161"/>
      <c r="C842" s="161"/>
      <c r="D842" s="161"/>
      <c r="E842" s="161"/>
      <c r="F842" s="161"/>
      <c r="G842" s="161"/>
      <c r="H842" s="161"/>
      <c r="I842" s="161"/>
      <c r="J842" s="161"/>
      <c r="K842" s="161"/>
      <c r="L842" s="161"/>
      <c r="M842" s="161"/>
      <c r="N842" s="161"/>
      <c r="O842" s="161"/>
      <c r="P842" s="161"/>
      <c r="Q842" s="161"/>
      <c r="R842" s="161"/>
      <c r="S842" s="161"/>
      <c r="T842" s="161"/>
      <c r="U842" s="161"/>
      <c r="V842" s="161"/>
      <c r="W842" s="161"/>
      <c r="X842" s="161"/>
    </row>
    <row r="843" ht="12.75" customHeight="1">
      <c r="A843" s="161"/>
      <c r="B843" s="161"/>
      <c r="C843" s="161"/>
      <c r="D843" s="161"/>
      <c r="E843" s="161"/>
      <c r="F843" s="161"/>
      <c r="G843" s="161"/>
      <c r="H843" s="161"/>
      <c r="I843" s="161"/>
      <c r="J843" s="161"/>
      <c r="K843" s="161"/>
      <c r="L843" s="161"/>
      <c r="M843" s="161"/>
      <c r="N843" s="161"/>
      <c r="O843" s="161"/>
      <c r="P843" s="161"/>
      <c r="Q843" s="161"/>
      <c r="R843" s="161"/>
      <c r="S843" s="161"/>
      <c r="T843" s="161"/>
      <c r="U843" s="161"/>
      <c r="V843" s="161"/>
      <c r="W843" s="161"/>
      <c r="X843" s="161"/>
    </row>
    <row r="844" ht="12.75" customHeight="1">
      <c r="A844" s="161"/>
      <c r="B844" s="161"/>
      <c r="C844" s="161"/>
      <c r="D844" s="161"/>
      <c r="E844" s="161"/>
      <c r="F844" s="161"/>
      <c r="G844" s="161"/>
      <c r="H844" s="161"/>
      <c r="I844" s="161"/>
      <c r="J844" s="161"/>
      <c r="K844" s="161"/>
      <c r="L844" s="161"/>
      <c r="M844" s="161"/>
      <c r="N844" s="161"/>
      <c r="O844" s="161"/>
      <c r="P844" s="161"/>
      <c r="Q844" s="161"/>
      <c r="R844" s="161"/>
      <c r="S844" s="161"/>
      <c r="T844" s="161"/>
      <c r="U844" s="161"/>
      <c r="V844" s="161"/>
      <c r="W844" s="161"/>
      <c r="X844" s="161"/>
    </row>
    <row r="845" ht="12.75" customHeight="1">
      <c r="A845" s="161"/>
      <c r="B845" s="161"/>
      <c r="C845" s="161"/>
      <c r="D845" s="161"/>
      <c r="E845" s="161"/>
      <c r="F845" s="161"/>
      <c r="G845" s="161"/>
      <c r="H845" s="161"/>
      <c r="I845" s="161"/>
      <c r="J845" s="161"/>
      <c r="K845" s="161"/>
      <c r="L845" s="161"/>
      <c r="M845" s="161"/>
      <c r="N845" s="161"/>
      <c r="O845" s="161"/>
      <c r="P845" s="161"/>
      <c r="Q845" s="161"/>
      <c r="R845" s="161"/>
      <c r="S845" s="161"/>
      <c r="T845" s="161"/>
      <c r="U845" s="161"/>
      <c r="V845" s="161"/>
      <c r="W845" s="161"/>
      <c r="X845" s="161"/>
    </row>
    <row r="846" ht="12.75" customHeight="1">
      <c r="A846" s="161"/>
      <c r="B846" s="161"/>
      <c r="C846" s="161"/>
      <c r="D846" s="161"/>
      <c r="E846" s="161"/>
      <c r="F846" s="161"/>
      <c r="G846" s="161"/>
      <c r="H846" s="161"/>
      <c r="I846" s="161"/>
      <c r="J846" s="161"/>
      <c r="K846" s="161"/>
      <c r="L846" s="161"/>
      <c r="M846" s="161"/>
      <c r="N846" s="161"/>
      <c r="O846" s="161"/>
      <c r="P846" s="161"/>
      <c r="Q846" s="161"/>
      <c r="R846" s="161"/>
      <c r="S846" s="161"/>
      <c r="T846" s="161"/>
      <c r="U846" s="161"/>
      <c r="V846" s="161"/>
      <c r="W846" s="161"/>
      <c r="X846" s="161"/>
    </row>
    <row r="847" ht="12.75" customHeight="1">
      <c r="A847" s="161"/>
      <c r="B847" s="161"/>
      <c r="C847" s="161"/>
      <c r="D847" s="161"/>
      <c r="E847" s="161"/>
      <c r="F847" s="161"/>
      <c r="G847" s="161"/>
      <c r="H847" s="161"/>
      <c r="I847" s="161"/>
      <c r="J847" s="161"/>
      <c r="K847" s="161"/>
      <c r="L847" s="161"/>
      <c r="M847" s="161"/>
      <c r="N847" s="161"/>
      <c r="O847" s="161"/>
      <c r="P847" s="161"/>
      <c r="Q847" s="161"/>
      <c r="R847" s="161"/>
      <c r="S847" s="161"/>
      <c r="T847" s="161"/>
      <c r="U847" s="161"/>
      <c r="V847" s="161"/>
      <c r="W847" s="161"/>
      <c r="X847" s="161"/>
    </row>
    <row r="848" ht="12.75" customHeight="1">
      <c r="A848" s="161"/>
      <c r="B848" s="161"/>
      <c r="C848" s="161"/>
      <c r="D848" s="161"/>
      <c r="E848" s="161"/>
      <c r="F848" s="161"/>
      <c r="G848" s="161"/>
      <c r="H848" s="161"/>
      <c r="I848" s="161"/>
      <c r="J848" s="161"/>
      <c r="K848" s="161"/>
      <c r="L848" s="161"/>
      <c r="M848" s="161"/>
      <c r="N848" s="161"/>
      <c r="O848" s="161"/>
      <c r="P848" s="161"/>
      <c r="Q848" s="161"/>
      <c r="R848" s="161"/>
      <c r="S848" s="161"/>
      <c r="T848" s="161"/>
      <c r="U848" s="161"/>
      <c r="V848" s="161"/>
      <c r="W848" s="161"/>
      <c r="X848" s="161"/>
    </row>
    <row r="849" ht="12.75" customHeight="1">
      <c r="A849" s="161"/>
      <c r="B849" s="161"/>
      <c r="C849" s="161"/>
      <c r="D849" s="161"/>
      <c r="E849" s="161"/>
      <c r="F849" s="161"/>
      <c r="G849" s="161"/>
      <c r="H849" s="161"/>
      <c r="I849" s="161"/>
      <c r="J849" s="161"/>
      <c r="K849" s="161"/>
      <c r="L849" s="161"/>
      <c r="M849" s="161"/>
      <c r="N849" s="161"/>
      <c r="O849" s="161"/>
      <c r="P849" s="161"/>
      <c r="Q849" s="161"/>
      <c r="R849" s="161"/>
      <c r="S849" s="161"/>
      <c r="T849" s="161"/>
      <c r="U849" s="161"/>
      <c r="V849" s="161"/>
      <c r="W849" s="161"/>
      <c r="X849" s="161"/>
    </row>
    <row r="850" ht="12.75" customHeight="1">
      <c r="A850" s="161"/>
      <c r="B850" s="161"/>
      <c r="C850" s="161"/>
      <c r="D850" s="161"/>
      <c r="E850" s="161"/>
      <c r="F850" s="161"/>
      <c r="G850" s="161"/>
      <c r="H850" s="161"/>
      <c r="I850" s="161"/>
      <c r="J850" s="161"/>
      <c r="K850" s="161"/>
      <c r="L850" s="161"/>
      <c r="M850" s="161"/>
      <c r="N850" s="161"/>
      <c r="O850" s="161"/>
      <c r="P850" s="161"/>
      <c r="Q850" s="161"/>
      <c r="R850" s="161"/>
      <c r="S850" s="161"/>
      <c r="T850" s="161"/>
      <c r="U850" s="161"/>
      <c r="V850" s="161"/>
      <c r="W850" s="161"/>
      <c r="X850" s="161"/>
    </row>
    <row r="851" ht="12.75" customHeight="1">
      <c r="A851" s="161"/>
      <c r="B851" s="161"/>
      <c r="C851" s="161"/>
      <c r="D851" s="161"/>
      <c r="E851" s="161"/>
      <c r="F851" s="161"/>
      <c r="G851" s="161"/>
      <c r="H851" s="161"/>
      <c r="I851" s="161"/>
      <c r="J851" s="161"/>
      <c r="K851" s="161"/>
      <c r="L851" s="161"/>
      <c r="M851" s="161"/>
      <c r="N851" s="161"/>
      <c r="O851" s="161"/>
      <c r="P851" s="161"/>
      <c r="Q851" s="161"/>
      <c r="R851" s="161"/>
      <c r="S851" s="161"/>
      <c r="T851" s="161"/>
      <c r="U851" s="161"/>
      <c r="V851" s="161"/>
      <c r="W851" s="161"/>
      <c r="X851" s="161"/>
    </row>
    <row r="852" ht="12.75" customHeight="1">
      <c r="A852" s="161"/>
      <c r="B852" s="161"/>
      <c r="C852" s="161"/>
      <c r="D852" s="161"/>
      <c r="E852" s="161"/>
      <c r="F852" s="161"/>
      <c r="G852" s="161"/>
      <c r="H852" s="161"/>
      <c r="I852" s="161"/>
      <c r="J852" s="161"/>
      <c r="K852" s="161"/>
      <c r="L852" s="161"/>
      <c r="M852" s="161"/>
      <c r="N852" s="161"/>
      <c r="O852" s="161"/>
      <c r="P852" s="161"/>
      <c r="Q852" s="161"/>
      <c r="R852" s="161"/>
      <c r="S852" s="161"/>
      <c r="T852" s="161"/>
      <c r="U852" s="161"/>
      <c r="V852" s="161"/>
      <c r="W852" s="161"/>
      <c r="X852" s="161"/>
    </row>
    <row r="853" ht="12.75" customHeight="1">
      <c r="A853" s="161"/>
      <c r="B853" s="161"/>
      <c r="C853" s="161"/>
      <c r="D853" s="161"/>
      <c r="E853" s="161"/>
      <c r="F853" s="161"/>
      <c r="G853" s="161"/>
      <c r="H853" s="161"/>
      <c r="I853" s="161"/>
      <c r="J853" s="161"/>
      <c r="K853" s="161"/>
      <c r="L853" s="161"/>
      <c r="M853" s="161"/>
      <c r="N853" s="161"/>
      <c r="O853" s="161"/>
      <c r="P853" s="161"/>
      <c r="Q853" s="161"/>
      <c r="R853" s="161"/>
      <c r="S853" s="161"/>
      <c r="T853" s="161"/>
      <c r="U853" s="161"/>
      <c r="V853" s="161"/>
      <c r="W853" s="161"/>
      <c r="X853" s="161"/>
    </row>
    <row r="854" ht="12.75" customHeight="1">
      <c r="A854" s="161"/>
      <c r="B854" s="161"/>
      <c r="C854" s="161"/>
      <c r="D854" s="161"/>
      <c r="E854" s="161"/>
      <c r="F854" s="161"/>
      <c r="G854" s="161"/>
      <c r="H854" s="161"/>
      <c r="I854" s="161"/>
      <c r="J854" s="161"/>
      <c r="K854" s="161"/>
      <c r="L854" s="161"/>
      <c r="M854" s="161"/>
      <c r="N854" s="161"/>
      <c r="O854" s="161"/>
      <c r="P854" s="161"/>
      <c r="Q854" s="161"/>
      <c r="R854" s="161"/>
      <c r="S854" s="161"/>
      <c r="T854" s="161"/>
      <c r="U854" s="161"/>
      <c r="V854" s="161"/>
      <c r="W854" s="161"/>
      <c r="X854" s="161"/>
    </row>
    <row r="855" ht="12.75" customHeight="1">
      <c r="A855" s="161"/>
      <c r="B855" s="161"/>
      <c r="C855" s="161"/>
      <c r="D855" s="161"/>
      <c r="E855" s="161"/>
      <c r="F855" s="161"/>
      <c r="G855" s="161"/>
      <c r="H855" s="161"/>
      <c r="I855" s="161"/>
      <c r="J855" s="161"/>
      <c r="K855" s="161"/>
      <c r="L855" s="161"/>
      <c r="M855" s="161"/>
      <c r="N855" s="161"/>
      <c r="O855" s="161"/>
      <c r="P855" s="161"/>
      <c r="Q855" s="161"/>
      <c r="R855" s="161"/>
      <c r="S855" s="161"/>
      <c r="T855" s="161"/>
      <c r="U855" s="161"/>
      <c r="V855" s="161"/>
      <c r="W855" s="161"/>
      <c r="X855" s="161"/>
    </row>
    <row r="856" ht="12.75" customHeight="1">
      <c r="A856" s="161"/>
      <c r="B856" s="161"/>
      <c r="C856" s="161"/>
      <c r="D856" s="161"/>
      <c r="E856" s="161"/>
      <c r="F856" s="161"/>
      <c r="G856" s="161"/>
      <c r="H856" s="161"/>
      <c r="I856" s="161"/>
      <c r="J856" s="161"/>
      <c r="K856" s="161"/>
      <c r="L856" s="161"/>
      <c r="M856" s="161"/>
      <c r="N856" s="161"/>
      <c r="O856" s="161"/>
      <c r="P856" s="161"/>
      <c r="Q856" s="161"/>
      <c r="R856" s="161"/>
      <c r="S856" s="161"/>
      <c r="T856" s="161"/>
      <c r="U856" s="161"/>
      <c r="V856" s="161"/>
      <c r="W856" s="161"/>
      <c r="X856" s="161"/>
    </row>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D$761">
    <sortState ref="A4:D761">
      <sortCondition ref="C4:C761"/>
    </sortState>
  </autoFilter>
  <mergeCells count="6">
    <mergeCell ref="A1:D1"/>
    <mergeCell ref="F1:G1"/>
    <mergeCell ref="A2:D2"/>
    <mergeCell ref="F2:I2"/>
    <mergeCell ref="G8:L32"/>
    <mergeCell ref="M8:P32"/>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86"/>
    <col customWidth="1" min="2" max="6" width="14.43"/>
  </cols>
  <sheetData>
    <row r="2" ht="15.0" customHeight="1">
      <c r="B2" s="520"/>
      <c r="C2" s="520"/>
    </row>
    <row r="4" ht="15.0" customHeight="1">
      <c r="BL4" s="513"/>
    </row>
    <row r="5" ht="15.0" customHeight="1">
      <c r="BL5" s="619"/>
    </row>
    <row r="6" ht="15.0" customHeight="1">
      <c r="BL6" s="620"/>
    </row>
    <row r="7" ht="15.0" customHeight="1">
      <c r="BL7" s="515"/>
    </row>
    <row r="8" ht="15.0" customHeight="1">
      <c r="BL8" s="517"/>
    </row>
    <row r="9" ht="15.0" customHeight="1">
      <c r="BL9" s="517"/>
    </row>
    <row r="10" ht="15.0" customHeight="1">
      <c r="BL10" s="515"/>
    </row>
    <row r="11" ht="15.0" customHeight="1">
      <c r="B11" s="511"/>
      <c r="C11" s="511"/>
      <c r="D11" s="511"/>
      <c r="E11" s="514"/>
      <c r="F11" s="514"/>
      <c r="G11" s="514"/>
      <c r="H11" s="514"/>
      <c r="I11" s="511"/>
      <c r="J11" s="514"/>
      <c r="K11" s="514"/>
      <c r="L11" s="514"/>
      <c r="M11" s="514"/>
      <c r="N11" s="511"/>
      <c r="O11" s="514"/>
      <c r="P11" s="514"/>
      <c r="Q11" s="514"/>
      <c r="R11" s="514"/>
      <c r="S11" s="514"/>
      <c r="T11" s="511"/>
      <c r="U11" s="514"/>
      <c r="V11" s="514"/>
      <c r="W11" s="514"/>
      <c r="X11" s="514"/>
      <c r="Y11" s="511"/>
      <c r="Z11" s="514"/>
      <c r="AA11" s="514"/>
      <c r="AB11" s="514"/>
      <c r="AC11" s="514"/>
      <c r="AD11" s="511"/>
      <c r="AE11" s="514"/>
      <c r="AF11" s="514"/>
      <c r="AG11" s="514"/>
      <c r="AH11" s="511"/>
      <c r="AI11" s="514"/>
      <c r="AJ11" s="514"/>
      <c r="AK11" s="514"/>
      <c r="AL11" s="514"/>
      <c r="AM11" s="511"/>
      <c r="AN11" s="514"/>
      <c r="AO11" s="514"/>
      <c r="AP11" s="514"/>
      <c r="AQ11" s="514"/>
      <c r="AR11" s="514"/>
      <c r="AS11" s="511"/>
      <c r="AT11" s="514"/>
      <c r="AU11" s="514"/>
      <c r="AV11" s="514"/>
      <c r="AW11" s="514"/>
      <c r="AX11" s="511"/>
      <c r="AY11" s="514"/>
      <c r="AZ11" s="514"/>
      <c r="BA11" s="514"/>
      <c r="BB11" s="514"/>
      <c r="BC11" s="511"/>
      <c r="BD11" s="514"/>
      <c r="BE11" s="514"/>
      <c r="BF11" s="514"/>
      <c r="BG11" s="511"/>
      <c r="BH11" s="514"/>
      <c r="BI11" s="514"/>
      <c r="BJ11" s="514"/>
      <c r="BK11" s="514"/>
      <c r="BL11" s="515"/>
    </row>
    <row r="12" ht="15.0" customHeight="1">
      <c r="B12" s="511"/>
      <c r="C12" s="512"/>
      <c r="D12" s="511"/>
      <c r="E12" s="514"/>
      <c r="F12" s="514"/>
      <c r="G12" s="514"/>
      <c r="H12" s="514"/>
      <c r="I12" s="511"/>
      <c r="J12" s="514"/>
      <c r="K12" s="514"/>
      <c r="L12" s="514"/>
      <c r="M12" s="514"/>
      <c r="N12" s="511"/>
      <c r="O12" s="514"/>
      <c r="P12" s="514"/>
      <c r="Q12" s="514"/>
      <c r="R12" s="514"/>
      <c r="S12" s="514"/>
      <c r="T12" s="511"/>
      <c r="U12" s="514"/>
      <c r="V12" s="514"/>
      <c r="W12" s="514"/>
      <c r="X12" s="514"/>
      <c r="Y12" s="511"/>
      <c r="Z12" s="514"/>
      <c r="AA12" s="514"/>
      <c r="AB12" s="514"/>
      <c r="AC12" s="514"/>
      <c r="AD12" s="511"/>
      <c r="AE12" s="514"/>
      <c r="AF12" s="514"/>
      <c r="AG12" s="514"/>
      <c r="AH12" s="511"/>
      <c r="AI12" s="514"/>
      <c r="AJ12" s="514"/>
      <c r="AK12" s="514"/>
      <c r="AL12" s="514"/>
      <c r="AM12" s="511"/>
      <c r="AN12" s="514"/>
      <c r="AO12" s="514"/>
      <c r="AP12" s="514"/>
      <c r="AQ12" s="514"/>
      <c r="AR12" s="514"/>
      <c r="AS12" s="511"/>
      <c r="AT12" s="514"/>
      <c r="AU12" s="514"/>
      <c r="AV12" s="514"/>
      <c r="AW12" s="514"/>
      <c r="AX12" s="511"/>
      <c r="AY12" s="514"/>
      <c r="AZ12" s="514"/>
      <c r="BA12" s="514"/>
      <c r="BB12" s="514"/>
      <c r="BC12" s="511"/>
      <c r="BD12" s="514"/>
      <c r="BE12" s="514"/>
      <c r="BF12" s="514"/>
      <c r="BG12" s="511"/>
      <c r="BH12" s="514"/>
      <c r="BI12" s="514"/>
      <c r="BJ12" s="514"/>
      <c r="BK12" s="514"/>
      <c r="BL12" s="515"/>
    </row>
    <row r="13" ht="15.0" customHeight="1">
      <c r="B13" s="511"/>
      <c r="C13" s="511"/>
      <c r="D13" s="511"/>
      <c r="E13" s="514"/>
      <c r="F13" s="514"/>
      <c r="G13" s="514"/>
      <c r="H13" s="514"/>
      <c r="I13" s="511"/>
      <c r="J13" s="514"/>
      <c r="K13" s="514"/>
      <c r="L13" s="514"/>
      <c r="M13" s="514"/>
      <c r="N13" s="511"/>
      <c r="O13" s="514"/>
      <c r="P13" s="514"/>
      <c r="Q13" s="514"/>
      <c r="R13" s="514"/>
      <c r="S13" s="514"/>
      <c r="T13" s="511"/>
      <c r="U13" s="514"/>
      <c r="V13" s="514"/>
      <c r="W13" s="514"/>
      <c r="X13" s="514"/>
      <c r="Y13" s="511"/>
      <c r="Z13" s="514"/>
      <c r="AA13" s="514"/>
      <c r="AB13" s="514"/>
      <c r="AC13" s="514"/>
      <c r="AD13" s="511"/>
      <c r="AE13" s="514"/>
      <c r="AF13" s="514"/>
      <c r="AG13" s="514"/>
      <c r="AH13" s="511"/>
      <c r="AI13" s="514"/>
      <c r="AJ13" s="514"/>
      <c r="AK13" s="514"/>
      <c r="AL13" s="514"/>
      <c r="AM13" s="511"/>
      <c r="AN13" s="514"/>
      <c r="AO13" s="514"/>
      <c r="AP13" s="514"/>
      <c r="AQ13" s="514"/>
      <c r="AR13" s="514"/>
      <c r="AS13" s="511"/>
      <c r="AT13" s="514"/>
      <c r="AU13" s="514"/>
      <c r="AV13" s="514"/>
      <c r="AW13" s="514"/>
      <c r="AX13" s="511"/>
      <c r="AY13" s="514"/>
      <c r="AZ13" s="514"/>
      <c r="BA13" s="514"/>
      <c r="BB13" s="514"/>
      <c r="BC13" s="511"/>
      <c r="BD13" s="514"/>
      <c r="BE13" s="514"/>
      <c r="BF13" s="514"/>
      <c r="BG13" s="511"/>
      <c r="BH13" s="514"/>
      <c r="BI13" s="514"/>
      <c r="BJ13" s="514"/>
      <c r="BK13" s="514"/>
      <c r="BL13" s="515"/>
    </row>
    <row r="14" ht="15.0" customHeight="1">
      <c r="B14" s="615"/>
      <c r="C14" s="516"/>
      <c r="D14" s="516"/>
      <c r="E14" s="487"/>
      <c r="F14" s="487"/>
      <c r="G14" s="487"/>
      <c r="H14" s="487"/>
      <c r="I14" s="516"/>
      <c r="J14" s="487"/>
      <c r="K14" s="487"/>
      <c r="L14" s="487"/>
      <c r="M14" s="487"/>
      <c r="N14" s="516"/>
      <c r="O14" s="487"/>
      <c r="P14" s="487"/>
      <c r="Q14" s="487"/>
      <c r="R14" s="487"/>
      <c r="S14" s="487"/>
      <c r="T14" s="516"/>
      <c r="U14" s="487"/>
      <c r="V14" s="487"/>
      <c r="W14" s="487"/>
      <c r="X14" s="487"/>
      <c r="Y14" s="516"/>
      <c r="Z14" s="487"/>
      <c r="AA14" s="487"/>
      <c r="AB14" s="487"/>
      <c r="AC14" s="487"/>
      <c r="AD14" s="516"/>
      <c r="AE14" s="487"/>
      <c r="AF14" s="487"/>
      <c r="AG14" s="487"/>
      <c r="AH14" s="516"/>
      <c r="AI14" s="487"/>
      <c r="AJ14" s="487"/>
      <c r="AK14" s="487"/>
      <c r="AL14" s="487"/>
      <c r="AM14" s="516"/>
      <c r="AN14" s="487"/>
      <c r="AO14" s="487"/>
      <c r="AP14" s="487"/>
      <c r="AQ14" s="487"/>
      <c r="AR14" s="487"/>
      <c r="AS14" s="516"/>
      <c r="AT14" s="487"/>
      <c r="AU14" s="487"/>
      <c r="AV14" s="487"/>
      <c r="AW14" s="487"/>
      <c r="AX14" s="516"/>
      <c r="AY14" s="487"/>
      <c r="AZ14" s="487"/>
      <c r="BA14" s="487"/>
      <c r="BB14" s="487"/>
      <c r="BC14" s="516"/>
      <c r="BD14" s="487"/>
      <c r="BE14" s="487"/>
      <c r="BF14" s="487"/>
      <c r="BG14" s="516"/>
      <c r="BH14" s="487"/>
      <c r="BI14" s="487"/>
      <c r="BJ14" s="487"/>
      <c r="BK14" s="487"/>
      <c r="BL14" s="517"/>
    </row>
    <row r="15" ht="15.0" customHeight="1">
      <c r="B15" s="615"/>
      <c r="C15" s="516"/>
      <c r="D15" s="516"/>
      <c r="E15" s="487"/>
      <c r="F15" s="487"/>
      <c r="G15" s="487"/>
      <c r="H15" s="487"/>
      <c r="I15" s="516"/>
      <c r="J15" s="487"/>
      <c r="K15" s="487"/>
      <c r="L15" s="487"/>
      <c r="M15" s="487"/>
      <c r="N15" s="516"/>
      <c r="O15" s="487"/>
      <c r="P15" s="487"/>
      <c r="Q15" s="487"/>
      <c r="R15" s="487"/>
      <c r="S15" s="487"/>
      <c r="T15" s="516"/>
      <c r="U15" s="487"/>
      <c r="V15" s="487"/>
      <c r="W15" s="487"/>
      <c r="X15" s="487"/>
      <c r="Y15" s="516"/>
      <c r="Z15" s="487"/>
      <c r="AA15" s="487"/>
      <c r="AB15" s="487"/>
      <c r="AC15" s="487"/>
      <c r="AD15" s="516"/>
      <c r="AE15" s="487"/>
      <c r="AF15" s="487"/>
      <c r="AG15" s="487"/>
      <c r="AH15" s="516"/>
      <c r="AI15" s="487"/>
      <c r="AJ15" s="487"/>
      <c r="AK15" s="487"/>
      <c r="AL15" s="487"/>
      <c r="AM15" s="516"/>
      <c r="AN15" s="487"/>
      <c r="AO15" s="487"/>
      <c r="AP15" s="487"/>
      <c r="AQ15" s="487"/>
      <c r="AR15" s="487"/>
      <c r="AS15" s="516"/>
      <c r="AT15" s="487"/>
      <c r="AU15" s="487"/>
      <c r="AV15" s="487"/>
      <c r="AW15" s="487"/>
      <c r="AX15" s="516"/>
      <c r="AY15" s="487"/>
      <c r="AZ15" s="487"/>
      <c r="BA15" s="487"/>
      <c r="BB15" s="487"/>
      <c r="BC15" s="516"/>
      <c r="BD15" s="487"/>
      <c r="BE15" s="487"/>
      <c r="BF15" s="487"/>
      <c r="BG15" s="516"/>
      <c r="BH15" s="487"/>
      <c r="BI15" s="487"/>
      <c r="BJ15" s="487"/>
      <c r="BK15" s="487"/>
      <c r="BL15" s="517"/>
    </row>
    <row r="16" ht="15.0" customHeight="1">
      <c r="B16" s="511"/>
      <c r="C16" s="512"/>
      <c r="D16" s="511"/>
      <c r="E16" s="514"/>
      <c r="F16" s="514"/>
      <c r="G16" s="514"/>
      <c r="H16" s="514"/>
      <c r="I16" s="511"/>
      <c r="J16" s="514"/>
      <c r="K16" s="514"/>
      <c r="L16" s="514"/>
      <c r="M16" s="514"/>
      <c r="N16" s="511"/>
      <c r="O16" s="514"/>
      <c r="P16" s="514"/>
      <c r="Q16" s="514"/>
      <c r="R16" s="514"/>
      <c r="S16" s="514"/>
      <c r="T16" s="511"/>
      <c r="U16" s="514"/>
      <c r="V16" s="514"/>
      <c r="W16" s="514"/>
      <c r="X16" s="514"/>
      <c r="Y16" s="511"/>
      <c r="Z16" s="514"/>
      <c r="AA16" s="514"/>
      <c r="AB16" s="514"/>
      <c r="AC16" s="514"/>
      <c r="AD16" s="511"/>
      <c r="AE16" s="514"/>
      <c r="AF16" s="514"/>
      <c r="AG16" s="514"/>
      <c r="AH16" s="511"/>
      <c r="AI16" s="514"/>
      <c r="AJ16" s="514"/>
      <c r="AK16" s="514"/>
      <c r="AL16" s="514"/>
      <c r="AM16" s="511"/>
      <c r="AN16" s="514"/>
      <c r="AO16" s="514"/>
      <c r="AP16" s="514"/>
      <c r="AQ16" s="514"/>
      <c r="AR16" s="514"/>
      <c r="AS16" s="511"/>
      <c r="AT16" s="514"/>
      <c r="AU16" s="514"/>
      <c r="AV16" s="514"/>
      <c r="AW16" s="514"/>
      <c r="AX16" s="511"/>
      <c r="AY16" s="514"/>
      <c r="AZ16" s="514"/>
      <c r="BA16" s="514"/>
      <c r="BB16" s="514"/>
      <c r="BC16" s="511"/>
      <c r="BD16" s="514"/>
      <c r="BE16" s="514"/>
      <c r="BF16" s="514"/>
      <c r="BG16" s="511"/>
      <c r="BH16" s="514"/>
      <c r="BI16" s="514"/>
      <c r="BJ16" s="514"/>
      <c r="BK16" s="514"/>
      <c r="BL16" s="515"/>
    </row>
    <row r="17" ht="15.0" customHeight="1">
      <c r="B17" s="511"/>
      <c r="C17" s="511"/>
      <c r="D17" s="511"/>
      <c r="E17" s="514"/>
      <c r="F17" s="514"/>
      <c r="G17" s="514"/>
      <c r="H17" s="514"/>
      <c r="I17" s="511"/>
      <c r="J17" s="514"/>
      <c r="K17" s="514"/>
      <c r="L17" s="514"/>
      <c r="M17" s="514"/>
      <c r="N17" s="511"/>
      <c r="O17" s="514"/>
      <c r="P17" s="514"/>
      <c r="Q17" s="514"/>
      <c r="R17" s="514"/>
      <c r="S17" s="514"/>
      <c r="T17" s="511"/>
      <c r="U17" s="514"/>
      <c r="V17" s="514"/>
      <c r="W17" s="514"/>
      <c r="X17" s="514"/>
      <c r="Y17" s="511"/>
      <c r="Z17" s="514"/>
      <c r="AA17" s="514"/>
      <c r="AB17" s="514"/>
      <c r="AC17" s="514"/>
      <c r="AD17" s="511"/>
      <c r="AE17" s="514"/>
      <c r="AF17" s="514"/>
      <c r="AG17" s="514"/>
      <c r="AH17" s="511"/>
      <c r="AI17" s="514"/>
      <c r="AJ17" s="514"/>
      <c r="AK17" s="514"/>
      <c r="AL17" s="514"/>
      <c r="AM17" s="511"/>
      <c r="AN17" s="514"/>
      <c r="AO17" s="514"/>
      <c r="AP17" s="514"/>
      <c r="AQ17" s="514"/>
      <c r="AR17" s="514"/>
      <c r="AS17" s="511"/>
      <c r="AT17" s="514"/>
      <c r="AU17" s="514"/>
      <c r="AV17" s="514"/>
      <c r="AW17" s="514"/>
      <c r="AX17" s="511"/>
      <c r="AY17" s="514"/>
      <c r="AZ17" s="514"/>
      <c r="BA17" s="514"/>
      <c r="BB17" s="514"/>
      <c r="BC17" s="511"/>
      <c r="BD17" s="514"/>
      <c r="BE17" s="514"/>
      <c r="BF17" s="514"/>
      <c r="BG17" s="511"/>
      <c r="BH17" s="514"/>
      <c r="BI17" s="514"/>
      <c r="BJ17" s="514"/>
      <c r="BK17" s="514"/>
      <c r="BL17" s="515"/>
    </row>
    <row r="18" ht="15.0" customHeight="1">
      <c r="B18" s="615"/>
      <c r="C18" s="516"/>
      <c r="D18" s="516"/>
      <c r="E18" s="487"/>
      <c r="F18" s="487"/>
      <c r="G18" s="487"/>
      <c r="H18" s="487"/>
      <c r="I18" s="516"/>
      <c r="J18" s="487"/>
      <c r="K18" s="487"/>
      <c r="L18" s="487"/>
      <c r="M18" s="487"/>
      <c r="N18" s="516"/>
      <c r="O18" s="487"/>
      <c r="P18" s="487"/>
      <c r="Q18" s="487"/>
      <c r="R18" s="487"/>
      <c r="S18" s="487"/>
      <c r="T18" s="516"/>
      <c r="U18" s="487"/>
      <c r="V18" s="487"/>
      <c r="W18" s="487"/>
      <c r="X18" s="487"/>
      <c r="Y18" s="516"/>
      <c r="Z18" s="487"/>
      <c r="AA18" s="487"/>
      <c r="AB18" s="487"/>
      <c r="AC18" s="487"/>
      <c r="AD18" s="516"/>
      <c r="AE18" s="487"/>
      <c r="AF18" s="487"/>
      <c r="AG18" s="487"/>
      <c r="AH18" s="516"/>
      <c r="AI18" s="487"/>
      <c r="AJ18" s="487"/>
      <c r="AK18" s="487"/>
      <c r="AL18" s="487"/>
      <c r="AM18" s="516"/>
      <c r="AN18" s="487"/>
      <c r="AO18" s="487"/>
      <c r="AP18" s="487"/>
      <c r="AQ18" s="487"/>
      <c r="AR18" s="487"/>
      <c r="AS18" s="516"/>
      <c r="AT18" s="487"/>
      <c r="AU18" s="487"/>
      <c r="AV18" s="487"/>
      <c r="AW18" s="487"/>
      <c r="AX18" s="516"/>
      <c r="AY18" s="487"/>
      <c r="AZ18" s="487"/>
      <c r="BA18" s="487"/>
      <c r="BB18" s="487"/>
      <c r="BC18" s="516"/>
      <c r="BD18" s="487"/>
      <c r="BE18" s="487"/>
      <c r="BF18" s="487"/>
      <c r="BG18" s="516"/>
      <c r="BH18" s="487"/>
      <c r="BI18" s="487"/>
      <c r="BJ18" s="487"/>
      <c r="BK18" s="487"/>
      <c r="BL18" s="517"/>
    </row>
    <row r="19" ht="15.0" customHeight="1">
      <c r="B19" s="511"/>
      <c r="C19" s="512"/>
      <c r="D19" s="511"/>
      <c r="E19" s="514"/>
      <c r="F19" s="514"/>
      <c r="G19" s="514"/>
      <c r="H19" s="514"/>
      <c r="I19" s="511"/>
      <c r="J19" s="514"/>
      <c r="K19" s="514"/>
      <c r="L19" s="514"/>
      <c r="M19" s="514"/>
      <c r="N19" s="511"/>
      <c r="O19" s="514"/>
      <c r="P19" s="514"/>
      <c r="Q19" s="514"/>
      <c r="R19" s="514"/>
      <c r="S19" s="514"/>
      <c r="T19" s="511"/>
      <c r="U19" s="514"/>
      <c r="V19" s="514"/>
      <c r="W19" s="514"/>
      <c r="X19" s="514"/>
      <c r="Y19" s="511"/>
      <c r="Z19" s="514"/>
      <c r="AA19" s="514"/>
      <c r="AB19" s="514"/>
      <c r="AC19" s="514"/>
      <c r="AD19" s="511"/>
      <c r="AE19" s="514"/>
      <c r="AF19" s="514"/>
      <c r="AG19" s="514"/>
      <c r="AH19" s="511"/>
      <c r="AI19" s="514"/>
      <c r="AJ19" s="514"/>
      <c r="AK19" s="514"/>
      <c r="AL19" s="514"/>
      <c r="AM19" s="511"/>
      <c r="AN19" s="514"/>
      <c r="AO19" s="514"/>
      <c r="AP19" s="514"/>
      <c r="AQ19" s="514"/>
      <c r="AR19" s="514"/>
      <c r="AS19" s="511"/>
      <c r="AT19" s="514"/>
      <c r="AU19" s="514"/>
      <c r="AV19" s="514"/>
      <c r="AW19" s="514"/>
      <c r="AX19" s="511"/>
      <c r="AY19" s="514"/>
      <c r="AZ19" s="514"/>
      <c r="BA19" s="514"/>
      <c r="BB19" s="514"/>
      <c r="BC19" s="511"/>
      <c r="BD19" s="514"/>
      <c r="BE19" s="514"/>
      <c r="BF19" s="514"/>
      <c r="BG19" s="511"/>
      <c r="BH19" s="514"/>
      <c r="BI19" s="514"/>
      <c r="BJ19" s="514"/>
      <c r="BK19" s="514"/>
      <c r="BL19" s="515"/>
    </row>
    <row r="20" ht="15.0" customHeight="1">
      <c r="B20" s="511"/>
      <c r="C20" s="511"/>
      <c r="D20" s="511"/>
      <c r="E20" s="514"/>
      <c r="F20" s="514"/>
      <c r="G20" s="514"/>
      <c r="H20" s="514"/>
      <c r="I20" s="511"/>
      <c r="J20" s="514"/>
      <c r="K20" s="514"/>
      <c r="L20" s="514"/>
      <c r="M20" s="514"/>
      <c r="N20" s="511"/>
      <c r="O20" s="514"/>
      <c r="P20" s="514"/>
      <c r="Q20" s="514"/>
      <c r="R20" s="514"/>
      <c r="S20" s="514"/>
      <c r="T20" s="511"/>
      <c r="U20" s="514"/>
      <c r="V20" s="514"/>
      <c r="W20" s="514"/>
      <c r="X20" s="514"/>
      <c r="Y20" s="511"/>
      <c r="Z20" s="514"/>
      <c r="AA20" s="514"/>
      <c r="AB20" s="514"/>
      <c r="AC20" s="514"/>
      <c r="AD20" s="511"/>
      <c r="AE20" s="514"/>
      <c r="AF20" s="514"/>
      <c r="AG20" s="514"/>
      <c r="AH20" s="511"/>
      <c r="AI20" s="514"/>
      <c r="AJ20" s="514"/>
      <c r="AK20" s="514"/>
      <c r="AL20" s="514"/>
      <c r="AM20" s="511"/>
      <c r="AN20" s="514"/>
      <c r="AO20" s="514"/>
      <c r="AP20" s="514"/>
      <c r="AQ20" s="514"/>
      <c r="AR20" s="514"/>
      <c r="AS20" s="511"/>
      <c r="AT20" s="514"/>
      <c r="AU20" s="514"/>
      <c r="AV20" s="514"/>
      <c r="AW20" s="514"/>
      <c r="AX20" s="511"/>
      <c r="AY20" s="514"/>
      <c r="AZ20" s="514"/>
      <c r="BA20" s="514"/>
      <c r="BB20" s="514"/>
      <c r="BC20" s="511"/>
      <c r="BD20" s="514"/>
      <c r="BE20" s="514"/>
      <c r="BF20" s="514"/>
      <c r="BG20" s="511"/>
      <c r="BH20" s="514"/>
      <c r="BI20" s="514"/>
      <c r="BJ20" s="514"/>
      <c r="BK20" s="514"/>
      <c r="BL20" s="515"/>
    </row>
    <row r="21" ht="15.0" customHeight="1">
      <c r="B21" s="615"/>
      <c r="C21" s="516"/>
      <c r="D21" s="516"/>
      <c r="E21" s="487"/>
      <c r="F21" s="487"/>
      <c r="G21" s="487"/>
      <c r="H21" s="487"/>
      <c r="I21" s="516"/>
      <c r="J21" s="487"/>
      <c r="K21" s="487"/>
      <c r="L21" s="487"/>
      <c r="M21" s="487"/>
      <c r="N21" s="516"/>
      <c r="O21" s="487"/>
      <c r="P21" s="487"/>
      <c r="Q21" s="487"/>
      <c r="R21" s="487"/>
      <c r="S21" s="487"/>
      <c r="T21" s="516"/>
      <c r="U21" s="487"/>
      <c r="V21" s="487"/>
      <c r="W21" s="487"/>
      <c r="X21" s="487"/>
      <c r="Y21" s="516"/>
      <c r="Z21" s="487"/>
      <c r="AA21" s="487"/>
      <c r="AB21" s="487"/>
      <c r="AC21" s="487"/>
      <c r="AD21" s="516"/>
      <c r="AE21" s="487"/>
      <c r="AF21" s="487"/>
      <c r="AG21" s="487"/>
      <c r="AH21" s="516"/>
      <c r="AI21" s="487"/>
      <c r="AJ21" s="487"/>
      <c r="AK21" s="487"/>
      <c r="AL21" s="487"/>
      <c r="AM21" s="516"/>
      <c r="AN21" s="487"/>
      <c r="AO21" s="487"/>
      <c r="AP21" s="487"/>
      <c r="AQ21" s="487"/>
      <c r="AR21" s="487"/>
      <c r="AS21" s="516"/>
      <c r="AT21" s="487"/>
      <c r="AU21" s="487"/>
      <c r="AV21" s="487"/>
      <c r="AW21" s="487"/>
      <c r="AX21" s="516"/>
      <c r="AY21" s="487"/>
      <c r="AZ21" s="487"/>
      <c r="BA21" s="487"/>
      <c r="BB21" s="487"/>
      <c r="BC21" s="516"/>
      <c r="BD21" s="487"/>
      <c r="BE21" s="487"/>
      <c r="BF21" s="487"/>
      <c r="BG21" s="516"/>
      <c r="BH21" s="487"/>
      <c r="BI21" s="487"/>
      <c r="BJ21" s="487"/>
      <c r="BK21" s="487"/>
      <c r="BL21" s="517"/>
    </row>
    <row r="22" ht="15.0" customHeight="1">
      <c r="B22" s="615"/>
      <c r="C22" s="516"/>
      <c r="D22" s="516"/>
      <c r="E22" s="487"/>
      <c r="F22" s="487"/>
      <c r="G22" s="487"/>
      <c r="H22" s="487"/>
      <c r="I22" s="516"/>
      <c r="J22" s="487"/>
      <c r="K22" s="487"/>
      <c r="L22" s="487"/>
      <c r="M22" s="487"/>
      <c r="N22" s="516"/>
      <c r="O22" s="487"/>
      <c r="P22" s="487"/>
      <c r="Q22" s="487"/>
      <c r="R22" s="487"/>
      <c r="S22" s="487"/>
      <c r="T22" s="516"/>
      <c r="U22" s="487"/>
      <c r="V22" s="487"/>
      <c r="W22" s="487"/>
      <c r="X22" s="487"/>
      <c r="Y22" s="516"/>
      <c r="Z22" s="487"/>
      <c r="AA22" s="487"/>
      <c r="AB22" s="487"/>
      <c r="AC22" s="487"/>
      <c r="AD22" s="516"/>
      <c r="AE22" s="487"/>
      <c r="AF22" s="487"/>
      <c r="AG22" s="487"/>
      <c r="AH22" s="516"/>
      <c r="AI22" s="487"/>
      <c r="AJ22" s="487"/>
      <c r="AK22" s="487"/>
      <c r="AL22" s="487"/>
      <c r="AM22" s="516"/>
      <c r="AN22" s="487"/>
      <c r="AO22" s="487"/>
      <c r="AP22" s="487"/>
      <c r="AQ22" s="487"/>
      <c r="AR22" s="487"/>
      <c r="AS22" s="516"/>
      <c r="AT22" s="487"/>
      <c r="AU22" s="487"/>
      <c r="AV22" s="487"/>
      <c r="AW22" s="487"/>
      <c r="AX22" s="516"/>
      <c r="AY22" s="487"/>
      <c r="AZ22" s="487"/>
      <c r="BA22" s="487"/>
      <c r="BB22" s="487"/>
      <c r="BC22" s="516"/>
      <c r="BD22" s="487"/>
      <c r="BE22" s="487"/>
      <c r="BF22" s="487"/>
      <c r="BG22" s="516"/>
      <c r="BH22" s="487"/>
      <c r="BI22" s="487"/>
      <c r="BJ22" s="487"/>
      <c r="BK22" s="487"/>
      <c r="BL22" s="517"/>
    </row>
    <row r="23" ht="15.0" customHeight="1">
      <c r="B23" s="511"/>
      <c r="C23" s="512"/>
      <c r="D23" s="511"/>
      <c r="E23" s="514"/>
      <c r="F23" s="514"/>
      <c r="G23" s="514"/>
      <c r="H23" s="514"/>
      <c r="I23" s="511"/>
      <c r="J23" s="514"/>
      <c r="K23" s="514"/>
      <c r="L23" s="514"/>
      <c r="M23" s="514"/>
      <c r="N23" s="511"/>
      <c r="O23" s="514"/>
      <c r="P23" s="514"/>
      <c r="Q23" s="514"/>
      <c r="R23" s="514"/>
      <c r="S23" s="514"/>
      <c r="T23" s="511"/>
      <c r="U23" s="514"/>
      <c r="V23" s="514"/>
      <c r="W23" s="514"/>
      <c r="X23" s="514"/>
      <c r="Y23" s="511"/>
      <c r="Z23" s="514"/>
      <c r="AA23" s="514"/>
      <c r="AB23" s="514"/>
      <c r="AC23" s="514"/>
      <c r="AD23" s="511"/>
      <c r="AE23" s="514"/>
      <c r="AF23" s="514"/>
      <c r="AG23" s="514"/>
      <c r="AH23" s="511"/>
      <c r="AI23" s="514"/>
      <c r="AJ23" s="514"/>
      <c r="AK23" s="514"/>
      <c r="AL23" s="514"/>
      <c r="AM23" s="511"/>
      <c r="AN23" s="514"/>
      <c r="AO23" s="514"/>
      <c r="AP23" s="514"/>
      <c r="AQ23" s="514"/>
      <c r="AR23" s="514"/>
      <c r="AS23" s="511"/>
      <c r="AT23" s="514"/>
      <c r="AU23" s="514"/>
      <c r="AV23" s="514"/>
      <c r="AW23" s="514"/>
      <c r="AX23" s="511"/>
      <c r="AY23" s="514"/>
      <c r="AZ23" s="514"/>
      <c r="BA23" s="514"/>
      <c r="BB23" s="514"/>
      <c r="BC23" s="511"/>
      <c r="BD23" s="514"/>
      <c r="BE23" s="514"/>
      <c r="BF23" s="514"/>
      <c r="BG23" s="511"/>
      <c r="BH23" s="514"/>
      <c r="BI23" s="514"/>
      <c r="BJ23" s="514"/>
      <c r="BK23" s="514"/>
      <c r="BL23" s="515"/>
    </row>
    <row r="24" ht="15.0" customHeight="1">
      <c r="B24" s="518"/>
      <c r="C24" s="621"/>
      <c r="D24" s="518"/>
      <c r="E24" s="519"/>
      <c r="F24" s="519"/>
      <c r="G24" s="519"/>
      <c r="H24" s="519"/>
      <c r="I24" s="518"/>
      <c r="J24" s="519"/>
      <c r="K24" s="519"/>
      <c r="L24" s="519"/>
      <c r="M24" s="519"/>
      <c r="N24" s="518"/>
      <c r="O24" s="519"/>
      <c r="P24" s="519"/>
      <c r="Q24" s="519"/>
      <c r="R24" s="519"/>
      <c r="S24" s="519"/>
      <c r="T24" s="518"/>
      <c r="U24" s="519"/>
      <c r="V24" s="519"/>
      <c r="W24" s="519"/>
      <c r="X24" s="519"/>
      <c r="Y24" s="518"/>
      <c r="Z24" s="519"/>
      <c r="AA24" s="519"/>
      <c r="AB24" s="519"/>
      <c r="AC24" s="519"/>
      <c r="AD24" s="518"/>
      <c r="AE24" s="519"/>
      <c r="AF24" s="519"/>
      <c r="AG24" s="519"/>
      <c r="AH24" s="518"/>
      <c r="AI24" s="519"/>
      <c r="AJ24" s="519"/>
      <c r="AK24" s="519"/>
      <c r="AL24" s="519"/>
      <c r="AM24" s="518"/>
      <c r="AN24" s="519"/>
      <c r="AO24" s="519"/>
      <c r="AP24" s="519"/>
      <c r="AQ24" s="519"/>
      <c r="AR24" s="519"/>
      <c r="AS24" s="518"/>
      <c r="AT24" s="519"/>
      <c r="AU24" s="519"/>
      <c r="AV24" s="519"/>
      <c r="AW24" s="519"/>
      <c r="AX24" s="518"/>
      <c r="AY24" s="519"/>
      <c r="AZ24" s="519"/>
      <c r="BA24" s="519"/>
      <c r="BB24" s="519"/>
      <c r="BC24" s="518"/>
      <c r="BD24" s="519"/>
      <c r="BE24" s="519"/>
      <c r="BF24" s="519"/>
      <c r="BG24" s="518"/>
      <c r="BH24" s="519"/>
      <c r="BI24" s="519"/>
      <c r="BJ24" s="519"/>
      <c r="BK24" s="519"/>
      <c r="BL24" s="520"/>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outlineLevelRow="1"/>
  <cols>
    <col customWidth="1" min="1" max="1" width="14.29"/>
    <col customWidth="1" min="2" max="2" width="10.43"/>
    <col customWidth="1" min="3" max="3" width="11.14"/>
    <col customWidth="1" min="4" max="4" width="12.14"/>
    <col customWidth="1" min="5" max="6" width="14.43"/>
    <col customWidth="1" min="7" max="7" width="11.0"/>
    <col customWidth="1" min="8" max="8" width="12.43"/>
    <col customWidth="1" min="11" max="11" width="12.86"/>
    <col customWidth="1" min="13" max="13" width="11.29"/>
    <col customWidth="1" min="14" max="14" width="8.86"/>
    <col customWidth="1" min="15" max="15" width="12.43"/>
  </cols>
  <sheetData>
    <row r="1">
      <c r="A1" s="622" t="s">
        <v>12416</v>
      </c>
      <c r="B1" s="484"/>
      <c r="C1" s="484"/>
      <c r="D1" s="484"/>
      <c r="E1" s="484"/>
      <c r="F1" s="484"/>
      <c r="G1" s="484"/>
      <c r="H1" s="484"/>
      <c r="I1" s="484"/>
      <c r="J1" s="484"/>
      <c r="K1" s="484"/>
      <c r="L1" s="484"/>
      <c r="M1" s="484"/>
    </row>
    <row r="2">
      <c r="A2" s="411" t="s">
        <v>12417</v>
      </c>
      <c r="B2" s="484"/>
      <c r="C2" s="484"/>
      <c r="D2" s="484"/>
      <c r="E2" s="484"/>
      <c r="F2" s="484"/>
      <c r="G2" s="484"/>
      <c r="H2" s="484"/>
      <c r="I2" s="484"/>
      <c r="J2" s="484"/>
      <c r="K2" s="484"/>
      <c r="L2" s="484"/>
      <c r="M2" s="484"/>
    </row>
    <row r="3">
      <c r="A3" s="520" t="s">
        <v>11</v>
      </c>
      <c r="B3" s="520" t="s">
        <v>12418</v>
      </c>
    </row>
    <row r="5">
      <c r="A5" s="511" t="s">
        <v>12403</v>
      </c>
      <c r="B5" s="511" t="s">
        <v>9157</v>
      </c>
      <c r="C5" s="512" t="s">
        <v>9160</v>
      </c>
      <c r="D5" s="512"/>
      <c r="E5" s="512"/>
      <c r="F5" s="512"/>
      <c r="G5" s="512"/>
      <c r="H5" s="512"/>
      <c r="I5" s="512"/>
      <c r="J5" s="512"/>
      <c r="K5" s="512"/>
      <c r="L5" s="512"/>
      <c r="M5" s="512"/>
      <c r="N5" s="512"/>
      <c r="O5" s="512"/>
      <c r="P5" s="512"/>
      <c r="Q5" s="512"/>
      <c r="R5" s="512"/>
      <c r="S5" s="512"/>
      <c r="T5" s="512"/>
      <c r="U5" s="512"/>
      <c r="V5" s="512"/>
      <c r="W5" s="512"/>
      <c r="X5" s="512"/>
      <c r="Y5" s="512"/>
      <c r="Z5" s="512"/>
      <c r="AA5" s="512"/>
      <c r="AB5" s="512"/>
      <c r="AC5" s="512"/>
      <c r="AD5" s="512"/>
      <c r="AE5" s="512"/>
      <c r="AF5" s="512"/>
      <c r="AG5" s="512"/>
      <c r="AH5" s="512"/>
      <c r="AI5" s="512"/>
      <c r="AJ5" s="512"/>
      <c r="AK5" s="512"/>
      <c r="AL5" s="512"/>
      <c r="AM5" s="512"/>
      <c r="AN5" s="512"/>
      <c r="AO5" s="512"/>
      <c r="AP5" s="512"/>
      <c r="AQ5" s="512"/>
      <c r="AR5" s="512"/>
      <c r="AS5" s="512"/>
      <c r="AT5" s="512"/>
      <c r="AU5" s="512"/>
      <c r="AV5" s="512"/>
      <c r="AW5" s="512"/>
      <c r="AX5" s="512"/>
      <c r="AY5" s="512"/>
      <c r="AZ5" s="512"/>
      <c r="BA5" s="512"/>
      <c r="BB5" s="512"/>
      <c r="BC5" s="512"/>
      <c r="BD5" s="512"/>
      <c r="BE5" s="512"/>
      <c r="BF5" s="512"/>
      <c r="BG5" s="512"/>
      <c r="BH5" s="512"/>
      <c r="BI5" s="512"/>
      <c r="BJ5" s="513"/>
    </row>
    <row r="6">
      <c r="A6" s="615"/>
      <c r="B6" s="617" t="s">
        <v>12405</v>
      </c>
      <c r="C6" s="512"/>
      <c r="D6" s="512"/>
      <c r="E6" s="512"/>
      <c r="F6" s="512"/>
      <c r="G6" s="617" t="s">
        <v>12406</v>
      </c>
      <c r="H6" s="512"/>
      <c r="I6" s="512"/>
      <c r="J6" s="512"/>
      <c r="K6" s="512"/>
      <c r="L6" s="617" t="s">
        <v>12407</v>
      </c>
      <c r="M6" s="512"/>
      <c r="N6" s="512"/>
      <c r="O6" s="512"/>
      <c r="P6" s="512"/>
      <c r="Q6" s="512"/>
      <c r="R6" s="617" t="s">
        <v>12408</v>
      </c>
      <c r="S6" s="512"/>
      <c r="T6" s="512"/>
      <c r="U6" s="512"/>
      <c r="V6" s="512"/>
      <c r="W6" s="617" t="s">
        <v>12409</v>
      </c>
      <c r="X6" s="512"/>
      <c r="Y6" s="512"/>
      <c r="Z6" s="512"/>
      <c r="AA6" s="512"/>
      <c r="AB6" s="617" t="s">
        <v>12410</v>
      </c>
      <c r="AC6" s="512"/>
      <c r="AD6" s="512"/>
      <c r="AE6" s="512"/>
      <c r="AF6" s="617" t="s">
        <v>12411</v>
      </c>
      <c r="AG6" s="512"/>
      <c r="AH6" s="512"/>
      <c r="AI6" s="512"/>
      <c r="AJ6" s="512"/>
      <c r="AK6" s="617" t="s">
        <v>12412</v>
      </c>
      <c r="AL6" s="512"/>
      <c r="AM6" s="512"/>
      <c r="AN6" s="512"/>
      <c r="AO6" s="512"/>
      <c r="AP6" s="512"/>
      <c r="AQ6" s="617" t="s">
        <v>12413</v>
      </c>
      <c r="AR6" s="512"/>
      <c r="AS6" s="512"/>
      <c r="AT6" s="512"/>
      <c r="AU6" s="512"/>
      <c r="AV6" s="617" t="s">
        <v>12414</v>
      </c>
      <c r="AW6" s="512"/>
      <c r="AX6" s="512"/>
      <c r="AY6" s="512"/>
      <c r="AZ6" s="512"/>
      <c r="BA6" s="617" t="s">
        <v>5965</v>
      </c>
      <c r="BB6" s="512"/>
      <c r="BC6" s="512"/>
      <c r="BD6" s="512"/>
      <c r="BE6" s="617" t="s">
        <v>12415</v>
      </c>
      <c r="BF6" s="512"/>
      <c r="BG6" s="512"/>
      <c r="BH6" s="512"/>
      <c r="BI6" s="512"/>
      <c r="BJ6" s="619" t="s">
        <v>9155</v>
      </c>
    </row>
    <row r="7">
      <c r="A7" s="511" t="s">
        <v>6316</v>
      </c>
      <c r="B7" s="511">
        <v>1.0</v>
      </c>
      <c r="C7" s="514">
        <v>2.0</v>
      </c>
      <c r="D7" s="514">
        <v>3.0</v>
      </c>
      <c r="E7" s="514">
        <v>4.0</v>
      </c>
      <c r="F7" s="514">
        <v>5.0</v>
      </c>
      <c r="G7" s="511">
        <v>5.0</v>
      </c>
      <c r="H7" s="514">
        <v>6.0</v>
      </c>
      <c r="I7" s="514">
        <v>7.0</v>
      </c>
      <c r="J7" s="514">
        <v>8.0</v>
      </c>
      <c r="K7" s="514">
        <v>9.0</v>
      </c>
      <c r="L7" s="511">
        <v>9.0</v>
      </c>
      <c r="M7" s="514">
        <v>10.0</v>
      </c>
      <c r="N7" s="514">
        <v>11.0</v>
      </c>
      <c r="O7" s="514">
        <v>12.0</v>
      </c>
      <c r="P7" s="514">
        <v>13.0</v>
      </c>
      <c r="Q7" s="514">
        <v>14.0</v>
      </c>
      <c r="R7" s="511">
        <v>14.0</v>
      </c>
      <c r="S7" s="514">
        <v>15.0</v>
      </c>
      <c r="T7" s="514">
        <v>16.0</v>
      </c>
      <c r="U7" s="514">
        <v>17.0</v>
      </c>
      <c r="V7" s="514">
        <v>18.0</v>
      </c>
      <c r="W7" s="511">
        <v>18.0</v>
      </c>
      <c r="X7" s="514">
        <v>19.0</v>
      </c>
      <c r="Y7" s="514">
        <v>20.0</v>
      </c>
      <c r="Z7" s="514">
        <v>21.0</v>
      </c>
      <c r="AA7" s="514">
        <v>22.0</v>
      </c>
      <c r="AB7" s="511">
        <v>23.0</v>
      </c>
      <c r="AC7" s="514">
        <v>24.0</v>
      </c>
      <c r="AD7" s="514">
        <v>25.0</v>
      </c>
      <c r="AE7" s="514">
        <v>26.0</v>
      </c>
      <c r="AF7" s="511">
        <v>27.0</v>
      </c>
      <c r="AG7" s="514">
        <v>28.0</v>
      </c>
      <c r="AH7" s="514">
        <v>29.0</v>
      </c>
      <c r="AI7" s="514">
        <v>30.0</v>
      </c>
      <c r="AJ7" s="514">
        <v>31.0</v>
      </c>
      <c r="AK7" s="511">
        <v>31.0</v>
      </c>
      <c r="AL7" s="514">
        <v>32.0</v>
      </c>
      <c r="AM7" s="514">
        <v>33.0</v>
      </c>
      <c r="AN7" s="514">
        <v>34.0</v>
      </c>
      <c r="AO7" s="514">
        <v>35.0</v>
      </c>
      <c r="AP7" s="514">
        <v>36.0</v>
      </c>
      <c r="AQ7" s="511">
        <v>36.0</v>
      </c>
      <c r="AR7" s="514">
        <v>37.0</v>
      </c>
      <c r="AS7" s="514">
        <v>38.0</v>
      </c>
      <c r="AT7" s="514">
        <v>39.0</v>
      </c>
      <c r="AU7" s="514">
        <v>40.0</v>
      </c>
      <c r="AV7" s="511">
        <v>40.0</v>
      </c>
      <c r="AW7" s="514">
        <v>41.0</v>
      </c>
      <c r="AX7" s="514">
        <v>42.0</v>
      </c>
      <c r="AY7" s="514">
        <v>43.0</v>
      </c>
      <c r="AZ7" s="514">
        <v>44.0</v>
      </c>
      <c r="BA7" s="511">
        <v>45.0</v>
      </c>
      <c r="BB7" s="514">
        <v>46.0</v>
      </c>
      <c r="BC7" s="514">
        <v>47.0</v>
      </c>
      <c r="BD7" s="514">
        <v>48.0</v>
      </c>
      <c r="BE7" s="511">
        <v>49.0</v>
      </c>
      <c r="BF7" s="514">
        <v>50.0</v>
      </c>
      <c r="BG7" s="514">
        <v>51.0</v>
      </c>
      <c r="BH7" s="514">
        <v>52.0</v>
      </c>
      <c r="BI7" s="514">
        <v>53.0</v>
      </c>
      <c r="BJ7" s="620"/>
    </row>
    <row r="8">
      <c r="A8" s="511" t="s">
        <v>25</v>
      </c>
      <c r="B8" s="511"/>
      <c r="C8" s="514">
        <v>3.0</v>
      </c>
      <c r="D8" s="514">
        <v>1.0</v>
      </c>
      <c r="E8" s="514">
        <v>1.0</v>
      </c>
      <c r="F8" s="514">
        <v>4.0</v>
      </c>
      <c r="G8" s="511"/>
      <c r="H8" s="514">
        <v>1.0</v>
      </c>
      <c r="I8" s="514">
        <v>1.0</v>
      </c>
      <c r="J8" s="514">
        <v>1.0</v>
      </c>
      <c r="K8" s="514"/>
      <c r="L8" s="511"/>
      <c r="M8" s="514">
        <v>2.0</v>
      </c>
      <c r="N8" s="514">
        <v>2.0</v>
      </c>
      <c r="O8" s="514">
        <v>1.0</v>
      </c>
      <c r="P8" s="514">
        <v>3.0</v>
      </c>
      <c r="Q8" s="514"/>
      <c r="R8" s="511">
        <v>3.0</v>
      </c>
      <c r="S8" s="514">
        <v>1.0</v>
      </c>
      <c r="T8" s="514"/>
      <c r="U8" s="514"/>
      <c r="V8" s="514"/>
      <c r="W8" s="511"/>
      <c r="X8" s="514"/>
      <c r="Y8" s="514"/>
      <c r="Z8" s="514">
        <v>1.0</v>
      </c>
      <c r="AA8" s="514"/>
      <c r="AB8" s="511">
        <v>1.0</v>
      </c>
      <c r="AC8" s="514">
        <v>1.0</v>
      </c>
      <c r="AD8" s="514">
        <v>1.0</v>
      </c>
      <c r="AE8" s="514"/>
      <c r="AF8" s="511">
        <v>2.0</v>
      </c>
      <c r="AG8" s="514">
        <v>2.0</v>
      </c>
      <c r="AH8" s="514"/>
      <c r="AI8" s="514">
        <v>2.0</v>
      </c>
      <c r="AJ8" s="514">
        <v>1.0</v>
      </c>
      <c r="AK8" s="511">
        <v>1.0</v>
      </c>
      <c r="AL8" s="514">
        <v>1.0</v>
      </c>
      <c r="AM8" s="514">
        <v>2.0</v>
      </c>
      <c r="AN8" s="514"/>
      <c r="AO8" s="514"/>
      <c r="AP8" s="514"/>
      <c r="AQ8" s="511">
        <v>2.0</v>
      </c>
      <c r="AR8" s="514">
        <v>3.0</v>
      </c>
      <c r="AS8" s="514">
        <v>1.0</v>
      </c>
      <c r="AT8" s="514">
        <v>2.0</v>
      </c>
      <c r="AU8" s="514"/>
      <c r="AV8" s="511">
        <v>1.0</v>
      </c>
      <c r="AW8" s="514">
        <v>1.0</v>
      </c>
      <c r="AX8" s="514"/>
      <c r="AY8" s="514"/>
      <c r="AZ8" s="514"/>
      <c r="BA8" s="511">
        <v>1.0</v>
      </c>
      <c r="BB8" s="514">
        <v>2.0</v>
      </c>
      <c r="BC8" s="514"/>
      <c r="BD8" s="514">
        <v>1.0</v>
      </c>
      <c r="BE8" s="511">
        <v>1.0</v>
      </c>
      <c r="BF8" s="514">
        <v>1.0</v>
      </c>
      <c r="BG8" s="514">
        <v>1.0</v>
      </c>
      <c r="BH8" s="514">
        <v>3.0</v>
      </c>
      <c r="BI8" s="514">
        <v>1.0</v>
      </c>
      <c r="BJ8" s="515">
        <v>60.0</v>
      </c>
    </row>
    <row r="9">
      <c r="A9" s="516" t="s">
        <v>10194</v>
      </c>
      <c r="B9" s="516"/>
      <c r="C9" s="487"/>
      <c r="D9" s="487"/>
      <c r="E9" s="487"/>
      <c r="F9" s="487"/>
      <c r="G9" s="516"/>
      <c r="H9" s="487"/>
      <c r="I9" s="487"/>
      <c r="J9" s="487"/>
      <c r="K9" s="487"/>
      <c r="L9" s="516"/>
      <c r="M9" s="487"/>
      <c r="N9" s="487"/>
      <c r="O9" s="487"/>
      <c r="P9" s="487"/>
      <c r="Q9" s="487"/>
      <c r="R9" s="516"/>
      <c r="S9" s="487"/>
      <c r="T9" s="487"/>
      <c r="U9" s="487"/>
      <c r="V9" s="487"/>
      <c r="W9" s="516"/>
      <c r="X9" s="487"/>
      <c r="Y9" s="487"/>
      <c r="Z9" s="487"/>
      <c r="AA9" s="487"/>
      <c r="AB9" s="516"/>
      <c r="AC9" s="487"/>
      <c r="AD9" s="487"/>
      <c r="AE9" s="487"/>
      <c r="AF9" s="516"/>
      <c r="AG9" s="487"/>
      <c r="AH9" s="487"/>
      <c r="AI9" s="487"/>
      <c r="AJ9" s="487"/>
      <c r="AK9" s="516"/>
      <c r="AL9" s="487">
        <v>1.0</v>
      </c>
      <c r="AM9" s="487"/>
      <c r="AN9" s="487"/>
      <c r="AO9" s="487"/>
      <c r="AP9" s="487"/>
      <c r="AQ9" s="516"/>
      <c r="AR9" s="487"/>
      <c r="AS9" s="487"/>
      <c r="AT9" s="487"/>
      <c r="AU9" s="487"/>
      <c r="AV9" s="516"/>
      <c r="AW9" s="487"/>
      <c r="AX9" s="487"/>
      <c r="AY9" s="487"/>
      <c r="AZ9" s="487"/>
      <c r="BA9" s="516"/>
      <c r="BB9" s="487"/>
      <c r="BC9" s="487">
        <v>1.0</v>
      </c>
      <c r="BD9" s="487"/>
      <c r="BE9" s="516"/>
      <c r="BF9" s="487"/>
      <c r="BG9" s="487"/>
      <c r="BH9" s="487"/>
      <c r="BI9" s="487"/>
      <c r="BJ9" s="517">
        <v>2.0</v>
      </c>
    </row>
    <row r="10">
      <c r="A10" s="516" t="s">
        <v>715</v>
      </c>
      <c r="B10" s="516">
        <v>3.0</v>
      </c>
      <c r="C10" s="487">
        <v>5.0</v>
      </c>
      <c r="D10" s="487">
        <v>8.0</v>
      </c>
      <c r="E10" s="487">
        <v>6.0</v>
      </c>
      <c r="F10" s="487">
        <v>1.0</v>
      </c>
      <c r="G10" s="516">
        <v>1.0</v>
      </c>
      <c r="H10" s="487">
        <v>4.0</v>
      </c>
      <c r="I10" s="487">
        <v>2.0</v>
      </c>
      <c r="J10" s="487">
        <v>6.0</v>
      </c>
      <c r="K10" s="487">
        <v>2.0</v>
      </c>
      <c r="L10" s="516">
        <v>3.0</v>
      </c>
      <c r="M10" s="487">
        <v>2.0</v>
      </c>
      <c r="N10" s="487">
        <v>3.0</v>
      </c>
      <c r="O10" s="487">
        <v>3.0</v>
      </c>
      <c r="P10" s="487">
        <v>4.0</v>
      </c>
      <c r="Q10" s="487">
        <v>1.0</v>
      </c>
      <c r="R10" s="516">
        <v>1.0</v>
      </c>
      <c r="S10" s="487">
        <v>5.0</v>
      </c>
      <c r="T10" s="487">
        <v>4.0</v>
      </c>
      <c r="U10" s="487">
        <v>1.0</v>
      </c>
      <c r="V10" s="487">
        <v>3.0</v>
      </c>
      <c r="W10" s="516">
        <v>2.0</v>
      </c>
      <c r="X10" s="487">
        <v>2.0</v>
      </c>
      <c r="Y10" s="487">
        <v>3.0</v>
      </c>
      <c r="Z10" s="487">
        <v>1.0</v>
      </c>
      <c r="AA10" s="487">
        <v>3.0</v>
      </c>
      <c r="AB10" s="516">
        <v>2.0</v>
      </c>
      <c r="AC10" s="487">
        <v>3.0</v>
      </c>
      <c r="AD10" s="487">
        <v>5.0</v>
      </c>
      <c r="AE10" s="487">
        <v>3.0</v>
      </c>
      <c r="AF10" s="516"/>
      <c r="AG10" s="487">
        <v>5.0</v>
      </c>
      <c r="AH10" s="487">
        <v>1.0</v>
      </c>
      <c r="AI10" s="487">
        <v>1.0</v>
      </c>
      <c r="AJ10" s="487">
        <v>4.0</v>
      </c>
      <c r="AK10" s="516"/>
      <c r="AL10" s="487">
        <v>1.0</v>
      </c>
      <c r="AM10" s="487">
        <v>4.0</v>
      </c>
      <c r="AN10" s="487">
        <v>3.0</v>
      </c>
      <c r="AO10" s="487"/>
      <c r="AP10" s="487"/>
      <c r="AQ10" s="516">
        <v>3.0</v>
      </c>
      <c r="AR10" s="487">
        <v>4.0</v>
      </c>
      <c r="AS10" s="487">
        <v>8.0</v>
      </c>
      <c r="AT10" s="487">
        <v>5.0</v>
      </c>
      <c r="AU10" s="487">
        <v>3.0</v>
      </c>
      <c r="AV10" s="516"/>
      <c r="AW10" s="487">
        <v>5.0</v>
      </c>
      <c r="AX10" s="487">
        <v>1.0</v>
      </c>
      <c r="AY10" s="487">
        <v>3.0</v>
      </c>
      <c r="AZ10" s="487">
        <v>1.0</v>
      </c>
      <c r="BA10" s="516">
        <v>2.0</v>
      </c>
      <c r="BB10" s="487">
        <v>9.0</v>
      </c>
      <c r="BC10" s="487">
        <v>1.0</v>
      </c>
      <c r="BD10" s="487">
        <v>8.0</v>
      </c>
      <c r="BE10" s="516">
        <v>7.0</v>
      </c>
      <c r="BF10" s="487">
        <v>1.0</v>
      </c>
      <c r="BG10" s="487">
        <v>3.0</v>
      </c>
      <c r="BH10" s="487">
        <v>4.0</v>
      </c>
      <c r="BI10" s="487">
        <v>1.0</v>
      </c>
      <c r="BJ10" s="517">
        <v>180.0</v>
      </c>
    </row>
    <row r="11">
      <c r="A11" s="516" t="s">
        <v>6501</v>
      </c>
      <c r="B11" s="516"/>
      <c r="C11" s="487"/>
      <c r="D11" s="487"/>
      <c r="E11" s="487"/>
      <c r="F11" s="487">
        <v>2.0</v>
      </c>
      <c r="G11" s="516"/>
      <c r="H11" s="487"/>
      <c r="I11" s="487"/>
      <c r="J11" s="487"/>
      <c r="K11" s="487"/>
      <c r="L11" s="516"/>
      <c r="M11" s="487"/>
      <c r="N11" s="487">
        <v>1.0</v>
      </c>
      <c r="O11" s="487"/>
      <c r="P11" s="487"/>
      <c r="Q11" s="487"/>
      <c r="R11" s="516"/>
      <c r="S11" s="487"/>
      <c r="T11" s="487"/>
      <c r="U11" s="487">
        <v>2.0</v>
      </c>
      <c r="V11" s="487"/>
      <c r="W11" s="516"/>
      <c r="X11" s="487"/>
      <c r="Y11" s="487"/>
      <c r="Z11" s="487"/>
      <c r="AA11" s="487"/>
      <c r="AB11" s="516"/>
      <c r="AC11" s="487"/>
      <c r="AD11" s="487"/>
      <c r="AE11" s="487"/>
      <c r="AF11" s="516"/>
      <c r="AG11" s="487">
        <v>1.0</v>
      </c>
      <c r="AH11" s="487"/>
      <c r="AI11" s="487"/>
      <c r="AJ11" s="487">
        <v>2.0</v>
      </c>
      <c r="AK11" s="516"/>
      <c r="AL11" s="487"/>
      <c r="AM11" s="487"/>
      <c r="AN11" s="487">
        <v>1.0</v>
      </c>
      <c r="AO11" s="487"/>
      <c r="AP11" s="487"/>
      <c r="AQ11" s="516"/>
      <c r="AR11" s="487"/>
      <c r="AS11" s="487"/>
      <c r="AT11" s="487"/>
      <c r="AU11" s="487">
        <v>1.0</v>
      </c>
      <c r="AV11" s="516"/>
      <c r="AW11" s="487"/>
      <c r="AX11" s="487"/>
      <c r="AY11" s="487">
        <v>1.0</v>
      </c>
      <c r="AZ11" s="487"/>
      <c r="BA11" s="516"/>
      <c r="BB11" s="487"/>
      <c r="BC11" s="487">
        <v>1.0</v>
      </c>
      <c r="BD11" s="487">
        <v>1.0</v>
      </c>
      <c r="BE11" s="516"/>
      <c r="BF11" s="487"/>
      <c r="BG11" s="487">
        <v>1.0</v>
      </c>
      <c r="BH11" s="487">
        <v>1.0</v>
      </c>
      <c r="BI11" s="487"/>
      <c r="BJ11" s="517">
        <v>15.0</v>
      </c>
    </row>
    <row r="12">
      <c r="A12" s="516" t="s">
        <v>21</v>
      </c>
      <c r="B12" s="516">
        <v>1.0</v>
      </c>
      <c r="C12" s="487"/>
      <c r="D12" s="487">
        <v>5.0</v>
      </c>
      <c r="E12" s="487">
        <v>6.0</v>
      </c>
      <c r="F12" s="487">
        <v>2.0</v>
      </c>
      <c r="G12" s="516"/>
      <c r="H12" s="487">
        <v>1.0</v>
      </c>
      <c r="I12" s="487">
        <v>3.0</v>
      </c>
      <c r="J12" s="487"/>
      <c r="K12" s="487">
        <v>4.0</v>
      </c>
      <c r="L12" s="516">
        <v>1.0</v>
      </c>
      <c r="M12" s="487">
        <v>2.0</v>
      </c>
      <c r="N12" s="487">
        <v>2.0</v>
      </c>
      <c r="O12" s="487">
        <v>5.0</v>
      </c>
      <c r="P12" s="487">
        <v>1.0</v>
      </c>
      <c r="Q12" s="487">
        <v>2.0</v>
      </c>
      <c r="R12" s="516">
        <v>2.0</v>
      </c>
      <c r="S12" s="487">
        <v>1.0</v>
      </c>
      <c r="T12" s="487">
        <v>2.0</v>
      </c>
      <c r="U12" s="487">
        <v>2.0</v>
      </c>
      <c r="V12" s="487"/>
      <c r="W12" s="516">
        <v>2.0</v>
      </c>
      <c r="X12" s="487">
        <v>3.0</v>
      </c>
      <c r="Y12" s="487"/>
      <c r="Z12" s="487">
        <v>3.0</v>
      </c>
      <c r="AA12" s="487">
        <v>1.0</v>
      </c>
      <c r="AB12" s="516">
        <v>1.0</v>
      </c>
      <c r="AC12" s="487">
        <v>1.0</v>
      </c>
      <c r="AD12" s="487">
        <v>4.0</v>
      </c>
      <c r="AE12" s="487"/>
      <c r="AF12" s="516"/>
      <c r="AG12" s="487">
        <v>2.0</v>
      </c>
      <c r="AH12" s="487">
        <v>4.0</v>
      </c>
      <c r="AI12" s="487">
        <v>8.0</v>
      </c>
      <c r="AJ12" s="487">
        <v>2.0</v>
      </c>
      <c r="AK12" s="516">
        <v>2.0</v>
      </c>
      <c r="AL12" s="487">
        <v>2.0</v>
      </c>
      <c r="AM12" s="487">
        <v>1.0</v>
      </c>
      <c r="AN12" s="487">
        <v>6.0</v>
      </c>
      <c r="AO12" s="487">
        <v>3.0</v>
      </c>
      <c r="AP12" s="487">
        <v>3.0</v>
      </c>
      <c r="AQ12" s="516"/>
      <c r="AR12" s="487">
        <v>2.0</v>
      </c>
      <c r="AS12" s="487">
        <v>3.0</v>
      </c>
      <c r="AT12" s="487"/>
      <c r="AU12" s="487"/>
      <c r="AV12" s="516">
        <v>2.0</v>
      </c>
      <c r="AW12" s="487">
        <v>4.0</v>
      </c>
      <c r="AX12" s="487">
        <v>1.0</v>
      </c>
      <c r="AY12" s="487">
        <v>11.0</v>
      </c>
      <c r="AZ12" s="487"/>
      <c r="BA12" s="516">
        <v>1.0</v>
      </c>
      <c r="BB12" s="487">
        <v>3.0</v>
      </c>
      <c r="BC12" s="487">
        <v>5.0</v>
      </c>
      <c r="BD12" s="487">
        <v>10.0</v>
      </c>
      <c r="BE12" s="516">
        <v>2.0</v>
      </c>
      <c r="BF12" s="487">
        <v>2.0</v>
      </c>
      <c r="BG12" s="487">
        <v>2.0</v>
      </c>
      <c r="BH12" s="487"/>
      <c r="BI12" s="487"/>
      <c r="BJ12" s="517">
        <v>138.0</v>
      </c>
    </row>
    <row r="13">
      <c r="A13" s="518" t="s">
        <v>9155</v>
      </c>
      <c r="B13" s="518">
        <v>4.0</v>
      </c>
      <c r="C13" s="519">
        <v>8.0</v>
      </c>
      <c r="D13" s="519">
        <v>14.0</v>
      </c>
      <c r="E13" s="519">
        <v>13.0</v>
      </c>
      <c r="F13" s="519">
        <v>9.0</v>
      </c>
      <c r="G13" s="518">
        <v>1.0</v>
      </c>
      <c r="H13" s="519">
        <v>6.0</v>
      </c>
      <c r="I13" s="519">
        <v>6.0</v>
      </c>
      <c r="J13" s="519">
        <v>7.0</v>
      </c>
      <c r="K13" s="519">
        <v>6.0</v>
      </c>
      <c r="L13" s="518">
        <v>4.0</v>
      </c>
      <c r="M13" s="519">
        <v>6.0</v>
      </c>
      <c r="N13" s="519">
        <v>8.0</v>
      </c>
      <c r="O13" s="519">
        <v>9.0</v>
      </c>
      <c r="P13" s="519">
        <v>8.0</v>
      </c>
      <c r="Q13" s="519">
        <v>3.0</v>
      </c>
      <c r="R13" s="518">
        <v>6.0</v>
      </c>
      <c r="S13" s="519">
        <v>7.0</v>
      </c>
      <c r="T13" s="519">
        <v>6.0</v>
      </c>
      <c r="U13" s="519">
        <v>5.0</v>
      </c>
      <c r="V13" s="519">
        <v>3.0</v>
      </c>
      <c r="W13" s="518">
        <v>4.0</v>
      </c>
      <c r="X13" s="519">
        <v>5.0</v>
      </c>
      <c r="Y13" s="519">
        <v>3.0</v>
      </c>
      <c r="Z13" s="519">
        <v>5.0</v>
      </c>
      <c r="AA13" s="519">
        <v>4.0</v>
      </c>
      <c r="AB13" s="518">
        <v>4.0</v>
      </c>
      <c r="AC13" s="519">
        <v>5.0</v>
      </c>
      <c r="AD13" s="519">
        <v>10.0</v>
      </c>
      <c r="AE13" s="519">
        <v>3.0</v>
      </c>
      <c r="AF13" s="518">
        <v>2.0</v>
      </c>
      <c r="AG13" s="519">
        <v>10.0</v>
      </c>
      <c r="AH13" s="519">
        <v>5.0</v>
      </c>
      <c r="AI13" s="519">
        <v>11.0</v>
      </c>
      <c r="AJ13" s="519">
        <v>9.0</v>
      </c>
      <c r="AK13" s="518">
        <v>3.0</v>
      </c>
      <c r="AL13" s="519">
        <v>5.0</v>
      </c>
      <c r="AM13" s="519">
        <v>7.0</v>
      </c>
      <c r="AN13" s="519">
        <v>10.0</v>
      </c>
      <c r="AO13" s="519">
        <v>3.0</v>
      </c>
      <c r="AP13" s="519">
        <v>3.0</v>
      </c>
      <c r="AQ13" s="518">
        <v>5.0</v>
      </c>
      <c r="AR13" s="519">
        <v>9.0</v>
      </c>
      <c r="AS13" s="519">
        <v>12.0</v>
      </c>
      <c r="AT13" s="519">
        <v>7.0</v>
      </c>
      <c r="AU13" s="519">
        <v>4.0</v>
      </c>
      <c r="AV13" s="518">
        <v>3.0</v>
      </c>
      <c r="AW13" s="519">
        <v>10.0</v>
      </c>
      <c r="AX13" s="519">
        <v>2.0</v>
      </c>
      <c r="AY13" s="519">
        <v>15.0</v>
      </c>
      <c r="AZ13" s="519">
        <v>1.0</v>
      </c>
      <c r="BA13" s="518">
        <v>4.0</v>
      </c>
      <c r="BB13" s="519">
        <v>14.0</v>
      </c>
      <c r="BC13" s="519">
        <v>8.0</v>
      </c>
      <c r="BD13" s="519">
        <v>20.0</v>
      </c>
      <c r="BE13" s="518">
        <v>10.0</v>
      </c>
      <c r="BF13" s="519">
        <v>4.0</v>
      </c>
      <c r="BG13" s="519">
        <v>7.0</v>
      </c>
      <c r="BH13" s="519">
        <v>8.0</v>
      </c>
      <c r="BI13" s="519">
        <v>2.0</v>
      </c>
      <c r="BJ13" s="520">
        <v>395.0</v>
      </c>
    </row>
    <row r="14">
      <c r="A14" s="623" t="s">
        <v>12419</v>
      </c>
      <c r="B14" s="484"/>
      <c r="E14" s="484"/>
      <c r="F14" s="484"/>
      <c r="G14" s="484"/>
      <c r="H14" s="484"/>
      <c r="I14" s="484"/>
      <c r="J14" s="484"/>
      <c r="K14" s="484"/>
      <c r="L14" s="484"/>
      <c r="M14" s="484"/>
    </row>
    <row r="15">
      <c r="A15" s="624" t="s">
        <v>12417</v>
      </c>
      <c r="B15" s="484"/>
      <c r="E15" s="484"/>
      <c r="F15" s="484"/>
      <c r="G15" s="484"/>
      <c r="H15" s="484"/>
      <c r="I15" s="484"/>
      <c r="J15" s="484"/>
      <c r="K15" s="484"/>
      <c r="L15" s="484"/>
      <c r="M15" s="484"/>
    </row>
    <row r="16">
      <c r="A16" s="411" t="s">
        <v>12403</v>
      </c>
      <c r="B16" s="484" t="s">
        <v>12404</v>
      </c>
      <c r="C16" s="484" t="s">
        <v>9160</v>
      </c>
      <c r="D16" s="484"/>
      <c r="E16" s="484"/>
      <c r="F16" s="484"/>
      <c r="G16" s="484"/>
      <c r="H16" s="484"/>
      <c r="I16" s="484"/>
      <c r="J16" s="484"/>
      <c r="K16" s="484"/>
      <c r="L16" s="484"/>
      <c r="M16" s="484"/>
      <c r="N16" s="411"/>
      <c r="P16" s="411">
        <v>2024.0</v>
      </c>
      <c r="R16" s="411">
        <v>2023.0</v>
      </c>
    </row>
    <row r="17">
      <c r="A17" s="411"/>
      <c r="B17" s="484" t="s">
        <v>12420</v>
      </c>
      <c r="C17" s="484" t="s">
        <v>12421</v>
      </c>
      <c r="D17" s="484" t="s">
        <v>12422</v>
      </c>
      <c r="E17" s="484" t="s">
        <v>12423</v>
      </c>
      <c r="F17" s="484" t="s">
        <v>12424</v>
      </c>
      <c r="G17" s="484" t="s">
        <v>12425</v>
      </c>
      <c r="H17" s="484" t="s">
        <v>12426</v>
      </c>
      <c r="I17" s="484" t="s">
        <v>12427</v>
      </c>
      <c r="J17" s="484" t="s">
        <v>12428</v>
      </c>
      <c r="K17" s="484" t="s">
        <v>12429</v>
      </c>
      <c r="L17" s="484" t="s">
        <v>12430</v>
      </c>
      <c r="M17" s="484" t="s">
        <v>12431</v>
      </c>
      <c r="N17" s="484" t="s">
        <v>9155</v>
      </c>
      <c r="O17" s="484"/>
      <c r="P17" s="484" t="s">
        <v>12432</v>
      </c>
      <c r="Q17" s="484">
        <v>106.0</v>
      </c>
      <c r="R17" s="484"/>
      <c r="S17" s="484"/>
    </row>
    <row r="18" ht="11.25" customHeight="1">
      <c r="A18" s="411" t="s">
        <v>6316</v>
      </c>
      <c r="B18" s="484"/>
      <c r="C18" s="484"/>
      <c r="D18" s="484"/>
      <c r="E18" s="484"/>
      <c r="F18" s="484"/>
      <c r="G18" s="484"/>
      <c r="H18" s="484"/>
      <c r="I18" s="484"/>
      <c r="J18" s="484"/>
      <c r="K18" s="484"/>
      <c r="L18" s="484"/>
      <c r="M18" s="484"/>
      <c r="N18" s="484"/>
      <c r="O18" s="484"/>
      <c r="P18" s="484" t="s">
        <v>9171</v>
      </c>
      <c r="Q18" s="484">
        <v>196.0</v>
      </c>
      <c r="R18" s="484"/>
      <c r="S18" s="484"/>
    </row>
    <row r="19">
      <c r="A19" s="484" t="s">
        <v>25</v>
      </c>
      <c r="B19" s="484">
        <v>6.0</v>
      </c>
      <c r="C19" s="484">
        <v>3.0</v>
      </c>
      <c r="D19" s="484">
        <v>6.0</v>
      </c>
      <c r="E19" s="484">
        <v>9.0</v>
      </c>
      <c r="F19" s="484">
        <v>4.0</v>
      </c>
      <c r="G19" s="484">
        <v>4.0</v>
      </c>
      <c r="H19" s="484">
        <v>6.0</v>
      </c>
      <c r="I19" s="484">
        <v>3.0</v>
      </c>
      <c r="J19" s="484">
        <v>5.0</v>
      </c>
      <c r="K19" s="484">
        <v>2.0</v>
      </c>
      <c r="L19" s="484">
        <v>4.0</v>
      </c>
      <c r="M19" s="484">
        <v>2.0</v>
      </c>
      <c r="N19" s="484">
        <v>54.0</v>
      </c>
      <c r="O19" s="484"/>
      <c r="P19" s="484" t="s">
        <v>11486</v>
      </c>
      <c r="Q19" s="484">
        <v>133.0</v>
      </c>
      <c r="R19" s="484"/>
      <c r="S19" s="484"/>
    </row>
    <row r="20">
      <c r="A20" s="484" t="s">
        <v>9184</v>
      </c>
      <c r="B20" s="484"/>
      <c r="C20" s="484"/>
      <c r="D20" s="484"/>
      <c r="E20" s="484"/>
      <c r="F20" s="484"/>
      <c r="G20" s="484"/>
      <c r="H20" s="484"/>
      <c r="I20" s="484"/>
      <c r="J20" s="484"/>
      <c r="K20" s="484"/>
      <c r="L20" s="484"/>
      <c r="M20" s="484">
        <v>1.0</v>
      </c>
      <c r="N20" s="484">
        <v>1.0</v>
      </c>
      <c r="O20" s="484"/>
      <c r="P20" s="484" t="s">
        <v>12433</v>
      </c>
      <c r="Q20" s="484">
        <f>SUM(Q17:Q19)</f>
        <v>435</v>
      </c>
      <c r="R20" s="484"/>
      <c r="S20" s="484"/>
    </row>
    <row r="21" ht="15.75" customHeight="1">
      <c r="A21" s="484" t="s">
        <v>9645</v>
      </c>
      <c r="B21" s="484"/>
      <c r="C21" s="484"/>
      <c r="D21" s="484">
        <v>1.0</v>
      </c>
      <c r="E21" s="484">
        <v>1.0</v>
      </c>
      <c r="F21" s="484"/>
      <c r="G21" s="484"/>
      <c r="H21" s="484"/>
      <c r="I21" s="484"/>
      <c r="J21" s="484"/>
      <c r="K21" s="484"/>
      <c r="L21" s="484"/>
      <c r="M21" s="484"/>
      <c r="N21" s="484">
        <v>2.0</v>
      </c>
      <c r="O21" s="484"/>
      <c r="P21" s="484"/>
      <c r="Q21" s="484"/>
      <c r="R21" s="484"/>
      <c r="S21" s="484"/>
    </row>
    <row r="22" ht="15.75" customHeight="1">
      <c r="A22" s="484" t="s">
        <v>6204</v>
      </c>
      <c r="B22" s="484"/>
      <c r="C22" s="484"/>
      <c r="D22" s="484"/>
      <c r="E22" s="484"/>
      <c r="F22" s="484">
        <v>1.0</v>
      </c>
      <c r="G22" s="484"/>
      <c r="H22" s="484"/>
      <c r="I22" s="484"/>
      <c r="J22" s="484"/>
      <c r="K22" s="484"/>
      <c r="L22" s="484"/>
      <c r="M22" s="484"/>
      <c r="N22" s="484">
        <v>1.0</v>
      </c>
      <c r="O22" s="484"/>
      <c r="P22" s="484"/>
      <c r="Q22" s="484"/>
      <c r="R22" s="484"/>
      <c r="S22" s="484"/>
    </row>
    <row r="23" ht="15.75" customHeight="1">
      <c r="A23" s="484" t="s">
        <v>715</v>
      </c>
      <c r="B23" s="484">
        <v>10.0</v>
      </c>
      <c r="C23" s="484">
        <v>13.0</v>
      </c>
      <c r="D23" s="484">
        <v>8.0</v>
      </c>
      <c r="E23" s="484">
        <v>15.0</v>
      </c>
      <c r="F23" s="484">
        <v>12.0</v>
      </c>
      <c r="G23" s="484">
        <v>8.0</v>
      </c>
      <c r="H23" s="484">
        <v>16.0</v>
      </c>
      <c r="I23" s="484">
        <v>7.0</v>
      </c>
      <c r="J23" s="484">
        <v>12.0</v>
      </c>
      <c r="K23" s="484">
        <v>15.0</v>
      </c>
      <c r="L23" s="484">
        <v>7.0</v>
      </c>
      <c r="M23" s="484">
        <v>10.0</v>
      </c>
      <c r="N23" s="484">
        <v>133.0</v>
      </c>
      <c r="O23" s="484"/>
      <c r="P23" s="484"/>
      <c r="Q23" s="484"/>
      <c r="R23" s="484"/>
      <c r="S23" s="484"/>
    </row>
    <row r="24" ht="15.75" customHeight="1">
      <c r="A24" s="484" t="s">
        <v>6501</v>
      </c>
      <c r="B24" s="484"/>
      <c r="C24" s="484">
        <v>2.0</v>
      </c>
      <c r="D24" s="484"/>
      <c r="E24" s="484">
        <v>2.0</v>
      </c>
      <c r="F24" s="484"/>
      <c r="G24" s="484">
        <v>2.0</v>
      </c>
      <c r="H24" s="484">
        <v>1.0</v>
      </c>
      <c r="I24" s="484"/>
      <c r="J24" s="484"/>
      <c r="K24" s="484"/>
      <c r="L24" s="484"/>
      <c r="M24" s="484">
        <v>1.0</v>
      </c>
      <c r="N24" s="484">
        <v>8.0</v>
      </c>
      <c r="O24" s="484"/>
      <c r="P24" s="484"/>
      <c r="Q24" s="484"/>
      <c r="R24" s="484"/>
      <c r="S24" s="484"/>
    </row>
    <row r="25" ht="15.75" customHeight="1">
      <c r="A25" s="484" t="s">
        <v>21</v>
      </c>
      <c r="B25" s="484">
        <v>5.0</v>
      </c>
      <c r="C25" s="484">
        <v>11.0</v>
      </c>
      <c r="D25" s="484">
        <v>8.0</v>
      </c>
      <c r="E25" s="484">
        <v>5.0</v>
      </c>
      <c r="F25" s="484">
        <v>10.0</v>
      </c>
      <c r="G25" s="484">
        <v>10.0</v>
      </c>
      <c r="H25" s="484">
        <v>12.0</v>
      </c>
      <c r="I25" s="484">
        <v>12.0</v>
      </c>
      <c r="J25" s="484">
        <v>5.0</v>
      </c>
      <c r="K25" s="484">
        <v>11.0</v>
      </c>
      <c r="L25" s="484">
        <v>6.0</v>
      </c>
      <c r="M25" s="484">
        <v>5.0</v>
      </c>
      <c r="N25" s="484">
        <v>100.0</v>
      </c>
      <c r="O25" s="484"/>
      <c r="P25" s="484"/>
      <c r="Q25" s="484"/>
      <c r="R25" s="484"/>
      <c r="S25" s="484"/>
    </row>
    <row r="26" ht="15.75" customHeight="1">
      <c r="A26" s="484" t="s">
        <v>4960</v>
      </c>
      <c r="B26" s="484"/>
      <c r="C26" s="484"/>
      <c r="D26" s="484"/>
      <c r="E26" s="484"/>
      <c r="F26" s="484">
        <v>1.0</v>
      </c>
      <c r="G26" s="484"/>
      <c r="H26" s="484"/>
      <c r="I26" s="484"/>
      <c r="J26" s="484"/>
      <c r="K26" s="484"/>
      <c r="L26" s="484"/>
      <c r="M26" s="484"/>
      <c r="N26" s="484">
        <v>1.0</v>
      </c>
      <c r="O26" s="484"/>
      <c r="P26" s="484"/>
      <c r="Q26" s="484"/>
      <c r="R26" s="484"/>
      <c r="S26" s="484"/>
    </row>
    <row r="27" ht="15.75" customHeight="1">
      <c r="A27" s="411" t="s">
        <v>9155</v>
      </c>
      <c r="B27" s="484">
        <v>21.0</v>
      </c>
      <c r="C27" s="484">
        <v>29.0</v>
      </c>
      <c r="D27" s="484">
        <v>23.0</v>
      </c>
      <c r="E27" s="484">
        <v>32.0</v>
      </c>
      <c r="F27" s="484">
        <v>28.0</v>
      </c>
      <c r="G27" s="484">
        <v>24.0</v>
      </c>
      <c r="H27" s="484">
        <v>35.0</v>
      </c>
      <c r="I27" s="484">
        <v>22.0</v>
      </c>
      <c r="J27" s="484">
        <v>22.0</v>
      </c>
      <c r="K27" s="484">
        <v>28.0</v>
      </c>
      <c r="L27" s="484">
        <v>17.0</v>
      </c>
      <c r="M27" s="484">
        <v>19.0</v>
      </c>
      <c r="N27" s="411">
        <v>300.0</v>
      </c>
    </row>
    <row r="28" ht="15.75" customHeight="1">
      <c r="A28" s="624" t="s">
        <v>12434</v>
      </c>
      <c r="B28" s="484"/>
      <c r="C28" s="484"/>
      <c r="D28" s="484"/>
      <c r="E28" s="484"/>
      <c r="F28" s="484"/>
      <c r="G28" s="484"/>
      <c r="H28" s="484"/>
      <c r="I28" s="484"/>
      <c r="J28" s="484"/>
      <c r="K28" s="484"/>
      <c r="L28" s="484"/>
      <c r="M28" s="484"/>
    </row>
    <row r="29" ht="15.75" customHeight="1">
      <c r="A29" s="411" t="s">
        <v>12403</v>
      </c>
      <c r="B29" s="484" t="s">
        <v>12404</v>
      </c>
      <c r="C29" s="484" t="s">
        <v>9160</v>
      </c>
      <c r="D29" s="484"/>
      <c r="E29" s="484"/>
      <c r="F29" s="484"/>
      <c r="G29" s="484"/>
      <c r="H29" s="484"/>
      <c r="I29" s="484"/>
      <c r="J29" s="484"/>
      <c r="K29" s="484"/>
      <c r="L29" s="484"/>
      <c r="M29" s="484"/>
      <c r="N29" s="411"/>
    </row>
    <row r="30" ht="15.75" customHeight="1">
      <c r="A30" s="411"/>
      <c r="B30" s="484" t="s">
        <v>12420</v>
      </c>
      <c r="C30" s="484" t="s">
        <v>12421</v>
      </c>
      <c r="D30" s="484" t="s">
        <v>12422</v>
      </c>
      <c r="E30" s="484" t="s">
        <v>12423</v>
      </c>
      <c r="F30" s="484" t="s">
        <v>12424</v>
      </c>
      <c r="G30" s="484" t="s">
        <v>12425</v>
      </c>
      <c r="H30" s="484" t="s">
        <v>12426</v>
      </c>
      <c r="I30" s="484" t="s">
        <v>12427</v>
      </c>
      <c r="J30" s="484" t="s">
        <v>12428</v>
      </c>
      <c r="K30" s="484" t="s">
        <v>12429</v>
      </c>
      <c r="L30" s="484" t="s">
        <v>12430</v>
      </c>
      <c r="M30" s="484" t="s">
        <v>12431</v>
      </c>
      <c r="N30" s="411" t="s">
        <v>9155</v>
      </c>
    </row>
    <row r="31" ht="15.75" customHeight="1">
      <c r="A31" s="411" t="s">
        <v>6316</v>
      </c>
      <c r="B31" s="484"/>
      <c r="C31" s="484"/>
      <c r="D31" s="484"/>
      <c r="E31" s="484"/>
      <c r="F31" s="484"/>
      <c r="G31" s="484"/>
      <c r="H31" s="484"/>
      <c r="I31" s="484"/>
      <c r="J31" s="484"/>
      <c r="K31" s="484"/>
      <c r="L31" s="484"/>
      <c r="M31" s="484"/>
      <c r="N31" s="411"/>
    </row>
    <row r="32" ht="15.75" customHeight="1">
      <c r="A32" s="484" t="s">
        <v>4924</v>
      </c>
      <c r="B32" s="484"/>
      <c r="C32" s="484"/>
      <c r="D32" s="484"/>
      <c r="E32" s="484"/>
      <c r="F32" s="484"/>
      <c r="G32" s="484"/>
      <c r="H32" s="484">
        <v>1.0</v>
      </c>
      <c r="I32" s="484"/>
      <c r="J32" s="484"/>
      <c r="K32" s="484"/>
      <c r="L32" s="484"/>
      <c r="M32" s="484"/>
      <c r="N32" s="411">
        <v>1.0</v>
      </c>
    </row>
    <row r="33" ht="15.75" customHeight="1">
      <c r="A33" s="484" t="s">
        <v>25</v>
      </c>
      <c r="B33" s="484">
        <v>3.0</v>
      </c>
      <c r="C33" s="484">
        <v>1.0</v>
      </c>
      <c r="D33" s="484">
        <v>2.0</v>
      </c>
      <c r="E33" s="484">
        <v>4.0</v>
      </c>
      <c r="F33" s="484">
        <v>2.0</v>
      </c>
      <c r="G33" s="484">
        <v>1.0</v>
      </c>
      <c r="H33" s="484">
        <v>2.0</v>
      </c>
      <c r="I33" s="484">
        <v>1.0</v>
      </c>
      <c r="J33" s="484">
        <v>2.0</v>
      </c>
      <c r="K33" s="484">
        <v>3.0</v>
      </c>
      <c r="L33" s="484">
        <v>4.0</v>
      </c>
      <c r="M33" s="484">
        <v>3.0</v>
      </c>
      <c r="N33" s="411">
        <v>28.0</v>
      </c>
    </row>
    <row r="34" ht="15.75" customHeight="1">
      <c r="A34" s="484" t="s">
        <v>6204</v>
      </c>
      <c r="B34" s="484"/>
      <c r="C34" s="484"/>
      <c r="D34" s="484"/>
      <c r="E34" s="484"/>
      <c r="F34" s="484">
        <v>1.0</v>
      </c>
      <c r="G34" s="484"/>
      <c r="H34" s="484"/>
      <c r="I34" s="484"/>
      <c r="J34" s="484"/>
      <c r="K34" s="484"/>
      <c r="L34" s="484"/>
      <c r="M34" s="484"/>
      <c r="N34" s="411">
        <v>1.0</v>
      </c>
    </row>
    <row r="35" ht="15.75" customHeight="1">
      <c r="A35" s="484" t="s">
        <v>715</v>
      </c>
      <c r="B35" s="484">
        <v>3.0</v>
      </c>
      <c r="C35" s="484">
        <v>5.0</v>
      </c>
      <c r="D35" s="484">
        <v>4.0</v>
      </c>
      <c r="E35" s="484">
        <v>10.0</v>
      </c>
      <c r="F35" s="484">
        <v>4.0</v>
      </c>
      <c r="G35" s="484">
        <v>4.0</v>
      </c>
      <c r="H35" s="484">
        <v>8.0</v>
      </c>
      <c r="I35" s="484">
        <v>5.0</v>
      </c>
      <c r="J35" s="484">
        <v>11.0</v>
      </c>
      <c r="K35" s="484">
        <v>15.0</v>
      </c>
      <c r="L35" s="484">
        <v>7.0</v>
      </c>
      <c r="M35" s="484">
        <v>9.0</v>
      </c>
      <c r="N35" s="411">
        <v>85.0</v>
      </c>
    </row>
    <row r="36" ht="15.75" customHeight="1">
      <c r="A36" s="484" t="s">
        <v>6501</v>
      </c>
      <c r="B36" s="484"/>
      <c r="C36" s="484"/>
      <c r="D36" s="484"/>
      <c r="E36" s="484">
        <v>1.0</v>
      </c>
      <c r="F36" s="484"/>
      <c r="G36" s="484"/>
      <c r="H36" s="484"/>
      <c r="I36" s="484"/>
      <c r="J36" s="484">
        <v>1.0</v>
      </c>
      <c r="K36" s="484"/>
      <c r="L36" s="484">
        <v>2.0</v>
      </c>
      <c r="M36" s="484"/>
      <c r="N36" s="411">
        <v>4.0</v>
      </c>
    </row>
    <row r="37" ht="15.75" customHeight="1">
      <c r="A37" s="484" t="s">
        <v>21</v>
      </c>
      <c r="B37" s="484">
        <v>2.0</v>
      </c>
      <c r="C37" s="484">
        <v>6.0</v>
      </c>
      <c r="D37" s="484">
        <v>6.0</v>
      </c>
      <c r="E37" s="484">
        <v>4.0</v>
      </c>
      <c r="F37" s="484">
        <v>7.0</v>
      </c>
      <c r="G37" s="484">
        <v>6.0</v>
      </c>
      <c r="H37" s="484">
        <v>4.0</v>
      </c>
      <c r="I37" s="484">
        <v>12.0</v>
      </c>
      <c r="J37" s="484">
        <v>2.0</v>
      </c>
      <c r="K37" s="484">
        <v>12.0</v>
      </c>
      <c r="L37" s="484">
        <v>9.0</v>
      </c>
      <c r="M37" s="484">
        <v>6.0</v>
      </c>
      <c r="N37" s="411">
        <v>76.0</v>
      </c>
    </row>
    <row r="38" ht="15.75" customHeight="1">
      <c r="A38" s="484" t="s">
        <v>4960</v>
      </c>
      <c r="B38" s="484"/>
      <c r="C38" s="484"/>
      <c r="D38" s="484"/>
      <c r="E38" s="484"/>
      <c r="F38" s="484">
        <v>1.0</v>
      </c>
      <c r="G38" s="484"/>
      <c r="H38" s="484"/>
      <c r="I38" s="484"/>
      <c r="J38" s="484"/>
      <c r="K38" s="484"/>
      <c r="L38" s="484"/>
      <c r="M38" s="484"/>
      <c r="N38" s="411">
        <v>1.0</v>
      </c>
    </row>
    <row r="39" ht="15.75" customHeight="1">
      <c r="A39" s="411" t="s">
        <v>9155</v>
      </c>
      <c r="B39" s="484">
        <v>8.0</v>
      </c>
      <c r="C39" s="484">
        <v>12.0</v>
      </c>
      <c r="D39" s="484">
        <v>12.0</v>
      </c>
      <c r="E39" s="484">
        <v>19.0</v>
      </c>
      <c r="F39" s="484">
        <v>15.0</v>
      </c>
      <c r="G39" s="484">
        <v>11.0</v>
      </c>
      <c r="H39" s="484">
        <v>15.0</v>
      </c>
      <c r="I39" s="484">
        <v>18.0</v>
      </c>
      <c r="J39" s="484">
        <v>16.0</v>
      </c>
      <c r="K39" s="484">
        <v>30.0</v>
      </c>
      <c r="L39" s="484">
        <v>22.0</v>
      </c>
      <c r="M39" s="484">
        <v>18.0</v>
      </c>
      <c r="N39" s="411">
        <v>196.0</v>
      </c>
    </row>
    <row r="40" ht="15.75" customHeight="1">
      <c r="A40" s="411"/>
      <c r="B40" s="484"/>
      <c r="C40" s="484"/>
      <c r="D40" s="484"/>
      <c r="E40" s="484"/>
      <c r="F40" s="484"/>
      <c r="G40" s="484"/>
      <c r="H40" s="484"/>
      <c r="I40" s="484"/>
      <c r="J40" s="484"/>
      <c r="K40" s="484"/>
      <c r="L40" s="484"/>
      <c r="M40" s="484"/>
    </row>
    <row r="41" ht="15.75" customHeight="1">
      <c r="A41" s="624" t="s">
        <v>12435</v>
      </c>
      <c r="B41" s="484"/>
      <c r="C41" s="484"/>
      <c r="D41" s="484"/>
      <c r="E41" s="484"/>
      <c r="F41" s="484"/>
      <c r="G41" s="484"/>
      <c r="H41" s="484"/>
      <c r="I41" s="484"/>
      <c r="J41" s="484"/>
      <c r="K41" s="484"/>
      <c r="L41" s="484"/>
      <c r="M41" s="48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c r="A52" s="520" t="s">
        <v>11</v>
      </c>
      <c r="B52" s="520" t="s">
        <v>12418</v>
      </c>
      <c r="C52" s="484"/>
      <c r="D52" s="484"/>
      <c r="E52" s="484"/>
      <c r="F52" s="484"/>
      <c r="G52" s="484"/>
      <c r="H52" s="484"/>
      <c r="I52" s="484"/>
      <c r="J52" s="484"/>
      <c r="K52" s="484"/>
      <c r="L52" s="484"/>
      <c r="M52" s="484"/>
    </row>
    <row r="53" ht="15.75" customHeight="1">
      <c r="A53" s="520" t="s">
        <v>5916</v>
      </c>
      <c r="B53" s="520" t="s">
        <v>5919</v>
      </c>
      <c r="C53" s="484"/>
      <c r="D53" s="484"/>
      <c r="E53" s="484"/>
      <c r="F53" s="484"/>
      <c r="G53" s="484"/>
      <c r="H53" s="484"/>
      <c r="I53" s="484"/>
      <c r="J53" s="484"/>
      <c r="K53" s="484"/>
      <c r="L53" s="484"/>
      <c r="M53" s="484"/>
    </row>
    <row r="54" ht="15.75" customHeight="1">
      <c r="A54" s="622" t="s">
        <v>12438</v>
      </c>
      <c r="B54" s="484"/>
      <c r="C54" s="484"/>
      <c r="D54" s="484"/>
      <c r="E54" s="484"/>
      <c r="F54" s="484"/>
      <c r="G54" s="484"/>
      <c r="H54" s="484"/>
      <c r="I54" s="484"/>
      <c r="J54" s="484"/>
      <c r="K54" s="484"/>
      <c r="L54" s="484"/>
      <c r="M54" s="484"/>
    </row>
    <row r="55" ht="15.75" customHeight="1" outlineLevel="1">
      <c r="A55" s="511" t="s">
        <v>12439</v>
      </c>
      <c r="B55" s="511" t="s">
        <v>12</v>
      </c>
      <c r="C55" s="512"/>
      <c r="D55" s="512"/>
      <c r="E55" s="512"/>
      <c r="F55" s="512"/>
      <c r="G55" s="512"/>
      <c r="H55" s="512"/>
      <c r="I55" s="512"/>
      <c r="J55" s="512"/>
      <c r="K55" s="512"/>
      <c r="L55" s="512"/>
      <c r="M55" s="512"/>
      <c r="N55" s="512"/>
      <c r="O55" s="512"/>
      <c r="P55" s="512"/>
      <c r="Q55" s="512"/>
      <c r="R55" s="512"/>
      <c r="S55" s="512"/>
      <c r="T55" s="512"/>
      <c r="U55" s="512"/>
      <c r="V55" s="512"/>
      <c r="W55" s="512"/>
      <c r="X55" s="512"/>
      <c r="Y55" s="512"/>
      <c r="Z55" s="512"/>
      <c r="AA55" s="512"/>
      <c r="AB55" s="512"/>
      <c r="AC55" s="512"/>
      <c r="AD55" s="512"/>
      <c r="AE55" s="512"/>
      <c r="AF55" s="512"/>
      <c r="AG55" s="512"/>
      <c r="AH55" s="512"/>
      <c r="AI55" s="512"/>
      <c r="AJ55" s="512"/>
      <c r="AK55" s="512"/>
      <c r="AL55" s="512"/>
      <c r="AM55" s="512"/>
      <c r="AN55" s="512"/>
      <c r="AO55" s="512"/>
      <c r="AP55" s="512"/>
      <c r="AQ55" s="512"/>
      <c r="AR55" s="512"/>
      <c r="AS55" s="512"/>
      <c r="AT55" s="512"/>
      <c r="AU55" s="512"/>
      <c r="AV55" s="512"/>
      <c r="AW55" s="512"/>
      <c r="AX55" s="512"/>
      <c r="AY55" s="512"/>
      <c r="AZ55" s="512"/>
      <c r="BA55" s="512"/>
      <c r="BB55" s="512"/>
      <c r="BC55" s="512"/>
      <c r="BD55" s="512"/>
      <c r="BE55" s="512"/>
      <c r="BF55" s="512"/>
      <c r="BG55" s="512"/>
      <c r="BH55" s="512"/>
      <c r="BI55" s="512"/>
      <c r="BJ55" s="512"/>
      <c r="BK55" s="512"/>
      <c r="BL55" s="512"/>
      <c r="BM55" s="512"/>
      <c r="BN55" s="512"/>
      <c r="BO55" s="512"/>
      <c r="BP55" s="512"/>
      <c r="BQ55" s="512"/>
      <c r="BR55" s="512"/>
      <c r="BS55" s="512"/>
      <c r="BT55" s="512"/>
      <c r="BU55" s="512"/>
      <c r="BV55" s="512"/>
      <c r="BW55" s="512"/>
      <c r="BX55" s="512"/>
      <c r="BY55" s="512"/>
      <c r="BZ55" s="512"/>
      <c r="CA55" s="512"/>
      <c r="CB55" s="512"/>
      <c r="CC55" s="512"/>
      <c r="CD55" s="512"/>
      <c r="CE55" s="512"/>
      <c r="CF55" s="512"/>
      <c r="CG55" s="512"/>
      <c r="CH55" s="512"/>
      <c r="CI55" s="512"/>
      <c r="CJ55" s="512"/>
      <c r="CK55" s="512"/>
      <c r="CL55" s="512"/>
      <c r="CM55" s="512"/>
      <c r="CN55" s="512"/>
      <c r="CO55" s="512"/>
      <c r="CP55" s="512"/>
      <c r="CQ55" s="512"/>
      <c r="CR55" s="512"/>
      <c r="CS55" s="512"/>
      <c r="CT55" s="512"/>
      <c r="CU55" s="512"/>
      <c r="CV55" s="512"/>
      <c r="CW55" s="512"/>
      <c r="CX55" s="512"/>
      <c r="CY55" s="512"/>
      <c r="CZ55" s="512"/>
      <c r="DA55" s="512"/>
      <c r="DB55" s="512"/>
      <c r="DC55" s="512"/>
      <c r="DD55" s="512"/>
      <c r="DE55" s="512"/>
      <c r="DF55" s="512"/>
      <c r="DG55" s="512"/>
      <c r="DH55" s="512"/>
      <c r="DI55" s="512"/>
      <c r="DJ55" s="512"/>
      <c r="DK55" s="512"/>
      <c r="DL55" s="512"/>
      <c r="DM55" s="512"/>
      <c r="DN55" s="512"/>
      <c r="DO55" s="512"/>
      <c r="DP55" s="512"/>
      <c r="DQ55" s="512"/>
      <c r="DR55" s="512"/>
      <c r="DS55" s="512"/>
      <c r="DT55" s="512"/>
      <c r="DU55" s="512"/>
      <c r="DV55" s="512"/>
      <c r="DW55" s="512"/>
      <c r="DX55" s="512"/>
      <c r="DY55" s="512"/>
      <c r="DZ55" s="512"/>
      <c r="EA55" s="512"/>
      <c r="EB55" s="512"/>
      <c r="EC55" s="512"/>
      <c r="ED55" s="512"/>
      <c r="EE55" s="512"/>
      <c r="EF55" s="512"/>
      <c r="EG55" s="512"/>
      <c r="EH55" s="512"/>
      <c r="EI55" s="512"/>
      <c r="EJ55" s="512"/>
      <c r="EK55" s="512"/>
      <c r="EL55" s="512"/>
      <c r="EM55" s="512"/>
      <c r="EN55" s="512"/>
      <c r="EO55" s="512"/>
      <c r="EP55" s="512"/>
      <c r="EQ55" s="512"/>
      <c r="ER55" s="512"/>
      <c r="ES55" s="512"/>
      <c r="ET55" s="512"/>
      <c r="EU55" s="512"/>
      <c r="EV55" s="512"/>
      <c r="EW55" s="512"/>
      <c r="EX55" s="512"/>
      <c r="EY55" s="512"/>
      <c r="EZ55" s="512"/>
      <c r="FA55" s="512"/>
      <c r="FB55" s="512"/>
      <c r="FC55" s="512"/>
      <c r="FD55" s="512"/>
      <c r="FE55" s="512"/>
      <c r="FF55" s="512"/>
      <c r="FG55" s="512"/>
      <c r="FH55" s="512"/>
      <c r="FI55" s="512"/>
      <c r="FJ55" s="512"/>
      <c r="FK55" s="512"/>
      <c r="FL55" s="512"/>
      <c r="FM55" s="512"/>
      <c r="FN55" s="512"/>
      <c r="FO55" s="512"/>
      <c r="FP55" s="512"/>
      <c r="FQ55" s="512"/>
      <c r="FR55" s="513"/>
    </row>
    <row r="56" ht="15.75" customHeight="1" outlineLevel="1">
      <c r="A56" s="511" t="s">
        <v>6316</v>
      </c>
      <c r="B56" s="617">
        <v>44928.0</v>
      </c>
      <c r="C56" s="625">
        <v>44933.0</v>
      </c>
      <c r="D56" s="625">
        <v>44934.0</v>
      </c>
      <c r="E56" s="625">
        <v>44936.0</v>
      </c>
      <c r="F56" s="625">
        <v>44939.0</v>
      </c>
      <c r="G56" s="625">
        <v>44940.0</v>
      </c>
      <c r="H56" s="625">
        <v>44941.0</v>
      </c>
      <c r="I56" s="625">
        <v>44945.0</v>
      </c>
      <c r="J56" s="625">
        <v>44950.0</v>
      </c>
      <c r="K56" s="625">
        <v>44952.0</v>
      </c>
      <c r="L56" s="625">
        <v>44954.0</v>
      </c>
      <c r="M56" s="625">
        <v>44955.0</v>
      </c>
      <c r="N56" s="625">
        <v>44958.0</v>
      </c>
      <c r="O56" s="625">
        <v>44961.0</v>
      </c>
      <c r="P56" s="625">
        <v>44966.0</v>
      </c>
      <c r="Q56" s="625">
        <v>44971.0</v>
      </c>
      <c r="R56" s="625">
        <v>44972.0</v>
      </c>
      <c r="S56" s="625">
        <v>44974.0</v>
      </c>
      <c r="T56" s="625">
        <v>44981.0</v>
      </c>
      <c r="U56" s="625">
        <v>44982.0</v>
      </c>
      <c r="V56" s="625">
        <v>44984.0</v>
      </c>
      <c r="W56" s="625">
        <v>44985.0</v>
      </c>
      <c r="X56" s="625">
        <v>44986.0</v>
      </c>
      <c r="Y56" s="625">
        <v>44988.0</v>
      </c>
      <c r="Z56" s="625">
        <v>44989.0</v>
      </c>
      <c r="AA56" s="625">
        <v>44996.0</v>
      </c>
      <c r="AB56" s="625">
        <v>44998.0</v>
      </c>
      <c r="AC56" s="625">
        <v>45003.0</v>
      </c>
      <c r="AD56" s="625">
        <v>45004.0</v>
      </c>
      <c r="AE56" s="625">
        <v>45013.0</v>
      </c>
      <c r="AF56" s="625">
        <v>45017.0</v>
      </c>
      <c r="AG56" s="625">
        <v>45018.0</v>
      </c>
      <c r="AH56" s="625">
        <v>45019.0</v>
      </c>
      <c r="AI56" s="625">
        <v>45021.0</v>
      </c>
      <c r="AJ56" s="625">
        <v>45022.0</v>
      </c>
      <c r="AK56" s="625">
        <v>45024.0</v>
      </c>
      <c r="AL56" s="625">
        <v>45026.0</v>
      </c>
      <c r="AM56" s="625">
        <v>45031.0</v>
      </c>
      <c r="AN56" s="625">
        <v>45032.0</v>
      </c>
      <c r="AO56" s="625">
        <v>45033.0</v>
      </c>
      <c r="AP56" s="625">
        <v>45034.0</v>
      </c>
      <c r="AQ56" s="625">
        <v>45035.0</v>
      </c>
      <c r="AR56" s="625">
        <v>45037.0</v>
      </c>
      <c r="AS56" s="625">
        <v>45038.0</v>
      </c>
      <c r="AT56" s="625">
        <v>45040.0</v>
      </c>
      <c r="AU56" s="625">
        <v>45042.0</v>
      </c>
      <c r="AV56" s="625">
        <v>45045.0</v>
      </c>
      <c r="AW56" s="625">
        <v>45046.0</v>
      </c>
      <c r="AX56" s="625">
        <v>45051.0</v>
      </c>
      <c r="AY56" s="625">
        <v>45053.0</v>
      </c>
      <c r="AZ56" s="625">
        <v>45054.0</v>
      </c>
      <c r="BA56" s="625">
        <v>45055.0</v>
      </c>
      <c r="BB56" s="625">
        <v>45057.0</v>
      </c>
      <c r="BC56" s="625">
        <v>45058.0</v>
      </c>
      <c r="BD56" s="625">
        <v>45060.0</v>
      </c>
      <c r="BE56" s="625">
        <v>45064.0</v>
      </c>
      <c r="BF56" s="625">
        <v>45065.0</v>
      </c>
      <c r="BG56" s="625">
        <v>45070.0</v>
      </c>
      <c r="BH56" s="625">
        <v>45072.0</v>
      </c>
      <c r="BI56" s="625">
        <v>45075.0</v>
      </c>
      <c r="BJ56" s="625">
        <v>45083.0</v>
      </c>
      <c r="BK56" s="625">
        <v>45086.0</v>
      </c>
      <c r="BL56" s="625">
        <v>45089.0</v>
      </c>
      <c r="BM56" s="625">
        <v>45091.0</v>
      </c>
      <c r="BN56" s="625">
        <v>45093.0</v>
      </c>
      <c r="BO56" s="625">
        <v>45094.0</v>
      </c>
      <c r="BP56" s="625">
        <v>45095.0</v>
      </c>
      <c r="BQ56" s="625">
        <v>45096.0</v>
      </c>
      <c r="BR56" s="625">
        <v>45097.0</v>
      </c>
      <c r="BS56" s="625">
        <v>45098.0</v>
      </c>
      <c r="BT56" s="625">
        <v>45103.0</v>
      </c>
      <c r="BU56" s="625">
        <v>45105.0</v>
      </c>
      <c r="BV56" s="625">
        <v>45107.0</v>
      </c>
      <c r="BW56" s="625">
        <v>45108.0</v>
      </c>
      <c r="BX56" s="625">
        <v>45109.0</v>
      </c>
      <c r="BY56" s="625">
        <v>45113.0</v>
      </c>
      <c r="BZ56" s="625">
        <v>45114.0</v>
      </c>
      <c r="CA56" s="625">
        <v>45115.0</v>
      </c>
      <c r="CB56" s="625">
        <v>45116.0</v>
      </c>
      <c r="CC56" s="625">
        <v>45117.0</v>
      </c>
      <c r="CD56" s="625">
        <v>45120.0</v>
      </c>
      <c r="CE56" s="625">
        <v>45122.0</v>
      </c>
      <c r="CF56" s="625">
        <v>45123.0</v>
      </c>
      <c r="CG56" s="625">
        <v>45124.0</v>
      </c>
      <c r="CH56" s="625">
        <v>45126.0</v>
      </c>
      <c r="CI56" s="625">
        <v>45128.0</v>
      </c>
      <c r="CJ56" s="625">
        <v>45129.0</v>
      </c>
      <c r="CK56" s="625">
        <v>45130.0</v>
      </c>
      <c r="CL56" s="625">
        <v>45133.0</v>
      </c>
      <c r="CM56" s="625">
        <v>45137.0</v>
      </c>
      <c r="CN56" s="625">
        <v>45138.0</v>
      </c>
      <c r="CO56" s="625">
        <v>45139.0</v>
      </c>
      <c r="CP56" s="625">
        <v>45140.0</v>
      </c>
      <c r="CQ56" s="625">
        <v>45141.0</v>
      </c>
      <c r="CR56" s="625">
        <v>45145.0</v>
      </c>
      <c r="CS56" s="625">
        <v>45147.0</v>
      </c>
      <c r="CT56" s="625">
        <v>45150.0</v>
      </c>
      <c r="CU56" s="625">
        <v>45151.0</v>
      </c>
      <c r="CV56" s="625">
        <v>45156.0</v>
      </c>
      <c r="CW56" s="625">
        <v>45159.0</v>
      </c>
      <c r="CX56" s="625">
        <v>45161.0</v>
      </c>
      <c r="CY56" s="625">
        <v>45162.0</v>
      </c>
      <c r="CZ56" s="625">
        <v>45164.0</v>
      </c>
      <c r="DA56" s="625">
        <v>45167.0</v>
      </c>
      <c r="DB56" s="625">
        <v>45168.0</v>
      </c>
      <c r="DC56" s="625">
        <v>45170.0</v>
      </c>
      <c r="DD56" s="625">
        <v>45172.0</v>
      </c>
      <c r="DE56" s="625">
        <v>45174.0</v>
      </c>
      <c r="DF56" s="625">
        <v>45175.0</v>
      </c>
      <c r="DG56" s="625">
        <v>45176.0</v>
      </c>
      <c r="DH56" s="625">
        <v>45178.0</v>
      </c>
      <c r="DI56" s="625">
        <v>45179.0</v>
      </c>
      <c r="DJ56" s="625">
        <v>45180.0</v>
      </c>
      <c r="DK56" s="625">
        <v>45182.0</v>
      </c>
      <c r="DL56" s="625">
        <v>45191.0</v>
      </c>
      <c r="DM56" s="625">
        <v>45192.0</v>
      </c>
      <c r="DN56" s="625">
        <v>45194.0</v>
      </c>
      <c r="DO56" s="625">
        <v>45196.0</v>
      </c>
      <c r="DP56" s="625">
        <v>45197.0</v>
      </c>
      <c r="DQ56" s="625">
        <v>45198.0</v>
      </c>
      <c r="DR56" s="625">
        <v>45200.0</v>
      </c>
      <c r="DS56" s="625">
        <v>45201.0</v>
      </c>
      <c r="DT56" s="625">
        <v>45202.0</v>
      </c>
      <c r="DU56" s="625">
        <v>45204.0</v>
      </c>
      <c r="DV56" s="625">
        <v>45205.0</v>
      </c>
      <c r="DW56" s="625">
        <v>45209.0</v>
      </c>
      <c r="DX56" s="625">
        <v>45211.0</v>
      </c>
      <c r="DY56" s="625">
        <v>45213.0</v>
      </c>
      <c r="DZ56" s="625">
        <v>45217.0</v>
      </c>
      <c r="EA56" s="625">
        <v>45220.0</v>
      </c>
      <c r="EB56" s="625">
        <v>45221.0</v>
      </c>
      <c r="EC56" s="625">
        <v>45222.0</v>
      </c>
      <c r="ED56" s="625">
        <v>45224.0</v>
      </c>
      <c r="EE56" s="625">
        <v>45226.0</v>
      </c>
      <c r="EF56" s="625">
        <v>45227.0</v>
      </c>
      <c r="EG56" s="625">
        <v>45228.0</v>
      </c>
      <c r="EH56" s="625">
        <v>45229.0</v>
      </c>
      <c r="EI56" s="625">
        <v>45230.0</v>
      </c>
      <c r="EJ56" s="625">
        <v>45231.0</v>
      </c>
      <c r="EK56" s="625">
        <v>45232.0</v>
      </c>
      <c r="EL56" s="625">
        <v>45233.0</v>
      </c>
      <c r="EM56" s="625">
        <v>45234.0</v>
      </c>
      <c r="EN56" s="625">
        <v>45235.0</v>
      </c>
      <c r="EO56" s="625">
        <v>45236.0</v>
      </c>
      <c r="EP56" s="625">
        <v>45237.0</v>
      </c>
      <c r="EQ56" s="625">
        <v>45240.0</v>
      </c>
      <c r="ER56" s="625">
        <v>45241.0</v>
      </c>
      <c r="ES56" s="625">
        <v>45243.0</v>
      </c>
      <c r="ET56" s="625">
        <v>45246.0</v>
      </c>
      <c r="EU56" s="625">
        <v>45248.0</v>
      </c>
      <c r="EV56" s="625">
        <v>45249.0</v>
      </c>
      <c r="EW56" s="625">
        <v>45250.0</v>
      </c>
      <c r="EX56" s="625">
        <v>45254.0</v>
      </c>
      <c r="EY56" s="625">
        <v>45255.0</v>
      </c>
      <c r="EZ56" s="625">
        <v>45256.0</v>
      </c>
      <c r="FA56" s="625">
        <v>45257.0</v>
      </c>
      <c r="FB56" s="625">
        <v>45262.0</v>
      </c>
      <c r="FC56" s="625">
        <v>45264.0</v>
      </c>
      <c r="FD56" s="625">
        <v>45265.0</v>
      </c>
      <c r="FE56" s="625">
        <v>45269.0</v>
      </c>
      <c r="FF56" s="625">
        <v>45271.0</v>
      </c>
      <c r="FG56" s="625">
        <v>45273.0</v>
      </c>
      <c r="FH56" s="625">
        <v>45274.0</v>
      </c>
      <c r="FI56" s="625">
        <v>45275.0</v>
      </c>
      <c r="FJ56" s="625">
        <v>45276.0</v>
      </c>
      <c r="FK56" s="625">
        <v>45277.0</v>
      </c>
      <c r="FL56" s="625">
        <v>45279.0</v>
      </c>
      <c r="FM56" s="625">
        <v>45282.0</v>
      </c>
      <c r="FN56" s="625">
        <v>45283.0</v>
      </c>
      <c r="FO56" s="625">
        <v>45286.0</v>
      </c>
      <c r="FP56" s="625">
        <v>45289.0</v>
      </c>
      <c r="FQ56" s="625">
        <v>45290.0</v>
      </c>
      <c r="FR56" s="515" t="s">
        <v>9155</v>
      </c>
    </row>
    <row r="57" ht="15.75" customHeight="1" outlineLevel="1">
      <c r="A57" s="511" t="s">
        <v>25</v>
      </c>
      <c r="B57" s="511">
        <v>1.0</v>
      </c>
      <c r="C57" s="514"/>
      <c r="D57" s="514"/>
      <c r="E57" s="514"/>
      <c r="F57" s="514"/>
      <c r="G57" s="514"/>
      <c r="H57" s="514"/>
      <c r="I57" s="514">
        <v>1.0</v>
      </c>
      <c r="J57" s="514"/>
      <c r="K57" s="514">
        <v>2.0</v>
      </c>
      <c r="L57" s="514"/>
      <c r="M57" s="514"/>
      <c r="N57" s="514"/>
      <c r="O57" s="514"/>
      <c r="P57" s="514"/>
      <c r="Q57" s="514"/>
      <c r="R57" s="514"/>
      <c r="S57" s="514"/>
      <c r="T57" s="514"/>
      <c r="U57" s="514"/>
      <c r="V57" s="514"/>
      <c r="W57" s="514"/>
      <c r="X57" s="514"/>
      <c r="Y57" s="514"/>
      <c r="Z57" s="514"/>
      <c r="AA57" s="514">
        <v>1.0</v>
      </c>
      <c r="AB57" s="514"/>
      <c r="AC57" s="514"/>
      <c r="AD57" s="514">
        <v>1.0</v>
      </c>
      <c r="AE57" s="514">
        <v>1.0</v>
      </c>
      <c r="AF57" s="514"/>
      <c r="AG57" s="514"/>
      <c r="AH57" s="514">
        <v>1.0</v>
      </c>
      <c r="AI57" s="514"/>
      <c r="AJ57" s="514">
        <v>1.0</v>
      </c>
      <c r="AK57" s="514"/>
      <c r="AL57" s="514"/>
      <c r="AM57" s="514">
        <v>1.0</v>
      </c>
      <c r="AN57" s="514"/>
      <c r="AO57" s="514"/>
      <c r="AP57" s="514"/>
      <c r="AQ57" s="514"/>
      <c r="AR57" s="514">
        <v>1.0</v>
      </c>
      <c r="AS57" s="514"/>
      <c r="AT57" s="514"/>
      <c r="AU57" s="514"/>
      <c r="AV57" s="514"/>
      <c r="AW57" s="514"/>
      <c r="AX57" s="514"/>
      <c r="AY57" s="514">
        <v>2.0</v>
      </c>
      <c r="AZ57" s="514"/>
      <c r="BA57" s="514"/>
      <c r="BB57" s="514"/>
      <c r="BC57" s="514"/>
      <c r="BD57" s="514"/>
      <c r="BE57" s="514"/>
      <c r="BF57" s="514"/>
      <c r="BG57" s="514"/>
      <c r="BH57" s="514"/>
      <c r="BI57" s="514"/>
      <c r="BJ57" s="514">
        <v>1.0</v>
      </c>
      <c r="BK57" s="514">
        <v>1.0</v>
      </c>
      <c r="BL57" s="514"/>
      <c r="BM57" s="514"/>
      <c r="BN57" s="514"/>
      <c r="BO57" s="514">
        <v>1.0</v>
      </c>
      <c r="BP57" s="514"/>
      <c r="BQ57" s="514"/>
      <c r="BR57" s="514">
        <v>1.0</v>
      </c>
      <c r="BS57" s="514"/>
      <c r="BT57" s="514"/>
      <c r="BU57" s="514"/>
      <c r="BV57" s="514">
        <v>1.0</v>
      </c>
      <c r="BW57" s="514"/>
      <c r="BX57" s="514"/>
      <c r="BY57" s="514"/>
      <c r="BZ57" s="514"/>
      <c r="CA57" s="514"/>
      <c r="CB57" s="514"/>
      <c r="CC57" s="514">
        <v>1.0</v>
      </c>
      <c r="CD57" s="514"/>
      <c r="CE57" s="514"/>
      <c r="CF57" s="514"/>
      <c r="CG57" s="514"/>
      <c r="CH57" s="514"/>
      <c r="CI57" s="514">
        <v>1.0</v>
      </c>
      <c r="CJ57" s="514"/>
      <c r="CK57" s="514">
        <v>1.0</v>
      </c>
      <c r="CL57" s="514"/>
      <c r="CM57" s="514"/>
      <c r="CN57" s="514"/>
      <c r="CO57" s="514"/>
      <c r="CP57" s="514"/>
      <c r="CQ57" s="514"/>
      <c r="CR57" s="514"/>
      <c r="CS57" s="514">
        <v>1.0</v>
      </c>
      <c r="CT57" s="514"/>
      <c r="CU57" s="514"/>
      <c r="CV57" s="514">
        <v>4.0</v>
      </c>
      <c r="CW57" s="514"/>
      <c r="CX57" s="514"/>
      <c r="CY57" s="514">
        <v>2.0</v>
      </c>
      <c r="CZ57" s="514"/>
      <c r="DA57" s="514"/>
      <c r="DB57" s="514"/>
      <c r="DC57" s="514">
        <v>1.0</v>
      </c>
      <c r="DD57" s="514"/>
      <c r="DE57" s="514">
        <v>1.0</v>
      </c>
      <c r="DF57" s="514"/>
      <c r="DG57" s="514">
        <v>1.0</v>
      </c>
      <c r="DH57" s="514"/>
      <c r="DI57" s="514"/>
      <c r="DJ57" s="514"/>
      <c r="DK57" s="514">
        <v>1.0</v>
      </c>
      <c r="DL57" s="514">
        <v>1.0</v>
      </c>
      <c r="DM57" s="514">
        <v>1.0</v>
      </c>
      <c r="DN57" s="514"/>
      <c r="DO57" s="514"/>
      <c r="DP57" s="514">
        <v>1.0</v>
      </c>
      <c r="DQ57" s="514"/>
      <c r="DR57" s="514"/>
      <c r="DS57" s="514"/>
      <c r="DT57" s="514">
        <v>1.0</v>
      </c>
      <c r="DU57" s="514"/>
      <c r="DV57" s="514">
        <v>1.0</v>
      </c>
      <c r="DW57" s="514"/>
      <c r="DX57" s="514"/>
      <c r="DY57" s="514">
        <v>1.0</v>
      </c>
      <c r="DZ57" s="514">
        <v>1.0</v>
      </c>
      <c r="EA57" s="514">
        <v>1.0</v>
      </c>
      <c r="EB57" s="514"/>
      <c r="EC57" s="514"/>
      <c r="ED57" s="514"/>
      <c r="EE57" s="514"/>
      <c r="EF57" s="514">
        <v>1.0</v>
      </c>
      <c r="EG57" s="514"/>
      <c r="EH57" s="514"/>
      <c r="EI57" s="514">
        <v>1.0</v>
      </c>
      <c r="EJ57" s="514"/>
      <c r="EK57" s="514">
        <v>2.0</v>
      </c>
      <c r="EL57" s="514"/>
      <c r="EM57" s="514">
        <v>1.0</v>
      </c>
      <c r="EN57" s="514"/>
      <c r="EO57" s="514"/>
      <c r="EP57" s="514"/>
      <c r="EQ57" s="514"/>
      <c r="ER57" s="514"/>
      <c r="ES57" s="514"/>
      <c r="ET57" s="514"/>
      <c r="EU57" s="514"/>
      <c r="EV57" s="514"/>
      <c r="EW57" s="514">
        <v>3.0</v>
      </c>
      <c r="EX57" s="514">
        <v>1.0</v>
      </c>
      <c r="EY57" s="514"/>
      <c r="EZ57" s="514"/>
      <c r="FA57" s="514">
        <v>1.0</v>
      </c>
      <c r="FB57" s="514"/>
      <c r="FC57" s="514">
        <v>1.0</v>
      </c>
      <c r="FD57" s="514"/>
      <c r="FE57" s="514"/>
      <c r="FF57" s="514"/>
      <c r="FG57" s="514"/>
      <c r="FH57" s="514"/>
      <c r="FI57" s="514"/>
      <c r="FJ57" s="514">
        <v>1.0</v>
      </c>
      <c r="FK57" s="514"/>
      <c r="FL57" s="514"/>
      <c r="FM57" s="514"/>
      <c r="FN57" s="514"/>
      <c r="FO57" s="514">
        <v>1.0</v>
      </c>
      <c r="FP57" s="514"/>
      <c r="FQ57" s="514"/>
      <c r="FR57" s="515">
        <v>53.0</v>
      </c>
    </row>
    <row r="58" ht="15.75" customHeight="1" outlineLevel="1">
      <c r="A58" s="516" t="s">
        <v>715</v>
      </c>
      <c r="B58" s="516">
        <v>2.0</v>
      </c>
      <c r="C58" s="487"/>
      <c r="D58" s="487">
        <v>1.0</v>
      </c>
      <c r="E58" s="487">
        <v>1.0</v>
      </c>
      <c r="F58" s="487">
        <v>1.0</v>
      </c>
      <c r="G58" s="487"/>
      <c r="H58" s="487">
        <v>1.0</v>
      </c>
      <c r="I58" s="487"/>
      <c r="J58" s="487"/>
      <c r="K58" s="487"/>
      <c r="L58" s="487"/>
      <c r="M58" s="487"/>
      <c r="N58" s="487"/>
      <c r="O58" s="487"/>
      <c r="P58" s="487"/>
      <c r="Q58" s="487">
        <v>1.0</v>
      </c>
      <c r="R58" s="487"/>
      <c r="S58" s="487">
        <v>1.0</v>
      </c>
      <c r="T58" s="487"/>
      <c r="U58" s="487">
        <v>2.0</v>
      </c>
      <c r="V58" s="487">
        <v>1.0</v>
      </c>
      <c r="W58" s="487"/>
      <c r="X58" s="487"/>
      <c r="Y58" s="487">
        <v>1.0</v>
      </c>
      <c r="Z58" s="487"/>
      <c r="AA58" s="487"/>
      <c r="AB58" s="487"/>
      <c r="AC58" s="487"/>
      <c r="AD58" s="487"/>
      <c r="AE58" s="487"/>
      <c r="AF58" s="487">
        <v>1.0</v>
      </c>
      <c r="AG58" s="487"/>
      <c r="AH58" s="487"/>
      <c r="AI58" s="487"/>
      <c r="AJ58" s="487">
        <v>1.0</v>
      </c>
      <c r="AK58" s="487"/>
      <c r="AL58" s="487"/>
      <c r="AM58" s="487"/>
      <c r="AN58" s="487"/>
      <c r="AO58" s="487"/>
      <c r="AP58" s="487">
        <v>1.0</v>
      </c>
      <c r="AQ58" s="487">
        <v>1.0</v>
      </c>
      <c r="AR58" s="487"/>
      <c r="AS58" s="487">
        <v>1.0</v>
      </c>
      <c r="AT58" s="487"/>
      <c r="AU58" s="487">
        <v>1.0</v>
      </c>
      <c r="AV58" s="487">
        <v>1.0</v>
      </c>
      <c r="AW58" s="487"/>
      <c r="AX58" s="487">
        <v>1.0</v>
      </c>
      <c r="AY58" s="487"/>
      <c r="AZ58" s="487">
        <v>1.0</v>
      </c>
      <c r="BA58" s="487"/>
      <c r="BB58" s="487"/>
      <c r="BC58" s="487">
        <v>2.0</v>
      </c>
      <c r="BD58" s="487"/>
      <c r="BE58" s="487">
        <v>1.0</v>
      </c>
      <c r="BF58" s="487"/>
      <c r="BG58" s="487">
        <v>1.0</v>
      </c>
      <c r="BH58" s="487"/>
      <c r="BI58" s="487"/>
      <c r="BJ58" s="487">
        <v>1.0</v>
      </c>
      <c r="BK58" s="487"/>
      <c r="BL58" s="487">
        <v>1.0</v>
      </c>
      <c r="BM58" s="487"/>
      <c r="BN58" s="487">
        <v>1.0</v>
      </c>
      <c r="BO58" s="487"/>
      <c r="BP58" s="487">
        <v>1.0</v>
      </c>
      <c r="BQ58" s="487"/>
      <c r="BR58" s="487">
        <v>1.0</v>
      </c>
      <c r="BS58" s="487"/>
      <c r="BT58" s="487">
        <v>2.0</v>
      </c>
      <c r="BU58" s="487">
        <v>1.0</v>
      </c>
      <c r="BV58" s="487"/>
      <c r="BW58" s="487">
        <v>2.0</v>
      </c>
      <c r="BX58" s="487">
        <v>1.0</v>
      </c>
      <c r="BY58" s="487"/>
      <c r="BZ58" s="487">
        <v>1.0</v>
      </c>
      <c r="CA58" s="487"/>
      <c r="CB58" s="487"/>
      <c r="CC58" s="487"/>
      <c r="CD58" s="487">
        <v>1.0</v>
      </c>
      <c r="CE58" s="487"/>
      <c r="CF58" s="487">
        <v>1.0</v>
      </c>
      <c r="CG58" s="487">
        <v>2.0</v>
      </c>
      <c r="CH58" s="487">
        <v>1.0</v>
      </c>
      <c r="CI58" s="487"/>
      <c r="CJ58" s="487"/>
      <c r="CK58" s="487"/>
      <c r="CL58" s="487">
        <v>1.0</v>
      </c>
      <c r="CM58" s="487"/>
      <c r="CN58" s="487">
        <v>1.0</v>
      </c>
      <c r="CO58" s="487">
        <v>1.0</v>
      </c>
      <c r="CP58" s="487"/>
      <c r="CQ58" s="487"/>
      <c r="CR58" s="487">
        <v>1.0</v>
      </c>
      <c r="CS58" s="487"/>
      <c r="CT58" s="487"/>
      <c r="CU58" s="487"/>
      <c r="CV58" s="487"/>
      <c r="CW58" s="487">
        <v>1.0</v>
      </c>
      <c r="CX58" s="487"/>
      <c r="CY58" s="487"/>
      <c r="CZ58" s="487">
        <v>2.0</v>
      </c>
      <c r="DA58" s="487">
        <v>2.0</v>
      </c>
      <c r="DB58" s="487"/>
      <c r="DC58" s="487"/>
      <c r="DD58" s="487">
        <v>1.0</v>
      </c>
      <c r="DE58" s="487">
        <v>2.0</v>
      </c>
      <c r="DF58" s="487"/>
      <c r="DG58" s="487"/>
      <c r="DH58" s="487"/>
      <c r="DI58" s="487"/>
      <c r="DJ58" s="487">
        <v>4.0</v>
      </c>
      <c r="DK58" s="487">
        <v>2.0</v>
      </c>
      <c r="DL58" s="487">
        <v>1.0</v>
      </c>
      <c r="DM58" s="487"/>
      <c r="DN58" s="487">
        <v>1.0</v>
      </c>
      <c r="DO58" s="487">
        <v>1.0</v>
      </c>
      <c r="DP58" s="487"/>
      <c r="DQ58" s="487">
        <v>1.0</v>
      </c>
      <c r="DR58" s="487"/>
      <c r="DS58" s="487">
        <v>1.0</v>
      </c>
      <c r="DT58" s="487"/>
      <c r="DU58" s="487">
        <v>2.0</v>
      </c>
      <c r="DV58" s="487">
        <v>1.0</v>
      </c>
      <c r="DW58" s="487">
        <v>1.0</v>
      </c>
      <c r="DX58" s="487">
        <v>2.0</v>
      </c>
      <c r="DY58" s="487">
        <v>3.0</v>
      </c>
      <c r="DZ58" s="487"/>
      <c r="EA58" s="487"/>
      <c r="EB58" s="487"/>
      <c r="EC58" s="487">
        <v>3.0</v>
      </c>
      <c r="ED58" s="487">
        <v>1.0</v>
      </c>
      <c r="EE58" s="487"/>
      <c r="EF58" s="487"/>
      <c r="EG58" s="487">
        <v>1.0</v>
      </c>
      <c r="EH58" s="487">
        <v>1.0</v>
      </c>
      <c r="EI58" s="487">
        <v>1.0</v>
      </c>
      <c r="EJ58" s="487">
        <v>1.0</v>
      </c>
      <c r="EK58" s="487"/>
      <c r="EL58" s="487">
        <v>3.0</v>
      </c>
      <c r="EM58" s="487"/>
      <c r="EN58" s="487"/>
      <c r="EO58" s="487">
        <v>1.0</v>
      </c>
      <c r="EP58" s="487">
        <v>1.0</v>
      </c>
      <c r="EQ58" s="487">
        <v>1.0</v>
      </c>
      <c r="ER58" s="487">
        <v>2.0</v>
      </c>
      <c r="ES58" s="487">
        <v>1.0</v>
      </c>
      <c r="ET58" s="487"/>
      <c r="EU58" s="487"/>
      <c r="EV58" s="487"/>
      <c r="EW58" s="487"/>
      <c r="EX58" s="487"/>
      <c r="EY58" s="487"/>
      <c r="EZ58" s="487">
        <v>1.0</v>
      </c>
      <c r="FA58" s="487"/>
      <c r="FB58" s="487">
        <v>1.0</v>
      </c>
      <c r="FC58" s="487">
        <v>2.0</v>
      </c>
      <c r="FD58" s="487">
        <v>2.0</v>
      </c>
      <c r="FE58" s="487"/>
      <c r="FF58" s="487">
        <v>2.0</v>
      </c>
      <c r="FG58" s="487">
        <v>2.0</v>
      </c>
      <c r="FH58" s="487">
        <v>3.0</v>
      </c>
      <c r="FI58" s="487"/>
      <c r="FJ58" s="487"/>
      <c r="FK58" s="487">
        <v>1.0</v>
      </c>
      <c r="FL58" s="487">
        <v>4.0</v>
      </c>
      <c r="FM58" s="487">
        <v>3.0</v>
      </c>
      <c r="FN58" s="487">
        <v>1.0</v>
      </c>
      <c r="FO58" s="487">
        <v>1.0</v>
      </c>
      <c r="FP58" s="487">
        <v>1.0</v>
      </c>
      <c r="FQ58" s="487">
        <v>1.0</v>
      </c>
      <c r="FR58" s="517">
        <v>116.0</v>
      </c>
    </row>
    <row r="59" ht="15.75" customHeight="1" outlineLevel="1">
      <c r="A59" s="516" t="s">
        <v>6501</v>
      </c>
      <c r="B59" s="516"/>
      <c r="C59" s="487"/>
      <c r="D59" s="487"/>
      <c r="E59" s="487"/>
      <c r="F59" s="487"/>
      <c r="G59" s="487"/>
      <c r="H59" s="487"/>
      <c r="I59" s="487"/>
      <c r="J59" s="487">
        <v>1.0</v>
      </c>
      <c r="K59" s="487"/>
      <c r="L59" s="487">
        <v>2.0</v>
      </c>
      <c r="M59" s="487"/>
      <c r="N59" s="487"/>
      <c r="O59" s="487"/>
      <c r="P59" s="487"/>
      <c r="Q59" s="487"/>
      <c r="R59" s="487"/>
      <c r="S59" s="487"/>
      <c r="T59" s="487"/>
      <c r="U59" s="487"/>
      <c r="V59" s="487"/>
      <c r="W59" s="487"/>
      <c r="X59" s="487"/>
      <c r="Y59" s="487"/>
      <c r="Z59" s="487"/>
      <c r="AA59" s="487"/>
      <c r="AB59" s="487"/>
      <c r="AC59" s="487"/>
      <c r="AD59" s="487"/>
      <c r="AE59" s="487"/>
      <c r="AF59" s="487"/>
      <c r="AG59" s="487"/>
      <c r="AH59" s="487"/>
      <c r="AI59" s="487"/>
      <c r="AJ59" s="487"/>
      <c r="AK59" s="487"/>
      <c r="AL59" s="487"/>
      <c r="AM59" s="487"/>
      <c r="AN59" s="487"/>
      <c r="AO59" s="487"/>
      <c r="AP59" s="487"/>
      <c r="AQ59" s="487"/>
      <c r="AR59" s="487"/>
      <c r="AS59" s="487"/>
      <c r="AT59" s="487"/>
      <c r="AU59" s="487"/>
      <c r="AV59" s="487"/>
      <c r="AW59" s="487"/>
      <c r="AX59" s="487"/>
      <c r="AY59" s="487"/>
      <c r="AZ59" s="487"/>
      <c r="BA59" s="487"/>
      <c r="BB59" s="487"/>
      <c r="BC59" s="487"/>
      <c r="BD59" s="487"/>
      <c r="BE59" s="487"/>
      <c r="BF59" s="487"/>
      <c r="BG59" s="487"/>
      <c r="BH59" s="487">
        <v>1.0</v>
      </c>
      <c r="BI59" s="487">
        <v>1.0</v>
      </c>
      <c r="BJ59" s="487"/>
      <c r="BK59" s="487"/>
      <c r="BL59" s="487"/>
      <c r="BM59" s="487"/>
      <c r="BN59" s="487"/>
      <c r="BO59" s="487"/>
      <c r="BP59" s="487"/>
      <c r="BQ59" s="487"/>
      <c r="BR59" s="487"/>
      <c r="BS59" s="487"/>
      <c r="BT59" s="487"/>
      <c r="BU59" s="487"/>
      <c r="BV59" s="487"/>
      <c r="BW59" s="487"/>
      <c r="BX59" s="487"/>
      <c r="BY59" s="487"/>
      <c r="BZ59" s="487"/>
      <c r="CA59" s="487"/>
      <c r="CB59" s="487"/>
      <c r="CC59" s="487"/>
      <c r="CD59" s="487"/>
      <c r="CE59" s="487"/>
      <c r="CF59" s="487"/>
      <c r="CG59" s="487"/>
      <c r="CH59" s="487"/>
      <c r="CI59" s="487"/>
      <c r="CJ59" s="487"/>
      <c r="CK59" s="487"/>
      <c r="CL59" s="487"/>
      <c r="CM59" s="487"/>
      <c r="CN59" s="487"/>
      <c r="CO59" s="487"/>
      <c r="CP59" s="487"/>
      <c r="CQ59" s="487"/>
      <c r="CR59" s="487"/>
      <c r="CS59" s="487"/>
      <c r="CT59" s="487"/>
      <c r="CU59" s="487">
        <v>1.0</v>
      </c>
      <c r="CV59" s="487"/>
      <c r="CW59" s="487"/>
      <c r="CX59" s="487"/>
      <c r="CY59" s="487"/>
      <c r="CZ59" s="487"/>
      <c r="DA59" s="487"/>
      <c r="DB59" s="487"/>
      <c r="DC59" s="487"/>
      <c r="DD59" s="487"/>
      <c r="DE59" s="487"/>
      <c r="DF59" s="487"/>
      <c r="DG59" s="487"/>
      <c r="DH59" s="487"/>
      <c r="DI59" s="487"/>
      <c r="DJ59" s="487">
        <v>1.0</v>
      </c>
      <c r="DK59" s="487"/>
      <c r="DL59" s="487"/>
      <c r="DM59" s="487"/>
      <c r="DN59" s="487"/>
      <c r="DO59" s="487"/>
      <c r="DP59" s="487"/>
      <c r="DQ59" s="487"/>
      <c r="DR59" s="487"/>
      <c r="DS59" s="487"/>
      <c r="DT59" s="487"/>
      <c r="DU59" s="487"/>
      <c r="DV59" s="487"/>
      <c r="DW59" s="487"/>
      <c r="DX59" s="487"/>
      <c r="DY59" s="487"/>
      <c r="DZ59" s="487"/>
      <c r="EA59" s="487"/>
      <c r="EB59" s="487">
        <v>1.0</v>
      </c>
      <c r="EC59" s="487"/>
      <c r="ED59" s="487"/>
      <c r="EE59" s="487"/>
      <c r="EF59" s="487"/>
      <c r="EG59" s="487"/>
      <c r="EH59" s="487"/>
      <c r="EI59" s="487"/>
      <c r="EJ59" s="487"/>
      <c r="EK59" s="487"/>
      <c r="EL59" s="487">
        <v>1.0</v>
      </c>
      <c r="EM59" s="487"/>
      <c r="EN59" s="487"/>
      <c r="EO59" s="487"/>
      <c r="EP59" s="487"/>
      <c r="EQ59" s="487"/>
      <c r="ER59" s="487"/>
      <c r="ES59" s="487"/>
      <c r="ET59" s="487"/>
      <c r="EU59" s="487"/>
      <c r="EV59" s="487"/>
      <c r="EW59" s="487"/>
      <c r="EX59" s="487"/>
      <c r="EY59" s="487">
        <v>1.0</v>
      </c>
      <c r="EZ59" s="487"/>
      <c r="FA59" s="487"/>
      <c r="FB59" s="487"/>
      <c r="FC59" s="487"/>
      <c r="FD59" s="487"/>
      <c r="FE59" s="487"/>
      <c r="FF59" s="487"/>
      <c r="FG59" s="487"/>
      <c r="FH59" s="487"/>
      <c r="FI59" s="487"/>
      <c r="FJ59" s="487"/>
      <c r="FK59" s="487"/>
      <c r="FL59" s="487"/>
      <c r="FM59" s="487"/>
      <c r="FN59" s="487"/>
      <c r="FO59" s="487"/>
      <c r="FP59" s="487"/>
      <c r="FQ59" s="487"/>
      <c r="FR59" s="517">
        <v>10.0</v>
      </c>
    </row>
    <row r="60" ht="15.75" customHeight="1" outlineLevel="1">
      <c r="A60" s="516" t="s">
        <v>21</v>
      </c>
      <c r="B60" s="516"/>
      <c r="C60" s="487">
        <v>2.0</v>
      </c>
      <c r="D60" s="487"/>
      <c r="E60" s="487"/>
      <c r="F60" s="487"/>
      <c r="G60" s="487">
        <v>1.0</v>
      </c>
      <c r="H60" s="487"/>
      <c r="I60" s="487"/>
      <c r="J60" s="487">
        <v>1.0</v>
      </c>
      <c r="K60" s="487"/>
      <c r="L60" s="487"/>
      <c r="M60" s="487">
        <v>3.0</v>
      </c>
      <c r="N60" s="487">
        <v>3.0</v>
      </c>
      <c r="O60" s="487">
        <v>2.0</v>
      </c>
      <c r="P60" s="487">
        <v>2.0</v>
      </c>
      <c r="Q60" s="487"/>
      <c r="R60" s="487">
        <v>1.0</v>
      </c>
      <c r="S60" s="487"/>
      <c r="T60" s="487">
        <v>1.0</v>
      </c>
      <c r="U60" s="487">
        <v>1.0</v>
      </c>
      <c r="V60" s="487"/>
      <c r="W60" s="487">
        <v>1.0</v>
      </c>
      <c r="X60" s="487">
        <v>1.0</v>
      </c>
      <c r="Y60" s="487"/>
      <c r="Z60" s="487">
        <v>1.0</v>
      </c>
      <c r="AA60" s="487"/>
      <c r="AB60" s="487">
        <v>2.0</v>
      </c>
      <c r="AC60" s="487">
        <v>1.0</v>
      </c>
      <c r="AD60" s="487"/>
      <c r="AE60" s="487"/>
      <c r="AF60" s="487"/>
      <c r="AG60" s="487">
        <v>1.0</v>
      </c>
      <c r="AH60" s="487"/>
      <c r="AI60" s="487">
        <v>1.0</v>
      </c>
      <c r="AJ60" s="487"/>
      <c r="AK60" s="487">
        <v>1.0</v>
      </c>
      <c r="AL60" s="487">
        <v>1.0</v>
      </c>
      <c r="AM60" s="487"/>
      <c r="AN60" s="487">
        <v>1.0</v>
      </c>
      <c r="AO60" s="487">
        <v>1.0</v>
      </c>
      <c r="AP60" s="487"/>
      <c r="AQ60" s="487"/>
      <c r="AR60" s="487"/>
      <c r="AS60" s="487"/>
      <c r="AT60" s="487">
        <v>1.0</v>
      </c>
      <c r="AU60" s="487"/>
      <c r="AV60" s="487"/>
      <c r="AW60" s="487">
        <v>3.0</v>
      </c>
      <c r="AX60" s="487"/>
      <c r="AY60" s="487"/>
      <c r="AZ60" s="487"/>
      <c r="BA60" s="487">
        <v>1.0</v>
      </c>
      <c r="BB60" s="487">
        <v>1.0</v>
      </c>
      <c r="BC60" s="487"/>
      <c r="BD60" s="487">
        <v>1.0</v>
      </c>
      <c r="BE60" s="487"/>
      <c r="BF60" s="487">
        <v>1.0</v>
      </c>
      <c r="BG60" s="487"/>
      <c r="BH60" s="487"/>
      <c r="BI60" s="487"/>
      <c r="BJ60" s="487"/>
      <c r="BK60" s="487">
        <v>4.0</v>
      </c>
      <c r="BL60" s="487"/>
      <c r="BM60" s="487">
        <v>2.0</v>
      </c>
      <c r="BN60" s="487">
        <v>1.0</v>
      </c>
      <c r="BO60" s="487"/>
      <c r="BP60" s="487"/>
      <c r="BQ60" s="487">
        <v>1.0</v>
      </c>
      <c r="BR60" s="487"/>
      <c r="BS60" s="487">
        <v>1.0</v>
      </c>
      <c r="BT60" s="487">
        <v>3.0</v>
      </c>
      <c r="BU60" s="487"/>
      <c r="BV60" s="487">
        <v>1.0</v>
      </c>
      <c r="BW60" s="487">
        <v>3.0</v>
      </c>
      <c r="BX60" s="487"/>
      <c r="BY60" s="487">
        <v>4.0</v>
      </c>
      <c r="BZ60" s="487"/>
      <c r="CA60" s="487">
        <v>1.0</v>
      </c>
      <c r="CB60" s="487">
        <v>2.0</v>
      </c>
      <c r="CC60" s="487"/>
      <c r="CD60" s="487"/>
      <c r="CE60" s="487">
        <v>3.0</v>
      </c>
      <c r="CF60" s="487"/>
      <c r="CG60" s="487"/>
      <c r="CH60" s="487"/>
      <c r="CI60" s="487"/>
      <c r="CJ60" s="487">
        <v>1.0</v>
      </c>
      <c r="CK60" s="487"/>
      <c r="CL60" s="487"/>
      <c r="CM60" s="487">
        <v>1.0</v>
      </c>
      <c r="CN60" s="487"/>
      <c r="CO60" s="487"/>
      <c r="CP60" s="487">
        <v>1.0</v>
      </c>
      <c r="CQ60" s="487">
        <v>1.0</v>
      </c>
      <c r="CR60" s="487"/>
      <c r="CS60" s="487">
        <v>1.0</v>
      </c>
      <c r="CT60" s="487">
        <v>1.0</v>
      </c>
      <c r="CU60" s="487"/>
      <c r="CV60" s="487"/>
      <c r="CW60" s="487"/>
      <c r="CX60" s="487">
        <v>3.0</v>
      </c>
      <c r="CY60" s="487"/>
      <c r="CZ60" s="487"/>
      <c r="DA60" s="487">
        <v>2.0</v>
      </c>
      <c r="DB60" s="487">
        <v>1.0</v>
      </c>
      <c r="DC60" s="487"/>
      <c r="DD60" s="487"/>
      <c r="DE60" s="487">
        <v>1.0</v>
      </c>
      <c r="DF60" s="487">
        <v>1.0</v>
      </c>
      <c r="DG60" s="487"/>
      <c r="DH60" s="487">
        <v>2.0</v>
      </c>
      <c r="DI60" s="487">
        <v>2.0</v>
      </c>
      <c r="DJ60" s="487">
        <v>1.0</v>
      </c>
      <c r="DK60" s="487"/>
      <c r="DL60" s="487">
        <v>1.0</v>
      </c>
      <c r="DM60" s="487"/>
      <c r="DN60" s="487"/>
      <c r="DO60" s="487">
        <v>2.0</v>
      </c>
      <c r="DP60" s="487"/>
      <c r="DQ60" s="487"/>
      <c r="DR60" s="487">
        <v>3.0</v>
      </c>
      <c r="DS60" s="487">
        <v>1.0</v>
      </c>
      <c r="DT60" s="487"/>
      <c r="DU60" s="487"/>
      <c r="DV60" s="487">
        <v>1.0</v>
      </c>
      <c r="DW60" s="487"/>
      <c r="DX60" s="487"/>
      <c r="DY60" s="487">
        <v>3.0</v>
      </c>
      <c r="DZ60" s="487"/>
      <c r="EA60" s="487"/>
      <c r="EB60" s="487">
        <v>5.0</v>
      </c>
      <c r="EC60" s="487"/>
      <c r="ED60" s="487"/>
      <c r="EE60" s="487">
        <v>1.0</v>
      </c>
      <c r="EF60" s="487"/>
      <c r="EG60" s="487"/>
      <c r="EH60" s="487">
        <v>1.0</v>
      </c>
      <c r="EI60" s="487"/>
      <c r="EJ60" s="487">
        <v>1.0</v>
      </c>
      <c r="EK60" s="487"/>
      <c r="EL60" s="487"/>
      <c r="EM60" s="487"/>
      <c r="EN60" s="487">
        <v>5.0</v>
      </c>
      <c r="EO60" s="487">
        <v>1.0</v>
      </c>
      <c r="EP60" s="487"/>
      <c r="EQ60" s="487"/>
      <c r="ER60" s="487"/>
      <c r="ES60" s="487"/>
      <c r="ET60" s="487">
        <v>1.0</v>
      </c>
      <c r="EU60" s="487">
        <v>2.0</v>
      </c>
      <c r="EV60" s="487">
        <v>3.0</v>
      </c>
      <c r="EW60" s="487"/>
      <c r="EX60" s="487"/>
      <c r="EY60" s="487"/>
      <c r="EZ60" s="487"/>
      <c r="FA60" s="487"/>
      <c r="FB60" s="487">
        <v>2.0</v>
      </c>
      <c r="FC60" s="487"/>
      <c r="FD60" s="487"/>
      <c r="FE60" s="487">
        <v>1.0</v>
      </c>
      <c r="FF60" s="487"/>
      <c r="FG60" s="487"/>
      <c r="FH60" s="487"/>
      <c r="FI60" s="487">
        <v>1.0</v>
      </c>
      <c r="FJ60" s="487"/>
      <c r="FK60" s="487">
        <v>1.0</v>
      </c>
      <c r="FL60" s="487"/>
      <c r="FM60" s="487">
        <v>2.0</v>
      </c>
      <c r="FN60" s="487">
        <v>1.0</v>
      </c>
      <c r="FO60" s="487"/>
      <c r="FP60" s="487"/>
      <c r="FQ60" s="487">
        <v>1.0</v>
      </c>
      <c r="FR60" s="517">
        <v>122.0</v>
      </c>
    </row>
    <row r="61" ht="15.75" customHeight="1" outlineLevel="1">
      <c r="A61" s="518" t="s">
        <v>9155</v>
      </c>
      <c r="B61" s="518">
        <v>3.0</v>
      </c>
      <c r="C61" s="519">
        <v>2.0</v>
      </c>
      <c r="D61" s="519">
        <v>1.0</v>
      </c>
      <c r="E61" s="519">
        <v>1.0</v>
      </c>
      <c r="F61" s="519">
        <v>1.0</v>
      </c>
      <c r="G61" s="519">
        <v>1.0</v>
      </c>
      <c r="H61" s="519">
        <v>1.0</v>
      </c>
      <c r="I61" s="519">
        <v>1.0</v>
      </c>
      <c r="J61" s="519">
        <v>2.0</v>
      </c>
      <c r="K61" s="519">
        <v>2.0</v>
      </c>
      <c r="L61" s="519">
        <v>2.0</v>
      </c>
      <c r="M61" s="519">
        <v>3.0</v>
      </c>
      <c r="N61" s="519">
        <v>3.0</v>
      </c>
      <c r="O61" s="519">
        <v>2.0</v>
      </c>
      <c r="P61" s="519">
        <v>2.0</v>
      </c>
      <c r="Q61" s="519">
        <v>1.0</v>
      </c>
      <c r="R61" s="519">
        <v>1.0</v>
      </c>
      <c r="S61" s="519">
        <v>1.0</v>
      </c>
      <c r="T61" s="519">
        <v>1.0</v>
      </c>
      <c r="U61" s="519">
        <v>3.0</v>
      </c>
      <c r="V61" s="519">
        <v>1.0</v>
      </c>
      <c r="W61" s="519">
        <v>1.0</v>
      </c>
      <c r="X61" s="519">
        <v>1.0</v>
      </c>
      <c r="Y61" s="519">
        <v>1.0</v>
      </c>
      <c r="Z61" s="519">
        <v>1.0</v>
      </c>
      <c r="AA61" s="519">
        <v>1.0</v>
      </c>
      <c r="AB61" s="519">
        <v>2.0</v>
      </c>
      <c r="AC61" s="519">
        <v>1.0</v>
      </c>
      <c r="AD61" s="519">
        <v>1.0</v>
      </c>
      <c r="AE61" s="519">
        <v>1.0</v>
      </c>
      <c r="AF61" s="519">
        <v>1.0</v>
      </c>
      <c r="AG61" s="519">
        <v>1.0</v>
      </c>
      <c r="AH61" s="519">
        <v>1.0</v>
      </c>
      <c r="AI61" s="519">
        <v>1.0</v>
      </c>
      <c r="AJ61" s="519">
        <v>2.0</v>
      </c>
      <c r="AK61" s="519">
        <v>1.0</v>
      </c>
      <c r="AL61" s="519">
        <v>1.0</v>
      </c>
      <c r="AM61" s="519">
        <v>1.0</v>
      </c>
      <c r="AN61" s="519">
        <v>1.0</v>
      </c>
      <c r="AO61" s="519">
        <v>1.0</v>
      </c>
      <c r="AP61" s="519">
        <v>1.0</v>
      </c>
      <c r="AQ61" s="519">
        <v>1.0</v>
      </c>
      <c r="AR61" s="519">
        <v>1.0</v>
      </c>
      <c r="AS61" s="519">
        <v>1.0</v>
      </c>
      <c r="AT61" s="519">
        <v>1.0</v>
      </c>
      <c r="AU61" s="519">
        <v>1.0</v>
      </c>
      <c r="AV61" s="519">
        <v>1.0</v>
      </c>
      <c r="AW61" s="519">
        <v>3.0</v>
      </c>
      <c r="AX61" s="519">
        <v>1.0</v>
      </c>
      <c r="AY61" s="519">
        <v>2.0</v>
      </c>
      <c r="AZ61" s="519">
        <v>1.0</v>
      </c>
      <c r="BA61" s="519">
        <v>1.0</v>
      </c>
      <c r="BB61" s="519">
        <v>1.0</v>
      </c>
      <c r="BC61" s="519">
        <v>2.0</v>
      </c>
      <c r="BD61" s="519">
        <v>1.0</v>
      </c>
      <c r="BE61" s="519">
        <v>1.0</v>
      </c>
      <c r="BF61" s="519">
        <v>1.0</v>
      </c>
      <c r="BG61" s="519">
        <v>1.0</v>
      </c>
      <c r="BH61" s="519">
        <v>1.0</v>
      </c>
      <c r="BI61" s="519">
        <v>1.0</v>
      </c>
      <c r="BJ61" s="519">
        <v>2.0</v>
      </c>
      <c r="BK61" s="519">
        <v>5.0</v>
      </c>
      <c r="BL61" s="519">
        <v>1.0</v>
      </c>
      <c r="BM61" s="519">
        <v>2.0</v>
      </c>
      <c r="BN61" s="519">
        <v>2.0</v>
      </c>
      <c r="BO61" s="519">
        <v>1.0</v>
      </c>
      <c r="BP61" s="519">
        <v>1.0</v>
      </c>
      <c r="BQ61" s="519">
        <v>1.0</v>
      </c>
      <c r="BR61" s="519">
        <v>2.0</v>
      </c>
      <c r="BS61" s="519">
        <v>1.0</v>
      </c>
      <c r="BT61" s="519">
        <v>5.0</v>
      </c>
      <c r="BU61" s="519">
        <v>1.0</v>
      </c>
      <c r="BV61" s="519">
        <v>2.0</v>
      </c>
      <c r="BW61" s="519">
        <v>5.0</v>
      </c>
      <c r="BX61" s="519">
        <v>1.0</v>
      </c>
      <c r="BY61" s="519">
        <v>4.0</v>
      </c>
      <c r="BZ61" s="519">
        <v>1.0</v>
      </c>
      <c r="CA61" s="519">
        <v>1.0</v>
      </c>
      <c r="CB61" s="519">
        <v>2.0</v>
      </c>
      <c r="CC61" s="519">
        <v>1.0</v>
      </c>
      <c r="CD61" s="519">
        <v>1.0</v>
      </c>
      <c r="CE61" s="519">
        <v>3.0</v>
      </c>
      <c r="CF61" s="519">
        <v>1.0</v>
      </c>
      <c r="CG61" s="519">
        <v>2.0</v>
      </c>
      <c r="CH61" s="519">
        <v>1.0</v>
      </c>
      <c r="CI61" s="519">
        <v>1.0</v>
      </c>
      <c r="CJ61" s="519">
        <v>1.0</v>
      </c>
      <c r="CK61" s="519">
        <v>1.0</v>
      </c>
      <c r="CL61" s="519">
        <v>1.0</v>
      </c>
      <c r="CM61" s="519">
        <v>1.0</v>
      </c>
      <c r="CN61" s="519">
        <v>1.0</v>
      </c>
      <c r="CO61" s="519">
        <v>1.0</v>
      </c>
      <c r="CP61" s="519">
        <v>1.0</v>
      </c>
      <c r="CQ61" s="519">
        <v>1.0</v>
      </c>
      <c r="CR61" s="519">
        <v>1.0</v>
      </c>
      <c r="CS61" s="519">
        <v>2.0</v>
      </c>
      <c r="CT61" s="519">
        <v>1.0</v>
      </c>
      <c r="CU61" s="519">
        <v>1.0</v>
      </c>
      <c r="CV61" s="519">
        <v>4.0</v>
      </c>
      <c r="CW61" s="519">
        <v>1.0</v>
      </c>
      <c r="CX61" s="519">
        <v>3.0</v>
      </c>
      <c r="CY61" s="519">
        <v>2.0</v>
      </c>
      <c r="CZ61" s="519">
        <v>2.0</v>
      </c>
      <c r="DA61" s="519">
        <v>4.0</v>
      </c>
      <c r="DB61" s="519">
        <v>1.0</v>
      </c>
      <c r="DC61" s="519">
        <v>1.0</v>
      </c>
      <c r="DD61" s="519">
        <v>1.0</v>
      </c>
      <c r="DE61" s="519">
        <v>4.0</v>
      </c>
      <c r="DF61" s="519">
        <v>1.0</v>
      </c>
      <c r="DG61" s="519">
        <v>1.0</v>
      </c>
      <c r="DH61" s="519">
        <v>2.0</v>
      </c>
      <c r="DI61" s="519">
        <v>2.0</v>
      </c>
      <c r="DJ61" s="519">
        <v>6.0</v>
      </c>
      <c r="DK61" s="519">
        <v>3.0</v>
      </c>
      <c r="DL61" s="519">
        <v>3.0</v>
      </c>
      <c r="DM61" s="519">
        <v>1.0</v>
      </c>
      <c r="DN61" s="519">
        <v>1.0</v>
      </c>
      <c r="DO61" s="519">
        <v>3.0</v>
      </c>
      <c r="DP61" s="519">
        <v>1.0</v>
      </c>
      <c r="DQ61" s="519">
        <v>1.0</v>
      </c>
      <c r="DR61" s="519">
        <v>3.0</v>
      </c>
      <c r="DS61" s="519">
        <v>2.0</v>
      </c>
      <c r="DT61" s="519">
        <v>1.0</v>
      </c>
      <c r="DU61" s="519">
        <v>2.0</v>
      </c>
      <c r="DV61" s="519">
        <v>3.0</v>
      </c>
      <c r="DW61" s="519">
        <v>1.0</v>
      </c>
      <c r="DX61" s="519">
        <v>2.0</v>
      </c>
      <c r="DY61" s="519">
        <v>7.0</v>
      </c>
      <c r="DZ61" s="519">
        <v>1.0</v>
      </c>
      <c r="EA61" s="519">
        <v>1.0</v>
      </c>
      <c r="EB61" s="519">
        <v>6.0</v>
      </c>
      <c r="EC61" s="519">
        <v>3.0</v>
      </c>
      <c r="ED61" s="519">
        <v>1.0</v>
      </c>
      <c r="EE61" s="519">
        <v>1.0</v>
      </c>
      <c r="EF61" s="519">
        <v>1.0</v>
      </c>
      <c r="EG61" s="519">
        <v>1.0</v>
      </c>
      <c r="EH61" s="519">
        <v>2.0</v>
      </c>
      <c r="EI61" s="519">
        <v>2.0</v>
      </c>
      <c r="EJ61" s="519">
        <v>2.0</v>
      </c>
      <c r="EK61" s="519">
        <v>2.0</v>
      </c>
      <c r="EL61" s="519">
        <v>4.0</v>
      </c>
      <c r="EM61" s="519">
        <v>1.0</v>
      </c>
      <c r="EN61" s="519">
        <v>5.0</v>
      </c>
      <c r="EO61" s="519">
        <v>2.0</v>
      </c>
      <c r="EP61" s="519">
        <v>1.0</v>
      </c>
      <c r="EQ61" s="519">
        <v>1.0</v>
      </c>
      <c r="ER61" s="519">
        <v>2.0</v>
      </c>
      <c r="ES61" s="519">
        <v>1.0</v>
      </c>
      <c r="ET61" s="519">
        <v>1.0</v>
      </c>
      <c r="EU61" s="519">
        <v>2.0</v>
      </c>
      <c r="EV61" s="519">
        <v>3.0</v>
      </c>
      <c r="EW61" s="519">
        <v>3.0</v>
      </c>
      <c r="EX61" s="519">
        <v>1.0</v>
      </c>
      <c r="EY61" s="519">
        <v>1.0</v>
      </c>
      <c r="EZ61" s="519">
        <v>1.0</v>
      </c>
      <c r="FA61" s="519">
        <v>1.0</v>
      </c>
      <c r="FB61" s="519">
        <v>3.0</v>
      </c>
      <c r="FC61" s="519">
        <v>3.0</v>
      </c>
      <c r="FD61" s="519">
        <v>2.0</v>
      </c>
      <c r="FE61" s="519">
        <v>1.0</v>
      </c>
      <c r="FF61" s="519">
        <v>2.0</v>
      </c>
      <c r="FG61" s="519">
        <v>2.0</v>
      </c>
      <c r="FH61" s="519">
        <v>3.0</v>
      </c>
      <c r="FI61" s="519">
        <v>1.0</v>
      </c>
      <c r="FJ61" s="519">
        <v>1.0</v>
      </c>
      <c r="FK61" s="519">
        <v>2.0</v>
      </c>
      <c r="FL61" s="519">
        <v>4.0</v>
      </c>
      <c r="FM61" s="519">
        <v>5.0</v>
      </c>
      <c r="FN61" s="519">
        <v>2.0</v>
      </c>
      <c r="FO61" s="519">
        <v>2.0</v>
      </c>
      <c r="FP61" s="519">
        <v>1.0</v>
      </c>
      <c r="FQ61" s="519">
        <v>2.0</v>
      </c>
      <c r="FR61" s="520">
        <v>301.0</v>
      </c>
    </row>
    <row r="62" ht="15.75" customHeight="1" outlineLevel="1">
      <c r="A62" s="411"/>
      <c r="B62" s="484"/>
      <c r="C62" s="484"/>
      <c r="D62" s="484"/>
      <c r="E62" s="484"/>
      <c r="F62" s="484"/>
      <c r="G62" s="484"/>
      <c r="H62" s="484"/>
      <c r="I62" s="484"/>
      <c r="J62" s="484"/>
      <c r="K62" s="484"/>
      <c r="L62" s="484"/>
      <c r="M62" s="484"/>
    </row>
    <row r="63" ht="15.75" customHeight="1" outlineLevel="1">
      <c r="A63" s="411" t="s">
        <v>12435</v>
      </c>
      <c r="B63" s="484"/>
      <c r="C63" s="484"/>
      <c r="D63" s="484"/>
      <c r="E63" s="484"/>
      <c r="F63" s="484"/>
      <c r="G63" s="484"/>
      <c r="H63" s="484"/>
      <c r="I63" s="484"/>
      <c r="J63" s="484"/>
      <c r="K63" s="484"/>
      <c r="L63" s="484"/>
      <c r="M63" s="484"/>
    </row>
    <row r="64" ht="15.75" customHeight="1" outlineLevel="1">
      <c r="C64" s="484"/>
      <c r="D64" s="484"/>
      <c r="E64" s="484"/>
      <c r="F64" s="484" t="s">
        <v>12167</v>
      </c>
      <c r="G64" s="484">
        <v>10.0</v>
      </c>
      <c r="H64" s="484">
        <f>10*2</f>
        <v>20</v>
      </c>
      <c r="I64" s="484"/>
      <c r="J64" s="484"/>
      <c r="K64" s="484"/>
      <c r="L64" s="484"/>
      <c r="M64" s="484"/>
    </row>
    <row r="65" ht="15.75" customHeight="1" outlineLevel="1">
      <c r="C65" s="484"/>
      <c r="D65" s="484"/>
      <c r="E65" s="484"/>
      <c r="F65" s="484" t="s">
        <v>9171</v>
      </c>
      <c r="G65" s="484">
        <v>121.0</v>
      </c>
      <c r="H65" s="484">
        <f>130*2.25</f>
        <v>292.5</v>
      </c>
      <c r="I65" s="484">
        <f>SUM(H64:H66)</f>
        <v>321.5</v>
      </c>
      <c r="J65" s="484"/>
      <c r="K65" s="484"/>
      <c r="L65" s="484"/>
      <c r="M65" s="484"/>
    </row>
    <row r="66" ht="15.75" customHeight="1" outlineLevel="1">
      <c r="C66" s="484"/>
      <c r="D66" s="484"/>
      <c r="E66" s="484"/>
      <c r="F66" s="484" t="s">
        <v>12441</v>
      </c>
      <c r="G66" s="484">
        <v>4.0</v>
      </c>
      <c r="H66" s="484">
        <f>G66*2.25</f>
        <v>9</v>
      </c>
      <c r="I66" s="484"/>
      <c r="J66" s="484"/>
      <c r="K66" s="484"/>
      <c r="L66" s="484"/>
      <c r="M66" s="484"/>
    </row>
    <row r="67" ht="15.75" customHeight="1" outlineLevel="1">
      <c r="C67" s="484"/>
      <c r="D67" s="484"/>
      <c r="E67" s="484"/>
      <c r="F67" s="484"/>
      <c r="G67" s="484"/>
      <c r="H67" s="484"/>
      <c r="I67" s="484"/>
      <c r="J67" s="484"/>
      <c r="K67" s="484"/>
      <c r="L67" s="484"/>
      <c r="M67" s="484"/>
    </row>
    <row r="68" ht="15.75" customHeight="1" outlineLevel="1">
      <c r="C68" s="484"/>
      <c r="D68" s="484"/>
      <c r="E68" s="484"/>
      <c r="F68" s="484"/>
      <c r="G68" s="484"/>
      <c r="H68" s="484"/>
      <c r="I68" s="484"/>
      <c r="J68" s="484"/>
      <c r="K68" s="484"/>
      <c r="L68" s="484"/>
      <c r="M68" s="484"/>
    </row>
    <row r="69" ht="15.75" customHeight="1" outlineLevel="1">
      <c r="C69" s="484"/>
      <c r="D69" s="484"/>
      <c r="E69" s="484"/>
      <c r="F69" s="484"/>
      <c r="G69" s="484"/>
      <c r="H69" s="484"/>
      <c r="I69" s="484"/>
      <c r="J69" s="484"/>
      <c r="K69" s="484"/>
      <c r="L69" s="484"/>
      <c r="M69" s="484"/>
    </row>
    <row r="70" ht="15.75" customHeight="1">
      <c r="B70" s="484"/>
      <c r="C70" s="484"/>
      <c r="D70" s="484"/>
      <c r="E70" s="484"/>
      <c r="F70" s="484"/>
      <c r="G70" s="484"/>
      <c r="H70" s="484"/>
      <c r="I70" s="484"/>
      <c r="J70" s="484"/>
      <c r="K70" s="484"/>
      <c r="L70" s="484"/>
      <c r="M70" s="484"/>
    </row>
    <row r="71" ht="15.75" customHeight="1">
      <c r="B71" s="484"/>
      <c r="C71" s="484"/>
      <c r="D71" s="484"/>
      <c r="E71" s="484"/>
      <c r="F71" s="484"/>
      <c r="G71" s="484"/>
      <c r="H71" s="484"/>
      <c r="I71" s="484"/>
      <c r="J71" s="484"/>
      <c r="K71" s="484"/>
      <c r="L71" s="484"/>
      <c r="M71" s="484"/>
    </row>
    <row r="72" ht="15.75" customHeight="1">
      <c r="A72" s="411"/>
      <c r="B72" s="484"/>
      <c r="C72" s="484"/>
      <c r="D72" s="484"/>
      <c r="E72" s="484"/>
      <c r="F72" s="484"/>
      <c r="G72" s="484"/>
      <c r="H72" s="484"/>
      <c r="I72" s="484"/>
      <c r="J72" s="484"/>
      <c r="K72" s="484"/>
      <c r="L72" s="484"/>
      <c r="M72" s="484"/>
    </row>
    <row r="73" ht="15.75" customHeight="1">
      <c r="A73" s="411"/>
      <c r="B73" s="484"/>
      <c r="C73" s="484"/>
      <c r="D73" s="484"/>
      <c r="E73" s="484"/>
      <c r="F73" s="484"/>
      <c r="G73" s="484"/>
      <c r="H73" s="484"/>
      <c r="I73" s="484"/>
      <c r="J73" s="484"/>
      <c r="K73" s="484"/>
      <c r="L73" s="484"/>
      <c r="M73" s="484"/>
    </row>
    <row r="74" ht="15.75" customHeight="1" collapsed="1">
      <c r="A74" s="622" t="s">
        <v>12442</v>
      </c>
      <c r="B74" s="484"/>
      <c r="C74" s="484"/>
      <c r="D74" s="484"/>
      <c r="E74" s="484"/>
      <c r="F74" s="484"/>
      <c r="G74" s="484"/>
      <c r="H74" s="484"/>
      <c r="I74" s="484"/>
      <c r="J74" s="484"/>
      <c r="K74" s="484"/>
      <c r="L74" s="484"/>
      <c r="M74" s="484"/>
    </row>
    <row r="75" ht="15.75" hidden="1" customHeight="1" outlineLevel="1">
      <c r="A75" s="411" t="s">
        <v>12443</v>
      </c>
      <c r="B75" s="484" t="s">
        <v>12444</v>
      </c>
      <c r="C75" s="484"/>
      <c r="D75" s="484"/>
      <c r="E75" s="484"/>
      <c r="F75" s="484"/>
      <c r="G75" s="484"/>
      <c r="H75" s="484"/>
      <c r="I75" s="484"/>
      <c r="J75" s="484"/>
      <c r="K75" s="484"/>
      <c r="L75" s="484"/>
      <c r="M75" s="484"/>
      <c r="N75" s="411"/>
    </row>
    <row r="76" ht="15.75" hidden="1" customHeight="1" outlineLevel="1">
      <c r="A76" s="411" t="s">
        <v>6313</v>
      </c>
      <c r="B76" s="626" t="s">
        <v>12405</v>
      </c>
      <c r="C76" s="626" t="s">
        <v>12406</v>
      </c>
      <c r="D76" s="626" t="s">
        <v>12407</v>
      </c>
      <c r="E76" s="626" t="s">
        <v>12408</v>
      </c>
      <c r="F76" s="626" t="s">
        <v>12409</v>
      </c>
      <c r="G76" s="626" t="s">
        <v>12410</v>
      </c>
      <c r="H76" s="626" t="s">
        <v>12411</v>
      </c>
      <c r="I76" s="626" t="s">
        <v>12412</v>
      </c>
      <c r="J76" s="626" t="s">
        <v>12413</v>
      </c>
      <c r="K76" s="626" t="s">
        <v>12414</v>
      </c>
      <c r="L76" s="626" t="s">
        <v>5965</v>
      </c>
      <c r="M76" s="626" t="s">
        <v>12415</v>
      </c>
      <c r="N76" s="411" t="s">
        <v>9155</v>
      </c>
    </row>
    <row r="77" ht="15.75" hidden="1" customHeight="1" outlineLevel="1">
      <c r="A77" s="411" t="s">
        <v>25</v>
      </c>
      <c r="B77" s="484">
        <v>1.0</v>
      </c>
      <c r="C77" s="484">
        <v>9.0</v>
      </c>
      <c r="D77" s="484">
        <v>5.0</v>
      </c>
      <c r="E77" s="484">
        <v>2.0</v>
      </c>
      <c r="F77" s="484">
        <v>2.0</v>
      </c>
      <c r="G77" s="484">
        <v>1.0</v>
      </c>
      <c r="H77" s="484">
        <v>3.0</v>
      </c>
      <c r="I77" s="484">
        <v>1.0</v>
      </c>
      <c r="J77" s="484"/>
      <c r="K77" s="484">
        <v>1.0</v>
      </c>
      <c r="L77" s="484"/>
      <c r="M77" s="484">
        <v>1.0</v>
      </c>
      <c r="N77" s="411">
        <v>26.0</v>
      </c>
    </row>
    <row r="78" ht="15.75" hidden="1" customHeight="1" outlineLevel="1">
      <c r="A78" s="411" t="s">
        <v>715</v>
      </c>
      <c r="B78" s="484">
        <v>6.0</v>
      </c>
      <c r="C78" s="484">
        <v>6.0</v>
      </c>
      <c r="D78" s="484">
        <v>4.0</v>
      </c>
      <c r="E78" s="484">
        <v>3.0</v>
      </c>
      <c r="F78" s="484">
        <v>4.0</v>
      </c>
      <c r="G78" s="484">
        <v>6.0</v>
      </c>
      <c r="H78" s="484">
        <v>6.0</v>
      </c>
      <c r="I78" s="484">
        <v>5.0</v>
      </c>
      <c r="J78" s="484">
        <v>8.0</v>
      </c>
      <c r="K78" s="484">
        <v>5.0</v>
      </c>
      <c r="L78" s="484">
        <v>3.0</v>
      </c>
      <c r="M78" s="484"/>
      <c r="N78" s="411">
        <v>56.0</v>
      </c>
    </row>
    <row r="79" ht="15.75" hidden="1" customHeight="1" outlineLevel="1">
      <c r="A79" s="411" t="s">
        <v>6501</v>
      </c>
      <c r="B79" s="484"/>
      <c r="C79" s="484"/>
      <c r="D79" s="484"/>
      <c r="E79" s="484"/>
      <c r="F79" s="484">
        <v>1.0</v>
      </c>
      <c r="G79" s="484"/>
      <c r="H79" s="484">
        <v>1.0</v>
      </c>
      <c r="I79" s="484">
        <v>1.0</v>
      </c>
      <c r="J79" s="484">
        <v>1.0</v>
      </c>
      <c r="K79" s="484"/>
      <c r="L79" s="484"/>
      <c r="M79" s="484"/>
      <c r="N79" s="411">
        <v>4.0</v>
      </c>
    </row>
    <row r="80" ht="15.75" hidden="1" customHeight="1" outlineLevel="1">
      <c r="A80" s="411" t="s">
        <v>21</v>
      </c>
      <c r="B80" s="484">
        <v>1.0</v>
      </c>
      <c r="C80" s="484">
        <v>7.0</v>
      </c>
      <c r="D80" s="484">
        <v>10.0</v>
      </c>
      <c r="E80" s="484">
        <v>3.0</v>
      </c>
      <c r="F80" s="484">
        <v>7.0</v>
      </c>
      <c r="G80" s="484">
        <v>6.0</v>
      </c>
      <c r="H80" s="484">
        <v>5.0</v>
      </c>
      <c r="I80" s="484">
        <v>7.0</v>
      </c>
      <c r="J80" s="484">
        <v>1.0</v>
      </c>
      <c r="K80" s="484">
        <v>2.0</v>
      </c>
      <c r="L80" s="484">
        <v>1.0</v>
      </c>
      <c r="M80" s="484">
        <v>4.0</v>
      </c>
      <c r="N80" s="411">
        <v>54.0</v>
      </c>
    </row>
    <row r="81" ht="15.75" hidden="1" customHeight="1" outlineLevel="1">
      <c r="A81" s="411" t="s">
        <v>9155</v>
      </c>
      <c r="B81" s="484">
        <v>8.0</v>
      </c>
      <c r="C81" s="484">
        <v>22.0</v>
      </c>
      <c r="D81" s="484">
        <v>19.0</v>
      </c>
      <c r="E81" s="484">
        <v>8.0</v>
      </c>
      <c r="F81" s="484">
        <v>14.0</v>
      </c>
      <c r="G81" s="484">
        <v>13.0</v>
      </c>
      <c r="H81" s="484">
        <v>15.0</v>
      </c>
      <c r="I81" s="484">
        <v>14.0</v>
      </c>
      <c r="J81" s="484">
        <v>10.0</v>
      </c>
      <c r="K81" s="484">
        <v>8.0</v>
      </c>
      <c r="L81" s="484">
        <v>4.0</v>
      </c>
      <c r="M81" s="484">
        <v>5.0</v>
      </c>
      <c r="N81" s="411">
        <v>140.0</v>
      </c>
    </row>
    <row r="82" ht="15.75" customHeight="1">
      <c r="B82" s="484"/>
      <c r="C82" s="484"/>
      <c r="D82" s="484"/>
      <c r="E82" s="484"/>
      <c r="F82" s="484"/>
      <c r="G82" s="484"/>
      <c r="H82" s="484"/>
      <c r="I82" s="484"/>
      <c r="J82" s="484"/>
      <c r="K82" s="484"/>
      <c r="L82" s="484"/>
      <c r="M82" s="484"/>
    </row>
    <row r="83" ht="15.75" customHeight="1">
      <c r="B83" s="484"/>
      <c r="C83" s="484"/>
      <c r="D83" s="484"/>
      <c r="E83" s="484"/>
      <c r="F83" s="484"/>
      <c r="G83" s="484"/>
      <c r="H83" s="484"/>
      <c r="I83" s="484"/>
      <c r="J83" s="484"/>
      <c r="K83" s="484"/>
      <c r="L83" s="484"/>
      <c r="M83" s="484"/>
    </row>
    <row r="84" ht="15.75" customHeight="1">
      <c r="B84" s="484"/>
      <c r="C84" s="484"/>
      <c r="D84" s="484"/>
      <c r="E84" s="484"/>
      <c r="F84" s="484"/>
      <c r="G84" s="484"/>
      <c r="H84" s="484"/>
      <c r="I84" s="484"/>
      <c r="J84" s="484"/>
      <c r="K84" s="484"/>
      <c r="L84" s="484"/>
      <c r="M84" s="484"/>
    </row>
    <row r="85" ht="15.75" customHeight="1">
      <c r="B85" s="484"/>
      <c r="C85" s="484"/>
      <c r="D85" s="484"/>
      <c r="E85" s="484"/>
      <c r="F85" s="484"/>
      <c r="G85" s="484"/>
      <c r="H85" s="484"/>
      <c r="I85" s="484"/>
      <c r="J85" s="484"/>
      <c r="K85" s="484"/>
      <c r="L85" s="484"/>
      <c r="M85" s="484"/>
    </row>
    <row r="86" ht="15.75" customHeight="1">
      <c r="B86" s="484"/>
      <c r="C86" s="484"/>
      <c r="D86" s="484"/>
      <c r="E86" s="484"/>
      <c r="F86" s="484"/>
      <c r="G86" s="484"/>
      <c r="H86" s="484"/>
      <c r="I86" s="484"/>
      <c r="J86" s="484"/>
      <c r="K86" s="484"/>
      <c r="L86" s="484"/>
      <c r="M86" s="484"/>
    </row>
    <row r="87" ht="15.75" customHeight="1">
      <c r="B87" s="484"/>
      <c r="C87" s="484"/>
      <c r="D87" s="484"/>
      <c r="E87" s="484"/>
      <c r="F87" s="484"/>
      <c r="G87" s="484"/>
      <c r="H87" s="484"/>
      <c r="I87" s="484"/>
      <c r="J87" s="484"/>
      <c r="K87" s="484"/>
      <c r="L87" s="484"/>
      <c r="M87" s="484"/>
    </row>
    <row r="88" ht="15.75" customHeight="1">
      <c r="A88" s="411" t="s">
        <v>12435</v>
      </c>
      <c r="B88" s="484"/>
      <c r="C88" s="484"/>
      <c r="D88" s="484"/>
      <c r="E88" s="484"/>
      <c r="F88" s="484"/>
      <c r="G88" s="484"/>
      <c r="H88" s="484"/>
      <c r="I88" s="484"/>
      <c r="J88" s="484"/>
      <c r="K88" s="484"/>
      <c r="L88" s="484"/>
      <c r="M88" s="484"/>
    </row>
    <row r="89" ht="15.75" customHeight="1">
      <c r="B89" s="484"/>
      <c r="C89" s="484"/>
      <c r="D89" s="484"/>
      <c r="E89" s="484"/>
      <c r="F89" s="484"/>
      <c r="G89" s="484"/>
      <c r="H89" s="484"/>
      <c r="I89" s="484"/>
      <c r="J89" s="484"/>
      <c r="K89" s="484"/>
      <c r="L89" s="484"/>
      <c r="M89" s="484"/>
    </row>
    <row r="90" ht="15.75" customHeight="1">
      <c r="B90" s="484"/>
      <c r="C90" s="484"/>
      <c r="D90" s="484"/>
      <c r="E90" s="484"/>
      <c r="F90" s="484"/>
      <c r="G90" s="484"/>
      <c r="H90" s="484"/>
      <c r="I90" s="484"/>
      <c r="J90" s="484"/>
      <c r="K90" s="484"/>
      <c r="L90" s="484"/>
      <c r="M90" s="484"/>
    </row>
    <row r="91" ht="15.75" customHeight="1">
      <c r="B91" s="484"/>
      <c r="C91" s="484"/>
      <c r="D91" s="484"/>
      <c r="E91" s="484"/>
      <c r="F91" s="484"/>
      <c r="G91" s="484"/>
      <c r="H91" s="484"/>
      <c r="I91" s="484"/>
      <c r="J91" s="484"/>
      <c r="K91" s="484"/>
      <c r="L91" s="484"/>
      <c r="M91" s="484"/>
    </row>
    <row r="92" ht="15.75" customHeight="1">
      <c r="B92" s="484"/>
      <c r="C92" s="484"/>
      <c r="D92" s="484"/>
      <c r="E92" s="484"/>
      <c r="F92" s="484"/>
      <c r="G92" s="484"/>
      <c r="H92" s="484"/>
      <c r="I92" s="484"/>
      <c r="J92" s="484"/>
      <c r="K92" s="484"/>
      <c r="L92" s="484"/>
      <c r="M92" s="484"/>
    </row>
    <row r="93" ht="15.75" customHeight="1">
      <c r="B93" s="484"/>
      <c r="C93" s="484"/>
      <c r="D93" s="484"/>
      <c r="E93" s="484"/>
      <c r="F93" s="484"/>
      <c r="G93" s="484"/>
      <c r="H93" s="484"/>
      <c r="I93" s="484"/>
      <c r="J93" s="484"/>
      <c r="K93" s="484"/>
      <c r="L93" s="484"/>
      <c r="M93" s="484"/>
    </row>
    <row r="94" ht="15.75" customHeight="1">
      <c r="B94" s="484"/>
      <c r="C94" s="484"/>
      <c r="D94" s="484"/>
      <c r="E94" s="484"/>
      <c r="F94" s="484"/>
      <c r="G94" s="484"/>
      <c r="H94" s="484"/>
      <c r="I94" s="484"/>
      <c r="J94" s="484"/>
      <c r="K94" s="484"/>
      <c r="L94" s="484"/>
      <c r="M94" s="484"/>
    </row>
    <row r="95" ht="15.75" customHeight="1">
      <c r="B95" s="484"/>
      <c r="C95" s="484"/>
      <c r="D95" s="484"/>
      <c r="E95" s="484"/>
      <c r="F95" s="484"/>
      <c r="G95" s="484"/>
      <c r="H95" s="484"/>
      <c r="I95" s="484"/>
      <c r="J95" s="484"/>
      <c r="K95" s="484"/>
      <c r="L95" s="484"/>
      <c r="M95" s="484"/>
    </row>
    <row r="96" ht="15.75" customHeight="1">
      <c r="B96" s="484"/>
      <c r="C96" s="484"/>
      <c r="D96" s="484"/>
      <c r="E96" s="484"/>
      <c r="F96" s="484"/>
      <c r="G96" s="484"/>
      <c r="H96" s="484"/>
      <c r="I96" s="484"/>
      <c r="J96" s="484"/>
      <c r="K96" s="484"/>
      <c r="L96" s="484"/>
      <c r="M96" s="484"/>
    </row>
    <row r="97" ht="15.75" customHeight="1">
      <c r="B97" s="484"/>
      <c r="C97" s="484"/>
      <c r="D97" s="484"/>
      <c r="E97" s="484"/>
      <c r="F97" s="484"/>
      <c r="G97" s="484"/>
      <c r="H97" s="484"/>
      <c r="I97" s="484"/>
      <c r="J97" s="484"/>
      <c r="K97" s="484"/>
      <c r="L97" s="484"/>
      <c r="M97" s="484"/>
    </row>
    <row r="98" ht="15.75" customHeight="1">
      <c r="B98" s="484"/>
      <c r="C98" s="484"/>
      <c r="D98" s="484"/>
      <c r="E98" s="484"/>
      <c r="F98" s="484"/>
      <c r="G98" s="484"/>
      <c r="H98" s="484"/>
      <c r="I98" s="484"/>
      <c r="J98" s="484"/>
      <c r="K98" s="484"/>
      <c r="L98" s="484"/>
      <c r="M98" s="484"/>
    </row>
    <row r="99" ht="15.75" customHeight="1">
      <c r="B99" s="484"/>
      <c r="C99" s="484"/>
      <c r="D99" s="484"/>
      <c r="E99" s="484"/>
      <c r="F99" s="484"/>
      <c r="G99" s="484"/>
      <c r="H99" s="484"/>
      <c r="I99" s="484"/>
      <c r="J99" s="484"/>
      <c r="K99" s="484"/>
      <c r="L99" s="484"/>
      <c r="M99" s="484"/>
    </row>
    <row r="100" ht="15.75" customHeight="1">
      <c r="B100" s="484"/>
      <c r="C100" s="484"/>
      <c r="D100" s="484"/>
      <c r="E100" s="484"/>
      <c r="F100" s="484"/>
      <c r="G100" s="484"/>
      <c r="H100" s="484"/>
      <c r="I100" s="484"/>
      <c r="J100" s="484"/>
      <c r="K100" s="484"/>
      <c r="L100" s="484"/>
      <c r="M100" s="484"/>
    </row>
    <row r="101" ht="15.75" customHeight="1">
      <c r="B101" s="484"/>
      <c r="C101" s="484"/>
      <c r="D101" s="484"/>
      <c r="E101" s="484"/>
      <c r="F101" s="484"/>
      <c r="G101" s="484"/>
      <c r="H101" s="484"/>
      <c r="I101" s="484"/>
      <c r="J101" s="484"/>
      <c r="K101" s="484"/>
      <c r="L101" s="484"/>
      <c r="M101" s="484"/>
    </row>
    <row r="102" ht="15.75" customHeight="1">
      <c r="B102" s="484"/>
      <c r="C102" s="484"/>
      <c r="D102" s="484"/>
      <c r="E102" s="484"/>
      <c r="F102" s="484"/>
      <c r="G102" s="484"/>
      <c r="H102" s="484"/>
      <c r="I102" s="484"/>
      <c r="J102" s="484"/>
      <c r="K102" s="484"/>
      <c r="L102" s="484"/>
      <c r="M102" s="484"/>
    </row>
    <row r="103" ht="15.75" customHeight="1">
      <c r="B103" s="484"/>
      <c r="C103" s="484"/>
      <c r="D103" s="484"/>
      <c r="E103" s="484"/>
      <c r="F103" s="484"/>
      <c r="G103" s="484"/>
      <c r="H103" s="484"/>
      <c r="I103" s="484"/>
      <c r="J103" s="484"/>
      <c r="K103" s="484"/>
      <c r="L103" s="484"/>
      <c r="M103" s="484"/>
    </row>
    <row r="104" ht="15.75" customHeight="1">
      <c r="B104" s="484"/>
      <c r="C104" s="484"/>
      <c r="D104" s="484"/>
      <c r="E104" s="484"/>
      <c r="F104" s="484"/>
      <c r="G104" s="484"/>
      <c r="H104" s="484"/>
      <c r="I104" s="484"/>
      <c r="J104" s="484"/>
      <c r="K104" s="484"/>
      <c r="L104" s="484"/>
      <c r="M104" s="484"/>
    </row>
    <row r="105" ht="15.75" customHeight="1">
      <c r="B105" s="484"/>
      <c r="C105" s="484"/>
      <c r="D105" s="484"/>
      <c r="E105" s="484"/>
      <c r="F105" s="484"/>
      <c r="G105" s="484"/>
      <c r="H105" s="484"/>
      <c r="I105" s="484"/>
      <c r="J105" s="484"/>
      <c r="K105" s="484"/>
      <c r="L105" s="484"/>
      <c r="M105" s="484"/>
    </row>
    <row r="106" ht="15.75" customHeight="1">
      <c r="B106" s="484"/>
      <c r="C106" s="484"/>
      <c r="D106" s="484"/>
      <c r="E106" s="484"/>
      <c r="F106" s="484"/>
      <c r="G106" s="484"/>
      <c r="H106" s="484"/>
      <c r="I106" s="484"/>
      <c r="J106" s="484"/>
      <c r="K106" s="484"/>
      <c r="L106" s="484"/>
      <c r="M106" s="484"/>
    </row>
    <row r="107" ht="15.75" customHeight="1">
      <c r="B107" s="484"/>
      <c r="C107" s="484"/>
      <c r="D107" s="484"/>
      <c r="E107" s="484"/>
      <c r="F107" s="484"/>
      <c r="G107" s="484"/>
      <c r="H107" s="484"/>
      <c r="I107" s="484"/>
      <c r="J107" s="484"/>
      <c r="K107" s="484"/>
      <c r="L107" s="484"/>
      <c r="M107" s="484"/>
    </row>
    <row r="108" ht="15.75" customHeight="1">
      <c r="B108" s="484"/>
      <c r="C108" s="484"/>
      <c r="D108" s="484"/>
      <c r="E108" s="484"/>
      <c r="F108" s="484"/>
      <c r="G108" s="484"/>
      <c r="H108" s="484"/>
      <c r="I108" s="484"/>
      <c r="J108" s="484"/>
      <c r="K108" s="484"/>
      <c r="L108" s="484"/>
      <c r="M108" s="484"/>
    </row>
    <row r="109" ht="15.75" customHeight="1">
      <c r="B109" s="484"/>
      <c r="C109" s="484"/>
      <c r="D109" s="484"/>
      <c r="E109" s="484"/>
      <c r="F109" s="484"/>
      <c r="G109" s="484"/>
      <c r="H109" s="484"/>
      <c r="I109" s="484"/>
      <c r="J109" s="484"/>
      <c r="K109" s="484"/>
      <c r="L109" s="484"/>
      <c r="M109" s="484"/>
    </row>
    <row r="110" ht="15.75" customHeight="1">
      <c r="B110" s="484"/>
      <c r="C110" s="484"/>
      <c r="D110" s="484"/>
      <c r="E110" s="484"/>
      <c r="F110" s="484"/>
      <c r="G110" s="484"/>
      <c r="H110" s="484"/>
      <c r="I110" s="484"/>
      <c r="J110" s="484"/>
      <c r="K110" s="484"/>
      <c r="L110" s="484"/>
      <c r="M110" s="484"/>
    </row>
    <row r="111" ht="15.75" customHeight="1">
      <c r="B111" s="484"/>
      <c r="C111" s="484"/>
      <c r="D111" s="484"/>
      <c r="E111" s="484"/>
      <c r="F111" s="484"/>
      <c r="G111" s="484"/>
      <c r="H111" s="484"/>
      <c r="I111" s="484"/>
      <c r="J111" s="484"/>
      <c r="K111" s="484"/>
      <c r="L111" s="484"/>
      <c r="M111" s="484"/>
    </row>
    <row r="112" ht="15.75" customHeight="1">
      <c r="B112" s="484"/>
      <c r="C112" s="484"/>
      <c r="D112" s="484"/>
      <c r="E112" s="484"/>
      <c r="F112" s="484"/>
      <c r="G112" s="484"/>
      <c r="H112" s="484"/>
      <c r="I112" s="484"/>
      <c r="J112" s="484"/>
      <c r="K112" s="484"/>
      <c r="L112" s="484"/>
      <c r="M112" s="484"/>
    </row>
    <row r="113" ht="15.75" customHeight="1">
      <c r="B113" s="484"/>
      <c r="C113" s="484"/>
      <c r="D113" s="484"/>
      <c r="E113" s="484"/>
      <c r="F113" s="484"/>
      <c r="G113" s="484"/>
      <c r="H113" s="484"/>
      <c r="I113" s="484"/>
      <c r="J113" s="484"/>
      <c r="K113" s="484"/>
      <c r="L113" s="484"/>
      <c r="M113" s="484"/>
    </row>
    <row r="114" ht="15.75" customHeight="1">
      <c r="B114" s="484"/>
      <c r="C114" s="484"/>
      <c r="D114" s="484"/>
      <c r="E114" s="484"/>
      <c r="F114" s="484"/>
      <c r="G114" s="484"/>
      <c r="H114" s="484"/>
      <c r="I114" s="484"/>
      <c r="J114" s="484"/>
      <c r="K114" s="484"/>
      <c r="L114" s="484"/>
      <c r="M114" s="484"/>
    </row>
    <row r="115" ht="15.75" customHeight="1">
      <c r="B115" s="484"/>
      <c r="C115" s="484"/>
      <c r="D115" s="484"/>
      <c r="E115" s="484"/>
      <c r="F115" s="484"/>
      <c r="G115" s="484"/>
      <c r="H115" s="484"/>
      <c r="I115" s="484"/>
      <c r="J115" s="484"/>
      <c r="K115" s="484"/>
      <c r="L115" s="484"/>
      <c r="M115" s="484"/>
    </row>
    <row r="116" ht="15.75" customHeight="1">
      <c r="B116" s="484"/>
      <c r="C116" s="484"/>
      <c r="D116" s="484"/>
      <c r="E116" s="484"/>
      <c r="F116" s="484"/>
      <c r="G116" s="484"/>
      <c r="H116" s="484"/>
      <c r="I116" s="484"/>
      <c r="J116" s="484"/>
      <c r="K116" s="484"/>
      <c r="L116" s="484"/>
      <c r="M116" s="484"/>
    </row>
    <row r="117" ht="15.75" customHeight="1">
      <c r="B117" s="484"/>
      <c r="C117" s="484"/>
      <c r="D117" s="484"/>
      <c r="E117" s="484"/>
      <c r="F117" s="484"/>
      <c r="G117" s="484"/>
      <c r="H117" s="484"/>
      <c r="I117" s="484"/>
      <c r="J117" s="484"/>
      <c r="K117" s="484"/>
      <c r="L117" s="484"/>
      <c r="M117" s="484"/>
    </row>
    <row r="118" ht="15.75" customHeight="1">
      <c r="B118" s="484"/>
      <c r="C118" s="484"/>
      <c r="D118" s="484"/>
      <c r="E118" s="484"/>
      <c r="F118" s="484"/>
      <c r="G118" s="484"/>
      <c r="H118" s="484"/>
      <c r="I118" s="484"/>
      <c r="J118" s="484"/>
      <c r="K118" s="484"/>
      <c r="L118" s="484"/>
      <c r="M118" s="484"/>
    </row>
    <row r="119" ht="15.75" customHeight="1">
      <c r="B119" s="484"/>
      <c r="C119" s="484"/>
      <c r="D119" s="484"/>
      <c r="E119" s="484"/>
      <c r="F119" s="484"/>
      <c r="G119" s="484"/>
      <c r="H119" s="484"/>
      <c r="I119" s="484"/>
      <c r="J119" s="484"/>
      <c r="K119" s="484"/>
      <c r="L119" s="484"/>
      <c r="M119" s="484"/>
    </row>
    <row r="120" ht="15.75" customHeight="1">
      <c r="B120" s="484"/>
      <c r="C120" s="484"/>
      <c r="D120" s="484"/>
      <c r="E120" s="484"/>
      <c r="F120" s="484"/>
      <c r="G120" s="484"/>
      <c r="H120" s="484"/>
      <c r="I120" s="484"/>
      <c r="J120" s="484"/>
      <c r="K120" s="484"/>
      <c r="L120" s="484"/>
      <c r="M120" s="484"/>
    </row>
    <row r="121" ht="15.75" customHeight="1">
      <c r="B121" s="484"/>
      <c r="C121" s="484"/>
      <c r="D121" s="484"/>
      <c r="E121" s="484"/>
      <c r="F121" s="484"/>
      <c r="G121" s="484"/>
      <c r="H121" s="484"/>
      <c r="I121" s="484"/>
      <c r="J121" s="484"/>
      <c r="K121" s="484"/>
      <c r="L121" s="484"/>
      <c r="M121" s="484"/>
    </row>
    <row r="122" ht="15.75" customHeight="1">
      <c r="B122" s="484"/>
      <c r="C122" s="484"/>
      <c r="D122" s="484"/>
      <c r="E122" s="484"/>
      <c r="F122" s="484"/>
      <c r="G122" s="484"/>
      <c r="H122" s="484"/>
      <c r="I122" s="484"/>
      <c r="J122" s="484"/>
      <c r="K122" s="484"/>
      <c r="L122" s="484"/>
      <c r="M122" s="484"/>
    </row>
    <row r="123" ht="15.75" customHeight="1">
      <c r="B123" s="484"/>
      <c r="C123" s="484"/>
      <c r="D123" s="484"/>
      <c r="E123" s="484"/>
      <c r="F123" s="484"/>
      <c r="G123" s="484"/>
      <c r="H123" s="484"/>
      <c r="I123" s="484"/>
      <c r="J123" s="484"/>
      <c r="K123" s="484"/>
      <c r="L123" s="484"/>
      <c r="M123" s="484"/>
    </row>
    <row r="124" ht="15.75" customHeight="1">
      <c r="B124" s="484"/>
      <c r="C124" s="484"/>
      <c r="D124" s="484"/>
      <c r="E124" s="484"/>
      <c r="F124" s="484"/>
      <c r="G124" s="484"/>
      <c r="H124" s="484"/>
      <c r="I124" s="484"/>
      <c r="J124" s="484"/>
      <c r="K124" s="484"/>
      <c r="L124" s="484"/>
      <c r="M124" s="484"/>
    </row>
    <row r="125" ht="15.75" customHeight="1">
      <c r="B125" s="484"/>
      <c r="C125" s="484"/>
      <c r="D125" s="484"/>
      <c r="E125" s="484"/>
      <c r="F125" s="484"/>
      <c r="G125" s="484"/>
      <c r="H125" s="484"/>
      <c r="I125" s="484"/>
      <c r="J125" s="484"/>
      <c r="K125" s="484"/>
      <c r="L125" s="484"/>
      <c r="M125" s="484"/>
    </row>
    <row r="126" ht="15.75" customHeight="1">
      <c r="B126" s="484"/>
      <c r="C126" s="484"/>
      <c r="D126" s="484"/>
      <c r="E126" s="484"/>
      <c r="F126" s="484"/>
      <c r="G126" s="484"/>
      <c r="H126" s="484"/>
      <c r="I126" s="484"/>
      <c r="J126" s="484"/>
      <c r="K126" s="484"/>
      <c r="L126" s="484"/>
      <c r="M126" s="484"/>
    </row>
    <row r="127" ht="15.75" customHeight="1">
      <c r="B127" s="484"/>
      <c r="C127" s="484"/>
      <c r="D127" s="484"/>
      <c r="E127" s="484"/>
      <c r="F127" s="484"/>
      <c r="G127" s="484"/>
      <c r="H127" s="484"/>
      <c r="I127" s="484"/>
      <c r="J127" s="484"/>
      <c r="K127" s="484"/>
      <c r="L127" s="484"/>
      <c r="M127" s="484"/>
    </row>
    <row r="128" ht="15.75" customHeight="1">
      <c r="B128" s="484"/>
      <c r="C128" s="484"/>
      <c r="D128" s="484"/>
      <c r="E128" s="484"/>
      <c r="F128" s="484"/>
      <c r="G128" s="484"/>
      <c r="H128" s="484"/>
      <c r="I128" s="484"/>
      <c r="J128" s="484"/>
      <c r="K128" s="484"/>
      <c r="L128" s="484"/>
      <c r="M128" s="484"/>
    </row>
    <row r="129" ht="15.75" customHeight="1">
      <c r="B129" s="484"/>
      <c r="C129" s="484"/>
      <c r="D129" s="484"/>
      <c r="E129" s="484"/>
      <c r="F129" s="484"/>
      <c r="G129" s="484"/>
      <c r="H129" s="484"/>
      <c r="I129" s="484"/>
      <c r="J129" s="484"/>
      <c r="K129" s="484"/>
      <c r="L129" s="484"/>
      <c r="M129" s="484"/>
    </row>
    <row r="130" ht="15.75" customHeight="1">
      <c r="B130" s="484"/>
      <c r="C130" s="484"/>
      <c r="D130" s="484"/>
      <c r="E130" s="484"/>
      <c r="F130" s="484"/>
      <c r="G130" s="484"/>
      <c r="H130" s="484"/>
      <c r="I130" s="484"/>
      <c r="J130" s="484"/>
      <c r="K130" s="484"/>
      <c r="L130" s="484"/>
      <c r="M130" s="484"/>
    </row>
    <row r="131" ht="15.75" customHeight="1">
      <c r="B131" s="484"/>
      <c r="C131" s="484"/>
      <c r="D131" s="484"/>
      <c r="E131" s="484"/>
      <c r="F131" s="484"/>
      <c r="G131" s="484"/>
      <c r="H131" s="484"/>
      <c r="I131" s="484"/>
      <c r="J131" s="484"/>
      <c r="K131" s="484"/>
      <c r="L131" s="484"/>
      <c r="M131" s="484"/>
    </row>
    <row r="132" ht="15.75" customHeight="1">
      <c r="B132" s="484"/>
      <c r="C132" s="484"/>
      <c r="D132" s="484"/>
      <c r="E132" s="484"/>
      <c r="F132" s="484"/>
      <c r="G132" s="484"/>
      <c r="H132" s="484"/>
      <c r="I132" s="484"/>
      <c r="J132" s="484"/>
      <c r="K132" s="484"/>
      <c r="L132" s="484"/>
      <c r="M132" s="484"/>
    </row>
    <row r="133" ht="15.75" customHeight="1">
      <c r="B133" s="484"/>
      <c r="C133" s="484"/>
      <c r="D133" s="484"/>
      <c r="E133" s="484"/>
      <c r="F133" s="484"/>
      <c r="G133" s="484"/>
      <c r="H133" s="484"/>
      <c r="I133" s="484"/>
      <c r="J133" s="484"/>
      <c r="K133" s="484"/>
      <c r="L133" s="484"/>
      <c r="M133" s="484"/>
    </row>
    <row r="134" ht="15.75" customHeight="1">
      <c r="B134" s="484"/>
      <c r="C134" s="484"/>
      <c r="D134" s="484"/>
      <c r="E134" s="484"/>
      <c r="F134" s="484"/>
      <c r="G134" s="484"/>
      <c r="H134" s="484"/>
      <c r="I134" s="484"/>
      <c r="J134" s="484"/>
      <c r="K134" s="484"/>
      <c r="L134" s="484"/>
      <c r="M134" s="484"/>
    </row>
    <row r="135" ht="15.75" customHeight="1">
      <c r="B135" s="484"/>
      <c r="C135" s="484"/>
      <c r="D135" s="484"/>
      <c r="E135" s="484"/>
      <c r="F135" s="484"/>
      <c r="G135" s="484"/>
      <c r="H135" s="484"/>
      <c r="I135" s="484"/>
      <c r="J135" s="484"/>
      <c r="K135" s="484"/>
      <c r="L135" s="484"/>
      <c r="M135" s="484"/>
    </row>
    <row r="136" ht="15.75" customHeight="1">
      <c r="B136" s="484"/>
      <c r="C136" s="484"/>
      <c r="D136" s="484"/>
      <c r="E136" s="484"/>
      <c r="F136" s="484"/>
      <c r="G136" s="484"/>
      <c r="H136" s="484"/>
      <c r="I136" s="484"/>
      <c r="J136" s="484"/>
      <c r="K136" s="484"/>
      <c r="L136" s="484"/>
      <c r="M136" s="484"/>
    </row>
    <row r="137" ht="15.75" customHeight="1">
      <c r="B137" s="484"/>
      <c r="C137" s="484"/>
      <c r="D137" s="484"/>
      <c r="E137" s="484"/>
      <c r="F137" s="484"/>
      <c r="G137" s="484"/>
      <c r="H137" s="484"/>
      <c r="I137" s="484"/>
      <c r="J137" s="484"/>
      <c r="K137" s="484"/>
      <c r="L137" s="484"/>
      <c r="M137" s="484"/>
    </row>
    <row r="138" ht="15.75" customHeight="1">
      <c r="B138" s="484"/>
      <c r="C138" s="484"/>
      <c r="D138" s="484"/>
      <c r="E138" s="484"/>
      <c r="F138" s="484"/>
      <c r="G138" s="484"/>
      <c r="H138" s="484"/>
      <c r="I138" s="484"/>
      <c r="J138" s="484"/>
      <c r="K138" s="484"/>
      <c r="L138" s="484"/>
      <c r="M138" s="484"/>
    </row>
    <row r="139" ht="15.75" customHeight="1">
      <c r="B139" s="484"/>
      <c r="C139" s="484"/>
      <c r="D139" s="484"/>
      <c r="E139" s="484"/>
      <c r="F139" s="484"/>
      <c r="G139" s="484"/>
      <c r="H139" s="484"/>
      <c r="I139" s="484"/>
      <c r="J139" s="484"/>
      <c r="K139" s="484"/>
      <c r="L139" s="484"/>
      <c r="M139" s="484"/>
    </row>
    <row r="140" ht="15.75" customHeight="1">
      <c r="B140" s="484"/>
      <c r="C140" s="484"/>
      <c r="D140" s="484"/>
      <c r="E140" s="484"/>
      <c r="F140" s="484"/>
      <c r="G140" s="484"/>
      <c r="H140" s="484"/>
      <c r="I140" s="484"/>
      <c r="J140" s="484"/>
      <c r="K140" s="484"/>
      <c r="L140" s="484"/>
      <c r="M140" s="484"/>
    </row>
    <row r="141" ht="15.75" customHeight="1">
      <c r="B141" s="484"/>
      <c r="C141" s="484"/>
      <c r="D141" s="484"/>
      <c r="E141" s="484"/>
      <c r="F141" s="484"/>
      <c r="G141" s="484"/>
      <c r="H141" s="484"/>
      <c r="I141" s="484"/>
      <c r="J141" s="484"/>
      <c r="K141" s="484"/>
      <c r="L141" s="484"/>
      <c r="M141" s="484"/>
    </row>
    <row r="142" ht="15.75" customHeight="1">
      <c r="B142" s="484"/>
      <c r="C142" s="484"/>
      <c r="D142" s="484"/>
      <c r="E142" s="484"/>
      <c r="F142" s="484"/>
      <c r="G142" s="484"/>
      <c r="H142" s="484"/>
      <c r="I142" s="484"/>
      <c r="J142" s="484"/>
      <c r="K142" s="484"/>
      <c r="L142" s="484"/>
      <c r="M142" s="484"/>
    </row>
    <row r="143" ht="15.75" customHeight="1">
      <c r="B143" s="484"/>
      <c r="C143" s="484"/>
      <c r="D143" s="484"/>
      <c r="E143" s="484"/>
      <c r="F143" s="484"/>
      <c r="G143" s="484"/>
      <c r="H143" s="484"/>
      <c r="I143" s="484"/>
      <c r="J143" s="484"/>
      <c r="K143" s="484"/>
      <c r="L143" s="484"/>
      <c r="M143" s="484"/>
    </row>
    <row r="144" ht="15.75" customHeight="1">
      <c r="B144" s="484"/>
      <c r="C144" s="484"/>
      <c r="D144" s="484"/>
      <c r="E144" s="484"/>
      <c r="F144" s="484"/>
      <c r="G144" s="484"/>
      <c r="H144" s="484"/>
      <c r="I144" s="484"/>
      <c r="J144" s="484"/>
      <c r="K144" s="484"/>
      <c r="L144" s="484"/>
      <c r="M144" s="484"/>
    </row>
    <row r="145" ht="15.75" customHeight="1">
      <c r="B145" s="484"/>
      <c r="C145" s="484"/>
      <c r="D145" s="484"/>
      <c r="E145" s="484"/>
      <c r="F145" s="484"/>
      <c r="G145" s="484"/>
      <c r="H145" s="484"/>
      <c r="I145" s="484"/>
      <c r="J145" s="484"/>
      <c r="K145" s="484"/>
      <c r="L145" s="484"/>
      <c r="M145" s="484"/>
    </row>
    <row r="146" ht="15.75" customHeight="1">
      <c r="B146" s="484"/>
      <c r="C146" s="484"/>
      <c r="D146" s="484"/>
      <c r="E146" s="484"/>
      <c r="F146" s="484"/>
      <c r="G146" s="484"/>
      <c r="H146" s="484"/>
      <c r="I146" s="484"/>
      <c r="J146" s="484"/>
      <c r="K146" s="484"/>
      <c r="L146" s="484"/>
      <c r="M146" s="484"/>
    </row>
    <row r="147" ht="15.75" customHeight="1">
      <c r="B147" s="484"/>
      <c r="C147" s="484"/>
      <c r="D147" s="484"/>
      <c r="E147" s="484"/>
      <c r="F147" s="484"/>
      <c r="G147" s="484"/>
      <c r="H147" s="484"/>
      <c r="I147" s="484"/>
      <c r="J147" s="484"/>
      <c r="K147" s="484"/>
      <c r="L147" s="484"/>
      <c r="M147" s="484"/>
    </row>
    <row r="148" ht="15.75" customHeight="1">
      <c r="B148" s="484"/>
      <c r="C148" s="484"/>
      <c r="D148" s="484"/>
      <c r="E148" s="484"/>
      <c r="F148" s="484"/>
      <c r="G148" s="484"/>
      <c r="H148" s="484"/>
      <c r="I148" s="484"/>
      <c r="J148" s="484"/>
      <c r="K148" s="484"/>
      <c r="L148" s="484"/>
      <c r="M148" s="484"/>
    </row>
    <row r="149" ht="15.75" customHeight="1">
      <c r="B149" s="484"/>
      <c r="C149" s="484"/>
      <c r="D149" s="484"/>
      <c r="E149" s="484"/>
      <c r="F149" s="484"/>
      <c r="G149" s="484"/>
      <c r="H149" s="484"/>
      <c r="I149" s="484"/>
      <c r="J149" s="484"/>
      <c r="K149" s="484"/>
      <c r="L149" s="484"/>
      <c r="M149" s="484"/>
    </row>
    <row r="150" ht="15.75" customHeight="1">
      <c r="B150" s="484"/>
      <c r="C150" s="484"/>
      <c r="D150" s="484"/>
      <c r="E150" s="484"/>
      <c r="F150" s="484"/>
      <c r="G150" s="484"/>
      <c r="H150" s="484"/>
      <c r="I150" s="484"/>
      <c r="J150" s="484"/>
      <c r="K150" s="484"/>
      <c r="L150" s="484"/>
      <c r="M150" s="484"/>
    </row>
    <row r="151" ht="15.75" customHeight="1">
      <c r="B151" s="484"/>
      <c r="C151" s="484"/>
      <c r="D151" s="484"/>
      <c r="E151" s="484"/>
      <c r="F151" s="484"/>
      <c r="G151" s="484"/>
      <c r="H151" s="484"/>
      <c r="I151" s="484"/>
      <c r="J151" s="484"/>
      <c r="K151" s="484"/>
      <c r="L151" s="484"/>
      <c r="M151" s="484"/>
    </row>
    <row r="152" ht="15.75" customHeight="1">
      <c r="B152" s="484"/>
      <c r="C152" s="484"/>
      <c r="D152" s="484"/>
      <c r="E152" s="484"/>
      <c r="F152" s="484"/>
      <c r="G152" s="484"/>
      <c r="H152" s="484"/>
      <c r="I152" s="484"/>
      <c r="J152" s="484"/>
      <c r="K152" s="484"/>
      <c r="L152" s="484"/>
      <c r="M152" s="484"/>
    </row>
    <row r="153" ht="15.75" customHeight="1">
      <c r="B153" s="484"/>
      <c r="C153" s="484"/>
      <c r="D153" s="484"/>
      <c r="E153" s="484"/>
      <c r="F153" s="484"/>
      <c r="G153" s="484"/>
      <c r="H153" s="484"/>
      <c r="I153" s="484"/>
      <c r="J153" s="484"/>
      <c r="K153" s="484"/>
      <c r="L153" s="484"/>
      <c r="M153" s="484"/>
    </row>
    <row r="154" ht="15.75" customHeight="1">
      <c r="B154" s="484"/>
      <c r="C154" s="484"/>
      <c r="D154" s="484"/>
      <c r="E154" s="484"/>
      <c r="F154" s="484"/>
      <c r="G154" s="484"/>
      <c r="H154" s="484"/>
      <c r="I154" s="484"/>
      <c r="J154" s="484"/>
      <c r="K154" s="484"/>
      <c r="L154" s="484"/>
      <c r="M154" s="484"/>
    </row>
    <row r="155" ht="15.75" customHeight="1">
      <c r="B155" s="484"/>
      <c r="C155" s="484"/>
      <c r="D155" s="484"/>
      <c r="E155" s="484"/>
      <c r="F155" s="484"/>
      <c r="G155" s="484"/>
      <c r="H155" s="484"/>
      <c r="I155" s="484"/>
      <c r="J155" s="484"/>
      <c r="K155" s="484"/>
      <c r="L155" s="484"/>
      <c r="M155" s="484"/>
    </row>
    <row r="156" ht="15.75" customHeight="1">
      <c r="B156" s="484"/>
      <c r="C156" s="484"/>
      <c r="D156" s="484"/>
      <c r="E156" s="484"/>
      <c r="F156" s="484"/>
      <c r="G156" s="484"/>
      <c r="H156" s="484"/>
      <c r="I156" s="484"/>
      <c r="J156" s="484"/>
      <c r="K156" s="484"/>
      <c r="L156" s="484"/>
      <c r="M156" s="484"/>
    </row>
    <row r="157" ht="15.75" customHeight="1">
      <c r="B157" s="484"/>
      <c r="C157" s="484"/>
      <c r="D157" s="484"/>
      <c r="E157" s="484"/>
      <c r="F157" s="484"/>
      <c r="G157" s="484"/>
      <c r="H157" s="484"/>
      <c r="I157" s="484"/>
      <c r="J157" s="484"/>
      <c r="K157" s="484"/>
      <c r="L157" s="484"/>
      <c r="M157" s="484"/>
    </row>
    <row r="158" ht="15.75" customHeight="1">
      <c r="B158" s="484"/>
      <c r="C158" s="484"/>
      <c r="D158" s="484"/>
      <c r="E158" s="484"/>
      <c r="F158" s="484"/>
      <c r="G158" s="484"/>
      <c r="H158" s="484"/>
      <c r="I158" s="484"/>
      <c r="J158" s="484"/>
      <c r="K158" s="484"/>
      <c r="L158" s="484"/>
      <c r="M158" s="484"/>
    </row>
    <row r="159" ht="15.75" customHeight="1">
      <c r="B159" s="484"/>
      <c r="C159" s="484"/>
      <c r="D159" s="484"/>
      <c r="E159" s="484"/>
      <c r="F159" s="484"/>
      <c r="G159" s="484"/>
      <c r="H159" s="484"/>
      <c r="I159" s="484"/>
      <c r="J159" s="484"/>
      <c r="K159" s="484"/>
      <c r="L159" s="484"/>
      <c r="M159" s="484"/>
    </row>
    <row r="160" ht="15.75" customHeight="1">
      <c r="B160" s="484"/>
      <c r="C160" s="484"/>
      <c r="D160" s="484"/>
      <c r="E160" s="484"/>
      <c r="F160" s="484"/>
      <c r="G160" s="484"/>
      <c r="H160" s="484"/>
      <c r="I160" s="484"/>
      <c r="J160" s="484"/>
      <c r="K160" s="484"/>
      <c r="L160" s="484"/>
      <c r="M160" s="484"/>
    </row>
    <row r="161" ht="15.75" customHeight="1">
      <c r="B161" s="484"/>
      <c r="C161" s="484"/>
      <c r="D161" s="484"/>
      <c r="E161" s="484"/>
      <c r="F161" s="484"/>
      <c r="G161" s="484"/>
      <c r="H161" s="484"/>
      <c r="I161" s="484"/>
      <c r="J161" s="484"/>
      <c r="K161" s="484"/>
      <c r="L161" s="484"/>
      <c r="M161" s="484"/>
    </row>
    <row r="162" ht="15.75" customHeight="1">
      <c r="B162" s="484"/>
      <c r="C162" s="484"/>
      <c r="D162" s="484"/>
      <c r="E162" s="484"/>
      <c r="F162" s="484"/>
      <c r="G162" s="484"/>
      <c r="H162" s="484"/>
      <c r="I162" s="484"/>
      <c r="J162" s="484"/>
      <c r="K162" s="484"/>
      <c r="L162" s="484"/>
      <c r="M162" s="484"/>
    </row>
    <row r="163" ht="15.75" customHeight="1">
      <c r="B163" s="484"/>
      <c r="C163" s="484"/>
      <c r="D163" s="484"/>
      <c r="E163" s="484"/>
      <c r="F163" s="484"/>
      <c r="G163" s="484"/>
      <c r="H163" s="484"/>
      <c r="I163" s="484"/>
      <c r="J163" s="484"/>
      <c r="K163" s="484"/>
      <c r="L163" s="484"/>
      <c r="M163" s="484"/>
    </row>
    <row r="164" ht="15.75" customHeight="1">
      <c r="B164" s="484"/>
      <c r="C164" s="484"/>
      <c r="D164" s="484"/>
      <c r="E164" s="484"/>
      <c r="F164" s="484"/>
      <c r="G164" s="484"/>
      <c r="H164" s="484"/>
      <c r="I164" s="484"/>
      <c r="J164" s="484"/>
      <c r="K164" s="484"/>
      <c r="L164" s="484"/>
      <c r="M164" s="484"/>
    </row>
    <row r="165" ht="15.75" customHeight="1">
      <c r="B165" s="484"/>
      <c r="C165" s="484"/>
      <c r="D165" s="484"/>
      <c r="E165" s="484"/>
      <c r="F165" s="484"/>
      <c r="G165" s="484"/>
      <c r="H165" s="484"/>
      <c r="I165" s="484"/>
      <c r="J165" s="484"/>
      <c r="K165" s="484"/>
      <c r="L165" s="484"/>
      <c r="M165" s="484"/>
    </row>
    <row r="166" ht="15.75" customHeight="1">
      <c r="B166" s="484"/>
      <c r="C166" s="484"/>
      <c r="D166" s="484"/>
      <c r="E166" s="484"/>
      <c r="F166" s="484"/>
      <c r="G166" s="484"/>
      <c r="H166" s="484"/>
      <c r="I166" s="484"/>
      <c r="J166" s="484"/>
      <c r="K166" s="484"/>
      <c r="L166" s="484"/>
      <c r="M166" s="484"/>
    </row>
    <row r="167" ht="15.75" customHeight="1">
      <c r="B167" s="484"/>
      <c r="C167" s="484"/>
      <c r="D167" s="484"/>
      <c r="E167" s="484"/>
      <c r="F167" s="484"/>
      <c r="G167" s="484"/>
      <c r="H167" s="484"/>
      <c r="I167" s="484"/>
      <c r="J167" s="484"/>
      <c r="K167" s="484"/>
      <c r="L167" s="484"/>
      <c r="M167" s="484"/>
    </row>
    <row r="168" ht="15.75" customHeight="1">
      <c r="B168" s="484"/>
      <c r="C168" s="484"/>
      <c r="D168" s="484"/>
      <c r="E168" s="484"/>
      <c r="F168" s="484"/>
      <c r="G168" s="484"/>
      <c r="H168" s="484"/>
      <c r="I168" s="484"/>
      <c r="J168" s="484"/>
      <c r="K168" s="484"/>
      <c r="L168" s="484"/>
      <c r="M168" s="484"/>
    </row>
    <row r="169" ht="15.75" customHeight="1">
      <c r="B169" s="484"/>
      <c r="C169" s="484"/>
      <c r="D169" s="484"/>
      <c r="E169" s="484"/>
      <c r="F169" s="484"/>
      <c r="G169" s="484"/>
      <c r="H169" s="484"/>
      <c r="I169" s="484"/>
      <c r="J169" s="484"/>
      <c r="K169" s="484"/>
      <c r="L169" s="484"/>
      <c r="M169" s="484"/>
    </row>
    <row r="170" ht="15.75" customHeight="1">
      <c r="B170" s="484"/>
      <c r="C170" s="484"/>
      <c r="D170" s="484"/>
      <c r="E170" s="484"/>
      <c r="F170" s="484"/>
      <c r="G170" s="484"/>
      <c r="H170" s="484"/>
      <c r="I170" s="484"/>
      <c r="J170" s="484"/>
      <c r="K170" s="484"/>
      <c r="L170" s="484"/>
      <c r="M170" s="484"/>
    </row>
    <row r="171" ht="15.75" customHeight="1">
      <c r="B171" s="484"/>
      <c r="C171" s="484"/>
      <c r="D171" s="484"/>
      <c r="E171" s="484"/>
      <c r="F171" s="484"/>
      <c r="G171" s="484"/>
      <c r="H171" s="484"/>
      <c r="I171" s="484"/>
      <c r="J171" s="484"/>
      <c r="K171" s="484"/>
      <c r="L171" s="484"/>
      <c r="M171" s="484"/>
    </row>
    <row r="172" ht="15.75" customHeight="1">
      <c r="B172" s="484"/>
      <c r="C172" s="484"/>
      <c r="D172" s="484"/>
      <c r="E172" s="484"/>
      <c r="F172" s="484"/>
      <c r="G172" s="484"/>
      <c r="H172" s="484"/>
      <c r="I172" s="484"/>
      <c r="J172" s="484"/>
      <c r="K172" s="484"/>
      <c r="L172" s="484"/>
      <c r="M172" s="484"/>
    </row>
    <row r="173" ht="15.75" customHeight="1">
      <c r="B173" s="484"/>
      <c r="C173" s="484"/>
      <c r="D173" s="484"/>
      <c r="E173" s="484"/>
      <c r="F173" s="484"/>
      <c r="G173" s="484"/>
      <c r="H173" s="484"/>
      <c r="I173" s="484"/>
      <c r="J173" s="484"/>
      <c r="K173" s="484"/>
      <c r="L173" s="484"/>
      <c r="M173" s="484"/>
    </row>
    <row r="174" ht="15.75" customHeight="1">
      <c r="B174" s="484"/>
      <c r="C174" s="484"/>
      <c r="D174" s="484"/>
      <c r="E174" s="484"/>
      <c r="F174" s="484"/>
      <c r="G174" s="484"/>
      <c r="H174" s="484"/>
      <c r="I174" s="484"/>
      <c r="J174" s="484"/>
      <c r="K174" s="484"/>
      <c r="L174" s="484"/>
      <c r="M174" s="484"/>
    </row>
    <row r="175" ht="15.75" customHeight="1">
      <c r="B175" s="484"/>
      <c r="C175" s="484"/>
      <c r="D175" s="484"/>
      <c r="E175" s="484"/>
      <c r="F175" s="484"/>
      <c r="G175" s="484"/>
      <c r="H175" s="484"/>
      <c r="I175" s="484"/>
      <c r="J175" s="484"/>
      <c r="K175" s="484"/>
      <c r="L175" s="484"/>
      <c r="M175" s="484"/>
    </row>
    <row r="176" ht="15.75" customHeight="1">
      <c r="B176" s="484"/>
      <c r="C176" s="484"/>
      <c r="D176" s="484"/>
      <c r="E176" s="484"/>
      <c r="F176" s="484"/>
      <c r="G176" s="484"/>
      <c r="H176" s="484"/>
      <c r="I176" s="484"/>
      <c r="J176" s="484"/>
      <c r="K176" s="484"/>
      <c r="L176" s="484"/>
      <c r="M176" s="484"/>
    </row>
    <row r="177" ht="15.75" customHeight="1">
      <c r="B177" s="484"/>
      <c r="C177" s="484"/>
      <c r="D177" s="484"/>
      <c r="E177" s="484"/>
      <c r="F177" s="484"/>
      <c r="G177" s="484"/>
      <c r="H177" s="484"/>
      <c r="I177" s="484"/>
      <c r="J177" s="484"/>
      <c r="K177" s="484"/>
      <c r="L177" s="484"/>
      <c r="M177" s="484"/>
    </row>
    <row r="178" ht="15.75" customHeight="1">
      <c r="B178" s="484"/>
      <c r="C178" s="484"/>
      <c r="D178" s="484"/>
      <c r="E178" s="484"/>
      <c r="F178" s="484"/>
      <c r="G178" s="484"/>
      <c r="H178" s="484"/>
      <c r="I178" s="484"/>
      <c r="J178" s="484"/>
      <c r="K178" s="484"/>
      <c r="L178" s="484"/>
      <c r="M178" s="484"/>
    </row>
    <row r="179" ht="15.75" customHeight="1">
      <c r="B179" s="484"/>
      <c r="C179" s="484"/>
      <c r="D179" s="484"/>
      <c r="E179" s="484"/>
      <c r="F179" s="484"/>
      <c r="G179" s="484"/>
      <c r="H179" s="484"/>
      <c r="I179" s="484"/>
      <c r="J179" s="484"/>
      <c r="K179" s="484"/>
      <c r="L179" s="484"/>
      <c r="M179" s="484"/>
    </row>
    <row r="180" ht="15.75" customHeight="1">
      <c r="B180" s="484"/>
      <c r="C180" s="484"/>
      <c r="D180" s="484"/>
      <c r="E180" s="484"/>
      <c r="F180" s="484"/>
      <c r="G180" s="484"/>
      <c r="H180" s="484"/>
      <c r="I180" s="484"/>
      <c r="J180" s="484"/>
      <c r="K180" s="484"/>
      <c r="L180" s="484"/>
      <c r="M180" s="484"/>
    </row>
    <row r="181" ht="15.75" customHeight="1">
      <c r="B181" s="484"/>
      <c r="C181" s="484"/>
      <c r="D181" s="484"/>
      <c r="E181" s="484"/>
      <c r="F181" s="484"/>
      <c r="G181" s="484"/>
      <c r="H181" s="484"/>
      <c r="I181" s="484"/>
      <c r="J181" s="484"/>
      <c r="K181" s="484"/>
      <c r="L181" s="484"/>
      <c r="M181" s="484"/>
    </row>
    <row r="182" ht="15.75" customHeight="1">
      <c r="B182" s="484"/>
      <c r="C182" s="484"/>
      <c r="D182" s="484"/>
      <c r="E182" s="484"/>
      <c r="F182" s="484"/>
      <c r="G182" s="484"/>
      <c r="H182" s="484"/>
      <c r="I182" s="484"/>
      <c r="J182" s="484"/>
      <c r="K182" s="484"/>
      <c r="L182" s="484"/>
      <c r="M182" s="484"/>
    </row>
    <row r="183" ht="15.75" customHeight="1">
      <c r="B183" s="484"/>
      <c r="C183" s="484"/>
      <c r="D183" s="484"/>
      <c r="E183" s="484"/>
      <c r="F183" s="484"/>
      <c r="G183" s="484"/>
      <c r="H183" s="484"/>
      <c r="I183" s="484"/>
      <c r="J183" s="484"/>
      <c r="K183" s="484"/>
      <c r="L183" s="484"/>
      <c r="M183" s="484"/>
    </row>
    <row r="184" ht="15.75" customHeight="1">
      <c r="B184" s="484"/>
      <c r="C184" s="484"/>
      <c r="D184" s="484"/>
      <c r="E184" s="484"/>
      <c r="F184" s="484"/>
      <c r="G184" s="484"/>
      <c r="H184" s="484"/>
      <c r="I184" s="484"/>
      <c r="J184" s="484"/>
      <c r="K184" s="484"/>
      <c r="L184" s="484"/>
      <c r="M184" s="484"/>
    </row>
    <row r="185" ht="15.75" customHeight="1">
      <c r="B185" s="484"/>
      <c r="C185" s="484"/>
      <c r="D185" s="484"/>
      <c r="E185" s="484"/>
      <c r="F185" s="484"/>
      <c r="G185" s="484"/>
      <c r="H185" s="484"/>
      <c r="I185" s="484"/>
      <c r="J185" s="484"/>
      <c r="K185" s="484"/>
      <c r="L185" s="484"/>
      <c r="M185" s="484"/>
    </row>
    <row r="186" ht="15.75" customHeight="1">
      <c r="B186" s="484"/>
      <c r="C186" s="484"/>
      <c r="D186" s="484"/>
      <c r="E186" s="484"/>
      <c r="F186" s="484"/>
      <c r="G186" s="484"/>
      <c r="H186" s="484"/>
      <c r="I186" s="484"/>
      <c r="J186" s="484"/>
      <c r="K186" s="484"/>
      <c r="L186" s="484"/>
      <c r="M186" s="484"/>
    </row>
    <row r="187" ht="15.75" customHeight="1">
      <c r="B187" s="484"/>
      <c r="C187" s="484"/>
      <c r="D187" s="484"/>
      <c r="E187" s="484"/>
      <c r="F187" s="484"/>
      <c r="G187" s="484"/>
      <c r="H187" s="484"/>
      <c r="I187" s="484"/>
      <c r="J187" s="484"/>
      <c r="K187" s="484"/>
      <c r="L187" s="484"/>
      <c r="M187" s="484"/>
    </row>
    <row r="188" ht="15.75" customHeight="1">
      <c r="B188" s="484"/>
      <c r="C188" s="484"/>
      <c r="D188" s="484"/>
      <c r="E188" s="484"/>
      <c r="F188" s="484"/>
      <c r="G188" s="484"/>
      <c r="H188" s="484"/>
      <c r="I188" s="484"/>
      <c r="J188" s="484"/>
      <c r="K188" s="484"/>
      <c r="L188" s="484"/>
      <c r="M188" s="484"/>
    </row>
    <row r="189" ht="15.75" customHeight="1">
      <c r="B189" s="484"/>
      <c r="C189" s="484"/>
      <c r="D189" s="484"/>
      <c r="E189" s="484"/>
      <c r="F189" s="484"/>
      <c r="G189" s="484"/>
      <c r="H189" s="484"/>
      <c r="I189" s="484"/>
      <c r="J189" s="484"/>
      <c r="K189" s="484"/>
      <c r="L189" s="484"/>
      <c r="M189" s="484"/>
    </row>
    <row r="190" ht="15.75" customHeight="1">
      <c r="B190" s="484"/>
      <c r="C190" s="484"/>
      <c r="D190" s="484"/>
      <c r="E190" s="484"/>
      <c r="F190" s="484"/>
      <c r="G190" s="484"/>
      <c r="H190" s="484"/>
      <c r="I190" s="484"/>
      <c r="J190" s="484"/>
      <c r="K190" s="484"/>
      <c r="L190" s="484"/>
      <c r="M190" s="484"/>
    </row>
    <row r="191" ht="15.75" customHeight="1">
      <c r="B191" s="484"/>
      <c r="C191" s="484"/>
      <c r="D191" s="484"/>
      <c r="E191" s="484"/>
      <c r="F191" s="484"/>
      <c r="G191" s="484"/>
      <c r="H191" s="484"/>
      <c r="I191" s="484"/>
      <c r="J191" s="484"/>
      <c r="K191" s="484"/>
      <c r="L191" s="484"/>
      <c r="M191" s="484"/>
    </row>
    <row r="192" ht="15.75" customHeight="1">
      <c r="B192" s="484"/>
      <c r="C192" s="484"/>
      <c r="D192" s="484"/>
      <c r="E192" s="484"/>
      <c r="F192" s="484"/>
      <c r="G192" s="484"/>
      <c r="H192" s="484"/>
      <c r="I192" s="484"/>
      <c r="J192" s="484"/>
      <c r="K192" s="484"/>
      <c r="L192" s="484"/>
      <c r="M192" s="484"/>
    </row>
    <row r="193" ht="15.75" customHeight="1">
      <c r="B193" s="484"/>
      <c r="C193" s="484"/>
      <c r="D193" s="484"/>
      <c r="E193" s="484"/>
      <c r="F193" s="484"/>
      <c r="G193" s="484"/>
      <c r="H193" s="484"/>
      <c r="I193" s="484"/>
      <c r="J193" s="484"/>
      <c r="K193" s="484"/>
      <c r="L193" s="484"/>
      <c r="M193" s="484"/>
    </row>
    <row r="194" ht="15.75" customHeight="1">
      <c r="B194" s="484"/>
      <c r="C194" s="484"/>
      <c r="D194" s="484"/>
      <c r="E194" s="484"/>
      <c r="F194" s="484"/>
      <c r="G194" s="484"/>
      <c r="H194" s="484"/>
      <c r="I194" s="484"/>
      <c r="J194" s="484"/>
      <c r="K194" s="484"/>
      <c r="L194" s="484"/>
      <c r="M194" s="484"/>
    </row>
    <row r="195" ht="15.75" customHeight="1">
      <c r="B195" s="484"/>
      <c r="C195" s="484"/>
      <c r="D195" s="484"/>
      <c r="E195" s="484"/>
      <c r="F195" s="484"/>
      <c r="G195" s="484"/>
      <c r="H195" s="484"/>
      <c r="I195" s="484"/>
      <c r="J195" s="484"/>
      <c r="K195" s="484"/>
      <c r="L195" s="484"/>
      <c r="M195" s="484"/>
    </row>
    <row r="196" ht="15.75" customHeight="1">
      <c r="B196" s="484"/>
      <c r="C196" s="484"/>
      <c r="D196" s="484"/>
      <c r="E196" s="484"/>
      <c r="F196" s="484"/>
      <c r="G196" s="484"/>
      <c r="H196" s="484"/>
      <c r="I196" s="484"/>
      <c r="J196" s="484"/>
      <c r="K196" s="484"/>
      <c r="L196" s="484"/>
      <c r="M196" s="484"/>
    </row>
    <row r="197" ht="15.75" customHeight="1">
      <c r="B197" s="484"/>
      <c r="C197" s="484"/>
      <c r="D197" s="484"/>
      <c r="E197" s="484"/>
      <c r="F197" s="484"/>
      <c r="G197" s="484"/>
      <c r="H197" s="484"/>
      <c r="I197" s="484"/>
      <c r="J197" s="484"/>
      <c r="K197" s="484"/>
      <c r="L197" s="484"/>
      <c r="M197" s="484"/>
    </row>
    <row r="198" ht="15.75" customHeight="1">
      <c r="B198" s="484"/>
      <c r="C198" s="484"/>
      <c r="D198" s="484"/>
      <c r="E198" s="484"/>
      <c r="F198" s="484"/>
      <c r="G198" s="484"/>
      <c r="H198" s="484"/>
      <c r="I198" s="484"/>
      <c r="J198" s="484"/>
      <c r="K198" s="484"/>
      <c r="L198" s="484"/>
      <c r="M198" s="484"/>
    </row>
    <row r="199" ht="15.75" customHeight="1">
      <c r="B199" s="484"/>
      <c r="C199" s="484"/>
      <c r="D199" s="484"/>
      <c r="E199" s="484"/>
      <c r="F199" s="484"/>
      <c r="G199" s="484"/>
      <c r="H199" s="484"/>
      <c r="I199" s="484"/>
      <c r="J199" s="484"/>
      <c r="K199" s="484"/>
      <c r="L199" s="484"/>
      <c r="M199" s="484"/>
    </row>
    <row r="200" ht="15.75" customHeight="1">
      <c r="B200" s="484"/>
      <c r="C200" s="484"/>
      <c r="D200" s="484"/>
      <c r="E200" s="484"/>
      <c r="F200" s="484"/>
      <c r="G200" s="484"/>
      <c r="H200" s="484"/>
      <c r="I200" s="484"/>
      <c r="J200" s="484"/>
      <c r="K200" s="484"/>
      <c r="L200" s="484"/>
      <c r="M200" s="484"/>
    </row>
    <row r="201" ht="15.75" customHeight="1">
      <c r="B201" s="484"/>
      <c r="C201" s="484"/>
      <c r="D201" s="484"/>
      <c r="E201" s="484"/>
      <c r="F201" s="484"/>
      <c r="G201" s="484"/>
      <c r="H201" s="484"/>
      <c r="I201" s="484"/>
      <c r="J201" s="484"/>
      <c r="K201" s="484"/>
      <c r="L201" s="484"/>
      <c r="M201" s="484"/>
    </row>
    <row r="202" ht="15.75" customHeight="1">
      <c r="B202" s="484"/>
      <c r="C202" s="484"/>
      <c r="D202" s="484"/>
      <c r="E202" s="484"/>
      <c r="F202" s="484"/>
      <c r="G202" s="484"/>
      <c r="H202" s="484"/>
      <c r="I202" s="484"/>
      <c r="J202" s="484"/>
      <c r="K202" s="484"/>
      <c r="L202" s="484"/>
      <c r="M202" s="484"/>
    </row>
    <row r="203" ht="15.75" customHeight="1">
      <c r="B203" s="484"/>
      <c r="C203" s="484"/>
      <c r="D203" s="484"/>
      <c r="E203" s="484"/>
      <c r="F203" s="484"/>
      <c r="G203" s="484"/>
      <c r="H203" s="484"/>
      <c r="I203" s="484"/>
      <c r="J203" s="484"/>
      <c r="K203" s="484"/>
      <c r="L203" s="484"/>
      <c r="M203" s="484"/>
    </row>
    <row r="204" ht="15.75" customHeight="1">
      <c r="B204" s="484"/>
      <c r="C204" s="484"/>
      <c r="D204" s="484"/>
      <c r="E204" s="484"/>
      <c r="F204" s="484"/>
      <c r="G204" s="484"/>
      <c r="H204" s="484"/>
      <c r="I204" s="484"/>
      <c r="J204" s="484"/>
      <c r="K204" s="484"/>
      <c r="L204" s="484"/>
      <c r="M204" s="484"/>
    </row>
    <row r="205" ht="15.75" customHeight="1">
      <c r="B205" s="484"/>
      <c r="C205" s="484"/>
      <c r="D205" s="484"/>
      <c r="E205" s="484"/>
      <c r="F205" s="484"/>
      <c r="G205" s="484"/>
      <c r="H205" s="484"/>
      <c r="I205" s="484"/>
      <c r="J205" s="484"/>
      <c r="K205" s="484"/>
      <c r="L205" s="484"/>
      <c r="M205" s="484"/>
    </row>
    <row r="206" ht="15.75" customHeight="1">
      <c r="B206" s="484"/>
      <c r="C206" s="484"/>
      <c r="D206" s="484"/>
      <c r="E206" s="484"/>
      <c r="F206" s="484"/>
      <c r="G206" s="484"/>
      <c r="H206" s="484"/>
      <c r="I206" s="484"/>
      <c r="J206" s="484"/>
      <c r="K206" s="484"/>
      <c r="L206" s="484"/>
      <c r="M206" s="484"/>
    </row>
    <row r="207" ht="15.75" customHeight="1">
      <c r="B207" s="484"/>
      <c r="C207" s="484"/>
      <c r="D207" s="484"/>
      <c r="E207" s="484"/>
      <c r="F207" s="484"/>
      <c r="G207" s="484"/>
      <c r="H207" s="484"/>
      <c r="I207" s="484"/>
      <c r="J207" s="484"/>
      <c r="K207" s="484"/>
      <c r="L207" s="484"/>
      <c r="M207" s="484"/>
    </row>
    <row r="208" ht="15.75" customHeight="1">
      <c r="B208" s="484"/>
      <c r="C208" s="484"/>
      <c r="D208" s="484"/>
      <c r="E208" s="484"/>
      <c r="F208" s="484"/>
      <c r="G208" s="484"/>
      <c r="H208" s="484"/>
      <c r="I208" s="484"/>
      <c r="J208" s="484"/>
      <c r="K208" s="484"/>
      <c r="L208" s="484"/>
      <c r="M208" s="484"/>
    </row>
    <row r="209" ht="15.75" customHeight="1">
      <c r="B209" s="484"/>
      <c r="C209" s="484"/>
      <c r="D209" s="484"/>
      <c r="E209" s="484"/>
      <c r="F209" s="484"/>
      <c r="G209" s="484"/>
      <c r="H209" s="484"/>
      <c r="I209" s="484"/>
      <c r="J209" s="484"/>
      <c r="K209" s="484"/>
      <c r="L209" s="484"/>
      <c r="M209" s="484"/>
    </row>
    <row r="210" ht="15.75" customHeight="1">
      <c r="B210" s="484"/>
      <c r="C210" s="484"/>
      <c r="D210" s="484"/>
      <c r="E210" s="484"/>
      <c r="F210" s="484"/>
      <c r="G210" s="484"/>
      <c r="H210" s="484"/>
      <c r="I210" s="484"/>
      <c r="J210" s="484"/>
      <c r="K210" s="484"/>
      <c r="L210" s="484"/>
      <c r="M210" s="484"/>
    </row>
    <row r="211" ht="15.75" customHeight="1">
      <c r="B211" s="484"/>
      <c r="C211" s="484"/>
      <c r="D211" s="484"/>
      <c r="E211" s="484"/>
      <c r="F211" s="484"/>
      <c r="G211" s="484"/>
      <c r="H211" s="484"/>
      <c r="I211" s="484"/>
      <c r="J211" s="484"/>
      <c r="K211" s="484"/>
      <c r="L211" s="484"/>
      <c r="M211" s="484"/>
    </row>
    <row r="212" ht="15.75" customHeight="1">
      <c r="B212" s="484"/>
      <c r="C212" s="484"/>
      <c r="D212" s="484"/>
      <c r="E212" s="484"/>
      <c r="F212" s="484"/>
      <c r="G212" s="484"/>
      <c r="H212" s="484"/>
      <c r="I212" s="484"/>
      <c r="J212" s="484"/>
      <c r="K212" s="484"/>
      <c r="L212" s="484"/>
      <c r="M212" s="484"/>
    </row>
    <row r="213" ht="15.75" customHeight="1">
      <c r="B213" s="484"/>
      <c r="C213" s="484"/>
      <c r="D213" s="484"/>
      <c r="E213" s="484"/>
      <c r="F213" s="484"/>
      <c r="G213" s="484"/>
      <c r="H213" s="484"/>
      <c r="I213" s="484"/>
      <c r="J213" s="484"/>
      <c r="K213" s="484"/>
      <c r="L213" s="484"/>
      <c r="M213" s="484"/>
    </row>
    <row r="214" ht="15.75" customHeight="1">
      <c r="B214" s="484"/>
      <c r="C214" s="484"/>
      <c r="D214" s="484"/>
      <c r="E214" s="484"/>
      <c r="F214" s="484"/>
      <c r="G214" s="484"/>
      <c r="H214" s="484"/>
      <c r="I214" s="484"/>
      <c r="J214" s="484"/>
      <c r="K214" s="484"/>
      <c r="L214" s="484"/>
      <c r="M214" s="484"/>
    </row>
    <row r="215" ht="15.75" customHeight="1">
      <c r="B215" s="484"/>
      <c r="C215" s="484"/>
      <c r="D215" s="484"/>
      <c r="E215" s="484"/>
      <c r="F215" s="484"/>
      <c r="G215" s="484"/>
      <c r="H215" s="484"/>
      <c r="I215" s="484"/>
      <c r="J215" s="484"/>
      <c r="K215" s="484"/>
      <c r="L215" s="484"/>
      <c r="M215" s="484"/>
    </row>
    <row r="216" ht="15.75" customHeight="1">
      <c r="B216" s="484"/>
      <c r="C216" s="484"/>
      <c r="D216" s="484"/>
      <c r="E216" s="484"/>
      <c r="F216" s="484"/>
      <c r="G216" s="484"/>
      <c r="H216" s="484"/>
      <c r="I216" s="484"/>
      <c r="J216" s="484"/>
      <c r="K216" s="484"/>
      <c r="L216" s="484"/>
      <c r="M216" s="484"/>
    </row>
    <row r="217" ht="15.75" customHeight="1">
      <c r="B217" s="484"/>
      <c r="C217" s="484"/>
      <c r="D217" s="484"/>
      <c r="E217" s="484"/>
      <c r="F217" s="484"/>
      <c r="G217" s="484"/>
      <c r="H217" s="484"/>
      <c r="I217" s="484"/>
      <c r="J217" s="484"/>
      <c r="K217" s="484"/>
      <c r="L217" s="484"/>
      <c r="M217" s="484"/>
    </row>
    <row r="218" ht="15.75" customHeight="1">
      <c r="B218" s="484"/>
      <c r="C218" s="484"/>
      <c r="D218" s="484"/>
      <c r="E218" s="484"/>
      <c r="F218" s="484"/>
      <c r="G218" s="484"/>
      <c r="H218" s="484"/>
      <c r="I218" s="484"/>
      <c r="J218" s="484"/>
      <c r="K218" s="484"/>
      <c r="L218" s="484"/>
      <c r="M218" s="484"/>
    </row>
    <row r="219" ht="15.75" customHeight="1">
      <c r="B219" s="484"/>
      <c r="C219" s="484"/>
      <c r="D219" s="484"/>
      <c r="E219" s="484"/>
      <c r="F219" s="484"/>
      <c r="G219" s="484"/>
      <c r="H219" s="484"/>
      <c r="I219" s="484"/>
      <c r="J219" s="484"/>
      <c r="K219" s="484"/>
      <c r="L219" s="484"/>
      <c r="M219" s="484"/>
    </row>
    <row r="220" ht="15.75" customHeight="1">
      <c r="B220" s="484"/>
      <c r="C220" s="484"/>
      <c r="D220" s="484"/>
      <c r="E220" s="484"/>
      <c r="F220" s="484"/>
      <c r="G220" s="484"/>
      <c r="H220" s="484"/>
      <c r="I220" s="484"/>
      <c r="J220" s="484"/>
      <c r="K220" s="484"/>
      <c r="L220" s="484"/>
      <c r="M220" s="484"/>
    </row>
    <row r="221" ht="15.75" customHeight="1">
      <c r="B221" s="484"/>
      <c r="C221" s="484"/>
      <c r="D221" s="484"/>
      <c r="E221" s="484"/>
      <c r="F221" s="484"/>
      <c r="G221" s="484"/>
      <c r="H221" s="484"/>
      <c r="I221" s="484"/>
      <c r="J221" s="484"/>
      <c r="K221" s="484"/>
      <c r="L221" s="484"/>
      <c r="M221" s="484"/>
    </row>
    <row r="222" ht="15.75" customHeight="1">
      <c r="B222" s="484"/>
      <c r="C222" s="484"/>
      <c r="D222" s="484"/>
      <c r="E222" s="484"/>
      <c r="F222" s="484"/>
      <c r="G222" s="484"/>
      <c r="H222" s="484"/>
      <c r="I222" s="484"/>
      <c r="J222" s="484"/>
      <c r="K222" s="484"/>
      <c r="L222" s="484"/>
      <c r="M222" s="484"/>
    </row>
    <row r="223" ht="15.75" customHeight="1">
      <c r="B223" s="484"/>
      <c r="C223" s="484"/>
      <c r="D223" s="484"/>
      <c r="E223" s="484"/>
      <c r="F223" s="484"/>
      <c r="G223" s="484"/>
      <c r="H223" s="484"/>
      <c r="I223" s="484"/>
      <c r="J223" s="484"/>
      <c r="K223" s="484"/>
      <c r="L223" s="484"/>
      <c r="M223" s="484"/>
    </row>
    <row r="224" ht="15.75" customHeight="1">
      <c r="B224" s="484"/>
      <c r="C224" s="484"/>
      <c r="D224" s="484"/>
      <c r="E224" s="484"/>
      <c r="F224" s="484"/>
      <c r="G224" s="484"/>
      <c r="H224" s="484"/>
      <c r="I224" s="484"/>
      <c r="J224" s="484"/>
      <c r="K224" s="484"/>
      <c r="L224" s="484"/>
      <c r="M224" s="484"/>
    </row>
    <row r="225" ht="15.75" customHeight="1">
      <c r="B225" s="484"/>
      <c r="C225" s="484"/>
      <c r="D225" s="484"/>
      <c r="E225" s="484"/>
      <c r="F225" s="484"/>
      <c r="G225" s="484"/>
      <c r="H225" s="484"/>
      <c r="I225" s="484"/>
      <c r="J225" s="484"/>
      <c r="K225" s="484"/>
      <c r="L225" s="484"/>
      <c r="M225" s="484"/>
    </row>
    <row r="226" ht="15.75" customHeight="1">
      <c r="B226" s="484"/>
      <c r="C226" s="484"/>
      <c r="D226" s="484"/>
      <c r="E226" s="484"/>
      <c r="F226" s="484"/>
      <c r="G226" s="484"/>
      <c r="H226" s="484"/>
      <c r="I226" s="484"/>
      <c r="J226" s="484"/>
      <c r="K226" s="484"/>
      <c r="L226" s="484"/>
      <c r="M226" s="484"/>
    </row>
    <row r="227" ht="15.75" customHeight="1">
      <c r="B227" s="484"/>
      <c r="C227" s="484"/>
      <c r="D227" s="484"/>
      <c r="E227" s="484"/>
      <c r="F227" s="484"/>
      <c r="G227" s="484"/>
      <c r="H227" s="484"/>
      <c r="I227" s="484"/>
      <c r="J227" s="484"/>
      <c r="K227" s="484"/>
      <c r="L227" s="484"/>
      <c r="M227" s="484"/>
    </row>
    <row r="228" ht="15.75" customHeight="1">
      <c r="B228" s="484"/>
      <c r="C228" s="484"/>
      <c r="D228" s="484"/>
      <c r="E228" s="484"/>
      <c r="F228" s="484"/>
      <c r="G228" s="484"/>
      <c r="H228" s="484"/>
      <c r="I228" s="484"/>
      <c r="J228" s="484"/>
      <c r="K228" s="484"/>
      <c r="L228" s="484"/>
      <c r="M228" s="484"/>
    </row>
    <row r="229" ht="15.75" customHeight="1">
      <c r="B229" s="484"/>
      <c r="C229" s="484"/>
      <c r="D229" s="484"/>
      <c r="E229" s="484"/>
      <c r="F229" s="484"/>
      <c r="G229" s="484"/>
      <c r="H229" s="484"/>
      <c r="I229" s="484"/>
      <c r="J229" s="484"/>
      <c r="K229" s="484"/>
      <c r="L229" s="484"/>
      <c r="M229" s="484"/>
    </row>
    <row r="230" ht="15.75" customHeight="1">
      <c r="B230" s="484"/>
      <c r="C230" s="484"/>
      <c r="D230" s="484"/>
      <c r="E230" s="484"/>
      <c r="F230" s="484"/>
      <c r="G230" s="484"/>
      <c r="H230" s="484"/>
      <c r="I230" s="484"/>
      <c r="J230" s="484"/>
      <c r="K230" s="484"/>
      <c r="L230" s="484"/>
      <c r="M230" s="484"/>
    </row>
    <row r="231" ht="15.75" customHeight="1">
      <c r="B231" s="484"/>
      <c r="C231" s="484"/>
      <c r="D231" s="484"/>
      <c r="E231" s="484"/>
      <c r="F231" s="484"/>
      <c r="G231" s="484"/>
      <c r="H231" s="484"/>
      <c r="I231" s="484"/>
      <c r="J231" s="484"/>
      <c r="K231" s="484"/>
      <c r="L231" s="484"/>
      <c r="M231" s="484"/>
    </row>
    <row r="232" ht="15.75" customHeight="1">
      <c r="B232" s="484"/>
      <c r="C232" s="484"/>
      <c r="D232" s="484"/>
      <c r="E232" s="484"/>
      <c r="F232" s="484"/>
      <c r="G232" s="484"/>
      <c r="H232" s="484"/>
      <c r="I232" s="484"/>
      <c r="J232" s="484"/>
      <c r="K232" s="484"/>
      <c r="L232" s="484"/>
      <c r="M232" s="484"/>
    </row>
    <row r="233" ht="15.75" customHeight="1">
      <c r="B233" s="484"/>
      <c r="C233" s="484"/>
      <c r="D233" s="484"/>
      <c r="E233" s="484"/>
      <c r="F233" s="484"/>
      <c r="G233" s="484"/>
      <c r="H233" s="484"/>
      <c r="I233" s="484"/>
      <c r="J233" s="484"/>
      <c r="K233" s="484"/>
      <c r="L233" s="484"/>
      <c r="M233" s="484"/>
    </row>
    <row r="234" ht="15.75" customHeight="1">
      <c r="B234" s="484"/>
      <c r="C234" s="484"/>
      <c r="D234" s="484"/>
      <c r="E234" s="484"/>
      <c r="F234" s="484"/>
      <c r="G234" s="484"/>
      <c r="H234" s="484"/>
      <c r="I234" s="484"/>
      <c r="J234" s="484"/>
      <c r="K234" s="484"/>
      <c r="L234" s="484"/>
      <c r="M234" s="484"/>
    </row>
    <row r="235" ht="15.75" customHeight="1">
      <c r="B235" s="484"/>
      <c r="C235" s="484"/>
      <c r="D235" s="484"/>
      <c r="E235" s="484"/>
      <c r="F235" s="484"/>
      <c r="G235" s="484"/>
      <c r="H235" s="484"/>
      <c r="I235" s="484"/>
      <c r="J235" s="484"/>
      <c r="K235" s="484"/>
      <c r="L235" s="484"/>
      <c r="M235" s="484"/>
    </row>
    <row r="236" ht="15.75" customHeight="1">
      <c r="B236" s="484"/>
      <c r="C236" s="484"/>
      <c r="D236" s="484"/>
      <c r="E236" s="484"/>
      <c r="F236" s="484"/>
      <c r="G236" s="484"/>
      <c r="H236" s="484"/>
      <c r="I236" s="484"/>
      <c r="J236" s="484"/>
      <c r="K236" s="484"/>
      <c r="L236" s="484"/>
      <c r="M236" s="484"/>
    </row>
    <row r="237" ht="15.75" customHeight="1">
      <c r="B237" s="484"/>
      <c r="C237" s="484"/>
      <c r="D237" s="484"/>
      <c r="E237" s="484"/>
      <c r="F237" s="484"/>
      <c r="G237" s="484"/>
      <c r="H237" s="484"/>
      <c r="I237" s="484"/>
      <c r="J237" s="484"/>
      <c r="K237" s="484"/>
      <c r="L237" s="484"/>
      <c r="M237" s="484"/>
    </row>
    <row r="238" ht="15.75" customHeight="1">
      <c r="B238" s="484"/>
      <c r="C238" s="484"/>
      <c r="D238" s="484"/>
      <c r="E238" s="484"/>
      <c r="F238" s="484"/>
      <c r="G238" s="484"/>
      <c r="H238" s="484"/>
      <c r="I238" s="484"/>
      <c r="J238" s="484"/>
      <c r="K238" s="484"/>
      <c r="L238" s="484"/>
      <c r="M238" s="484"/>
    </row>
    <row r="239" ht="15.75" customHeight="1">
      <c r="B239" s="484"/>
      <c r="C239" s="484"/>
      <c r="D239" s="484"/>
      <c r="E239" s="484"/>
      <c r="F239" s="484"/>
      <c r="G239" s="484"/>
      <c r="H239" s="484"/>
      <c r="I239" s="484"/>
      <c r="J239" s="484"/>
      <c r="K239" s="484"/>
      <c r="L239" s="484"/>
      <c r="M239" s="484"/>
    </row>
    <row r="240" ht="15.75" customHeight="1">
      <c r="B240" s="484"/>
      <c r="C240" s="484"/>
      <c r="D240" s="484"/>
      <c r="E240" s="484"/>
      <c r="F240" s="484"/>
      <c r="G240" s="484"/>
      <c r="H240" s="484"/>
      <c r="I240" s="484"/>
      <c r="J240" s="484"/>
      <c r="K240" s="484"/>
      <c r="L240" s="484"/>
      <c r="M240" s="484"/>
    </row>
    <row r="241" ht="15.75" customHeight="1">
      <c r="B241" s="484"/>
      <c r="C241" s="484"/>
      <c r="D241" s="484"/>
      <c r="E241" s="484"/>
      <c r="F241" s="484"/>
      <c r="G241" s="484"/>
      <c r="H241" s="484"/>
      <c r="I241" s="484"/>
      <c r="J241" s="484"/>
      <c r="K241" s="484"/>
      <c r="L241" s="484"/>
      <c r="M241" s="484"/>
    </row>
    <row r="242" ht="15.75" customHeight="1">
      <c r="B242" s="484"/>
      <c r="C242" s="484"/>
      <c r="D242" s="484"/>
      <c r="E242" s="484"/>
      <c r="F242" s="484"/>
      <c r="G242" s="484"/>
      <c r="H242" s="484"/>
      <c r="I242" s="484"/>
      <c r="J242" s="484"/>
      <c r="K242" s="484"/>
      <c r="L242" s="484"/>
      <c r="M242" s="484"/>
    </row>
    <row r="243" ht="15.75" customHeight="1">
      <c r="B243" s="484"/>
      <c r="C243" s="484"/>
      <c r="D243" s="484"/>
      <c r="E243" s="484"/>
      <c r="F243" s="484"/>
      <c r="G243" s="484"/>
      <c r="H243" s="484"/>
      <c r="I243" s="484"/>
      <c r="J243" s="484"/>
      <c r="K243" s="484"/>
      <c r="L243" s="484"/>
      <c r="M243" s="484"/>
    </row>
    <row r="244" ht="15.75" customHeight="1">
      <c r="B244" s="484"/>
      <c r="C244" s="484"/>
      <c r="D244" s="484"/>
      <c r="E244" s="484"/>
      <c r="F244" s="484"/>
      <c r="G244" s="484"/>
      <c r="H244" s="484"/>
      <c r="I244" s="484"/>
      <c r="J244" s="484"/>
      <c r="K244" s="484"/>
      <c r="L244" s="484"/>
      <c r="M244" s="484"/>
    </row>
    <row r="245" ht="15.75" customHeight="1">
      <c r="B245" s="484"/>
      <c r="C245" s="484"/>
      <c r="D245" s="484"/>
      <c r="E245" s="484"/>
      <c r="F245" s="484"/>
      <c r="G245" s="484"/>
      <c r="H245" s="484"/>
      <c r="I245" s="484"/>
      <c r="J245" s="484"/>
      <c r="K245" s="484"/>
      <c r="L245" s="484"/>
      <c r="M245" s="484"/>
    </row>
    <row r="246" ht="15.75" customHeight="1">
      <c r="B246" s="484"/>
      <c r="C246" s="484"/>
      <c r="D246" s="484"/>
      <c r="E246" s="484"/>
      <c r="F246" s="484"/>
      <c r="G246" s="484"/>
      <c r="H246" s="484"/>
      <c r="I246" s="484"/>
      <c r="J246" s="484"/>
      <c r="K246" s="484"/>
      <c r="L246" s="484"/>
      <c r="M246" s="484"/>
    </row>
    <row r="247" ht="15.75" customHeight="1">
      <c r="B247" s="484"/>
      <c r="C247" s="484"/>
      <c r="D247" s="484"/>
      <c r="E247" s="484"/>
      <c r="F247" s="484"/>
      <c r="G247" s="484"/>
      <c r="H247" s="484"/>
      <c r="I247" s="484"/>
      <c r="J247" s="484"/>
      <c r="K247" s="484"/>
      <c r="L247" s="484"/>
      <c r="M247" s="484"/>
    </row>
    <row r="248" ht="15.75" customHeight="1">
      <c r="B248" s="484"/>
      <c r="C248" s="484"/>
      <c r="D248" s="484"/>
      <c r="E248" s="484"/>
      <c r="F248" s="484"/>
      <c r="G248" s="484"/>
      <c r="H248" s="484"/>
      <c r="I248" s="484"/>
      <c r="J248" s="484"/>
      <c r="K248" s="484"/>
      <c r="L248" s="484"/>
      <c r="M248" s="484"/>
    </row>
    <row r="249" ht="15.75" customHeight="1">
      <c r="B249" s="484"/>
      <c r="C249" s="484"/>
      <c r="D249" s="484"/>
      <c r="E249" s="484"/>
      <c r="F249" s="484"/>
      <c r="G249" s="484"/>
      <c r="H249" s="484"/>
      <c r="I249" s="484"/>
      <c r="J249" s="484"/>
      <c r="K249" s="484"/>
      <c r="L249" s="484"/>
      <c r="M249" s="484"/>
    </row>
    <row r="250" ht="15.75" customHeight="1">
      <c r="B250" s="484"/>
      <c r="C250" s="484"/>
      <c r="D250" s="484"/>
      <c r="E250" s="484"/>
      <c r="F250" s="484"/>
      <c r="G250" s="484"/>
      <c r="H250" s="484"/>
      <c r="I250" s="484"/>
      <c r="J250" s="484"/>
      <c r="K250" s="484"/>
      <c r="L250" s="484"/>
      <c r="M250" s="484"/>
    </row>
    <row r="251" ht="15.75" customHeight="1">
      <c r="B251" s="484"/>
      <c r="C251" s="484"/>
      <c r="D251" s="484"/>
      <c r="E251" s="484"/>
      <c r="F251" s="484"/>
      <c r="G251" s="484"/>
      <c r="H251" s="484"/>
      <c r="I251" s="484"/>
      <c r="J251" s="484"/>
      <c r="K251" s="484"/>
      <c r="L251" s="484"/>
      <c r="M251" s="484"/>
    </row>
    <row r="252" ht="15.75" customHeight="1">
      <c r="B252" s="484"/>
      <c r="C252" s="484"/>
      <c r="D252" s="484"/>
      <c r="E252" s="484"/>
      <c r="F252" s="484"/>
      <c r="G252" s="484"/>
      <c r="H252" s="484"/>
      <c r="I252" s="484"/>
      <c r="J252" s="484"/>
      <c r="K252" s="484"/>
      <c r="L252" s="484"/>
      <c r="M252" s="484"/>
    </row>
    <row r="253" ht="15.75" customHeight="1">
      <c r="B253" s="484"/>
      <c r="C253" s="484"/>
      <c r="D253" s="484"/>
      <c r="E253" s="484"/>
      <c r="F253" s="484"/>
      <c r="G253" s="484"/>
      <c r="H253" s="484"/>
      <c r="I253" s="484"/>
      <c r="J253" s="484"/>
      <c r="K253" s="484"/>
      <c r="L253" s="484"/>
      <c r="M253" s="484"/>
    </row>
    <row r="254" ht="15.75" customHeight="1">
      <c r="B254" s="484"/>
      <c r="C254" s="484"/>
      <c r="D254" s="484"/>
      <c r="E254" s="484"/>
      <c r="F254" s="484"/>
      <c r="G254" s="484"/>
      <c r="H254" s="484"/>
      <c r="I254" s="484"/>
      <c r="J254" s="484"/>
      <c r="K254" s="484"/>
      <c r="L254" s="484"/>
      <c r="M254" s="484"/>
    </row>
    <row r="255" ht="15.75" customHeight="1">
      <c r="B255" s="484"/>
      <c r="C255" s="484"/>
      <c r="D255" s="484"/>
      <c r="E255" s="484"/>
      <c r="F255" s="484"/>
      <c r="G255" s="484"/>
      <c r="H255" s="484"/>
      <c r="I255" s="484"/>
      <c r="J255" s="484"/>
      <c r="K255" s="484"/>
      <c r="L255" s="484"/>
      <c r="M255" s="484"/>
    </row>
    <row r="256" ht="15.75" customHeight="1">
      <c r="B256" s="484"/>
      <c r="C256" s="484"/>
      <c r="D256" s="484"/>
      <c r="E256" s="484"/>
      <c r="F256" s="484"/>
      <c r="G256" s="484"/>
      <c r="H256" s="484"/>
      <c r="I256" s="484"/>
      <c r="J256" s="484"/>
      <c r="K256" s="484"/>
      <c r="L256" s="484"/>
      <c r="M256" s="484"/>
    </row>
    <row r="257" ht="15.75" customHeight="1">
      <c r="B257" s="484"/>
      <c r="C257" s="484"/>
      <c r="D257" s="484"/>
      <c r="E257" s="484"/>
      <c r="F257" s="484"/>
      <c r="G257" s="484"/>
      <c r="H257" s="484"/>
      <c r="I257" s="484"/>
      <c r="J257" s="484"/>
      <c r="K257" s="484"/>
      <c r="L257" s="484"/>
      <c r="M257" s="484"/>
    </row>
    <row r="258" ht="15.75" customHeight="1">
      <c r="B258" s="484"/>
      <c r="C258" s="484"/>
      <c r="D258" s="484"/>
      <c r="E258" s="484"/>
      <c r="F258" s="484"/>
      <c r="G258" s="484"/>
      <c r="H258" s="484"/>
      <c r="I258" s="484"/>
      <c r="J258" s="484"/>
      <c r="K258" s="484"/>
      <c r="L258" s="484"/>
      <c r="M258" s="484"/>
    </row>
    <row r="259" ht="15.75" customHeight="1">
      <c r="B259" s="484"/>
      <c r="C259" s="484"/>
      <c r="D259" s="484"/>
      <c r="E259" s="484"/>
      <c r="F259" s="484"/>
      <c r="G259" s="484"/>
      <c r="H259" s="484"/>
      <c r="I259" s="484"/>
      <c r="J259" s="484"/>
      <c r="K259" s="484"/>
      <c r="L259" s="484"/>
      <c r="M259" s="484"/>
    </row>
    <row r="260" ht="15.75" customHeight="1">
      <c r="B260" s="484"/>
      <c r="C260" s="484"/>
      <c r="D260" s="484"/>
      <c r="E260" s="484"/>
      <c r="F260" s="484"/>
      <c r="G260" s="484"/>
      <c r="H260" s="484"/>
      <c r="I260" s="484"/>
      <c r="J260" s="484"/>
      <c r="K260" s="484"/>
      <c r="L260" s="484"/>
      <c r="M260" s="484"/>
    </row>
    <row r="261" ht="15.75" customHeight="1">
      <c r="B261" s="484"/>
      <c r="C261" s="484"/>
      <c r="D261" s="484"/>
      <c r="E261" s="484"/>
      <c r="F261" s="484"/>
      <c r="G261" s="484"/>
      <c r="H261" s="484"/>
      <c r="I261" s="484"/>
      <c r="J261" s="484"/>
      <c r="K261" s="484"/>
      <c r="L261" s="484"/>
      <c r="M261" s="484"/>
    </row>
    <row r="262" ht="15.75" customHeight="1">
      <c r="B262" s="484"/>
      <c r="C262" s="484"/>
      <c r="D262" s="484"/>
      <c r="E262" s="484"/>
      <c r="F262" s="484"/>
      <c r="G262" s="484"/>
      <c r="H262" s="484"/>
      <c r="I262" s="484"/>
      <c r="J262" s="484"/>
      <c r="K262" s="484"/>
      <c r="L262" s="484"/>
      <c r="M262" s="484"/>
    </row>
    <row r="263" ht="15.75" customHeight="1">
      <c r="B263" s="484"/>
      <c r="C263" s="484"/>
      <c r="D263" s="484"/>
      <c r="E263" s="484"/>
      <c r="F263" s="484"/>
      <c r="G263" s="484"/>
      <c r="H263" s="484"/>
      <c r="I263" s="484"/>
      <c r="J263" s="484"/>
      <c r="K263" s="484"/>
      <c r="L263" s="484"/>
      <c r="M263" s="484"/>
    </row>
    <row r="264" ht="15.75" customHeight="1">
      <c r="B264" s="484"/>
      <c r="C264" s="484"/>
      <c r="D264" s="484"/>
      <c r="E264" s="484"/>
      <c r="F264" s="484"/>
      <c r="G264" s="484"/>
      <c r="H264" s="484"/>
      <c r="I264" s="484"/>
      <c r="J264" s="484"/>
      <c r="K264" s="484"/>
      <c r="L264" s="484"/>
      <c r="M264" s="484"/>
    </row>
    <row r="265" ht="15.75" customHeight="1">
      <c r="B265" s="484"/>
      <c r="C265" s="484"/>
      <c r="D265" s="484"/>
      <c r="E265" s="484"/>
      <c r="F265" s="484"/>
      <c r="G265" s="484"/>
      <c r="H265" s="484"/>
      <c r="I265" s="484"/>
      <c r="J265" s="484"/>
      <c r="K265" s="484"/>
      <c r="L265" s="484"/>
      <c r="M265" s="484"/>
    </row>
    <row r="266" ht="15.75" customHeight="1">
      <c r="B266" s="484"/>
      <c r="C266" s="484"/>
      <c r="D266" s="484"/>
      <c r="E266" s="484"/>
      <c r="F266" s="484"/>
      <c r="G266" s="484"/>
      <c r="H266" s="484"/>
      <c r="I266" s="484"/>
      <c r="J266" s="484"/>
      <c r="K266" s="484"/>
      <c r="L266" s="484"/>
      <c r="M266" s="484"/>
    </row>
    <row r="267" ht="15.75" customHeight="1">
      <c r="B267" s="484"/>
      <c r="C267" s="484"/>
      <c r="D267" s="484"/>
      <c r="E267" s="484"/>
      <c r="F267" s="484"/>
      <c r="G267" s="484"/>
      <c r="H267" s="484"/>
      <c r="I267" s="484"/>
      <c r="J267" s="484"/>
      <c r="K267" s="484"/>
      <c r="L267" s="484"/>
      <c r="M267" s="484"/>
    </row>
    <row r="268" ht="15.75" customHeight="1">
      <c r="B268" s="484"/>
      <c r="C268" s="484"/>
      <c r="D268" s="484"/>
      <c r="E268" s="484"/>
      <c r="F268" s="484"/>
      <c r="G268" s="484"/>
      <c r="H268" s="484"/>
      <c r="I268" s="484"/>
      <c r="J268" s="484"/>
      <c r="K268" s="484"/>
      <c r="L268" s="484"/>
      <c r="M268" s="484"/>
    </row>
    <row r="269" ht="15.75" customHeight="1">
      <c r="B269" s="484"/>
      <c r="C269" s="484"/>
      <c r="D269" s="484"/>
      <c r="E269" s="484"/>
      <c r="F269" s="484"/>
      <c r="G269" s="484"/>
      <c r="H269" s="484"/>
      <c r="I269" s="484"/>
      <c r="J269" s="484"/>
      <c r="K269" s="484"/>
      <c r="L269" s="484"/>
      <c r="M269" s="484"/>
    </row>
    <row r="270" ht="15.75" customHeight="1">
      <c r="B270" s="484"/>
      <c r="C270" s="484"/>
      <c r="D270" s="484"/>
      <c r="E270" s="484"/>
      <c r="F270" s="484"/>
      <c r="G270" s="484"/>
      <c r="H270" s="484"/>
      <c r="I270" s="484"/>
      <c r="J270" s="484"/>
      <c r="K270" s="484"/>
      <c r="L270" s="484"/>
      <c r="M270" s="484"/>
    </row>
    <row r="271" ht="15.75" customHeight="1">
      <c r="B271" s="484"/>
      <c r="C271" s="484"/>
      <c r="D271" s="484"/>
      <c r="E271" s="484"/>
      <c r="F271" s="484"/>
      <c r="G271" s="484"/>
      <c r="H271" s="484"/>
      <c r="I271" s="484"/>
      <c r="J271" s="484"/>
      <c r="K271" s="484"/>
      <c r="L271" s="484"/>
      <c r="M271" s="484"/>
    </row>
    <row r="272" ht="15.75" customHeight="1">
      <c r="B272" s="484"/>
      <c r="C272" s="484"/>
      <c r="D272" s="484"/>
      <c r="E272" s="484"/>
      <c r="F272" s="484"/>
      <c r="G272" s="484"/>
      <c r="H272" s="484"/>
      <c r="I272" s="484"/>
      <c r="J272" s="484"/>
      <c r="K272" s="484"/>
      <c r="L272" s="484"/>
      <c r="M272" s="484"/>
    </row>
    <row r="273" ht="15.75" customHeight="1">
      <c r="B273" s="484"/>
      <c r="C273" s="484"/>
      <c r="D273" s="484"/>
      <c r="E273" s="484"/>
      <c r="F273" s="484"/>
      <c r="G273" s="484"/>
      <c r="H273" s="484"/>
      <c r="I273" s="484"/>
      <c r="J273" s="484"/>
      <c r="K273" s="484"/>
      <c r="L273" s="484"/>
      <c r="M273" s="484"/>
    </row>
    <row r="274" ht="15.75" customHeight="1">
      <c r="B274" s="484"/>
      <c r="C274" s="484"/>
      <c r="D274" s="484"/>
      <c r="E274" s="484"/>
      <c r="F274" s="484"/>
      <c r="G274" s="484"/>
      <c r="H274" s="484"/>
      <c r="I274" s="484"/>
      <c r="J274" s="484"/>
      <c r="K274" s="484"/>
      <c r="L274" s="484"/>
      <c r="M274" s="484"/>
    </row>
    <row r="275" ht="15.75" customHeight="1">
      <c r="B275" s="484"/>
      <c r="C275" s="484"/>
      <c r="D275" s="484"/>
      <c r="E275" s="484"/>
      <c r="F275" s="484"/>
      <c r="G275" s="484"/>
      <c r="H275" s="484"/>
      <c r="I275" s="484"/>
      <c r="J275" s="484"/>
      <c r="K275" s="484"/>
      <c r="L275" s="484"/>
      <c r="M275" s="484"/>
    </row>
    <row r="276" ht="15.75" customHeight="1">
      <c r="B276" s="484"/>
      <c r="C276" s="484"/>
      <c r="D276" s="484"/>
      <c r="E276" s="484"/>
      <c r="F276" s="484"/>
      <c r="G276" s="484"/>
      <c r="H276" s="484"/>
      <c r="I276" s="484"/>
      <c r="J276" s="484"/>
      <c r="K276" s="484"/>
      <c r="L276" s="484"/>
      <c r="M276" s="484"/>
    </row>
    <row r="277" ht="15.75" customHeight="1">
      <c r="B277" s="484"/>
      <c r="C277" s="484"/>
      <c r="D277" s="484"/>
      <c r="E277" s="484"/>
      <c r="F277" s="484"/>
      <c r="G277" s="484"/>
      <c r="H277" s="484"/>
      <c r="I277" s="484"/>
      <c r="J277" s="484"/>
      <c r="K277" s="484"/>
      <c r="L277" s="484"/>
      <c r="M277" s="484"/>
    </row>
    <row r="278" ht="15.75" customHeight="1">
      <c r="B278" s="484"/>
      <c r="C278" s="484"/>
      <c r="D278" s="484"/>
      <c r="E278" s="484"/>
      <c r="F278" s="484"/>
      <c r="G278" s="484"/>
      <c r="H278" s="484"/>
      <c r="I278" s="484"/>
      <c r="J278" s="484"/>
      <c r="K278" s="484"/>
      <c r="L278" s="484"/>
      <c r="M278" s="484"/>
    </row>
    <row r="279" ht="15.75" customHeight="1">
      <c r="B279" s="484"/>
      <c r="C279" s="484"/>
      <c r="D279" s="484"/>
      <c r="E279" s="484"/>
      <c r="F279" s="484"/>
      <c r="G279" s="484"/>
      <c r="H279" s="484"/>
      <c r="I279" s="484"/>
      <c r="J279" s="484"/>
      <c r="K279" s="484"/>
      <c r="L279" s="484"/>
      <c r="M279" s="484"/>
    </row>
    <row r="280" ht="15.75" customHeight="1">
      <c r="B280" s="484"/>
      <c r="C280" s="484"/>
      <c r="D280" s="484"/>
      <c r="E280" s="484"/>
      <c r="F280" s="484"/>
      <c r="G280" s="484"/>
      <c r="H280" s="484"/>
      <c r="I280" s="484"/>
      <c r="J280" s="484"/>
      <c r="K280" s="484"/>
      <c r="L280" s="484"/>
      <c r="M280" s="484"/>
    </row>
    <row r="281" ht="15.75" customHeight="1">
      <c r="B281" s="484"/>
      <c r="C281" s="484"/>
      <c r="D281" s="484"/>
      <c r="E281" s="484"/>
      <c r="F281" s="484"/>
      <c r="G281" s="484"/>
      <c r="H281" s="484"/>
      <c r="I281" s="484"/>
      <c r="J281" s="484"/>
      <c r="K281" s="484"/>
      <c r="L281" s="484"/>
      <c r="M281" s="484"/>
    </row>
    <row r="282" ht="15.75" customHeight="1">
      <c r="B282" s="484"/>
      <c r="C282" s="484"/>
      <c r="D282" s="484"/>
      <c r="E282" s="484"/>
      <c r="F282" s="484"/>
      <c r="G282" s="484"/>
      <c r="H282" s="484"/>
      <c r="I282" s="484"/>
      <c r="J282" s="484"/>
      <c r="K282" s="484"/>
      <c r="L282" s="484"/>
      <c r="M282" s="484"/>
    </row>
    <row r="283" ht="15.75" customHeight="1">
      <c r="B283" s="484"/>
      <c r="C283" s="484"/>
      <c r="D283" s="484"/>
      <c r="E283" s="484"/>
      <c r="F283" s="484"/>
      <c r="G283" s="484"/>
      <c r="H283" s="484"/>
      <c r="I283" s="484"/>
      <c r="J283" s="484"/>
      <c r="K283" s="484"/>
      <c r="L283" s="484"/>
      <c r="M283" s="484"/>
    </row>
    <row r="284" ht="15.75" customHeight="1">
      <c r="B284" s="484"/>
      <c r="C284" s="484"/>
      <c r="D284" s="484"/>
      <c r="E284" s="484"/>
      <c r="F284" s="484"/>
      <c r="G284" s="484"/>
      <c r="H284" s="484"/>
      <c r="I284" s="484"/>
      <c r="J284" s="484"/>
      <c r="K284" s="484"/>
      <c r="L284" s="484"/>
      <c r="M284" s="484"/>
    </row>
    <row r="285" ht="15.75" customHeight="1">
      <c r="B285" s="484"/>
      <c r="C285" s="484"/>
      <c r="D285" s="484"/>
      <c r="E285" s="484"/>
      <c r="F285" s="484"/>
      <c r="G285" s="484"/>
      <c r="H285" s="484"/>
      <c r="I285" s="484"/>
      <c r="J285" s="484"/>
      <c r="K285" s="484"/>
      <c r="L285" s="484"/>
      <c r="M285" s="484"/>
    </row>
    <row r="286" ht="15.75" customHeight="1">
      <c r="B286" s="484"/>
      <c r="C286" s="484"/>
      <c r="D286" s="484"/>
      <c r="E286" s="484"/>
      <c r="F286" s="484"/>
      <c r="G286" s="484"/>
      <c r="H286" s="484"/>
      <c r="I286" s="484"/>
      <c r="J286" s="484"/>
      <c r="K286" s="484"/>
      <c r="L286" s="484"/>
      <c r="M286" s="484"/>
    </row>
    <row r="287" ht="15.75" customHeight="1">
      <c r="B287" s="484"/>
      <c r="C287" s="484"/>
      <c r="D287" s="484"/>
      <c r="E287" s="484"/>
      <c r="F287" s="484"/>
      <c r="G287" s="484"/>
      <c r="H287" s="484"/>
      <c r="I287" s="484"/>
      <c r="J287" s="484"/>
      <c r="K287" s="484"/>
      <c r="L287" s="484"/>
      <c r="M287" s="484"/>
    </row>
    <row r="288" ht="15.75" customHeight="1">
      <c r="B288" s="484"/>
      <c r="C288" s="484"/>
      <c r="D288" s="484"/>
      <c r="E288" s="484"/>
      <c r="F288" s="484"/>
      <c r="G288" s="484"/>
      <c r="H288" s="484"/>
      <c r="I288" s="484"/>
      <c r="J288" s="484"/>
      <c r="K288" s="484"/>
      <c r="L288" s="484"/>
      <c r="M288" s="484"/>
    </row>
  </sheetData>
  <printOptions/>
  <pageMargins bottom="0.75" footer="0.0" header="0.0" left="0.7" right="0.7" top="0.75"/>
  <pageSetup orientation="landscape"/>
  <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43"/>
    <col customWidth="1" min="2" max="2" width="20.29"/>
    <col customWidth="1" min="3" max="6" width="14.43"/>
  </cols>
  <sheetData>
    <row r="1" ht="12.75" customHeight="1">
      <c r="A1" s="156" t="s">
        <v>2017</v>
      </c>
      <c r="E1" s="161"/>
      <c r="F1" s="161"/>
      <c r="G1" s="161"/>
      <c r="H1" s="161"/>
      <c r="I1" s="161"/>
      <c r="J1" s="161"/>
      <c r="K1" s="161"/>
      <c r="L1" s="161"/>
      <c r="M1" s="161"/>
      <c r="N1" s="161"/>
      <c r="O1" s="161"/>
      <c r="P1" s="161"/>
      <c r="Q1" s="161"/>
      <c r="R1" s="161"/>
      <c r="S1" s="161"/>
      <c r="T1" s="161"/>
      <c r="U1" s="161"/>
      <c r="V1" s="161"/>
      <c r="W1" s="161"/>
      <c r="X1" s="161"/>
    </row>
    <row r="2" ht="12.75" customHeight="1">
      <c r="A2" s="158" t="s">
        <v>5498</v>
      </c>
      <c r="B2" s="159"/>
      <c r="C2" s="159"/>
      <c r="D2" s="160"/>
      <c r="E2" s="161"/>
      <c r="F2" s="161"/>
      <c r="G2" s="161"/>
      <c r="H2" s="161"/>
      <c r="I2" s="161"/>
      <c r="J2" s="161"/>
      <c r="K2" s="161"/>
      <c r="L2" s="161"/>
      <c r="M2" s="161"/>
      <c r="N2" s="161"/>
      <c r="O2" s="161"/>
      <c r="P2" s="161"/>
      <c r="Q2" s="161"/>
      <c r="R2" s="161"/>
      <c r="S2" s="161"/>
      <c r="T2" s="161"/>
      <c r="U2" s="161"/>
      <c r="V2" s="161"/>
      <c r="W2" s="161"/>
      <c r="X2" s="161"/>
    </row>
    <row r="3" ht="12.75" customHeight="1">
      <c r="A3" s="161"/>
      <c r="B3" s="161"/>
      <c r="C3" s="161"/>
      <c r="D3" s="161"/>
      <c r="E3" s="161"/>
      <c r="F3" s="161"/>
      <c r="G3" s="161"/>
      <c r="H3" s="161"/>
      <c r="I3" s="161"/>
      <c r="J3" s="161"/>
      <c r="K3" s="161"/>
      <c r="L3" s="161"/>
      <c r="M3" s="161"/>
      <c r="N3" s="161"/>
      <c r="O3" s="161"/>
      <c r="P3" s="161"/>
      <c r="Q3" s="161"/>
      <c r="R3" s="161"/>
      <c r="S3" s="161"/>
      <c r="T3" s="161"/>
      <c r="U3" s="161"/>
      <c r="V3" s="161"/>
      <c r="W3" s="161"/>
      <c r="X3" s="161"/>
    </row>
    <row r="4" ht="12.75" customHeight="1">
      <c r="A4" s="162" t="str">
        <f>HYPERLINK("www.emodal.com","EModal.com Payment ")</f>
        <v>EModal.com Payment </v>
      </c>
      <c r="B4" s="144"/>
      <c r="C4" s="144"/>
      <c r="D4" s="163"/>
      <c r="E4" s="161"/>
      <c r="F4" s="161"/>
      <c r="G4" s="161"/>
      <c r="H4" s="161"/>
      <c r="I4" s="161"/>
      <c r="J4" s="161"/>
      <c r="K4" s="161"/>
      <c r="L4" s="161"/>
      <c r="M4" s="161"/>
      <c r="N4" s="161"/>
      <c r="O4" s="161"/>
      <c r="P4" s="161"/>
      <c r="Q4" s="161"/>
      <c r="R4" s="161"/>
      <c r="S4" s="161"/>
      <c r="T4" s="161"/>
      <c r="U4" s="161"/>
      <c r="V4" s="161"/>
      <c r="W4" s="161"/>
      <c r="X4" s="161"/>
    </row>
    <row r="5" ht="12.75" customHeight="1">
      <c r="A5" s="164" t="s">
        <v>2019</v>
      </c>
      <c r="B5" s="164" t="s">
        <v>10</v>
      </c>
      <c r="C5" s="164" t="s">
        <v>5499</v>
      </c>
      <c r="D5" s="164" t="s">
        <v>5500</v>
      </c>
      <c r="E5" s="161"/>
      <c r="F5" s="161"/>
      <c r="G5" s="161"/>
      <c r="H5" s="161"/>
      <c r="I5" s="161"/>
      <c r="J5" s="161"/>
      <c r="K5" s="161"/>
      <c r="L5" s="161"/>
      <c r="M5" s="161"/>
      <c r="N5" s="161"/>
      <c r="O5" s="161"/>
      <c r="P5" s="161"/>
      <c r="Q5" s="161"/>
      <c r="R5" s="161"/>
      <c r="S5" s="161"/>
      <c r="T5" s="161"/>
      <c r="U5" s="161"/>
      <c r="V5" s="161"/>
      <c r="W5" s="161"/>
      <c r="X5" s="161"/>
    </row>
    <row r="6" ht="12.75" customHeight="1">
      <c r="A6" s="165">
        <v>32884.0</v>
      </c>
      <c r="B6" s="627" t="s">
        <v>12445</v>
      </c>
      <c r="C6" s="166">
        <v>43467.0</v>
      </c>
      <c r="D6" s="165" t="s">
        <v>12446</v>
      </c>
      <c r="E6" s="161"/>
      <c r="F6" s="161"/>
      <c r="G6" s="161"/>
      <c r="H6" s="161"/>
      <c r="I6" s="161"/>
      <c r="J6" s="161"/>
      <c r="K6" s="161"/>
      <c r="L6" s="161"/>
      <c r="M6" s="161"/>
      <c r="N6" s="161"/>
      <c r="O6" s="161"/>
      <c r="P6" s="161"/>
      <c r="Q6" s="161"/>
      <c r="R6" s="161"/>
      <c r="S6" s="161"/>
      <c r="T6" s="161"/>
      <c r="U6" s="161"/>
      <c r="V6" s="161"/>
      <c r="W6" s="161"/>
      <c r="X6" s="161"/>
    </row>
    <row r="7" ht="12.75" customHeight="1">
      <c r="A7" s="165">
        <v>32872.0</v>
      </c>
      <c r="B7" s="627" t="s">
        <v>12447</v>
      </c>
      <c r="C7" s="166">
        <v>43468.0</v>
      </c>
      <c r="D7" s="165" t="s">
        <v>12446</v>
      </c>
      <c r="E7" s="161"/>
      <c r="F7" s="161"/>
      <c r="G7" s="161"/>
      <c r="H7" s="161"/>
      <c r="I7" s="161"/>
      <c r="J7" s="161"/>
      <c r="K7" s="161"/>
      <c r="L7" s="161"/>
      <c r="M7" s="161"/>
      <c r="N7" s="161"/>
      <c r="O7" s="161"/>
      <c r="P7" s="161"/>
      <c r="Q7" s="161"/>
      <c r="R7" s="161"/>
      <c r="S7" s="161"/>
      <c r="T7" s="161"/>
      <c r="U7" s="161"/>
      <c r="V7" s="161"/>
      <c r="W7" s="161"/>
      <c r="X7" s="161"/>
    </row>
    <row r="8" ht="12.75" customHeight="1">
      <c r="A8" s="165">
        <v>32898.0</v>
      </c>
      <c r="B8" s="165" t="s">
        <v>3361</v>
      </c>
      <c r="C8" s="166">
        <v>43475.0</v>
      </c>
      <c r="D8" s="165" t="s">
        <v>3197</v>
      </c>
      <c r="E8" s="161"/>
      <c r="F8" s="161"/>
      <c r="G8" s="161"/>
      <c r="H8" s="161"/>
      <c r="I8" s="161"/>
      <c r="J8" s="161"/>
      <c r="K8" s="161"/>
      <c r="L8" s="161"/>
      <c r="M8" s="161"/>
      <c r="N8" s="161"/>
      <c r="O8" s="161"/>
      <c r="P8" s="161"/>
      <c r="Q8" s="161"/>
      <c r="R8" s="161"/>
      <c r="S8" s="161"/>
      <c r="T8" s="161"/>
      <c r="U8" s="161"/>
      <c r="V8" s="161"/>
      <c r="W8" s="161"/>
      <c r="X8" s="161"/>
    </row>
    <row r="9" ht="12.75" customHeight="1">
      <c r="A9" s="165">
        <v>32940.0</v>
      </c>
      <c r="B9" s="264" t="s">
        <v>2511</v>
      </c>
      <c r="C9" s="166">
        <v>43476.0</v>
      </c>
      <c r="D9" s="165" t="s">
        <v>3197</v>
      </c>
      <c r="E9" s="161"/>
      <c r="F9" s="161"/>
      <c r="G9" s="161"/>
      <c r="H9" s="161"/>
      <c r="I9" s="161"/>
      <c r="J9" s="161"/>
      <c r="K9" s="161"/>
      <c r="L9" s="161"/>
      <c r="M9" s="161"/>
      <c r="N9" s="161"/>
      <c r="O9" s="161"/>
      <c r="P9" s="161"/>
      <c r="Q9" s="161"/>
      <c r="R9" s="161"/>
      <c r="S9" s="161"/>
      <c r="T9" s="161"/>
      <c r="U9" s="161"/>
      <c r="V9" s="161"/>
      <c r="W9" s="161"/>
      <c r="X9" s="161"/>
    </row>
    <row r="10" ht="12.75" customHeight="1">
      <c r="A10" s="165">
        <v>32924.0</v>
      </c>
      <c r="B10" s="165" t="s">
        <v>2502</v>
      </c>
      <c r="C10" s="166">
        <v>43480.0</v>
      </c>
      <c r="D10" s="165" t="s">
        <v>2531</v>
      </c>
      <c r="E10" s="161"/>
      <c r="F10" s="161"/>
      <c r="G10" s="161"/>
      <c r="H10" s="161"/>
      <c r="I10" s="161"/>
      <c r="J10" s="161"/>
      <c r="K10" s="161"/>
      <c r="L10" s="161"/>
      <c r="M10" s="161"/>
      <c r="N10" s="161"/>
      <c r="O10" s="161"/>
      <c r="P10" s="161"/>
      <c r="Q10" s="161"/>
      <c r="R10" s="161"/>
      <c r="S10" s="161"/>
      <c r="T10" s="161"/>
      <c r="U10" s="161"/>
      <c r="V10" s="161"/>
      <c r="W10" s="161"/>
      <c r="X10" s="161"/>
    </row>
    <row r="11" ht="12.75" customHeight="1">
      <c r="A11" s="165">
        <v>32927.0</v>
      </c>
      <c r="B11" s="70" t="s">
        <v>2499</v>
      </c>
      <c r="C11" s="166">
        <v>43482.0</v>
      </c>
      <c r="D11" s="165" t="s">
        <v>3197</v>
      </c>
      <c r="E11" s="161"/>
      <c r="F11" s="161"/>
      <c r="G11" s="161"/>
      <c r="H11" s="161"/>
      <c r="I11" s="161"/>
      <c r="J11" s="161"/>
      <c r="K11" s="161"/>
      <c r="L11" s="161"/>
      <c r="M11" s="161"/>
      <c r="N11" s="161"/>
      <c r="O11" s="161"/>
      <c r="P11" s="161"/>
      <c r="Q11" s="161"/>
      <c r="R11" s="161"/>
      <c r="S11" s="161"/>
      <c r="T11" s="161"/>
      <c r="U11" s="161"/>
      <c r="V11" s="161"/>
      <c r="W11" s="161"/>
      <c r="X11" s="161"/>
    </row>
    <row r="12" ht="12.75" customHeight="1">
      <c r="A12" s="165">
        <v>32763.0</v>
      </c>
      <c r="B12" s="165" t="s">
        <v>3333</v>
      </c>
      <c r="C12" s="166">
        <v>43482.0</v>
      </c>
      <c r="D12" s="165" t="s">
        <v>3197</v>
      </c>
      <c r="E12" s="161"/>
      <c r="F12" s="161"/>
      <c r="G12" s="161"/>
      <c r="H12" s="161"/>
      <c r="I12" s="161"/>
      <c r="J12" s="161"/>
      <c r="K12" s="161"/>
      <c r="L12" s="161"/>
      <c r="M12" s="161"/>
      <c r="N12" s="161"/>
      <c r="O12" s="161"/>
      <c r="P12" s="161"/>
      <c r="Q12" s="161"/>
      <c r="R12" s="161"/>
      <c r="S12" s="161"/>
      <c r="T12" s="161"/>
      <c r="U12" s="161"/>
      <c r="V12" s="161"/>
      <c r="W12" s="161"/>
      <c r="X12" s="161"/>
    </row>
    <row r="13" ht="12.75" customHeight="1">
      <c r="A13" s="165">
        <v>32910.0</v>
      </c>
      <c r="B13" s="165" t="s">
        <v>3329</v>
      </c>
      <c r="C13" s="166">
        <v>43489.0</v>
      </c>
      <c r="D13" s="165" t="s">
        <v>12371</v>
      </c>
      <c r="E13" s="161"/>
      <c r="F13" s="161"/>
      <c r="G13" s="161"/>
      <c r="H13" s="161"/>
      <c r="I13" s="161"/>
      <c r="J13" s="161"/>
      <c r="K13" s="161"/>
      <c r="L13" s="161"/>
      <c r="M13" s="161"/>
      <c r="N13" s="161"/>
      <c r="O13" s="161"/>
      <c r="P13" s="161"/>
      <c r="Q13" s="161"/>
      <c r="R13" s="161"/>
      <c r="S13" s="161"/>
      <c r="T13" s="161"/>
      <c r="U13" s="161"/>
      <c r="V13" s="161"/>
      <c r="W13" s="161"/>
      <c r="X13" s="161"/>
    </row>
    <row r="14" ht="12.75" customHeight="1">
      <c r="A14" s="191">
        <v>32906.0</v>
      </c>
      <c r="B14" s="165" t="s">
        <v>3311</v>
      </c>
      <c r="C14" s="166">
        <v>43489.0</v>
      </c>
      <c r="D14" s="165" t="s">
        <v>12371</v>
      </c>
      <c r="E14" s="161"/>
      <c r="F14" s="161"/>
      <c r="G14" s="161"/>
      <c r="H14" s="161"/>
      <c r="I14" s="161"/>
      <c r="J14" s="161"/>
      <c r="K14" s="161"/>
      <c r="L14" s="161"/>
      <c r="M14" s="161"/>
      <c r="N14" s="161"/>
      <c r="O14" s="161"/>
      <c r="P14" s="161"/>
      <c r="Q14" s="161"/>
      <c r="R14" s="161"/>
      <c r="S14" s="161"/>
      <c r="T14" s="161"/>
      <c r="U14" s="161"/>
      <c r="V14" s="161"/>
      <c r="W14" s="161"/>
      <c r="X14" s="161"/>
    </row>
    <row r="15" ht="12.75" customHeight="1">
      <c r="A15" s="165">
        <v>32914.0</v>
      </c>
      <c r="B15" s="165" t="s">
        <v>3314</v>
      </c>
      <c r="C15" s="166">
        <v>43489.0</v>
      </c>
      <c r="D15" s="165" t="s">
        <v>12371</v>
      </c>
      <c r="E15" s="161"/>
      <c r="F15" s="161"/>
      <c r="G15" s="161"/>
      <c r="H15" s="161"/>
      <c r="I15" s="161"/>
      <c r="J15" s="161"/>
      <c r="K15" s="161"/>
      <c r="L15" s="161"/>
      <c r="M15" s="161"/>
      <c r="N15" s="161"/>
      <c r="O15" s="161"/>
      <c r="P15" s="161"/>
      <c r="Q15" s="161"/>
      <c r="R15" s="161"/>
      <c r="S15" s="161"/>
      <c r="T15" s="161"/>
      <c r="U15" s="161"/>
      <c r="V15" s="161"/>
      <c r="W15" s="161"/>
      <c r="X15" s="161"/>
    </row>
    <row r="16" ht="12.75" customHeight="1">
      <c r="A16" s="165">
        <v>32960.0</v>
      </c>
      <c r="B16" s="165" t="s">
        <v>3291</v>
      </c>
      <c r="C16" s="166">
        <v>43495.0</v>
      </c>
      <c r="D16" s="165" t="s">
        <v>2755</v>
      </c>
      <c r="E16" s="161"/>
      <c r="F16" s="161"/>
      <c r="G16" s="161"/>
      <c r="H16" s="161"/>
      <c r="I16" s="161"/>
      <c r="J16" s="161"/>
      <c r="K16" s="161"/>
      <c r="L16" s="161"/>
      <c r="M16" s="161"/>
      <c r="N16" s="161"/>
      <c r="O16" s="161"/>
      <c r="P16" s="161"/>
      <c r="Q16" s="161"/>
      <c r="R16" s="161"/>
      <c r="S16" s="161"/>
      <c r="T16" s="161"/>
      <c r="U16" s="161"/>
      <c r="V16" s="161"/>
      <c r="W16" s="161"/>
      <c r="X16" s="161"/>
    </row>
    <row r="17" ht="12.75" customHeight="1">
      <c r="A17" s="165">
        <v>32941.0</v>
      </c>
      <c r="B17" s="628" t="s">
        <v>2497</v>
      </c>
      <c r="C17" s="166">
        <v>43495.0</v>
      </c>
      <c r="D17" s="165" t="s">
        <v>2755</v>
      </c>
      <c r="E17" s="161"/>
      <c r="F17" s="161"/>
      <c r="G17" s="161"/>
      <c r="H17" s="161"/>
      <c r="I17" s="161"/>
      <c r="J17" s="161"/>
      <c r="K17" s="161"/>
      <c r="L17" s="161"/>
      <c r="M17" s="161"/>
      <c r="N17" s="161"/>
      <c r="O17" s="161"/>
      <c r="P17" s="161"/>
      <c r="Q17" s="161"/>
      <c r="R17" s="161"/>
      <c r="S17" s="161"/>
      <c r="T17" s="161"/>
      <c r="U17" s="161"/>
      <c r="V17" s="161"/>
      <c r="W17" s="161"/>
      <c r="X17" s="161"/>
    </row>
    <row r="18" ht="12.75" customHeight="1">
      <c r="A18" s="165">
        <v>32835.0</v>
      </c>
      <c r="B18" s="165" t="s">
        <v>3294</v>
      </c>
      <c r="C18" s="166">
        <v>43501.0</v>
      </c>
      <c r="D18" s="165" t="s">
        <v>2755</v>
      </c>
      <c r="E18" s="161"/>
      <c r="F18" s="161"/>
      <c r="G18" s="161"/>
      <c r="H18" s="161"/>
      <c r="I18" s="161"/>
      <c r="J18" s="161"/>
      <c r="K18" s="161"/>
      <c r="L18" s="161"/>
      <c r="M18" s="161"/>
      <c r="N18" s="161"/>
      <c r="O18" s="161"/>
      <c r="P18" s="161"/>
      <c r="Q18" s="161"/>
      <c r="R18" s="161"/>
      <c r="S18" s="161"/>
      <c r="T18" s="161"/>
      <c r="U18" s="161"/>
      <c r="V18" s="161"/>
      <c r="W18" s="161"/>
      <c r="X18" s="161"/>
    </row>
    <row r="19" ht="12.75" customHeight="1">
      <c r="A19" s="165">
        <v>33010.0</v>
      </c>
      <c r="B19" s="165" t="s">
        <v>12448</v>
      </c>
      <c r="C19" s="166">
        <v>43507.0</v>
      </c>
      <c r="D19" s="165" t="s">
        <v>2755</v>
      </c>
      <c r="E19" s="161"/>
      <c r="F19" s="161"/>
      <c r="G19" s="161"/>
      <c r="H19" s="161"/>
      <c r="I19" s="161"/>
      <c r="J19" s="161"/>
      <c r="K19" s="161"/>
      <c r="L19" s="161"/>
      <c r="M19" s="161"/>
      <c r="N19" s="161"/>
      <c r="O19" s="161"/>
      <c r="P19" s="161"/>
      <c r="Q19" s="161"/>
      <c r="R19" s="161"/>
      <c r="S19" s="161"/>
      <c r="T19" s="161"/>
      <c r="U19" s="161"/>
      <c r="V19" s="161"/>
      <c r="W19" s="161"/>
      <c r="X19" s="161"/>
    </row>
    <row r="20" ht="12.75" customHeight="1">
      <c r="A20" s="165">
        <v>33010.0</v>
      </c>
      <c r="B20" s="167" t="s">
        <v>12449</v>
      </c>
      <c r="C20" s="166">
        <v>43507.0</v>
      </c>
      <c r="D20" s="165" t="s">
        <v>2755</v>
      </c>
      <c r="E20" s="161"/>
      <c r="F20" s="161"/>
      <c r="G20" s="161"/>
      <c r="H20" s="161"/>
      <c r="I20" s="161"/>
      <c r="J20" s="161"/>
      <c r="K20" s="161"/>
      <c r="L20" s="161"/>
      <c r="M20" s="161"/>
      <c r="N20" s="161"/>
      <c r="O20" s="161"/>
      <c r="P20" s="161"/>
      <c r="Q20" s="161"/>
      <c r="R20" s="161"/>
      <c r="S20" s="161"/>
      <c r="T20" s="161"/>
      <c r="U20" s="161"/>
      <c r="V20" s="161"/>
      <c r="W20" s="161"/>
      <c r="X20" s="161"/>
    </row>
    <row r="21" ht="12.75" customHeight="1">
      <c r="A21" s="165">
        <v>32835.0</v>
      </c>
      <c r="B21" s="629" t="s">
        <v>3294</v>
      </c>
      <c r="C21" s="170">
        <v>43507.0</v>
      </c>
      <c r="D21" s="165" t="s">
        <v>2755</v>
      </c>
      <c r="E21" s="161"/>
      <c r="F21" s="161"/>
      <c r="G21" s="161"/>
      <c r="H21" s="161"/>
      <c r="I21" s="161"/>
      <c r="J21" s="161"/>
      <c r="K21" s="161"/>
      <c r="L21" s="161"/>
      <c r="M21" s="161"/>
      <c r="N21" s="161"/>
      <c r="O21" s="161"/>
      <c r="P21" s="161"/>
      <c r="Q21" s="161"/>
      <c r="R21" s="161"/>
      <c r="S21" s="161"/>
      <c r="T21" s="161"/>
      <c r="U21" s="161"/>
      <c r="V21" s="161"/>
      <c r="W21" s="161"/>
      <c r="X21" s="161"/>
    </row>
    <row r="22" ht="12.75" customHeight="1">
      <c r="A22" s="630">
        <v>33009.0</v>
      </c>
      <c r="B22" s="165" t="s">
        <v>2462</v>
      </c>
      <c r="C22" s="166">
        <v>43508.0</v>
      </c>
      <c r="D22" s="165" t="s">
        <v>2755</v>
      </c>
      <c r="E22" s="161"/>
      <c r="F22" s="161"/>
      <c r="G22" s="161"/>
      <c r="H22" s="161"/>
      <c r="I22" s="161"/>
      <c r="J22" s="161"/>
      <c r="K22" s="161"/>
      <c r="L22" s="161"/>
      <c r="M22" s="161"/>
      <c r="N22" s="161"/>
      <c r="O22" s="161"/>
      <c r="P22" s="161"/>
      <c r="Q22" s="161"/>
      <c r="R22" s="161"/>
      <c r="S22" s="161"/>
      <c r="T22" s="161"/>
      <c r="U22" s="161"/>
      <c r="V22" s="161"/>
      <c r="W22" s="161"/>
      <c r="X22" s="161"/>
    </row>
    <row r="23" ht="12.75" customHeight="1">
      <c r="A23" s="165">
        <v>33033.0</v>
      </c>
      <c r="B23" s="165" t="s">
        <v>12450</v>
      </c>
      <c r="C23" s="166">
        <v>43508.0</v>
      </c>
      <c r="D23" s="165" t="s">
        <v>2755</v>
      </c>
      <c r="E23" s="161"/>
      <c r="F23" s="161"/>
      <c r="G23" s="161"/>
      <c r="H23" s="161"/>
      <c r="I23" s="161"/>
      <c r="J23" s="161"/>
      <c r="K23" s="161"/>
      <c r="L23" s="161"/>
      <c r="M23" s="161"/>
      <c r="N23" s="161"/>
      <c r="O23" s="161"/>
      <c r="P23" s="161"/>
      <c r="Q23" s="161"/>
      <c r="R23" s="161"/>
      <c r="S23" s="161"/>
      <c r="T23" s="161"/>
      <c r="U23" s="161"/>
      <c r="V23" s="161"/>
      <c r="W23" s="161"/>
      <c r="X23" s="161"/>
    </row>
    <row r="24" ht="12.75" customHeight="1">
      <c r="A24" s="165">
        <v>33033.0</v>
      </c>
      <c r="B24" s="165" t="s">
        <v>12451</v>
      </c>
      <c r="C24" s="166">
        <v>43508.0</v>
      </c>
      <c r="D24" s="165" t="s">
        <v>2755</v>
      </c>
      <c r="E24" s="161"/>
      <c r="F24" s="161"/>
      <c r="G24" s="161"/>
      <c r="H24" s="161"/>
      <c r="I24" s="161"/>
      <c r="J24" s="161"/>
      <c r="K24" s="161"/>
      <c r="L24" s="161"/>
      <c r="M24" s="161"/>
      <c r="N24" s="161"/>
      <c r="O24" s="161"/>
      <c r="P24" s="161"/>
      <c r="Q24" s="161"/>
      <c r="R24" s="161"/>
      <c r="S24" s="161"/>
      <c r="T24" s="161"/>
      <c r="U24" s="161"/>
      <c r="V24" s="161"/>
      <c r="W24" s="161"/>
      <c r="X24" s="161"/>
    </row>
    <row r="25" ht="12.75" customHeight="1">
      <c r="A25" s="165">
        <v>33013.0</v>
      </c>
      <c r="B25" s="165" t="s">
        <v>3276</v>
      </c>
      <c r="C25" s="166">
        <v>43515.0</v>
      </c>
      <c r="D25" s="165" t="s">
        <v>2755</v>
      </c>
      <c r="E25" s="161"/>
      <c r="F25" s="161"/>
      <c r="G25" s="161"/>
      <c r="H25" s="161"/>
      <c r="I25" s="161"/>
      <c r="J25" s="161"/>
      <c r="K25" s="161"/>
      <c r="L25" s="161"/>
      <c r="M25" s="161"/>
      <c r="N25" s="161"/>
      <c r="O25" s="161"/>
      <c r="P25" s="161"/>
      <c r="Q25" s="161"/>
      <c r="R25" s="161"/>
      <c r="S25" s="161"/>
      <c r="T25" s="161"/>
      <c r="U25" s="161"/>
      <c r="V25" s="161"/>
      <c r="W25" s="161"/>
      <c r="X25" s="161"/>
    </row>
    <row r="26" ht="12.75" customHeight="1">
      <c r="A26" s="165">
        <v>33012.0</v>
      </c>
      <c r="B26" s="165" t="s">
        <v>3279</v>
      </c>
      <c r="C26" s="166">
        <v>43515.0</v>
      </c>
      <c r="D26" s="165" t="s">
        <v>2755</v>
      </c>
      <c r="E26" s="161"/>
      <c r="F26" s="161"/>
      <c r="G26" s="161"/>
      <c r="H26" s="161"/>
      <c r="I26" s="161"/>
      <c r="J26" s="161"/>
      <c r="K26" s="161"/>
      <c r="L26" s="161"/>
      <c r="M26" s="161"/>
      <c r="N26" s="161"/>
      <c r="O26" s="161"/>
      <c r="P26" s="161"/>
      <c r="Q26" s="161"/>
      <c r="R26" s="161"/>
      <c r="S26" s="161"/>
      <c r="T26" s="161"/>
      <c r="U26" s="161"/>
      <c r="V26" s="161"/>
      <c r="W26" s="161"/>
      <c r="X26" s="161"/>
    </row>
    <row r="27" ht="12.75" customHeight="1">
      <c r="A27" s="165">
        <v>32916.0</v>
      </c>
      <c r="B27" s="165" t="s">
        <v>3273</v>
      </c>
      <c r="C27" s="170">
        <v>43516.0</v>
      </c>
      <c r="D27" s="165" t="s">
        <v>2755</v>
      </c>
      <c r="E27" s="161"/>
      <c r="F27" s="161"/>
      <c r="G27" s="161"/>
      <c r="H27" s="161"/>
      <c r="I27" s="161"/>
      <c r="J27" s="161"/>
      <c r="K27" s="161"/>
      <c r="L27" s="161"/>
      <c r="M27" s="161"/>
      <c r="N27" s="161"/>
      <c r="O27" s="161"/>
      <c r="P27" s="161"/>
      <c r="Q27" s="161"/>
      <c r="R27" s="161"/>
      <c r="S27" s="161"/>
      <c r="T27" s="161"/>
      <c r="U27" s="161"/>
      <c r="V27" s="161"/>
      <c r="W27" s="161"/>
      <c r="X27" s="161"/>
    </row>
    <row r="28" ht="12.75" customHeight="1">
      <c r="A28" s="165">
        <v>33036.0</v>
      </c>
      <c r="B28" s="165" t="s">
        <v>2447</v>
      </c>
      <c r="C28" s="166">
        <v>43518.0</v>
      </c>
      <c r="D28" s="165" t="s">
        <v>2755</v>
      </c>
      <c r="E28" s="161"/>
      <c r="F28" s="161"/>
      <c r="G28" s="161"/>
      <c r="H28" s="161"/>
      <c r="I28" s="161"/>
      <c r="J28" s="161"/>
      <c r="K28" s="161"/>
      <c r="L28" s="161"/>
      <c r="M28" s="161"/>
      <c r="N28" s="161"/>
      <c r="O28" s="161"/>
      <c r="P28" s="161"/>
      <c r="Q28" s="161"/>
      <c r="R28" s="161"/>
      <c r="S28" s="161"/>
      <c r="T28" s="161"/>
      <c r="U28" s="161"/>
      <c r="V28" s="161"/>
      <c r="W28" s="161"/>
      <c r="X28" s="161"/>
    </row>
    <row r="29" ht="12.75" customHeight="1">
      <c r="A29" s="165">
        <v>33102.0</v>
      </c>
      <c r="B29" s="165" t="s">
        <v>12452</v>
      </c>
      <c r="C29" s="166">
        <v>43536.0</v>
      </c>
      <c r="D29" s="165" t="s">
        <v>2755</v>
      </c>
      <c r="E29" s="161"/>
      <c r="F29" s="161"/>
      <c r="G29" s="161"/>
      <c r="H29" s="161"/>
      <c r="I29" s="161"/>
      <c r="J29" s="161"/>
      <c r="K29" s="161"/>
      <c r="L29" s="161"/>
      <c r="M29" s="161"/>
      <c r="N29" s="161"/>
      <c r="O29" s="161"/>
      <c r="P29" s="161"/>
      <c r="Q29" s="161"/>
      <c r="R29" s="161"/>
      <c r="S29" s="161"/>
      <c r="T29" s="161"/>
      <c r="U29" s="161"/>
      <c r="V29" s="161"/>
      <c r="W29" s="161"/>
      <c r="X29" s="161"/>
    </row>
    <row r="30" ht="12.75" customHeight="1">
      <c r="A30" s="165">
        <v>33102.0</v>
      </c>
      <c r="B30" s="165" t="s">
        <v>12453</v>
      </c>
      <c r="C30" s="166">
        <v>43536.0</v>
      </c>
      <c r="D30" s="165" t="s">
        <v>2755</v>
      </c>
      <c r="E30" s="161"/>
      <c r="F30" s="161"/>
      <c r="G30" s="161"/>
      <c r="H30" s="161"/>
      <c r="I30" s="161"/>
      <c r="J30" s="161"/>
      <c r="K30" s="161"/>
      <c r="L30" s="161"/>
      <c r="M30" s="161"/>
      <c r="N30" s="161"/>
      <c r="O30" s="161"/>
      <c r="P30" s="161"/>
      <c r="Q30" s="161"/>
      <c r="R30" s="161"/>
      <c r="S30" s="161"/>
      <c r="T30" s="161"/>
      <c r="U30" s="161"/>
      <c r="V30" s="161"/>
      <c r="W30" s="161"/>
      <c r="X30" s="161"/>
    </row>
    <row r="31" ht="12.75" customHeight="1">
      <c r="A31" s="165">
        <v>33031.0</v>
      </c>
      <c r="B31" s="165" t="s">
        <v>3241</v>
      </c>
      <c r="C31" s="166">
        <v>43538.0</v>
      </c>
      <c r="D31" s="165" t="s">
        <v>2755</v>
      </c>
      <c r="E31" s="161"/>
      <c r="F31" s="161"/>
      <c r="G31" s="161"/>
      <c r="H31" s="161"/>
      <c r="I31" s="161"/>
      <c r="J31" s="161"/>
      <c r="K31" s="161"/>
      <c r="L31" s="161"/>
      <c r="M31" s="161"/>
      <c r="N31" s="161"/>
      <c r="O31" s="161"/>
      <c r="P31" s="161"/>
      <c r="Q31" s="161"/>
      <c r="R31" s="161"/>
      <c r="S31" s="161"/>
      <c r="T31" s="161"/>
      <c r="U31" s="161"/>
      <c r="V31" s="161"/>
      <c r="W31" s="161"/>
      <c r="X31" s="161"/>
    </row>
    <row r="32" ht="12.75" customHeight="1">
      <c r="A32" s="165">
        <v>32746.0</v>
      </c>
      <c r="B32" s="165" t="s">
        <v>3249</v>
      </c>
      <c r="C32" s="166">
        <v>43538.0</v>
      </c>
      <c r="D32" s="165" t="s">
        <v>2755</v>
      </c>
      <c r="E32" s="161"/>
      <c r="F32" s="161"/>
      <c r="G32" s="161"/>
      <c r="H32" s="161"/>
      <c r="I32" s="161"/>
      <c r="J32" s="161"/>
      <c r="K32" s="161"/>
      <c r="L32" s="161"/>
      <c r="M32" s="161"/>
      <c r="N32" s="161"/>
      <c r="O32" s="161"/>
      <c r="P32" s="161"/>
      <c r="Q32" s="161"/>
      <c r="R32" s="161"/>
      <c r="S32" s="161"/>
      <c r="T32" s="161"/>
      <c r="U32" s="161"/>
      <c r="V32" s="161"/>
      <c r="W32" s="161"/>
      <c r="X32" s="161"/>
    </row>
    <row r="33" ht="12.75" customHeight="1">
      <c r="A33" s="165">
        <v>33107.0</v>
      </c>
      <c r="B33" s="631" t="s">
        <v>2413</v>
      </c>
      <c r="C33" s="166">
        <v>43556.0</v>
      </c>
      <c r="D33" s="165" t="s">
        <v>2755</v>
      </c>
      <c r="E33" s="161"/>
      <c r="F33" s="161"/>
      <c r="G33" s="161"/>
      <c r="H33" s="161"/>
      <c r="I33" s="161"/>
      <c r="J33" s="161"/>
      <c r="K33" s="161"/>
      <c r="L33" s="161"/>
      <c r="M33" s="161"/>
      <c r="N33" s="161"/>
      <c r="O33" s="161"/>
      <c r="P33" s="161"/>
      <c r="Q33" s="161"/>
      <c r="R33" s="161"/>
      <c r="S33" s="161"/>
      <c r="T33" s="161"/>
      <c r="U33" s="161"/>
      <c r="V33" s="161"/>
      <c r="W33" s="161"/>
      <c r="X33" s="161"/>
    </row>
    <row r="34" ht="12.75" customHeight="1">
      <c r="A34" s="165">
        <v>33121.0</v>
      </c>
      <c r="B34" s="165" t="s">
        <v>3223</v>
      </c>
      <c r="C34" s="166">
        <v>43557.0</v>
      </c>
      <c r="D34" s="165" t="s">
        <v>2755</v>
      </c>
      <c r="E34" s="161"/>
      <c r="F34" s="161"/>
      <c r="G34" s="161"/>
      <c r="H34" s="161"/>
      <c r="I34" s="161"/>
      <c r="J34" s="161"/>
      <c r="K34" s="161"/>
      <c r="L34" s="161"/>
      <c r="M34" s="161"/>
      <c r="N34" s="161"/>
      <c r="O34" s="161"/>
      <c r="P34" s="161"/>
      <c r="Q34" s="161"/>
      <c r="R34" s="161"/>
      <c r="S34" s="161"/>
      <c r="T34" s="161"/>
      <c r="U34" s="161"/>
      <c r="V34" s="161"/>
      <c r="W34" s="161"/>
      <c r="X34" s="161"/>
    </row>
    <row r="35" ht="12.75" customHeight="1">
      <c r="A35" s="165">
        <v>33137.0</v>
      </c>
      <c r="B35" s="165" t="s">
        <v>2411</v>
      </c>
      <c r="C35" s="166">
        <v>43560.0</v>
      </c>
      <c r="D35" s="165" t="s">
        <v>2755</v>
      </c>
      <c r="E35" s="161"/>
      <c r="F35" s="161"/>
      <c r="G35" s="161"/>
      <c r="H35" s="161"/>
      <c r="I35" s="161"/>
      <c r="J35" s="161"/>
      <c r="K35" s="161"/>
      <c r="L35" s="161"/>
      <c r="M35" s="161"/>
      <c r="N35" s="161"/>
      <c r="O35" s="161"/>
      <c r="P35" s="161"/>
      <c r="Q35" s="161"/>
      <c r="R35" s="161"/>
      <c r="S35" s="161"/>
      <c r="T35" s="161"/>
      <c r="U35" s="161"/>
      <c r="V35" s="161"/>
      <c r="W35" s="161"/>
      <c r="X35" s="161"/>
    </row>
    <row r="36" ht="12.75" customHeight="1">
      <c r="A36" s="165">
        <v>33201.0</v>
      </c>
      <c r="B36" s="165" t="s">
        <v>2405</v>
      </c>
      <c r="C36" s="170">
        <v>43563.0</v>
      </c>
      <c r="D36" s="165" t="s">
        <v>2755</v>
      </c>
      <c r="E36" s="161"/>
      <c r="F36" s="161"/>
      <c r="G36" s="161"/>
      <c r="H36" s="161"/>
      <c r="I36" s="161"/>
      <c r="J36" s="161"/>
      <c r="K36" s="161"/>
      <c r="L36" s="161"/>
      <c r="M36" s="161"/>
      <c r="N36" s="161"/>
      <c r="O36" s="161"/>
      <c r="P36" s="161"/>
      <c r="Q36" s="161"/>
      <c r="R36" s="161"/>
      <c r="S36" s="161"/>
      <c r="T36" s="161"/>
      <c r="U36" s="161"/>
      <c r="V36" s="161"/>
      <c r="W36" s="161"/>
      <c r="X36" s="161"/>
    </row>
    <row r="37" ht="12.75" customHeight="1">
      <c r="A37" s="165">
        <v>33143.0</v>
      </c>
      <c r="B37" s="165" t="s">
        <v>3211</v>
      </c>
      <c r="C37" s="170">
        <v>43565.0</v>
      </c>
      <c r="D37" s="165" t="s">
        <v>2755</v>
      </c>
      <c r="E37" s="161"/>
      <c r="F37" s="161"/>
      <c r="G37" s="161"/>
      <c r="H37" s="161"/>
      <c r="I37" s="161"/>
      <c r="J37" s="161"/>
      <c r="K37" s="161"/>
      <c r="L37" s="161"/>
      <c r="M37" s="161"/>
      <c r="N37" s="161"/>
      <c r="O37" s="161"/>
      <c r="P37" s="161"/>
      <c r="Q37" s="161"/>
      <c r="R37" s="161"/>
      <c r="S37" s="161"/>
      <c r="T37" s="161"/>
      <c r="U37" s="161"/>
      <c r="V37" s="161"/>
      <c r="W37" s="161"/>
      <c r="X37" s="161"/>
    </row>
    <row r="38" ht="12.75" customHeight="1">
      <c r="A38" s="165">
        <v>33153.0</v>
      </c>
      <c r="B38" s="632" t="s">
        <v>3196</v>
      </c>
      <c r="C38" s="170">
        <v>43567.0</v>
      </c>
      <c r="D38" s="165" t="s">
        <v>2755</v>
      </c>
      <c r="E38" s="161"/>
      <c r="F38" s="161"/>
      <c r="G38" s="161"/>
      <c r="H38" s="161"/>
      <c r="I38" s="161"/>
      <c r="J38" s="161"/>
      <c r="K38" s="161"/>
      <c r="L38" s="161"/>
      <c r="M38" s="161"/>
      <c r="N38" s="161"/>
      <c r="O38" s="161"/>
      <c r="P38" s="161"/>
      <c r="Q38" s="161"/>
      <c r="R38" s="161"/>
      <c r="S38" s="161"/>
      <c r="T38" s="161"/>
      <c r="U38" s="161"/>
      <c r="V38" s="161"/>
      <c r="W38" s="161"/>
      <c r="X38" s="161"/>
    </row>
    <row r="39" ht="12.75" customHeight="1">
      <c r="A39" s="165">
        <v>33079.0</v>
      </c>
      <c r="B39" s="12" t="s">
        <v>3186</v>
      </c>
      <c r="C39" s="170">
        <v>43574.0</v>
      </c>
      <c r="D39" s="165" t="s">
        <v>2755</v>
      </c>
      <c r="E39" s="161"/>
      <c r="F39" s="161"/>
      <c r="G39" s="161"/>
      <c r="H39" s="161"/>
      <c r="I39" s="161"/>
      <c r="J39" s="161"/>
      <c r="K39" s="161"/>
      <c r="L39" s="161"/>
      <c r="M39" s="161"/>
      <c r="N39" s="161"/>
      <c r="O39" s="161"/>
      <c r="P39" s="161"/>
      <c r="Q39" s="161"/>
      <c r="R39" s="161"/>
      <c r="S39" s="161"/>
      <c r="T39" s="161"/>
      <c r="U39" s="161"/>
      <c r="V39" s="161"/>
      <c r="W39" s="161"/>
      <c r="X39" s="161"/>
    </row>
    <row r="40" ht="12.75" customHeight="1">
      <c r="A40" s="165">
        <v>33202.0</v>
      </c>
      <c r="B40" s="167" t="s">
        <v>2392</v>
      </c>
      <c r="C40" s="170">
        <v>43577.0</v>
      </c>
      <c r="D40" s="165" t="s">
        <v>2755</v>
      </c>
      <c r="E40" s="161"/>
      <c r="F40" s="161"/>
      <c r="G40" s="161"/>
      <c r="H40" s="161"/>
      <c r="I40" s="161"/>
      <c r="J40" s="161"/>
      <c r="K40" s="161"/>
      <c r="L40" s="161"/>
      <c r="M40" s="161"/>
      <c r="N40" s="161"/>
      <c r="O40" s="161"/>
      <c r="P40" s="161"/>
      <c r="Q40" s="161"/>
      <c r="R40" s="161"/>
      <c r="S40" s="161"/>
      <c r="T40" s="161"/>
      <c r="U40" s="161"/>
      <c r="V40" s="161"/>
      <c r="W40" s="161"/>
      <c r="X40" s="161"/>
    </row>
    <row r="41" ht="12.75" customHeight="1">
      <c r="A41" s="165">
        <v>33216.0</v>
      </c>
      <c r="B41" s="167" t="s">
        <v>3180</v>
      </c>
      <c r="C41" s="170">
        <v>43578.0</v>
      </c>
      <c r="D41" s="165" t="s">
        <v>2755</v>
      </c>
      <c r="E41" s="161"/>
      <c r="F41" s="161"/>
      <c r="G41" s="161"/>
      <c r="H41" s="161"/>
      <c r="I41" s="161"/>
      <c r="J41" s="161"/>
      <c r="K41" s="161"/>
      <c r="L41" s="161"/>
      <c r="M41" s="161"/>
      <c r="N41" s="161"/>
      <c r="O41" s="161"/>
      <c r="P41" s="161"/>
      <c r="Q41" s="161"/>
      <c r="R41" s="161"/>
      <c r="S41" s="161"/>
      <c r="T41" s="161"/>
      <c r="U41" s="161"/>
      <c r="V41" s="161"/>
      <c r="W41" s="161"/>
      <c r="X41" s="161"/>
    </row>
    <row r="42" ht="12.75" customHeight="1">
      <c r="A42" s="165">
        <v>33184.0</v>
      </c>
      <c r="B42" s="167" t="s">
        <v>2396</v>
      </c>
      <c r="C42" s="170">
        <v>43579.0</v>
      </c>
      <c r="D42" s="165" t="s">
        <v>2755</v>
      </c>
      <c r="E42" s="161"/>
      <c r="F42" s="161"/>
      <c r="G42" s="161"/>
      <c r="H42" s="161"/>
      <c r="I42" s="161"/>
      <c r="J42" s="161"/>
      <c r="K42" s="161"/>
      <c r="L42" s="161"/>
      <c r="M42" s="161"/>
      <c r="N42" s="161"/>
      <c r="O42" s="161"/>
      <c r="P42" s="161"/>
      <c r="Q42" s="161"/>
      <c r="R42" s="161"/>
      <c r="S42" s="161"/>
      <c r="T42" s="161"/>
      <c r="U42" s="161"/>
      <c r="V42" s="161"/>
      <c r="W42" s="161"/>
      <c r="X42" s="161"/>
    </row>
    <row r="43" ht="12.75" customHeight="1">
      <c r="A43" s="165">
        <v>33218.0</v>
      </c>
      <c r="B43" s="167" t="s">
        <v>3182</v>
      </c>
      <c r="C43" s="170">
        <v>43579.0</v>
      </c>
      <c r="D43" s="165" t="s">
        <v>2755</v>
      </c>
      <c r="E43" s="161"/>
      <c r="F43" s="161"/>
      <c r="G43" s="161"/>
      <c r="H43" s="161"/>
      <c r="I43" s="161"/>
      <c r="J43" s="161"/>
      <c r="K43" s="161"/>
      <c r="L43" s="161"/>
      <c r="M43" s="161"/>
      <c r="N43" s="161"/>
      <c r="O43" s="161"/>
      <c r="P43" s="161"/>
      <c r="Q43" s="161"/>
      <c r="R43" s="161"/>
      <c r="S43" s="161"/>
      <c r="T43" s="161"/>
      <c r="U43" s="161"/>
      <c r="V43" s="161"/>
      <c r="W43" s="161"/>
      <c r="X43" s="161"/>
    </row>
    <row r="44" ht="12.75" customHeight="1">
      <c r="A44" s="165">
        <v>32984.0</v>
      </c>
      <c r="B44" s="167" t="s">
        <v>3175</v>
      </c>
      <c r="C44" s="170">
        <v>43586.0</v>
      </c>
      <c r="D44" s="165" t="s">
        <v>2755</v>
      </c>
      <c r="E44" s="161"/>
      <c r="F44" s="161"/>
      <c r="G44" s="161"/>
      <c r="H44" s="161"/>
      <c r="I44" s="161"/>
      <c r="J44" s="161"/>
      <c r="K44" s="161"/>
      <c r="L44" s="161"/>
      <c r="M44" s="161"/>
      <c r="N44" s="161"/>
      <c r="O44" s="161"/>
      <c r="P44" s="161"/>
      <c r="Q44" s="161"/>
      <c r="R44" s="161"/>
      <c r="S44" s="161"/>
      <c r="T44" s="161"/>
      <c r="U44" s="161"/>
      <c r="V44" s="161"/>
      <c r="W44" s="161"/>
      <c r="X44" s="161"/>
    </row>
    <row r="45" ht="12.75" customHeight="1">
      <c r="A45" s="165">
        <v>33092.0</v>
      </c>
      <c r="B45" s="12" t="s">
        <v>3168</v>
      </c>
      <c r="C45" s="170">
        <v>43586.0</v>
      </c>
      <c r="D45" s="165" t="s">
        <v>2755</v>
      </c>
      <c r="E45" s="161"/>
      <c r="F45" s="161"/>
      <c r="G45" s="161"/>
      <c r="H45" s="161"/>
      <c r="I45" s="161"/>
      <c r="J45" s="161"/>
      <c r="K45" s="161"/>
      <c r="L45" s="161"/>
      <c r="M45" s="161"/>
      <c r="N45" s="161"/>
      <c r="O45" s="161"/>
      <c r="P45" s="161"/>
      <c r="Q45" s="161"/>
      <c r="R45" s="161"/>
      <c r="S45" s="161"/>
      <c r="T45" s="161"/>
      <c r="U45" s="161"/>
      <c r="V45" s="161"/>
      <c r="W45" s="161"/>
      <c r="X45" s="161"/>
    </row>
    <row r="46" ht="12.75" customHeight="1">
      <c r="A46" s="165">
        <v>33072.0</v>
      </c>
      <c r="B46" s="632" t="s">
        <v>3158</v>
      </c>
      <c r="C46" s="633" t="s">
        <v>12454</v>
      </c>
      <c r="D46" s="165" t="s">
        <v>2755</v>
      </c>
      <c r="E46" s="161"/>
      <c r="F46" s="161"/>
      <c r="G46" s="161"/>
      <c r="H46" s="161"/>
      <c r="I46" s="161"/>
      <c r="J46" s="161"/>
      <c r="K46" s="161"/>
      <c r="L46" s="161"/>
      <c r="M46" s="161"/>
      <c r="N46" s="161"/>
      <c r="O46" s="161"/>
      <c r="P46" s="161"/>
      <c r="Q46" s="161"/>
      <c r="R46" s="161"/>
      <c r="S46" s="161"/>
      <c r="T46" s="161"/>
      <c r="U46" s="161"/>
      <c r="V46" s="161"/>
      <c r="W46" s="161"/>
      <c r="X46" s="161"/>
    </row>
    <row r="47" ht="12.75" customHeight="1">
      <c r="A47" s="165">
        <v>33243.0</v>
      </c>
      <c r="B47" s="165" t="s">
        <v>3151</v>
      </c>
      <c r="C47" s="170">
        <v>43592.0</v>
      </c>
      <c r="D47" s="165" t="s">
        <v>2755</v>
      </c>
      <c r="E47" s="161"/>
      <c r="F47" s="161"/>
      <c r="G47" s="161"/>
      <c r="H47" s="161"/>
      <c r="I47" s="161"/>
      <c r="J47" s="161"/>
      <c r="K47" s="161"/>
      <c r="L47" s="161"/>
      <c r="M47" s="161"/>
      <c r="N47" s="161"/>
      <c r="O47" s="161"/>
      <c r="P47" s="161"/>
      <c r="Q47" s="161"/>
      <c r="R47" s="161"/>
      <c r="S47" s="161"/>
      <c r="T47" s="161"/>
      <c r="U47" s="161"/>
      <c r="V47" s="161"/>
      <c r="W47" s="161"/>
      <c r="X47" s="161"/>
    </row>
    <row r="48" ht="12.75" customHeight="1">
      <c r="A48" s="165">
        <v>33221.0</v>
      </c>
      <c r="B48" s="632" t="s">
        <v>3143</v>
      </c>
      <c r="C48" s="170">
        <v>43594.0</v>
      </c>
      <c r="D48" s="165" t="s">
        <v>2755</v>
      </c>
      <c r="E48" s="161"/>
      <c r="F48" s="161"/>
      <c r="G48" s="161"/>
      <c r="H48" s="161"/>
      <c r="I48" s="161"/>
      <c r="J48" s="161"/>
      <c r="K48" s="161"/>
      <c r="L48" s="161"/>
      <c r="M48" s="161"/>
      <c r="N48" s="161"/>
      <c r="O48" s="161"/>
      <c r="P48" s="161"/>
      <c r="Q48" s="161"/>
      <c r="R48" s="161"/>
      <c r="S48" s="161"/>
      <c r="T48" s="161"/>
      <c r="U48" s="161"/>
      <c r="V48" s="161"/>
      <c r="W48" s="161"/>
      <c r="X48" s="161"/>
    </row>
    <row r="49" ht="12.75" customHeight="1">
      <c r="A49" s="165">
        <v>33108.0</v>
      </c>
      <c r="B49" s="165" t="s">
        <v>12455</v>
      </c>
      <c r="C49" s="170">
        <v>43598.0</v>
      </c>
      <c r="D49" s="165" t="s">
        <v>2755</v>
      </c>
      <c r="E49" s="161"/>
      <c r="F49" s="161"/>
      <c r="G49" s="161"/>
      <c r="H49" s="161"/>
      <c r="I49" s="161"/>
      <c r="J49" s="161"/>
      <c r="K49" s="161"/>
      <c r="L49" s="161"/>
      <c r="M49" s="161"/>
      <c r="N49" s="161"/>
      <c r="O49" s="161"/>
      <c r="P49" s="161"/>
      <c r="Q49" s="161"/>
      <c r="R49" s="161"/>
      <c r="S49" s="161"/>
      <c r="T49" s="161"/>
      <c r="U49" s="161"/>
      <c r="V49" s="161"/>
      <c r="W49" s="161"/>
      <c r="X49" s="161"/>
    </row>
    <row r="50" ht="12.75" customHeight="1">
      <c r="A50" s="165">
        <v>33298.0</v>
      </c>
      <c r="B50" s="165" t="s">
        <v>2380</v>
      </c>
      <c r="C50" s="170">
        <v>43606.0</v>
      </c>
      <c r="D50" s="165" t="s">
        <v>2755</v>
      </c>
      <c r="E50" s="161"/>
      <c r="F50" s="161"/>
      <c r="G50" s="161"/>
      <c r="H50" s="161"/>
      <c r="I50" s="161"/>
      <c r="J50" s="161"/>
      <c r="K50" s="161"/>
      <c r="L50" s="161"/>
      <c r="M50" s="161"/>
      <c r="N50" s="161"/>
      <c r="O50" s="161"/>
      <c r="P50" s="161"/>
      <c r="Q50" s="161"/>
      <c r="R50" s="161"/>
      <c r="S50" s="161"/>
      <c r="T50" s="161"/>
      <c r="U50" s="161"/>
      <c r="V50" s="161"/>
      <c r="W50" s="161"/>
      <c r="X50" s="161"/>
    </row>
    <row r="51" ht="12.75" customHeight="1">
      <c r="A51" s="165">
        <v>33277.0</v>
      </c>
      <c r="B51" s="12" t="s">
        <v>3107</v>
      </c>
      <c r="C51" s="170">
        <v>43607.0</v>
      </c>
      <c r="D51" s="165" t="s">
        <v>2755</v>
      </c>
      <c r="E51" s="161"/>
      <c r="F51" s="161"/>
      <c r="G51" s="161"/>
      <c r="H51" s="161"/>
      <c r="I51" s="161"/>
      <c r="J51" s="161"/>
      <c r="K51" s="161"/>
      <c r="L51" s="161"/>
      <c r="M51" s="161"/>
      <c r="N51" s="161"/>
      <c r="O51" s="161"/>
      <c r="P51" s="161"/>
      <c r="Q51" s="161"/>
      <c r="R51" s="161"/>
      <c r="S51" s="161"/>
      <c r="T51" s="161"/>
      <c r="U51" s="161"/>
      <c r="V51" s="161"/>
      <c r="W51" s="161"/>
      <c r="X51" s="161"/>
    </row>
    <row r="52" ht="12.75" customHeight="1">
      <c r="A52" s="165">
        <v>33282.0</v>
      </c>
      <c r="B52" s="12" t="s">
        <v>3114</v>
      </c>
      <c r="C52" s="170">
        <v>43607.0</v>
      </c>
      <c r="D52" s="165" t="s">
        <v>2755</v>
      </c>
      <c r="E52" s="161"/>
      <c r="F52" s="161"/>
      <c r="G52" s="161"/>
      <c r="H52" s="161"/>
      <c r="I52" s="161"/>
      <c r="J52" s="161"/>
      <c r="K52" s="161"/>
      <c r="L52" s="161"/>
      <c r="M52" s="161"/>
      <c r="N52" s="161"/>
      <c r="O52" s="161"/>
      <c r="P52" s="161"/>
      <c r="Q52" s="161"/>
      <c r="R52" s="161"/>
      <c r="S52" s="161"/>
      <c r="T52" s="161"/>
      <c r="U52" s="161"/>
      <c r="V52" s="161"/>
      <c r="W52" s="161"/>
      <c r="X52" s="161"/>
    </row>
    <row r="53" ht="12.75" customHeight="1">
      <c r="A53" s="165">
        <v>33076.0</v>
      </c>
      <c r="B53" s="388" t="s">
        <v>3117</v>
      </c>
      <c r="C53" s="170">
        <v>43607.0</v>
      </c>
      <c r="D53" s="165" t="s">
        <v>2755</v>
      </c>
      <c r="E53" s="161"/>
      <c r="F53" s="161"/>
      <c r="G53" s="161"/>
      <c r="H53" s="161"/>
      <c r="I53" s="161"/>
      <c r="J53" s="161"/>
      <c r="K53" s="161"/>
      <c r="L53" s="161"/>
      <c r="M53" s="161"/>
      <c r="N53" s="161"/>
      <c r="O53" s="161"/>
      <c r="P53" s="161"/>
      <c r="Q53" s="161"/>
      <c r="R53" s="161"/>
      <c r="S53" s="161"/>
      <c r="T53" s="161"/>
      <c r="U53" s="161"/>
      <c r="V53" s="161"/>
      <c r="W53" s="161"/>
      <c r="X53" s="161"/>
    </row>
    <row r="54" ht="12.75" customHeight="1">
      <c r="A54" s="165">
        <v>33287.0</v>
      </c>
      <c r="B54" s="632" t="s">
        <v>12456</v>
      </c>
      <c r="C54" s="166">
        <v>43607.0</v>
      </c>
      <c r="D54" s="165" t="s">
        <v>2755</v>
      </c>
      <c r="E54" s="161"/>
      <c r="F54" s="161"/>
      <c r="G54" s="161"/>
      <c r="H54" s="161"/>
      <c r="I54" s="161"/>
      <c r="J54" s="161"/>
      <c r="K54" s="161"/>
      <c r="L54" s="161"/>
      <c r="M54" s="161"/>
      <c r="N54" s="161"/>
      <c r="O54" s="161"/>
      <c r="P54" s="161"/>
      <c r="Q54" s="161"/>
      <c r="R54" s="161"/>
      <c r="S54" s="161"/>
      <c r="T54" s="161"/>
      <c r="U54" s="161"/>
      <c r="V54" s="161"/>
      <c r="W54" s="161"/>
      <c r="X54" s="161"/>
    </row>
    <row r="55" ht="12.75" customHeight="1">
      <c r="A55" s="165">
        <v>33291.0</v>
      </c>
      <c r="B55" s="165" t="s">
        <v>3110</v>
      </c>
      <c r="C55" s="170">
        <v>43609.0</v>
      </c>
      <c r="D55" s="165" t="s">
        <v>2755</v>
      </c>
      <c r="E55" s="161"/>
      <c r="F55" s="161"/>
      <c r="G55" s="161"/>
      <c r="H55" s="161"/>
      <c r="I55" s="161"/>
      <c r="J55" s="161"/>
      <c r="K55" s="161"/>
      <c r="L55" s="161"/>
      <c r="M55" s="161"/>
      <c r="N55" s="161"/>
      <c r="O55" s="161"/>
      <c r="P55" s="161"/>
      <c r="Q55" s="161"/>
      <c r="R55" s="161"/>
      <c r="S55" s="161"/>
      <c r="T55" s="161"/>
      <c r="U55" s="161"/>
      <c r="V55" s="161"/>
      <c r="W55" s="161"/>
      <c r="X55" s="161"/>
    </row>
    <row r="56" ht="12.75" customHeight="1">
      <c r="A56" s="165">
        <v>33054.0</v>
      </c>
      <c r="B56" s="167" t="s">
        <v>3097</v>
      </c>
      <c r="C56" s="170">
        <v>43609.0</v>
      </c>
      <c r="D56" s="165" t="s">
        <v>2755</v>
      </c>
      <c r="E56" s="161"/>
      <c r="F56" s="161"/>
      <c r="G56" s="161"/>
      <c r="H56" s="161"/>
      <c r="I56" s="161"/>
      <c r="J56" s="161"/>
      <c r="K56" s="161"/>
      <c r="L56" s="161"/>
      <c r="M56" s="161"/>
      <c r="N56" s="161"/>
      <c r="O56" s="161"/>
      <c r="P56" s="161"/>
      <c r="Q56" s="161"/>
      <c r="R56" s="161"/>
      <c r="S56" s="161"/>
      <c r="T56" s="161"/>
      <c r="U56" s="161"/>
      <c r="V56" s="161"/>
      <c r="W56" s="161"/>
      <c r="X56" s="161"/>
    </row>
    <row r="57" ht="12.75" customHeight="1">
      <c r="A57" s="165">
        <v>33321.0</v>
      </c>
      <c r="B57" s="167" t="s">
        <v>3069</v>
      </c>
      <c r="C57" s="170">
        <v>43627.0</v>
      </c>
      <c r="D57" s="165" t="s">
        <v>2755</v>
      </c>
      <c r="E57" s="161"/>
      <c r="F57" s="161"/>
      <c r="G57" s="161"/>
      <c r="H57" s="161"/>
      <c r="I57" s="161"/>
      <c r="J57" s="161"/>
      <c r="K57" s="161"/>
      <c r="L57" s="161"/>
      <c r="M57" s="161"/>
      <c r="N57" s="161"/>
      <c r="O57" s="161"/>
      <c r="P57" s="161"/>
      <c r="Q57" s="161"/>
      <c r="R57" s="161"/>
      <c r="S57" s="161"/>
      <c r="T57" s="161"/>
      <c r="U57" s="161"/>
      <c r="V57" s="161"/>
      <c r="W57" s="161"/>
      <c r="X57" s="161"/>
    </row>
    <row r="58" ht="12.75" customHeight="1">
      <c r="A58" s="165">
        <v>33258.0</v>
      </c>
      <c r="B58" s="165" t="s">
        <v>12457</v>
      </c>
      <c r="C58" s="170">
        <v>43627.0</v>
      </c>
      <c r="D58" s="165" t="s">
        <v>2755</v>
      </c>
      <c r="E58" s="161"/>
      <c r="F58" s="161"/>
      <c r="G58" s="161"/>
      <c r="H58" s="161"/>
      <c r="I58" s="161"/>
      <c r="J58" s="161"/>
      <c r="K58" s="161"/>
      <c r="L58" s="161"/>
      <c r="M58" s="161"/>
      <c r="N58" s="161"/>
      <c r="O58" s="161"/>
      <c r="P58" s="161"/>
      <c r="Q58" s="161"/>
      <c r="R58" s="161"/>
      <c r="S58" s="161"/>
      <c r="T58" s="161"/>
      <c r="U58" s="161"/>
      <c r="V58" s="161"/>
      <c r="W58" s="161"/>
      <c r="X58" s="161"/>
    </row>
    <row r="59" ht="12.75" customHeight="1">
      <c r="A59" s="165">
        <v>33259.0</v>
      </c>
      <c r="B59" s="165" t="s">
        <v>12458</v>
      </c>
      <c r="C59" s="172">
        <v>43627.0</v>
      </c>
      <c r="D59" s="165" t="s">
        <v>2755</v>
      </c>
      <c r="E59" s="161"/>
      <c r="F59" s="161"/>
      <c r="G59" s="161"/>
      <c r="H59" s="161"/>
      <c r="I59" s="161"/>
      <c r="J59" s="161"/>
      <c r="K59" s="161"/>
      <c r="L59" s="161"/>
      <c r="M59" s="161"/>
      <c r="N59" s="161"/>
      <c r="O59" s="161"/>
      <c r="P59" s="161"/>
      <c r="Q59" s="161"/>
      <c r="R59" s="161"/>
      <c r="S59" s="161"/>
      <c r="T59" s="161"/>
      <c r="U59" s="161"/>
      <c r="V59" s="161"/>
      <c r="W59" s="161"/>
      <c r="X59" s="161"/>
    </row>
    <row r="60" ht="12.75" customHeight="1">
      <c r="A60" s="165">
        <v>33361.0</v>
      </c>
      <c r="B60" s="632" t="s">
        <v>2344</v>
      </c>
      <c r="C60" s="170">
        <v>43640.0</v>
      </c>
      <c r="D60" s="165" t="s">
        <v>2755</v>
      </c>
      <c r="E60" s="161"/>
      <c r="F60" s="161"/>
      <c r="G60" s="161"/>
      <c r="H60" s="161"/>
      <c r="I60" s="161"/>
      <c r="J60" s="161"/>
      <c r="K60" s="161"/>
      <c r="L60" s="161"/>
      <c r="M60" s="161"/>
      <c r="N60" s="161"/>
      <c r="O60" s="161"/>
      <c r="P60" s="161"/>
      <c r="Q60" s="161"/>
      <c r="R60" s="161"/>
      <c r="S60" s="161"/>
      <c r="T60" s="161"/>
      <c r="U60" s="161"/>
      <c r="V60" s="161"/>
      <c r="W60" s="161"/>
      <c r="X60" s="161"/>
    </row>
    <row r="61" ht="12.75" customHeight="1">
      <c r="A61" s="165">
        <v>33377.0</v>
      </c>
      <c r="B61" s="165" t="s">
        <v>3037</v>
      </c>
      <c r="C61" s="170">
        <v>43641.0</v>
      </c>
      <c r="D61" s="165" t="s">
        <v>2755</v>
      </c>
      <c r="E61" s="161"/>
      <c r="F61" s="161"/>
      <c r="G61" s="161"/>
      <c r="H61" s="161"/>
      <c r="I61" s="161"/>
      <c r="J61" s="161"/>
      <c r="K61" s="161"/>
      <c r="L61" s="161"/>
      <c r="M61" s="161"/>
      <c r="N61" s="161"/>
      <c r="O61" s="161"/>
      <c r="P61" s="161"/>
      <c r="Q61" s="161"/>
      <c r="R61" s="161"/>
      <c r="S61" s="161"/>
      <c r="T61" s="161"/>
      <c r="U61" s="161"/>
      <c r="V61" s="161"/>
      <c r="W61" s="161"/>
      <c r="X61" s="161"/>
    </row>
    <row r="62" ht="12.75" customHeight="1">
      <c r="A62" s="165">
        <v>33363.0</v>
      </c>
      <c r="B62" s="165" t="s">
        <v>3031</v>
      </c>
      <c r="C62" s="170">
        <v>43643.0</v>
      </c>
      <c r="D62" s="165" t="s">
        <v>2755</v>
      </c>
      <c r="E62" s="161"/>
      <c r="F62" s="161"/>
      <c r="G62" s="161"/>
      <c r="H62" s="161"/>
      <c r="I62" s="161"/>
      <c r="J62" s="161"/>
      <c r="K62" s="161"/>
      <c r="L62" s="161"/>
      <c r="M62" s="161"/>
      <c r="N62" s="161"/>
      <c r="O62" s="161"/>
      <c r="P62" s="161"/>
      <c r="Q62" s="161"/>
      <c r="R62" s="161"/>
      <c r="S62" s="161"/>
      <c r="T62" s="161"/>
      <c r="U62" s="161"/>
      <c r="V62" s="161"/>
      <c r="W62" s="161"/>
      <c r="X62" s="161"/>
    </row>
    <row r="63" ht="12.75" customHeight="1">
      <c r="A63" s="165">
        <v>33347.0</v>
      </c>
      <c r="B63" s="167" t="s">
        <v>3025</v>
      </c>
      <c r="C63" s="170">
        <v>43643.0</v>
      </c>
      <c r="D63" s="165" t="s">
        <v>2755</v>
      </c>
      <c r="E63" s="161"/>
      <c r="F63" s="161"/>
      <c r="G63" s="161"/>
      <c r="H63" s="161"/>
      <c r="I63" s="161"/>
      <c r="J63" s="161"/>
      <c r="K63" s="161"/>
      <c r="L63" s="161"/>
      <c r="M63" s="161"/>
      <c r="N63" s="161"/>
      <c r="O63" s="161"/>
      <c r="P63" s="161"/>
      <c r="Q63" s="161"/>
      <c r="R63" s="161"/>
      <c r="S63" s="161"/>
      <c r="T63" s="161"/>
      <c r="U63" s="161"/>
      <c r="V63" s="161"/>
      <c r="W63" s="161"/>
      <c r="X63" s="161"/>
    </row>
    <row r="64" ht="12.75" customHeight="1">
      <c r="A64" s="165">
        <v>33465.0</v>
      </c>
      <c r="B64" s="167" t="s">
        <v>12459</v>
      </c>
      <c r="C64" s="170">
        <v>43649.0</v>
      </c>
      <c r="D64" s="165" t="s">
        <v>2755</v>
      </c>
      <c r="E64" s="161"/>
      <c r="F64" s="161"/>
      <c r="G64" s="161"/>
      <c r="H64" s="161"/>
      <c r="I64" s="161"/>
      <c r="J64" s="161"/>
      <c r="K64" s="161"/>
      <c r="L64" s="161"/>
      <c r="M64" s="161"/>
      <c r="N64" s="161"/>
      <c r="O64" s="161"/>
      <c r="P64" s="161"/>
      <c r="Q64" s="161"/>
      <c r="R64" s="161"/>
      <c r="S64" s="161"/>
      <c r="T64" s="161"/>
      <c r="U64" s="161"/>
      <c r="V64" s="161"/>
      <c r="W64" s="161"/>
      <c r="X64" s="161"/>
    </row>
    <row r="65" ht="12.75" customHeight="1">
      <c r="A65" s="165">
        <v>33437.0</v>
      </c>
      <c r="B65" s="167" t="s">
        <v>12460</v>
      </c>
      <c r="C65" s="170">
        <v>43654.0</v>
      </c>
      <c r="D65" s="165" t="s">
        <v>2755</v>
      </c>
      <c r="E65" s="161"/>
      <c r="F65" s="161"/>
      <c r="G65" s="161"/>
      <c r="H65" s="161"/>
      <c r="I65" s="161"/>
      <c r="J65" s="161"/>
      <c r="K65" s="161"/>
      <c r="L65" s="161"/>
      <c r="M65" s="161"/>
      <c r="N65" s="161"/>
      <c r="O65" s="161"/>
      <c r="P65" s="161"/>
      <c r="Q65" s="161"/>
      <c r="R65" s="161"/>
      <c r="S65" s="161"/>
      <c r="T65" s="161"/>
      <c r="U65" s="161"/>
      <c r="V65" s="161"/>
      <c r="W65" s="161"/>
      <c r="X65" s="161"/>
    </row>
    <row r="66" ht="12.75" customHeight="1">
      <c r="A66" s="165">
        <v>33386.0</v>
      </c>
      <c r="B66" s="628" t="s">
        <v>2317</v>
      </c>
      <c r="C66" s="170">
        <v>43657.0</v>
      </c>
      <c r="D66" s="165" t="s">
        <v>2755</v>
      </c>
      <c r="E66" s="161"/>
      <c r="F66" s="161"/>
      <c r="G66" s="161"/>
      <c r="H66" s="161"/>
      <c r="I66" s="161"/>
      <c r="J66" s="161"/>
      <c r="K66" s="161"/>
      <c r="L66" s="161"/>
      <c r="M66" s="161"/>
      <c r="N66" s="161"/>
      <c r="O66" s="161"/>
      <c r="P66" s="161"/>
      <c r="Q66" s="161"/>
      <c r="R66" s="161"/>
      <c r="S66" s="161"/>
      <c r="T66" s="161"/>
      <c r="U66" s="161"/>
      <c r="V66" s="161"/>
      <c r="W66" s="161"/>
      <c r="X66" s="161"/>
    </row>
    <row r="67" ht="12.75" customHeight="1">
      <c r="A67" s="165">
        <v>33482.0</v>
      </c>
      <c r="B67" s="165" t="s">
        <v>2315</v>
      </c>
      <c r="C67" s="170">
        <v>43662.0</v>
      </c>
      <c r="D67" s="165" t="s">
        <v>2755</v>
      </c>
      <c r="E67" s="161"/>
      <c r="F67" s="161"/>
      <c r="G67" s="161"/>
      <c r="H67" s="161"/>
      <c r="I67" s="161"/>
      <c r="J67" s="161"/>
      <c r="K67" s="161"/>
      <c r="L67" s="161"/>
      <c r="M67" s="161"/>
      <c r="N67" s="161"/>
      <c r="O67" s="161"/>
      <c r="P67" s="161"/>
      <c r="Q67" s="161"/>
      <c r="R67" s="161"/>
      <c r="S67" s="161"/>
      <c r="T67" s="161"/>
      <c r="U67" s="161"/>
      <c r="V67" s="161"/>
      <c r="W67" s="161"/>
      <c r="X67" s="161"/>
    </row>
    <row r="68" ht="12.75" customHeight="1">
      <c r="A68" s="165">
        <v>33196.0</v>
      </c>
      <c r="B68" s="165" t="s">
        <v>12461</v>
      </c>
      <c r="C68" s="170">
        <v>43663.0</v>
      </c>
      <c r="D68" s="165" t="s">
        <v>2755</v>
      </c>
      <c r="E68" s="161"/>
      <c r="F68" s="161"/>
      <c r="G68" s="161"/>
      <c r="H68" s="161"/>
      <c r="I68" s="161"/>
      <c r="J68" s="161"/>
      <c r="K68" s="161"/>
      <c r="L68" s="161"/>
      <c r="M68" s="161"/>
      <c r="N68" s="161"/>
      <c r="O68" s="161"/>
      <c r="P68" s="161"/>
      <c r="Q68" s="161"/>
      <c r="R68" s="161"/>
      <c r="S68" s="161"/>
      <c r="T68" s="161"/>
      <c r="U68" s="161"/>
      <c r="V68" s="161"/>
      <c r="W68" s="161"/>
      <c r="X68" s="161"/>
    </row>
    <row r="69" ht="12.75" customHeight="1">
      <c r="A69" s="165">
        <v>33440.0</v>
      </c>
      <c r="B69" s="632" t="s">
        <v>12462</v>
      </c>
      <c r="C69" s="170">
        <v>43665.0</v>
      </c>
      <c r="D69" s="165" t="s">
        <v>2755</v>
      </c>
      <c r="E69" s="161"/>
      <c r="F69" s="161"/>
      <c r="G69" s="161"/>
      <c r="H69" s="161"/>
      <c r="I69" s="161"/>
      <c r="J69" s="161"/>
      <c r="K69" s="161"/>
      <c r="L69" s="161"/>
      <c r="M69" s="161"/>
      <c r="N69" s="161"/>
      <c r="O69" s="161"/>
      <c r="P69" s="161"/>
      <c r="Q69" s="161"/>
      <c r="R69" s="161"/>
      <c r="S69" s="161"/>
      <c r="T69" s="161"/>
      <c r="U69" s="161"/>
      <c r="V69" s="161"/>
      <c r="W69" s="161"/>
      <c r="X69" s="161"/>
    </row>
    <row r="70" ht="12.75" customHeight="1">
      <c r="A70" s="165">
        <v>33471.0</v>
      </c>
      <c r="B70" s="165" t="s">
        <v>2967</v>
      </c>
      <c r="C70" s="170">
        <v>43668.0</v>
      </c>
      <c r="D70" s="165" t="s">
        <v>2755</v>
      </c>
      <c r="E70" s="161"/>
      <c r="F70" s="161"/>
      <c r="G70" s="161"/>
      <c r="H70" s="161"/>
      <c r="I70" s="161"/>
      <c r="J70" s="161"/>
      <c r="K70" s="161"/>
      <c r="L70" s="161"/>
      <c r="M70" s="161"/>
      <c r="N70" s="161"/>
      <c r="O70" s="161"/>
      <c r="P70" s="161"/>
      <c r="Q70" s="161"/>
      <c r="R70" s="161"/>
      <c r="S70" s="161"/>
      <c r="T70" s="161"/>
      <c r="U70" s="161"/>
      <c r="V70" s="161"/>
      <c r="W70" s="161"/>
      <c r="X70" s="161"/>
    </row>
    <row r="71" ht="12.75" customHeight="1">
      <c r="A71" s="165">
        <v>33464.0</v>
      </c>
      <c r="B71" s="388" t="s">
        <v>2947</v>
      </c>
      <c r="C71" s="170">
        <v>43675.0</v>
      </c>
      <c r="D71" s="165" t="s">
        <v>2755</v>
      </c>
      <c r="E71" s="161"/>
      <c r="F71" s="161"/>
      <c r="G71" s="161"/>
      <c r="H71" s="161"/>
      <c r="I71" s="161"/>
      <c r="J71" s="161"/>
      <c r="K71" s="161"/>
      <c r="L71" s="161"/>
      <c r="M71" s="161"/>
      <c r="N71" s="161"/>
      <c r="O71" s="161"/>
      <c r="P71" s="161"/>
      <c r="Q71" s="161"/>
      <c r="R71" s="161"/>
      <c r="S71" s="161"/>
      <c r="T71" s="161"/>
      <c r="U71" s="161"/>
      <c r="V71" s="161"/>
      <c r="W71" s="161"/>
      <c r="X71" s="161"/>
    </row>
    <row r="72" ht="12.75" customHeight="1">
      <c r="A72" s="165">
        <v>33488.0</v>
      </c>
      <c r="B72" s="388" t="s">
        <v>2289</v>
      </c>
      <c r="C72" s="170">
        <v>43676.0</v>
      </c>
      <c r="D72" s="165" t="s">
        <v>2755</v>
      </c>
      <c r="E72" s="161"/>
      <c r="F72" s="161"/>
      <c r="G72" s="161"/>
      <c r="H72" s="161"/>
      <c r="I72" s="161"/>
      <c r="J72" s="161"/>
      <c r="K72" s="161"/>
      <c r="L72" s="161"/>
      <c r="M72" s="161"/>
      <c r="N72" s="161"/>
      <c r="O72" s="161"/>
      <c r="P72" s="161"/>
      <c r="Q72" s="161"/>
      <c r="R72" s="161"/>
      <c r="S72" s="161"/>
      <c r="T72" s="161"/>
      <c r="U72" s="161"/>
      <c r="V72" s="161"/>
      <c r="W72" s="161"/>
      <c r="X72" s="161"/>
    </row>
    <row r="73" ht="12.75" customHeight="1">
      <c r="A73" s="165">
        <v>33472.0</v>
      </c>
      <c r="B73" s="165" t="s">
        <v>2934</v>
      </c>
      <c r="C73" s="170">
        <v>43678.0</v>
      </c>
      <c r="D73" s="165" t="s">
        <v>2755</v>
      </c>
      <c r="E73" s="161"/>
      <c r="F73" s="161"/>
      <c r="G73" s="161"/>
      <c r="H73" s="161"/>
      <c r="I73" s="161"/>
      <c r="J73" s="161"/>
      <c r="K73" s="161"/>
      <c r="L73" s="161"/>
      <c r="M73" s="161"/>
      <c r="N73" s="161"/>
      <c r="O73" s="161"/>
      <c r="P73" s="161"/>
      <c r="Q73" s="161"/>
      <c r="R73" s="161"/>
      <c r="S73" s="161"/>
      <c r="T73" s="161"/>
      <c r="U73" s="161"/>
      <c r="V73" s="161"/>
      <c r="W73" s="161"/>
      <c r="X73" s="161"/>
    </row>
    <row r="74" ht="12.75" customHeight="1">
      <c r="A74" s="165">
        <v>33532.0</v>
      </c>
      <c r="B74" s="165" t="s">
        <v>2930</v>
      </c>
      <c r="C74" s="170">
        <v>43678.0</v>
      </c>
      <c r="D74" s="165" t="s">
        <v>2755</v>
      </c>
      <c r="E74" s="161"/>
      <c r="F74" s="161"/>
      <c r="G74" s="161"/>
      <c r="H74" s="161"/>
      <c r="I74" s="161"/>
      <c r="J74" s="161"/>
      <c r="K74" s="161"/>
      <c r="L74" s="161"/>
      <c r="M74" s="161"/>
      <c r="N74" s="161"/>
      <c r="O74" s="161"/>
      <c r="P74" s="161"/>
      <c r="Q74" s="161"/>
      <c r="R74" s="161"/>
      <c r="S74" s="161"/>
      <c r="T74" s="161"/>
      <c r="U74" s="161"/>
      <c r="V74" s="161"/>
      <c r="W74" s="161"/>
      <c r="X74" s="161"/>
    </row>
    <row r="75" ht="12.75" customHeight="1">
      <c r="A75" s="165">
        <v>33544.0</v>
      </c>
      <c r="B75" s="165" t="s">
        <v>2897</v>
      </c>
      <c r="C75" s="170">
        <v>43689.0</v>
      </c>
      <c r="D75" s="165" t="s">
        <v>2755</v>
      </c>
      <c r="E75" s="161"/>
      <c r="F75" s="161"/>
      <c r="G75" s="161"/>
      <c r="H75" s="161"/>
      <c r="I75" s="161"/>
      <c r="J75" s="161"/>
      <c r="K75" s="161"/>
      <c r="L75" s="161"/>
      <c r="M75" s="161"/>
      <c r="N75" s="161"/>
      <c r="O75" s="161"/>
      <c r="P75" s="161"/>
      <c r="Q75" s="161"/>
      <c r="R75" s="161"/>
      <c r="S75" s="161"/>
      <c r="T75" s="161"/>
      <c r="U75" s="161"/>
      <c r="V75" s="161"/>
      <c r="W75" s="161"/>
      <c r="X75" s="161"/>
    </row>
    <row r="76" ht="12.75" customHeight="1">
      <c r="A76" s="167">
        <v>33591.0</v>
      </c>
      <c r="B76" s="632" t="s">
        <v>2279</v>
      </c>
      <c r="C76" s="170">
        <v>43691.0</v>
      </c>
      <c r="D76" s="165" t="s">
        <v>2755</v>
      </c>
      <c r="E76" s="161"/>
      <c r="F76" s="161"/>
      <c r="G76" s="161"/>
      <c r="H76" s="161"/>
      <c r="I76" s="161"/>
      <c r="J76" s="161"/>
      <c r="K76" s="161"/>
      <c r="L76" s="161"/>
      <c r="M76" s="161"/>
      <c r="N76" s="161"/>
      <c r="O76" s="161"/>
      <c r="P76" s="161"/>
      <c r="Q76" s="161"/>
      <c r="R76" s="161"/>
      <c r="S76" s="161"/>
      <c r="T76" s="161"/>
      <c r="U76" s="161"/>
      <c r="V76" s="161"/>
      <c r="W76" s="161"/>
      <c r="X76" s="161"/>
    </row>
    <row r="77" ht="12.75" customHeight="1">
      <c r="A77" s="165">
        <v>33396.0</v>
      </c>
      <c r="B77" s="388" t="s">
        <v>2911</v>
      </c>
      <c r="C77" s="170">
        <v>43698.0</v>
      </c>
      <c r="D77" s="165" t="s">
        <v>2755</v>
      </c>
      <c r="E77" s="161"/>
      <c r="F77" s="161"/>
      <c r="G77" s="161"/>
      <c r="H77" s="161"/>
      <c r="I77" s="161"/>
      <c r="J77" s="161"/>
      <c r="K77" s="161"/>
      <c r="L77" s="161"/>
      <c r="M77" s="161"/>
      <c r="N77" s="161"/>
      <c r="O77" s="161"/>
      <c r="P77" s="161"/>
      <c r="Q77" s="161"/>
      <c r="R77" s="161"/>
      <c r="S77" s="161"/>
      <c r="T77" s="161"/>
      <c r="U77" s="161"/>
      <c r="V77" s="161"/>
      <c r="W77" s="161"/>
      <c r="X77" s="161"/>
    </row>
    <row r="78" ht="12.75" customHeight="1">
      <c r="A78" s="165">
        <v>33549.0</v>
      </c>
      <c r="B78" s="388" t="s">
        <v>2872</v>
      </c>
      <c r="C78" s="170">
        <v>43698.0</v>
      </c>
      <c r="D78" s="165" t="s">
        <v>2755</v>
      </c>
      <c r="E78" s="161"/>
      <c r="F78" s="161"/>
      <c r="G78" s="161"/>
      <c r="H78" s="161"/>
      <c r="I78" s="161"/>
      <c r="J78" s="161"/>
      <c r="K78" s="161"/>
      <c r="L78" s="161"/>
      <c r="M78" s="161"/>
      <c r="N78" s="161"/>
      <c r="O78" s="161"/>
      <c r="P78" s="161"/>
      <c r="Q78" s="161"/>
      <c r="R78" s="161"/>
      <c r="S78" s="161"/>
      <c r="T78" s="161"/>
      <c r="U78" s="161"/>
      <c r="V78" s="161"/>
      <c r="W78" s="161"/>
      <c r="X78" s="161"/>
    </row>
    <row r="79" ht="12.75" customHeight="1">
      <c r="A79" s="165">
        <v>33551.0</v>
      </c>
      <c r="B79" s="12" t="s">
        <v>2275</v>
      </c>
      <c r="C79" s="170">
        <v>43698.0</v>
      </c>
      <c r="D79" s="165" t="s">
        <v>2755</v>
      </c>
      <c r="E79" s="161"/>
      <c r="F79" s="161"/>
      <c r="G79" s="161"/>
      <c r="H79" s="161"/>
      <c r="I79" s="161"/>
      <c r="J79" s="161"/>
      <c r="K79" s="161"/>
      <c r="L79" s="161"/>
      <c r="M79" s="161"/>
      <c r="N79" s="161"/>
      <c r="O79" s="161"/>
      <c r="P79" s="161"/>
      <c r="Q79" s="161"/>
      <c r="R79" s="161"/>
      <c r="S79" s="161"/>
      <c r="T79" s="161"/>
      <c r="U79" s="161"/>
      <c r="V79" s="161"/>
      <c r="W79" s="161"/>
      <c r="X79" s="161"/>
    </row>
    <row r="80" ht="12.75" customHeight="1">
      <c r="A80" s="165">
        <v>33160.0</v>
      </c>
      <c r="B80" s="632" t="s">
        <v>2875</v>
      </c>
      <c r="C80" s="170">
        <v>43700.0</v>
      </c>
      <c r="D80" s="165" t="s">
        <v>2755</v>
      </c>
      <c r="E80" s="161"/>
      <c r="F80" s="161"/>
      <c r="G80" s="161"/>
      <c r="H80" s="161"/>
      <c r="I80" s="161"/>
      <c r="J80" s="161"/>
      <c r="K80" s="161"/>
      <c r="L80" s="161"/>
      <c r="M80" s="161"/>
      <c r="N80" s="161"/>
      <c r="O80" s="161"/>
      <c r="P80" s="161"/>
      <c r="Q80" s="161"/>
      <c r="R80" s="161"/>
      <c r="S80" s="161"/>
      <c r="T80" s="161"/>
      <c r="U80" s="161"/>
      <c r="V80" s="161"/>
      <c r="W80" s="161"/>
      <c r="X80" s="161"/>
    </row>
    <row r="81" ht="12.75" customHeight="1">
      <c r="A81" s="165">
        <v>33522.0</v>
      </c>
      <c r="B81" s="388" t="s">
        <v>2831</v>
      </c>
      <c r="C81" s="170">
        <v>43705.0</v>
      </c>
      <c r="D81" s="165" t="s">
        <v>2755</v>
      </c>
      <c r="E81" s="161"/>
      <c r="F81" s="161"/>
      <c r="G81" s="161"/>
      <c r="H81" s="161"/>
      <c r="I81" s="161"/>
      <c r="J81" s="161"/>
      <c r="K81" s="161"/>
      <c r="L81" s="161"/>
      <c r="M81" s="161"/>
      <c r="N81" s="161"/>
      <c r="O81" s="161"/>
      <c r="P81" s="161"/>
      <c r="Q81" s="161"/>
      <c r="R81" s="161"/>
      <c r="S81" s="161"/>
      <c r="T81" s="161"/>
      <c r="U81" s="161"/>
      <c r="V81" s="161"/>
      <c r="W81" s="161"/>
      <c r="X81" s="161"/>
    </row>
    <row r="82" ht="12.75" customHeight="1">
      <c r="A82" s="632">
        <v>33571.0</v>
      </c>
      <c r="B82" s="388" t="s">
        <v>12463</v>
      </c>
      <c r="C82" s="170">
        <v>43706.0</v>
      </c>
      <c r="D82" s="165" t="s">
        <v>2755</v>
      </c>
      <c r="E82" s="161"/>
      <c r="F82" s="161"/>
      <c r="G82" s="161"/>
      <c r="H82" s="161"/>
      <c r="I82" s="161"/>
      <c r="J82" s="161"/>
      <c r="K82" s="161"/>
      <c r="L82" s="161"/>
      <c r="M82" s="161"/>
      <c r="N82" s="161"/>
      <c r="O82" s="161"/>
      <c r="P82" s="161"/>
      <c r="Q82" s="161"/>
      <c r="R82" s="161"/>
      <c r="S82" s="161"/>
      <c r="T82" s="161"/>
      <c r="U82" s="161"/>
      <c r="V82" s="161"/>
      <c r="W82" s="161"/>
      <c r="X82" s="161"/>
    </row>
    <row r="83" ht="12.75" customHeight="1">
      <c r="A83" s="165">
        <v>33351.0</v>
      </c>
      <c r="B83" s="632" t="s">
        <v>2827</v>
      </c>
      <c r="C83" s="170">
        <v>43706.0</v>
      </c>
      <c r="D83" s="165" t="s">
        <v>2755</v>
      </c>
      <c r="E83" s="161"/>
      <c r="F83" s="161"/>
      <c r="G83" s="161"/>
      <c r="H83" s="161"/>
      <c r="I83" s="161"/>
      <c r="J83" s="161"/>
      <c r="K83" s="161"/>
      <c r="L83" s="161"/>
      <c r="M83" s="161"/>
      <c r="N83" s="161"/>
      <c r="O83" s="161"/>
      <c r="P83" s="161"/>
      <c r="Q83" s="161"/>
      <c r="R83" s="161"/>
      <c r="S83" s="161"/>
      <c r="T83" s="161"/>
      <c r="U83" s="161"/>
      <c r="V83" s="161"/>
      <c r="W83" s="161"/>
      <c r="X83" s="161"/>
    </row>
    <row r="84" ht="12.75" customHeight="1">
      <c r="A84" s="165">
        <v>33643.0</v>
      </c>
      <c r="B84" s="165" t="s">
        <v>2254</v>
      </c>
      <c r="C84" s="170">
        <v>43719.0</v>
      </c>
      <c r="D84" s="165" t="s">
        <v>2755</v>
      </c>
      <c r="E84" s="161"/>
      <c r="F84" s="161"/>
      <c r="G84" s="161"/>
      <c r="H84" s="161"/>
      <c r="I84" s="161"/>
      <c r="J84" s="161"/>
      <c r="K84" s="161"/>
      <c r="L84" s="161"/>
      <c r="M84" s="161"/>
      <c r="N84" s="161"/>
      <c r="O84" s="161"/>
      <c r="P84" s="161"/>
      <c r="Q84" s="161"/>
      <c r="R84" s="161"/>
      <c r="S84" s="161"/>
      <c r="T84" s="161"/>
      <c r="U84" s="161"/>
      <c r="V84" s="161"/>
      <c r="W84" s="161"/>
      <c r="X84" s="161"/>
    </row>
    <row r="85" ht="12.75" customHeight="1">
      <c r="A85" s="165">
        <v>33520.0</v>
      </c>
      <c r="B85" s="632" t="s">
        <v>2777</v>
      </c>
      <c r="C85" s="170">
        <v>43720.0</v>
      </c>
      <c r="D85" s="165" t="s">
        <v>2755</v>
      </c>
      <c r="E85" s="161"/>
      <c r="F85" s="161"/>
      <c r="G85" s="161"/>
      <c r="H85" s="161"/>
      <c r="I85" s="161"/>
      <c r="J85" s="161"/>
      <c r="K85" s="161"/>
      <c r="L85" s="161"/>
      <c r="M85" s="161"/>
      <c r="N85" s="161"/>
      <c r="O85" s="161"/>
      <c r="P85" s="161"/>
      <c r="Q85" s="161"/>
      <c r="R85" s="161"/>
      <c r="S85" s="161"/>
      <c r="T85" s="161"/>
      <c r="U85" s="161"/>
      <c r="V85" s="161"/>
      <c r="W85" s="161"/>
      <c r="X85" s="161"/>
    </row>
    <row r="86" ht="12.75" customHeight="1">
      <c r="A86" s="165">
        <v>33644.0</v>
      </c>
      <c r="B86" s="165" t="s">
        <v>2249</v>
      </c>
      <c r="C86" s="170">
        <v>43720.0</v>
      </c>
      <c r="D86" s="165" t="s">
        <v>2755</v>
      </c>
      <c r="E86" s="161"/>
      <c r="F86" s="161"/>
      <c r="G86" s="161"/>
      <c r="H86" s="161"/>
      <c r="I86" s="161"/>
      <c r="J86" s="161"/>
      <c r="K86" s="161"/>
      <c r="L86" s="161"/>
      <c r="M86" s="161"/>
      <c r="N86" s="161"/>
      <c r="O86" s="161"/>
      <c r="P86" s="161"/>
      <c r="Q86" s="161"/>
      <c r="R86" s="161"/>
      <c r="S86" s="161"/>
      <c r="T86" s="161"/>
      <c r="U86" s="161"/>
      <c r="V86" s="161"/>
      <c r="W86" s="161"/>
      <c r="X86" s="161"/>
    </row>
    <row r="87" ht="12.75" customHeight="1">
      <c r="A87" s="165">
        <v>33661.0</v>
      </c>
      <c r="B87" s="632" t="s">
        <v>2753</v>
      </c>
      <c r="C87" s="170">
        <v>43738.0</v>
      </c>
      <c r="D87" s="165" t="s">
        <v>2755</v>
      </c>
      <c r="E87" s="161"/>
      <c r="F87" s="161"/>
      <c r="G87" s="161"/>
      <c r="H87" s="161"/>
      <c r="I87" s="161"/>
      <c r="J87" s="161"/>
      <c r="K87" s="161"/>
      <c r="L87" s="161"/>
      <c r="M87" s="161"/>
      <c r="N87" s="161"/>
      <c r="O87" s="161"/>
      <c r="P87" s="161"/>
      <c r="Q87" s="161"/>
      <c r="R87" s="161"/>
      <c r="S87" s="161"/>
      <c r="T87" s="161"/>
      <c r="U87" s="161"/>
      <c r="V87" s="161"/>
      <c r="W87" s="161"/>
      <c r="X87" s="161"/>
    </row>
    <row r="88" ht="12.75" customHeight="1">
      <c r="A88" s="165">
        <v>33646.0</v>
      </c>
      <c r="B88" s="165" t="s">
        <v>2221</v>
      </c>
      <c r="C88" s="170">
        <v>43738.0</v>
      </c>
      <c r="D88" s="165" t="s">
        <v>2755</v>
      </c>
      <c r="E88" s="161"/>
      <c r="F88" s="161"/>
      <c r="G88" s="161"/>
      <c r="H88" s="161"/>
      <c r="I88" s="161"/>
      <c r="J88" s="161"/>
      <c r="K88" s="161"/>
      <c r="L88" s="161"/>
      <c r="M88" s="161"/>
      <c r="N88" s="161"/>
      <c r="O88" s="161"/>
      <c r="P88" s="161"/>
      <c r="Q88" s="161"/>
      <c r="R88" s="161"/>
      <c r="S88" s="161"/>
      <c r="T88" s="161"/>
      <c r="U88" s="161"/>
      <c r="V88" s="161"/>
      <c r="W88" s="161"/>
      <c r="X88" s="161"/>
    </row>
    <row r="89" ht="12.75" customHeight="1">
      <c r="A89" s="165">
        <v>33668.0</v>
      </c>
      <c r="B89" s="630" t="s">
        <v>2732</v>
      </c>
      <c r="C89" s="170">
        <v>43742.0</v>
      </c>
      <c r="D89" s="165" t="s">
        <v>2755</v>
      </c>
      <c r="E89" s="161"/>
      <c r="F89" s="161"/>
      <c r="G89" s="161"/>
      <c r="H89" s="161"/>
      <c r="I89" s="161"/>
      <c r="J89" s="161"/>
      <c r="K89" s="161"/>
      <c r="L89" s="161"/>
      <c r="M89" s="161"/>
      <c r="N89" s="161"/>
      <c r="O89" s="161"/>
      <c r="P89" s="161"/>
      <c r="Q89" s="161"/>
      <c r="R89" s="161"/>
      <c r="S89" s="161"/>
      <c r="T89" s="161"/>
      <c r="U89" s="161"/>
      <c r="V89" s="161"/>
      <c r="W89" s="161"/>
      <c r="X89" s="161"/>
    </row>
    <row r="90" ht="12.75" customHeight="1">
      <c r="A90" s="165">
        <v>33677.0</v>
      </c>
      <c r="B90" s="165" t="s">
        <v>2736</v>
      </c>
      <c r="C90" s="170">
        <v>43745.0</v>
      </c>
      <c r="D90" s="165" t="s">
        <v>2755</v>
      </c>
      <c r="E90" s="161"/>
      <c r="F90" s="161"/>
      <c r="G90" s="161"/>
      <c r="H90" s="161"/>
      <c r="I90" s="161"/>
      <c r="J90" s="161"/>
      <c r="K90" s="161"/>
      <c r="L90" s="161"/>
      <c r="M90" s="161"/>
      <c r="N90" s="161"/>
      <c r="O90" s="161"/>
      <c r="P90" s="161"/>
      <c r="Q90" s="161"/>
      <c r="R90" s="161"/>
      <c r="S90" s="161"/>
      <c r="T90" s="161"/>
      <c r="U90" s="161"/>
      <c r="V90" s="161"/>
      <c r="W90" s="161"/>
      <c r="X90" s="161"/>
    </row>
    <row r="91" ht="12.75" customHeight="1">
      <c r="A91" s="165">
        <v>33761.0</v>
      </c>
      <c r="B91" s="632" t="s">
        <v>2213</v>
      </c>
      <c r="C91" s="170">
        <v>43747.0</v>
      </c>
      <c r="D91" s="165" t="s">
        <v>2755</v>
      </c>
      <c r="E91" s="161"/>
      <c r="F91" s="161"/>
      <c r="G91" s="161"/>
      <c r="H91" s="161"/>
      <c r="I91" s="161"/>
      <c r="J91" s="161"/>
      <c r="K91" s="161"/>
      <c r="L91" s="161"/>
      <c r="M91" s="161"/>
      <c r="N91" s="161"/>
      <c r="O91" s="161"/>
      <c r="P91" s="161"/>
      <c r="Q91" s="161"/>
      <c r="R91" s="161"/>
      <c r="S91" s="161"/>
      <c r="T91" s="161"/>
      <c r="U91" s="161"/>
      <c r="V91" s="161"/>
      <c r="W91" s="161"/>
      <c r="X91" s="161"/>
    </row>
    <row r="92" ht="12.75" customHeight="1">
      <c r="A92" s="165">
        <v>33745.0</v>
      </c>
      <c r="B92" s="165" t="s">
        <v>2691</v>
      </c>
      <c r="C92" s="170">
        <v>43754.0</v>
      </c>
      <c r="D92" s="165" t="s">
        <v>2755</v>
      </c>
      <c r="E92" s="161"/>
      <c r="F92" s="161"/>
      <c r="G92" s="161"/>
      <c r="H92" s="161"/>
      <c r="I92" s="161"/>
      <c r="J92" s="161"/>
      <c r="K92" s="161"/>
      <c r="L92" s="161"/>
      <c r="M92" s="161"/>
      <c r="N92" s="161"/>
      <c r="O92" s="161"/>
      <c r="P92" s="161"/>
      <c r="Q92" s="161"/>
      <c r="R92" s="161"/>
      <c r="S92" s="161"/>
      <c r="T92" s="161"/>
      <c r="U92" s="161"/>
      <c r="V92" s="161"/>
      <c r="W92" s="161"/>
      <c r="X92" s="161"/>
    </row>
    <row r="93" ht="12.75" customHeight="1">
      <c r="A93" s="165">
        <v>33418.0</v>
      </c>
      <c r="B93" s="632" t="s">
        <v>2679</v>
      </c>
      <c r="C93" s="170">
        <v>43756.0</v>
      </c>
      <c r="D93" s="165" t="s">
        <v>2755</v>
      </c>
      <c r="E93" s="161"/>
      <c r="F93" s="161"/>
      <c r="G93" s="161"/>
      <c r="H93" s="161"/>
      <c r="I93" s="161"/>
      <c r="J93" s="161"/>
      <c r="K93" s="161"/>
      <c r="L93" s="161"/>
      <c r="M93" s="161"/>
      <c r="N93" s="161"/>
      <c r="O93" s="161"/>
      <c r="P93" s="161"/>
      <c r="Q93" s="161"/>
      <c r="R93" s="161"/>
      <c r="S93" s="161"/>
      <c r="T93" s="161"/>
      <c r="U93" s="161"/>
      <c r="V93" s="161"/>
      <c r="W93" s="161"/>
      <c r="X93" s="161"/>
    </row>
    <row r="94" ht="12.75" customHeight="1">
      <c r="A94" s="165">
        <v>33726.0</v>
      </c>
      <c r="B94" s="165" t="s">
        <v>2684</v>
      </c>
      <c r="C94" s="170">
        <v>43756.0</v>
      </c>
      <c r="D94" s="165" t="s">
        <v>2755</v>
      </c>
      <c r="E94" s="161"/>
      <c r="F94" s="161"/>
      <c r="G94" s="161"/>
      <c r="H94" s="161"/>
      <c r="I94" s="161"/>
      <c r="J94" s="161"/>
      <c r="K94" s="161"/>
      <c r="L94" s="161"/>
      <c r="M94" s="161"/>
      <c r="N94" s="161"/>
      <c r="O94" s="161"/>
      <c r="P94" s="161"/>
      <c r="Q94" s="161"/>
      <c r="R94" s="161"/>
      <c r="S94" s="161"/>
      <c r="T94" s="161"/>
      <c r="U94" s="161"/>
      <c r="V94" s="161"/>
      <c r="W94" s="161"/>
      <c r="X94" s="161"/>
    </row>
    <row r="95" ht="12.75" customHeight="1">
      <c r="A95" s="165">
        <v>33779.0</v>
      </c>
      <c r="B95" s="388" t="s">
        <v>2189</v>
      </c>
      <c r="C95" s="170">
        <v>43768.0</v>
      </c>
      <c r="D95" s="165" t="s">
        <v>2755</v>
      </c>
      <c r="E95" s="161"/>
      <c r="F95" s="161"/>
      <c r="G95" s="161"/>
      <c r="H95" s="161"/>
      <c r="I95" s="161"/>
      <c r="J95" s="161"/>
      <c r="K95" s="161"/>
      <c r="L95" s="161"/>
      <c r="M95" s="161"/>
      <c r="N95" s="161"/>
      <c r="O95" s="161"/>
      <c r="P95" s="161"/>
      <c r="Q95" s="161"/>
      <c r="R95" s="161"/>
      <c r="S95" s="161"/>
      <c r="T95" s="161"/>
      <c r="U95" s="161"/>
      <c r="V95" s="161"/>
      <c r="W95" s="161"/>
      <c r="X95" s="161"/>
    </row>
    <row r="96" ht="12.75" customHeight="1">
      <c r="A96" s="165">
        <v>33780.0</v>
      </c>
      <c r="B96" s="388" t="s">
        <v>2184</v>
      </c>
      <c r="C96" s="170">
        <v>43770.0</v>
      </c>
      <c r="D96" s="165" t="s">
        <v>2755</v>
      </c>
      <c r="E96" s="161"/>
      <c r="F96" s="161"/>
      <c r="G96" s="161"/>
      <c r="H96" s="161"/>
      <c r="I96" s="161"/>
      <c r="J96" s="161"/>
      <c r="K96" s="161"/>
      <c r="L96" s="161"/>
      <c r="M96" s="161"/>
      <c r="N96" s="161"/>
      <c r="O96" s="161"/>
      <c r="P96" s="161"/>
      <c r="Q96" s="161"/>
      <c r="R96" s="161"/>
      <c r="S96" s="161"/>
      <c r="T96" s="161"/>
      <c r="U96" s="161"/>
      <c r="V96" s="161"/>
      <c r="W96" s="161"/>
      <c r="X96" s="161"/>
    </row>
    <row r="97" ht="12.75" customHeight="1">
      <c r="A97" s="165">
        <v>33502.0</v>
      </c>
      <c r="B97" s="388" t="s">
        <v>2636</v>
      </c>
      <c r="C97" s="170">
        <v>43776.0</v>
      </c>
      <c r="D97" s="165" t="s">
        <v>2755</v>
      </c>
      <c r="E97" s="161"/>
      <c r="F97" s="161"/>
      <c r="G97" s="161"/>
      <c r="H97" s="161"/>
      <c r="I97" s="161"/>
      <c r="J97" s="161"/>
      <c r="K97" s="161"/>
      <c r="L97" s="161"/>
      <c r="M97" s="161"/>
      <c r="N97" s="161"/>
      <c r="O97" s="161"/>
      <c r="P97" s="161"/>
      <c r="Q97" s="161"/>
      <c r="R97" s="161"/>
      <c r="S97" s="161"/>
      <c r="T97" s="161"/>
      <c r="U97" s="161"/>
      <c r="V97" s="161"/>
      <c r="W97" s="161"/>
      <c r="X97" s="161"/>
    </row>
    <row r="98" ht="12.75" customHeight="1">
      <c r="A98" s="165">
        <v>33806.0</v>
      </c>
      <c r="B98" s="165" t="s">
        <v>2630</v>
      </c>
      <c r="C98" s="170">
        <v>43776.0</v>
      </c>
      <c r="D98" s="165" t="s">
        <v>2755</v>
      </c>
      <c r="E98" s="161"/>
      <c r="F98" s="161"/>
      <c r="G98" s="161"/>
      <c r="H98" s="161"/>
      <c r="I98" s="161"/>
      <c r="J98" s="161"/>
      <c r="K98" s="161"/>
      <c r="L98" s="161"/>
      <c r="M98" s="161"/>
      <c r="N98" s="161"/>
      <c r="O98" s="161"/>
      <c r="P98" s="161"/>
      <c r="Q98" s="161"/>
      <c r="R98" s="161"/>
      <c r="S98" s="161"/>
      <c r="T98" s="161"/>
      <c r="U98" s="161"/>
      <c r="V98" s="161"/>
      <c r="W98" s="161"/>
      <c r="X98" s="161"/>
    </row>
    <row r="99" ht="12.75" customHeight="1">
      <c r="A99" s="165">
        <v>33808.0</v>
      </c>
      <c r="B99" s="165" t="s">
        <v>12464</v>
      </c>
      <c r="C99" s="170">
        <v>43776.0</v>
      </c>
      <c r="D99" s="165" t="s">
        <v>2755</v>
      </c>
      <c r="E99" s="161"/>
      <c r="F99" s="161"/>
      <c r="G99" s="161"/>
      <c r="H99" s="161"/>
      <c r="I99" s="161"/>
      <c r="J99" s="161"/>
      <c r="K99" s="161"/>
      <c r="L99" s="161"/>
      <c r="M99" s="161"/>
      <c r="N99" s="161"/>
      <c r="O99" s="161"/>
      <c r="P99" s="161"/>
      <c r="Q99" s="161"/>
      <c r="R99" s="161"/>
      <c r="S99" s="161"/>
      <c r="T99" s="161"/>
      <c r="U99" s="161"/>
      <c r="V99" s="161"/>
      <c r="W99" s="161"/>
      <c r="X99" s="161"/>
    </row>
    <row r="100" ht="12.75" customHeight="1">
      <c r="A100" s="165">
        <v>33819.0</v>
      </c>
      <c r="B100" s="165" t="s">
        <v>12465</v>
      </c>
      <c r="C100" s="170">
        <v>43783.0</v>
      </c>
      <c r="D100" s="165" t="s">
        <v>2755</v>
      </c>
      <c r="E100" s="161"/>
      <c r="F100" s="161"/>
      <c r="G100" s="161"/>
      <c r="H100" s="161"/>
      <c r="I100" s="161"/>
      <c r="J100" s="161"/>
      <c r="K100" s="161"/>
      <c r="L100" s="161"/>
      <c r="M100" s="161"/>
      <c r="N100" s="161"/>
      <c r="O100" s="161"/>
      <c r="P100" s="161"/>
      <c r="Q100" s="161"/>
      <c r="R100" s="161"/>
      <c r="S100" s="161"/>
      <c r="T100" s="161"/>
      <c r="U100" s="161"/>
      <c r="V100" s="161"/>
      <c r="W100" s="161"/>
      <c r="X100" s="161"/>
    </row>
    <row r="101" ht="12.75" customHeight="1">
      <c r="A101" s="215">
        <v>33826.0</v>
      </c>
      <c r="B101" s="632" t="s">
        <v>2597</v>
      </c>
      <c r="C101" s="170">
        <v>43784.0</v>
      </c>
      <c r="D101" s="165" t="s">
        <v>2755</v>
      </c>
      <c r="E101" s="161"/>
      <c r="F101" s="161"/>
      <c r="G101" s="161"/>
      <c r="H101" s="161"/>
      <c r="I101" s="161"/>
      <c r="J101" s="161"/>
      <c r="K101" s="161"/>
      <c r="L101" s="161"/>
      <c r="M101" s="161"/>
      <c r="N101" s="161"/>
      <c r="O101" s="161"/>
      <c r="P101" s="161"/>
      <c r="Q101" s="161"/>
      <c r="R101" s="161"/>
      <c r="S101" s="161"/>
      <c r="T101" s="161"/>
      <c r="U101" s="161"/>
      <c r="V101" s="161"/>
      <c r="W101" s="161"/>
      <c r="X101" s="161"/>
    </row>
    <row r="102" ht="12.75" customHeight="1">
      <c r="A102" s="165">
        <v>33809.0</v>
      </c>
      <c r="B102" s="388" t="s">
        <v>2169</v>
      </c>
      <c r="C102" s="170">
        <v>43786.0</v>
      </c>
      <c r="D102" s="165" t="s">
        <v>2755</v>
      </c>
      <c r="E102" s="161"/>
      <c r="F102" s="161"/>
      <c r="G102" s="161"/>
      <c r="H102" s="161"/>
      <c r="I102" s="161"/>
      <c r="J102" s="161"/>
      <c r="K102" s="161"/>
      <c r="L102" s="161"/>
      <c r="M102" s="161"/>
      <c r="N102" s="161"/>
      <c r="O102" s="161"/>
      <c r="P102" s="161"/>
      <c r="Q102" s="161"/>
      <c r="R102" s="161"/>
      <c r="S102" s="161"/>
      <c r="T102" s="161"/>
      <c r="U102" s="161"/>
      <c r="V102" s="161"/>
      <c r="W102" s="161"/>
      <c r="X102" s="161"/>
    </row>
    <row r="103" ht="12.75" customHeight="1">
      <c r="A103" s="177">
        <v>33837.0</v>
      </c>
      <c r="B103" s="632" t="s">
        <v>2150</v>
      </c>
      <c r="C103" s="170">
        <v>43796.0</v>
      </c>
      <c r="D103" s="177" t="s">
        <v>2755</v>
      </c>
      <c r="E103" s="161"/>
      <c r="F103" s="161"/>
      <c r="G103" s="161"/>
      <c r="H103" s="161"/>
      <c r="I103" s="161"/>
      <c r="J103" s="161"/>
      <c r="K103" s="161"/>
      <c r="L103" s="161"/>
      <c r="M103" s="161"/>
      <c r="N103" s="161"/>
      <c r="O103" s="161"/>
      <c r="P103" s="161"/>
      <c r="Q103" s="161"/>
      <c r="R103" s="161"/>
      <c r="S103" s="161"/>
      <c r="T103" s="161"/>
      <c r="U103" s="161"/>
      <c r="V103" s="161"/>
      <c r="W103" s="161"/>
      <c r="X103" s="161"/>
    </row>
    <row r="104" ht="12.75" customHeight="1">
      <c r="A104" s="177">
        <v>33827.0</v>
      </c>
      <c r="B104" s="388" t="s">
        <v>2563</v>
      </c>
      <c r="C104" s="170">
        <v>43801.0</v>
      </c>
      <c r="D104" s="177" t="s">
        <v>2755</v>
      </c>
      <c r="E104" s="634"/>
      <c r="F104" s="161"/>
      <c r="G104" s="161"/>
      <c r="H104" s="161"/>
      <c r="I104" s="161"/>
      <c r="J104" s="161"/>
      <c r="K104" s="161"/>
      <c r="L104" s="161"/>
      <c r="M104" s="161"/>
      <c r="N104" s="161"/>
      <c r="O104" s="161"/>
      <c r="P104" s="161"/>
      <c r="Q104" s="161"/>
      <c r="R104" s="161"/>
      <c r="S104" s="161"/>
      <c r="T104" s="161"/>
      <c r="U104" s="161"/>
      <c r="V104" s="161"/>
      <c r="W104" s="161"/>
      <c r="X104" s="161"/>
    </row>
    <row r="105" ht="12.75" customHeight="1">
      <c r="A105" s="177">
        <v>33504.0</v>
      </c>
      <c r="B105" s="635" t="s">
        <v>12466</v>
      </c>
      <c r="C105" s="170">
        <v>43817.0</v>
      </c>
      <c r="D105" s="177" t="s">
        <v>2755</v>
      </c>
      <c r="E105" s="634"/>
      <c r="F105" s="161"/>
      <c r="G105" s="161"/>
      <c r="H105" s="161"/>
      <c r="I105" s="161"/>
      <c r="J105" s="161"/>
      <c r="K105" s="161"/>
      <c r="L105" s="161"/>
      <c r="M105" s="161"/>
      <c r="N105" s="161"/>
      <c r="O105" s="161"/>
      <c r="P105" s="161"/>
      <c r="Q105" s="161"/>
      <c r="R105" s="161"/>
      <c r="S105" s="161"/>
      <c r="T105" s="161"/>
      <c r="U105" s="161"/>
      <c r="V105" s="161"/>
      <c r="W105" s="161"/>
      <c r="X105" s="161"/>
    </row>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4:D4"/>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0.14"/>
    <col customWidth="1" min="2" max="2" width="12.71"/>
    <col customWidth="1" min="3" max="3" width="9.86"/>
    <col customWidth="1" min="4" max="4" width="16.14"/>
    <col customWidth="1" min="5" max="5" width="37.43"/>
    <col customWidth="1" min="6" max="6" width="11.0"/>
    <col customWidth="1" min="7" max="7" width="13.71"/>
    <col customWidth="1" min="8" max="8" width="13.43"/>
    <col customWidth="1" min="9" max="9" width="12.86"/>
    <col customWidth="1" min="10" max="10" width="13.14"/>
    <col customWidth="1" min="11" max="11" width="10.86"/>
    <col customWidth="1" min="12" max="12" width="27.86"/>
  </cols>
  <sheetData>
    <row r="1" ht="12.75" customHeight="1">
      <c r="A1" s="218"/>
      <c r="B1" s="636"/>
      <c r="C1" s="637"/>
      <c r="D1" s="637"/>
      <c r="E1" s="210" t="s">
        <v>12467</v>
      </c>
      <c r="F1" s="638" t="s">
        <v>492</v>
      </c>
      <c r="G1" s="216"/>
      <c r="H1" s="639"/>
      <c r="I1" s="216"/>
      <c r="J1" s="640"/>
      <c r="K1" s="165"/>
      <c r="L1" s="640"/>
      <c r="M1" s="165"/>
      <c r="N1" s="165"/>
      <c r="O1" s="641"/>
      <c r="P1" s="214"/>
      <c r="Q1" s="214"/>
      <c r="R1" s="214"/>
      <c r="S1" s="214"/>
      <c r="T1" s="214"/>
      <c r="U1" s="214"/>
      <c r="V1" s="214"/>
      <c r="W1" s="214"/>
      <c r="X1" s="214"/>
      <c r="Y1" s="214"/>
      <c r="Z1" s="214"/>
      <c r="AA1" s="214"/>
    </row>
    <row r="2" ht="39.75" customHeight="1">
      <c r="A2" s="182"/>
      <c r="B2" s="182"/>
      <c r="C2" s="637"/>
      <c r="D2" s="642" t="s">
        <v>1023</v>
      </c>
      <c r="E2" s="393" t="s">
        <v>3</v>
      </c>
      <c r="F2" s="182" t="s">
        <v>4</v>
      </c>
      <c r="G2" s="182" t="s">
        <v>2106</v>
      </c>
      <c r="H2" s="182" t="s">
        <v>2522</v>
      </c>
      <c r="I2" s="182" t="s">
        <v>2107</v>
      </c>
      <c r="J2" s="164"/>
      <c r="K2" s="164"/>
      <c r="L2" s="164"/>
      <c r="M2" s="164"/>
      <c r="N2" s="164"/>
      <c r="O2" s="225"/>
      <c r="P2" s="164"/>
      <c r="Q2" s="164"/>
      <c r="R2" s="164"/>
      <c r="S2" s="164"/>
      <c r="T2" s="164"/>
      <c r="U2" s="164"/>
      <c r="V2" s="164"/>
      <c r="W2" s="164"/>
      <c r="X2" s="164"/>
      <c r="Y2" s="164"/>
      <c r="Z2" s="164"/>
      <c r="AA2" s="164"/>
    </row>
    <row r="3" ht="12.75" customHeight="1">
      <c r="A3" s="226" t="s">
        <v>2019</v>
      </c>
      <c r="B3" s="226" t="s">
        <v>2109</v>
      </c>
      <c r="C3" s="226" t="s">
        <v>2110</v>
      </c>
      <c r="D3" s="226" t="s">
        <v>10</v>
      </c>
      <c r="E3" s="226" t="s">
        <v>11</v>
      </c>
      <c r="F3" s="226" t="s">
        <v>12</v>
      </c>
      <c r="G3" s="227" t="s">
        <v>12</v>
      </c>
      <c r="H3" s="226" t="s">
        <v>12</v>
      </c>
      <c r="I3" s="227" t="s">
        <v>12</v>
      </c>
      <c r="J3" s="226" t="s">
        <v>12468</v>
      </c>
      <c r="K3" s="226" t="s">
        <v>12469</v>
      </c>
      <c r="L3" s="226" t="s">
        <v>2113</v>
      </c>
      <c r="M3" s="226" t="s">
        <v>493</v>
      </c>
      <c r="N3" s="185" t="s">
        <v>1025</v>
      </c>
      <c r="O3" s="230" t="s">
        <v>2523</v>
      </c>
      <c r="P3" s="214"/>
      <c r="Q3" s="214"/>
      <c r="R3" s="214"/>
      <c r="S3" s="214"/>
      <c r="T3" s="214"/>
      <c r="U3" s="214"/>
      <c r="V3" s="214"/>
      <c r="W3" s="214"/>
      <c r="X3" s="214"/>
      <c r="Y3" s="214"/>
      <c r="Z3" s="214"/>
      <c r="AA3" s="214"/>
    </row>
    <row r="4" ht="28.5" customHeight="1">
      <c r="A4" s="205" t="str">
        <f>HYPERLINK("https://drive.google.com/open?id=0B6Vr5nVC58V5bmRoTEYta2prVTI5Ujc4ZTV0cHNhQlc3NE53","32353")</f>
        <v>32353</v>
      </c>
      <c r="B4" s="204" t="s">
        <v>25</v>
      </c>
      <c r="C4" s="165">
        <v>2040.0</v>
      </c>
      <c r="D4" s="12" t="s">
        <v>12470</v>
      </c>
      <c r="E4" s="207" t="s">
        <v>3359</v>
      </c>
      <c r="F4" s="200">
        <v>43465.0</v>
      </c>
      <c r="G4" s="220">
        <v>43468.0</v>
      </c>
      <c r="H4" s="191" t="s">
        <v>1747</v>
      </c>
      <c r="I4" s="194">
        <v>43480.0</v>
      </c>
      <c r="J4" s="215" t="s">
        <v>2535</v>
      </c>
      <c r="K4" s="215" t="s">
        <v>2535</v>
      </c>
      <c r="L4" s="643" t="s">
        <v>12471</v>
      </c>
      <c r="M4" s="215" t="s">
        <v>497</v>
      </c>
      <c r="N4" s="165" t="s">
        <v>2554</v>
      </c>
      <c r="O4" s="232">
        <v>31159.4</v>
      </c>
      <c r="P4" s="214"/>
      <c r="Q4" s="214"/>
      <c r="R4" s="214"/>
      <c r="S4" s="214"/>
      <c r="T4" s="214"/>
      <c r="U4" s="214"/>
      <c r="V4" s="214"/>
      <c r="W4" s="214"/>
      <c r="X4" s="214"/>
      <c r="Y4" s="214"/>
      <c r="Z4" s="214"/>
      <c r="AA4" s="214"/>
    </row>
    <row r="5" ht="28.5" customHeight="1">
      <c r="A5" s="204">
        <v>32872.0</v>
      </c>
      <c r="B5" s="204" t="s">
        <v>21</v>
      </c>
      <c r="C5" s="165">
        <v>222.0</v>
      </c>
      <c r="D5" s="78" t="s">
        <v>12447</v>
      </c>
      <c r="E5" s="210" t="s">
        <v>12472</v>
      </c>
      <c r="F5" s="200">
        <v>43465.0</v>
      </c>
      <c r="G5" s="209">
        <v>43451.0</v>
      </c>
      <c r="H5" s="165" t="s">
        <v>1747</v>
      </c>
      <c r="I5" s="170">
        <v>43473.0</v>
      </c>
      <c r="J5" s="204" t="s">
        <v>3331</v>
      </c>
      <c r="K5" s="204" t="s">
        <v>2531</v>
      </c>
      <c r="L5" s="235" t="s">
        <v>1023</v>
      </c>
      <c r="M5" s="215"/>
      <c r="N5" s="165"/>
      <c r="O5" s="232"/>
      <c r="P5" s="214"/>
      <c r="Q5" s="214"/>
      <c r="R5" s="214"/>
      <c r="S5" s="214"/>
      <c r="T5" s="214"/>
      <c r="U5" s="214"/>
      <c r="V5" s="214"/>
      <c r="W5" s="214"/>
      <c r="X5" s="214"/>
      <c r="Y5" s="214"/>
      <c r="Z5" s="214"/>
      <c r="AA5" s="214"/>
    </row>
    <row r="6" ht="28.5" customHeight="1">
      <c r="A6" s="205" t="str">
        <f>HYPERLINK("https://drive.google.com/open?id=0B6Vr5nVC58V5eDZlbkd2N0p3TE9IRVo4WWdkTHZycmYtS2lV","32352")</f>
        <v>32352</v>
      </c>
      <c r="B6" s="204" t="s">
        <v>14</v>
      </c>
      <c r="C6" s="165">
        <v>2040.0</v>
      </c>
      <c r="D6" s="12" t="s">
        <v>12473</v>
      </c>
      <c r="E6" s="207" t="s">
        <v>12474</v>
      </c>
      <c r="F6" s="200">
        <v>43465.0</v>
      </c>
      <c r="G6" s="200">
        <v>43468.0</v>
      </c>
      <c r="H6" s="204" t="s">
        <v>1747</v>
      </c>
      <c r="I6" s="200">
        <v>43480.0</v>
      </c>
      <c r="J6" s="215" t="s">
        <v>2535</v>
      </c>
      <c r="K6" s="215" t="s">
        <v>2535</v>
      </c>
      <c r="L6" s="643" t="s">
        <v>12475</v>
      </c>
      <c r="M6" s="215" t="s">
        <v>497</v>
      </c>
      <c r="N6" s="165" t="s">
        <v>2554</v>
      </c>
      <c r="O6" s="232">
        <v>31159.4</v>
      </c>
      <c r="P6" s="214"/>
      <c r="Q6" s="214"/>
      <c r="R6" s="214"/>
      <c r="S6" s="214"/>
      <c r="T6" s="214"/>
      <c r="U6" s="214"/>
      <c r="V6" s="214"/>
      <c r="W6" s="214"/>
      <c r="X6" s="214"/>
      <c r="Y6" s="214"/>
      <c r="Z6" s="214"/>
      <c r="AA6" s="214"/>
    </row>
    <row r="7" ht="28.5" customHeight="1">
      <c r="A7" s="205" t="str">
        <f>HYPERLINK("https://drive.google.com/open?id=0B6Vr5nVC58V5TzF4RWtHQ0ZnaDVwaTRXLXdMdkwta0hPOFVJ","32840")</f>
        <v>32840</v>
      </c>
      <c r="B7" s="204" t="s">
        <v>14</v>
      </c>
      <c r="C7" s="165">
        <v>930.0</v>
      </c>
      <c r="D7" s="12" t="s">
        <v>12476</v>
      </c>
      <c r="E7" s="207" t="s">
        <v>8430</v>
      </c>
      <c r="F7" s="200">
        <v>43462.0</v>
      </c>
      <c r="G7" s="193">
        <v>43473.0</v>
      </c>
      <c r="H7" s="215" t="s">
        <v>1747</v>
      </c>
      <c r="I7" s="193">
        <v>43474.0</v>
      </c>
      <c r="J7" s="215" t="s">
        <v>2535</v>
      </c>
      <c r="K7" s="215" t="s">
        <v>2535</v>
      </c>
      <c r="L7" s="235" t="s">
        <v>12477</v>
      </c>
      <c r="M7" s="215"/>
      <c r="N7" s="165"/>
      <c r="O7" s="232"/>
      <c r="P7" s="214"/>
      <c r="Q7" s="214"/>
      <c r="R7" s="214"/>
      <c r="S7" s="214"/>
      <c r="T7" s="214"/>
      <c r="U7" s="214"/>
      <c r="V7" s="214"/>
      <c r="W7" s="214"/>
      <c r="X7" s="214"/>
      <c r="Y7" s="214"/>
      <c r="Z7" s="214"/>
      <c r="AA7" s="214"/>
    </row>
    <row r="8" ht="28.5" customHeight="1">
      <c r="A8" s="204">
        <v>32841.0</v>
      </c>
      <c r="B8" s="204" t="s">
        <v>14</v>
      </c>
      <c r="C8" s="165">
        <v>1350.0</v>
      </c>
      <c r="D8" s="12" t="s">
        <v>12478</v>
      </c>
      <c r="E8" s="207" t="s">
        <v>8430</v>
      </c>
      <c r="F8" s="200">
        <v>43462.0</v>
      </c>
      <c r="G8" s="193">
        <v>43462.0</v>
      </c>
      <c r="H8" s="215" t="s">
        <v>1747</v>
      </c>
      <c r="I8" s="193">
        <v>43472.0</v>
      </c>
      <c r="J8" s="215" t="s">
        <v>2535</v>
      </c>
      <c r="K8" s="215" t="s">
        <v>2535</v>
      </c>
      <c r="L8" s="235" t="s">
        <v>12479</v>
      </c>
      <c r="M8" s="215"/>
      <c r="N8" s="165"/>
      <c r="O8" s="232"/>
      <c r="P8" s="214"/>
      <c r="Q8" s="214"/>
      <c r="R8" s="214"/>
      <c r="S8" s="214"/>
      <c r="T8" s="214"/>
      <c r="U8" s="214"/>
      <c r="V8" s="214"/>
      <c r="W8" s="214"/>
      <c r="X8" s="214"/>
      <c r="Y8" s="214"/>
      <c r="Z8" s="214"/>
      <c r="AA8" s="214"/>
    </row>
    <row r="9" ht="28.5" customHeight="1">
      <c r="A9" s="204">
        <v>32682.0</v>
      </c>
      <c r="B9" s="204" t="s">
        <v>14</v>
      </c>
      <c r="C9" s="165">
        <v>1060.0</v>
      </c>
      <c r="D9" s="161" t="s">
        <v>12480</v>
      </c>
      <c r="E9" s="207" t="s">
        <v>8618</v>
      </c>
      <c r="F9" s="200">
        <v>43463.0</v>
      </c>
      <c r="G9" s="216">
        <v>43460.0</v>
      </c>
      <c r="H9" s="204" t="s">
        <v>1747</v>
      </c>
      <c r="I9" s="216">
        <v>43472.0</v>
      </c>
      <c r="J9" s="215" t="s">
        <v>2535</v>
      </c>
      <c r="K9" s="215" t="s">
        <v>2535</v>
      </c>
      <c r="L9" s="643" t="s">
        <v>12481</v>
      </c>
      <c r="M9" s="215" t="s">
        <v>497</v>
      </c>
      <c r="N9" s="215" t="s">
        <v>1077</v>
      </c>
      <c r="O9" s="232">
        <v>47241.6</v>
      </c>
      <c r="P9" s="214"/>
      <c r="Q9" s="214"/>
      <c r="R9" s="214"/>
      <c r="S9" s="214"/>
      <c r="T9" s="214"/>
      <c r="U9" s="214"/>
      <c r="V9" s="214"/>
      <c r="W9" s="214"/>
      <c r="X9" s="214"/>
      <c r="Y9" s="214"/>
      <c r="Z9" s="214"/>
      <c r="AA9" s="214"/>
    </row>
    <row r="10" ht="28.5" customHeight="1">
      <c r="A10" s="204">
        <v>32873.0</v>
      </c>
      <c r="B10" s="204" t="s">
        <v>14</v>
      </c>
      <c r="C10" s="165">
        <v>1074.0</v>
      </c>
      <c r="D10" s="165" t="s">
        <v>12482</v>
      </c>
      <c r="E10" s="207" t="s">
        <v>12483</v>
      </c>
      <c r="F10" s="193">
        <v>43460.0</v>
      </c>
      <c r="G10" s="193">
        <v>43458.0</v>
      </c>
      <c r="H10" s="215" t="s">
        <v>1747</v>
      </c>
      <c r="I10" s="193">
        <v>43469.0</v>
      </c>
      <c r="J10" s="215" t="s">
        <v>2535</v>
      </c>
      <c r="K10" s="215" t="s">
        <v>2535</v>
      </c>
      <c r="L10" s="235" t="s">
        <v>12484</v>
      </c>
      <c r="M10" s="215"/>
      <c r="N10" s="165"/>
      <c r="O10" s="232"/>
      <c r="P10" s="214"/>
      <c r="Q10" s="214"/>
      <c r="R10" s="214"/>
      <c r="S10" s="214"/>
      <c r="T10" s="214"/>
      <c r="U10" s="214"/>
      <c r="V10" s="214"/>
      <c r="W10" s="214"/>
      <c r="X10" s="214"/>
      <c r="Y10" s="214"/>
      <c r="Z10" s="214"/>
      <c r="AA10" s="214"/>
    </row>
    <row r="11" ht="28.5" customHeight="1">
      <c r="A11" s="205" t="str">
        <f>HYPERLINK("https://drive.google.com/open?id=0B6Vr5nVC58V5MkZtRWR2TWh0aHNzdWJTQUVtYzQwT1haR1Y4","32748")</f>
        <v>32748</v>
      </c>
      <c r="B11" s="204" t="s">
        <v>25</v>
      </c>
      <c r="C11" s="165">
        <v>1130.0</v>
      </c>
      <c r="D11" s="165" t="s">
        <v>12485</v>
      </c>
      <c r="E11" s="207" t="s">
        <v>12486</v>
      </c>
      <c r="F11" s="193">
        <v>43460.0</v>
      </c>
      <c r="G11" s="200">
        <v>43473.0</v>
      </c>
      <c r="H11" s="165" t="s">
        <v>1747</v>
      </c>
      <c r="I11" s="200">
        <v>43473.0</v>
      </c>
      <c r="J11" s="215" t="s">
        <v>2535</v>
      </c>
      <c r="K11" s="215" t="s">
        <v>2535</v>
      </c>
      <c r="L11" s="235" t="s">
        <v>12487</v>
      </c>
      <c r="M11" s="215" t="s">
        <v>497</v>
      </c>
      <c r="N11" s="165" t="s">
        <v>3868</v>
      </c>
      <c r="O11" s="232">
        <v>19398.6</v>
      </c>
      <c r="P11" s="214"/>
      <c r="Q11" s="214"/>
      <c r="R11" s="214"/>
      <c r="S11" s="214"/>
      <c r="T11" s="214"/>
      <c r="U11" s="214"/>
      <c r="V11" s="214"/>
      <c r="W11" s="214"/>
      <c r="X11" s="214"/>
      <c r="Y11" s="214"/>
      <c r="Z11" s="214"/>
      <c r="AA11" s="214"/>
    </row>
    <row r="12" ht="28.5" customHeight="1">
      <c r="A12" s="204">
        <v>32749.0</v>
      </c>
      <c r="B12" s="204" t="s">
        <v>14</v>
      </c>
      <c r="C12" s="165">
        <v>1133.0</v>
      </c>
      <c r="D12" s="165" t="s">
        <v>12488</v>
      </c>
      <c r="E12" s="207" t="s">
        <v>12489</v>
      </c>
      <c r="F12" s="193">
        <v>43460.0</v>
      </c>
      <c r="G12" s="193">
        <v>43469.0</v>
      </c>
      <c r="H12" s="204" t="s">
        <v>1747</v>
      </c>
      <c r="I12" s="200">
        <v>43467.0</v>
      </c>
      <c r="J12" s="215" t="s">
        <v>2535</v>
      </c>
      <c r="K12" s="215" t="s">
        <v>2535</v>
      </c>
      <c r="L12" s="643" t="s">
        <v>12490</v>
      </c>
      <c r="M12" s="215" t="s">
        <v>497</v>
      </c>
      <c r="N12" s="165" t="s">
        <v>3868</v>
      </c>
      <c r="O12" s="232">
        <v>19502.0</v>
      </c>
      <c r="P12" s="214"/>
      <c r="Q12" s="214"/>
      <c r="R12" s="214"/>
      <c r="S12" s="214"/>
      <c r="T12" s="214"/>
      <c r="U12" s="214"/>
      <c r="V12" s="214"/>
      <c r="W12" s="214"/>
      <c r="X12" s="214"/>
      <c r="Y12" s="214"/>
      <c r="Z12" s="214"/>
      <c r="AA12" s="214"/>
    </row>
    <row r="13" ht="28.5" customHeight="1">
      <c r="A13" s="204">
        <v>32662.0</v>
      </c>
      <c r="B13" s="204" t="s">
        <v>21</v>
      </c>
      <c r="C13" s="165">
        <v>2118.0</v>
      </c>
      <c r="D13" s="165" t="s">
        <v>2104</v>
      </c>
      <c r="E13" s="207" t="s">
        <v>12491</v>
      </c>
      <c r="F13" s="200">
        <v>43457.0</v>
      </c>
      <c r="G13" s="170">
        <v>43453.0</v>
      </c>
      <c r="H13" s="165" t="s">
        <v>1747</v>
      </c>
      <c r="I13" s="170">
        <v>43462.0</v>
      </c>
      <c r="J13" s="204" t="s">
        <v>12492</v>
      </c>
      <c r="K13" s="215" t="s">
        <v>2531</v>
      </c>
      <c r="L13" s="643" t="s">
        <v>12493</v>
      </c>
      <c r="M13" s="215"/>
      <c r="N13" s="165"/>
      <c r="O13" s="232"/>
      <c r="P13" s="214"/>
      <c r="Q13" s="214"/>
      <c r="R13" s="214"/>
      <c r="S13" s="214"/>
      <c r="T13" s="214"/>
      <c r="U13" s="214"/>
      <c r="V13" s="214"/>
      <c r="W13" s="214"/>
      <c r="X13" s="214"/>
      <c r="Y13" s="214"/>
      <c r="Z13" s="214"/>
      <c r="AA13" s="214"/>
    </row>
    <row r="14" ht="28.5" customHeight="1">
      <c r="A14" s="204">
        <v>32524.0</v>
      </c>
      <c r="B14" s="204" t="s">
        <v>14</v>
      </c>
      <c r="C14" s="165">
        <v>2614.0</v>
      </c>
      <c r="D14" s="191" t="s">
        <v>12494</v>
      </c>
      <c r="E14" s="207" t="s">
        <v>3217</v>
      </c>
      <c r="F14" s="193">
        <v>43456.0</v>
      </c>
      <c r="G14" s="215" t="s">
        <v>210</v>
      </c>
      <c r="H14" s="215" t="s">
        <v>210</v>
      </c>
      <c r="I14" s="233">
        <v>43462.0</v>
      </c>
      <c r="J14" s="204" t="s">
        <v>2535</v>
      </c>
      <c r="K14" s="215" t="s">
        <v>2535</v>
      </c>
      <c r="L14" s="235" t="s">
        <v>12495</v>
      </c>
      <c r="M14" s="215"/>
      <c r="N14" s="165"/>
      <c r="O14" s="232"/>
      <c r="P14" s="214"/>
      <c r="Q14" s="214"/>
      <c r="R14" s="214"/>
      <c r="S14" s="214"/>
      <c r="T14" s="214"/>
      <c r="U14" s="214"/>
      <c r="V14" s="214"/>
      <c r="W14" s="214"/>
      <c r="X14" s="214"/>
      <c r="Y14" s="214"/>
      <c r="Z14" s="214"/>
      <c r="AA14" s="214"/>
    </row>
    <row r="15" ht="28.5" customHeight="1">
      <c r="A15" s="215">
        <v>32635.0</v>
      </c>
      <c r="B15" s="204" t="s">
        <v>21</v>
      </c>
      <c r="C15" s="165">
        <v>2822.0</v>
      </c>
      <c r="D15" s="165" t="s">
        <v>12496</v>
      </c>
      <c r="E15" s="207" t="s">
        <v>12497</v>
      </c>
      <c r="F15" s="200">
        <v>43453.0</v>
      </c>
      <c r="G15" s="200">
        <v>43451.0</v>
      </c>
      <c r="H15" s="204" t="s">
        <v>1747</v>
      </c>
      <c r="I15" s="200">
        <v>43455.0</v>
      </c>
      <c r="J15" s="204" t="s">
        <v>12492</v>
      </c>
      <c r="K15" s="215" t="s">
        <v>3197</v>
      </c>
      <c r="L15" s="235" t="s">
        <v>12498</v>
      </c>
      <c r="M15" s="215" t="s">
        <v>497</v>
      </c>
      <c r="N15" s="165" t="s">
        <v>2554</v>
      </c>
      <c r="O15" s="232">
        <v>63693.22</v>
      </c>
      <c r="P15" s="214"/>
      <c r="Q15" s="214"/>
      <c r="R15" s="214"/>
      <c r="S15" s="214"/>
      <c r="T15" s="214"/>
      <c r="U15" s="214"/>
      <c r="V15" s="214"/>
      <c r="W15" s="214"/>
      <c r="X15" s="214"/>
      <c r="Y15" s="214"/>
      <c r="Z15" s="214"/>
      <c r="AA15" s="214"/>
    </row>
    <row r="16" ht="28.5" customHeight="1">
      <c r="A16" s="215">
        <v>32300.0</v>
      </c>
      <c r="B16" s="204" t="s">
        <v>21</v>
      </c>
      <c r="C16" s="165">
        <v>1930.0</v>
      </c>
      <c r="D16" s="165" t="s">
        <v>2103</v>
      </c>
      <c r="E16" s="207" t="s">
        <v>12491</v>
      </c>
      <c r="F16" s="200">
        <v>43453.0</v>
      </c>
      <c r="G16" s="193">
        <v>43451.0</v>
      </c>
      <c r="H16" s="215" t="s">
        <v>1747</v>
      </c>
      <c r="I16" s="193">
        <v>43472.0</v>
      </c>
      <c r="J16" s="204" t="s">
        <v>2535</v>
      </c>
      <c r="K16" s="215" t="s">
        <v>2535</v>
      </c>
      <c r="L16" s="235" t="s">
        <v>12499</v>
      </c>
      <c r="M16" s="215"/>
      <c r="N16" s="165"/>
      <c r="O16" s="232"/>
      <c r="P16" s="214"/>
      <c r="Q16" s="214"/>
      <c r="R16" s="214"/>
      <c r="S16" s="214"/>
      <c r="T16" s="214"/>
      <c r="U16" s="214"/>
      <c r="V16" s="214"/>
      <c r="W16" s="214"/>
      <c r="X16" s="214"/>
      <c r="Y16" s="214"/>
      <c r="Z16" s="214"/>
      <c r="AA16" s="214"/>
    </row>
    <row r="17" ht="28.5" customHeight="1">
      <c r="A17" s="204">
        <v>32839.0</v>
      </c>
      <c r="B17" s="204" t="s">
        <v>14</v>
      </c>
      <c r="C17" s="165">
        <v>930.0</v>
      </c>
      <c r="D17" s="165" t="s">
        <v>12500</v>
      </c>
      <c r="E17" s="207" t="s">
        <v>8430</v>
      </c>
      <c r="F17" s="200">
        <v>43452.0</v>
      </c>
      <c r="G17" s="233">
        <v>43451.0</v>
      </c>
      <c r="H17" s="215" t="s">
        <v>1747</v>
      </c>
      <c r="I17" s="233">
        <v>43460.0</v>
      </c>
      <c r="J17" s="215" t="s">
        <v>2535</v>
      </c>
      <c r="K17" s="215" t="s">
        <v>2535</v>
      </c>
      <c r="L17" s="643" t="s">
        <v>12501</v>
      </c>
      <c r="M17" s="215"/>
      <c r="N17" s="165"/>
      <c r="O17" s="232"/>
      <c r="P17" s="214"/>
      <c r="Q17" s="214"/>
      <c r="R17" s="214"/>
      <c r="S17" s="214"/>
      <c r="T17" s="214"/>
      <c r="U17" s="214"/>
      <c r="V17" s="214"/>
      <c r="W17" s="214"/>
      <c r="X17" s="214"/>
      <c r="Y17" s="214"/>
      <c r="Z17" s="214"/>
      <c r="AA17" s="214"/>
    </row>
    <row r="18" ht="28.5" customHeight="1">
      <c r="A18" s="204">
        <v>32725.0</v>
      </c>
      <c r="B18" s="204" t="s">
        <v>25</v>
      </c>
      <c r="C18" s="165">
        <v>694.0</v>
      </c>
      <c r="D18" s="12" t="s">
        <v>12502</v>
      </c>
      <c r="E18" s="207" t="s">
        <v>12503</v>
      </c>
      <c r="F18" s="200">
        <v>43450.0</v>
      </c>
      <c r="G18" s="233">
        <v>43446.0</v>
      </c>
      <c r="H18" s="215" t="s">
        <v>1747</v>
      </c>
      <c r="I18" s="193">
        <v>43454.0</v>
      </c>
      <c r="J18" s="204" t="s">
        <v>2535</v>
      </c>
      <c r="K18" s="215" t="s">
        <v>2535</v>
      </c>
      <c r="L18" s="643" t="s">
        <v>12504</v>
      </c>
      <c r="M18" s="215"/>
      <c r="N18" s="165"/>
      <c r="O18" s="232"/>
      <c r="P18" s="214"/>
      <c r="Q18" s="214"/>
      <c r="R18" s="214"/>
      <c r="S18" s="214"/>
      <c r="T18" s="214"/>
      <c r="U18" s="214"/>
      <c r="V18" s="214"/>
      <c r="W18" s="214"/>
      <c r="X18" s="214"/>
      <c r="Y18" s="214"/>
      <c r="Z18" s="214"/>
      <c r="AA18" s="214"/>
    </row>
    <row r="19" ht="28.5" customHeight="1">
      <c r="A19" s="165">
        <v>32821.0</v>
      </c>
      <c r="B19" s="165" t="s">
        <v>21</v>
      </c>
      <c r="C19" s="78">
        <v>1100.0</v>
      </c>
      <c r="D19" s="165" t="s">
        <v>2099</v>
      </c>
      <c r="E19" s="214" t="s">
        <v>12505</v>
      </c>
      <c r="F19" s="170">
        <v>43449.0</v>
      </c>
      <c r="G19" s="170">
        <v>43447.0</v>
      </c>
      <c r="H19" s="165" t="s">
        <v>1747</v>
      </c>
      <c r="I19" s="170">
        <v>43454.0</v>
      </c>
      <c r="J19" s="204" t="s">
        <v>12492</v>
      </c>
      <c r="K19" s="215" t="s">
        <v>3197</v>
      </c>
      <c r="L19" s="235" t="s">
        <v>12506</v>
      </c>
      <c r="M19" s="215"/>
      <c r="N19" s="165"/>
      <c r="O19" s="232"/>
      <c r="P19" s="214"/>
      <c r="Q19" s="214"/>
      <c r="R19" s="214"/>
      <c r="S19" s="214"/>
      <c r="T19" s="214"/>
      <c r="U19" s="214"/>
      <c r="V19" s="214"/>
      <c r="W19" s="214"/>
      <c r="X19" s="214"/>
      <c r="Y19" s="214"/>
      <c r="Z19" s="214"/>
      <c r="AA19" s="214"/>
    </row>
    <row r="20" ht="28.5" customHeight="1">
      <c r="A20" s="215">
        <v>32492.0</v>
      </c>
      <c r="B20" s="204" t="s">
        <v>25</v>
      </c>
      <c r="C20" s="165">
        <v>2332.0</v>
      </c>
      <c r="D20" s="165" t="s">
        <v>12507</v>
      </c>
      <c r="E20" s="207" t="s">
        <v>3217</v>
      </c>
      <c r="F20" s="200">
        <v>43449.0</v>
      </c>
      <c r="G20" s="215" t="s">
        <v>28</v>
      </c>
      <c r="H20" s="215" t="s">
        <v>1747</v>
      </c>
      <c r="I20" s="233">
        <v>43455.0</v>
      </c>
      <c r="J20" s="204" t="s">
        <v>2535</v>
      </c>
      <c r="K20" s="215" t="s">
        <v>2535</v>
      </c>
      <c r="L20" s="235" t="s">
        <v>12495</v>
      </c>
      <c r="M20" s="215"/>
      <c r="N20" s="165"/>
      <c r="O20" s="232"/>
      <c r="P20" s="214"/>
      <c r="Q20" s="214"/>
      <c r="R20" s="214"/>
      <c r="S20" s="214"/>
      <c r="T20" s="214"/>
      <c r="U20" s="214"/>
      <c r="V20" s="214"/>
      <c r="W20" s="214"/>
      <c r="X20" s="214"/>
      <c r="Y20" s="214"/>
      <c r="Z20" s="214"/>
      <c r="AA20" s="214"/>
    </row>
    <row r="21" ht="28.5" customHeight="1">
      <c r="A21" s="215">
        <v>32810.0</v>
      </c>
      <c r="B21" s="204" t="s">
        <v>14</v>
      </c>
      <c r="C21" s="165">
        <v>1074.0</v>
      </c>
      <c r="D21" s="165" t="s">
        <v>12508</v>
      </c>
      <c r="E21" s="207" t="s">
        <v>12509</v>
      </c>
      <c r="F21" s="200">
        <v>43447.0</v>
      </c>
      <c r="G21" s="170">
        <v>43444.0</v>
      </c>
      <c r="H21" s="165" t="s">
        <v>1747</v>
      </c>
      <c r="I21" s="170">
        <v>43453.0</v>
      </c>
      <c r="J21" s="204" t="s">
        <v>2535</v>
      </c>
      <c r="K21" s="215" t="s">
        <v>2535</v>
      </c>
      <c r="L21" s="235" t="s">
        <v>12510</v>
      </c>
      <c r="M21" s="215"/>
      <c r="N21" s="165"/>
      <c r="O21" s="232"/>
      <c r="P21" s="214"/>
      <c r="Q21" s="214"/>
      <c r="R21" s="214"/>
      <c r="S21" s="214"/>
      <c r="T21" s="214"/>
      <c r="U21" s="214"/>
      <c r="V21" s="214"/>
      <c r="W21" s="214"/>
      <c r="X21" s="214"/>
      <c r="Y21" s="214"/>
      <c r="Z21" s="214"/>
      <c r="AA21" s="214"/>
    </row>
    <row r="22" ht="28.5" customHeight="1">
      <c r="A22" s="204">
        <v>32876.0</v>
      </c>
      <c r="B22" s="204" t="s">
        <v>21</v>
      </c>
      <c r="C22" s="165">
        <v>1250.0</v>
      </c>
      <c r="D22" s="165" t="s">
        <v>2098</v>
      </c>
      <c r="E22" s="207" t="s">
        <v>5405</v>
      </c>
      <c r="F22" s="200">
        <v>43446.0</v>
      </c>
      <c r="G22" s="233">
        <v>43444.0</v>
      </c>
      <c r="H22" s="215" t="s">
        <v>1747</v>
      </c>
      <c r="I22" s="233">
        <v>43452.0</v>
      </c>
      <c r="J22" s="204" t="s">
        <v>2535</v>
      </c>
      <c r="K22" s="215" t="s">
        <v>2535</v>
      </c>
      <c r="L22" s="643" t="s">
        <v>12511</v>
      </c>
      <c r="M22" s="215"/>
      <c r="N22" s="165"/>
      <c r="O22" s="232"/>
      <c r="P22" s="214"/>
      <c r="Q22" s="214"/>
      <c r="R22" s="214"/>
      <c r="S22" s="214"/>
      <c r="T22" s="214"/>
      <c r="U22" s="214"/>
      <c r="V22" s="214"/>
      <c r="W22" s="214"/>
      <c r="X22" s="214"/>
      <c r="Y22" s="214"/>
      <c r="Z22" s="214"/>
      <c r="AA22" s="214"/>
    </row>
    <row r="23" ht="28.5" customHeight="1">
      <c r="A23" s="215">
        <v>32681.0</v>
      </c>
      <c r="B23" s="204" t="s">
        <v>21</v>
      </c>
      <c r="C23" s="165">
        <v>1012.0</v>
      </c>
      <c r="D23" s="165" t="s">
        <v>2102</v>
      </c>
      <c r="E23" s="207" t="s">
        <v>12512</v>
      </c>
      <c r="F23" s="200">
        <v>43446.0</v>
      </c>
      <c r="G23" s="233">
        <v>43451.0</v>
      </c>
      <c r="H23" s="215" t="s">
        <v>1747</v>
      </c>
      <c r="I23" s="193">
        <v>43460.0</v>
      </c>
      <c r="J23" s="204" t="s">
        <v>12492</v>
      </c>
      <c r="K23" s="215" t="s">
        <v>2531</v>
      </c>
      <c r="L23" s="235" t="s">
        <v>12513</v>
      </c>
      <c r="M23" s="215" t="s">
        <v>497</v>
      </c>
      <c r="N23" s="215" t="s">
        <v>1077</v>
      </c>
      <c r="O23" s="232">
        <v>46842.48</v>
      </c>
      <c r="P23" s="214"/>
      <c r="Q23" s="214"/>
      <c r="R23" s="214"/>
      <c r="S23" s="214"/>
      <c r="T23" s="214"/>
      <c r="U23" s="214"/>
      <c r="V23" s="214"/>
      <c r="W23" s="214"/>
      <c r="X23" s="214"/>
      <c r="Y23" s="214"/>
      <c r="Z23" s="214"/>
      <c r="AA23" s="214"/>
    </row>
    <row r="24" ht="28.5" customHeight="1">
      <c r="A24" s="215">
        <v>32542.0</v>
      </c>
      <c r="B24" s="204" t="s">
        <v>21</v>
      </c>
      <c r="C24" s="165">
        <v>508.0</v>
      </c>
      <c r="D24" s="165" t="s">
        <v>12514</v>
      </c>
      <c r="E24" s="207" t="s">
        <v>512</v>
      </c>
      <c r="F24" s="200">
        <v>43445.0</v>
      </c>
      <c r="G24" s="170">
        <v>43444.0</v>
      </c>
      <c r="H24" s="165" t="s">
        <v>1747</v>
      </c>
      <c r="I24" s="170">
        <v>43451.0</v>
      </c>
      <c r="J24" s="204" t="s">
        <v>12492</v>
      </c>
      <c r="K24" s="215" t="s">
        <v>2531</v>
      </c>
      <c r="L24" s="643" t="s">
        <v>12515</v>
      </c>
      <c r="M24" s="215" t="s">
        <v>497</v>
      </c>
      <c r="N24" s="165" t="s">
        <v>2554</v>
      </c>
      <c r="O24" s="232">
        <v>31310.0</v>
      </c>
      <c r="P24" s="214"/>
      <c r="Q24" s="214"/>
      <c r="R24" s="214"/>
      <c r="S24" s="214"/>
      <c r="T24" s="214"/>
      <c r="U24" s="214"/>
      <c r="V24" s="214"/>
      <c r="W24" s="214"/>
      <c r="X24" s="214"/>
      <c r="Y24" s="214"/>
      <c r="Z24" s="214"/>
      <c r="AA24" s="214"/>
    </row>
    <row r="25" ht="28.5" customHeight="1">
      <c r="A25" s="204">
        <v>32795.0</v>
      </c>
      <c r="B25" s="204" t="s">
        <v>14</v>
      </c>
      <c r="C25" s="165">
        <v>930.0</v>
      </c>
      <c r="D25" s="165" t="s">
        <v>12516</v>
      </c>
      <c r="E25" s="207" t="s">
        <v>8430</v>
      </c>
      <c r="F25" s="200">
        <v>43444.0</v>
      </c>
      <c r="G25" s="233">
        <v>43440.0</v>
      </c>
      <c r="H25" s="215" t="s">
        <v>1747</v>
      </c>
      <c r="I25" s="233">
        <v>43447.0</v>
      </c>
      <c r="J25" s="204" t="s">
        <v>2535</v>
      </c>
      <c r="K25" s="215" t="s">
        <v>2535</v>
      </c>
      <c r="L25" s="235" t="s">
        <v>12517</v>
      </c>
      <c r="M25" s="215"/>
      <c r="N25" s="165"/>
      <c r="O25" s="232"/>
      <c r="P25" s="214"/>
      <c r="Q25" s="214"/>
      <c r="R25" s="214"/>
      <c r="S25" s="214"/>
      <c r="T25" s="214"/>
      <c r="U25" s="214"/>
      <c r="V25" s="214"/>
      <c r="W25" s="214"/>
      <c r="X25" s="214"/>
      <c r="Y25" s="214"/>
      <c r="Z25" s="214"/>
      <c r="AA25" s="214"/>
    </row>
    <row r="26" ht="28.5" customHeight="1">
      <c r="A26" s="204">
        <v>32507.0</v>
      </c>
      <c r="B26" s="204" t="s">
        <v>21</v>
      </c>
      <c r="C26" s="165">
        <v>320.0</v>
      </c>
      <c r="D26" s="165" t="s">
        <v>2101</v>
      </c>
      <c r="E26" s="207" t="s">
        <v>12518</v>
      </c>
      <c r="F26" s="200">
        <v>43442.0</v>
      </c>
      <c r="G26" s="216">
        <v>43440.0</v>
      </c>
      <c r="H26" s="204" t="s">
        <v>1747</v>
      </c>
      <c r="I26" s="200">
        <v>43448.0</v>
      </c>
      <c r="J26" s="204" t="s">
        <v>12492</v>
      </c>
      <c r="K26" s="215" t="s">
        <v>2531</v>
      </c>
      <c r="L26" s="643" t="s">
        <v>12519</v>
      </c>
      <c r="M26" s="215"/>
      <c r="N26" s="165"/>
      <c r="O26" s="232"/>
      <c r="P26" s="214"/>
      <c r="Q26" s="214"/>
      <c r="R26" s="214"/>
      <c r="S26" s="214"/>
      <c r="T26" s="214"/>
      <c r="U26" s="214"/>
      <c r="V26" s="214"/>
      <c r="W26" s="214"/>
      <c r="X26" s="214"/>
      <c r="Y26" s="214"/>
      <c r="Z26" s="214"/>
      <c r="AA26" s="214"/>
    </row>
    <row r="27" ht="28.5" customHeight="1">
      <c r="A27" s="204">
        <v>32842.0</v>
      </c>
      <c r="B27" s="204" t="s">
        <v>25</v>
      </c>
      <c r="C27" s="165">
        <v>930.0</v>
      </c>
      <c r="D27" s="165" t="s">
        <v>12520</v>
      </c>
      <c r="E27" s="207" t="s">
        <v>12521</v>
      </c>
      <c r="F27" s="200">
        <v>43442.0</v>
      </c>
      <c r="G27" s="216">
        <v>43454.0</v>
      </c>
      <c r="H27" s="204" t="s">
        <v>1747</v>
      </c>
      <c r="I27" s="200">
        <v>43447.0</v>
      </c>
      <c r="J27" s="204" t="s">
        <v>2535</v>
      </c>
      <c r="K27" s="215" t="s">
        <v>2535</v>
      </c>
      <c r="L27" s="643" t="s">
        <v>12522</v>
      </c>
      <c r="M27" s="215"/>
      <c r="N27" s="165"/>
      <c r="O27" s="232"/>
      <c r="P27" s="214"/>
      <c r="Q27" s="214"/>
      <c r="R27" s="214"/>
      <c r="S27" s="214"/>
      <c r="T27" s="214"/>
      <c r="U27" s="214"/>
      <c r="V27" s="214"/>
      <c r="W27" s="214"/>
      <c r="X27" s="214"/>
      <c r="Y27" s="214"/>
      <c r="Z27" s="214"/>
      <c r="AA27" s="214"/>
    </row>
    <row r="28" ht="28.5" customHeight="1">
      <c r="A28" s="215">
        <v>32680.0</v>
      </c>
      <c r="B28" s="204" t="s">
        <v>14</v>
      </c>
      <c r="C28" s="165">
        <v>1073.0</v>
      </c>
      <c r="D28" s="165" t="s">
        <v>12523</v>
      </c>
      <c r="E28" s="207" t="s">
        <v>12512</v>
      </c>
      <c r="F28" s="200">
        <v>43442.0</v>
      </c>
      <c r="G28" s="233">
        <v>43439.0</v>
      </c>
      <c r="H28" s="215" t="s">
        <v>1747</v>
      </c>
      <c r="I28" s="193">
        <v>43451.0</v>
      </c>
      <c r="J28" s="204" t="s">
        <v>2535</v>
      </c>
      <c r="K28" s="215" t="s">
        <v>2535</v>
      </c>
      <c r="L28" s="235" t="s">
        <v>12524</v>
      </c>
      <c r="M28" s="215" t="s">
        <v>497</v>
      </c>
      <c r="N28" s="215" t="s">
        <v>1077</v>
      </c>
      <c r="O28" s="232">
        <v>47475.55</v>
      </c>
      <c r="P28" s="214"/>
      <c r="Q28" s="214"/>
      <c r="R28" s="214"/>
      <c r="S28" s="214"/>
      <c r="T28" s="214"/>
      <c r="U28" s="214"/>
      <c r="V28" s="214"/>
      <c r="W28" s="214"/>
      <c r="X28" s="214"/>
      <c r="Y28" s="214"/>
      <c r="Z28" s="214"/>
      <c r="AA28" s="214"/>
    </row>
    <row r="29" ht="28.5" customHeight="1">
      <c r="A29" s="215">
        <v>32351.0</v>
      </c>
      <c r="B29" s="204" t="s">
        <v>21</v>
      </c>
      <c r="C29" s="165">
        <v>2040.0</v>
      </c>
      <c r="D29" s="165" t="s">
        <v>12525</v>
      </c>
      <c r="E29" s="207" t="s">
        <v>12474</v>
      </c>
      <c r="F29" s="200">
        <v>43438.0</v>
      </c>
      <c r="G29" s="233">
        <v>43434.0</v>
      </c>
      <c r="H29" s="215" t="s">
        <v>1747</v>
      </c>
      <c r="I29" s="233">
        <v>43446.0</v>
      </c>
      <c r="J29" s="204" t="s">
        <v>12492</v>
      </c>
      <c r="K29" s="215" t="s">
        <v>3197</v>
      </c>
      <c r="L29" s="235" t="s">
        <v>12526</v>
      </c>
      <c r="M29" s="215" t="s">
        <v>497</v>
      </c>
      <c r="N29" s="165" t="s">
        <v>2554</v>
      </c>
      <c r="O29" s="232">
        <v>31159.4</v>
      </c>
      <c r="P29" s="214"/>
      <c r="Q29" s="214"/>
      <c r="R29" s="214"/>
      <c r="S29" s="214"/>
      <c r="T29" s="214"/>
      <c r="U29" s="214"/>
      <c r="V29" s="214"/>
      <c r="W29" s="214"/>
      <c r="X29" s="214"/>
      <c r="Y29" s="214"/>
      <c r="Z29" s="214"/>
      <c r="AA29" s="214"/>
    </row>
    <row r="30" ht="28.5" customHeight="1">
      <c r="A30" s="215">
        <v>32350.0</v>
      </c>
      <c r="B30" s="204" t="s">
        <v>14</v>
      </c>
      <c r="C30" s="165">
        <v>2040.0</v>
      </c>
      <c r="D30" s="165" t="s">
        <v>12527</v>
      </c>
      <c r="E30" s="207" t="s">
        <v>12474</v>
      </c>
      <c r="F30" s="200">
        <v>43438.0</v>
      </c>
      <c r="G30" s="233">
        <v>43437.0</v>
      </c>
      <c r="H30" s="215" t="s">
        <v>1747</v>
      </c>
      <c r="I30" s="233">
        <v>43444.0</v>
      </c>
      <c r="J30" s="204" t="s">
        <v>2535</v>
      </c>
      <c r="K30" s="215" t="s">
        <v>2535</v>
      </c>
      <c r="L30" s="235" t="s">
        <v>12528</v>
      </c>
      <c r="M30" s="215" t="s">
        <v>497</v>
      </c>
      <c r="N30" s="165" t="s">
        <v>2554</v>
      </c>
      <c r="O30" s="232">
        <v>31494.4</v>
      </c>
      <c r="P30" s="214"/>
      <c r="Q30" s="214"/>
      <c r="R30" s="214"/>
      <c r="S30" s="214"/>
      <c r="T30" s="214"/>
      <c r="U30" s="214"/>
      <c r="V30" s="214"/>
      <c r="W30" s="214"/>
      <c r="X30" s="214"/>
      <c r="Y30" s="214"/>
      <c r="Z30" s="214"/>
      <c r="AA30" s="214"/>
    </row>
    <row r="31" ht="28.5" customHeight="1">
      <c r="A31" s="215">
        <v>32299.0</v>
      </c>
      <c r="B31" s="204" t="s">
        <v>25</v>
      </c>
      <c r="C31" s="165">
        <v>2248.0</v>
      </c>
      <c r="D31" s="165" t="s">
        <v>12529</v>
      </c>
      <c r="E31" s="207" t="s">
        <v>12530</v>
      </c>
      <c r="F31" s="200">
        <v>43434.0</v>
      </c>
      <c r="G31" s="233">
        <v>43434.0</v>
      </c>
      <c r="H31" s="215" t="s">
        <v>1747</v>
      </c>
      <c r="I31" s="233">
        <v>43440.0</v>
      </c>
      <c r="J31" s="204" t="s">
        <v>2535</v>
      </c>
      <c r="K31" s="215" t="s">
        <v>2535</v>
      </c>
      <c r="L31" s="235" t="s">
        <v>12531</v>
      </c>
      <c r="M31" s="215"/>
      <c r="N31" s="165"/>
      <c r="O31" s="232"/>
      <c r="P31" s="214"/>
      <c r="Q31" s="214"/>
      <c r="R31" s="214"/>
      <c r="S31" s="214"/>
      <c r="T31" s="214"/>
      <c r="U31" s="214"/>
      <c r="V31" s="214"/>
      <c r="W31" s="214"/>
      <c r="X31" s="214"/>
      <c r="Y31" s="214"/>
      <c r="Z31" s="214"/>
      <c r="AA31" s="214"/>
    </row>
    <row r="32" ht="28.5" customHeight="1">
      <c r="A32" s="215">
        <v>32497.0</v>
      </c>
      <c r="B32" s="204" t="s">
        <v>21</v>
      </c>
      <c r="C32" s="165">
        <v>1844.0</v>
      </c>
      <c r="D32" s="165" t="s">
        <v>2096</v>
      </c>
      <c r="E32" s="207" t="s">
        <v>12532</v>
      </c>
      <c r="F32" s="200">
        <v>43432.0</v>
      </c>
      <c r="G32" s="233">
        <v>43431.0</v>
      </c>
      <c r="H32" s="215" t="s">
        <v>1747</v>
      </c>
      <c r="I32" s="193">
        <v>43440.0</v>
      </c>
      <c r="J32" s="204" t="s">
        <v>12492</v>
      </c>
      <c r="K32" s="215" t="s">
        <v>2531</v>
      </c>
      <c r="L32" s="643" t="s">
        <v>12533</v>
      </c>
      <c r="M32" s="215"/>
      <c r="N32" s="165"/>
      <c r="O32" s="232"/>
      <c r="P32" s="214"/>
      <c r="Q32" s="214"/>
      <c r="R32" s="214"/>
      <c r="S32" s="214"/>
      <c r="T32" s="214"/>
      <c r="U32" s="214"/>
      <c r="V32" s="214"/>
      <c r="W32" s="214"/>
      <c r="X32" s="214"/>
      <c r="Y32" s="214"/>
      <c r="Z32" s="214"/>
      <c r="AA32" s="214"/>
    </row>
    <row r="33" ht="28.5" customHeight="1">
      <c r="A33" s="215">
        <v>32506.0</v>
      </c>
      <c r="B33" s="204" t="s">
        <v>14</v>
      </c>
      <c r="C33" s="165">
        <v>320.0</v>
      </c>
      <c r="D33" s="165" t="s">
        <v>12534</v>
      </c>
      <c r="E33" s="207" t="s">
        <v>12535</v>
      </c>
      <c r="F33" s="200">
        <v>43425.0</v>
      </c>
      <c r="G33" s="209">
        <v>43423.0</v>
      </c>
      <c r="H33" s="170">
        <v>43431.0</v>
      </c>
      <c r="I33" s="165" t="s">
        <v>12536</v>
      </c>
      <c r="J33" s="204" t="s">
        <v>2535</v>
      </c>
      <c r="K33" s="215" t="s">
        <v>2535</v>
      </c>
      <c r="L33" s="235" t="s">
        <v>12537</v>
      </c>
      <c r="M33" s="215"/>
      <c r="N33" s="165"/>
      <c r="O33" s="232"/>
      <c r="P33" s="214"/>
      <c r="Q33" s="214"/>
      <c r="R33" s="214"/>
      <c r="S33" s="214"/>
      <c r="T33" s="214"/>
      <c r="U33" s="214"/>
      <c r="V33" s="214"/>
      <c r="W33" s="214"/>
      <c r="X33" s="214"/>
      <c r="Y33" s="214"/>
      <c r="Z33" s="214"/>
      <c r="AA33" s="214"/>
    </row>
    <row r="34" ht="28.5" customHeight="1">
      <c r="A34" s="215">
        <v>32731.0</v>
      </c>
      <c r="B34" s="204" t="s">
        <v>25</v>
      </c>
      <c r="C34" s="165" t="s">
        <v>12538</v>
      </c>
      <c r="D34" s="165" t="s">
        <v>12539</v>
      </c>
      <c r="E34" s="207" t="s">
        <v>12540</v>
      </c>
      <c r="F34" s="200">
        <v>43424.0</v>
      </c>
      <c r="G34" s="215" t="s">
        <v>210</v>
      </c>
      <c r="H34" s="215" t="s">
        <v>1747</v>
      </c>
      <c r="I34" s="233">
        <v>43441.0</v>
      </c>
      <c r="J34" s="204" t="s">
        <v>2535</v>
      </c>
      <c r="K34" s="215" t="s">
        <v>2535</v>
      </c>
      <c r="L34" s="235" t="s">
        <v>12541</v>
      </c>
      <c r="M34" s="215"/>
      <c r="N34" s="165"/>
      <c r="O34" s="232"/>
      <c r="P34" s="214"/>
      <c r="Q34" s="214"/>
      <c r="R34" s="214"/>
      <c r="S34" s="214"/>
      <c r="T34" s="214"/>
      <c r="U34" s="214"/>
      <c r="V34" s="214"/>
      <c r="W34" s="214"/>
      <c r="X34" s="214"/>
      <c r="Y34" s="214"/>
      <c r="Z34" s="214"/>
      <c r="AA34" s="214"/>
    </row>
    <row r="35" ht="28.5" customHeight="1">
      <c r="A35" s="215">
        <v>32634.0</v>
      </c>
      <c r="B35" s="204" t="s">
        <v>14</v>
      </c>
      <c r="C35" s="165">
        <v>2900.0</v>
      </c>
      <c r="D35" s="165" t="s">
        <v>12542</v>
      </c>
      <c r="E35" s="207" t="s">
        <v>12543</v>
      </c>
      <c r="F35" s="200">
        <v>43423.0</v>
      </c>
      <c r="G35" s="233">
        <v>43419.0</v>
      </c>
      <c r="H35" s="215" t="s">
        <v>1747</v>
      </c>
      <c r="I35" s="233">
        <v>43431.0</v>
      </c>
      <c r="J35" s="204" t="s">
        <v>2535</v>
      </c>
      <c r="K35" s="215" t="s">
        <v>2535</v>
      </c>
      <c r="L35" s="643" t="s">
        <v>12544</v>
      </c>
      <c r="M35" s="215" t="s">
        <v>497</v>
      </c>
      <c r="N35" s="165" t="s">
        <v>2554</v>
      </c>
      <c r="O35" s="232">
        <v>64742.5</v>
      </c>
      <c r="P35" s="214"/>
      <c r="Q35" s="214"/>
      <c r="R35" s="214"/>
      <c r="S35" s="214"/>
      <c r="T35" s="214"/>
      <c r="U35" s="214"/>
      <c r="V35" s="214"/>
      <c r="W35" s="214"/>
      <c r="X35" s="214"/>
      <c r="Y35" s="214"/>
      <c r="Z35" s="214"/>
      <c r="AA35" s="214"/>
    </row>
    <row r="36" ht="28.5" customHeight="1">
      <c r="A36" s="215">
        <v>32735.0</v>
      </c>
      <c r="B36" s="204" t="s">
        <v>14</v>
      </c>
      <c r="C36" s="165">
        <v>930.0</v>
      </c>
      <c r="D36" s="165" t="s">
        <v>12545</v>
      </c>
      <c r="E36" s="207" t="s">
        <v>8430</v>
      </c>
      <c r="F36" s="200">
        <v>43423.0</v>
      </c>
      <c r="G36" s="233">
        <v>43417.0</v>
      </c>
      <c r="H36" s="215" t="s">
        <v>1747</v>
      </c>
      <c r="I36" s="216">
        <v>43425.0</v>
      </c>
      <c r="J36" s="204" t="s">
        <v>2535</v>
      </c>
      <c r="K36" s="215" t="s">
        <v>2535</v>
      </c>
      <c r="L36" s="235" t="s">
        <v>12546</v>
      </c>
      <c r="M36" s="215"/>
      <c r="N36" s="165"/>
      <c r="O36" s="232"/>
      <c r="P36" s="214"/>
      <c r="Q36" s="214"/>
      <c r="R36" s="214"/>
      <c r="S36" s="214"/>
      <c r="T36" s="214"/>
      <c r="U36" s="214"/>
      <c r="V36" s="214"/>
      <c r="W36" s="214"/>
      <c r="X36" s="214"/>
      <c r="Y36" s="214"/>
      <c r="Z36" s="214"/>
      <c r="AA36" s="214"/>
    </row>
    <row r="37" ht="28.5" customHeight="1">
      <c r="A37" s="215">
        <v>32347.0</v>
      </c>
      <c r="B37" s="204" t="s">
        <v>21</v>
      </c>
      <c r="C37" s="165">
        <v>2040.0</v>
      </c>
      <c r="D37" s="165" t="s">
        <v>12547</v>
      </c>
      <c r="E37" s="207" t="s">
        <v>12474</v>
      </c>
      <c r="F37" s="200">
        <v>43421.0</v>
      </c>
      <c r="G37" s="200">
        <v>43419.0</v>
      </c>
      <c r="H37" s="204" t="s">
        <v>1747</v>
      </c>
      <c r="I37" s="204" t="s">
        <v>12548</v>
      </c>
      <c r="J37" s="204" t="s">
        <v>12549</v>
      </c>
      <c r="K37" s="215" t="s">
        <v>3197</v>
      </c>
      <c r="L37" s="235" t="s">
        <v>12550</v>
      </c>
      <c r="M37" s="215" t="s">
        <v>497</v>
      </c>
      <c r="N37" s="165" t="s">
        <v>2554</v>
      </c>
      <c r="O37" s="232">
        <v>31829.4</v>
      </c>
      <c r="P37" s="214"/>
      <c r="Q37" s="214"/>
      <c r="R37" s="214"/>
      <c r="S37" s="214"/>
      <c r="T37" s="214"/>
      <c r="U37" s="214"/>
      <c r="V37" s="214"/>
      <c r="W37" s="214"/>
      <c r="X37" s="214"/>
      <c r="Y37" s="214"/>
      <c r="Z37" s="214"/>
      <c r="AA37" s="214"/>
    </row>
    <row r="38" ht="28.5" customHeight="1">
      <c r="A38" s="215">
        <v>32277.0</v>
      </c>
      <c r="B38" s="204" t="s">
        <v>25</v>
      </c>
      <c r="C38" s="165">
        <v>1730.0</v>
      </c>
      <c r="D38" s="165" t="s">
        <v>12551</v>
      </c>
      <c r="E38" s="207" t="s">
        <v>12552</v>
      </c>
      <c r="F38" s="200">
        <v>43420.0</v>
      </c>
      <c r="G38" s="233">
        <v>43420.0</v>
      </c>
      <c r="H38" s="215" t="s">
        <v>1747</v>
      </c>
      <c r="I38" s="209">
        <v>43424.0</v>
      </c>
      <c r="J38" s="204" t="s">
        <v>2535</v>
      </c>
      <c r="K38" s="215" t="s">
        <v>2535</v>
      </c>
      <c r="L38" s="235" t="s">
        <v>12553</v>
      </c>
      <c r="M38" s="215"/>
      <c r="N38" s="165"/>
      <c r="O38" s="232"/>
      <c r="P38" s="214"/>
      <c r="Q38" s="214"/>
      <c r="R38" s="214"/>
      <c r="S38" s="214"/>
      <c r="T38" s="214"/>
      <c r="U38" s="214"/>
      <c r="V38" s="214"/>
      <c r="W38" s="214"/>
      <c r="X38" s="214"/>
      <c r="Y38" s="214"/>
      <c r="Z38" s="214"/>
      <c r="AA38" s="214"/>
    </row>
    <row r="39" ht="28.5" customHeight="1">
      <c r="A39" s="215">
        <v>32430.0</v>
      </c>
      <c r="B39" s="204" t="s">
        <v>25</v>
      </c>
      <c r="C39" s="165">
        <v>900.0</v>
      </c>
      <c r="D39" s="165" t="s">
        <v>12554</v>
      </c>
      <c r="E39" s="207" t="s">
        <v>12555</v>
      </c>
      <c r="F39" s="200">
        <v>43420.0</v>
      </c>
      <c r="G39" s="170">
        <v>43417.0</v>
      </c>
      <c r="H39" s="165" t="s">
        <v>1747</v>
      </c>
      <c r="I39" s="165" t="s">
        <v>12556</v>
      </c>
      <c r="J39" s="204" t="s">
        <v>2535</v>
      </c>
      <c r="K39" s="215" t="s">
        <v>2535</v>
      </c>
      <c r="L39" s="235" t="s">
        <v>12557</v>
      </c>
      <c r="M39" s="215"/>
      <c r="N39" s="165"/>
      <c r="O39" s="232"/>
      <c r="P39" s="214"/>
      <c r="Q39" s="214"/>
      <c r="R39" s="214"/>
      <c r="S39" s="214"/>
      <c r="T39" s="214"/>
      <c r="U39" s="214"/>
      <c r="V39" s="214"/>
      <c r="W39" s="214"/>
      <c r="X39" s="214"/>
      <c r="Y39" s="214"/>
      <c r="Z39" s="214"/>
      <c r="AA39" s="214"/>
    </row>
    <row r="40" ht="28.5" customHeight="1">
      <c r="A40" s="205" t="str">
        <f>HYPERLINK("https://drive.google.com/open?id=0B6Vr5nVC58V5WjZXZkljZ19HTkFSTWFickh6TUZia3dkb1dF","N/A")</f>
        <v>N/A</v>
      </c>
      <c r="B40" s="204" t="s">
        <v>21</v>
      </c>
      <c r="C40" s="165">
        <v>57.0</v>
      </c>
      <c r="D40" s="165" t="s">
        <v>12558</v>
      </c>
      <c r="E40" s="207" t="s">
        <v>12559</v>
      </c>
      <c r="F40" s="200">
        <v>43417.0</v>
      </c>
      <c r="G40" s="233">
        <v>43423.0</v>
      </c>
      <c r="H40" s="215" t="s">
        <v>1747</v>
      </c>
      <c r="I40" s="233">
        <v>43434.0</v>
      </c>
      <c r="J40" s="204" t="s">
        <v>2535</v>
      </c>
      <c r="K40" s="215" t="s">
        <v>2535</v>
      </c>
      <c r="L40" s="235" t="s">
        <v>12560</v>
      </c>
      <c r="M40" s="215"/>
      <c r="N40" s="165"/>
      <c r="O40" s="232"/>
      <c r="P40" s="214"/>
      <c r="Q40" s="214"/>
      <c r="R40" s="214"/>
      <c r="S40" s="214"/>
      <c r="T40" s="214"/>
      <c r="U40" s="214"/>
      <c r="V40" s="214"/>
      <c r="W40" s="214"/>
      <c r="X40" s="214"/>
      <c r="Y40" s="214"/>
      <c r="Z40" s="214"/>
      <c r="AA40" s="214"/>
    </row>
    <row r="41" ht="28.5" customHeight="1">
      <c r="A41" s="215">
        <v>32679.0</v>
      </c>
      <c r="B41" s="204" t="s">
        <v>21</v>
      </c>
      <c r="C41" s="165">
        <v>920.0</v>
      </c>
      <c r="D41" s="165" t="s">
        <v>12561</v>
      </c>
      <c r="E41" s="207" t="s">
        <v>12562</v>
      </c>
      <c r="F41" s="200">
        <v>43417.0</v>
      </c>
      <c r="G41" s="233">
        <v>43413.0</v>
      </c>
      <c r="H41" s="215" t="s">
        <v>1747</v>
      </c>
      <c r="I41" s="216">
        <v>43424.0</v>
      </c>
      <c r="J41" s="204" t="s">
        <v>12549</v>
      </c>
      <c r="K41" s="215" t="s">
        <v>2531</v>
      </c>
      <c r="L41" s="235" t="s">
        <v>12563</v>
      </c>
      <c r="M41" s="215" t="s">
        <v>497</v>
      </c>
      <c r="N41" s="215" t="s">
        <v>1077</v>
      </c>
      <c r="O41" s="232">
        <v>46727.4</v>
      </c>
      <c r="P41" s="214"/>
      <c r="Q41" s="214"/>
      <c r="R41" s="214"/>
      <c r="S41" s="214"/>
      <c r="T41" s="214"/>
      <c r="U41" s="214"/>
      <c r="V41" s="214"/>
      <c r="W41" s="214"/>
      <c r="X41" s="214"/>
      <c r="Y41" s="214"/>
      <c r="Z41" s="214"/>
      <c r="AA41" s="214"/>
    </row>
    <row r="42" ht="28.5" customHeight="1">
      <c r="A42" s="215">
        <v>32708.0</v>
      </c>
      <c r="B42" s="204" t="s">
        <v>14</v>
      </c>
      <c r="C42" s="165">
        <v>1350.0</v>
      </c>
      <c r="D42" s="165" t="s">
        <v>12564</v>
      </c>
      <c r="E42" s="207" t="s">
        <v>8430</v>
      </c>
      <c r="F42" s="200">
        <v>43417.0</v>
      </c>
      <c r="G42" s="233">
        <v>43420.0</v>
      </c>
      <c r="H42" s="215" t="s">
        <v>1747</v>
      </c>
      <c r="I42" s="233">
        <v>43417.0</v>
      </c>
      <c r="J42" s="204" t="s">
        <v>2535</v>
      </c>
      <c r="K42" s="215" t="s">
        <v>2535</v>
      </c>
      <c r="L42" s="235" t="s">
        <v>12565</v>
      </c>
      <c r="M42" s="215"/>
      <c r="N42" s="165"/>
      <c r="O42" s="232"/>
      <c r="P42" s="214"/>
      <c r="Q42" s="214"/>
      <c r="R42" s="214"/>
      <c r="S42" s="214"/>
      <c r="T42" s="214"/>
      <c r="U42" s="214"/>
      <c r="V42" s="214"/>
      <c r="W42" s="214"/>
      <c r="X42" s="214"/>
      <c r="Y42" s="214"/>
      <c r="Z42" s="214"/>
      <c r="AA42" s="214"/>
    </row>
    <row r="43" ht="28.5" customHeight="1">
      <c r="A43" s="215">
        <v>32349.0</v>
      </c>
      <c r="B43" s="204" t="s">
        <v>25</v>
      </c>
      <c r="C43" s="165">
        <v>2040.0</v>
      </c>
      <c r="D43" s="165" t="s">
        <v>12566</v>
      </c>
      <c r="E43" s="207" t="s">
        <v>12474</v>
      </c>
      <c r="F43" s="200">
        <v>43417.0</v>
      </c>
      <c r="G43" s="200">
        <v>43413.0</v>
      </c>
      <c r="H43" s="204" t="s">
        <v>1747</v>
      </c>
      <c r="I43" s="204" t="s">
        <v>12567</v>
      </c>
      <c r="J43" s="204" t="s">
        <v>2535</v>
      </c>
      <c r="K43" s="215" t="s">
        <v>2535</v>
      </c>
      <c r="L43" s="235" t="s">
        <v>12568</v>
      </c>
      <c r="M43" s="215" t="s">
        <v>497</v>
      </c>
      <c r="N43" s="165" t="s">
        <v>2554</v>
      </c>
      <c r="O43" s="232">
        <v>31829.4</v>
      </c>
      <c r="P43" s="214"/>
      <c r="Q43" s="214"/>
      <c r="R43" s="214"/>
      <c r="S43" s="214"/>
      <c r="T43" s="214"/>
      <c r="U43" s="214"/>
      <c r="V43" s="214"/>
      <c r="W43" s="214"/>
      <c r="X43" s="214"/>
      <c r="Y43" s="214"/>
      <c r="Z43" s="214"/>
      <c r="AA43" s="214"/>
    </row>
    <row r="44" ht="28.5" customHeight="1">
      <c r="A44" s="215">
        <v>32674.0</v>
      </c>
      <c r="B44" s="204" t="s">
        <v>21</v>
      </c>
      <c r="C44" s="165">
        <v>681.0</v>
      </c>
      <c r="D44" s="165" t="s">
        <v>2094</v>
      </c>
      <c r="E44" s="207" t="s">
        <v>12569</v>
      </c>
      <c r="F44" s="200">
        <v>43416.0</v>
      </c>
      <c r="G44" s="233">
        <v>43418.0</v>
      </c>
      <c r="H44" s="215" t="s">
        <v>1747</v>
      </c>
      <c r="I44" s="200">
        <v>43423.0</v>
      </c>
      <c r="J44" s="204" t="s">
        <v>12549</v>
      </c>
      <c r="K44" s="215" t="s">
        <v>2531</v>
      </c>
      <c r="L44" s="235" t="s">
        <v>12570</v>
      </c>
      <c r="M44" s="215"/>
      <c r="N44" s="165"/>
      <c r="O44" s="232"/>
      <c r="P44" s="214"/>
      <c r="Q44" s="214"/>
      <c r="R44" s="214"/>
      <c r="S44" s="214"/>
      <c r="T44" s="214"/>
      <c r="U44" s="214"/>
      <c r="V44" s="214"/>
      <c r="W44" s="214"/>
      <c r="X44" s="214"/>
      <c r="Y44" s="214"/>
      <c r="Z44" s="214"/>
      <c r="AA44" s="214"/>
    </row>
    <row r="45" ht="28.5" customHeight="1">
      <c r="A45" s="215">
        <v>32274.0</v>
      </c>
      <c r="B45" s="204" t="s">
        <v>21</v>
      </c>
      <c r="C45" s="165">
        <v>1622.0</v>
      </c>
      <c r="D45" s="165" t="s">
        <v>12571</v>
      </c>
      <c r="E45" s="207" t="s">
        <v>12552</v>
      </c>
      <c r="F45" s="200">
        <v>43416.0</v>
      </c>
      <c r="G45" s="233">
        <v>43413.0</v>
      </c>
      <c r="H45" s="215" t="s">
        <v>1747</v>
      </c>
      <c r="I45" s="200">
        <v>43420.0</v>
      </c>
      <c r="J45" s="204" t="s">
        <v>12549</v>
      </c>
      <c r="K45" s="215" t="s">
        <v>2531</v>
      </c>
      <c r="L45" s="235" t="s">
        <v>12572</v>
      </c>
      <c r="M45" s="215"/>
      <c r="N45" s="165"/>
      <c r="O45" s="232"/>
      <c r="P45" s="214"/>
      <c r="Q45" s="214"/>
      <c r="R45" s="214"/>
      <c r="S45" s="214"/>
      <c r="T45" s="214"/>
      <c r="U45" s="214"/>
      <c r="V45" s="214"/>
      <c r="W45" s="214"/>
      <c r="X45" s="214"/>
      <c r="Y45" s="214"/>
      <c r="Z45" s="214"/>
      <c r="AA45" s="214"/>
    </row>
    <row r="46" ht="28.5" customHeight="1">
      <c r="A46" s="215" t="s">
        <v>12573</v>
      </c>
      <c r="B46" s="204" t="s">
        <v>21</v>
      </c>
      <c r="C46" s="165">
        <v>225.0</v>
      </c>
      <c r="D46" s="165" t="s">
        <v>12574</v>
      </c>
      <c r="E46" s="207" t="s">
        <v>12575</v>
      </c>
      <c r="F46" s="200">
        <v>43415.0</v>
      </c>
      <c r="G46" s="233">
        <v>43413.0</v>
      </c>
      <c r="H46" s="204" t="s">
        <v>1747</v>
      </c>
      <c r="I46" s="216">
        <v>43423.0</v>
      </c>
      <c r="J46" s="204" t="s">
        <v>12549</v>
      </c>
      <c r="K46" s="215" t="s">
        <v>3197</v>
      </c>
      <c r="L46" s="235" t="s">
        <v>12576</v>
      </c>
      <c r="M46" s="215"/>
      <c r="N46" s="165"/>
      <c r="O46" s="232"/>
      <c r="P46" s="214"/>
      <c r="Q46" s="214"/>
      <c r="R46" s="214"/>
      <c r="S46" s="214"/>
      <c r="T46" s="214"/>
      <c r="U46" s="214"/>
      <c r="V46" s="214"/>
      <c r="W46" s="214"/>
      <c r="X46" s="214"/>
      <c r="Y46" s="214"/>
      <c r="Z46" s="214"/>
      <c r="AA46" s="214"/>
    </row>
    <row r="47" ht="36.0" customHeight="1">
      <c r="A47" s="215">
        <v>32454.0</v>
      </c>
      <c r="B47" s="204" t="s">
        <v>21</v>
      </c>
      <c r="C47" s="165">
        <v>2295.0</v>
      </c>
      <c r="D47" s="165" t="s">
        <v>12577</v>
      </c>
      <c r="E47" s="207" t="s">
        <v>3217</v>
      </c>
      <c r="F47" s="200">
        <v>43415.0</v>
      </c>
      <c r="G47" s="215" t="s">
        <v>28</v>
      </c>
      <c r="H47" s="215" t="s">
        <v>1747</v>
      </c>
      <c r="I47" s="233">
        <v>43418.0</v>
      </c>
      <c r="J47" s="204" t="s">
        <v>2535</v>
      </c>
      <c r="K47" s="215" t="s">
        <v>2535</v>
      </c>
      <c r="L47" s="235" t="s">
        <v>28</v>
      </c>
      <c r="M47" s="215"/>
      <c r="N47" s="165"/>
      <c r="O47" s="232"/>
      <c r="P47" s="214"/>
      <c r="Q47" s="214"/>
      <c r="R47" s="214"/>
      <c r="S47" s="214"/>
      <c r="T47" s="214"/>
      <c r="U47" s="214"/>
      <c r="V47" s="214"/>
      <c r="W47" s="214"/>
      <c r="X47" s="214"/>
      <c r="Y47" s="214"/>
      <c r="Z47" s="214"/>
      <c r="AA47" s="214"/>
    </row>
    <row r="48" ht="28.5" customHeight="1">
      <c r="A48" s="215">
        <v>32276.0</v>
      </c>
      <c r="B48" s="204" t="s">
        <v>25</v>
      </c>
      <c r="C48" s="165">
        <v>1730.0</v>
      </c>
      <c r="D48" s="165" t="s">
        <v>12578</v>
      </c>
      <c r="E48" s="207" t="s">
        <v>12552</v>
      </c>
      <c r="F48" s="200">
        <v>43410.0</v>
      </c>
      <c r="G48" s="200">
        <v>43410.0</v>
      </c>
      <c r="H48" s="204" t="s">
        <v>1747</v>
      </c>
      <c r="I48" s="200">
        <v>43411.0</v>
      </c>
      <c r="J48" s="204" t="s">
        <v>2535</v>
      </c>
      <c r="K48" s="215" t="s">
        <v>2535</v>
      </c>
      <c r="L48" s="235" t="s">
        <v>12579</v>
      </c>
      <c r="M48" s="215"/>
      <c r="N48" s="165"/>
      <c r="O48" s="232"/>
      <c r="P48" s="214"/>
      <c r="Q48" s="214"/>
      <c r="R48" s="214"/>
      <c r="S48" s="214"/>
      <c r="T48" s="214"/>
      <c r="U48" s="214"/>
      <c r="V48" s="214"/>
      <c r="W48" s="214"/>
      <c r="X48" s="214"/>
      <c r="Y48" s="214"/>
      <c r="Z48" s="214"/>
      <c r="AA48" s="214"/>
    </row>
    <row r="49" ht="28.5" customHeight="1">
      <c r="A49" s="204">
        <v>32464.0</v>
      </c>
      <c r="B49" s="204" t="s">
        <v>14</v>
      </c>
      <c r="C49" s="165">
        <v>1800.0</v>
      </c>
      <c r="D49" s="165" t="s">
        <v>12580</v>
      </c>
      <c r="E49" s="207" t="s">
        <v>12581</v>
      </c>
      <c r="F49" s="200">
        <v>43409.0</v>
      </c>
      <c r="G49" s="233">
        <v>43410.0</v>
      </c>
      <c r="H49" s="215" t="s">
        <v>1747</v>
      </c>
      <c r="I49" s="193">
        <v>43418.0</v>
      </c>
      <c r="J49" s="204" t="s">
        <v>2535</v>
      </c>
      <c r="K49" s="215" t="s">
        <v>2535</v>
      </c>
      <c r="L49" s="235" t="s">
        <v>12582</v>
      </c>
      <c r="M49" s="215"/>
      <c r="N49" s="165"/>
      <c r="O49" s="232"/>
      <c r="P49" s="214"/>
      <c r="Q49" s="214"/>
      <c r="R49" s="214"/>
      <c r="S49" s="214"/>
      <c r="T49" s="214"/>
      <c r="U49" s="214"/>
      <c r="V49" s="214"/>
      <c r="W49" s="214"/>
      <c r="X49" s="214"/>
      <c r="Y49" s="214"/>
      <c r="Z49" s="214"/>
      <c r="AA49" s="214"/>
    </row>
    <row r="50" ht="28.5" customHeight="1">
      <c r="A50" s="204">
        <v>32669.0</v>
      </c>
      <c r="B50" s="204" t="s">
        <v>14</v>
      </c>
      <c r="C50" s="165">
        <v>600.0</v>
      </c>
      <c r="D50" s="165" t="s">
        <v>12583</v>
      </c>
      <c r="E50" s="207" t="s">
        <v>12584</v>
      </c>
      <c r="F50" s="200">
        <v>43409.0</v>
      </c>
      <c r="G50" s="216">
        <v>43402.0</v>
      </c>
      <c r="H50" s="204" t="s">
        <v>12585</v>
      </c>
      <c r="I50" s="200">
        <v>43412.0</v>
      </c>
      <c r="J50" s="204" t="s">
        <v>2535</v>
      </c>
      <c r="K50" s="215" t="s">
        <v>2535</v>
      </c>
      <c r="L50" s="235" t="s">
        <v>12586</v>
      </c>
      <c r="M50" s="215"/>
      <c r="N50" s="165"/>
      <c r="O50" s="232"/>
      <c r="P50" s="214"/>
      <c r="Q50" s="214"/>
      <c r="R50" s="214"/>
      <c r="S50" s="214"/>
      <c r="T50" s="214"/>
      <c r="U50" s="214"/>
      <c r="V50" s="214"/>
      <c r="W50" s="214"/>
      <c r="X50" s="214"/>
      <c r="Y50" s="214"/>
      <c r="Z50" s="214"/>
      <c r="AA50" s="214"/>
    </row>
    <row r="51" ht="28.5" customHeight="1">
      <c r="A51" s="215">
        <v>32275.0</v>
      </c>
      <c r="B51" s="204" t="s">
        <v>14</v>
      </c>
      <c r="C51" s="165">
        <v>1610.0</v>
      </c>
      <c r="D51" s="165" t="s">
        <v>12587</v>
      </c>
      <c r="E51" s="207" t="s">
        <v>12588</v>
      </c>
      <c r="F51" s="200">
        <v>43409.0</v>
      </c>
      <c r="G51" s="200">
        <v>43410.0</v>
      </c>
      <c r="H51" s="204" t="s">
        <v>1747</v>
      </c>
      <c r="I51" s="200">
        <v>43412.0</v>
      </c>
      <c r="J51" s="204" t="s">
        <v>2535</v>
      </c>
      <c r="K51" s="215" t="s">
        <v>2535</v>
      </c>
      <c r="L51" s="235" t="s">
        <v>12589</v>
      </c>
      <c r="M51" s="215"/>
      <c r="N51" s="165"/>
      <c r="O51" s="232"/>
      <c r="P51" s="214"/>
      <c r="Q51" s="214"/>
      <c r="R51" s="214"/>
      <c r="S51" s="214"/>
      <c r="T51" s="214"/>
      <c r="U51" s="214"/>
      <c r="V51" s="214"/>
      <c r="W51" s="214"/>
      <c r="X51" s="214"/>
      <c r="Y51" s="214"/>
      <c r="Z51" s="214"/>
      <c r="AA51" s="214"/>
    </row>
    <row r="52" ht="28.5" customHeight="1">
      <c r="A52" s="215">
        <v>32297.0</v>
      </c>
      <c r="B52" s="204" t="s">
        <v>25</v>
      </c>
      <c r="C52" s="165">
        <v>1990.0</v>
      </c>
      <c r="D52" s="165" t="s">
        <v>12590</v>
      </c>
      <c r="E52" s="207" t="s">
        <v>12591</v>
      </c>
      <c r="F52" s="200">
        <v>43409.0</v>
      </c>
      <c r="G52" s="233">
        <v>43406.0</v>
      </c>
      <c r="H52" s="204" t="s">
        <v>12585</v>
      </c>
      <c r="I52" s="200">
        <v>43413.0</v>
      </c>
      <c r="J52" s="204" t="s">
        <v>2535</v>
      </c>
      <c r="K52" s="215" t="s">
        <v>2535</v>
      </c>
      <c r="L52" s="235" t="s">
        <v>12592</v>
      </c>
      <c r="M52" s="215"/>
      <c r="N52" s="165"/>
      <c r="O52" s="232"/>
      <c r="P52" s="214"/>
      <c r="Q52" s="214"/>
      <c r="R52" s="214"/>
      <c r="S52" s="214"/>
      <c r="T52" s="214"/>
      <c r="U52" s="214"/>
      <c r="V52" s="214"/>
      <c r="W52" s="214"/>
      <c r="X52" s="214"/>
      <c r="Y52" s="214"/>
      <c r="Z52" s="214"/>
      <c r="AA52" s="214"/>
    </row>
    <row r="53" ht="28.5" customHeight="1">
      <c r="A53" s="215">
        <v>32298.0</v>
      </c>
      <c r="B53" s="204" t="s">
        <v>14</v>
      </c>
      <c r="C53" s="165">
        <v>2388.0</v>
      </c>
      <c r="D53" s="165" t="s">
        <v>12593</v>
      </c>
      <c r="E53" s="207" t="s">
        <v>12594</v>
      </c>
      <c r="F53" s="200">
        <v>43409.0</v>
      </c>
      <c r="G53" s="233">
        <v>43405.0</v>
      </c>
      <c r="H53" s="215" t="s">
        <v>1747</v>
      </c>
      <c r="I53" s="233">
        <v>43416.0</v>
      </c>
      <c r="J53" s="204" t="s">
        <v>2535</v>
      </c>
      <c r="K53" s="215" t="s">
        <v>2535</v>
      </c>
      <c r="L53" s="235" t="s">
        <v>12595</v>
      </c>
      <c r="M53" s="215"/>
      <c r="N53" s="165"/>
      <c r="O53" s="232"/>
      <c r="P53" s="214"/>
      <c r="Q53" s="214"/>
      <c r="R53" s="214"/>
      <c r="S53" s="214"/>
      <c r="T53" s="214"/>
      <c r="U53" s="214"/>
      <c r="V53" s="214"/>
      <c r="W53" s="214"/>
      <c r="X53" s="214"/>
      <c r="Y53" s="214"/>
      <c r="Z53" s="214"/>
      <c r="AA53" s="214"/>
    </row>
    <row r="54" ht="28.5" customHeight="1">
      <c r="A54" s="215">
        <v>32794.0</v>
      </c>
      <c r="B54" s="204" t="s">
        <v>25</v>
      </c>
      <c r="C54" s="165">
        <v>944.0</v>
      </c>
      <c r="D54" s="165" t="s">
        <v>12596</v>
      </c>
      <c r="E54" s="207" t="s">
        <v>12597</v>
      </c>
      <c r="F54" s="200">
        <v>43408.0</v>
      </c>
      <c r="G54" s="233">
        <v>43406.0</v>
      </c>
      <c r="H54" s="215" t="s">
        <v>1747</v>
      </c>
      <c r="I54" s="233">
        <v>43417.0</v>
      </c>
      <c r="J54" s="204" t="s">
        <v>2535</v>
      </c>
      <c r="K54" s="215" t="s">
        <v>2535</v>
      </c>
      <c r="L54" s="235" t="s">
        <v>12598</v>
      </c>
      <c r="M54" s="215"/>
      <c r="N54" s="165"/>
      <c r="O54" s="232"/>
      <c r="P54" s="214"/>
      <c r="Q54" s="214"/>
      <c r="R54" s="214"/>
      <c r="S54" s="214"/>
      <c r="T54" s="214"/>
      <c r="U54" s="214"/>
      <c r="V54" s="214"/>
      <c r="W54" s="214"/>
      <c r="X54" s="214"/>
      <c r="Y54" s="214"/>
      <c r="Z54" s="214"/>
      <c r="AA54" s="214"/>
    </row>
    <row r="55" ht="28.5" customHeight="1">
      <c r="A55" s="215">
        <v>32660.0</v>
      </c>
      <c r="B55" s="204" t="s">
        <v>21</v>
      </c>
      <c r="C55" s="165">
        <v>15.0</v>
      </c>
      <c r="D55" s="165" t="s">
        <v>12599</v>
      </c>
      <c r="E55" s="242" t="s">
        <v>12600</v>
      </c>
      <c r="F55" s="200">
        <v>43404.0</v>
      </c>
      <c r="G55" s="233">
        <v>43409.0</v>
      </c>
      <c r="H55" s="215" t="s">
        <v>1747</v>
      </c>
      <c r="I55" s="233">
        <v>43409.0</v>
      </c>
      <c r="J55" s="204" t="s">
        <v>2535</v>
      </c>
      <c r="K55" s="215" t="s">
        <v>2535</v>
      </c>
      <c r="L55" s="207" t="s">
        <v>12601</v>
      </c>
      <c r="M55" s="215"/>
      <c r="N55" s="165"/>
      <c r="O55" s="232"/>
      <c r="P55" s="214"/>
      <c r="Q55" s="214"/>
      <c r="R55" s="214"/>
      <c r="S55" s="214"/>
      <c r="T55" s="214"/>
      <c r="U55" s="214"/>
      <c r="V55" s="214"/>
      <c r="W55" s="214"/>
      <c r="X55" s="214"/>
      <c r="Y55" s="214"/>
      <c r="Z55" s="214"/>
      <c r="AA55" s="214"/>
    </row>
    <row r="56" ht="28.5" customHeight="1">
      <c r="A56" s="215">
        <v>32671.0</v>
      </c>
      <c r="B56" s="204" t="s">
        <v>21</v>
      </c>
      <c r="C56" s="165">
        <v>675.0</v>
      </c>
      <c r="D56" s="165" t="s">
        <v>2091</v>
      </c>
      <c r="E56" s="207" t="s">
        <v>12602</v>
      </c>
      <c r="F56" s="200">
        <v>43402.0</v>
      </c>
      <c r="G56" s="200">
        <v>43409.0</v>
      </c>
      <c r="H56" s="204" t="s">
        <v>1747</v>
      </c>
      <c r="I56" s="216">
        <v>43416.0</v>
      </c>
      <c r="J56" s="204" t="s">
        <v>12549</v>
      </c>
      <c r="K56" s="215" t="s">
        <v>3197</v>
      </c>
      <c r="L56" s="235" t="s">
        <v>12603</v>
      </c>
      <c r="M56" s="215"/>
      <c r="N56" s="165"/>
      <c r="O56" s="232"/>
      <c r="P56" s="214"/>
      <c r="Q56" s="214"/>
      <c r="R56" s="214"/>
      <c r="S56" s="214"/>
      <c r="T56" s="214"/>
      <c r="U56" s="214"/>
      <c r="V56" s="214"/>
      <c r="W56" s="214"/>
      <c r="X56" s="214"/>
      <c r="Y56" s="214"/>
      <c r="Z56" s="214"/>
      <c r="AA56" s="214"/>
    </row>
    <row r="57" ht="28.5" customHeight="1">
      <c r="A57" s="215">
        <v>32453.0</v>
      </c>
      <c r="B57" s="204" t="s">
        <v>14</v>
      </c>
      <c r="C57" s="165">
        <v>2564.0</v>
      </c>
      <c r="D57" s="165" t="s">
        <v>12604</v>
      </c>
      <c r="E57" s="207" t="s">
        <v>3217</v>
      </c>
      <c r="F57" s="200">
        <v>43402.0</v>
      </c>
      <c r="G57" s="215" t="s">
        <v>210</v>
      </c>
      <c r="H57" s="215" t="s">
        <v>1747</v>
      </c>
      <c r="I57" s="233">
        <v>43403.0</v>
      </c>
      <c r="J57" s="204" t="s">
        <v>2535</v>
      </c>
      <c r="K57" s="215" t="s">
        <v>2535</v>
      </c>
      <c r="L57" s="235" t="s">
        <v>28</v>
      </c>
      <c r="M57" s="215"/>
      <c r="N57" s="165"/>
      <c r="O57" s="232"/>
      <c r="P57" s="214"/>
      <c r="Q57" s="214"/>
      <c r="R57" s="214"/>
      <c r="S57" s="214"/>
      <c r="T57" s="214"/>
      <c r="U57" s="214"/>
      <c r="V57" s="214"/>
      <c r="W57" s="214"/>
      <c r="X57" s="214"/>
      <c r="Y57" s="214"/>
      <c r="Z57" s="214"/>
      <c r="AA57" s="214"/>
    </row>
    <row r="58" ht="28.5" customHeight="1">
      <c r="A58" s="215">
        <v>32457.0</v>
      </c>
      <c r="B58" s="204" t="s">
        <v>25</v>
      </c>
      <c r="C58" s="165">
        <v>2332.0</v>
      </c>
      <c r="D58" s="165" t="s">
        <v>12605</v>
      </c>
      <c r="E58" s="207" t="s">
        <v>3217</v>
      </c>
      <c r="F58" s="200">
        <v>43399.0</v>
      </c>
      <c r="G58" s="215" t="s">
        <v>210</v>
      </c>
      <c r="H58" s="215" t="s">
        <v>1747</v>
      </c>
      <c r="I58" s="233">
        <v>43400.0</v>
      </c>
      <c r="J58" s="204" t="s">
        <v>2535</v>
      </c>
      <c r="K58" s="215" t="s">
        <v>2535</v>
      </c>
      <c r="L58" s="235" t="s">
        <v>28</v>
      </c>
      <c r="M58" s="215"/>
      <c r="N58" s="165"/>
      <c r="O58" s="232"/>
      <c r="P58" s="214"/>
      <c r="Q58" s="214"/>
      <c r="R58" s="214"/>
      <c r="S58" s="214"/>
      <c r="T58" s="214"/>
      <c r="U58" s="214"/>
      <c r="V58" s="214"/>
      <c r="W58" s="214"/>
      <c r="X58" s="214"/>
      <c r="Y58" s="214"/>
      <c r="Z58" s="214"/>
      <c r="AA58" s="214"/>
    </row>
    <row r="59" ht="28.5" customHeight="1">
      <c r="A59" s="215">
        <v>32793.0</v>
      </c>
      <c r="B59" s="204" t="s">
        <v>14</v>
      </c>
      <c r="C59" s="165">
        <v>1120.0</v>
      </c>
      <c r="D59" s="165" t="s">
        <v>12606</v>
      </c>
      <c r="E59" s="207" t="s">
        <v>12607</v>
      </c>
      <c r="F59" s="200">
        <v>43397.0</v>
      </c>
      <c r="G59" s="233">
        <v>43405.0</v>
      </c>
      <c r="H59" s="215" t="s">
        <v>1747</v>
      </c>
      <c r="I59" s="644">
        <v>43398.0</v>
      </c>
      <c r="J59" s="204" t="s">
        <v>2535</v>
      </c>
      <c r="K59" s="215" t="s">
        <v>2535</v>
      </c>
      <c r="L59" s="207" t="s">
        <v>12608</v>
      </c>
      <c r="M59" s="215"/>
      <c r="N59" s="165"/>
      <c r="O59" s="232"/>
      <c r="P59" s="214"/>
      <c r="Q59" s="214"/>
      <c r="R59" s="214"/>
      <c r="S59" s="214"/>
      <c r="T59" s="214"/>
      <c r="U59" s="214"/>
      <c r="V59" s="214"/>
      <c r="W59" s="214"/>
      <c r="X59" s="214"/>
      <c r="Y59" s="214"/>
      <c r="Z59" s="214"/>
      <c r="AA59" s="214"/>
    </row>
    <row r="60" ht="28.5" customHeight="1">
      <c r="A60" s="215">
        <v>32296.0</v>
      </c>
      <c r="B60" s="204" t="s">
        <v>25</v>
      </c>
      <c r="C60" s="165">
        <v>1440.0</v>
      </c>
      <c r="D60" s="165" t="s">
        <v>12609</v>
      </c>
      <c r="E60" s="207" t="s">
        <v>12610</v>
      </c>
      <c r="F60" s="200">
        <v>43394.0</v>
      </c>
      <c r="G60" s="200">
        <v>43388.0</v>
      </c>
      <c r="H60" s="204" t="s">
        <v>1747</v>
      </c>
      <c r="I60" s="200">
        <v>43396.0</v>
      </c>
      <c r="J60" s="204" t="s">
        <v>2535</v>
      </c>
      <c r="K60" s="215" t="s">
        <v>2535</v>
      </c>
      <c r="L60" s="207" t="s">
        <v>12611</v>
      </c>
      <c r="M60" s="215"/>
      <c r="N60" s="165"/>
      <c r="O60" s="232"/>
      <c r="P60" s="214"/>
      <c r="Q60" s="214"/>
      <c r="R60" s="214"/>
      <c r="S60" s="214"/>
      <c r="T60" s="214"/>
      <c r="U60" s="214"/>
      <c r="V60" s="214"/>
      <c r="W60" s="214"/>
      <c r="X60" s="214"/>
      <c r="Y60" s="214"/>
      <c r="Z60" s="214"/>
      <c r="AA60" s="214"/>
    </row>
    <row r="61" ht="28.5" customHeight="1">
      <c r="A61" s="215">
        <v>32294.0</v>
      </c>
      <c r="B61" s="204" t="s">
        <v>21</v>
      </c>
      <c r="C61" s="165">
        <v>1480.0</v>
      </c>
      <c r="D61" s="165" t="s">
        <v>12612</v>
      </c>
      <c r="E61" s="207" t="s">
        <v>12613</v>
      </c>
      <c r="F61" s="200">
        <v>43394.0</v>
      </c>
      <c r="G61" s="645">
        <v>43390.0</v>
      </c>
      <c r="H61" s="204" t="s">
        <v>1747</v>
      </c>
      <c r="I61" s="200">
        <v>43397.0</v>
      </c>
      <c r="J61" s="204" t="s">
        <v>12614</v>
      </c>
      <c r="K61" s="215" t="s">
        <v>2531</v>
      </c>
      <c r="L61" s="235" t="s">
        <v>12615</v>
      </c>
      <c r="M61" s="215"/>
      <c r="N61" s="165"/>
      <c r="O61" s="232"/>
      <c r="P61" s="214"/>
      <c r="Q61" s="214"/>
      <c r="R61" s="214"/>
      <c r="S61" s="214"/>
      <c r="T61" s="214"/>
      <c r="U61" s="214"/>
      <c r="V61" s="214"/>
      <c r="W61" s="214"/>
      <c r="X61" s="214"/>
      <c r="Y61" s="214"/>
      <c r="Z61" s="214"/>
      <c r="AA61" s="214"/>
    </row>
    <row r="62" ht="28.5" customHeight="1">
      <c r="A62" s="215">
        <v>32505.0</v>
      </c>
      <c r="B62" s="204" t="s">
        <v>21</v>
      </c>
      <c r="C62" s="165">
        <v>320.0</v>
      </c>
      <c r="D62" s="165" t="s">
        <v>12616</v>
      </c>
      <c r="E62" s="207" t="s">
        <v>12617</v>
      </c>
      <c r="F62" s="200">
        <v>43394.0</v>
      </c>
      <c r="G62" s="170">
        <v>43390.0</v>
      </c>
      <c r="H62" s="165" t="s">
        <v>4099</v>
      </c>
      <c r="I62" s="170">
        <v>43402.0</v>
      </c>
      <c r="J62" s="204" t="s">
        <v>12614</v>
      </c>
      <c r="K62" s="215" t="s">
        <v>2531</v>
      </c>
      <c r="L62" s="235" t="s">
        <v>12618</v>
      </c>
      <c r="M62" s="215"/>
      <c r="N62" s="165"/>
      <c r="O62" s="232"/>
      <c r="P62" s="214"/>
      <c r="Q62" s="214"/>
      <c r="R62" s="214"/>
      <c r="S62" s="214"/>
      <c r="T62" s="214"/>
      <c r="U62" s="214"/>
      <c r="V62" s="214"/>
      <c r="W62" s="214"/>
      <c r="X62" s="214"/>
      <c r="Y62" s="214"/>
      <c r="Z62" s="214"/>
      <c r="AA62" s="214"/>
    </row>
    <row r="63" ht="28.5" customHeight="1">
      <c r="A63" s="215">
        <v>32594.0</v>
      </c>
      <c r="B63" s="204" t="s">
        <v>14</v>
      </c>
      <c r="C63" s="165">
        <v>225.0</v>
      </c>
      <c r="D63" s="165" t="s">
        <v>12619</v>
      </c>
      <c r="E63" s="207" t="s">
        <v>8449</v>
      </c>
      <c r="F63" s="200">
        <v>43389.0</v>
      </c>
      <c r="G63" s="233">
        <v>43389.0</v>
      </c>
      <c r="H63" s="215" t="s">
        <v>1747</v>
      </c>
      <c r="I63" s="233">
        <v>43395.0</v>
      </c>
      <c r="J63" s="204" t="s">
        <v>2535</v>
      </c>
      <c r="K63" s="215" t="s">
        <v>2535</v>
      </c>
      <c r="L63" s="235" t="s">
        <v>12620</v>
      </c>
      <c r="M63" s="215"/>
      <c r="N63" s="165"/>
      <c r="O63" s="232"/>
      <c r="P63" s="214"/>
      <c r="Q63" s="214"/>
      <c r="R63" s="214"/>
      <c r="S63" s="214"/>
      <c r="T63" s="214"/>
      <c r="U63" s="214"/>
      <c r="V63" s="214"/>
      <c r="W63" s="214"/>
      <c r="X63" s="214"/>
      <c r="Y63" s="214"/>
      <c r="Z63" s="214"/>
      <c r="AA63" s="214"/>
    </row>
    <row r="64" ht="28.5" customHeight="1">
      <c r="A64" s="215">
        <v>32261.0</v>
      </c>
      <c r="B64" s="204" t="s">
        <v>21</v>
      </c>
      <c r="C64" s="165">
        <v>146.0</v>
      </c>
      <c r="D64" s="165" t="s">
        <v>12621</v>
      </c>
      <c r="E64" s="242" t="s">
        <v>12622</v>
      </c>
      <c r="F64" s="200">
        <v>43385.0</v>
      </c>
      <c r="G64" s="193">
        <v>43385.0</v>
      </c>
      <c r="H64" s="215" t="s">
        <v>1747</v>
      </c>
      <c r="I64" s="193">
        <v>43390.0</v>
      </c>
      <c r="J64" s="204" t="s">
        <v>12614</v>
      </c>
      <c r="K64" s="215" t="s">
        <v>2531</v>
      </c>
      <c r="L64" s="242" t="s">
        <v>12623</v>
      </c>
      <c r="M64" s="215"/>
      <c r="N64" s="165"/>
      <c r="O64" s="232"/>
      <c r="P64" s="214"/>
      <c r="Q64" s="214"/>
      <c r="R64" s="214"/>
      <c r="S64" s="214"/>
      <c r="T64" s="214"/>
      <c r="U64" s="214"/>
      <c r="V64" s="214"/>
      <c r="W64" s="214"/>
      <c r="X64" s="214"/>
      <c r="Y64" s="214"/>
      <c r="Z64" s="214"/>
      <c r="AA64" s="214"/>
    </row>
    <row r="65" ht="28.5" customHeight="1">
      <c r="A65" s="215">
        <v>32475.0</v>
      </c>
      <c r="B65" s="204" t="s">
        <v>25</v>
      </c>
      <c r="C65" s="165">
        <v>1146.0</v>
      </c>
      <c r="D65" s="165" t="s">
        <v>12624</v>
      </c>
      <c r="E65" s="242" t="s">
        <v>12625</v>
      </c>
      <c r="F65" s="200">
        <v>43385.0</v>
      </c>
      <c r="G65" s="165" t="s">
        <v>4099</v>
      </c>
      <c r="H65" s="165" t="s">
        <v>4099</v>
      </c>
      <c r="I65" s="170">
        <v>43391.0</v>
      </c>
      <c r="J65" s="204" t="s">
        <v>2535</v>
      </c>
      <c r="K65" s="215" t="s">
        <v>2535</v>
      </c>
      <c r="L65" s="242" t="s">
        <v>12626</v>
      </c>
      <c r="M65" s="215" t="s">
        <v>497</v>
      </c>
      <c r="N65" s="165" t="s">
        <v>3868</v>
      </c>
      <c r="O65" s="232">
        <v>12763.0</v>
      </c>
      <c r="P65" s="214"/>
      <c r="Q65" s="214"/>
      <c r="R65" s="214"/>
      <c r="S65" s="214"/>
      <c r="T65" s="214"/>
      <c r="U65" s="214"/>
      <c r="V65" s="214"/>
      <c r="W65" s="214"/>
      <c r="X65" s="214"/>
      <c r="Y65" s="214"/>
      <c r="Z65" s="214"/>
      <c r="AA65" s="214"/>
    </row>
    <row r="66" ht="28.5" customHeight="1">
      <c r="A66" s="215">
        <v>32582.0</v>
      </c>
      <c r="B66" s="204" t="s">
        <v>25</v>
      </c>
      <c r="C66" s="165">
        <v>12.0</v>
      </c>
      <c r="D66" s="165" t="s">
        <v>12627</v>
      </c>
      <c r="E66" s="242" t="s">
        <v>12628</v>
      </c>
      <c r="F66" s="200">
        <v>43384.0</v>
      </c>
      <c r="G66" s="215" t="s">
        <v>210</v>
      </c>
      <c r="H66" s="215" t="s">
        <v>1747</v>
      </c>
      <c r="I66" s="193">
        <v>43395.0</v>
      </c>
      <c r="J66" s="204" t="s">
        <v>2535</v>
      </c>
      <c r="K66" s="215" t="s">
        <v>2535</v>
      </c>
      <c r="L66" s="235" t="s">
        <v>12629</v>
      </c>
      <c r="M66" s="215"/>
      <c r="N66" s="215"/>
      <c r="O66" s="232"/>
      <c r="P66" s="214"/>
      <c r="Q66" s="214"/>
      <c r="R66" s="214"/>
      <c r="S66" s="214"/>
      <c r="T66" s="214"/>
      <c r="U66" s="214"/>
      <c r="V66" s="214"/>
      <c r="W66" s="214"/>
      <c r="X66" s="214"/>
      <c r="Y66" s="214"/>
      <c r="Z66" s="214"/>
      <c r="AA66" s="214"/>
    </row>
    <row r="67" ht="28.5" customHeight="1">
      <c r="A67" s="215">
        <v>32480.0</v>
      </c>
      <c r="B67" s="204" t="s">
        <v>14</v>
      </c>
      <c r="C67" s="165">
        <v>924.0</v>
      </c>
      <c r="D67" s="165" t="s">
        <v>12630</v>
      </c>
      <c r="E67" s="242" t="s">
        <v>8618</v>
      </c>
      <c r="F67" s="200">
        <v>43384.0</v>
      </c>
      <c r="G67" s="233">
        <v>43382.0</v>
      </c>
      <c r="H67" s="215" t="s">
        <v>1747</v>
      </c>
      <c r="I67" s="193">
        <v>43390.0</v>
      </c>
      <c r="J67" s="215" t="s">
        <v>2535</v>
      </c>
      <c r="K67" s="215" t="s">
        <v>2535</v>
      </c>
      <c r="L67" s="235" t="s">
        <v>12631</v>
      </c>
      <c r="M67" s="215" t="s">
        <v>497</v>
      </c>
      <c r="N67" s="215" t="s">
        <v>1077</v>
      </c>
      <c r="O67" s="232">
        <v>44037.84</v>
      </c>
      <c r="P67" s="214"/>
      <c r="Q67" s="214"/>
      <c r="R67" s="214"/>
      <c r="S67" s="214"/>
      <c r="T67" s="214"/>
      <c r="U67" s="214"/>
      <c r="V67" s="214"/>
      <c r="W67" s="214"/>
      <c r="X67" s="214"/>
      <c r="Y67" s="214"/>
      <c r="Z67" s="214"/>
      <c r="AA67" s="214"/>
    </row>
    <row r="68" ht="28.5" customHeight="1">
      <c r="A68" s="215">
        <v>32595.0</v>
      </c>
      <c r="B68" s="204" t="s">
        <v>14</v>
      </c>
      <c r="C68" s="165">
        <v>1074.0</v>
      </c>
      <c r="D68" s="165" t="s">
        <v>12632</v>
      </c>
      <c r="E68" s="242" t="s">
        <v>12633</v>
      </c>
      <c r="F68" s="200">
        <v>43383.0</v>
      </c>
      <c r="G68" s="233">
        <v>43389.0</v>
      </c>
      <c r="H68" s="215" t="s">
        <v>1747</v>
      </c>
      <c r="I68" s="233">
        <v>43396.0</v>
      </c>
      <c r="J68" s="215" t="s">
        <v>2535</v>
      </c>
      <c r="K68" s="215" t="s">
        <v>2535</v>
      </c>
      <c r="L68" s="242" t="s">
        <v>12634</v>
      </c>
      <c r="M68" s="215"/>
      <c r="N68" s="165"/>
      <c r="O68" s="232"/>
      <c r="P68" s="214"/>
      <c r="Q68" s="214"/>
      <c r="R68" s="214"/>
      <c r="S68" s="214"/>
      <c r="T68" s="214"/>
      <c r="U68" s="214"/>
      <c r="V68" s="214"/>
      <c r="W68" s="214"/>
      <c r="X68" s="214"/>
      <c r="Y68" s="214"/>
      <c r="Z68" s="214"/>
      <c r="AA68" s="214"/>
    </row>
    <row r="69" ht="28.5" customHeight="1">
      <c r="A69" s="215">
        <v>32404.0</v>
      </c>
      <c r="B69" s="204" t="s">
        <v>21</v>
      </c>
      <c r="C69" s="165">
        <v>2900.0</v>
      </c>
      <c r="D69" s="165" t="s">
        <v>12635</v>
      </c>
      <c r="E69" s="242" t="s">
        <v>12636</v>
      </c>
      <c r="F69" s="200">
        <v>43383.0</v>
      </c>
      <c r="G69" s="200">
        <v>43382.0</v>
      </c>
      <c r="H69" s="204" t="s">
        <v>1747</v>
      </c>
      <c r="I69" s="200">
        <v>43388.0</v>
      </c>
      <c r="J69" s="204" t="s">
        <v>12614</v>
      </c>
      <c r="K69" s="215" t="s">
        <v>3197</v>
      </c>
      <c r="L69" s="207" t="s">
        <v>12637</v>
      </c>
      <c r="M69" s="215" t="s">
        <v>497</v>
      </c>
      <c r="N69" s="165" t="s">
        <v>2554</v>
      </c>
      <c r="O69" s="232">
        <v>64742.5</v>
      </c>
      <c r="P69" s="214"/>
      <c r="Q69" s="214"/>
      <c r="R69" s="214"/>
      <c r="S69" s="214"/>
      <c r="T69" s="214"/>
      <c r="U69" s="214"/>
      <c r="V69" s="214"/>
      <c r="W69" s="214"/>
      <c r="X69" s="214"/>
      <c r="Y69" s="214"/>
      <c r="Z69" s="214"/>
      <c r="AA69" s="214"/>
    </row>
    <row r="70" ht="28.5" customHeight="1">
      <c r="A70" s="215">
        <v>32474.0</v>
      </c>
      <c r="B70" s="204" t="s">
        <v>14</v>
      </c>
      <c r="C70" s="165">
        <v>1153.0</v>
      </c>
      <c r="D70" s="165" t="s">
        <v>12638</v>
      </c>
      <c r="E70" s="242" t="s">
        <v>12639</v>
      </c>
      <c r="F70" s="200">
        <v>43383.0</v>
      </c>
      <c r="G70" s="216">
        <v>43377.0</v>
      </c>
      <c r="H70" s="204" t="s">
        <v>1747</v>
      </c>
      <c r="I70" s="200">
        <v>43388.0</v>
      </c>
      <c r="J70" s="204" t="s">
        <v>2535</v>
      </c>
      <c r="K70" s="215" t="s">
        <v>2535</v>
      </c>
      <c r="L70" s="242" t="s">
        <v>12640</v>
      </c>
      <c r="M70" s="215" t="s">
        <v>497</v>
      </c>
      <c r="N70" s="165" t="s">
        <v>3868</v>
      </c>
      <c r="O70" s="232">
        <v>12400.7</v>
      </c>
      <c r="P70" s="214"/>
      <c r="Q70" s="214"/>
      <c r="R70" s="214"/>
      <c r="S70" s="214"/>
      <c r="T70" s="214"/>
      <c r="U70" s="214"/>
      <c r="V70" s="214"/>
      <c r="W70" s="214"/>
      <c r="X70" s="214"/>
      <c r="Y70" s="214"/>
      <c r="Z70" s="214"/>
      <c r="AA70" s="214"/>
    </row>
    <row r="71" ht="28.5" customHeight="1">
      <c r="A71" s="215">
        <v>32112.0</v>
      </c>
      <c r="B71" s="204" t="s">
        <v>21</v>
      </c>
      <c r="C71" s="165">
        <v>500.0</v>
      </c>
      <c r="D71" s="165" t="s">
        <v>12641</v>
      </c>
      <c r="E71" s="242" t="s">
        <v>12642</v>
      </c>
      <c r="F71" s="200">
        <v>43381.0</v>
      </c>
      <c r="G71" s="204" t="s">
        <v>4099</v>
      </c>
      <c r="H71" s="204" t="s">
        <v>1747</v>
      </c>
      <c r="I71" s="200">
        <v>43391.0</v>
      </c>
      <c r="J71" s="204" t="s">
        <v>12614</v>
      </c>
      <c r="K71" s="215" t="s">
        <v>2531</v>
      </c>
      <c r="L71" s="242" t="s">
        <v>12643</v>
      </c>
      <c r="M71" s="215" t="s">
        <v>497</v>
      </c>
      <c r="N71" s="165" t="s">
        <v>2554</v>
      </c>
      <c r="O71" s="232">
        <v>31648.25</v>
      </c>
      <c r="P71" s="214"/>
      <c r="Q71" s="214"/>
      <c r="R71" s="214"/>
      <c r="S71" s="214"/>
      <c r="T71" s="214"/>
      <c r="U71" s="214"/>
      <c r="V71" s="214"/>
      <c r="W71" s="214"/>
      <c r="X71" s="214"/>
      <c r="Y71" s="214"/>
      <c r="Z71" s="214"/>
      <c r="AA71" s="214"/>
    </row>
    <row r="72" ht="28.5" customHeight="1">
      <c r="A72" s="215">
        <v>32346.0</v>
      </c>
      <c r="B72" s="204" t="s">
        <v>14</v>
      </c>
      <c r="C72" s="165">
        <v>2040.0</v>
      </c>
      <c r="D72" s="165" t="s">
        <v>12644</v>
      </c>
      <c r="E72" s="242" t="s">
        <v>12645</v>
      </c>
      <c r="F72" s="200">
        <v>43381.0</v>
      </c>
      <c r="G72" s="233">
        <v>43377.0</v>
      </c>
      <c r="H72" s="215" t="s">
        <v>1747</v>
      </c>
      <c r="I72" s="233">
        <v>43385.0</v>
      </c>
      <c r="J72" s="204" t="s">
        <v>2535</v>
      </c>
      <c r="K72" s="215" t="s">
        <v>2535</v>
      </c>
      <c r="L72" s="242" t="s">
        <v>12646</v>
      </c>
      <c r="M72" s="215" t="s">
        <v>497</v>
      </c>
      <c r="N72" s="165" t="s">
        <v>2554</v>
      </c>
      <c r="O72" s="232">
        <v>31494.4</v>
      </c>
      <c r="P72" s="214"/>
      <c r="Q72" s="214"/>
      <c r="R72" s="214"/>
      <c r="S72" s="214"/>
      <c r="T72" s="214"/>
      <c r="U72" s="214"/>
      <c r="V72" s="214"/>
      <c r="W72" s="214"/>
      <c r="X72" s="214"/>
      <c r="Y72" s="214"/>
      <c r="Z72" s="214"/>
      <c r="AA72" s="214"/>
    </row>
    <row r="73" ht="28.5" customHeight="1">
      <c r="A73" s="215">
        <v>32570.0</v>
      </c>
      <c r="B73" s="204" t="s">
        <v>14</v>
      </c>
      <c r="C73" s="165">
        <v>229.0</v>
      </c>
      <c r="D73" s="165" t="s">
        <v>12647</v>
      </c>
      <c r="E73" s="207" t="s">
        <v>12648</v>
      </c>
      <c r="F73" s="200">
        <v>43376.0</v>
      </c>
      <c r="G73" s="233">
        <v>43360.0</v>
      </c>
      <c r="H73" s="215" t="s">
        <v>1747</v>
      </c>
      <c r="I73" s="233">
        <v>43374.0</v>
      </c>
      <c r="J73" s="204" t="s">
        <v>2535</v>
      </c>
      <c r="K73" s="215" t="s">
        <v>2535</v>
      </c>
      <c r="L73" s="235" t="s">
        <v>12649</v>
      </c>
      <c r="M73" s="215"/>
      <c r="N73" s="165"/>
      <c r="O73" s="232"/>
      <c r="P73" s="214"/>
      <c r="Q73" s="214"/>
      <c r="R73" s="214"/>
      <c r="S73" s="214"/>
      <c r="T73" s="214"/>
      <c r="U73" s="214"/>
      <c r="V73" s="214"/>
      <c r="W73" s="214"/>
      <c r="X73" s="214"/>
      <c r="Y73" s="214"/>
      <c r="Z73" s="214"/>
      <c r="AA73" s="214"/>
    </row>
    <row r="74" ht="28.5" customHeight="1">
      <c r="A74" s="165">
        <v>32569.0</v>
      </c>
      <c r="B74" s="165" t="s">
        <v>14</v>
      </c>
      <c r="C74" s="165">
        <v>570.0</v>
      </c>
      <c r="D74" s="165" t="s">
        <v>12650</v>
      </c>
      <c r="E74" s="213" t="s">
        <v>12651</v>
      </c>
      <c r="F74" s="170">
        <v>43376.0</v>
      </c>
      <c r="G74" s="220">
        <v>43375.0</v>
      </c>
      <c r="H74" s="191" t="s">
        <v>1747</v>
      </c>
      <c r="I74" s="220">
        <v>43384.0</v>
      </c>
      <c r="J74" s="204" t="s">
        <v>2535</v>
      </c>
      <c r="K74" s="215" t="s">
        <v>2535</v>
      </c>
      <c r="L74" s="235" t="s">
        <v>12652</v>
      </c>
      <c r="M74" s="215"/>
      <c r="N74" s="165"/>
      <c r="O74" s="232"/>
      <c r="P74" s="214"/>
      <c r="Q74" s="214"/>
      <c r="R74" s="214"/>
      <c r="S74" s="214"/>
      <c r="T74" s="214"/>
      <c r="U74" s="214"/>
      <c r="V74" s="214"/>
      <c r="W74" s="214"/>
      <c r="X74" s="214"/>
      <c r="Y74" s="214"/>
      <c r="Z74" s="214"/>
      <c r="AA74" s="214"/>
    </row>
    <row r="75" ht="28.5" customHeight="1">
      <c r="A75" s="215">
        <v>32498.0</v>
      </c>
      <c r="B75" s="204" t="s">
        <v>21</v>
      </c>
      <c r="C75" s="165">
        <v>100.0</v>
      </c>
      <c r="D75" s="165" t="s">
        <v>12653</v>
      </c>
      <c r="E75" s="242" t="s">
        <v>12654</v>
      </c>
      <c r="F75" s="200">
        <v>43375.0</v>
      </c>
      <c r="G75" s="233">
        <v>43383.0</v>
      </c>
      <c r="H75" s="215" t="s">
        <v>1032</v>
      </c>
      <c r="I75" s="233">
        <v>43377.0</v>
      </c>
      <c r="J75" s="204" t="s">
        <v>12614</v>
      </c>
      <c r="K75" s="215" t="s">
        <v>2531</v>
      </c>
      <c r="L75" s="207" t="s">
        <v>12655</v>
      </c>
      <c r="M75" s="215"/>
      <c r="N75" s="165"/>
      <c r="O75" s="232"/>
      <c r="P75" s="214"/>
      <c r="Q75" s="214"/>
      <c r="R75" s="214"/>
      <c r="S75" s="214"/>
      <c r="T75" s="214"/>
      <c r="U75" s="214"/>
      <c r="V75" s="214"/>
      <c r="W75" s="214"/>
      <c r="X75" s="214"/>
      <c r="Y75" s="214"/>
      <c r="Z75" s="214"/>
      <c r="AA75" s="214"/>
    </row>
    <row r="76" ht="28.5" customHeight="1">
      <c r="A76" s="215">
        <v>32463.0</v>
      </c>
      <c r="B76" s="204" t="s">
        <v>14</v>
      </c>
      <c r="C76" s="165">
        <v>1798.0</v>
      </c>
      <c r="D76" s="165" t="s">
        <v>12656</v>
      </c>
      <c r="E76" s="207" t="s">
        <v>12581</v>
      </c>
      <c r="F76" s="200">
        <v>43372.0</v>
      </c>
      <c r="G76" s="233">
        <v>43368.0</v>
      </c>
      <c r="H76" s="204" t="s">
        <v>1747</v>
      </c>
      <c r="I76" s="200">
        <v>43381.0</v>
      </c>
      <c r="J76" s="204" t="s">
        <v>2535</v>
      </c>
      <c r="K76" s="215" t="s">
        <v>2535</v>
      </c>
      <c r="L76" s="235" t="s">
        <v>12657</v>
      </c>
      <c r="M76" s="215"/>
      <c r="N76" s="165"/>
      <c r="O76" s="232"/>
      <c r="P76" s="214"/>
      <c r="Q76" s="214"/>
      <c r="R76" s="214"/>
      <c r="S76" s="214"/>
      <c r="T76" s="214"/>
      <c r="U76" s="214"/>
      <c r="V76" s="214"/>
      <c r="W76" s="214"/>
      <c r="X76" s="214"/>
      <c r="Y76" s="214"/>
      <c r="Z76" s="214"/>
      <c r="AA76" s="214"/>
    </row>
    <row r="77" ht="28.5" customHeight="1">
      <c r="A77" s="215">
        <v>32232.0</v>
      </c>
      <c r="B77" s="204" t="s">
        <v>14</v>
      </c>
      <c r="C77" s="165">
        <v>1753.0</v>
      </c>
      <c r="D77" s="165" t="s">
        <v>12658</v>
      </c>
      <c r="E77" s="242" t="s">
        <v>1038</v>
      </c>
      <c r="F77" s="200">
        <v>43372.0</v>
      </c>
      <c r="G77" s="233">
        <v>43368.0</v>
      </c>
      <c r="H77" s="204" t="s">
        <v>1747</v>
      </c>
      <c r="I77" s="200">
        <v>43381.0</v>
      </c>
      <c r="J77" s="204" t="s">
        <v>2535</v>
      </c>
      <c r="K77" s="215" t="s">
        <v>2535</v>
      </c>
      <c r="L77" s="207" t="s">
        <v>12659</v>
      </c>
      <c r="M77" s="215"/>
      <c r="N77" s="165"/>
      <c r="O77" s="232"/>
      <c r="P77" s="214"/>
      <c r="Q77" s="214"/>
      <c r="R77" s="214"/>
      <c r="S77" s="214"/>
      <c r="T77" s="214"/>
      <c r="U77" s="214"/>
      <c r="V77" s="214"/>
      <c r="W77" s="214"/>
      <c r="X77" s="214"/>
      <c r="Y77" s="214"/>
      <c r="Z77" s="214"/>
      <c r="AA77" s="214"/>
    </row>
    <row r="78" ht="28.5" customHeight="1">
      <c r="A78" s="215">
        <v>32566.0</v>
      </c>
      <c r="B78" s="204" t="s">
        <v>14</v>
      </c>
      <c r="C78" s="165">
        <v>930.0</v>
      </c>
      <c r="D78" s="165" t="s">
        <v>12660</v>
      </c>
      <c r="E78" s="242" t="s">
        <v>8430</v>
      </c>
      <c r="F78" s="200">
        <v>43370.0</v>
      </c>
      <c r="G78" s="215" t="s">
        <v>210</v>
      </c>
      <c r="H78" s="215" t="s">
        <v>1747</v>
      </c>
      <c r="I78" s="233">
        <v>43371.0</v>
      </c>
      <c r="J78" s="204" t="s">
        <v>2535</v>
      </c>
      <c r="K78" s="215" t="s">
        <v>2535</v>
      </c>
      <c r="L78" s="643" t="s">
        <v>12661</v>
      </c>
      <c r="M78" s="215"/>
      <c r="N78" s="165"/>
      <c r="O78" s="232"/>
      <c r="P78" s="214"/>
      <c r="Q78" s="214"/>
      <c r="R78" s="214"/>
      <c r="S78" s="214"/>
      <c r="T78" s="214"/>
      <c r="U78" s="214"/>
      <c r="V78" s="214"/>
      <c r="W78" s="214"/>
      <c r="X78" s="214"/>
      <c r="Y78" s="214"/>
      <c r="Z78" s="214"/>
      <c r="AA78" s="214"/>
    </row>
    <row r="79" ht="28.5" customHeight="1">
      <c r="A79" s="215">
        <v>32668.0</v>
      </c>
      <c r="B79" s="204" t="s">
        <v>14</v>
      </c>
      <c r="C79" s="165">
        <v>1191.0</v>
      </c>
      <c r="D79" s="165" t="s">
        <v>12662</v>
      </c>
      <c r="E79" s="242" t="s">
        <v>8475</v>
      </c>
      <c r="F79" s="200">
        <v>43368.0</v>
      </c>
      <c r="G79" s="233">
        <v>43374.0</v>
      </c>
      <c r="H79" s="215" t="s">
        <v>1747</v>
      </c>
      <c r="I79" s="193">
        <v>43382.0</v>
      </c>
      <c r="J79" s="204" t="s">
        <v>2535</v>
      </c>
      <c r="K79" s="215" t="s">
        <v>2535</v>
      </c>
      <c r="L79" s="235" t="s">
        <v>12663</v>
      </c>
      <c r="M79" s="215"/>
      <c r="N79" s="165"/>
      <c r="O79" s="232"/>
      <c r="P79" s="214"/>
      <c r="Q79" s="214"/>
      <c r="R79" s="214"/>
      <c r="S79" s="214"/>
      <c r="T79" s="214"/>
      <c r="U79" s="214"/>
      <c r="V79" s="214"/>
      <c r="W79" s="214"/>
      <c r="X79" s="214"/>
      <c r="Y79" s="214"/>
      <c r="Z79" s="214"/>
      <c r="AA79" s="214"/>
    </row>
    <row r="80" ht="28.5" customHeight="1">
      <c r="A80" s="215">
        <v>32479.0</v>
      </c>
      <c r="B80" s="204" t="s">
        <v>21</v>
      </c>
      <c r="C80" s="165">
        <v>890.0</v>
      </c>
      <c r="D80" s="165" t="s">
        <v>12664</v>
      </c>
      <c r="E80" s="242" t="s">
        <v>8618</v>
      </c>
      <c r="F80" s="200">
        <v>43367.0</v>
      </c>
      <c r="G80" s="233">
        <v>43364.0</v>
      </c>
      <c r="H80" s="215" t="s">
        <v>1747</v>
      </c>
      <c r="I80" s="193">
        <v>43374.0</v>
      </c>
      <c r="J80" s="204" t="s">
        <v>12614</v>
      </c>
      <c r="K80" s="215" t="s">
        <v>2531</v>
      </c>
      <c r="L80" s="235" t="s">
        <v>12665</v>
      </c>
      <c r="M80" s="215" t="s">
        <v>497</v>
      </c>
      <c r="N80" s="215" t="s">
        <v>1077</v>
      </c>
      <c r="O80" s="232">
        <v>48385.0</v>
      </c>
      <c r="P80" s="214"/>
      <c r="Q80" s="214"/>
      <c r="R80" s="214"/>
      <c r="S80" s="214"/>
      <c r="T80" s="214"/>
      <c r="U80" s="214"/>
      <c r="V80" s="214"/>
      <c r="W80" s="214"/>
      <c r="X80" s="214"/>
      <c r="Y80" s="214"/>
      <c r="Z80" s="214"/>
      <c r="AA80" s="214"/>
    </row>
    <row r="81" ht="28.5" customHeight="1">
      <c r="A81" s="215">
        <v>32478.0</v>
      </c>
      <c r="B81" s="204" t="s">
        <v>14</v>
      </c>
      <c r="C81" s="165">
        <v>949.0</v>
      </c>
      <c r="D81" s="165" t="s">
        <v>12666</v>
      </c>
      <c r="E81" s="242" t="s">
        <v>8618</v>
      </c>
      <c r="F81" s="200">
        <v>43367.0</v>
      </c>
      <c r="G81" s="233">
        <v>43363.0</v>
      </c>
      <c r="H81" s="215" t="s">
        <v>1747</v>
      </c>
      <c r="I81" s="233">
        <v>43368.0</v>
      </c>
      <c r="J81" s="204" t="s">
        <v>2535</v>
      </c>
      <c r="K81" s="215" t="s">
        <v>2535</v>
      </c>
      <c r="L81" s="235" t="s">
        <v>12667</v>
      </c>
      <c r="M81" s="215" t="s">
        <v>497</v>
      </c>
      <c r="N81" s="215" t="s">
        <v>1077</v>
      </c>
      <c r="O81" s="232">
        <v>48121.26</v>
      </c>
      <c r="P81" s="214"/>
      <c r="Q81" s="214"/>
      <c r="R81" s="214"/>
      <c r="S81" s="214"/>
      <c r="T81" s="214"/>
      <c r="U81" s="214"/>
      <c r="V81" s="214"/>
      <c r="W81" s="214"/>
      <c r="X81" s="214"/>
      <c r="Y81" s="214"/>
      <c r="Z81" s="214"/>
      <c r="AA81" s="214"/>
    </row>
    <row r="82" ht="28.5" customHeight="1">
      <c r="A82" s="190" t="str">
        <f>HYPERLINK("https://drive.google.com/open?id=0B4phjTjb-BwLam5RNXNXOXM3TkRwQnJsWXVHVzFUd3IzZzFF","32325 / NS2651 / NS2652 / 32389")</f>
        <v>32325 / NS2651 / NS2652 / 32389</v>
      </c>
      <c r="B82" s="204" t="s">
        <v>21</v>
      </c>
      <c r="C82" s="165">
        <v>316.0</v>
      </c>
      <c r="D82" s="165" t="s">
        <v>12668</v>
      </c>
      <c r="E82" s="207" t="s">
        <v>12669</v>
      </c>
      <c r="F82" s="200">
        <v>43364.0</v>
      </c>
      <c r="G82" s="233">
        <v>43403.0</v>
      </c>
      <c r="H82" s="215" t="s">
        <v>1747</v>
      </c>
      <c r="I82" s="233">
        <v>43378.0</v>
      </c>
      <c r="J82" s="204" t="s">
        <v>12614</v>
      </c>
      <c r="K82" s="215" t="s">
        <v>2531</v>
      </c>
      <c r="L82" s="207" t="s">
        <v>12670</v>
      </c>
      <c r="M82" s="215"/>
      <c r="N82" s="165"/>
      <c r="O82" s="232"/>
      <c r="P82" s="214"/>
      <c r="Q82" s="214"/>
      <c r="R82" s="214"/>
      <c r="S82" s="214"/>
      <c r="T82" s="214"/>
      <c r="U82" s="214"/>
      <c r="V82" s="214"/>
      <c r="W82" s="214"/>
      <c r="X82" s="214"/>
      <c r="Y82" s="214"/>
      <c r="Z82" s="214"/>
      <c r="AA82" s="214"/>
    </row>
    <row r="83" ht="28.5" customHeight="1">
      <c r="A83" s="215">
        <v>32362.0</v>
      </c>
      <c r="B83" s="204" t="s">
        <v>25</v>
      </c>
      <c r="C83" s="165">
        <v>2332.0</v>
      </c>
      <c r="D83" s="165" t="s">
        <v>12671</v>
      </c>
      <c r="E83" s="207" t="s">
        <v>3217</v>
      </c>
      <c r="F83" s="200">
        <v>43364.0</v>
      </c>
      <c r="G83" s="215" t="s">
        <v>28</v>
      </c>
      <c r="H83" s="215" t="s">
        <v>1747</v>
      </c>
      <c r="I83" s="233">
        <v>43370.0</v>
      </c>
      <c r="J83" s="204" t="s">
        <v>2535</v>
      </c>
      <c r="K83" s="215" t="s">
        <v>2535</v>
      </c>
      <c r="L83" s="235"/>
      <c r="M83" s="215"/>
      <c r="N83" s="165"/>
      <c r="O83" s="232"/>
      <c r="P83" s="214"/>
      <c r="Q83" s="214"/>
      <c r="R83" s="214"/>
      <c r="S83" s="214"/>
      <c r="T83" s="214"/>
      <c r="U83" s="214"/>
      <c r="V83" s="214"/>
      <c r="W83" s="214"/>
      <c r="X83" s="214"/>
      <c r="Y83" s="214"/>
      <c r="Z83" s="214"/>
      <c r="AA83" s="214"/>
    </row>
    <row r="84" ht="28.5" customHeight="1">
      <c r="A84" s="205" t="str">
        <f>HYPERLINK("https://drive.google.com/file/d/0B4phjTjb-BwLNWl0NEVHeG5Zd3BRdVVhUEtJS2dZUFg3dC1B/view?usp=sharing","32667")</f>
        <v>32667</v>
      </c>
      <c r="B84" s="204" t="s">
        <v>21</v>
      </c>
      <c r="C84" s="165"/>
      <c r="D84" s="165" t="s">
        <v>2089</v>
      </c>
      <c r="E84" s="207" t="s">
        <v>8475</v>
      </c>
      <c r="F84" s="200">
        <v>43362.0</v>
      </c>
      <c r="G84" s="233">
        <v>43364.0</v>
      </c>
      <c r="H84" s="215" t="s">
        <v>1747</v>
      </c>
      <c r="I84" s="193">
        <v>43371.0</v>
      </c>
      <c r="J84" s="204" t="s">
        <v>2535</v>
      </c>
      <c r="K84" s="215" t="s">
        <v>2535</v>
      </c>
      <c r="L84" s="235" t="s">
        <v>12672</v>
      </c>
      <c r="M84" s="215"/>
      <c r="N84" s="165"/>
      <c r="O84" s="232"/>
      <c r="P84" s="214"/>
      <c r="Q84" s="214"/>
      <c r="R84" s="214"/>
      <c r="S84" s="214"/>
      <c r="T84" s="214"/>
      <c r="U84" s="214"/>
      <c r="V84" s="214"/>
      <c r="W84" s="214"/>
      <c r="X84" s="214"/>
      <c r="Y84" s="214"/>
      <c r="Z84" s="214"/>
      <c r="AA84" s="214"/>
    </row>
    <row r="85" ht="28.5" customHeight="1">
      <c r="A85" s="190" t="str">
        <f>HYPERLINK("https://drive.google.com/open?id=0B4phjTjb-BwLaHBGTUtUdXVIOTlYdnZXZkZ1c3R3Q0NUalR3","32573")</f>
        <v>32573</v>
      </c>
      <c r="B85" s="204" t="s">
        <v>21</v>
      </c>
      <c r="C85" s="165">
        <v>1182.0</v>
      </c>
      <c r="D85" s="165" t="s">
        <v>2088</v>
      </c>
      <c r="E85" s="207" t="s">
        <v>12673</v>
      </c>
      <c r="F85" s="200">
        <v>43361.0</v>
      </c>
      <c r="G85" s="233">
        <v>43361.0</v>
      </c>
      <c r="H85" s="215" t="s">
        <v>1747</v>
      </c>
      <c r="I85" s="193">
        <v>43370.0</v>
      </c>
      <c r="J85" s="204" t="s">
        <v>12674</v>
      </c>
      <c r="K85" s="215" t="s">
        <v>3197</v>
      </c>
      <c r="L85" s="235" t="s">
        <v>12675</v>
      </c>
      <c r="M85" s="215"/>
      <c r="N85" s="165"/>
      <c r="O85" s="232"/>
      <c r="P85" s="214"/>
      <c r="Q85" s="214"/>
      <c r="R85" s="214"/>
      <c r="S85" s="214"/>
      <c r="T85" s="214"/>
      <c r="U85" s="214"/>
      <c r="V85" s="214"/>
      <c r="W85" s="214"/>
      <c r="X85" s="214"/>
      <c r="Y85" s="214"/>
      <c r="Z85" s="214"/>
      <c r="AA85" s="214"/>
    </row>
    <row r="86" ht="28.5" customHeight="1">
      <c r="A86" s="190" t="str">
        <f>HYPERLINK("https://drive.google.com/open?id=0B4phjTjb-BwLNWhEUTFKS1hPaW9qRExrWldBc2s5bDBrR0NV","32293")</f>
        <v>32293</v>
      </c>
      <c r="B86" s="204" t="s">
        <v>14</v>
      </c>
      <c r="C86" s="165">
        <v>640.0</v>
      </c>
      <c r="D86" s="165" t="s">
        <v>12676</v>
      </c>
      <c r="E86" s="207" t="s">
        <v>12677</v>
      </c>
      <c r="F86" s="200">
        <v>43360.0</v>
      </c>
      <c r="G86" s="233">
        <v>43356.0</v>
      </c>
      <c r="H86" s="215" t="s">
        <v>1747</v>
      </c>
      <c r="I86" s="233">
        <v>43362.0</v>
      </c>
      <c r="J86" s="204" t="s">
        <v>2535</v>
      </c>
      <c r="K86" s="215" t="s">
        <v>2535</v>
      </c>
      <c r="L86" s="235" t="s">
        <v>12678</v>
      </c>
      <c r="M86" s="215"/>
      <c r="N86" s="165"/>
      <c r="O86" s="232"/>
      <c r="P86" s="214"/>
      <c r="Q86" s="214"/>
      <c r="R86" s="214"/>
      <c r="S86" s="214"/>
      <c r="T86" s="214"/>
      <c r="U86" s="214"/>
      <c r="V86" s="214"/>
      <c r="W86" s="214"/>
      <c r="X86" s="214"/>
      <c r="Y86" s="214"/>
      <c r="Z86" s="214"/>
      <c r="AA86" s="214"/>
    </row>
    <row r="87" ht="28.5" customHeight="1">
      <c r="A87" s="190" t="str">
        <f>HYPERLINK("https://drive.google.com/open?id=0B4phjTjb-BwLN0ZFRDcwRmVBVjJsUFVjakQwRUZlVUdEdkFv","32356")</f>
        <v>32356</v>
      </c>
      <c r="B87" s="204" t="s">
        <v>21</v>
      </c>
      <c r="C87" s="165">
        <v>855.0</v>
      </c>
      <c r="D87" s="165" t="s">
        <v>2087</v>
      </c>
      <c r="E87" s="242" t="s">
        <v>4271</v>
      </c>
      <c r="F87" s="200">
        <v>43357.0</v>
      </c>
      <c r="G87" s="233">
        <v>43356.0</v>
      </c>
      <c r="H87" s="215" t="s">
        <v>1747</v>
      </c>
      <c r="I87" s="233">
        <v>43364.0</v>
      </c>
      <c r="J87" s="204" t="s">
        <v>12674</v>
      </c>
      <c r="K87" s="215" t="s">
        <v>2531</v>
      </c>
      <c r="L87" s="235" t="s">
        <v>12679</v>
      </c>
      <c r="M87" s="215"/>
      <c r="N87" s="165"/>
      <c r="O87" s="232"/>
      <c r="P87" s="214"/>
      <c r="Q87" s="214"/>
      <c r="R87" s="214"/>
      <c r="S87" s="214"/>
      <c r="T87" s="214"/>
      <c r="U87" s="214"/>
      <c r="V87" s="214"/>
      <c r="W87" s="214"/>
      <c r="X87" s="214"/>
      <c r="Y87" s="214"/>
      <c r="Z87" s="214"/>
      <c r="AA87" s="214"/>
    </row>
    <row r="88" ht="28.5" customHeight="1">
      <c r="A88" s="190" t="str">
        <f>HYPERLINK("https://drive.google.com/file/d/0B4phjTjb-BwLWmtCTlBIUUVlcUJ2cFJzUUpPZWc0aXhaa0dF/view?usp=sharing","32468")</f>
        <v>32468</v>
      </c>
      <c r="B88" s="204" t="s">
        <v>25</v>
      </c>
      <c r="C88" s="165">
        <v>218.0</v>
      </c>
      <c r="D88" s="165" t="s">
        <v>12680</v>
      </c>
      <c r="E88" s="242" t="s">
        <v>12681</v>
      </c>
      <c r="F88" s="200">
        <v>43357.0</v>
      </c>
      <c r="G88" s="215" t="s">
        <v>210</v>
      </c>
      <c r="H88" s="215" t="s">
        <v>1747</v>
      </c>
      <c r="I88" s="233">
        <v>43371.0</v>
      </c>
      <c r="J88" s="215" t="s">
        <v>2535</v>
      </c>
      <c r="K88" s="215" t="s">
        <v>2535</v>
      </c>
      <c r="L88" s="235" t="s">
        <v>12682</v>
      </c>
      <c r="M88" s="215"/>
      <c r="N88" s="165"/>
      <c r="O88" s="232"/>
      <c r="P88" s="214"/>
      <c r="Q88" s="214"/>
      <c r="R88" s="214"/>
      <c r="S88" s="214"/>
      <c r="T88" s="214"/>
      <c r="U88" s="214"/>
      <c r="V88" s="214"/>
      <c r="W88" s="214"/>
      <c r="X88" s="214"/>
      <c r="Y88" s="214"/>
      <c r="Z88" s="214"/>
      <c r="AA88" s="214"/>
    </row>
    <row r="89" ht="28.5" customHeight="1">
      <c r="A89" s="190" t="str">
        <f>HYPERLINK("https://drive.google.com/open?id=0B4phjTjb-BwLczVBY3VmSE1Qd2kzaWJybFN0c29kNnRKWGw0","32572")</f>
        <v>32572</v>
      </c>
      <c r="B89" s="204" t="s">
        <v>14</v>
      </c>
      <c r="C89" s="165">
        <v>930.0</v>
      </c>
      <c r="D89" s="165" t="s">
        <v>12683</v>
      </c>
      <c r="E89" s="207" t="s">
        <v>8430</v>
      </c>
      <c r="F89" s="200">
        <v>43356.0</v>
      </c>
      <c r="G89" s="233">
        <v>43353.0</v>
      </c>
      <c r="H89" s="215" t="s">
        <v>1747</v>
      </c>
      <c r="I89" s="233">
        <v>43367.0</v>
      </c>
      <c r="J89" s="215" t="s">
        <v>2535</v>
      </c>
      <c r="K89" s="215" t="s">
        <v>2535</v>
      </c>
      <c r="L89" s="235" t="s">
        <v>12684</v>
      </c>
      <c r="M89" s="215"/>
      <c r="N89" s="165"/>
      <c r="O89" s="232"/>
      <c r="P89" s="214"/>
      <c r="Q89" s="214"/>
      <c r="R89" s="214"/>
      <c r="S89" s="214"/>
      <c r="T89" s="214"/>
      <c r="U89" s="214"/>
      <c r="V89" s="214"/>
      <c r="W89" s="214"/>
      <c r="X89" s="214"/>
      <c r="Y89" s="214"/>
      <c r="Z89" s="214"/>
      <c r="AA89" s="214"/>
    </row>
    <row r="90" ht="28.5" customHeight="1">
      <c r="A90" s="190" t="str">
        <f>HYPERLINK("https://drive.google.com/open?id=0B4phjTjb-BwLaDVQR19KS3dVM1ViRnAwWDRpekNsYUkzanJJ","32574")</f>
        <v>32574</v>
      </c>
      <c r="B90" s="204" t="s">
        <v>25</v>
      </c>
      <c r="C90" s="165">
        <v>944.0</v>
      </c>
      <c r="D90" s="165" t="s">
        <v>12685</v>
      </c>
      <c r="E90" s="207" t="s">
        <v>12686</v>
      </c>
      <c r="F90" s="200">
        <v>43356.0</v>
      </c>
      <c r="G90" s="216">
        <v>43355.0</v>
      </c>
      <c r="H90" s="204" t="s">
        <v>1747</v>
      </c>
      <c r="I90" s="200">
        <v>43371.0</v>
      </c>
      <c r="J90" s="215" t="s">
        <v>2535</v>
      </c>
      <c r="K90" s="215" t="s">
        <v>2535</v>
      </c>
      <c r="L90" s="235" t="s">
        <v>12687</v>
      </c>
      <c r="M90" s="215"/>
      <c r="N90" s="165"/>
      <c r="O90" s="232"/>
      <c r="P90" s="214"/>
      <c r="Q90" s="214"/>
      <c r="R90" s="214"/>
      <c r="S90" s="214"/>
      <c r="T90" s="214"/>
      <c r="U90" s="214"/>
      <c r="V90" s="214"/>
      <c r="W90" s="214"/>
      <c r="X90" s="214"/>
      <c r="Y90" s="214"/>
      <c r="Z90" s="214"/>
      <c r="AA90" s="214"/>
    </row>
    <row r="91" ht="28.5" customHeight="1">
      <c r="A91" s="190" t="str">
        <f>HYPERLINK("https://drive.google.com/open?id=0B4phjTjb-BwLQkZ1bFJMM1N6a19yVjZXRWhqY1gzby1ybERz","32210")</f>
        <v>32210</v>
      </c>
      <c r="B91" s="204" t="s">
        <v>14</v>
      </c>
      <c r="C91" s="165">
        <v>2040.0</v>
      </c>
      <c r="D91" s="165" t="s">
        <v>12688</v>
      </c>
      <c r="E91" s="207" t="s">
        <v>12474</v>
      </c>
      <c r="F91" s="200">
        <v>43354.0</v>
      </c>
      <c r="G91" s="216">
        <v>43354.0</v>
      </c>
      <c r="H91" s="204" t="s">
        <v>1747</v>
      </c>
      <c r="I91" s="216">
        <v>43360.0</v>
      </c>
      <c r="J91" s="215" t="s">
        <v>2535</v>
      </c>
      <c r="K91" s="215" t="s">
        <v>2535</v>
      </c>
      <c r="L91" s="235" t="s">
        <v>12689</v>
      </c>
      <c r="M91" s="215" t="s">
        <v>497</v>
      </c>
      <c r="N91" s="165" t="s">
        <v>2554</v>
      </c>
      <c r="O91" s="232">
        <v>31829.4</v>
      </c>
      <c r="P91" s="214"/>
      <c r="Q91" s="214"/>
      <c r="R91" s="214"/>
      <c r="S91" s="214"/>
      <c r="T91" s="214"/>
      <c r="U91" s="214"/>
      <c r="V91" s="214"/>
      <c r="W91" s="214"/>
      <c r="X91" s="214"/>
      <c r="Y91" s="214"/>
      <c r="Z91" s="214"/>
      <c r="AA91" s="214"/>
    </row>
    <row r="92" ht="28.5" customHeight="1">
      <c r="A92" s="215">
        <v>32272.0</v>
      </c>
      <c r="B92" s="204" t="s">
        <v>14</v>
      </c>
      <c r="C92" s="165">
        <v>1586.0</v>
      </c>
      <c r="D92" s="165" t="s">
        <v>12690</v>
      </c>
      <c r="E92" s="207" t="s">
        <v>12552</v>
      </c>
      <c r="F92" s="200">
        <v>43353.0</v>
      </c>
      <c r="G92" s="216">
        <v>43349.0</v>
      </c>
      <c r="H92" s="204" t="s">
        <v>1747</v>
      </c>
      <c r="I92" s="216">
        <v>43355.0</v>
      </c>
      <c r="J92" s="215" t="s">
        <v>2535</v>
      </c>
      <c r="K92" s="215" t="s">
        <v>2535</v>
      </c>
      <c r="L92" s="235" t="s">
        <v>12691</v>
      </c>
      <c r="M92" s="215"/>
      <c r="N92" s="165"/>
      <c r="O92" s="232"/>
      <c r="P92" s="214"/>
      <c r="Q92" s="214"/>
      <c r="R92" s="214"/>
      <c r="S92" s="214"/>
      <c r="T92" s="214"/>
      <c r="U92" s="214"/>
      <c r="V92" s="214"/>
      <c r="W92" s="214"/>
      <c r="X92" s="214"/>
      <c r="Y92" s="214"/>
      <c r="Z92" s="214"/>
      <c r="AA92" s="214"/>
    </row>
    <row r="93" ht="28.5" customHeight="1">
      <c r="A93" s="215">
        <v>32271.0</v>
      </c>
      <c r="B93" s="204" t="s">
        <v>21</v>
      </c>
      <c r="C93" s="165">
        <v>1587.0</v>
      </c>
      <c r="D93" s="165" t="s">
        <v>2086</v>
      </c>
      <c r="E93" s="207" t="s">
        <v>12552</v>
      </c>
      <c r="F93" s="200">
        <v>43352.0</v>
      </c>
      <c r="G93" s="216">
        <v>43348.0</v>
      </c>
      <c r="H93" s="204" t="s">
        <v>1747</v>
      </c>
      <c r="I93" s="216">
        <v>43355.0</v>
      </c>
      <c r="J93" s="215" t="s">
        <v>12674</v>
      </c>
      <c r="K93" s="215" t="s">
        <v>2531</v>
      </c>
      <c r="L93" s="235" t="s">
        <v>12692</v>
      </c>
      <c r="M93" s="215"/>
      <c r="N93" s="165"/>
      <c r="O93" s="232"/>
      <c r="P93" s="214"/>
      <c r="Q93" s="214"/>
      <c r="R93" s="214"/>
      <c r="S93" s="214"/>
      <c r="T93" s="214"/>
      <c r="U93" s="214"/>
      <c r="V93" s="214"/>
      <c r="W93" s="214"/>
      <c r="X93" s="214"/>
      <c r="Y93" s="214"/>
      <c r="Z93" s="214"/>
      <c r="AA93" s="214"/>
    </row>
    <row r="94" ht="28.5" customHeight="1">
      <c r="A94" s="190" t="str">
        <f>HYPERLINK("https://drive.google.com/open?id=0B4phjTjb-BwLYzgtUkVFVTNsNUUwRkVoWFVRV1JRWDJrbWlz","32575")</f>
        <v>32575</v>
      </c>
      <c r="B94" s="204" t="s">
        <v>21</v>
      </c>
      <c r="C94" s="165">
        <v>862.0</v>
      </c>
      <c r="D94" s="165" t="s">
        <v>2085</v>
      </c>
      <c r="E94" s="207" t="s">
        <v>12693</v>
      </c>
      <c r="F94" s="200">
        <v>43352.0</v>
      </c>
      <c r="G94" s="216">
        <v>43348.0</v>
      </c>
      <c r="H94" s="204" t="s">
        <v>1747</v>
      </c>
      <c r="I94" s="200">
        <v>43360.0</v>
      </c>
      <c r="J94" s="204" t="s">
        <v>12674</v>
      </c>
      <c r="K94" s="215" t="s">
        <v>3197</v>
      </c>
      <c r="L94" s="235" t="s">
        <v>12694</v>
      </c>
      <c r="M94" s="215"/>
      <c r="N94" s="165"/>
      <c r="O94" s="232"/>
      <c r="P94" s="214"/>
      <c r="Q94" s="214"/>
      <c r="R94" s="214"/>
      <c r="S94" s="214"/>
      <c r="T94" s="214"/>
      <c r="U94" s="214"/>
      <c r="V94" s="214"/>
      <c r="W94" s="214"/>
      <c r="X94" s="214"/>
      <c r="Y94" s="214"/>
      <c r="Z94" s="214"/>
      <c r="AA94" s="214"/>
    </row>
    <row r="95" ht="28.5" customHeight="1">
      <c r="A95" s="245" t="str">
        <f>HYPERLINK("https://drive.google.com/open?id=0B4phjTjb-BwLSEJ2em9xYUFWZFE2S1hVNlM1ZGVNMmoxRmFB","32402")</f>
        <v>32402</v>
      </c>
      <c r="B95" s="204" t="s">
        <v>21</v>
      </c>
      <c r="C95" s="165">
        <v>15.0</v>
      </c>
      <c r="D95" s="165" t="s">
        <v>12695</v>
      </c>
      <c r="E95" s="235" t="s">
        <v>4487</v>
      </c>
      <c r="F95" s="200">
        <v>43352.0</v>
      </c>
      <c r="G95" s="216">
        <v>43354.0</v>
      </c>
      <c r="H95" s="204" t="s">
        <v>1747</v>
      </c>
      <c r="I95" s="216">
        <v>43371.0</v>
      </c>
      <c r="J95" s="215" t="s">
        <v>2535</v>
      </c>
      <c r="K95" s="215" t="s">
        <v>2535</v>
      </c>
      <c r="L95" s="235" t="s">
        <v>12696</v>
      </c>
      <c r="M95" s="215"/>
      <c r="N95" s="165"/>
      <c r="O95" s="232"/>
      <c r="P95" s="214"/>
      <c r="Q95" s="214"/>
      <c r="R95" s="214"/>
      <c r="S95" s="214"/>
      <c r="T95" s="214"/>
      <c r="U95" s="214"/>
      <c r="V95" s="214"/>
      <c r="W95" s="214"/>
      <c r="X95" s="214"/>
      <c r="Y95" s="214"/>
      <c r="Z95" s="214"/>
      <c r="AA95" s="214"/>
    </row>
    <row r="96" ht="28.5" customHeight="1">
      <c r="A96" s="190" t="str">
        <f>HYPERLINK("https://drive.google.com/open?id=0B4phjTjb-BwLZlMtVnRnTDZpcEJSUG93SloyN0szQ0pmZTZR","32516")</f>
        <v>32516</v>
      </c>
      <c r="B96" s="204" t="s">
        <v>21</v>
      </c>
      <c r="C96" s="165">
        <v>1139.0</v>
      </c>
      <c r="D96" s="165" t="s">
        <v>2084</v>
      </c>
      <c r="E96" s="207" t="s">
        <v>12697</v>
      </c>
      <c r="F96" s="200">
        <v>43351.0</v>
      </c>
      <c r="G96" s="216">
        <v>43347.0</v>
      </c>
      <c r="H96" s="204" t="s">
        <v>1747</v>
      </c>
      <c r="I96" s="204" t="s">
        <v>12698</v>
      </c>
      <c r="J96" s="204" t="s">
        <v>12674</v>
      </c>
      <c r="K96" s="215" t="s">
        <v>3197</v>
      </c>
      <c r="L96" s="643" t="s">
        <v>12699</v>
      </c>
      <c r="M96" s="215"/>
      <c r="N96" s="165"/>
      <c r="O96" s="232"/>
      <c r="P96" s="214"/>
      <c r="Q96" s="214"/>
      <c r="R96" s="214"/>
      <c r="S96" s="214"/>
      <c r="T96" s="214"/>
      <c r="U96" s="214"/>
      <c r="V96" s="214"/>
      <c r="W96" s="214"/>
      <c r="X96" s="214"/>
      <c r="Y96" s="214"/>
      <c r="Z96" s="214"/>
      <c r="AA96" s="214"/>
    </row>
    <row r="97" ht="28.5" customHeight="1">
      <c r="A97" s="215">
        <v>32273.0</v>
      </c>
      <c r="B97" s="204" t="s">
        <v>25</v>
      </c>
      <c r="C97" s="165">
        <v>1641.0</v>
      </c>
      <c r="D97" s="165" t="s">
        <v>12700</v>
      </c>
      <c r="E97" s="207" t="s">
        <v>12552</v>
      </c>
      <c r="F97" s="200">
        <v>43350.0</v>
      </c>
      <c r="G97" s="216">
        <v>43348.0</v>
      </c>
      <c r="H97" s="204" t="s">
        <v>1747</v>
      </c>
      <c r="I97" s="200">
        <v>43355.0</v>
      </c>
      <c r="J97" s="215" t="s">
        <v>2535</v>
      </c>
      <c r="K97" s="215" t="s">
        <v>2535</v>
      </c>
      <c r="L97" s="235" t="s">
        <v>12701</v>
      </c>
      <c r="M97" s="215"/>
      <c r="N97" s="165"/>
      <c r="O97" s="232"/>
      <c r="P97" s="214"/>
      <c r="Q97" s="214"/>
      <c r="R97" s="214"/>
      <c r="S97" s="214"/>
      <c r="T97" s="214"/>
      <c r="U97" s="214"/>
      <c r="V97" s="214"/>
      <c r="W97" s="214"/>
      <c r="X97" s="214"/>
      <c r="Y97" s="214"/>
      <c r="Z97" s="214"/>
      <c r="AA97" s="214"/>
    </row>
    <row r="98" ht="28.5" customHeight="1">
      <c r="A98" s="190" t="str">
        <f>HYPERLINK("https://drive.google.com/open?id=0B4phjTjb-BwLTThUSDE2VkdqUC1obWxPTjNBbVgwVTZtQ0c4","32334")</f>
        <v>32334</v>
      </c>
      <c r="B98" s="204" t="s">
        <v>21</v>
      </c>
      <c r="C98" s="165">
        <v>167.0</v>
      </c>
      <c r="D98" s="165" t="s">
        <v>12702</v>
      </c>
      <c r="E98" s="207" t="s">
        <v>12703</v>
      </c>
      <c r="F98" s="200">
        <v>43350.0</v>
      </c>
      <c r="G98" s="215" t="s">
        <v>210</v>
      </c>
      <c r="H98" s="215" t="s">
        <v>1747</v>
      </c>
      <c r="I98" s="233">
        <v>43360.0</v>
      </c>
      <c r="J98" s="215" t="s">
        <v>2535</v>
      </c>
      <c r="K98" s="215" t="s">
        <v>2535</v>
      </c>
      <c r="L98" s="643" t="s">
        <v>12704</v>
      </c>
      <c r="M98" s="215"/>
      <c r="N98" s="165"/>
      <c r="O98" s="232"/>
      <c r="P98" s="214"/>
      <c r="Q98" s="214"/>
      <c r="R98" s="214"/>
      <c r="S98" s="214"/>
      <c r="T98" s="214"/>
      <c r="U98" s="214"/>
      <c r="V98" s="214"/>
      <c r="W98" s="214"/>
      <c r="X98" s="214"/>
      <c r="Y98" s="214"/>
      <c r="Z98" s="214"/>
      <c r="AA98" s="214"/>
    </row>
    <row r="99" ht="28.5" customHeight="1">
      <c r="A99" s="190" t="str">
        <f>HYPERLINK("https://drive.google.com/open?id=0B4phjTjb-BwLRGdxQXlWREtHVjcwWnNVZHJ2NlMwN0tlU0Zr","32515")</f>
        <v>32515</v>
      </c>
      <c r="B99" s="204" t="s">
        <v>14</v>
      </c>
      <c r="C99" s="165">
        <v>1350.0</v>
      </c>
      <c r="D99" s="165" t="s">
        <v>12705</v>
      </c>
      <c r="E99" s="207" t="s">
        <v>8430</v>
      </c>
      <c r="F99" s="200">
        <v>43349.0</v>
      </c>
      <c r="G99" s="233">
        <v>43347.0</v>
      </c>
      <c r="H99" s="215" t="s">
        <v>1747</v>
      </c>
      <c r="I99" s="193">
        <v>43356.0</v>
      </c>
      <c r="J99" s="215" t="s">
        <v>2535</v>
      </c>
      <c r="K99" s="215" t="s">
        <v>2535</v>
      </c>
      <c r="L99" s="235" t="s">
        <v>12706</v>
      </c>
      <c r="M99" s="215"/>
      <c r="N99" s="165"/>
      <c r="O99" s="232"/>
      <c r="P99" s="214"/>
      <c r="Q99" s="214"/>
      <c r="R99" s="214"/>
      <c r="S99" s="214"/>
      <c r="T99" s="214"/>
      <c r="U99" s="214"/>
      <c r="V99" s="214"/>
      <c r="W99" s="214"/>
      <c r="X99" s="214"/>
      <c r="Y99" s="214"/>
      <c r="Z99" s="214"/>
      <c r="AA99" s="214"/>
    </row>
    <row r="100" ht="28.5" customHeight="1">
      <c r="A100" s="190" t="str">
        <f>HYPERLINK("https://drive.google.com/open?id=0B4phjTjb-BwLYUZHbThNbmZKTmdVNVlxRTE5elZ3aUI3WmlJ","32517")</f>
        <v>32517</v>
      </c>
      <c r="B100" s="204" t="s">
        <v>14</v>
      </c>
      <c r="C100" s="165">
        <v>1139.0</v>
      </c>
      <c r="D100" s="165" t="s">
        <v>12707</v>
      </c>
      <c r="E100" s="210" t="s">
        <v>12708</v>
      </c>
      <c r="F100" s="200">
        <v>43348.0</v>
      </c>
      <c r="G100" s="216">
        <v>43347.0</v>
      </c>
      <c r="H100" s="204" t="s">
        <v>1747</v>
      </c>
      <c r="I100" s="204" t="s">
        <v>12709</v>
      </c>
      <c r="J100" s="215" t="s">
        <v>2535</v>
      </c>
      <c r="K100" s="215" t="s">
        <v>2535</v>
      </c>
      <c r="L100" s="643" t="s">
        <v>12710</v>
      </c>
      <c r="M100" s="215"/>
      <c r="N100" s="165"/>
      <c r="O100" s="232"/>
      <c r="P100" s="214"/>
      <c r="Q100" s="214"/>
      <c r="R100" s="214"/>
      <c r="S100" s="214"/>
      <c r="T100" s="214"/>
      <c r="U100" s="214"/>
      <c r="V100" s="214"/>
      <c r="W100" s="214"/>
      <c r="X100" s="214"/>
      <c r="Y100" s="214"/>
      <c r="Z100" s="214"/>
      <c r="AA100" s="214"/>
    </row>
    <row r="101" ht="28.5" customHeight="1">
      <c r="A101" s="190" t="str">
        <f>HYPERLINK("https://drive.google.com/open?id=0B4phjTjb-BwLcGlOX1hFUWxGd2hkM1NzUUxvOTl6aUZEZUpz","32212")</f>
        <v>32212</v>
      </c>
      <c r="B101" s="204" t="s">
        <v>25</v>
      </c>
      <c r="C101" s="165">
        <v>2040.0</v>
      </c>
      <c r="D101" s="165" t="s">
        <v>12711</v>
      </c>
      <c r="E101" s="210" t="s">
        <v>12474</v>
      </c>
      <c r="F101" s="216">
        <v>43347.0</v>
      </c>
      <c r="G101" s="216">
        <v>43343.0</v>
      </c>
      <c r="H101" s="204" t="s">
        <v>1747</v>
      </c>
      <c r="I101" s="216">
        <v>43354.0</v>
      </c>
      <c r="J101" s="215" t="s">
        <v>2535</v>
      </c>
      <c r="K101" s="215" t="s">
        <v>2535</v>
      </c>
      <c r="L101" s="643" t="s">
        <v>12712</v>
      </c>
      <c r="M101" s="215" t="s">
        <v>497</v>
      </c>
      <c r="N101" s="165" t="s">
        <v>2554</v>
      </c>
      <c r="O101" s="232">
        <v>31494.4</v>
      </c>
      <c r="P101" s="214"/>
      <c r="Q101" s="214"/>
      <c r="R101" s="214"/>
      <c r="S101" s="214"/>
      <c r="T101" s="214"/>
      <c r="U101" s="214"/>
      <c r="V101" s="214"/>
      <c r="W101" s="214"/>
      <c r="X101" s="214"/>
      <c r="Y101" s="214"/>
      <c r="Z101" s="214"/>
      <c r="AA101" s="214"/>
    </row>
    <row r="102" ht="28.5" customHeight="1">
      <c r="A102" s="205" t="str">
        <f>HYPERLINK("https://drive.google.com/open?id=0B4phjTjb-BwLSUpucG5wS2FoVGpvUzdkOW9saXg1WUxMQnlV","32568")</f>
        <v>32568</v>
      </c>
      <c r="B102" s="204" t="s">
        <v>21</v>
      </c>
      <c r="C102" s="165">
        <v>1150.0</v>
      </c>
      <c r="D102" s="165" t="s">
        <v>12713</v>
      </c>
      <c r="E102" s="210" t="s">
        <v>8475</v>
      </c>
      <c r="F102" s="200">
        <v>43345.0</v>
      </c>
      <c r="G102" s="216">
        <v>43341.0</v>
      </c>
      <c r="H102" s="204" t="s">
        <v>1747</v>
      </c>
      <c r="I102" s="216">
        <v>43353.0</v>
      </c>
      <c r="J102" s="215" t="s">
        <v>2535</v>
      </c>
      <c r="K102" s="215" t="s">
        <v>2535</v>
      </c>
      <c r="L102" s="214" t="s">
        <v>12714</v>
      </c>
      <c r="M102" s="215"/>
      <c r="N102" s="165"/>
      <c r="O102" s="232"/>
      <c r="P102" s="214"/>
      <c r="Q102" s="214"/>
      <c r="R102" s="214"/>
      <c r="S102" s="214"/>
      <c r="T102" s="214"/>
      <c r="U102" s="214"/>
      <c r="V102" s="214"/>
      <c r="W102" s="214"/>
      <c r="X102" s="214"/>
      <c r="Y102" s="214"/>
      <c r="Z102" s="214"/>
      <c r="AA102" s="214"/>
    </row>
    <row r="103" ht="28.5" customHeight="1">
      <c r="A103" s="215">
        <v>32295.0</v>
      </c>
      <c r="B103" s="204" t="s">
        <v>25</v>
      </c>
      <c r="C103" s="165">
        <v>1990.0</v>
      </c>
      <c r="D103" s="165" t="s">
        <v>12715</v>
      </c>
      <c r="E103" s="210" t="s">
        <v>12716</v>
      </c>
      <c r="F103" s="200">
        <v>43343.0</v>
      </c>
      <c r="G103" s="216">
        <v>43341.0</v>
      </c>
      <c r="H103" s="204" t="s">
        <v>1747</v>
      </c>
      <c r="I103" s="216">
        <v>43349.0</v>
      </c>
      <c r="J103" s="215" t="s">
        <v>2535</v>
      </c>
      <c r="K103" s="215" t="s">
        <v>2535</v>
      </c>
      <c r="L103" s="643" t="s">
        <v>12717</v>
      </c>
      <c r="M103" s="215"/>
      <c r="N103" s="165"/>
      <c r="O103" s="232"/>
      <c r="P103" s="214"/>
      <c r="Q103" s="214"/>
      <c r="R103" s="214"/>
      <c r="S103" s="214"/>
      <c r="T103" s="214"/>
      <c r="U103" s="214"/>
      <c r="V103" s="214"/>
      <c r="W103" s="214"/>
      <c r="X103" s="214"/>
      <c r="Y103" s="214"/>
      <c r="Z103" s="214"/>
      <c r="AA103" s="214"/>
    </row>
    <row r="104" ht="28.5" customHeight="1">
      <c r="A104" s="190" t="str">
        <f>HYPERLINK("https://drive.google.com/file/d/0B4phjTjb-BwLR1lEMW5CSVpYNjNmRkc5YkJMS0FMMXE3YkJv/view?usp=sharing","32553")</f>
        <v>32553</v>
      </c>
      <c r="B104" s="204" t="s">
        <v>21</v>
      </c>
      <c r="C104" s="165">
        <v>1050.0</v>
      </c>
      <c r="D104" s="165" t="s">
        <v>2083</v>
      </c>
      <c r="E104" s="210" t="s">
        <v>12718</v>
      </c>
      <c r="F104" s="216">
        <v>43342.0</v>
      </c>
      <c r="G104" s="216">
        <v>43342.0</v>
      </c>
      <c r="H104" s="204" t="s">
        <v>1747</v>
      </c>
      <c r="I104" s="200">
        <v>43356.0</v>
      </c>
      <c r="J104" s="204" t="s">
        <v>12674</v>
      </c>
      <c r="K104" s="215" t="s">
        <v>3197</v>
      </c>
      <c r="L104" s="643" t="s">
        <v>12719</v>
      </c>
      <c r="M104" s="215"/>
      <c r="N104" s="165"/>
      <c r="O104" s="232"/>
      <c r="P104" s="214"/>
      <c r="Q104" s="214"/>
      <c r="R104" s="214"/>
      <c r="S104" s="214"/>
      <c r="T104" s="214"/>
      <c r="U104" s="214"/>
      <c r="V104" s="214"/>
      <c r="W104" s="214"/>
      <c r="X104" s="214"/>
      <c r="Y104" s="214"/>
      <c r="Z104" s="214"/>
      <c r="AA104" s="214"/>
    </row>
    <row r="105" ht="28.5" customHeight="1">
      <c r="A105" s="190" t="str">
        <f>HYPERLINK("https://drive.google.com/file/d/0B4phjTjb-BwLTlI2QTRsVUdqQm5xNHdxVGNaZW01RFBQeWZz/view?usp=sharing","32306")</f>
        <v>32306</v>
      </c>
      <c r="B105" s="204" t="s">
        <v>21</v>
      </c>
      <c r="C105" s="165">
        <v>859.0</v>
      </c>
      <c r="D105" s="165" t="s">
        <v>12720</v>
      </c>
      <c r="E105" s="207" t="s">
        <v>12721</v>
      </c>
      <c r="F105" s="200">
        <v>43341.0</v>
      </c>
      <c r="G105" s="233">
        <v>43335.0</v>
      </c>
      <c r="H105" s="215" t="s">
        <v>1747</v>
      </c>
      <c r="I105" s="233">
        <v>43348.0</v>
      </c>
      <c r="J105" s="204" t="s">
        <v>12674</v>
      </c>
      <c r="K105" s="215" t="s">
        <v>2531</v>
      </c>
      <c r="L105" s="643" t="s">
        <v>12722</v>
      </c>
      <c r="M105" s="215" t="s">
        <v>497</v>
      </c>
      <c r="N105" s="215" t="s">
        <v>1077</v>
      </c>
      <c r="O105" s="232">
        <v>43561.28</v>
      </c>
      <c r="P105" s="214"/>
      <c r="Q105" s="214"/>
      <c r="R105" s="214"/>
      <c r="S105" s="214"/>
      <c r="T105" s="214"/>
      <c r="U105" s="214"/>
      <c r="V105" s="214"/>
      <c r="W105" s="214"/>
      <c r="X105" s="214"/>
      <c r="Y105" s="214"/>
      <c r="Z105" s="214"/>
      <c r="AA105" s="214"/>
    </row>
    <row r="106" ht="28.5" customHeight="1">
      <c r="A106" s="190" t="str">
        <f>HYPERLINK("https://drive.google.com/open?id=0B4phjTjb-BwLYjY1X1UxN3NPbXdCSEdxajFsaUlUSGFOeUVn","32519")</f>
        <v>32519</v>
      </c>
      <c r="B106" s="204" t="s">
        <v>21</v>
      </c>
      <c r="C106" s="165">
        <v>230.0</v>
      </c>
      <c r="D106" s="165" t="s">
        <v>2082</v>
      </c>
      <c r="E106" s="207" t="s">
        <v>12648</v>
      </c>
      <c r="F106" s="200">
        <v>43338.0</v>
      </c>
      <c r="G106" s="215" t="s">
        <v>210</v>
      </c>
      <c r="H106" s="215" t="s">
        <v>1747</v>
      </c>
      <c r="I106" s="233">
        <v>43350.0</v>
      </c>
      <c r="J106" s="204" t="s">
        <v>12674</v>
      </c>
      <c r="K106" s="215" t="s">
        <v>3197</v>
      </c>
      <c r="L106" s="643" t="s">
        <v>12723</v>
      </c>
      <c r="M106" s="215"/>
      <c r="N106" s="165"/>
      <c r="O106" s="232"/>
      <c r="P106" s="214"/>
      <c r="Q106" s="214"/>
      <c r="R106" s="214"/>
      <c r="S106" s="214"/>
      <c r="T106" s="214"/>
      <c r="U106" s="214"/>
      <c r="V106" s="214"/>
      <c r="W106" s="214"/>
      <c r="X106" s="214"/>
      <c r="Y106" s="214"/>
      <c r="Z106" s="214"/>
      <c r="AA106" s="214"/>
    </row>
    <row r="107" ht="28.5" customHeight="1">
      <c r="A107" s="190" t="str">
        <f>HYPERLINK("https://drive.google.com/open?id=0B4phjTjb-BwLeDdfUm5hcTJxOV9hQ1o3YkVfS3lrZHhnZ0hZ","32211")</f>
        <v>32211</v>
      </c>
      <c r="B107" s="204" t="s">
        <v>21</v>
      </c>
      <c r="C107" s="165">
        <v>2040.0</v>
      </c>
      <c r="D107" s="165" t="s">
        <v>12724</v>
      </c>
      <c r="E107" s="207" t="s">
        <v>12474</v>
      </c>
      <c r="F107" s="216">
        <v>43337.0</v>
      </c>
      <c r="G107" s="233">
        <v>43333.0</v>
      </c>
      <c r="H107" s="215" t="s">
        <v>1747</v>
      </c>
      <c r="I107" s="193">
        <v>43341.0</v>
      </c>
      <c r="J107" s="204" t="s">
        <v>12725</v>
      </c>
      <c r="K107" s="215" t="s">
        <v>3197</v>
      </c>
      <c r="L107" s="235" t="s">
        <v>12726</v>
      </c>
      <c r="M107" s="215" t="s">
        <v>497</v>
      </c>
      <c r="N107" s="165" t="s">
        <v>2554</v>
      </c>
      <c r="O107" s="232">
        <v>31494.4</v>
      </c>
      <c r="P107" s="214"/>
      <c r="Q107" s="214"/>
      <c r="R107" s="214"/>
      <c r="S107" s="214"/>
      <c r="T107" s="214"/>
      <c r="U107" s="214"/>
      <c r="V107" s="214"/>
      <c r="W107" s="214"/>
      <c r="X107" s="214"/>
      <c r="Y107" s="214"/>
      <c r="Z107" s="214"/>
      <c r="AA107" s="214"/>
    </row>
    <row r="108" ht="28.5" customHeight="1">
      <c r="A108" s="190" t="str">
        <f>HYPERLINK("https://drive.google.com/open?id=0B4phjTjb-BwLWC1ROFZkT3FTRnpkNEZ1bjdQcG5keW5rMTZN","32512")</f>
        <v>32512</v>
      </c>
      <c r="B108" s="204" t="s">
        <v>25</v>
      </c>
      <c r="C108" s="165">
        <v>930.0</v>
      </c>
      <c r="D108" s="165" t="s">
        <v>12727</v>
      </c>
      <c r="E108" s="207" t="s">
        <v>4160</v>
      </c>
      <c r="F108" s="200">
        <v>43333.0</v>
      </c>
      <c r="G108" s="233">
        <v>43340.0</v>
      </c>
      <c r="H108" s="215" t="s">
        <v>1747</v>
      </c>
      <c r="I108" s="233">
        <v>43342.0</v>
      </c>
      <c r="J108" s="204" t="s">
        <v>2535</v>
      </c>
      <c r="K108" s="215" t="s">
        <v>2535</v>
      </c>
      <c r="L108" s="643" t="s">
        <v>12728</v>
      </c>
      <c r="M108" s="215"/>
      <c r="N108" s="165"/>
      <c r="O108" s="232"/>
      <c r="P108" s="214"/>
      <c r="Q108" s="214"/>
      <c r="R108" s="214"/>
      <c r="S108" s="214"/>
      <c r="T108" s="214"/>
      <c r="U108" s="214"/>
      <c r="V108" s="214"/>
      <c r="W108" s="214"/>
      <c r="X108" s="214"/>
      <c r="Y108" s="214"/>
      <c r="Z108" s="214"/>
      <c r="AA108" s="214"/>
    </row>
    <row r="109" ht="28.5" customHeight="1">
      <c r="A109" s="190" t="str">
        <f>HYPERLINK("https://drive.google.com/open?id=0B4phjTjb-BwLSFozbmQtMUwxV3B5VGVsTFE5c0dqaWZuY3pz","32375")</f>
        <v>32375</v>
      </c>
      <c r="B109" s="204" t="s">
        <v>21</v>
      </c>
      <c r="C109" s="165">
        <v>690.0</v>
      </c>
      <c r="D109" s="165" t="s">
        <v>2080</v>
      </c>
      <c r="E109" s="207" t="s">
        <v>12729</v>
      </c>
      <c r="F109" s="216">
        <v>43333.0</v>
      </c>
      <c r="G109" s="233">
        <v>43334.0</v>
      </c>
      <c r="H109" s="215" t="s">
        <v>1747</v>
      </c>
      <c r="I109" s="233">
        <v>43347.0</v>
      </c>
      <c r="J109" s="204" t="s">
        <v>12674</v>
      </c>
      <c r="K109" s="215" t="s">
        <v>2531</v>
      </c>
      <c r="L109" s="643" t="s">
        <v>12730</v>
      </c>
      <c r="M109" s="215"/>
      <c r="N109" s="165"/>
      <c r="O109" s="232"/>
      <c r="P109" s="214"/>
      <c r="Q109" s="214"/>
      <c r="R109" s="214"/>
      <c r="S109" s="214"/>
      <c r="T109" s="214"/>
      <c r="U109" s="214"/>
      <c r="V109" s="214"/>
      <c r="W109" s="214"/>
      <c r="X109" s="214"/>
      <c r="Y109" s="214"/>
      <c r="Z109" s="214"/>
      <c r="AA109" s="214"/>
    </row>
    <row r="110" ht="28.5" customHeight="1">
      <c r="A110" s="205" t="str">
        <f>HYPERLINK("https://drive.google.com/open?id=0B4phjTjb-BwLaVMxQ1NHMXJuMGxjUi01S29KMERoWU1rbWxN","32513")</f>
        <v>32513</v>
      </c>
      <c r="B110" s="204" t="s">
        <v>21</v>
      </c>
      <c r="C110" s="165">
        <v>1350.0</v>
      </c>
      <c r="D110" s="165" t="s">
        <v>2079</v>
      </c>
      <c r="E110" s="207" t="s">
        <v>12731</v>
      </c>
      <c r="F110" s="200">
        <v>43333.0</v>
      </c>
      <c r="G110" s="233">
        <v>43332.0</v>
      </c>
      <c r="H110" s="215" t="s">
        <v>1747</v>
      </c>
      <c r="I110" s="193">
        <v>43341.0</v>
      </c>
      <c r="J110" s="204" t="s">
        <v>12725</v>
      </c>
      <c r="K110" s="215" t="s">
        <v>3197</v>
      </c>
      <c r="L110" s="643" t="s">
        <v>12732</v>
      </c>
      <c r="M110" s="215"/>
      <c r="N110" s="165"/>
      <c r="O110" s="232"/>
      <c r="P110" s="214"/>
      <c r="Q110" s="214"/>
      <c r="R110" s="214"/>
      <c r="S110" s="214"/>
      <c r="T110" s="214"/>
      <c r="U110" s="214"/>
      <c r="V110" s="214"/>
      <c r="W110" s="214"/>
      <c r="X110" s="214"/>
      <c r="Y110" s="214"/>
      <c r="Z110" s="214"/>
      <c r="AA110" s="214"/>
    </row>
    <row r="111" ht="28.5" customHeight="1">
      <c r="A111" s="204">
        <v>32250.0</v>
      </c>
      <c r="B111" s="204" t="s">
        <v>14</v>
      </c>
      <c r="C111" s="165">
        <v>2332.0</v>
      </c>
      <c r="D111" s="165" t="s">
        <v>12733</v>
      </c>
      <c r="E111" s="207" t="s">
        <v>3217</v>
      </c>
      <c r="F111" s="200">
        <v>43331.0</v>
      </c>
      <c r="G111" s="215" t="s">
        <v>28</v>
      </c>
      <c r="H111" s="215" t="s">
        <v>1747</v>
      </c>
      <c r="I111" s="233">
        <v>43355.0</v>
      </c>
      <c r="J111" s="204" t="s">
        <v>2535</v>
      </c>
      <c r="K111" s="215" t="s">
        <v>2535</v>
      </c>
      <c r="L111" s="214"/>
      <c r="M111" s="215"/>
      <c r="N111" s="165"/>
      <c r="O111" s="232"/>
      <c r="P111" s="214"/>
      <c r="Q111" s="214"/>
      <c r="R111" s="214"/>
      <c r="S111" s="214"/>
      <c r="T111" s="214"/>
      <c r="U111" s="214"/>
      <c r="V111" s="214"/>
      <c r="W111" s="214"/>
      <c r="X111" s="214"/>
      <c r="Y111" s="214"/>
      <c r="Z111" s="214"/>
      <c r="AA111" s="214"/>
    </row>
    <row r="112" ht="28.5" customHeight="1">
      <c r="A112" s="205" t="str">
        <f>HYPERLINK("https://drive.google.com/open?id=0B4phjTjb-BwLWUFfV1BTLUprZ294MjAyQTNEaEtLay1NejAw","32422")</f>
        <v>32422</v>
      </c>
      <c r="B112" s="204" t="s">
        <v>21</v>
      </c>
      <c r="C112" s="165">
        <v>1249.0</v>
      </c>
      <c r="D112" s="165" t="s">
        <v>2077</v>
      </c>
      <c r="E112" s="210" t="s">
        <v>12734</v>
      </c>
      <c r="F112" s="216">
        <v>43330.0</v>
      </c>
      <c r="G112" s="216">
        <v>43325.0</v>
      </c>
      <c r="H112" s="204" t="s">
        <v>1747</v>
      </c>
      <c r="I112" s="200">
        <v>43340.0</v>
      </c>
      <c r="J112" s="204" t="s">
        <v>12725</v>
      </c>
      <c r="K112" s="215" t="s">
        <v>3197</v>
      </c>
      <c r="L112" s="643" t="s">
        <v>12735</v>
      </c>
      <c r="M112" s="215"/>
      <c r="N112" s="165"/>
      <c r="O112" s="232"/>
      <c r="P112" s="214"/>
      <c r="Q112" s="214"/>
      <c r="R112" s="214"/>
      <c r="S112" s="214"/>
      <c r="T112" s="214"/>
      <c r="U112" s="214"/>
      <c r="V112" s="214"/>
      <c r="W112" s="214"/>
      <c r="X112" s="214"/>
      <c r="Y112" s="214"/>
      <c r="Z112" s="214"/>
      <c r="AA112" s="214"/>
    </row>
    <row r="113" ht="28.5" customHeight="1">
      <c r="A113" s="205" t="str">
        <f>HYPERLINK("https://drive.google.com/open?id=0B4phjTjb-BwLaVVLWWh0VGEzQlR1d19nLWN5dXg2SEFYVmRN","32456")</f>
        <v>32456</v>
      </c>
      <c r="B113" s="204" t="s">
        <v>14</v>
      </c>
      <c r="C113" s="165">
        <v>930.0</v>
      </c>
      <c r="D113" s="165" t="s">
        <v>12736</v>
      </c>
      <c r="E113" s="207" t="s">
        <v>2852</v>
      </c>
      <c r="F113" s="216">
        <v>43328.0</v>
      </c>
      <c r="G113" s="233">
        <v>43321.0</v>
      </c>
      <c r="H113" s="215" t="s">
        <v>1747</v>
      </c>
      <c r="I113" s="233">
        <v>43329.0</v>
      </c>
      <c r="J113" s="204" t="s">
        <v>2535</v>
      </c>
      <c r="K113" s="215" t="s">
        <v>2535</v>
      </c>
      <c r="L113" s="235" t="s">
        <v>12737</v>
      </c>
      <c r="M113" s="215"/>
      <c r="N113" s="165"/>
      <c r="O113" s="232"/>
      <c r="P113" s="214"/>
      <c r="Q113" s="214"/>
      <c r="R113" s="214"/>
      <c r="S113" s="214"/>
      <c r="T113" s="214"/>
      <c r="U113" s="214"/>
      <c r="V113" s="214"/>
      <c r="W113" s="214"/>
      <c r="X113" s="214"/>
      <c r="Y113" s="214"/>
      <c r="Z113" s="214"/>
      <c r="AA113" s="214"/>
    </row>
    <row r="114" ht="28.5" customHeight="1">
      <c r="A114" s="205" t="str">
        <f>HYPERLINK("https://drive.google.com/open?id=0B4phjTjb-BwLbFNvbE1kUWdURmFxQm9TOTVxdGlZWTlJb1h3","32323")</f>
        <v>32323</v>
      </c>
      <c r="B114" s="204" t="s">
        <v>14</v>
      </c>
      <c r="C114" s="165">
        <v>900.0</v>
      </c>
      <c r="D114" s="165" t="s">
        <v>12738</v>
      </c>
      <c r="E114" s="207" t="s">
        <v>12739</v>
      </c>
      <c r="F114" s="216">
        <v>43327.0</v>
      </c>
      <c r="G114" s="233">
        <v>43327.0</v>
      </c>
      <c r="H114" s="215" t="s">
        <v>1747</v>
      </c>
      <c r="I114" s="193">
        <v>43333.0</v>
      </c>
      <c r="J114" s="204" t="s">
        <v>2535</v>
      </c>
      <c r="K114" s="215" t="s">
        <v>2535</v>
      </c>
      <c r="L114" s="235" t="s">
        <v>12740</v>
      </c>
      <c r="M114" s="215"/>
      <c r="N114" s="165"/>
      <c r="O114" s="232"/>
      <c r="P114" s="214"/>
      <c r="Q114" s="214"/>
      <c r="R114" s="214"/>
      <c r="S114" s="214"/>
      <c r="T114" s="214"/>
      <c r="U114" s="214"/>
      <c r="V114" s="214"/>
      <c r="W114" s="214"/>
      <c r="X114" s="214"/>
      <c r="Y114" s="214"/>
      <c r="Z114" s="214"/>
      <c r="AA114" s="214"/>
    </row>
    <row r="115" ht="28.5" customHeight="1">
      <c r="A115" s="205" t="str">
        <f>HYPERLINK("https://drive.google.com/open?id=0B4phjTjb-BwLMkNZRFBWMUFHdTNSeXJuX3NtMkhBVWhBdU84","32455")</f>
        <v>32455</v>
      </c>
      <c r="B115" s="204" t="s">
        <v>14</v>
      </c>
      <c r="C115" s="165">
        <v>560.0</v>
      </c>
      <c r="D115" s="165" t="s">
        <v>12741</v>
      </c>
      <c r="E115" s="207" t="s">
        <v>12742</v>
      </c>
      <c r="F115" s="216">
        <v>43327.0</v>
      </c>
      <c r="G115" s="216">
        <v>43326.0</v>
      </c>
      <c r="H115" s="204" t="s">
        <v>1747</v>
      </c>
      <c r="I115" s="200">
        <v>43336.0</v>
      </c>
      <c r="J115" s="204" t="s">
        <v>2535</v>
      </c>
      <c r="K115" s="215" t="s">
        <v>2535</v>
      </c>
      <c r="L115" s="235" t="s">
        <v>12743</v>
      </c>
      <c r="M115" s="215"/>
      <c r="N115" s="165"/>
      <c r="O115" s="232"/>
      <c r="P115" s="214"/>
      <c r="Q115" s="214"/>
      <c r="R115" s="214"/>
      <c r="S115" s="214"/>
      <c r="T115" s="214"/>
      <c r="U115" s="214"/>
      <c r="V115" s="214"/>
      <c r="W115" s="214"/>
      <c r="X115" s="214"/>
      <c r="Y115" s="214"/>
      <c r="Z115" s="214"/>
      <c r="AA115" s="214"/>
    </row>
    <row r="116" ht="28.5" customHeight="1">
      <c r="A116" s="204">
        <v>32249.0</v>
      </c>
      <c r="B116" s="204" t="s">
        <v>25</v>
      </c>
      <c r="C116" s="165">
        <v>2306.0</v>
      </c>
      <c r="D116" s="165" t="s">
        <v>12744</v>
      </c>
      <c r="E116" s="207" t="s">
        <v>3217</v>
      </c>
      <c r="F116" s="233">
        <v>43326.0</v>
      </c>
      <c r="G116" s="215" t="s">
        <v>28</v>
      </c>
      <c r="H116" s="646" t="s">
        <v>1747</v>
      </c>
      <c r="I116" s="233">
        <v>43328.0</v>
      </c>
      <c r="J116" s="204" t="s">
        <v>2535</v>
      </c>
      <c r="K116" s="215" t="s">
        <v>2535</v>
      </c>
      <c r="L116" s="643"/>
      <c r="M116" s="215"/>
      <c r="N116" s="165"/>
      <c r="O116" s="232"/>
      <c r="P116" s="214"/>
      <c r="Q116" s="214"/>
      <c r="R116" s="214"/>
      <c r="S116" s="214"/>
      <c r="T116" s="214"/>
      <c r="U116" s="214"/>
      <c r="V116" s="214"/>
      <c r="W116" s="214"/>
      <c r="X116" s="214"/>
      <c r="Y116" s="214"/>
      <c r="Z116" s="214"/>
      <c r="AA116" s="214"/>
    </row>
    <row r="117" ht="28.5" customHeight="1">
      <c r="A117" s="205" t="str">
        <f>HYPERLINK("https://drive.google.com/open?id=0B4phjTjb-BwLSFFBdlA2Skh6dmpCWHdrUUV4SEJaY01TM2lj","32260")</f>
        <v>32260</v>
      </c>
      <c r="B117" s="204" t="s">
        <v>21</v>
      </c>
      <c r="C117" s="165">
        <v>156.0</v>
      </c>
      <c r="D117" s="165" t="s">
        <v>12745</v>
      </c>
      <c r="E117" s="207" t="s">
        <v>12622</v>
      </c>
      <c r="F117" s="216">
        <v>43322.0</v>
      </c>
      <c r="G117" s="233">
        <v>43326.0</v>
      </c>
      <c r="H117" s="215" t="s">
        <v>1747</v>
      </c>
      <c r="I117" s="193">
        <v>43327.0</v>
      </c>
      <c r="J117" s="204" t="s">
        <v>12725</v>
      </c>
      <c r="K117" s="215" t="s">
        <v>2531</v>
      </c>
      <c r="L117" s="643" t="s">
        <v>12746</v>
      </c>
      <c r="M117" s="215"/>
      <c r="N117" s="165"/>
      <c r="O117" s="232"/>
      <c r="P117" s="214"/>
      <c r="Q117" s="214"/>
      <c r="R117" s="214"/>
      <c r="S117" s="214"/>
      <c r="T117" s="214"/>
      <c r="U117" s="214"/>
      <c r="V117" s="214"/>
      <c r="W117" s="214"/>
      <c r="X117" s="214"/>
      <c r="Y117" s="214"/>
      <c r="Z117" s="214"/>
      <c r="AA117" s="214"/>
    </row>
    <row r="118" ht="28.5" customHeight="1">
      <c r="A118" s="205" t="str">
        <f>HYPERLINK("https://drive.google.com/open?id=0B4phjTjb-BwLbUJ4VW0tRk5XRzlHTWNkSUFfbE5Sek14V3Uw","32380 / 32324")</f>
        <v>32380 / 32324</v>
      </c>
      <c r="B118" s="204" t="s">
        <v>21</v>
      </c>
      <c r="C118" s="165">
        <v>83.0</v>
      </c>
      <c r="D118" s="165" t="s">
        <v>12747</v>
      </c>
      <c r="E118" s="207" t="s">
        <v>12748</v>
      </c>
      <c r="F118" s="216">
        <v>43322.0</v>
      </c>
      <c r="G118" s="233">
        <v>43320.0</v>
      </c>
      <c r="H118" s="215" t="s">
        <v>1747</v>
      </c>
      <c r="I118" s="215" t="s">
        <v>12749</v>
      </c>
      <c r="J118" s="204" t="s">
        <v>12750</v>
      </c>
      <c r="K118" s="215" t="s">
        <v>2531</v>
      </c>
      <c r="L118" s="643" t="s">
        <v>12751</v>
      </c>
      <c r="M118" s="215"/>
      <c r="N118" s="165"/>
      <c r="O118" s="232"/>
      <c r="P118" s="214"/>
      <c r="Q118" s="214"/>
      <c r="R118" s="214"/>
      <c r="S118" s="214"/>
      <c r="T118" s="214"/>
      <c r="U118" s="214"/>
      <c r="V118" s="214"/>
      <c r="W118" s="214"/>
      <c r="X118" s="214"/>
      <c r="Y118" s="214"/>
      <c r="Z118" s="214"/>
      <c r="AA118" s="214"/>
    </row>
    <row r="119" ht="28.5" customHeight="1">
      <c r="A119" s="205" t="str">
        <f>HYPERLINK("https://drive.google.com/open?id=0B4phjTjb-BwLOGI0QVppQzlxaFFiUDdyRy14ZDBzU05iY2tB","32424")</f>
        <v>32424</v>
      </c>
      <c r="B119" s="204" t="s">
        <v>14</v>
      </c>
      <c r="C119" s="165">
        <v>930.0</v>
      </c>
      <c r="D119" s="165" t="s">
        <v>12752</v>
      </c>
      <c r="E119" s="207" t="s">
        <v>3743</v>
      </c>
      <c r="F119" s="216">
        <v>43322.0</v>
      </c>
      <c r="G119" s="233">
        <v>43318.0</v>
      </c>
      <c r="H119" s="215" t="s">
        <v>1747</v>
      </c>
      <c r="I119" s="233">
        <v>43326.0</v>
      </c>
      <c r="J119" s="204" t="s">
        <v>2535</v>
      </c>
      <c r="K119" s="215" t="s">
        <v>2535</v>
      </c>
      <c r="L119" s="235" t="s">
        <v>12753</v>
      </c>
      <c r="M119" s="215"/>
      <c r="N119" s="165"/>
      <c r="O119" s="232"/>
      <c r="P119" s="214"/>
      <c r="Q119" s="214"/>
      <c r="R119" s="214"/>
      <c r="S119" s="214"/>
      <c r="T119" s="214"/>
      <c r="U119" s="214"/>
      <c r="V119" s="214"/>
      <c r="W119" s="214"/>
      <c r="X119" s="214"/>
      <c r="Y119" s="214"/>
      <c r="Z119" s="214"/>
      <c r="AA119" s="214"/>
    </row>
    <row r="120" ht="28.5" customHeight="1">
      <c r="A120" s="205" t="str">
        <f>HYPERLINK("https://drive.google.com/open?id=0B4phjTjb-BwLTmFESkVIYUdEWmtJMWpKcHZ6VjBEMHN5Sjgw","32425")</f>
        <v>32425</v>
      </c>
      <c r="B120" s="204" t="s">
        <v>14</v>
      </c>
      <c r="C120" s="165">
        <v>210.0</v>
      </c>
      <c r="D120" s="165" t="s">
        <v>12754</v>
      </c>
      <c r="E120" s="207" t="s">
        <v>8449</v>
      </c>
      <c r="F120" s="216">
        <v>43321.0</v>
      </c>
      <c r="G120" s="233">
        <v>43318.0</v>
      </c>
      <c r="H120" s="215" t="s">
        <v>1747</v>
      </c>
      <c r="I120" s="233">
        <v>43326.0</v>
      </c>
      <c r="J120" s="204" t="s">
        <v>2535</v>
      </c>
      <c r="K120" s="215" t="s">
        <v>2535</v>
      </c>
      <c r="L120" s="235" t="s">
        <v>12755</v>
      </c>
      <c r="M120" s="215"/>
      <c r="N120" s="165"/>
      <c r="O120" s="232"/>
      <c r="P120" s="214"/>
      <c r="Q120" s="214"/>
      <c r="R120" s="214"/>
      <c r="S120" s="214"/>
      <c r="T120" s="214"/>
      <c r="U120" s="214"/>
      <c r="V120" s="214"/>
      <c r="W120" s="214"/>
      <c r="X120" s="214"/>
      <c r="Y120" s="214"/>
      <c r="Z120" s="214"/>
      <c r="AA120" s="214"/>
    </row>
    <row r="121" ht="28.5" customHeight="1">
      <c r="A121" s="647" t="str">
        <f>HYPERLINK("https://drive.google.com/open?id=0B4phjTjb-BwLQkpEdkRjVVFndEZSNW5ObGxFQ0ZkSi1sQzJB","32307")</f>
        <v>32307</v>
      </c>
      <c r="B121" s="204" t="s">
        <v>25</v>
      </c>
      <c r="C121" s="165">
        <v>784.0</v>
      </c>
      <c r="D121" s="165" t="s">
        <v>12756</v>
      </c>
      <c r="E121" s="207" t="s">
        <v>12721</v>
      </c>
      <c r="F121" s="216">
        <v>43320.0</v>
      </c>
      <c r="G121" s="233">
        <v>43318.0</v>
      </c>
      <c r="H121" s="215" t="s">
        <v>1747</v>
      </c>
      <c r="I121" s="233">
        <v>43325.0</v>
      </c>
      <c r="J121" s="204" t="s">
        <v>2535</v>
      </c>
      <c r="K121" s="215" t="s">
        <v>2535</v>
      </c>
      <c r="L121" s="643" t="s">
        <v>12757</v>
      </c>
      <c r="M121" s="215" t="s">
        <v>497</v>
      </c>
      <c r="N121" s="215" t="s">
        <v>1077</v>
      </c>
      <c r="O121" s="232">
        <v>41661.61</v>
      </c>
      <c r="P121" s="214"/>
      <c r="Q121" s="214"/>
      <c r="R121" s="214"/>
      <c r="S121" s="214"/>
      <c r="T121" s="214"/>
      <c r="U121" s="214"/>
      <c r="V121" s="214"/>
      <c r="W121" s="214"/>
      <c r="X121" s="214"/>
      <c r="Y121" s="214"/>
      <c r="Z121" s="214"/>
      <c r="AA121" s="214"/>
    </row>
    <row r="122" ht="28.5" customHeight="1">
      <c r="A122" s="648" t="str">
        <f>HYPERLINK("https://drive.google.com/file/d/0B4phjTjb-BwLSWtfR3Y0QnF1R1pBb2V6amFNVnFjX3Z4ZnhJ/view?usp=sharing","32308")</f>
        <v>32308</v>
      </c>
      <c r="B122" s="204" t="s">
        <v>14</v>
      </c>
      <c r="C122" s="165">
        <v>1045.0</v>
      </c>
      <c r="D122" s="165" t="s">
        <v>12758</v>
      </c>
      <c r="E122" s="207" t="s">
        <v>12759</v>
      </c>
      <c r="F122" s="216">
        <v>43320.0</v>
      </c>
      <c r="G122" s="233">
        <v>43318.0</v>
      </c>
      <c r="H122" s="215" t="s">
        <v>1747</v>
      </c>
      <c r="I122" s="233">
        <v>43325.0</v>
      </c>
      <c r="J122" s="204" t="s">
        <v>2535</v>
      </c>
      <c r="K122" s="215" t="s">
        <v>2535</v>
      </c>
      <c r="L122" s="235" t="s">
        <v>12760</v>
      </c>
      <c r="M122" s="215" t="s">
        <v>497</v>
      </c>
      <c r="N122" s="215" t="s">
        <v>1077</v>
      </c>
      <c r="O122" s="232">
        <v>50837.16</v>
      </c>
      <c r="P122" s="214"/>
      <c r="Q122" s="214"/>
      <c r="R122" s="214"/>
      <c r="S122" s="214"/>
      <c r="T122" s="214"/>
      <c r="U122" s="214"/>
      <c r="V122" s="214"/>
      <c r="W122" s="214"/>
      <c r="X122" s="214"/>
      <c r="Y122" s="214"/>
      <c r="Z122" s="214"/>
      <c r="AA122" s="214"/>
    </row>
    <row r="123" ht="28.5" customHeight="1">
      <c r="A123" s="205" t="str">
        <f>HYPERLINK("https://drive.google.com/open?id=0B4phjTjb-BwLZ01xOEZ3UFhBc1BLSE1TRW80U0lKLW1XcFVv","32423")</f>
        <v>32423</v>
      </c>
      <c r="B123" s="204" t="s">
        <v>21</v>
      </c>
      <c r="C123" s="165">
        <v>1024.0</v>
      </c>
      <c r="D123" s="165" t="s">
        <v>2076</v>
      </c>
      <c r="E123" s="207" t="s">
        <v>12761</v>
      </c>
      <c r="F123" s="216">
        <v>43315.0</v>
      </c>
      <c r="G123" s="170">
        <v>43312.0</v>
      </c>
      <c r="H123" s="204" t="s">
        <v>1747</v>
      </c>
      <c r="I123" s="204" t="s">
        <v>12762</v>
      </c>
      <c r="J123" s="204" t="s">
        <v>12725</v>
      </c>
      <c r="K123" s="215" t="s">
        <v>3197</v>
      </c>
      <c r="L123" s="643" t="s">
        <v>12763</v>
      </c>
      <c r="M123" s="215"/>
      <c r="N123" s="165"/>
      <c r="O123" s="232"/>
      <c r="P123" s="214"/>
      <c r="Q123" s="214"/>
      <c r="R123" s="214"/>
      <c r="S123" s="214"/>
      <c r="T123" s="214"/>
      <c r="U123" s="214"/>
      <c r="V123" s="214"/>
      <c r="W123" s="214"/>
      <c r="X123" s="214"/>
      <c r="Y123" s="214"/>
      <c r="Z123" s="214"/>
      <c r="AA123" s="214"/>
    </row>
    <row r="124" ht="28.5" customHeight="1">
      <c r="A124" s="205" t="str">
        <f>HYPERLINK("https://drive.google.com/open?id=0B4phjTjb-BwLYjRnX25jMzZXSktRdGpjQVVoUWYwN2xFMWE0","32215")</f>
        <v>32215</v>
      </c>
      <c r="B124" s="204" t="s">
        <v>14</v>
      </c>
      <c r="C124" s="165">
        <v>451.0</v>
      </c>
      <c r="D124" s="250" t="s">
        <v>12764</v>
      </c>
      <c r="E124" s="210" t="s">
        <v>12765</v>
      </c>
      <c r="F124" s="216">
        <v>43312.0</v>
      </c>
      <c r="G124" s="216">
        <v>43328.0</v>
      </c>
      <c r="H124" s="649" t="s">
        <v>1747</v>
      </c>
      <c r="I124" s="204" t="s">
        <v>12766</v>
      </c>
      <c r="J124" s="204" t="s">
        <v>2535</v>
      </c>
      <c r="K124" s="215" t="s">
        <v>2535</v>
      </c>
      <c r="L124" s="235" t="s">
        <v>12767</v>
      </c>
      <c r="M124" s="215"/>
      <c r="N124" s="165"/>
      <c r="O124" s="232"/>
      <c r="P124" s="214"/>
      <c r="Q124" s="214"/>
      <c r="R124" s="214"/>
      <c r="S124" s="214"/>
      <c r="T124" s="214"/>
      <c r="U124" s="214"/>
      <c r="V124" s="214"/>
      <c r="W124" s="214"/>
      <c r="X124" s="214"/>
      <c r="Y124" s="214"/>
      <c r="Z124" s="214"/>
      <c r="AA124" s="214"/>
    </row>
    <row r="125" ht="28.5" customHeight="1">
      <c r="A125" s="205" t="str">
        <f>HYPERLINK("https://drive.google.com/open?id=0B4phjTjb-BwLQllGTlBBUkFtOF9QM3p3UU1ZYXQ0VTdGVkRz","32116")</f>
        <v>32116</v>
      </c>
      <c r="B125" s="204" t="s">
        <v>21</v>
      </c>
      <c r="C125" s="165">
        <v>776.0</v>
      </c>
      <c r="D125" s="204" t="s">
        <v>12768</v>
      </c>
      <c r="E125" s="235" t="s">
        <v>12769</v>
      </c>
      <c r="F125" s="216">
        <v>43309.0</v>
      </c>
      <c r="G125" s="233">
        <v>43315.0</v>
      </c>
      <c r="H125" s="215" t="s">
        <v>1747</v>
      </c>
      <c r="I125" s="233">
        <v>43319.0</v>
      </c>
      <c r="J125" s="204" t="s">
        <v>12725</v>
      </c>
      <c r="K125" s="215" t="s">
        <v>2531</v>
      </c>
      <c r="L125" s="235" t="s">
        <v>12770</v>
      </c>
      <c r="M125" s="215"/>
      <c r="N125" s="165"/>
      <c r="O125" s="232"/>
      <c r="P125" s="214"/>
      <c r="Q125" s="214"/>
      <c r="R125" s="214"/>
      <c r="S125" s="214"/>
      <c r="T125" s="214"/>
      <c r="U125" s="214"/>
      <c r="V125" s="214"/>
      <c r="W125" s="214"/>
      <c r="X125" s="214"/>
      <c r="Y125" s="214"/>
      <c r="Z125" s="214"/>
      <c r="AA125" s="214"/>
    </row>
    <row r="126" ht="28.5" customHeight="1">
      <c r="A126" s="205" t="str">
        <f>HYPERLINK("https://drive.google.com/open?id=0B4phjTjb-BwLY0x2MklzeU1sV19vRWJZS1F1cE1aWUtmSVFB","31998 / S11803054")</f>
        <v>31998 / S11803054</v>
      </c>
      <c r="B126" s="204" t="s">
        <v>21</v>
      </c>
      <c r="C126" s="165">
        <v>95.0</v>
      </c>
      <c r="D126" s="165" t="s">
        <v>12771</v>
      </c>
      <c r="E126" s="235" t="s">
        <v>12772</v>
      </c>
      <c r="F126" s="216">
        <v>43308.0</v>
      </c>
      <c r="G126" s="233">
        <v>43305.0</v>
      </c>
      <c r="H126" s="215" t="s">
        <v>1747</v>
      </c>
      <c r="I126" s="233">
        <v>43315.0</v>
      </c>
      <c r="J126" s="204" t="s">
        <v>12725</v>
      </c>
      <c r="K126" s="215" t="s">
        <v>2531</v>
      </c>
      <c r="L126" s="235" t="s">
        <v>12773</v>
      </c>
      <c r="M126" s="215"/>
      <c r="N126" s="165"/>
      <c r="O126" s="232"/>
      <c r="P126" s="214"/>
      <c r="Q126" s="214"/>
      <c r="R126" s="214"/>
      <c r="S126" s="214"/>
      <c r="T126" s="214"/>
      <c r="U126" s="214"/>
      <c r="V126" s="214"/>
      <c r="W126" s="214"/>
      <c r="X126" s="214"/>
      <c r="Y126" s="214"/>
      <c r="Z126" s="214"/>
      <c r="AA126" s="214"/>
    </row>
    <row r="127" ht="28.5" customHeight="1">
      <c r="A127" s="205" t="str">
        <f>HYPERLINK("https://drive.google.com/open?id=0B4phjTjb-BwLdF9OOHpPOTRaYkUxR25wWHQ3NEp5aUhoMVR3","32427")</f>
        <v>32427</v>
      </c>
      <c r="B127" s="204" t="s">
        <v>21</v>
      </c>
      <c r="C127" s="165">
        <v>1100.0</v>
      </c>
      <c r="D127" s="165" t="s">
        <v>2075</v>
      </c>
      <c r="E127" s="207" t="s">
        <v>12774</v>
      </c>
      <c r="F127" s="216">
        <v>43308.0</v>
      </c>
      <c r="G127" s="170">
        <v>43312.0</v>
      </c>
      <c r="H127" s="215" t="s">
        <v>1747</v>
      </c>
      <c r="I127" s="216">
        <v>43319.0</v>
      </c>
      <c r="J127" s="204" t="s">
        <v>12725</v>
      </c>
      <c r="K127" s="215" t="s">
        <v>3197</v>
      </c>
      <c r="L127" s="235" t="s">
        <v>12775</v>
      </c>
      <c r="M127" s="215"/>
      <c r="N127" s="165"/>
      <c r="O127" s="232"/>
      <c r="P127" s="214"/>
      <c r="Q127" s="214"/>
      <c r="R127" s="214"/>
      <c r="S127" s="214"/>
      <c r="T127" s="214"/>
      <c r="U127" s="214"/>
      <c r="V127" s="214"/>
      <c r="W127" s="214"/>
      <c r="X127" s="214"/>
      <c r="Y127" s="214"/>
      <c r="Z127" s="214"/>
      <c r="AA127" s="214"/>
    </row>
    <row r="128" ht="28.5" customHeight="1">
      <c r="A128" s="205" t="str">
        <f>HYPERLINK("https://drive.google.com/open?id=0B4phjTjb-BwLd0JpZlgyMEtJWE9nNVJnVE9GWWVPU1ZIMHVZ","32428")</f>
        <v>32428</v>
      </c>
      <c r="B128" s="204" t="s">
        <v>14</v>
      </c>
      <c r="C128" s="165">
        <v>1350.0</v>
      </c>
      <c r="D128" s="165" t="s">
        <v>12776</v>
      </c>
      <c r="E128" s="207" t="s">
        <v>2852</v>
      </c>
      <c r="F128" s="216">
        <v>43306.0</v>
      </c>
      <c r="G128" s="233">
        <v>43301.0</v>
      </c>
      <c r="H128" s="215" t="s">
        <v>1747</v>
      </c>
      <c r="I128" s="216">
        <v>43312.0</v>
      </c>
      <c r="J128" s="204" t="s">
        <v>2535</v>
      </c>
      <c r="K128" s="215" t="s">
        <v>2535</v>
      </c>
      <c r="L128" s="643" t="s">
        <v>12777</v>
      </c>
      <c r="M128" s="215"/>
      <c r="N128" s="165"/>
      <c r="O128" s="232"/>
      <c r="P128" s="214"/>
      <c r="Q128" s="214"/>
      <c r="R128" s="214"/>
      <c r="S128" s="214"/>
      <c r="T128" s="214"/>
      <c r="U128" s="214"/>
      <c r="V128" s="214"/>
      <c r="W128" s="214"/>
      <c r="X128" s="214"/>
      <c r="Y128" s="214"/>
      <c r="Z128" s="214"/>
      <c r="AA128" s="214"/>
    </row>
    <row r="129" ht="28.5" customHeight="1">
      <c r="A129" s="205" t="str">
        <f>HYPERLINK("https://drive.google.com/file/d/0B4phjTjb-BwLbEJtY2pONTZhT25rT0dCc3N0Nl9Sd18tdmdv/view?usp=sharing","32374")</f>
        <v>32374</v>
      </c>
      <c r="B129" s="204" t="s">
        <v>14</v>
      </c>
      <c r="C129" s="165">
        <v>1074.0</v>
      </c>
      <c r="D129" s="165" t="s">
        <v>12778</v>
      </c>
      <c r="E129" s="210" t="s">
        <v>12779</v>
      </c>
      <c r="F129" s="216">
        <v>43306.0</v>
      </c>
      <c r="G129" s="216">
        <v>43304.0</v>
      </c>
      <c r="H129" s="636" t="s">
        <v>1747</v>
      </c>
      <c r="I129" s="200">
        <v>43313.0</v>
      </c>
      <c r="J129" s="204" t="s">
        <v>2535</v>
      </c>
      <c r="K129" s="215" t="s">
        <v>2535</v>
      </c>
      <c r="L129" s="643" t="s">
        <v>12780</v>
      </c>
      <c r="M129" s="215"/>
      <c r="N129" s="165"/>
      <c r="O129" s="232"/>
      <c r="P129" s="214"/>
      <c r="Q129" s="214"/>
      <c r="R129" s="214"/>
      <c r="S129" s="214"/>
      <c r="T129" s="214"/>
      <c r="U129" s="214"/>
      <c r="V129" s="214"/>
      <c r="W129" s="214"/>
      <c r="X129" s="214"/>
      <c r="Y129" s="214"/>
      <c r="Z129" s="214"/>
      <c r="AA129" s="214"/>
    </row>
    <row r="130" ht="28.5" customHeight="1">
      <c r="A130" s="205" t="str">
        <f>HYPERLINK("https://drive.google.com/open?id=0B4phjTjb-BwLNEw0S0NBWkJucFZwLXN5cVBvZHdIMkdvWVo0","32111")</f>
        <v>32111</v>
      </c>
      <c r="B130" s="204" t="s">
        <v>21</v>
      </c>
      <c r="C130" s="165">
        <v>505.0</v>
      </c>
      <c r="D130" s="165" t="s">
        <v>2071</v>
      </c>
      <c r="E130" s="214" t="s">
        <v>512</v>
      </c>
      <c r="F130" s="216">
        <v>43304.0</v>
      </c>
      <c r="G130" s="233">
        <v>43300.0</v>
      </c>
      <c r="H130" s="215" t="s">
        <v>1747</v>
      </c>
      <c r="I130" s="233">
        <v>43307.0</v>
      </c>
      <c r="J130" s="204" t="s">
        <v>12781</v>
      </c>
      <c r="K130" s="215" t="s">
        <v>2531</v>
      </c>
      <c r="L130" s="643" t="s">
        <v>12782</v>
      </c>
      <c r="M130" s="215" t="s">
        <v>497</v>
      </c>
      <c r="N130" s="165" t="s">
        <v>2554</v>
      </c>
      <c r="O130" s="232">
        <v>31310.0</v>
      </c>
      <c r="P130" s="214"/>
      <c r="Q130" s="214"/>
      <c r="R130" s="214"/>
      <c r="S130" s="214"/>
      <c r="T130" s="214"/>
      <c r="U130" s="214"/>
      <c r="V130" s="214"/>
      <c r="W130" s="214"/>
      <c r="X130" s="214"/>
      <c r="Y130" s="214"/>
      <c r="Z130" s="214"/>
      <c r="AA130" s="214"/>
    </row>
    <row r="131" ht="28.5" customHeight="1">
      <c r="A131" s="245" t="str">
        <f>HYPERLINK("https://drive.google.com/open?id=0B4phjTjb-BwLbS0zSlBfcHZrQ2x1TzFYUm5HWktzQXFsMkJR","32426 / NS2666")</f>
        <v>32426 / NS2666</v>
      </c>
      <c r="B131" s="204" t="s">
        <v>21</v>
      </c>
      <c r="C131" s="165">
        <v>228.0</v>
      </c>
      <c r="D131" s="165" t="s">
        <v>2073</v>
      </c>
      <c r="E131" s="210" t="s">
        <v>12783</v>
      </c>
      <c r="F131" s="216">
        <v>43303.0</v>
      </c>
      <c r="G131" s="216">
        <v>43300.0</v>
      </c>
      <c r="H131" s="636" t="s">
        <v>1747</v>
      </c>
      <c r="I131" s="204" t="s">
        <v>12784</v>
      </c>
      <c r="J131" s="204" t="s">
        <v>12781</v>
      </c>
      <c r="K131" s="215" t="s">
        <v>3197</v>
      </c>
      <c r="L131" s="643" t="s">
        <v>12785</v>
      </c>
      <c r="M131" s="215"/>
      <c r="N131" s="165"/>
      <c r="O131" s="232"/>
      <c r="P131" s="214"/>
      <c r="Q131" s="214"/>
      <c r="R131" s="214"/>
      <c r="S131" s="214"/>
      <c r="T131" s="214"/>
      <c r="U131" s="214"/>
      <c r="V131" s="214"/>
      <c r="W131" s="214"/>
      <c r="X131" s="214"/>
      <c r="Y131" s="214"/>
      <c r="Z131" s="214"/>
      <c r="AA131" s="214"/>
    </row>
    <row r="132" ht="28.5" customHeight="1">
      <c r="A132" s="190" t="str">
        <f>HYPERLINK("https://drive.google.com/open?id=0B4phjTjb-BwLSFRMRFBrS2ltdW41VnNOZ3ZxbFdacUl3QWU0","32385")</f>
        <v>32385</v>
      </c>
      <c r="B132" s="204" t="s">
        <v>21</v>
      </c>
      <c r="C132" s="165">
        <v>560.0</v>
      </c>
      <c r="D132" s="165" t="s">
        <v>2074</v>
      </c>
      <c r="E132" s="214" t="s">
        <v>12786</v>
      </c>
      <c r="F132" s="216">
        <v>43301.0</v>
      </c>
      <c r="G132" s="216">
        <v>43305.0</v>
      </c>
      <c r="H132" s="636" t="s">
        <v>1747</v>
      </c>
      <c r="I132" s="200">
        <v>43308.0</v>
      </c>
      <c r="J132" s="204" t="s">
        <v>12781</v>
      </c>
      <c r="K132" s="215" t="s">
        <v>3197</v>
      </c>
      <c r="L132" s="643" t="s">
        <v>12787</v>
      </c>
      <c r="M132" s="215"/>
      <c r="N132" s="165"/>
      <c r="O132" s="232"/>
      <c r="P132" s="214"/>
      <c r="Q132" s="214"/>
      <c r="R132" s="214"/>
      <c r="S132" s="214"/>
      <c r="T132" s="214"/>
      <c r="U132" s="214"/>
      <c r="V132" s="214"/>
      <c r="W132" s="214"/>
      <c r="X132" s="214"/>
      <c r="Y132" s="214"/>
      <c r="Z132" s="214"/>
      <c r="AA132" s="214"/>
    </row>
    <row r="133" ht="28.5" customHeight="1">
      <c r="A133" s="205" t="str">
        <f>HYPERLINK("https://drive.google.com/open?id=0B4phjTjb-BwLbzh1ZU02TEIwWjJyQzN2RTZIUk1TdnBGb1dz","32254")</f>
        <v>32254</v>
      </c>
      <c r="B133" s="204" t="s">
        <v>25</v>
      </c>
      <c r="C133" s="165">
        <v>1140.0</v>
      </c>
      <c r="D133" s="165" t="s">
        <v>12788</v>
      </c>
      <c r="E133" s="210" t="s">
        <v>12789</v>
      </c>
      <c r="F133" s="216">
        <v>43300.0</v>
      </c>
      <c r="G133" s="216">
        <v>43297.0</v>
      </c>
      <c r="H133" s="204" t="s">
        <v>1747</v>
      </c>
      <c r="I133" s="200">
        <v>43305.0</v>
      </c>
      <c r="J133" s="204" t="s">
        <v>2535</v>
      </c>
      <c r="K133" s="215" t="s">
        <v>2535</v>
      </c>
      <c r="L133" s="235" t="s">
        <v>12790</v>
      </c>
      <c r="M133" s="215" t="s">
        <v>497</v>
      </c>
      <c r="N133" s="165" t="s">
        <v>3868</v>
      </c>
      <c r="O133" s="232">
        <v>17319.2</v>
      </c>
      <c r="P133" s="214"/>
      <c r="Q133" s="214"/>
      <c r="R133" s="214"/>
      <c r="S133" s="214"/>
      <c r="T133" s="214"/>
      <c r="U133" s="214"/>
      <c r="V133" s="214"/>
      <c r="W133" s="214"/>
      <c r="X133" s="214"/>
      <c r="Y133" s="214"/>
      <c r="Z133" s="214"/>
      <c r="AA133" s="214"/>
    </row>
    <row r="134" ht="28.5" customHeight="1">
      <c r="A134" s="205" t="str">
        <f>HYPERLINK("https://drive.google.com/open?id=0B4phjTjb-BwLV2JnWEhVeXZ1NmtvazBtbGVaZTNlZ3lMSHd3","32267")</f>
        <v>32267</v>
      </c>
      <c r="B134" s="204" t="s">
        <v>25</v>
      </c>
      <c r="C134" s="165">
        <v>144.0</v>
      </c>
      <c r="D134" s="165" t="s">
        <v>12791</v>
      </c>
      <c r="E134" s="207" t="s">
        <v>12540</v>
      </c>
      <c r="F134" s="216">
        <v>43298.0</v>
      </c>
      <c r="G134" s="233">
        <v>43299.0</v>
      </c>
      <c r="H134" s="215" t="s">
        <v>1747</v>
      </c>
      <c r="I134" s="200">
        <v>43307.0</v>
      </c>
      <c r="J134" s="204" t="s">
        <v>2535</v>
      </c>
      <c r="K134" s="215" t="s">
        <v>2535</v>
      </c>
      <c r="L134" s="248" t="s">
        <v>12792</v>
      </c>
      <c r="M134" s="215"/>
      <c r="N134" s="165"/>
      <c r="O134" s="232"/>
      <c r="P134" s="214"/>
      <c r="Q134" s="214"/>
      <c r="R134" s="214"/>
      <c r="S134" s="214"/>
      <c r="T134" s="214"/>
      <c r="U134" s="214"/>
      <c r="V134" s="214"/>
      <c r="W134" s="214"/>
      <c r="X134" s="214"/>
      <c r="Y134" s="214"/>
      <c r="Z134" s="214"/>
      <c r="AA134" s="214"/>
    </row>
    <row r="135" ht="28.5" customHeight="1">
      <c r="A135" s="205" t="str">
        <f>HYPERLINK("https://drive.google.com/open?id=0B4phjTjb-BwLYnF4cV82cDFxUVJ1NDVJaENGU1NraHYwN2xn","32372")</f>
        <v>32372</v>
      </c>
      <c r="B135" s="204" t="s">
        <v>14</v>
      </c>
      <c r="C135" s="165">
        <v>900.0</v>
      </c>
      <c r="D135" s="165" t="s">
        <v>12793</v>
      </c>
      <c r="E135" s="207" t="s">
        <v>12794</v>
      </c>
      <c r="F135" s="216">
        <v>43298.0</v>
      </c>
      <c r="G135" s="233">
        <v>43297.0</v>
      </c>
      <c r="H135" s="215" t="s">
        <v>1747</v>
      </c>
      <c r="I135" s="233">
        <v>43304.0</v>
      </c>
      <c r="J135" s="204" t="s">
        <v>2535</v>
      </c>
      <c r="K135" s="215" t="s">
        <v>2535</v>
      </c>
      <c r="L135" s="248" t="s">
        <v>12795</v>
      </c>
      <c r="M135" s="215"/>
      <c r="N135" s="165"/>
      <c r="O135" s="232"/>
      <c r="P135" s="214"/>
      <c r="Q135" s="214"/>
      <c r="R135" s="214"/>
      <c r="S135" s="214"/>
      <c r="T135" s="214"/>
      <c r="U135" s="214"/>
      <c r="V135" s="214"/>
      <c r="W135" s="214"/>
      <c r="X135" s="214"/>
      <c r="Y135" s="214"/>
      <c r="Z135" s="214"/>
      <c r="AA135" s="214"/>
    </row>
    <row r="136" ht="28.5" customHeight="1">
      <c r="A136" s="205" t="str">
        <f>HYPERLINK("https://drive.google.com/open?id=0B4phjTjb-BwLNHFHc0laMFBuYU1hVzdyQnZTQ1MwRU5RelNN","32370")</f>
        <v>32370</v>
      </c>
      <c r="B136" s="204" t="s">
        <v>14</v>
      </c>
      <c r="C136" s="165">
        <v>930.0</v>
      </c>
      <c r="D136" s="165" t="s">
        <v>12796</v>
      </c>
      <c r="E136" s="207" t="s">
        <v>4160</v>
      </c>
      <c r="F136" s="216">
        <v>43298.0</v>
      </c>
      <c r="G136" s="233">
        <v>43291.0</v>
      </c>
      <c r="H136" s="215" t="s">
        <v>1747</v>
      </c>
      <c r="I136" s="233">
        <v>43299.0</v>
      </c>
      <c r="J136" s="204" t="s">
        <v>2535</v>
      </c>
      <c r="K136" s="215" t="s">
        <v>2535</v>
      </c>
      <c r="L136" s="248" t="s">
        <v>12797</v>
      </c>
      <c r="M136" s="215"/>
      <c r="N136" s="165"/>
      <c r="O136" s="232"/>
      <c r="P136" s="214"/>
      <c r="Q136" s="214"/>
      <c r="R136" s="214"/>
      <c r="S136" s="214"/>
      <c r="T136" s="214"/>
      <c r="U136" s="214"/>
      <c r="V136" s="214"/>
      <c r="W136" s="214"/>
      <c r="X136" s="214"/>
      <c r="Y136" s="214"/>
      <c r="Z136" s="214"/>
      <c r="AA136" s="214"/>
    </row>
    <row r="137" ht="28.5" customHeight="1">
      <c r="A137" s="205" t="str">
        <f>HYPERLINK("https://drive.google.com/open?id=0B4phjTjb-BwLa2FCczMwa3pxU1VvM19tMjhPaGNGZHJucmow","32378")</f>
        <v>32378</v>
      </c>
      <c r="B137" s="204" t="s">
        <v>21</v>
      </c>
      <c r="C137" s="165">
        <v>1350.0</v>
      </c>
      <c r="D137" s="165" t="s">
        <v>12798</v>
      </c>
      <c r="E137" s="207" t="s">
        <v>12799</v>
      </c>
      <c r="F137" s="216">
        <v>43296.0</v>
      </c>
      <c r="G137" s="233">
        <v>43301.0</v>
      </c>
      <c r="H137" s="215" t="s">
        <v>1747</v>
      </c>
      <c r="I137" s="200">
        <v>43314.0</v>
      </c>
      <c r="J137" s="204" t="s">
        <v>12725</v>
      </c>
      <c r="K137" s="215" t="s">
        <v>3197</v>
      </c>
      <c r="L137" s="248" t="s">
        <v>12800</v>
      </c>
      <c r="M137" s="215"/>
      <c r="N137" s="165"/>
      <c r="O137" s="232"/>
      <c r="P137" s="214"/>
      <c r="Q137" s="214"/>
      <c r="R137" s="214"/>
      <c r="S137" s="214"/>
      <c r="T137" s="214"/>
      <c r="U137" s="214"/>
      <c r="V137" s="214"/>
      <c r="W137" s="214"/>
      <c r="X137" s="214"/>
      <c r="Y137" s="214"/>
      <c r="Z137" s="214"/>
      <c r="AA137" s="214"/>
    </row>
    <row r="138" ht="28.5" customHeight="1">
      <c r="A138" s="205" t="str">
        <f>HYPERLINK("https://drive.google.com/open?id=0B4phjTjb-BwLWlowYjB3eDVhTWZLVXRZNW1GdkR0N1VieVJ3","32214")</f>
        <v>32214</v>
      </c>
      <c r="B138" s="204" t="s">
        <v>21</v>
      </c>
      <c r="C138" s="165">
        <v>534.0</v>
      </c>
      <c r="D138" s="250" t="s">
        <v>2072</v>
      </c>
      <c r="E138" s="207" t="s">
        <v>12765</v>
      </c>
      <c r="F138" s="233">
        <v>43295.0</v>
      </c>
      <c r="G138" s="220">
        <v>43304.0</v>
      </c>
      <c r="H138" s="215" t="s">
        <v>1747</v>
      </c>
      <c r="I138" s="233">
        <v>43299.0</v>
      </c>
      <c r="J138" s="204" t="s">
        <v>2535</v>
      </c>
      <c r="K138" s="215" t="s">
        <v>2535</v>
      </c>
      <c r="L138" s="248" t="s">
        <v>12801</v>
      </c>
      <c r="M138" s="215"/>
      <c r="N138" s="165"/>
      <c r="O138" s="232"/>
      <c r="P138" s="214"/>
      <c r="Q138" s="214"/>
      <c r="R138" s="214"/>
      <c r="S138" s="214"/>
      <c r="T138" s="214"/>
      <c r="U138" s="214"/>
      <c r="V138" s="214"/>
      <c r="W138" s="214"/>
      <c r="X138" s="214"/>
      <c r="Y138" s="214"/>
      <c r="Z138" s="214"/>
      <c r="AA138" s="214"/>
    </row>
    <row r="139" ht="28.5" customHeight="1">
      <c r="A139" s="648" t="str">
        <f>HYPERLINK("https://drive.google.com/open?id=0B4phjTjb-BwLaDVjWm51RGpha1RwQ2NfNWRDVzh1UUtydDl3","32080")</f>
        <v>32080</v>
      </c>
      <c r="B139" s="204" t="s">
        <v>25</v>
      </c>
      <c r="C139" s="165">
        <v>384.0</v>
      </c>
      <c r="D139" s="165" t="s">
        <v>12802</v>
      </c>
      <c r="E139" s="207" t="s">
        <v>8618</v>
      </c>
      <c r="F139" s="233">
        <v>43293.0</v>
      </c>
      <c r="G139" s="233">
        <v>43290.0</v>
      </c>
      <c r="H139" s="215" t="s">
        <v>1747</v>
      </c>
      <c r="I139" s="233">
        <v>43298.0</v>
      </c>
      <c r="J139" s="215" t="s">
        <v>2535</v>
      </c>
      <c r="K139" s="215" t="s">
        <v>2535</v>
      </c>
      <c r="L139" s="248" t="s">
        <v>12803</v>
      </c>
      <c r="M139" s="215" t="s">
        <v>497</v>
      </c>
      <c r="N139" s="215" t="s">
        <v>1077</v>
      </c>
      <c r="O139" s="232">
        <v>19615.38</v>
      </c>
      <c r="P139" s="214"/>
      <c r="Q139" s="214"/>
      <c r="R139" s="214"/>
      <c r="S139" s="214"/>
      <c r="T139" s="214"/>
      <c r="U139" s="214"/>
      <c r="V139" s="214"/>
      <c r="W139" s="214"/>
      <c r="X139" s="214"/>
      <c r="Y139" s="214"/>
      <c r="Z139" s="214"/>
      <c r="AA139" s="214"/>
    </row>
    <row r="140" ht="28.5" customHeight="1">
      <c r="A140" s="205" t="str">
        <f>HYPERLINK("https://drive.google.com/open?id=0B4phjTjb-BwLV1Q4UnA5RzRIcU1hNEdPVVU2QnAwZkZBZURV","32379")</f>
        <v>32379</v>
      </c>
      <c r="B140" s="204" t="s">
        <v>25</v>
      </c>
      <c r="C140" s="165">
        <v>930.0</v>
      </c>
      <c r="D140" s="165" t="s">
        <v>12804</v>
      </c>
      <c r="E140" s="207" t="s">
        <v>4160</v>
      </c>
      <c r="F140" s="233">
        <v>43291.0</v>
      </c>
      <c r="G140" s="233">
        <v>43307.0</v>
      </c>
      <c r="H140" s="215" t="s">
        <v>1747</v>
      </c>
      <c r="I140" s="233">
        <v>43297.0</v>
      </c>
      <c r="J140" s="215" t="s">
        <v>2535</v>
      </c>
      <c r="K140" s="215" t="s">
        <v>2535</v>
      </c>
      <c r="L140" s="248" t="s">
        <v>12805</v>
      </c>
      <c r="M140" s="215"/>
      <c r="N140" s="165"/>
      <c r="O140" s="232"/>
      <c r="P140" s="214"/>
      <c r="Q140" s="214"/>
      <c r="R140" s="214"/>
      <c r="S140" s="214"/>
      <c r="T140" s="214"/>
      <c r="U140" s="214"/>
      <c r="V140" s="214"/>
      <c r="W140" s="214"/>
      <c r="X140" s="214"/>
      <c r="Y140" s="214"/>
      <c r="Z140" s="214"/>
      <c r="AA140" s="214"/>
    </row>
    <row r="141" ht="28.5" customHeight="1">
      <c r="A141" s="205" t="str">
        <f>HYPERLINK("https://drive.google.com/open?id=0B4phjTjb-BwLMUlWS2E5Z1ZpTkR6dGZOWFVFeGMwLTZFWUhv","32316")</f>
        <v>32316</v>
      </c>
      <c r="B141" s="204" t="s">
        <v>25</v>
      </c>
      <c r="C141" s="165">
        <v>151.0</v>
      </c>
      <c r="D141" s="165" t="s">
        <v>2055</v>
      </c>
      <c r="E141" s="207" t="s">
        <v>12806</v>
      </c>
      <c r="F141" s="233">
        <v>43291.0</v>
      </c>
      <c r="G141" s="233">
        <v>43299.0</v>
      </c>
      <c r="H141" s="215" t="s">
        <v>1747</v>
      </c>
      <c r="I141" s="233">
        <v>43301.0</v>
      </c>
      <c r="J141" s="215" t="s">
        <v>2535</v>
      </c>
      <c r="K141" s="215" t="s">
        <v>2535</v>
      </c>
      <c r="L141" s="248" t="s">
        <v>12807</v>
      </c>
      <c r="M141" s="215"/>
      <c r="N141" s="165"/>
      <c r="O141" s="232"/>
      <c r="P141" s="214"/>
      <c r="Q141" s="214"/>
      <c r="R141" s="214"/>
      <c r="S141" s="214"/>
      <c r="T141" s="214"/>
      <c r="U141" s="214"/>
      <c r="V141" s="214"/>
      <c r="W141" s="214"/>
      <c r="X141" s="214"/>
      <c r="Y141" s="214"/>
      <c r="Z141" s="214"/>
      <c r="AA141" s="214"/>
    </row>
    <row r="142" ht="28.5" customHeight="1">
      <c r="A142" s="205" t="str">
        <f>HYPERLINK("https://drive.google.com/open?id=0B4phjTjb-BwLd1hLVExiSTJic3FsQm5OOGtiUHJNNF9xdk04","32216")</f>
        <v>32216</v>
      </c>
      <c r="B142" s="204" t="s">
        <v>25</v>
      </c>
      <c r="C142" s="165">
        <v>310.0</v>
      </c>
      <c r="D142" s="250" t="s">
        <v>12808</v>
      </c>
      <c r="E142" s="207" t="s">
        <v>12765</v>
      </c>
      <c r="F142" s="233">
        <v>43291.0</v>
      </c>
      <c r="G142" s="233">
        <v>43290.0</v>
      </c>
      <c r="H142" s="215" t="s">
        <v>1747</v>
      </c>
      <c r="I142" s="233">
        <v>43293.0</v>
      </c>
      <c r="J142" s="215" t="s">
        <v>2535</v>
      </c>
      <c r="K142" s="215" t="s">
        <v>2535</v>
      </c>
      <c r="L142" s="248" t="s">
        <v>12809</v>
      </c>
      <c r="M142" s="215"/>
      <c r="N142" s="165"/>
      <c r="O142" s="232"/>
      <c r="P142" s="214"/>
      <c r="Q142" s="214"/>
      <c r="R142" s="214"/>
      <c r="S142" s="214"/>
      <c r="T142" s="214"/>
      <c r="U142" s="214"/>
      <c r="V142" s="214"/>
      <c r="W142" s="214"/>
      <c r="X142" s="214"/>
      <c r="Y142" s="214"/>
      <c r="Z142" s="214"/>
      <c r="AA142" s="214"/>
    </row>
    <row r="143" ht="28.5" customHeight="1">
      <c r="A143" s="205" t="str">
        <f>HYPERLINK("https://drive.google.com/open?id=0B4phjTjb-BwLbUVReXUzWkVxclJUdUJvcUxrNk5nRDdUZkU4","31972")</f>
        <v>31972</v>
      </c>
      <c r="B143" s="204" t="s">
        <v>21</v>
      </c>
      <c r="C143" s="165">
        <v>2900.0</v>
      </c>
      <c r="D143" s="165" t="s">
        <v>12810</v>
      </c>
      <c r="E143" s="207" t="s">
        <v>12811</v>
      </c>
      <c r="F143" s="233">
        <v>43291.0</v>
      </c>
      <c r="G143" s="233">
        <v>43287.0</v>
      </c>
      <c r="H143" s="215" t="s">
        <v>1747</v>
      </c>
      <c r="I143" s="233">
        <v>43292.0</v>
      </c>
      <c r="J143" s="204" t="s">
        <v>2535</v>
      </c>
      <c r="K143" s="215" t="s">
        <v>3197</v>
      </c>
      <c r="L143" s="248" t="s">
        <v>12812</v>
      </c>
      <c r="M143" s="215" t="s">
        <v>497</v>
      </c>
      <c r="N143" s="165" t="s">
        <v>2554</v>
      </c>
      <c r="O143" s="232">
        <v>64742.5</v>
      </c>
      <c r="P143" s="214"/>
      <c r="Q143" s="214"/>
      <c r="R143" s="214"/>
      <c r="S143" s="214"/>
      <c r="T143" s="214"/>
      <c r="U143" s="214"/>
      <c r="V143" s="214"/>
      <c r="W143" s="214"/>
      <c r="X143" s="214"/>
      <c r="Y143" s="214"/>
      <c r="Z143" s="214"/>
      <c r="AA143" s="214"/>
    </row>
    <row r="144" ht="28.5" customHeight="1">
      <c r="A144" s="205" t="str">
        <f>HYPERLINK("https://drive.google.com/open?id=0B4phjTjb-BwLbHJpeXpxRS1BSG5iZVdxOTBwUS1hSFNsNG00","32202")</f>
        <v>32202</v>
      </c>
      <c r="B144" s="204" t="s">
        <v>21</v>
      </c>
      <c r="C144" s="165">
        <v>320.0</v>
      </c>
      <c r="D144" s="165" t="s">
        <v>2068</v>
      </c>
      <c r="E144" s="207" t="s">
        <v>12813</v>
      </c>
      <c r="F144" s="233">
        <v>43287.0</v>
      </c>
      <c r="G144" s="233">
        <v>43284.0</v>
      </c>
      <c r="H144" s="215" t="s">
        <v>1747</v>
      </c>
      <c r="I144" s="233">
        <v>43293.0</v>
      </c>
      <c r="J144" s="204" t="s">
        <v>12781</v>
      </c>
      <c r="K144" s="215" t="s">
        <v>2531</v>
      </c>
      <c r="L144" s="248" t="s">
        <v>12814</v>
      </c>
      <c r="M144" s="215"/>
      <c r="N144" s="165"/>
      <c r="O144" s="232"/>
      <c r="P144" s="214"/>
      <c r="Q144" s="214"/>
      <c r="R144" s="214"/>
      <c r="S144" s="214"/>
      <c r="T144" s="214"/>
      <c r="U144" s="214"/>
      <c r="V144" s="214"/>
      <c r="W144" s="214"/>
      <c r="X144" s="214"/>
      <c r="Y144" s="214"/>
      <c r="Z144" s="214"/>
      <c r="AA144" s="214"/>
    </row>
    <row r="145" ht="28.5" customHeight="1">
      <c r="A145" s="205" t="str">
        <f>HYPERLINK("https://drive.google.com/open?id=0B4phjTjb-BwLRktfZVd6M0xjNFJ1TWhMQTFtaTdicjdsdmpZ","32132")</f>
        <v>32132</v>
      </c>
      <c r="B145" s="204" t="s">
        <v>21</v>
      </c>
      <c r="C145" s="165">
        <v>3150.0</v>
      </c>
      <c r="D145" s="165" t="s">
        <v>2069</v>
      </c>
      <c r="E145" s="207" t="s">
        <v>12815</v>
      </c>
      <c r="F145" s="233">
        <v>43287.0</v>
      </c>
      <c r="G145" s="233">
        <v>43284.0</v>
      </c>
      <c r="H145" s="204" t="s">
        <v>1747</v>
      </c>
      <c r="I145" s="216">
        <v>43293.0</v>
      </c>
      <c r="J145" s="204" t="s">
        <v>12781</v>
      </c>
      <c r="K145" s="215" t="s">
        <v>2531</v>
      </c>
      <c r="L145" s="248" t="s">
        <v>12816</v>
      </c>
      <c r="M145" s="215"/>
      <c r="N145" s="165"/>
      <c r="O145" s="232"/>
      <c r="P145" s="214"/>
      <c r="Q145" s="214"/>
      <c r="R145" s="214"/>
      <c r="S145" s="214"/>
      <c r="T145" s="214"/>
      <c r="U145" s="214"/>
      <c r="V145" s="214"/>
      <c r="W145" s="214"/>
      <c r="X145" s="214"/>
      <c r="Y145" s="214"/>
      <c r="Z145" s="214"/>
      <c r="AA145" s="214"/>
    </row>
    <row r="146" ht="28.5" customHeight="1">
      <c r="A146" s="205" t="str">
        <f>HYPERLINK("https://drive.google.com/open?id=0B4phjTjb-BwLRTJiVDAyV1VBSVR5RGpETXFCWDhyUkFoTkVv","32267")</f>
        <v>32267</v>
      </c>
      <c r="B146" s="204" t="s">
        <v>25</v>
      </c>
      <c r="C146" s="165">
        <v>57.0</v>
      </c>
      <c r="D146" s="165" t="s">
        <v>12817</v>
      </c>
      <c r="E146" s="207" t="s">
        <v>12818</v>
      </c>
      <c r="F146" s="233">
        <v>43284.0</v>
      </c>
      <c r="G146" s="215" t="s">
        <v>28</v>
      </c>
      <c r="H146" s="215" t="s">
        <v>1747</v>
      </c>
      <c r="I146" s="233">
        <v>43292.0</v>
      </c>
      <c r="J146" s="215" t="s">
        <v>2535</v>
      </c>
      <c r="K146" s="215" t="s">
        <v>2535</v>
      </c>
      <c r="L146" s="248" t="s">
        <v>12819</v>
      </c>
      <c r="M146" s="215"/>
      <c r="N146" s="165"/>
      <c r="O146" s="232"/>
      <c r="P146" s="214"/>
      <c r="Q146" s="214"/>
      <c r="R146" s="214"/>
      <c r="S146" s="214"/>
      <c r="T146" s="214"/>
      <c r="U146" s="214"/>
      <c r="V146" s="214"/>
      <c r="W146" s="214"/>
      <c r="X146" s="214"/>
      <c r="Y146" s="214"/>
      <c r="Z146" s="214"/>
      <c r="AA146" s="214"/>
    </row>
    <row r="147" ht="28.5" customHeight="1">
      <c r="A147" s="648" t="str">
        <f>HYPERLINK("https://drive.google.com/open?id=0B4phjTjb-BwLeUotZ1A2dUMyVVRocWVmVXFVTnhZbURWbUhR","32079")</f>
        <v>32079</v>
      </c>
      <c r="B147" s="204" t="s">
        <v>14</v>
      </c>
      <c r="C147" s="165">
        <v>464.0</v>
      </c>
      <c r="D147" s="165" t="s">
        <v>12820</v>
      </c>
      <c r="E147" s="207" t="s">
        <v>12759</v>
      </c>
      <c r="F147" s="233">
        <v>43283.0</v>
      </c>
      <c r="G147" s="233">
        <v>43279.0</v>
      </c>
      <c r="H147" s="215" t="s">
        <v>1747</v>
      </c>
      <c r="I147" s="233" t="s">
        <v>12821</v>
      </c>
      <c r="J147" s="215" t="s">
        <v>2535</v>
      </c>
      <c r="K147" s="215" t="s">
        <v>2535</v>
      </c>
      <c r="L147" s="248" t="s">
        <v>12822</v>
      </c>
      <c r="M147" s="215" t="s">
        <v>497</v>
      </c>
      <c r="N147" s="215" t="s">
        <v>1077</v>
      </c>
      <c r="O147" s="232">
        <v>19737.92</v>
      </c>
      <c r="P147" s="214"/>
      <c r="Q147" s="214"/>
      <c r="R147" s="214"/>
      <c r="S147" s="214"/>
      <c r="T147" s="214"/>
      <c r="U147" s="214"/>
      <c r="V147" s="214"/>
      <c r="W147" s="214"/>
      <c r="X147" s="214"/>
      <c r="Y147" s="214"/>
      <c r="Z147" s="214"/>
      <c r="AA147" s="214"/>
    </row>
    <row r="148" ht="28.5" customHeight="1">
      <c r="A148" s="205" t="str">
        <f>HYPERLINK("https://drive.google.com/open?id=0B4phjTjb-BwLVVNKdkVfNmFORGxKYjNDZHF5Q28yRVRzZklN","32119")</f>
        <v>32119</v>
      </c>
      <c r="B148" s="204" t="s">
        <v>25</v>
      </c>
      <c r="C148" s="165">
        <v>900.0</v>
      </c>
      <c r="D148" s="165" t="s">
        <v>12823</v>
      </c>
      <c r="E148" s="207" t="s">
        <v>12824</v>
      </c>
      <c r="F148" s="233">
        <v>43280.0</v>
      </c>
      <c r="G148" s="233">
        <v>43279.0</v>
      </c>
      <c r="H148" s="215" t="s">
        <v>1747</v>
      </c>
      <c r="I148" s="233">
        <v>43291.0</v>
      </c>
      <c r="J148" s="215" t="s">
        <v>2535</v>
      </c>
      <c r="K148" s="215" t="s">
        <v>2535</v>
      </c>
      <c r="L148" s="248" t="s">
        <v>12825</v>
      </c>
      <c r="M148" s="215"/>
      <c r="N148" s="165"/>
      <c r="O148" s="232"/>
      <c r="P148" s="214"/>
      <c r="Q148" s="214"/>
      <c r="R148" s="214"/>
      <c r="S148" s="214"/>
      <c r="T148" s="214"/>
      <c r="U148" s="214"/>
      <c r="V148" s="214"/>
      <c r="W148" s="214"/>
      <c r="X148" s="214"/>
      <c r="Y148" s="214"/>
      <c r="Z148" s="214"/>
      <c r="AA148" s="214"/>
    </row>
    <row r="149" ht="28.5" customHeight="1">
      <c r="A149" s="205" t="str">
        <f>HYPERLINK("https://drive.google.com/open?id=0B4phjTjb-BwLQ2UtUzg4NXZXZ1p2NUlqeUhVcVlCLXREc2F3","32269")</f>
        <v>32269</v>
      </c>
      <c r="B149" s="204" t="s">
        <v>14</v>
      </c>
      <c r="C149" s="165">
        <v>200.0</v>
      </c>
      <c r="D149" s="165" t="s">
        <v>12826</v>
      </c>
      <c r="E149" s="207" t="s">
        <v>12827</v>
      </c>
      <c r="F149" s="233">
        <v>43280.0</v>
      </c>
      <c r="G149" s="233">
        <v>43279.0</v>
      </c>
      <c r="H149" s="215" t="s">
        <v>1747</v>
      </c>
      <c r="I149" s="233">
        <v>43286.0</v>
      </c>
      <c r="J149" s="215" t="s">
        <v>2535</v>
      </c>
      <c r="K149" s="215" t="s">
        <v>2535</v>
      </c>
      <c r="L149" s="248" t="s">
        <v>12828</v>
      </c>
      <c r="M149" s="215"/>
      <c r="N149" s="165"/>
      <c r="O149" s="232"/>
      <c r="P149" s="214"/>
      <c r="Q149" s="214"/>
      <c r="R149" s="214"/>
      <c r="S149" s="214"/>
      <c r="T149" s="214"/>
      <c r="U149" s="214"/>
      <c r="V149" s="214"/>
      <c r="W149" s="214"/>
      <c r="X149" s="214"/>
      <c r="Y149" s="214"/>
      <c r="Z149" s="214"/>
      <c r="AA149" s="214"/>
    </row>
    <row r="150" ht="28.5" customHeight="1">
      <c r="A150" s="205" t="str">
        <f>HYPERLINK("https://drive.google.com/file/d/0B4phjTjb-BwLUXk5ZXVMYzNkQnZEbUhCR2p6bzg5bTdhTTh3/view?usp=sharing","32205")</f>
        <v>32205</v>
      </c>
      <c r="B150" s="204" t="s">
        <v>14</v>
      </c>
      <c r="C150" s="165">
        <v>1160.0</v>
      </c>
      <c r="D150" s="165" t="s">
        <v>12829</v>
      </c>
      <c r="E150" s="207" t="s">
        <v>8440</v>
      </c>
      <c r="F150" s="233">
        <v>43279.0</v>
      </c>
      <c r="G150" s="233">
        <v>43276.0</v>
      </c>
      <c r="H150" s="215" t="s">
        <v>1747</v>
      </c>
      <c r="I150" s="233">
        <v>43284.0</v>
      </c>
      <c r="J150" s="215" t="s">
        <v>2535</v>
      </c>
      <c r="K150" s="215" t="s">
        <v>2535</v>
      </c>
      <c r="L150" s="248" t="s">
        <v>12830</v>
      </c>
      <c r="M150" s="215" t="s">
        <v>497</v>
      </c>
      <c r="N150" s="165" t="s">
        <v>3868</v>
      </c>
      <c r="O150" s="232">
        <v>15581.7</v>
      </c>
      <c r="P150" s="214"/>
      <c r="Q150" s="214"/>
      <c r="R150" s="214"/>
      <c r="S150" s="214"/>
      <c r="T150" s="214"/>
      <c r="U150" s="214"/>
      <c r="V150" s="214"/>
      <c r="W150" s="214"/>
      <c r="X150" s="214"/>
      <c r="Y150" s="214"/>
      <c r="Z150" s="214"/>
      <c r="AA150" s="214"/>
    </row>
    <row r="151" ht="28.5" customHeight="1">
      <c r="A151" s="205" t="str">
        <f>HYPERLINK("https://drive.google.com/open?id=0B4phjTjb-BwLSUdsV0gtcTJOaXh1WEtsSlVNYzA3VUVudUVJ","32292")</f>
        <v>32292</v>
      </c>
      <c r="B151" s="204" t="s">
        <v>21</v>
      </c>
      <c r="C151" s="165">
        <v>944.0</v>
      </c>
      <c r="D151" s="165" t="s">
        <v>2067</v>
      </c>
      <c r="E151" s="207" t="s">
        <v>12831</v>
      </c>
      <c r="F151" s="233">
        <v>43277.0</v>
      </c>
      <c r="G151" s="216">
        <v>43276.0</v>
      </c>
      <c r="H151" s="204" t="s">
        <v>1747</v>
      </c>
      <c r="I151" s="216">
        <v>43283.0</v>
      </c>
      <c r="J151" s="204" t="s">
        <v>12781</v>
      </c>
      <c r="K151" s="215" t="s">
        <v>3197</v>
      </c>
      <c r="L151" s="248" t="s">
        <v>12832</v>
      </c>
      <c r="M151" s="215"/>
      <c r="N151" s="165"/>
      <c r="O151" s="232"/>
      <c r="P151" s="214"/>
      <c r="Q151" s="214"/>
      <c r="R151" s="214"/>
      <c r="S151" s="214"/>
      <c r="T151" s="214"/>
      <c r="U151" s="214"/>
      <c r="V151" s="214"/>
      <c r="W151" s="214"/>
      <c r="X151" s="214"/>
      <c r="Y151" s="214"/>
      <c r="Z151" s="214"/>
      <c r="AA151" s="214"/>
    </row>
    <row r="152" ht="28.5" customHeight="1">
      <c r="A152" s="205" t="str">
        <f>HYPERLINK("https://drive.google.com/open?id=0B4phjTjb-BwLa0ZHQnFVSFYxelgwMjVNOFdjOGFBTWZweU5V","32225 / 32226")</f>
        <v>32225 / 32226</v>
      </c>
      <c r="B152" s="204" t="s">
        <v>21</v>
      </c>
      <c r="C152" s="165">
        <v>936.0</v>
      </c>
      <c r="D152" s="165" t="s">
        <v>12833</v>
      </c>
      <c r="E152" s="207" t="s">
        <v>12834</v>
      </c>
      <c r="F152" s="216">
        <v>43273.0</v>
      </c>
      <c r="G152" s="233">
        <v>43276.0</v>
      </c>
      <c r="H152" s="215" t="s">
        <v>1747</v>
      </c>
      <c r="I152" s="233">
        <v>43277.0</v>
      </c>
      <c r="J152" s="215" t="s">
        <v>2535</v>
      </c>
      <c r="K152" s="215" t="s">
        <v>2535</v>
      </c>
      <c r="L152" s="235" t="s">
        <v>12835</v>
      </c>
      <c r="M152" s="215"/>
      <c r="N152" s="165"/>
      <c r="O152" s="232"/>
      <c r="P152" s="214"/>
      <c r="Q152" s="214"/>
      <c r="R152" s="214"/>
      <c r="S152" s="214"/>
      <c r="T152" s="214"/>
      <c r="U152" s="214"/>
      <c r="V152" s="214"/>
      <c r="W152" s="214"/>
      <c r="X152" s="214"/>
      <c r="Y152" s="214"/>
      <c r="Z152" s="214"/>
      <c r="AA152" s="214"/>
    </row>
    <row r="153" ht="28.5" customHeight="1">
      <c r="A153" s="205" t="str">
        <f>HYPERLINK("https://drive.google.com/open?id=0B4phjTjb-BwLblU5VDhEOVZiNWZwUG5pUkM1d2Q3ZjNicU9Z","32034")</f>
        <v>32034</v>
      </c>
      <c r="B153" s="204" t="s">
        <v>14</v>
      </c>
      <c r="C153" s="165">
        <v>2040.0</v>
      </c>
      <c r="D153" s="165" t="s">
        <v>12836</v>
      </c>
      <c r="E153" s="207" t="s">
        <v>8688</v>
      </c>
      <c r="F153" s="233">
        <v>43272.0</v>
      </c>
      <c r="G153" s="233">
        <v>43269.0</v>
      </c>
      <c r="H153" s="215" t="s">
        <v>1747</v>
      </c>
      <c r="I153" s="233">
        <v>43277.0</v>
      </c>
      <c r="J153" s="215" t="s">
        <v>2535</v>
      </c>
      <c r="K153" s="215" t="s">
        <v>2535</v>
      </c>
      <c r="L153" s="248" t="s">
        <v>12837</v>
      </c>
      <c r="M153" s="215" t="s">
        <v>497</v>
      </c>
      <c r="N153" s="165" t="s">
        <v>2554</v>
      </c>
      <c r="O153" s="232">
        <v>30824.4</v>
      </c>
      <c r="P153" s="214"/>
      <c r="Q153" s="214"/>
      <c r="R153" s="214"/>
      <c r="S153" s="214"/>
      <c r="T153" s="214"/>
      <c r="U153" s="214"/>
      <c r="V153" s="214"/>
      <c r="W153" s="214"/>
      <c r="X153" s="214"/>
      <c r="Y153" s="214"/>
      <c r="Z153" s="214"/>
      <c r="AA153" s="214"/>
    </row>
    <row r="154" ht="28.5" customHeight="1">
      <c r="A154" s="205" t="str">
        <f>HYPERLINK("https://drive.google.com/open?id=0B4phjTjb-BwLdFFod21BT08yUk9nRnZJOVNnMlFwQTBabmFj","32270")</f>
        <v>32270</v>
      </c>
      <c r="B154" s="204" t="s">
        <v>14</v>
      </c>
      <c r="C154" s="165">
        <v>930.0</v>
      </c>
      <c r="D154" s="165" t="s">
        <v>12838</v>
      </c>
      <c r="E154" s="207" t="s">
        <v>4160</v>
      </c>
      <c r="F154" s="233">
        <v>43270.0</v>
      </c>
      <c r="G154" s="233">
        <v>43270.0</v>
      </c>
      <c r="H154" s="215" t="s">
        <v>1747</v>
      </c>
      <c r="I154" s="233">
        <v>43278.0</v>
      </c>
      <c r="J154" s="215" t="s">
        <v>2535</v>
      </c>
      <c r="K154" s="215" t="s">
        <v>2535</v>
      </c>
      <c r="L154" s="248" t="s">
        <v>12839</v>
      </c>
      <c r="M154" s="215"/>
      <c r="N154" s="165"/>
      <c r="O154" s="232"/>
      <c r="P154" s="214"/>
      <c r="Q154" s="214"/>
      <c r="R154" s="214"/>
      <c r="S154" s="214"/>
      <c r="T154" s="214"/>
      <c r="U154" s="214"/>
      <c r="V154" s="214"/>
      <c r="W154" s="214"/>
      <c r="X154" s="214"/>
      <c r="Y154" s="214"/>
      <c r="Z154" s="214"/>
      <c r="AA154" s="214"/>
    </row>
    <row r="155" ht="28.5" customHeight="1">
      <c r="A155" s="205" t="str">
        <f>HYPERLINK("https://drive.google.com/open?id=0B4phjTjb-BwLR0lGOE1FdWFOd0lSdXpPUDZUTXVHMFhJcjU0","32078")</f>
        <v>32078</v>
      </c>
      <c r="B155" s="204" t="s">
        <v>21</v>
      </c>
      <c r="C155" s="165">
        <v>432.0</v>
      </c>
      <c r="D155" s="165" t="s">
        <v>2062</v>
      </c>
      <c r="E155" s="207" t="s">
        <v>12840</v>
      </c>
      <c r="F155" s="233">
        <v>43266.0</v>
      </c>
      <c r="G155" s="233">
        <v>43263.0</v>
      </c>
      <c r="H155" s="215" t="s">
        <v>1747</v>
      </c>
      <c r="I155" s="233">
        <v>43272.0</v>
      </c>
      <c r="J155" s="204" t="s">
        <v>12841</v>
      </c>
      <c r="K155" s="215" t="s">
        <v>2531</v>
      </c>
      <c r="L155" s="248" t="s">
        <v>12842</v>
      </c>
      <c r="M155" s="215" t="s">
        <v>497</v>
      </c>
      <c r="N155" s="215" t="s">
        <v>1077</v>
      </c>
      <c r="O155" s="232">
        <v>19127.92</v>
      </c>
      <c r="P155" s="214"/>
      <c r="Q155" s="214"/>
      <c r="R155" s="214"/>
      <c r="S155" s="214"/>
      <c r="T155" s="214"/>
      <c r="U155" s="214"/>
      <c r="V155" s="214"/>
      <c r="W155" s="214"/>
      <c r="X155" s="214"/>
      <c r="Y155" s="214"/>
      <c r="Z155" s="214"/>
      <c r="AA155" s="214"/>
    </row>
    <row r="156" ht="28.5" customHeight="1">
      <c r="A156" s="205" t="str">
        <f>HYPERLINK("https://drive.google.com/file/d/0B4phjTjb-BwLbEMxNU5pSUpKQkpSOFpmMndBVkQ5RkFrTndr/view?usp=sharing","32033")</f>
        <v>32033</v>
      </c>
      <c r="B156" s="204" t="s">
        <v>14</v>
      </c>
      <c r="C156" s="165">
        <v>2040.0</v>
      </c>
      <c r="D156" s="250" t="s">
        <v>12843</v>
      </c>
      <c r="E156" s="207" t="s">
        <v>8688</v>
      </c>
      <c r="F156" s="233">
        <v>43266.0</v>
      </c>
      <c r="G156" s="233">
        <v>43262.0</v>
      </c>
      <c r="H156" s="215" t="s">
        <v>1747</v>
      </c>
      <c r="I156" s="233">
        <v>43272.0</v>
      </c>
      <c r="J156" s="215" t="s">
        <v>2535</v>
      </c>
      <c r="K156" s="215" t="s">
        <v>2535</v>
      </c>
      <c r="L156" s="248" t="s">
        <v>12844</v>
      </c>
      <c r="M156" s="215" t="s">
        <v>497</v>
      </c>
      <c r="N156" s="165" t="s">
        <v>2554</v>
      </c>
      <c r="O156" s="232">
        <v>30824.4</v>
      </c>
      <c r="P156" s="214"/>
      <c r="Q156" s="214"/>
      <c r="R156" s="214"/>
      <c r="S156" s="214"/>
      <c r="T156" s="214"/>
      <c r="U156" s="214"/>
      <c r="V156" s="214"/>
      <c r="W156" s="214"/>
      <c r="X156" s="214"/>
      <c r="Y156" s="214"/>
      <c r="Z156" s="214"/>
      <c r="AA156" s="214"/>
    </row>
    <row r="157" ht="28.5" customHeight="1">
      <c r="A157" s="205" t="str">
        <f>HYPERLINK("https://drive.google.com/open?id=0B4phjTjb-BwLRWcyRU13YmhMVmZOT1ZSZnAzYzRCeWpXeU1r","32256")</f>
        <v>32256</v>
      </c>
      <c r="B157" s="204" t="s">
        <v>14</v>
      </c>
      <c r="C157" s="165">
        <v>930.0</v>
      </c>
      <c r="D157" s="165" t="s">
        <v>12845</v>
      </c>
      <c r="E157" s="207" t="s">
        <v>12846</v>
      </c>
      <c r="F157" s="233">
        <v>43263.0</v>
      </c>
      <c r="G157" s="233">
        <v>43262.0</v>
      </c>
      <c r="H157" s="215" t="s">
        <v>1747</v>
      </c>
      <c r="I157" s="233">
        <v>43270.0</v>
      </c>
      <c r="J157" s="215" t="s">
        <v>2535</v>
      </c>
      <c r="K157" s="215" t="s">
        <v>2535</v>
      </c>
      <c r="L157" s="248" t="s">
        <v>12847</v>
      </c>
      <c r="M157" s="215"/>
      <c r="N157" s="165"/>
      <c r="O157" s="232"/>
      <c r="P157" s="214"/>
      <c r="Q157" s="214"/>
      <c r="R157" s="214"/>
      <c r="S157" s="214"/>
      <c r="T157" s="214"/>
      <c r="U157" s="214"/>
      <c r="V157" s="214"/>
      <c r="W157" s="214"/>
      <c r="X157" s="214"/>
      <c r="Y157" s="214"/>
      <c r="Z157" s="214"/>
      <c r="AA157" s="214"/>
    </row>
    <row r="158" ht="28.5" customHeight="1">
      <c r="A158" s="205" t="str">
        <f>HYPERLINK("https://drive.google.com/open?id=0B4phjTjb-BwLSW9OS2JoTGhINnZYTC1Mamd5T1BLcmdDbzdR","32281")</f>
        <v>32281</v>
      </c>
      <c r="B158" s="204" t="s">
        <v>21</v>
      </c>
      <c r="C158" s="165">
        <v>384.0</v>
      </c>
      <c r="D158" s="165" t="s">
        <v>12848</v>
      </c>
      <c r="E158" s="207" t="s">
        <v>3337</v>
      </c>
      <c r="F158" s="233">
        <v>43262.0</v>
      </c>
      <c r="G158" s="233">
        <v>43284.0</v>
      </c>
      <c r="H158" s="215" t="s">
        <v>1747</v>
      </c>
      <c r="I158" s="233">
        <v>43284.0</v>
      </c>
      <c r="J158" s="215" t="s">
        <v>2535</v>
      </c>
      <c r="K158" s="215" t="s">
        <v>2535</v>
      </c>
      <c r="L158" s="248" t="s">
        <v>12849</v>
      </c>
      <c r="M158" s="215"/>
      <c r="N158" s="165"/>
      <c r="O158" s="232"/>
      <c r="P158" s="214"/>
      <c r="Q158" s="214"/>
      <c r="R158" s="214"/>
      <c r="S158" s="214"/>
      <c r="T158" s="214"/>
      <c r="U158" s="214"/>
      <c r="V158" s="214"/>
      <c r="W158" s="214"/>
      <c r="X158" s="214"/>
      <c r="Y158" s="214"/>
      <c r="Z158" s="214"/>
      <c r="AA158" s="214"/>
    </row>
    <row r="159" ht="28.5" customHeight="1">
      <c r="A159" s="205" t="str">
        <f>HYPERLINK("https://drive.google.com/open?id=0B4phjTjb-BwLTFh3WDhyLUk5RWpnaV93YkhxUlFFTGo0c2U0","32140")</f>
        <v>32140</v>
      </c>
      <c r="B159" s="204" t="s">
        <v>21</v>
      </c>
      <c r="C159" s="165">
        <v>2900.0</v>
      </c>
      <c r="D159" s="165" t="s">
        <v>12850</v>
      </c>
      <c r="E159" s="207" t="s">
        <v>12851</v>
      </c>
      <c r="F159" s="233">
        <v>43260.0</v>
      </c>
      <c r="G159" s="216">
        <v>43263.0</v>
      </c>
      <c r="H159" s="204" t="s">
        <v>1747</v>
      </c>
      <c r="I159" s="216">
        <v>43262.0</v>
      </c>
      <c r="J159" s="204" t="s">
        <v>12841</v>
      </c>
      <c r="K159" s="215" t="s">
        <v>3197</v>
      </c>
      <c r="L159" s="248" t="s">
        <v>12852</v>
      </c>
      <c r="M159" s="215" t="s">
        <v>497</v>
      </c>
      <c r="N159" s="165" t="s">
        <v>2554</v>
      </c>
      <c r="O159" s="232">
        <v>78520.0</v>
      </c>
      <c r="P159" s="214"/>
      <c r="Q159" s="214"/>
      <c r="R159" s="214"/>
      <c r="S159" s="214"/>
      <c r="T159" s="214"/>
      <c r="U159" s="214"/>
      <c r="V159" s="214"/>
      <c r="W159" s="214"/>
      <c r="X159" s="214"/>
      <c r="Y159" s="214"/>
      <c r="Z159" s="214"/>
      <c r="AA159" s="214"/>
    </row>
    <row r="160" ht="28.5" customHeight="1">
      <c r="A160" s="205" t="str">
        <f>HYPERLINK("https://drive.google.com/open?id=0B4phjTjb-BwLSGttbXBiNkl3YkwyYUtYbWJQR0RsWDgwMzBr","32243")</f>
        <v>32243</v>
      </c>
      <c r="B160" s="204" t="s">
        <v>14</v>
      </c>
      <c r="C160" s="165">
        <v>930.0</v>
      </c>
      <c r="D160" s="165" t="s">
        <v>12853</v>
      </c>
      <c r="E160" s="207" t="s">
        <v>4160</v>
      </c>
      <c r="F160" s="233">
        <v>43260.0</v>
      </c>
      <c r="G160" s="216">
        <v>43257.0</v>
      </c>
      <c r="H160" s="636" t="s">
        <v>1747</v>
      </c>
      <c r="I160" s="216">
        <v>43265.0</v>
      </c>
      <c r="J160" s="215" t="s">
        <v>2535</v>
      </c>
      <c r="K160" s="215" t="s">
        <v>2535</v>
      </c>
      <c r="L160" s="248" t="s">
        <v>12854</v>
      </c>
      <c r="M160" s="215"/>
      <c r="N160" s="165"/>
      <c r="O160" s="232"/>
      <c r="P160" s="214"/>
      <c r="Q160" s="214"/>
      <c r="R160" s="214"/>
      <c r="S160" s="214"/>
      <c r="T160" s="214"/>
      <c r="U160" s="214"/>
      <c r="V160" s="214"/>
      <c r="W160" s="214"/>
      <c r="X160" s="214"/>
      <c r="Y160" s="214"/>
      <c r="Z160" s="214"/>
      <c r="AA160" s="214"/>
    </row>
    <row r="161" ht="28.5" customHeight="1">
      <c r="A161" s="205" t="str">
        <f>HYPERLINK("https://drive.google.com/open?id=0B4phjTjb-BwLZTBETWxSZThqb1lkSXB2bnVzQnhSeVRoc2Fv","32032")</f>
        <v>32032</v>
      </c>
      <c r="B161" s="204" t="s">
        <v>21</v>
      </c>
      <c r="C161" s="165">
        <v>2040.0</v>
      </c>
      <c r="D161" s="165" t="s">
        <v>2060</v>
      </c>
      <c r="E161" s="207" t="s">
        <v>8688</v>
      </c>
      <c r="F161" s="233">
        <v>43259.0</v>
      </c>
      <c r="G161" s="233">
        <v>43256.0</v>
      </c>
      <c r="H161" s="215" t="s">
        <v>1747</v>
      </c>
      <c r="I161" s="233">
        <v>43265.0</v>
      </c>
      <c r="J161" s="204" t="s">
        <v>12841</v>
      </c>
      <c r="K161" s="215" t="s">
        <v>3197</v>
      </c>
      <c r="L161" s="248" t="s">
        <v>12855</v>
      </c>
      <c r="M161" s="215"/>
      <c r="N161" s="165"/>
      <c r="O161" s="232"/>
      <c r="P161" s="214"/>
      <c r="Q161" s="214"/>
      <c r="R161" s="214"/>
      <c r="S161" s="214"/>
      <c r="T161" s="214"/>
      <c r="U161" s="214"/>
      <c r="V161" s="214"/>
      <c r="W161" s="214"/>
      <c r="X161" s="214"/>
      <c r="Y161" s="214"/>
      <c r="Z161" s="214"/>
      <c r="AA161" s="214"/>
    </row>
    <row r="162" ht="28.5" customHeight="1">
      <c r="A162" s="245" t="str">
        <f>HYPERLINK("https://drive.google.com/open?id=0B4phjTjb-BwLUjVoVEQtSUdEeUd1Um1xRkFkd2tzZ1Vpcmk0","32244")</f>
        <v>32244</v>
      </c>
      <c r="B162" s="165" t="s">
        <v>14</v>
      </c>
      <c r="C162" s="165">
        <v>1074.0</v>
      </c>
      <c r="D162" s="165" t="s">
        <v>12856</v>
      </c>
      <c r="E162" s="214" t="s">
        <v>12857</v>
      </c>
      <c r="F162" s="209">
        <v>43257.0</v>
      </c>
      <c r="G162" s="209">
        <v>43255.0</v>
      </c>
      <c r="H162" s="649" t="s">
        <v>1747</v>
      </c>
      <c r="I162" s="209">
        <v>43264.0</v>
      </c>
      <c r="J162" s="165" t="s">
        <v>2535</v>
      </c>
      <c r="K162" s="191" t="s">
        <v>2535</v>
      </c>
      <c r="L162" s="242" t="s">
        <v>12858</v>
      </c>
      <c r="M162" s="215"/>
      <c r="N162" s="165"/>
      <c r="O162" s="232"/>
      <c r="P162" s="214"/>
      <c r="Q162" s="214"/>
      <c r="R162" s="214"/>
      <c r="S162" s="214"/>
      <c r="T162" s="214"/>
      <c r="U162" s="214"/>
      <c r="V162" s="214"/>
      <c r="W162" s="214"/>
      <c r="X162" s="214"/>
      <c r="Y162" s="214"/>
      <c r="Z162" s="214"/>
      <c r="AA162" s="214"/>
    </row>
    <row r="163" ht="28.5" customHeight="1">
      <c r="A163" s="205" t="str">
        <f>HYPERLINK("https://drive.google.com/open?id=0B4phjTjb-BwLVnZQM2VLcF9iWG5vUHl1N1NxMFRYZFJBOXRj","32245")</f>
        <v>32245</v>
      </c>
      <c r="B163" s="204" t="s">
        <v>21</v>
      </c>
      <c r="C163" s="165">
        <v>227.0</v>
      </c>
      <c r="D163" s="165" t="s">
        <v>12859</v>
      </c>
      <c r="E163" s="207" t="s">
        <v>12860</v>
      </c>
      <c r="F163" s="233">
        <v>43254.0</v>
      </c>
      <c r="G163" s="216">
        <v>43256.0</v>
      </c>
      <c r="H163" s="204" t="s">
        <v>1747</v>
      </c>
      <c r="I163" s="216">
        <v>43265.0</v>
      </c>
      <c r="J163" s="204" t="s">
        <v>12841</v>
      </c>
      <c r="K163" s="215" t="s">
        <v>3197</v>
      </c>
      <c r="L163" s="248" t="s">
        <v>12861</v>
      </c>
      <c r="M163" s="215"/>
      <c r="N163" s="165"/>
      <c r="O163" s="232"/>
      <c r="P163" s="214"/>
      <c r="Q163" s="214"/>
      <c r="R163" s="214"/>
      <c r="S163" s="214"/>
      <c r="T163" s="214"/>
      <c r="U163" s="214"/>
      <c r="V163" s="214"/>
      <c r="W163" s="214"/>
      <c r="X163" s="214"/>
      <c r="Y163" s="214"/>
      <c r="Z163" s="214"/>
      <c r="AA163" s="214"/>
    </row>
    <row r="164" ht="28.5" customHeight="1">
      <c r="A164" s="648" t="str">
        <f>HYPERLINK("https://drive.google.com/open?id=0B4phjTjb-BwLVVRIS1hJbGY2QVZ3MjZrTlB5ZlFKYjRNZDFn","32066")</f>
        <v>32066</v>
      </c>
      <c r="B164" s="204" t="s">
        <v>21</v>
      </c>
      <c r="C164" s="165">
        <v>900.0</v>
      </c>
      <c r="D164" s="165" t="s">
        <v>2059</v>
      </c>
      <c r="E164" s="207" t="s">
        <v>12862</v>
      </c>
      <c r="F164" s="233">
        <v>43254.0</v>
      </c>
      <c r="G164" s="216">
        <v>43252.0</v>
      </c>
      <c r="H164" s="204" t="s">
        <v>1747</v>
      </c>
      <c r="I164" s="216">
        <v>43262.0</v>
      </c>
      <c r="J164" s="204" t="s">
        <v>12841</v>
      </c>
      <c r="K164" s="215" t="s">
        <v>2531</v>
      </c>
      <c r="L164" s="248" t="s">
        <v>12863</v>
      </c>
      <c r="M164" s="215"/>
      <c r="N164" s="165"/>
      <c r="O164" s="232"/>
      <c r="P164" s="214"/>
      <c r="Q164" s="214"/>
      <c r="R164" s="214"/>
      <c r="S164" s="214"/>
      <c r="T164" s="214"/>
      <c r="U164" s="214"/>
      <c r="V164" s="214"/>
      <c r="W164" s="214"/>
      <c r="X164" s="214"/>
      <c r="Y164" s="214"/>
      <c r="Z164" s="214"/>
      <c r="AA164" s="214"/>
    </row>
    <row r="165" ht="28.5" customHeight="1">
      <c r="A165" s="245" t="str">
        <f>HYPERLINK("https://drive.google.com/open?id=0B4phjTjb-BwLY3lUalNPQjItR2p4UDFCZWhRRU9MNmNDUXJr","32229")</f>
        <v>32229</v>
      </c>
      <c r="B165" s="165" t="s">
        <v>14</v>
      </c>
      <c r="C165" s="165">
        <v>1100.0</v>
      </c>
      <c r="D165" s="165" t="s">
        <v>12864</v>
      </c>
      <c r="E165" s="214" t="s">
        <v>12865</v>
      </c>
      <c r="F165" s="209">
        <v>43249.0</v>
      </c>
      <c r="G165" s="209">
        <v>43245.0</v>
      </c>
      <c r="H165" s="165" t="s">
        <v>1747</v>
      </c>
      <c r="I165" s="209">
        <v>43257.0</v>
      </c>
      <c r="J165" s="165" t="s">
        <v>2535</v>
      </c>
      <c r="K165" s="191" t="s">
        <v>2535</v>
      </c>
      <c r="L165" s="242" t="s">
        <v>12866</v>
      </c>
      <c r="M165" s="215"/>
      <c r="N165" s="165"/>
      <c r="O165" s="232"/>
      <c r="P165" s="214"/>
      <c r="Q165" s="214"/>
      <c r="R165" s="214"/>
      <c r="S165" s="214"/>
      <c r="T165" s="214"/>
      <c r="U165" s="214"/>
      <c r="V165" s="214"/>
      <c r="W165" s="214"/>
      <c r="X165" s="214"/>
      <c r="Y165" s="214"/>
      <c r="Z165" s="214"/>
      <c r="AA165" s="214"/>
    </row>
    <row r="166" ht="28.5" customHeight="1">
      <c r="A166" s="245" t="str">
        <f>HYPERLINK("https://drive.google.com/file/d/0B4phjTjb-BwLWXNMbUJlSmV4NldBTFEyY1N2YTFuRF9NS1Fn/view?usp=sharing","32023")</f>
        <v>32023</v>
      </c>
      <c r="B166" s="165" t="s">
        <v>21</v>
      </c>
      <c r="C166" s="165">
        <v>320.0</v>
      </c>
      <c r="D166" s="165" t="s">
        <v>2055</v>
      </c>
      <c r="E166" s="214" t="s">
        <v>12867</v>
      </c>
      <c r="F166" s="209">
        <v>43245.0</v>
      </c>
      <c r="G166" s="209">
        <v>43242.0</v>
      </c>
      <c r="H166" s="165" t="s">
        <v>1747</v>
      </c>
      <c r="I166" s="209">
        <v>43251.0</v>
      </c>
      <c r="J166" s="165" t="s">
        <v>12868</v>
      </c>
      <c r="K166" s="191" t="s">
        <v>2531</v>
      </c>
      <c r="L166" s="242" t="s">
        <v>12869</v>
      </c>
      <c r="M166" s="215"/>
      <c r="N166" s="165"/>
      <c r="O166" s="232"/>
      <c r="P166" s="214"/>
      <c r="Q166" s="214"/>
      <c r="R166" s="214"/>
      <c r="S166" s="214"/>
      <c r="T166" s="214"/>
      <c r="U166" s="214"/>
      <c r="V166" s="214"/>
      <c r="W166" s="214"/>
      <c r="X166" s="214"/>
      <c r="Y166" s="214"/>
      <c r="Z166" s="214"/>
      <c r="AA166" s="214"/>
    </row>
    <row r="167" ht="28.5" customHeight="1">
      <c r="A167" s="245" t="str">
        <f>HYPERLINK("https://drive.google.com/open?id=0B4phjTjb-BwLTlAxUVJsVVN6QzRWLW9yMm5uMkV6M2dBWmFZ","32031")</f>
        <v>32031</v>
      </c>
      <c r="B167" s="165" t="s">
        <v>14</v>
      </c>
      <c r="C167" s="165">
        <v>2040.0</v>
      </c>
      <c r="D167" s="165" t="s">
        <v>12870</v>
      </c>
      <c r="E167" s="214" t="s">
        <v>8688</v>
      </c>
      <c r="F167" s="209">
        <v>43244.0</v>
      </c>
      <c r="G167" s="209">
        <v>43241.0</v>
      </c>
      <c r="H167" s="165" t="s">
        <v>1747</v>
      </c>
      <c r="I167" s="209">
        <v>43252.0</v>
      </c>
      <c r="J167" s="165" t="s">
        <v>2535</v>
      </c>
      <c r="K167" s="191" t="s">
        <v>2535</v>
      </c>
      <c r="L167" s="242" t="s">
        <v>12871</v>
      </c>
      <c r="M167" s="215" t="s">
        <v>497</v>
      </c>
      <c r="N167" s="165" t="s">
        <v>2554</v>
      </c>
      <c r="O167" s="232">
        <v>30824.4</v>
      </c>
      <c r="P167" s="214"/>
      <c r="Q167" s="214"/>
      <c r="R167" s="214"/>
      <c r="S167" s="214"/>
      <c r="T167" s="214"/>
      <c r="U167" s="214"/>
      <c r="V167" s="214"/>
      <c r="W167" s="214"/>
      <c r="X167" s="214"/>
      <c r="Y167" s="214"/>
      <c r="Z167" s="214"/>
      <c r="AA167" s="214"/>
    </row>
    <row r="168" ht="28.5" customHeight="1">
      <c r="A168" s="245" t="str">
        <f>HYPERLINK("https://drive.google.com/open?id=0B4phjTjb-BwLaUdVZk1TTTBsV0FBZDZfa2lsMm40cjVVc3p3","32017")</f>
        <v>32017</v>
      </c>
      <c r="B168" s="165" t="s">
        <v>21</v>
      </c>
      <c r="C168" s="165">
        <v>2040.0</v>
      </c>
      <c r="D168" s="165" t="s">
        <v>2053</v>
      </c>
      <c r="E168" s="214" t="s">
        <v>8688</v>
      </c>
      <c r="F168" s="209">
        <v>43243.0</v>
      </c>
      <c r="G168" s="209">
        <v>43241.0</v>
      </c>
      <c r="H168" s="165" t="s">
        <v>1747</v>
      </c>
      <c r="I168" s="209" t="s">
        <v>12872</v>
      </c>
      <c r="J168" s="165" t="s">
        <v>12868</v>
      </c>
      <c r="K168" s="191" t="s">
        <v>3197</v>
      </c>
      <c r="L168" s="242" t="s">
        <v>12873</v>
      </c>
      <c r="M168" s="215" t="s">
        <v>497</v>
      </c>
      <c r="N168" s="165" t="s">
        <v>2554</v>
      </c>
      <c r="O168" s="232">
        <v>30824.4</v>
      </c>
      <c r="P168" s="214"/>
      <c r="Q168" s="214"/>
      <c r="R168" s="214"/>
      <c r="S168" s="214"/>
      <c r="T168" s="214"/>
      <c r="U168" s="214"/>
      <c r="V168" s="214"/>
      <c r="W168" s="214"/>
      <c r="X168" s="214"/>
      <c r="Y168" s="214"/>
      <c r="Z168" s="214"/>
      <c r="AA168" s="214"/>
    </row>
    <row r="169" ht="28.5" customHeight="1">
      <c r="A169" s="245" t="str">
        <f>HYPERLINK("https://drive.google.com/open?id=0B4phjTjb-BwLVGFWODMxYnh4MGJYVFpQblBOOHRfbzlvT2VB","32190")</f>
        <v>32190</v>
      </c>
      <c r="B169" s="165" t="s">
        <v>14</v>
      </c>
      <c r="C169" s="165">
        <v>208.0</v>
      </c>
      <c r="D169" s="165" t="s">
        <v>12874</v>
      </c>
      <c r="E169" s="214" t="s">
        <v>12875</v>
      </c>
      <c r="F169" s="209">
        <v>43242.0</v>
      </c>
      <c r="G169" s="209" t="s">
        <v>4099</v>
      </c>
      <c r="H169" s="165" t="s">
        <v>1747</v>
      </c>
      <c r="I169" s="209">
        <v>43255.0</v>
      </c>
      <c r="J169" s="165" t="s">
        <v>2535</v>
      </c>
      <c r="K169" s="191" t="s">
        <v>2535</v>
      </c>
      <c r="L169" s="242" t="s">
        <v>12876</v>
      </c>
      <c r="M169" s="215"/>
      <c r="N169" s="165"/>
      <c r="O169" s="232"/>
      <c r="P169" s="214"/>
      <c r="Q169" s="214"/>
      <c r="R169" s="214"/>
      <c r="S169" s="214"/>
      <c r="T169" s="214"/>
      <c r="U169" s="214"/>
      <c r="V169" s="214"/>
      <c r="W169" s="214"/>
      <c r="X169" s="214"/>
      <c r="Y169" s="214"/>
      <c r="Z169" s="214"/>
      <c r="AA169" s="214"/>
    </row>
    <row r="170" ht="28.5" customHeight="1">
      <c r="A170" s="245" t="str">
        <f>HYPERLINK("https://drive.google.com/file/d/0B4phjTjb-BwLRklMa2Ftc2pXc0o1elVudGtyTFRsX3lxTlFF/view?usp=sharing","32228")</f>
        <v>32228</v>
      </c>
      <c r="B170" s="165" t="s">
        <v>14</v>
      </c>
      <c r="C170" s="165">
        <v>930.0</v>
      </c>
      <c r="D170" s="165" t="s">
        <v>12877</v>
      </c>
      <c r="E170" s="214" t="s">
        <v>12878</v>
      </c>
      <c r="F170" s="209">
        <v>43242.0</v>
      </c>
      <c r="G170" s="209">
        <v>43243.0</v>
      </c>
      <c r="H170" s="649" t="s">
        <v>1747</v>
      </c>
      <c r="I170" s="209" t="s">
        <v>12879</v>
      </c>
      <c r="J170" s="165" t="s">
        <v>2535</v>
      </c>
      <c r="K170" s="191" t="s">
        <v>2535</v>
      </c>
      <c r="L170" s="242" t="s">
        <v>12880</v>
      </c>
      <c r="M170" s="215"/>
      <c r="N170" s="165"/>
      <c r="O170" s="232"/>
      <c r="P170" s="214"/>
      <c r="Q170" s="214"/>
      <c r="R170" s="214"/>
      <c r="S170" s="214"/>
      <c r="T170" s="214"/>
      <c r="U170" s="214"/>
      <c r="V170" s="214"/>
      <c r="W170" s="214"/>
      <c r="X170" s="214"/>
      <c r="Y170" s="214"/>
      <c r="Z170" s="214"/>
      <c r="AA170" s="214"/>
    </row>
    <row r="171" ht="28.5" customHeight="1">
      <c r="A171" s="245" t="str">
        <f>HYPERLINK("https://drive.google.com/file/d/0B4phjTjb-BwLMzhlT1ZlelpHSlNWS0RvNFFsMFZXX19XUWRB/view?usp=sharing","32019")</f>
        <v>32019</v>
      </c>
      <c r="B171" s="165" t="s">
        <v>25</v>
      </c>
      <c r="C171" s="165">
        <v>2040.0</v>
      </c>
      <c r="D171" s="165" t="s">
        <v>12881</v>
      </c>
      <c r="E171" s="214" t="s">
        <v>8688</v>
      </c>
      <c r="F171" s="209">
        <v>43242.0</v>
      </c>
      <c r="G171" s="209">
        <v>43238.0</v>
      </c>
      <c r="H171" s="165" t="s">
        <v>1747</v>
      </c>
      <c r="I171" s="209">
        <v>43250.0</v>
      </c>
      <c r="J171" s="165" t="s">
        <v>2535</v>
      </c>
      <c r="K171" s="191" t="s">
        <v>2535</v>
      </c>
      <c r="L171" s="242" t="s">
        <v>12882</v>
      </c>
      <c r="M171" s="215" t="s">
        <v>497</v>
      </c>
      <c r="N171" s="165" t="s">
        <v>2554</v>
      </c>
      <c r="O171" s="232">
        <v>30824.4</v>
      </c>
      <c r="P171" s="214"/>
      <c r="Q171" s="214"/>
      <c r="R171" s="214"/>
      <c r="S171" s="214"/>
      <c r="T171" s="214"/>
      <c r="U171" s="214"/>
      <c r="V171" s="214"/>
      <c r="W171" s="214"/>
      <c r="X171" s="214"/>
      <c r="Y171" s="214"/>
      <c r="Z171" s="214"/>
      <c r="AA171" s="214"/>
    </row>
    <row r="172" ht="28.5" customHeight="1">
      <c r="A172" s="245" t="str">
        <f>HYPERLINK("https://drive.google.com/open?id=0B4phjTjb-BwLZGxZZllSZmZuR29LZGtnamYwSzUwTDBKandJ","32067")</f>
        <v>32067</v>
      </c>
      <c r="B172" s="165" t="s">
        <v>14</v>
      </c>
      <c r="C172" s="165">
        <v>772.0</v>
      </c>
      <c r="D172" s="165" t="s">
        <v>12883</v>
      </c>
      <c r="E172" s="214" t="s">
        <v>12862</v>
      </c>
      <c r="F172" s="209">
        <v>43241.0</v>
      </c>
      <c r="G172" s="209">
        <v>43241.0</v>
      </c>
      <c r="H172" s="165" t="s">
        <v>1747</v>
      </c>
      <c r="I172" s="209">
        <v>43252.0</v>
      </c>
      <c r="J172" s="165" t="s">
        <v>2535</v>
      </c>
      <c r="K172" s="191" t="s">
        <v>2535</v>
      </c>
      <c r="L172" s="242" t="s">
        <v>12884</v>
      </c>
      <c r="M172" s="215"/>
      <c r="N172" s="165"/>
      <c r="O172" s="232"/>
      <c r="P172" s="214"/>
      <c r="Q172" s="214"/>
      <c r="R172" s="214"/>
      <c r="S172" s="214"/>
      <c r="T172" s="214"/>
      <c r="U172" s="214"/>
      <c r="V172" s="214"/>
      <c r="W172" s="214"/>
      <c r="X172" s="214"/>
      <c r="Y172" s="214"/>
      <c r="Z172" s="214"/>
      <c r="AA172" s="214"/>
    </row>
    <row r="173" ht="28.5" customHeight="1">
      <c r="A173" s="245" t="str">
        <f>HYPERLINK("https://drive.google.com/file/d/0B4phjTjb-BwLckZRLVloZzc5WkN5M0htYXg3VmNhWUJlZE44/view?usp=sharing","32209")</f>
        <v>32209</v>
      </c>
      <c r="B173" s="165" t="s">
        <v>21</v>
      </c>
      <c r="C173" s="165">
        <v>1120.0</v>
      </c>
      <c r="D173" s="165" t="s">
        <v>2054</v>
      </c>
      <c r="E173" s="214" t="s">
        <v>12885</v>
      </c>
      <c r="F173" s="209">
        <v>43239.0</v>
      </c>
      <c r="G173" s="209">
        <v>43235.0</v>
      </c>
      <c r="H173" s="165" t="s">
        <v>1747</v>
      </c>
      <c r="I173" s="209">
        <v>43250.0</v>
      </c>
      <c r="J173" s="165" t="s">
        <v>12868</v>
      </c>
      <c r="K173" s="191" t="s">
        <v>3197</v>
      </c>
      <c r="L173" s="242" t="s">
        <v>12886</v>
      </c>
      <c r="M173" s="215"/>
      <c r="N173" s="165"/>
      <c r="O173" s="232"/>
      <c r="P173" s="214"/>
      <c r="Q173" s="214"/>
      <c r="R173" s="214"/>
      <c r="S173" s="214"/>
      <c r="T173" s="214"/>
      <c r="U173" s="214"/>
      <c r="V173" s="214"/>
      <c r="W173" s="214"/>
      <c r="X173" s="214"/>
      <c r="Y173" s="214"/>
      <c r="Z173" s="214"/>
      <c r="AA173" s="214"/>
    </row>
    <row r="174" ht="28.5" customHeight="1">
      <c r="A174" s="245" t="str">
        <f>HYPERLINK("https://drive.google.com/file/d/0B4phjTjb-BwLWDlvV3cwNW84eTJobEw0Tm85U19Od2UtbTJ3/view?usp=sharing","32018")</f>
        <v>32018</v>
      </c>
      <c r="B174" s="165" t="s">
        <v>14</v>
      </c>
      <c r="C174" s="165">
        <v>2040.0</v>
      </c>
      <c r="D174" s="165" t="s">
        <v>12887</v>
      </c>
      <c r="E174" s="214" t="s">
        <v>8688</v>
      </c>
      <c r="F174" s="209">
        <v>43236.0</v>
      </c>
      <c r="G174" s="209">
        <v>43234.0</v>
      </c>
      <c r="H174" s="165" t="s">
        <v>1747</v>
      </c>
      <c r="I174" s="209">
        <v>43244.0</v>
      </c>
      <c r="J174" s="165" t="s">
        <v>2535</v>
      </c>
      <c r="K174" s="191" t="s">
        <v>2535</v>
      </c>
      <c r="L174" s="242" t="s">
        <v>12888</v>
      </c>
      <c r="M174" s="215" t="s">
        <v>497</v>
      </c>
      <c r="N174" s="165" t="s">
        <v>2554</v>
      </c>
      <c r="O174" s="232">
        <v>30824.4</v>
      </c>
      <c r="P174" s="214"/>
      <c r="Q174" s="214"/>
      <c r="R174" s="214"/>
      <c r="S174" s="214"/>
      <c r="T174" s="214"/>
      <c r="U174" s="214"/>
      <c r="V174" s="214"/>
      <c r="W174" s="214"/>
      <c r="X174" s="214"/>
      <c r="Y174" s="214"/>
      <c r="Z174" s="214"/>
      <c r="AA174" s="214"/>
    </row>
    <row r="175" ht="28.5" customHeight="1">
      <c r="A175" s="245" t="str">
        <f>HYPERLINK("https://drive.google.com/file/d/0B4phjTjb-BwLdThEWjZvdlE5WU5zSEJYVkU5dngxR1NoSGxN/view?usp=sharing","32016")</f>
        <v>32016</v>
      </c>
      <c r="B175" s="165" t="s">
        <v>14</v>
      </c>
      <c r="C175" s="165">
        <v>2040.0</v>
      </c>
      <c r="D175" s="165" t="s">
        <v>12889</v>
      </c>
      <c r="E175" s="214" t="s">
        <v>8688</v>
      </c>
      <c r="F175" s="209">
        <v>43236.0</v>
      </c>
      <c r="G175" s="209">
        <v>43234.0</v>
      </c>
      <c r="H175" s="165" t="s">
        <v>1747</v>
      </c>
      <c r="I175" s="209">
        <v>43243.0</v>
      </c>
      <c r="J175" s="165" t="s">
        <v>2535</v>
      </c>
      <c r="K175" s="191" t="s">
        <v>2535</v>
      </c>
      <c r="L175" s="242" t="s">
        <v>12890</v>
      </c>
      <c r="M175" s="215" t="s">
        <v>497</v>
      </c>
      <c r="N175" s="165" t="s">
        <v>2554</v>
      </c>
      <c r="O175" s="232">
        <v>30754.8</v>
      </c>
      <c r="P175" s="214"/>
      <c r="Q175" s="214"/>
      <c r="R175" s="214"/>
      <c r="S175" s="214"/>
      <c r="T175" s="214"/>
      <c r="U175" s="214"/>
      <c r="V175" s="214"/>
      <c r="W175" s="214"/>
      <c r="X175" s="214"/>
      <c r="Y175" s="214"/>
      <c r="Z175" s="214"/>
      <c r="AA175" s="214"/>
    </row>
    <row r="176" ht="28.5" customHeight="1">
      <c r="A176" s="245" t="str">
        <f>HYPERLINK("https://drive.google.com/file/d/0B4phjTjb-BwLR3BrY2tGSlBRQnQtRmFWUFdhSnlyZXVyY0VZ/view?usp=sharing","32192")</f>
        <v>32192</v>
      </c>
      <c r="B176" s="165" t="s">
        <v>21</v>
      </c>
      <c r="C176" s="165">
        <v>650.0</v>
      </c>
      <c r="D176" s="165" t="s">
        <v>2052</v>
      </c>
      <c r="E176" s="214" t="s">
        <v>12742</v>
      </c>
      <c r="F176" s="209">
        <v>43232.0</v>
      </c>
      <c r="G176" s="209">
        <v>43229.0</v>
      </c>
      <c r="H176" s="165" t="s">
        <v>1747</v>
      </c>
      <c r="I176" s="209">
        <v>43237.0</v>
      </c>
      <c r="J176" s="165" t="s">
        <v>12868</v>
      </c>
      <c r="K176" s="191" t="s">
        <v>3197</v>
      </c>
      <c r="L176" s="242" t="s">
        <v>12891</v>
      </c>
      <c r="M176" s="215"/>
      <c r="N176" s="165"/>
      <c r="O176" s="232"/>
      <c r="P176" s="214"/>
      <c r="Q176" s="214"/>
      <c r="R176" s="214"/>
      <c r="S176" s="214"/>
      <c r="T176" s="214"/>
      <c r="U176" s="214"/>
      <c r="V176" s="214"/>
      <c r="W176" s="214"/>
      <c r="X176" s="214"/>
      <c r="Y176" s="214"/>
      <c r="Z176" s="214"/>
      <c r="AA176" s="214"/>
    </row>
    <row r="177" ht="28.5" customHeight="1">
      <c r="A177" s="245" t="str">
        <f>HYPERLINK("https://drive.google.com/file/d/0B4phjTjb-BwLUGI1dlp1VUZCdlhfZ25iT2RyTm5XSktDWTg0/view?usp=sharing","31799")</f>
        <v>31799</v>
      </c>
      <c r="B177" s="165" t="s">
        <v>14</v>
      </c>
      <c r="C177" s="165">
        <v>145.0</v>
      </c>
      <c r="D177" s="165" t="s">
        <v>12892</v>
      </c>
      <c r="E177" s="214" t="s">
        <v>12622</v>
      </c>
      <c r="F177" s="209">
        <v>43232.0</v>
      </c>
      <c r="G177" s="209">
        <v>43237.0</v>
      </c>
      <c r="H177" s="165" t="s">
        <v>1747</v>
      </c>
      <c r="I177" s="209">
        <v>43236.0</v>
      </c>
      <c r="J177" s="165" t="s">
        <v>2535</v>
      </c>
      <c r="K177" s="191" t="s">
        <v>2535</v>
      </c>
      <c r="L177" s="242" t="s">
        <v>12893</v>
      </c>
      <c r="M177" s="215"/>
      <c r="N177" s="165"/>
      <c r="O177" s="232"/>
      <c r="P177" s="214"/>
      <c r="Q177" s="214"/>
      <c r="R177" s="214"/>
      <c r="S177" s="214"/>
      <c r="T177" s="214"/>
      <c r="U177" s="214"/>
      <c r="V177" s="214"/>
      <c r="W177" s="214"/>
      <c r="X177" s="214"/>
      <c r="Y177" s="214"/>
      <c r="Z177" s="214"/>
      <c r="AA177" s="214"/>
    </row>
    <row r="178" ht="28.5" customHeight="1">
      <c r="A178" s="245" t="str">
        <f>HYPERLINK("https://drive.google.com/file/d/0B4phjTjb-BwLV0xTc1hFNkltSGZWVGxRZ0thamJMYzh3YUVF/view?usp=sharing","32191")</f>
        <v>32191</v>
      </c>
      <c r="B178" s="165" t="s">
        <v>21</v>
      </c>
      <c r="C178" s="165">
        <v>850.0</v>
      </c>
      <c r="D178" s="165" t="s">
        <v>2051</v>
      </c>
      <c r="E178" s="214" t="s">
        <v>12894</v>
      </c>
      <c r="F178" s="209">
        <v>43231.0</v>
      </c>
      <c r="G178" s="209">
        <v>43227.0</v>
      </c>
      <c r="H178" s="165" t="s">
        <v>1747</v>
      </c>
      <c r="I178" s="209">
        <v>43236.0</v>
      </c>
      <c r="J178" s="165" t="s">
        <v>12868</v>
      </c>
      <c r="K178" s="191" t="s">
        <v>3197</v>
      </c>
      <c r="L178" s="242" t="s">
        <v>12895</v>
      </c>
      <c r="M178" s="215"/>
      <c r="N178" s="165"/>
      <c r="O178" s="232"/>
      <c r="P178" s="214"/>
      <c r="Q178" s="214"/>
      <c r="R178" s="214"/>
      <c r="S178" s="214"/>
      <c r="T178" s="214"/>
      <c r="U178" s="214"/>
      <c r="V178" s="214"/>
      <c r="W178" s="214"/>
      <c r="X178" s="214"/>
      <c r="Y178" s="214"/>
      <c r="Z178" s="214"/>
      <c r="AA178" s="214"/>
    </row>
    <row r="179" ht="28.5" customHeight="1">
      <c r="A179" s="245" t="str">
        <f>HYPERLINK("https://drive.google.com/file/d/0B4phjTjb-BwLNGlKTUFHYTc1WllLclVHUlR5a0pMTDB3TGg0/view?usp=sharing","32104")</f>
        <v>32104</v>
      </c>
      <c r="B179" s="165" t="s">
        <v>25</v>
      </c>
      <c r="C179" s="165">
        <v>940.0</v>
      </c>
      <c r="D179" s="165" t="s">
        <v>12896</v>
      </c>
      <c r="E179" s="214" t="s">
        <v>12897</v>
      </c>
      <c r="F179" s="209">
        <v>43231.0</v>
      </c>
      <c r="G179" s="209">
        <v>43228.0</v>
      </c>
      <c r="H179" s="165" t="s">
        <v>1747</v>
      </c>
      <c r="I179" s="209">
        <v>43235.0</v>
      </c>
      <c r="J179" s="165" t="s">
        <v>2535</v>
      </c>
      <c r="K179" s="191" t="s">
        <v>2535</v>
      </c>
      <c r="L179" s="242" t="s">
        <v>12898</v>
      </c>
      <c r="M179" s="215"/>
      <c r="N179" s="165"/>
      <c r="O179" s="232"/>
      <c r="P179" s="214"/>
      <c r="Q179" s="214"/>
      <c r="R179" s="214"/>
      <c r="S179" s="214"/>
      <c r="T179" s="214"/>
      <c r="U179" s="214"/>
      <c r="V179" s="214"/>
      <c r="W179" s="214"/>
      <c r="X179" s="214"/>
      <c r="Y179" s="214"/>
      <c r="Z179" s="214"/>
      <c r="AA179" s="214"/>
    </row>
    <row r="180" ht="28.5" customHeight="1">
      <c r="A180" s="245" t="str">
        <f>HYPERLINK("https://drive.google.com/file/d/0B4phjTjb-BwLZlRGT19aTHNfamdqajU0XzVPeUgtbVFWN1ln/view?usp=sharing","32147")</f>
        <v>32147</v>
      </c>
      <c r="B180" s="165" t="s">
        <v>14</v>
      </c>
      <c r="C180" s="165">
        <v>1074.0</v>
      </c>
      <c r="D180" s="165" t="s">
        <v>12899</v>
      </c>
      <c r="E180" s="214" t="s">
        <v>12900</v>
      </c>
      <c r="F180" s="209">
        <v>43222.0</v>
      </c>
      <c r="G180" s="209">
        <v>43220.0</v>
      </c>
      <c r="H180" s="165" t="s">
        <v>1747</v>
      </c>
      <c r="I180" s="209">
        <v>43227.0</v>
      </c>
      <c r="J180" s="165" t="s">
        <v>2535</v>
      </c>
      <c r="K180" s="191" t="s">
        <v>2535</v>
      </c>
      <c r="L180" s="242" t="s">
        <v>12901</v>
      </c>
      <c r="M180" s="215"/>
      <c r="N180" s="165"/>
      <c r="O180" s="232"/>
      <c r="P180" s="214"/>
      <c r="Q180" s="214"/>
      <c r="R180" s="214"/>
      <c r="S180" s="214"/>
      <c r="T180" s="214"/>
      <c r="U180" s="214"/>
      <c r="V180" s="214"/>
      <c r="W180" s="214"/>
      <c r="X180" s="214"/>
      <c r="Y180" s="214"/>
      <c r="Z180" s="214"/>
      <c r="AA180" s="214"/>
    </row>
    <row r="181" ht="28.5" customHeight="1">
      <c r="A181" s="245" t="str">
        <f>HYPERLINK("https://drive.google.com/file/d/0B4phjTjb-BwLa0M5UkVabWxsTjlvQkFBY1pzTnFqbkZSQWlz/view?usp=sharing","31956")</f>
        <v>31956</v>
      </c>
      <c r="B181" s="165" t="s">
        <v>21</v>
      </c>
      <c r="C181" s="165">
        <v>841.0</v>
      </c>
      <c r="D181" s="165" t="s">
        <v>2050</v>
      </c>
      <c r="E181" s="214" t="s">
        <v>12512</v>
      </c>
      <c r="F181" s="209">
        <v>43221.0</v>
      </c>
      <c r="G181" s="209">
        <v>43217.0</v>
      </c>
      <c r="H181" s="165" t="s">
        <v>1747</v>
      </c>
      <c r="I181" s="209" t="s">
        <v>12902</v>
      </c>
      <c r="J181" s="165" t="s">
        <v>12868</v>
      </c>
      <c r="K181" s="191" t="s">
        <v>2531</v>
      </c>
      <c r="L181" s="242" t="s">
        <v>12903</v>
      </c>
      <c r="M181" s="215" t="s">
        <v>497</v>
      </c>
      <c r="N181" s="215" t="s">
        <v>1077</v>
      </c>
      <c r="O181" s="232">
        <v>39454.35</v>
      </c>
      <c r="P181" s="214"/>
      <c r="Q181" s="214"/>
      <c r="R181" s="214"/>
      <c r="S181" s="214"/>
      <c r="T181" s="214"/>
      <c r="U181" s="214"/>
      <c r="V181" s="214"/>
      <c r="W181" s="214"/>
      <c r="X181" s="214"/>
      <c r="Y181" s="214"/>
      <c r="Z181" s="214"/>
      <c r="AA181" s="214"/>
    </row>
    <row r="182" ht="28.5" customHeight="1">
      <c r="A182" s="245" t="str">
        <f>HYPERLINK("https://drive.google.com/file/d/0B4phjTjb-BwLdUhBRVJkZnR5bU5CYWRmQkI0OXJvVHQxZ2R3/view?usp=sharing","32189")</f>
        <v>32189</v>
      </c>
      <c r="B182" s="165" t="s">
        <v>25</v>
      </c>
      <c r="C182" s="165">
        <v>930.0</v>
      </c>
      <c r="D182" s="165" t="s">
        <v>12904</v>
      </c>
      <c r="E182" s="214" t="s">
        <v>12905</v>
      </c>
      <c r="F182" s="209">
        <v>43220.0</v>
      </c>
      <c r="G182" s="209">
        <v>43220.0</v>
      </c>
      <c r="H182" s="165" t="s">
        <v>1747</v>
      </c>
      <c r="I182" s="209">
        <v>43227.0</v>
      </c>
      <c r="J182" s="165" t="s">
        <v>2535</v>
      </c>
      <c r="K182" s="191" t="s">
        <v>2535</v>
      </c>
      <c r="L182" s="242" t="s">
        <v>12906</v>
      </c>
      <c r="M182" s="215"/>
      <c r="N182" s="165"/>
      <c r="O182" s="232"/>
      <c r="P182" s="214"/>
      <c r="Q182" s="214"/>
      <c r="R182" s="214"/>
      <c r="S182" s="214"/>
      <c r="T182" s="214"/>
      <c r="U182" s="214"/>
      <c r="V182" s="214"/>
      <c r="W182" s="214"/>
      <c r="X182" s="214"/>
      <c r="Y182" s="214"/>
      <c r="Z182" s="214"/>
      <c r="AA182" s="214"/>
    </row>
    <row r="183" ht="28.5" customHeight="1">
      <c r="A183" s="245" t="str">
        <f>HYPERLINK("https://drive.google.com/file/d/0B4phjTjb-BwLalk0Z2duc2NmT21QcW51aEpGTF9FN3ljZzRj/view?usp=sharing","32145")</f>
        <v>32145</v>
      </c>
      <c r="B183" s="165" t="s">
        <v>21</v>
      </c>
      <c r="C183" s="165">
        <v>218.0</v>
      </c>
      <c r="D183" s="165" t="s">
        <v>2049</v>
      </c>
      <c r="E183" s="214" t="s">
        <v>12907</v>
      </c>
      <c r="F183" s="209">
        <v>43220.0</v>
      </c>
      <c r="G183" s="209">
        <v>43217.0</v>
      </c>
      <c r="H183" s="165" t="s">
        <v>1747</v>
      </c>
      <c r="I183" s="209" t="s">
        <v>12908</v>
      </c>
      <c r="J183" s="165" t="s">
        <v>12868</v>
      </c>
      <c r="K183" s="191" t="s">
        <v>3197</v>
      </c>
      <c r="L183" s="242" t="s">
        <v>12909</v>
      </c>
      <c r="M183" s="215"/>
      <c r="N183" s="165"/>
      <c r="O183" s="232"/>
      <c r="P183" s="214"/>
      <c r="Q183" s="214"/>
      <c r="R183" s="214"/>
      <c r="S183" s="214"/>
      <c r="T183" s="214"/>
      <c r="U183" s="214"/>
      <c r="V183" s="214"/>
      <c r="W183" s="214"/>
      <c r="X183" s="214"/>
      <c r="Y183" s="214"/>
      <c r="Z183" s="214"/>
      <c r="AA183" s="214"/>
    </row>
    <row r="184" ht="28.5" customHeight="1">
      <c r="A184" s="245" t="str">
        <f>HYPERLINK("https://drive.google.com/file/d/0B4phjTjb-BwLV1kwY1EwQ2R3N3REel9qYjl4Zk5JdWZrR1Mw/view?usp=sharing","32077")</f>
        <v>32077</v>
      </c>
      <c r="B184" s="165" t="s">
        <v>21</v>
      </c>
      <c r="C184" s="165">
        <v>4900.0</v>
      </c>
      <c r="D184" s="165" t="s">
        <v>2047</v>
      </c>
      <c r="E184" s="214" t="s">
        <v>12729</v>
      </c>
      <c r="F184" s="209">
        <v>43216.0</v>
      </c>
      <c r="G184" s="209">
        <v>43214.0</v>
      </c>
      <c r="H184" s="165" t="s">
        <v>1747</v>
      </c>
      <c r="I184" s="209">
        <v>43224.0</v>
      </c>
      <c r="J184" s="165" t="s">
        <v>12868</v>
      </c>
      <c r="K184" s="191" t="s">
        <v>2531</v>
      </c>
      <c r="L184" s="242" t="s">
        <v>12910</v>
      </c>
      <c r="M184" s="215"/>
      <c r="N184" s="165"/>
      <c r="O184" s="232"/>
      <c r="P184" s="214"/>
      <c r="Q184" s="214"/>
      <c r="R184" s="214"/>
      <c r="S184" s="214"/>
      <c r="T184" s="214"/>
      <c r="U184" s="214"/>
      <c r="V184" s="214"/>
      <c r="W184" s="214"/>
      <c r="X184" s="214"/>
      <c r="Y184" s="214"/>
      <c r="Z184" s="214"/>
      <c r="AA184" s="214"/>
    </row>
    <row r="185" ht="28.5" customHeight="1">
      <c r="A185" s="245" t="str">
        <f>HYPERLINK("https://drive.google.com/file/d/0B4phjTjb-BwLczZnSHJ3SGdoVXFwX3p1MUtnRFdvMWhyTnRn/view?usp=sharing","32213")</f>
        <v>32213</v>
      </c>
      <c r="B185" s="165" t="s">
        <v>14</v>
      </c>
      <c r="C185" s="165">
        <v>1090.0</v>
      </c>
      <c r="D185" s="165" t="s">
        <v>12911</v>
      </c>
      <c r="E185" s="242" t="s">
        <v>12912</v>
      </c>
      <c r="F185" s="209">
        <v>43214.0</v>
      </c>
      <c r="G185" s="209">
        <v>43213.0</v>
      </c>
      <c r="H185" s="165" t="s">
        <v>1747</v>
      </c>
      <c r="I185" s="209">
        <v>43222.0</v>
      </c>
      <c r="J185" s="165" t="s">
        <v>2535</v>
      </c>
      <c r="K185" s="191" t="s">
        <v>2535</v>
      </c>
      <c r="L185" s="242" t="s">
        <v>12913</v>
      </c>
      <c r="M185" s="215"/>
      <c r="N185" s="165"/>
      <c r="O185" s="232"/>
      <c r="P185" s="214"/>
      <c r="Q185" s="214"/>
      <c r="R185" s="214"/>
      <c r="S185" s="214"/>
      <c r="T185" s="214"/>
      <c r="U185" s="214"/>
      <c r="V185" s="214"/>
      <c r="W185" s="214"/>
      <c r="X185" s="214"/>
      <c r="Y185" s="214"/>
      <c r="Z185" s="214"/>
      <c r="AA185" s="214"/>
    </row>
    <row r="186" ht="28.5" customHeight="1">
      <c r="A186" s="245" t="str">
        <f>HYPERLINK("https://drive.google.com/file/d/0B4phjTjb-BwLOENzY21GS1ktQkp6TXdXN2gxeUh3X0NndXpr/view?usp=sharing","32144")</f>
        <v>32144</v>
      </c>
      <c r="B186" s="165" t="s">
        <v>14</v>
      </c>
      <c r="C186" s="165">
        <v>930.0</v>
      </c>
      <c r="D186" s="165" t="s">
        <v>12914</v>
      </c>
      <c r="E186" s="214" t="s">
        <v>8430</v>
      </c>
      <c r="F186" s="209">
        <v>43214.0</v>
      </c>
      <c r="G186" s="209">
        <v>43213.0</v>
      </c>
      <c r="H186" s="165" t="s">
        <v>1747</v>
      </c>
      <c r="I186" s="209">
        <v>43221.0</v>
      </c>
      <c r="J186" s="165" t="s">
        <v>2535</v>
      </c>
      <c r="K186" s="191" t="s">
        <v>2535</v>
      </c>
      <c r="L186" s="242" t="s">
        <v>12915</v>
      </c>
      <c r="M186" s="215"/>
      <c r="N186" s="165"/>
      <c r="O186" s="232"/>
      <c r="P186" s="214"/>
      <c r="Q186" s="214"/>
      <c r="R186" s="214"/>
      <c r="S186" s="214"/>
      <c r="T186" s="214"/>
      <c r="U186" s="214"/>
      <c r="V186" s="214"/>
      <c r="W186" s="214"/>
      <c r="X186" s="214"/>
      <c r="Y186" s="214"/>
      <c r="Z186" s="214"/>
      <c r="AA186" s="214"/>
    </row>
    <row r="187" ht="33.75" customHeight="1">
      <c r="A187" s="245" t="str">
        <f>HYPERLINK("https://drive.google.com/file/d/0B4phjTjb-BwLWkdtYm5Ld0RLbzVxamV2Q0VkaURrSVNQYVJJ/view?usp=sharing","32050")</f>
        <v>32050</v>
      </c>
      <c r="B187" s="165" t="s">
        <v>21</v>
      </c>
      <c r="C187" s="165">
        <v>1130.0</v>
      </c>
      <c r="D187" s="165" t="s">
        <v>2046</v>
      </c>
      <c r="E187" s="214" t="s">
        <v>12916</v>
      </c>
      <c r="F187" s="209">
        <v>43214.0</v>
      </c>
      <c r="G187" s="209">
        <v>43252.0</v>
      </c>
      <c r="H187" s="165" t="s">
        <v>1747</v>
      </c>
      <c r="I187" s="209">
        <v>43223.0</v>
      </c>
      <c r="J187" s="165" t="s">
        <v>12917</v>
      </c>
      <c r="K187" s="191" t="s">
        <v>2531</v>
      </c>
      <c r="L187" s="242" t="s">
        <v>12918</v>
      </c>
      <c r="M187" s="215" t="s">
        <v>497</v>
      </c>
      <c r="N187" s="165" t="s">
        <v>3868</v>
      </c>
      <c r="O187" s="232">
        <v>18495.0</v>
      </c>
      <c r="P187" s="214"/>
      <c r="Q187" s="214"/>
      <c r="R187" s="214"/>
      <c r="S187" s="214"/>
      <c r="T187" s="214"/>
      <c r="U187" s="214"/>
      <c r="V187" s="214"/>
      <c r="W187" s="214"/>
      <c r="X187" s="214"/>
      <c r="Y187" s="214"/>
      <c r="Z187" s="214"/>
      <c r="AA187" s="214"/>
    </row>
    <row r="188" ht="33.75" customHeight="1">
      <c r="A188" s="245" t="str">
        <f>HYPERLINK("https://drive.google.com/file/d/0B4phjTjb-BwLZXFuamNaaWotTkhSV2l1cEdyNWdDY3dKNl9N/view?usp=sharing","32004")</f>
        <v>32004</v>
      </c>
      <c r="B188" s="165" t="s">
        <v>21</v>
      </c>
      <c r="C188" s="165">
        <v>2040.0</v>
      </c>
      <c r="D188" s="165" t="s">
        <v>2044</v>
      </c>
      <c r="E188" s="214" t="s">
        <v>8688</v>
      </c>
      <c r="F188" s="209">
        <v>43214.0</v>
      </c>
      <c r="G188" s="209">
        <v>43210.0</v>
      </c>
      <c r="H188" s="165" t="s">
        <v>1747</v>
      </c>
      <c r="I188" s="209">
        <v>43222.0</v>
      </c>
      <c r="J188" s="165" t="s">
        <v>12868</v>
      </c>
      <c r="K188" s="191" t="s">
        <v>3197</v>
      </c>
      <c r="L188" s="242" t="s">
        <v>12919</v>
      </c>
      <c r="M188" s="215" t="s">
        <v>497</v>
      </c>
      <c r="N188" s="165" t="s">
        <v>2554</v>
      </c>
      <c r="O188" s="232">
        <v>30824.4</v>
      </c>
      <c r="P188" s="214"/>
      <c r="Q188" s="214"/>
      <c r="R188" s="214"/>
      <c r="S188" s="214"/>
      <c r="T188" s="214"/>
      <c r="U188" s="214"/>
      <c r="V188" s="214"/>
      <c r="W188" s="214"/>
      <c r="X188" s="214"/>
      <c r="Y188" s="214"/>
      <c r="Z188" s="214"/>
      <c r="AA188" s="214"/>
    </row>
    <row r="189" ht="33.75" customHeight="1">
      <c r="A189" s="245" t="str">
        <f>HYPERLINK("https://drive.google.com/file/d/0B4phjTjb-BwLT1V1SzRYcEI5VG8wSTRSRTMtRjZLLVptLXVF/view?usp=sharing","32005")</f>
        <v>32005</v>
      </c>
      <c r="B189" s="165" t="s">
        <v>14</v>
      </c>
      <c r="C189" s="165">
        <v>2040.0</v>
      </c>
      <c r="D189" s="165" t="s">
        <v>12920</v>
      </c>
      <c r="E189" s="214" t="s">
        <v>8688</v>
      </c>
      <c r="F189" s="209">
        <v>43213.0</v>
      </c>
      <c r="G189" s="209">
        <v>43209.0</v>
      </c>
      <c r="H189" s="165" t="s">
        <v>1747</v>
      </c>
      <c r="I189" s="209">
        <v>43217.0</v>
      </c>
      <c r="J189" s="165" t="s">
        <v>2535</v>
      </c>
      <c r="K189" s="191" t="s">
        <v>2535</v>
      </c>
      <c r="L189" s="242" t="s">
        <v>12921</v>
      </c>
      <c r="M189" s="215" t="s">
        <v>497</v>
      </c>
      <c r="N189" s="165" t="s">
        <v>2554</v>
      </c>
      <c r="O189" s="232">
        <v>30824.4</v>
      </c>
      <c r="P189" s="214"/>
      <c r="Q189" s="214"/>
      <c r="R189" s="214"/>
      <c r="S189" s="214"/>
      <c r="T189" s="214"/>
      <c r="U189" s="214"/>
      <c r="V189" s="214"/>
      <c r="W189" s="214"/>
      <c r="X189" s="214"/>
      <c r="Y189" s="214"/>
      <c r="Z189" s="214"/>
      <c r="AA189" s="214"/>
    </row>
    <row r="190" ht="33.75" customHeight="1">
      <c r="A190" s="245" t="str">
        <f>HYPERLINK("https://drive.google.com/file/d/0B4phjTjb-BwLeVJtU2JBb1BwRFM2SEZVM3ZRZ2toQnA1RnNB/view?usp=sharing","32051")</f>
        <v>32051</v>
      </c>
      <c r="B190" s="165" t="s">
        <v>14</v>
      </c>
      <c r="C190" s="165">
        <v>1155.0</v>
      </c>
      <c r="D190" s="165" t="s">
        <v>12922</v>
      </c>
      <c r="E190" s="214" t="s">
        <v>12789</v>
      </c>
      <c r="F190" s="209">
        <v>43212.0</v>
      </c>
      <c r="G190" s="209">
        <v>43208.0</v>
      </c>
      <c r="H190" s="165" t="s">
        <v>1747</v>
      </c>
      <c r="I190" s="209">
        <v>43217.0</v>
      </c>
      <c r="J190" s="165" t="s">
        <v>2535</v>
      </c>
      <c r="K190" s="191" t="s">
        <v>2535</v>
      </c>
      <c r="L190" s="242" t="s">
        <v>12923</v>
      </c>
      <c r="M190" s="215" t="s">
        <v>497</v>
      </c>
      <c r="N190" s="165" t="s">
        <v>2554</v>
      </c>
      <c r="O190" s="232">
        <v>16842.6</v>
      </c>
      <c r="P190" s="214"/>
      <c r="Q190" s="214"/>
      <c r="R190" s="214"/>
      <c r="S190" s="214"/>
      <c r="T190" s="214"/>
      <c r="U190" s="214"/>
      <c r="V190" s="214"/>
      <c r="W190" s="214"/>
      <c r="X190" s="214"/>
      <c r="Y190" s="214"/>
      <c r="Z190" s="214"/>
      <c r="AA190" s="214"/>
    </row>
    <row r="191" ht="33.75" customHeight="1">
      <c r="A191" s="245" t="str">
        <f>HYPERLINK("https://drive.google.com/file/d/0B4phjTjb-BwLRFg0N24tSXM1MXF5MWlNcVY2V3R6SFdPT19F/view?usp=sharing","32143")</f>
        <v>32143</v>
      </c>
      <c r="B191" s="165" t="s">
        <v>25</v>
      </c>
      <c r="C191" s="165">
        <v>944.0</v>
      </c>
      <c r="D191" s="165" t="s">
        <v>12924</v>
      </c>
      <c r="E191" s="214" t="s">
        <v>12925</v>
      </c>
      <c r="F191" s="209">
        <v>43212.0</v>
      </c>
      <c r="G191" s="209">
        <v>43210.0</v>
      </c>
      <c r="H191" s="165" t="s">
        <v>1747</v>
      </c>
      <c r="I191" s="209">
        <v>43217.0</v>
      </c>
      <c r="J191" s="165" t="s">
        <v>2535</v>
      </c>
      <c r="K191" s="191" t="s">
        <v>2535</v>
      </c>
      <c r="L191" s="242" t="s">
        <v>12926</v>
      </c>
      <c r="M191" s="215"/>
      <c r="N191" s="165"/>
      <c r="O191" s="232"/>
      <c r="P191" s="214"/>
      <c r="Q191" s="214"/>
      <c r="R191" s="214"/>
      <c r="S191" s="214"/>
      <c r="T191" s="214"/>
      <c r="U191" s="214"/>
      <c r="V191" s="214"/>
      <c r="W191" s="214"/>
      <c r="X191" s="214"/>
      <c r="Y191" s="214"/>
      <c r="Z191" s="214"/>
      <c r="AA191" s="214"/>
    </row>
    <row r="192" ht="33.75" customHeight="1">
      <c r="A192" s="245" t="str">
        <f>HYPERLINK("https://drive.google.com/file/d/0B4phjTjb-BwLRmc4ODF0WlpYRk1sTWEtTjdodThmZ1FkY2hV/view?usp=sharing","32113")</f>
        <v>32113</v>
      </c>
      <c r="B192" s="165" t="s">
        <v>21</v>
      </c>
      <c r="C192" s="165">
        <v>1100.0</v>
      </c>
      <c r="D192" s="165" t="s">
        <v>2043</v>
      </c>
      <c r="E192" s="214" t="s">
        <v>12927</v>
      </c>
      <c r="F192" s="209">
        <v>43210.0</v>
      </c>
      <c r="G192" s="209">
        <v>43208.0</v>
      </c>
      <c r="H192" s="165" t="s">
        <v>12879</v>
      </c>
      <c r="I192" s="209">
        <v>43216.0</v>
      </c>
      <c r="J192" s="165" t="s">
        <v>12928</v>
      </c>
      <c r="K192" s="191" t="s">
        <v>3197</v>
      </c>
      <c r="L192" s="242" t="s">
        <v>12929</v>
      </c>
      <c r="M192" s="215"/>
      <c r="N192" s="215"/>
      <c r="O192" s="232"/>
      <c r="P192" s="214"/>
      <c r="Q192" s="214"/>
      <c r="R192" s="214"/>
      <c r="S192" s="214"/>
      <c r="T192" s="214"/>
      <c r="U192" s="214"/>
      <c r="V192" s="214"/>
      <c r="W192" s="214"/>
      <c r="X192" s="214"/>
      <c r="Y192" s="214"/>
      <c r="Z192" s="214"/>
      <c r="AA192" s="214"/>
    </row>
    <row r="193" ht="33.75" customHeight="1">
      <c r="A193" s="245" t="str">
        <f>HYPERLINK("https://drive.google.com/file/d/0B4phjTjb-BwLODRoeUdzaERFNVJFOTVidWN3N3BXdHk1RVBj/view?usp=sharing","32006")</f>
        <v>32006</v>
      </c>
      <c r="B193" s="165" t="s">
        <v>25</v>
      </c>
      <c r="C193" s="165">
        <v>2040.0</v>
      </c>
      <c r="D193" s="165" t="s">
        <v>12930</v>
      </c>
      <c r="E193" s="214" t="s">
        <v>8688</v>
      </c>
      <c r="F193" s="209">
        <v>43207.0</v>
      </c>
      <c r="G193" s="209">
        <v>43203.0</v>
      </c>
      <c r="H193" s="165" t="s">
        <v>1747</v>
      </c>
      <c r="I193" s="209">
        <v>43209.0</v>
      </c>
      <c r="J193" s="165" t="s">
        <v>2535</v>
      </c>
      <c r="K193" s="191" t="s">
        <v>2535</v>
      </c>
      <c r="L193" s="242" t="s">
        <v>12931</v>
      </c>
      <c r="M193" s="215" t="s">
        <v>497</v>
      </c>
      <c r="N193" s="165" t="s">
        <v>2554</v>
      </c>
      <c r="O193" s="232">
        <v>30824.4</v>
      </c>
      <c r="P193" s="214"/>
      <c r="Q193" s="214"/>
      <c r="R193" s="214"/>
      <c r="S193" s="214"/>
      <c r="T193" s="214"/>
      <c r="U193" s="214"/>
      <c r="V193" s="214"/>
      <c r="W193" s="214"/>
      <c r="X193" s="214"/>
      <c r="Y193" s="214"/>
      <c r="Z193" s="214"/>
      <c r="AA193" s="214"/>
    </row>
    <row r="194" ht="33.75" customHeight="1">
      <c r="A194" s="245" t="str">
        <f>HYPERLINK("https://drive.google.com/file/d/0B4phjTjb-BwLQWhfTXRsVlRwZHJGQTZzZ2NPOWxuem5FU3Br/view?usp=sharing","32003")</f>
        <v>32003</v>
      </c>
      <c r="B194" s="165" t="s">
        <v>14</v>
      </c>
      <c r="C194" s="165">
        <v>2040.0</v>
      </c>
      <c r="D194" s="165" t="s">
        <v>12932</v>
      </c>
      <c r="E194" s="214" t="s">
        <v>8688</v>
      </c>
      <c r="F194" s="209">
        <v>43206.0</v>
      </c>
      <c r="G194" s="209">
        <v>43202.0</v>
      </c>
      <c r="H194" s="165" t="s">
        <v>1747</v>
      </c>
      <c r="I194" s="209">
        <v>43214.0</v>
      </c>
      <c r="J194" s="165" t="s">
        <v>2535</v>
      </c>
      <c r="K194" s="191" t="s">
        <v>2535</v>
      </c>
      <c r="L194" s="242" t="s">
        <v>12933</v>
      </c>
      <c r="M194" s="215" t="s">
        <v>497</v>
      </c>
      <c r="N194" s="165" t="s">
        <v>2554</v>
      </c>
      <c r="O194" s="232">
        <v>30754.8</v>
      </c>
      <c r="P194" s="214"/>
      <c r="Q194" s="214"/>
      <c r="R194" s="214"/>
      <c r="S194" s="214"/>
      <c r="T194" s="214"/>
      <c r="U194" s="214"/>
      <c r="V194" s="214"/>
      <c r="W194" s="214"/>
      <c r="X194" s="214"/>
      <c r="Y194" s="214"/>
      <c r="Z194" s="214"/>
      <c r="AA194" s="214"/>
    </row>
    <row r="195" ht="33.75" customHeight="1">
      <c r="A195" s="245" t="str">
        <f>HYPERLINK("https://drive.google.com/file/d/0B4phjTjb-BwLNTlNWFk0WjR1RDFfcWRhWFpjdS1wdTNhbUZz/view?usp=sharing","31955")</f>
        <v>31955</v>
      </c>
      <c r="B195" s="165" t="s">
        <v>14</v>
      </c>
      <c r="C195" s="165">
        <v>1031.0</v>
      </c>
      <c r="D195" s="165" t="s">
        <v>12934</v>
      </c>
      <c r="E195" s="214" t="s">
        <v>8618</v>
      </c>
      <c r="F195" s="209">
        <v>43206.0</v>
      </c>
      <c r="G195" s="209">
        <v>43202.0</v>
      </c>
      <c r="H195" s="165" t="s">
        <v>1747</v>
      </c>
      <c r="I195" s="209">
        <v>43213.0</v>
      </c>
      <c r="J195" s="165" t="s">
        <v>2535</v>
      </c>
      <c r="K195" s="191" t="s">
        <v>2535</v>
      </c>
      <c r="L195" s="242" t="s">
        <v>12935</v>
      </c>
      <c r="M195" s="215" t="s">
        <v>497</v>
      </c>
      <c r="N195" s="215" t="s">
        <v>1077</v>
      </c>
      <c r="O195" s="232">
        <v>48172.18</v>
      </c>
      <c r="P195" s="214"/>
      <c r="Q195" s="214"/>
      <c r="R195" s="214"/>
      <c r="S195" s="214"/>
      <c r="T195" s="214"/>
      <c r="U195" s="214"/>
      <c r="V195" s="214"/>
      <c r="W195" s="214"/>
      <c r="X195" s="214"/>
      <c r="Y195" s="214"/>
      <c r="Z195" s="214"/>
      <c r="AA195" s="214"/>
    </row>
    <row r="196" ht="33.75" customHeight="1">
      <c r="A196" s="245" t="str">
        <f>HYPERLINK("https://drive.google.com/file/d/0B4phjTjb-BwLZnZIQzRyT05uOEZZQXBZUWl0MV9FUW01ODdv/view?usp=sharing","31988")</f>
        <v>31988</v>
      </c>
      <c r="B196" s="165" t="s">
        <v>14</v>
      </c>
      <c r="C196" s="165">
        <v>1711.0</v>
      </c>
      <c r="D196" s="165" t="s">
        <v>12936</v>
      </c>
      <c r="E196" s="214" t="s">
        <v>1038</v>
      </c>
      <c r="F196" s="209">
        <v>43203.0</v>
      </c>
      <c r="G196" s="209">
        <v>43200.0</v>
      </c>
      <c r="H196" s="165" t="s">
        <v>1747</v>
      </c>
      <c r="I196" s="209">
        <v>43208.0</v>
      </c>
      <c r="J196" s="165" t="s">
        <v>2535</v>
      </c>
      <c r="K196" s="191" t="s">
        <v>2535</v>
      </c>
      <c r="L196" s="242" t="s">
        <v>12937</v>
      </c>
      <c r="M196" s="215"/>
      <c r="N196" s="165"/>
      <c r="O196" s="232"/>
      <c r="P196" s="214"/>
      <c r="Q196" s="214"/>
      <c r="R196" s="214"/>
      <c r="S196" s="214"/>
      <c r="T196" s="214"/>
      <c r="U196" s="214"/>
      <c r="V196" s="214"/>
      <c r="W196" s="214"/>
      <c r="X196" s="214"/>
      <c r="Y196" s="214"/>
      <c r="Z196" s="214"/>
      <c r="AA196" s="214"/>
    </row>
    <row r="197" ht="33.75" customHeight="1">
      <c r="A197" s="245" t="str">
        <f>HYPERLINK("https://drive.google.com/file/d/0B4phjTjb-BwLcTVVclNoODJRaDVvczFvaUpwX3B3THoxbm1z/view?usp=sharing","32107")</f>
        <v>32107</v>
      </c>
      <c r="B197" s="165" t="s">
        <v>21</v>
      </c>
      <c r="C197" s="165">
        <v>1360.0</v>
      </c>
      <c r="D197" s="165" t="s">
        <v>2042</v>
      </c>
      <c r="E197" s="214" t="s">
        <v>12938</v>
      </c>
      <c r="F197" s="209">
        <v>43202.0</v>
      </c>
      <c r="G197" s="209">
        <v>43200.0</v>
      </c>
      <c r="H197" s="165" t="s">
        <v>1747</v>
      </c>
      <c r="I197" s="209">
        <v>43207.0</v>
      </c>
      <c r="J197" s="165" t="s">
        <v>12928</v>
      </c>
      <c r="K197" s="191" t="s">
        <v>3197</v>
      </c>
      <c r="L197" s="242" t="s">
        <v>12939</v>
      </c>
      <c r="M197" s="215"/>
      <c r="N197" s="165"/>
      <c r="O197" s="232"/>
      <c r="P197" s="214"/>
      <c r="Q197" s="214"/>
      <c r="R197" s="214"/>
      <c r="S197" s="214"/>
      <c r="T197" s="214"/>
      <c r="U197" s="214"/>
      <c r="V197" s="214"/>
      <c r="W197" s="214"/>
      <c r="X197" s="214"/>
      <c r="Y197" s="214"/>
      <c r="Z197" s="214"/>
      <c r="AA197" s="214"/>
    </row>
    <row r="198" ht="33.75" customHeight="1">
      <c r="A198" s="245" t="str">
        <f>HYPERLINK("https://drive.google.com/file/d/0B4phjTjb-BwLNVhHb0VoUjhLTTdFQ1NEVEZEYzdxMGNuZHow/view?usp=sharing","32105")</f>
        <v>32105</v>
      </c>
      <c r="B198" s="165" t="s">
        <v>21</v>
      </c>
      <c r="C198" s="165">
        <v>1180.0</v>
      </c>
      <c r="D198" s="165" t="s">
        <v>12940</v>
      </c>
      <c r="E198" s="214" t="s">
        <v>8475</v>
      </c>
      <c r="F198" s="209">
        <v>43198.0</v>
      </c>
      <c r="G198" s="209">
        <v>43194.0</v>
      </c>
      <c r="H198" s="165" t="s">
        <v>1747</v>
      </c>
      <c r="I198" s="209">
        <v>43202.0</v>
      </c>
      <c r="J198" s="165" t="s">
        <v>2535</v>
      </c>
      <c r="K198" s="191" t="s">
        <v>2535</v>
      </c>
      <c r="L198" s="242" t="s">
        <v>12941</v>
      </c>
      <c r="M198" s="215"/>
      <c r="N198" s="165"/>
      <c r="O198" s="232"/>
      <c r="P198" s="214"/>
      <c r="Q198" s="214"/>
      <c r="R198" s="214"/>
      <c r="S198" s="214"/>
      <c r="T198" s="214"/>
      <c r="U198" s="214"/>
      <c r="V198" s="214"/>
      <c r="W198" s="214"/>
      <c r="X198" s="214"/>
      <c r="Y198" s="214"/>
      <c r="Z198" s="214"/>
      <c r="AA198" s="214"/>
    </row>
    <row r="199" ht="33.75" customHeight="1">
      <c r="A199" s="245" t="str">
        <f>HYPERLINK("https://drive.google.com/file/d/0B4phjTjb-BwLOHRhN3VYSjJGc3dwSTZhR3FUYjlCZ2dlM3M4/view?usp=sharing","31888")</f>
        <v>31888</v>
      </c>
      <c r="B199" s="165" t="s">
        <v>21</v>
      </c>
      <c r="C199" s="165">
        <v>2040.0</v>
      </c>
      <c r="D199" s="165" t="s">
        <v>2039</v>
      </c>
      <c r="E199" s="214" t="s">
        <v>8688</v>
      </c>
      <c r="F199" s="209">
        <v>43197.0</v>
      </c>
      <c r="G199" s="209">
        <v>43192.0</v>
      </c>
      <c r="H199" s="165" t="s">
        <v>1747</v>
      </c>
      <c r="I199" s="209">
        <v>43203.0</v>
      </c>
      <c r="J199" s="165" t="s">
        <v>12928</v>
      </c>
      <c r="K199" s="191" t="s">
        <v>3197</v>
      </c>
      <c r="L199" s="242" t="s">
        <v>12942</v>
      </c>
      <c r="M199" s="215" t="s">
        <v>497</v>
      </c>
      <c r="N199" s="165" t="s">
        <v>2554</v>
      </c>
      <c r="O199" s="232">
        <v>30824.4</v>
      </c>
      <c r="P199" s="214"/>
      <c r="Q199" s="214"/>
      <c r="R199" s="214"/>
      <c r="S199" s="214"/>
      <c r="T199" s="214"/>
      <c r="U199" s="214"/>
      <c r="V199" s="214"/>
      <c r="W199" s="214"/>
      <c r="X199" s="214"/>
      <c r="Y199" s="214"/>
      <c r="Z199" s="214"/>
      <c r="AA199" s="214"/>
    </row>
    <row r="200" ht="28.5" customHeight="1">
      <c r="A200" s="245" t="str">
        <f>HYPERLINK("https://drive.google.com/file/d/0B4phjTjb-BwLMFFjcUtGemx1U0cxNUtfbjBrVVpiOVE3UExn/view?usp=sharing","32092")</f>
        <v>32092</v>
      </c>
      <c r="B200" s="165" t="s">
        <v>25</v>
      </c>
      <c r="C200" s="165">
        <v>650.0</v>
      </c>
      <c r="D200" s="165" t="s">
        <v>12943</v>
      </c>
      <c r="E200" s="214" t="s">
        <v>12944</v>
      </c>
      <c r="F200" s="209">
        <v>43191.0</v>
      </c>
      <c r="G200" s="209">
        <v>43188.0</v>
      </c>
      <c r="H200" s="165" t="s">
        <v>1747</v>
      </c>
      <c r="I200" s="209">
        <v>43195.0</v>
      </c>
      <c r="J200" s="165" t="s">
        <v>2535</v>
      </c>
      <c r="K200" s="191" t="s">
        <v>2535</v>
      </c>
      <c r="L200" s="242" t="s">
        <v>12945</v>
      </c>
      <c r="M200" s="215"/>
      <c r="N200" s="165"/>
      <c r="O200" s="232"/>
      <c r="P200" s="214"/>
      <c r="Q200" s="214"/>
      <c r="R200" s="214"/>
      <c r="S200" s="214"/>
      <c r="T200" s="214"/>
      <c r="U200" s="214"/>
      <c r="V200" s="214"/>
      <c r="W200" s="214"/>
      <c r="X200" s="214"/>
      <c r="Y200" s="214"/>
      <c r="Z200" s="214"/>
      <c r="AA200" s="214"/>
    </row>
    <row r="201" ht="33.75" customHeight="1">
      <c r="A201" s="245" t="str">
        <f>HYPERLINK("https://drive.google.com/file/d/0B4phjTjb-BwLNENiZGttUmhXVnpiWkJBejFyMExhTXdTOXVZ/view?usp=sharing","31899")</f>
        <v>31899</v>
      </c>
      <c r="B201" s="165" t="s">
        <v>21</v>
      </c>
      <c r="C201" s="165">
        <v>1656.0</v>
      </c>
      <c r="D201" s="165" t="s">
        <v>12946</v>
      </c>
      <c r="E201" s="214" t="s">
        <v>12947</v>
      </c>
      <c r="F201" s="209">
        <v>43186.0</v>
      </c>
      <c r="G201" s="209">
        <v>43182.0</v>
      </c>
      <c r="H201" s="165" t="s">
        <v>1747</v>
      </c>
      <c r="I201" s="209">
        <v>43194.0</v>
      </c>
      <c r="J201" s="165" t="s">
        <v>12928</v>
      </c>
      <c r="K201" s="191" t="s">
        <v>2531</v>
      </c>
      <c r="L201" s="242" t="s">
        <v>12948</v>
      </c>
      <c r="M201" s="215"/>
      <c r="N201" s="165"/>
      <c r="O201" s="232"/>
      <c r="P201" s="214"/>
      <c r="Q201" s="214"/>
      <c r="R201" s="214"/>
      <c r="S201" s="214"/>
      <c r="T201" s="214"/>
      <c r="U201" s="214"/>
      <c r="V201" s="214"/>
      <c r="W201" s="214"/>
      <c r="X201" s="214"/>
      <c r="Y201" s="214"/>
      <c r="Z201" s="214"/>
      <c r="AA201" s="214"/>
    </row>
    <row r="202" ht="33.75" customHeight="1">
      <c r="A202" s="245" t="str">
        <f>HYPERLINK("https://drive.google.com/file/d/0B4phjTjb-BwLWmx0MGM1TGgtUHRQd1lTdEZGdzhGT1pHNzBF/view?usp=sharing","31838")</f>
        <v>31838</v>
      </c>
      <c r="B202" s="165" t="s">
        <v>21</v>
      </c>
      <c r="C202" s="165">
        <v>500.0</v>
      </c>
      <c r="D202" s="165" t="s">
        <v>2037</v>
      </c>
      <c r="E202" s="214" t="s">
        <v>12949</v>
      </c>
      <c r="F202" s="209">
        <v>43185.0</v>
      </c>
      <c r="G202" s="209">
        <v>43181.0</v>
      </c>
      <c r="H202" s="165" t="s">
        <v>1747</v>
      </c>
      <c r="I202" s="209">
        <v>43187.0</v>
      </c>
      <c r="J202" s="165" t="s">
        <v>12950</v>
      </c>
      <c r="K202" s="191" t="s">
        <v>2531</v>
      </c>
      <c r="L202" s="242" t="s">
        <v>12951</v>
      </c>
      <c r="M202" s="215" t="s">
        <v>497</v>
      </c>
      <c r="N202" s="165" t="s">
        <v>2554</v>
      </c>
      <c r="O202" s="232">
        <v>31646.25</v>
      </c>
      <c r="P202" s="214"/>
      <c r="Q202" s="214"/>
      <c r="R202" s="214"/>
      <c r="S202" s="214"/>
      <c r="T202" s="214"/>
      <c r="U202" s="214"/>
      <c r="V202" s="214"/>
      <c r="W202" s="214"/>
      <c r="X202" s="214"/>
      <c r="Y202" s="214"/>
      <c r="Z202" s="214"/>
      <c r="AA202" s="214"/>
    </row>
    <row r="203" ht="33.75" customHeight="1">
      <c r="A203" s="245" t="str">
        <f>HYPERLINK("https://drive.google.com/file/d/0B4phjTjb-BwLaTdNYXB6RUU3c3BWQ0hyS0VFdElXSU1XOFJj/view?usp=sharing","31974")</f>
        <v>31974</v>
      </c>
      <c r="B203" s="165" t="s">
        <v>21</v>
      </c>
      <c r="C203" s="165">
        <v>2911.0</v>
      </c>
      <c r="D203" s="165" t="s">
        <v>12952</v>
      </c>
      <c r="E203" s="214" t="s">
        <v>12953</v>
      </c>
      <c r="F203" s="209">
        <v>43184.0</v>
      </c>
      <c r="G203" s="209">
        <v>43180.0</v>
      </c>
      <c r="H203" s="165" t="s">
        <v>1747</v>
      </c>
      <c r="I203" s="209">
        <v>43188.0</v>
      </c>
      <c r="J203" s="165" t="s">
        <v>12950</v>
      </c>
      <c r="K203" s="191" t="s">
        <v>3197</v>
      </c>
      <c r="L203" s="242" t="s">
        <v>12954</v>
      </c>
      <c r="M203" s="215" t="s">
        <v>497</v>
      </c>
      <c r="N203" s="165" t="s">
        <v>2554</v>
      </c>
      <c r="O203" s="232">
        <v>81179.2</v>
      </c>
      <c r="P203" s="214"/>
      <c r="Q203" s="214"/>
      <c r="R203" s="214"/>
      <c r="S203" s="214"/>
      <c r="T203" s="214"/>
      <c r="U203" s="214"/>
      <c r="V203" s="214"/>
      <c r="W203" s="214"/>
      <c r="X203" s="214"/>
      <c r="Y203" s="214"/>
      <c r="Z203" s="214"/>
      <c r="AA203" s="214"/>
    </row>
    <row r="204" ht="33.75" customHeight="1">
      <c r="A204" s="245" t="str">
        <f>HYPERLINK("https://drive.google.com/file/d/0B4phjTjb-BwLYXVoZ21DWUE0bDc1R2o2bUU3MFl4Z2xaOWx3/view?usp=sharing","31954")</f>
        <v>31954</v>
      </c>
      <c r="B204" s="165" t="s">
        <v>25</v>
      </c>
      <c r="C204" s="165">
        <v>340.0</v>
      </c>
      <c r="D204" s="165" t="s">
        <v>12955</v>
      </c>
      <c r="E204" s="214" t="s">
        <v>8618</v>
      </c>
      <c r="F204" s="209">
        <v>43182.0</v>
      </c>
      <c r="G204" s="209">
        <v>43179.0</v>
      </c>
      <c r="H204" s="165" t="s">
        <v>1747</v>
      </c>
      <c r="I204" s="209">
        <v>43187.0</v>
      </c>
      <c r="J204" s="165" t="s">
        <v>2535</v>
      </c>
      <c r="K204" s="191" t="s">
        <v>2535</v>
      </c>
      <c r="L204" s="242" t="s">
        <v>12956</v>
      </c>
      <c r="M204" s="215" t="s">
        <v>497</v>
      </c>
      <c r="N204" s="215" t="s">
        <v>1077</v>
      </c>
      <c r="O204" s="232">
        <v>19452.4</v>
      </c>
      <c r="P204" s="214"/>
      <c r="Q204" s="214"/>
      <c r="R204" s="214"/>
      <c r="S204" s="214"/>
      <c r="T204" s="214"/>
      <c r="U204" s="214"/>
      <c r="V204" s="214"/>
      <c r="W204" s="214"/>
      <c r="X204" s="214"/>
      <c r="Y204" s="214"/>
      <c r="Z204" s="214"/>
      <c r="AA204" s="214"/>
    </row>
    <row r="205" ht="33.75" customHeight="1">
      <c r="A205" s="245" t="str">
        <f>HYPERLINK("https://drive.google.com/file/d/0B4phjTjb-BwLS0NUQzVuRTRjSmUyOTkwc2ViQ3VucURmVk93/view?usp=sharing","31887")</f>
        <v>31887</v>
      </c>
      <c r="B205" s="165" t="s">
        <v>25</v>
      </c>
      <c r="C205" s="165">
        <v>2040.0</v>
      </c>
      <c r="D205" s="165" t="s">
        <v>12957</v>
      </c>
      <c r="E205" s="214" t="s">
        <v>8688</v>
      </c>
      <c r="F205" s="209">
        <v>43180.0</v>
      </c>
      <c r="G205" s="209">
        <v>43178.0</v>
      </c>
      <c r="H205" s="165" t="s">
        <v>1747</v>
      </c>
      <c r="I205" s="209">
        <v>43186.0</v>
      </c>
      <c r="J205" s="165" t="s">
        <v>2535</v>
      </c>
      <c r="K205" s="191" t="s">
        <v>2535</v>
      </c>
      <c r="L205" s="242" t="s">
        <v>12958</v>
      </c>
      <c r="M205" s="215" t="s">
        <v>497</v>
      </c>
      <c r="N205" s="165" t="s">
        <v>2554</v>
      </c>
      <c r="O205" s="232">
        <v>30685.2</v>
      </c>
      <c r="P205" s="214"/>
      <c r="Q205" s="214"/>
      <c r="R205" s="214"/>
      <c r="S205" s="214"/>
      <c r="T205" s="214"/>
      <c r="U205" s="214"/>
      <c r="V205" s="214"/>
      <c r="W205" s="214"/>
      <c r="X205" s="214"/>
      <c r="Y205" s="214"/>
      <c r="Z205" s="214"/>
      <c r="AA205" s="214"/>
    </row>
    <row r="206" ht="33.75" customHeight="1">
      <c r="A206" s="245" t="str">
        <f>HYPERLINK("https://drive.google.com/file/d/0B4phjTjb-BwLMDFLclR1d0UyX2RhZXdvWHZGbC1iZUpObzI4/view?usp=sharing","31947")</f>
        <v>31947</v>
      </c>
      <c r="B206" s="165" t="s">
        <v>25</v>
      </c>
      <c r="C206" s="165">
        <v>900.0</v>
      </c>
      <c r="D206" s="165" t="s">
        <v>12959</v>
      </c>
      <c r="E206" s="214" t="s">
        <v>4271</v>
      </c>
      <c r="F206" s="209">
        <v>43179.0</v>
      </c>
      <c r="G206" s="209">
        <v>43179.0</v>
      </c>
      <c r="H206" s="165" t="s">
        <v>1747</v>
      </c>
      <c r="I206" s="209">
        <v>43185.0</v>
      </c>
      <c r="J206" s="165" t="s">
        <v>2535</v>
      </c>
      <c r="K206" s="191" t="s">
        <v>2535</v>
      </c>
      <c r="L206" s="242" t="s">
        <v>12960</v>
      </c>
      <c r="M206" s="215"/>
      <c r="N206" s="165"/>
      <c r="O206" s="232"/>
      <c r="P206" s="214"/>
      <c r="Q206" s="214"/>
      <c r="R206" s="214"/>
      <c r="S206" s="214"/>
      <c r="T206" s="214"/>
      <c r="U206" s="214"/>
      <c r="V206" s="214"/>
      <c r="W206" s="214"/>
      <c r="X206" s="214"/>
      <c r="Y206" s="214"/>
      <c r="Z206" s="214"/>
      <c r="AA206" s="214"/>
    </row>
    <row r="207" ht="33.75" customHeight="1">
      <c r="A207" s="245" t="str">
        <f>HYPERLINK("https://drive.google.com/file/d/0B4phjTjb-BwLRFdfNUFFc2ZiSkpvTzY3ZnhTRDVBNWpYSDlN/view?usp=sharing","32047")</f>
        <v>32047</v>
      </c>
      <c r="B207" s="165" t="s">
        <v>14</v>
      </c>
      <c r="C207" s="165">
        <v>1029.0</v>
      </c>
      <c r="D207" s="165" t="s">
        <v>12961</v>
      </c>
      <c r="E207" s="214" t="s">
        <v>12962</v>
      </c>
      <c r="F207" s="209">
        <v>43176.0</v>
      </c>
      <c r="G207" s="209">
        <v>43173.0</v>
      </c>
      <c r="H207" s="165" t="s">
        <v>12879</v>
      </c>
      <c r="I207" s="209">
        <v>43179.0</v>
      </c>
      <c r="J207" s="165" t="s">
        <v>2535</v>
      </c>
      <c r="K207" s="191" t="s">
        <v>2535</v>
      </c>
      <c r="L207" s="242" t="s">
        <v>12963</v>
      </c>
      <c r="M207" s="215"/>
      <c r="N207" s="165"/>
      <c r="O207" s="232"/>
      <c r="P207" s="214"/>
      <c r="Q207" s="214"/>
      <c r="R207" s="214"/>
      <c r="S207" s="214"/>
      <c r="T207" s="214"/>
      <c r="U207" s="214"/>
      <c r="V207" s="214"/>
      <c r="W207" s="214"/>
      <c r="X207" s="214"/>
      <c r="Y207" s="214"/>
      <c r="Z207" s="214"/>
      <c r="AA207" s="214"/>
    </row>
    <row r="208" ht="33.75" customHeight="1">
      <c r="A208" s="245" t="str">
        <f>HYPERLINK("https://drive.google.com/file/d/0B4phjTjb-BwLT1lYQzVIdW0wLUx0Z2QxblJwV2FyVUV2YzlZ/view?usp=sharing","31886")</f>
        <v>31886</v>
      </c>
      <c r="B208" s="165" t="s">
        <v>21</v>
      </c>
      <c r="C208" s="165">
        <v>2040.0</v>
      </c>
      <c r="D208" s="165" t="s">
        <v>2036</v>
      </c>
      <c r="E208" s="214" t="s">
        <v>8688</v>
      </c>
      <c r="F208" s="209">
        <v>43176.0</v>
      </c>
      <c r="G208" s="209">
        <v>43168.0</v>
      </c>
      <c r="H208" s="165" t="s">
        <v>1747</v>
      </c>
      <c r="I208" s="209">
        <v>43181.0</v>
      </c>
      <c r="J208" s="165" t="s">
        <v>12950</v>
      </c>
      <c r="K208" s="191" t="s">
        <v>3197</v>
      </c>
      <c r="L208" s="242" t="s">
        <v>12964</v>
      </c>
      <c r="M208" s="215" t="s">
        <v>497</v>
      </c>
      <c r="N208" s="165" t="s">
        <v>2554</v>
      </c>
      <c r="O208" s="232">
        <v>30824.4</v>
      </c>
      <c r="P208" s="214"/>
      <c r="Q208" s="214"/>
      <c r="R208" s="214"/>
      <c r="S208" s="214"/>
      <c r="T208" s="214"/>
      <c r="U208" s="214"/>
      <c r="V208" s="214"/>
      <c r="W208" s="214"/>
      <c r="X208" s="214"/>
      <c r="Y208" s="214"/>
      <c r="Z208" s="214"/>
      <c r="AA208" s="214"/>
    </row>
    <row r="209" ht="33.75" customHeight="1">
      <c r="A209" s="245" t="str">
        <f>HYPERLINK("https://drive.google.com/file/d/0B4phjTjb-BwLeERsVG9HRld0SnNwZGEwbmhhZHJSc0hvS05J/view?usp=sharing","31885")</f>
        <v>31885</v>
      </c>
      <c r="B209" s="165" t="s">
        <v>21</v>
      </c>
      <c r="C209" s="165">
        <v>2040.0</v>
      </c>
      <c r="D209" s="165" t="s">
        <v>2035</v>
      </c>
      <c r="E209" s="214" t="s">
        <v>8688</v>
      </c>
      <c r="F209" s="209">
        <v>43175.0</v>
      </c>
      <c r="G209" s="209">
        <v>43171.0</v>
      </c>
      <c r="H209" s="165" t="s">
        <v>1747</v>
      </c>
      <c r="I209" s="209">
        <v>43180.0</v>
      </c>
      <c r="J209" s="165" t="s">
        <v>12950</v>
      </c>
      <c r="K209" s="191" t="s">
        <v>3197</v>
      </c>
      <c r="L209" s="242" t="s">
        <v>12965</v>
      </c>
      <c r="M209" s="215" t="s">
        <v>497</v>
      </c>
      <c r="N209" s="165" t="s">
        <v>2554</v>
      </c>
      <c r="O209" s="232">
        <v>30824.4</v>
      </c>
      <c r="P209" s="214"/>
      <c r="Q209" s="214"/>
      <c r="R209" s="214"/>
      <c r="S209" s="214"/>
      <c r="T209" s="214"/>
      <c r="U209" s="214"/>
      <c r="V209" s="214"/>
      <c r="W209" s="214"/>
      <c r="X209" s="214"/>
      <c r="Y209" s="214"/>
      <c r="Z209" s="214"/>
      <c r="AA209" s="214"/>
    </row>
    <row r="210" ht="33.75" customHeight="1">
      <c r="A210" s="245" t="str">
        <f>HYPERLINK("https://drive.google.com/file/d/0B4phjTjb-BwLQmF3QnRkOHU3cE14NHFCX3kxS1U0YWUwT2lN/view?usp=sharing","31883")</f>
        <v>31883</v>
      </c>
      <c r="B210" s="165" t="s">
        <v>25</v>
      </c>
      <c r="C210" s="165">
        <v>2040.0</v>
      </c>
      <c r="D210" s="165" t="s">
        <v>12966</v>
      </c>
      <c r="E210" s="214" t="s">
        <v>8688</v>
      </c>
      <c r="F210" s="209">
        <v>43174.0</v>
      </c>
      <c r="G210" s="209">
        <v>43166.0</v>
      </c>
      <c r="H210" s="165" t="s">
        <v>1747</v>
      </c>
      <c r="I210" s="209">
        <v>43178.0</v>
      </c>
      <c r="J210" s="165" t="s">
        <v>2535</v>
      </c>
      <c r="K210" s="191" t="s">
        <v>2535</v>
      </c>
      <c r="L210" s="242" t="s">
        <v>12967</v>
      </c>
      <c r="M210" s="215" t="s">
        <v>497</v>
      </c>
      <c r="N210" s="165" t="s">
        <v>2554</v>
      </c>
      <c r="O210" s="232">
        <v>30685.2</v>
      </c>
      <c r="P210" s="214"/>
      <c r="Q210" s="214"/>
      <c r="R210" s="214"/>
      <c r="S210" s="214"/>
      <c r="T210" s="214"/>
      <c r="U210" s="214"/>
      <c r="V210" s="214"/>
      <c r="W210" s="214"/>
      <c r="X210" s="214"/>
      <c r="Y210" s="214"/>
      <c r="Z210" s="214"/>
      <c r="AA210" s="214"/>
    </row>
    <row r="211" ht="33.75" customHeight="1">
      <c r="A211" s="245" t="str">
        <f>HYPERLINK("https://drive.google.com/file/d/0B4phjTjb-BwLYnRQWkV0eGNPOWNOc0hHMWloTEVYRVZVYk9v/view?usp=sharing","31973")</f>
        <v>31973</v>
      </c>
      <c r="B211" s="165" t="s">
        <v>21</v>
      </c>
      <c r="C211" s="165">
        <v>1285.0</v>
      </c>
      <c r="D211" s="165" t="s">
        <v>12968</v>
      </c>
      <c r="E211" s="214" t="s">
        <v>12969</v>
      </c>
      <c r="F211" s="209">
        <v>43170.0</v>
      </c>
      <c r="G211" s="209">
        <v>43185.0</v>
      </c>
      <c r="H211" s="165" t="s">
        <v>1747</v>
      </c>
      <c r="I211" s="209">
        <v>43173.0</v>
      </c>
      <c r="J211" s="165" t="s">
        <v>12950</v>
      </c>
      <c r="K211" s="191" t="s">
        <v>3197</v>
      </c>
      <c r="L211" s="242" t="s">
        <v>12970</v>
      </c>
      <c r="M211" s="215" t="s">
        <v>497</v>
      </c>
      <c r="N211" s="165" t="s">
        <v>2554</v>
      </c>
      <c r="O211" s="232">
        <v>35632.0</v>
      </c>
      <c r="P211" s="214"/>
      <c r="Q211" s="214"/>
      <c r="R211" s="214"/>
      <c r="S211" s="214"/>
      <c r="T211" s="214"/>
      <c r="U211" s="214"/>
      <c r="V211" s="214"/>
      <c r="W211" s="214"/>
      <c r="X211" s="214"/>
      <c r="Y211" s="214"/>
      <c r="Z211" s="214"/>
      <c r="AA211" s="214"/>
    </row>
    <row r="212" ht="33.75" customHeight="1">
      <c r="A212" s="245" t="str">
        <f>HYPERLINK("https://drive.google.com/file/d/0B4phjTjb-BwLbXF2X1NLQWdMd1R3Vng5Z291ekdhS1haYl9z/view?usp=sharing","31882")</f>
        <v>31882</v>
      </c>
      <c r="B212" s="165" t="s">
        <v>21</v>
      </c>
      <c r="C212" s="165">
        <v>2040.0</v>
      </c>
      <c r="D212" s="165" t="s">
        <v>2032</v>
      </c>
      <c r="E212" s="214" t="s">
        <v>8688</v>
      </c>
      <c r="F212" s="209">
        <v>43168.0</v>
      </c>
      <c r="G212" s="209">
        <v>43165.0</v>
      </c>
      <c r="H212" s="165" t="s">
        <v>1747</v>
      </c>
      <c r="I212" s="209">
        <v>43174.0</v>
      </c>
      <c r="J212" s="165" t="s">
        <v>12950</v>
      </c>
      <c r="K212" s="191" t="s">
        <v>3197</v>
      </c>
      <c r="L212" s="242" t="s">
        <v>12971</v>
      </c>
      <c r="M212" s="215" t="s">
        <v>497</v>
      </c>
      <c r="N212" s="165" t="s">
        <v>2554</v>
      </c>
      <c r="O212" s="232">
        <v>30824.4</v>
      </c>
      <c r="P212" s="214"/>
      <c r="Q212" s="214"/>
      <c r="R212" s="214"/>
      <c r="S212" s="214"/>
      <c r="T212" s="214"/>
      <c r="U212" s="214"/>
      <c r="V212" s="214"/>
      <c r="W212" s="214"/>
      <c r="X212" s="214"/>
      <c r="Y212" s="214"/>
      <c r="Z212" s="214"/>
      <c r="AA212" s="214"/>
    </row>
    <row r="213" ht="33.75" customHeight="1">
      <c r="A213" s="245" t="str">
        <f>HYPERLINK("https://drive.google.com/file/d/0B4phjTjb-BwLUFo1RjBjX1hkbjRnVk5iT09QSzFadkk5aGcw/view?usp=sharing","32012")</f>
        <v>32012</v>
      </c>
      <c r="B213" s="165" t="s">
        <v>14</v>
      </c>
      <c r="C213" s="165">
        <v>930.0</v>
      </c>
      <c r="D213" s="165" t="s">
        <v>12972</v>
      </c>
      <c r="E213" s="214" t="s">
        <v>8430</v>
      </c>
      <c r="F213" s="209">
        <v>43165.0</v>
      </c>
      <c r="G213" s="209">
        <v>43164.0</v>
      </c>
      <c r="H213" s="649" t="s">
        <v>12879</v>
      </c>
      <c r="I213" s="209">
        <v>43174.0</v>
      </c>
      <c r="J213" s="165" t="s">
        <v>2535</v>
      </c>
      <c r="K213" s="191" t="s">
        <v>2535</v>
      </c>
      <c r="L213" s="242" t="s">
        <v>12973</v>
      </c>
      <c r="M213" s="215"/>
      <c r="N213" s="165"/>
      <c r="O213" s="232"/>
      <c r="P213" s="214"/>
      <c r="Q213" s="214"/>
      <c r="R213" s="214"/>
      <c r="S213" s="214"/>
      <c r="T213" s="214"/>
      <c r="U213" s="214"/>
      <c r="V213" s="214"/>
      <c r="W213" s="214"/>
      <c r="X213" s="214"/>
      <c r="Y213" s="214"/>
      <c r="Z213" s="214"/>
      <c r="AA213" s="214"/>
    </row>
    <row r="214" ht="33.75" customHeight="1">
      <c r="A214" s="245" t="str">
        <f>HYPERLINK("https://drive.google.com/file/d/0B4phjTjb-BwLVktLZE1XVUgtQUt3LW1yX2I3VHNjS0hBQk1n/view?usp=sharing","31712")</f>
        <v>31712</v>
      </c>
      <c r="B214" s="165" t="s">
        <v>14</v>
      </c>
      <c r="C214" s="165">
        <v>430.0</v>
      </c>
      <c r="D214" s="165" t="s">
        <v>12974</v>
      </c>
      <c r="E214" s="214" t="s">
        <v>12512</v>
      </c>
      <c r="F214" s="209">
        <v>43164.0</v>
      </c>
      <c r="G214" s="209">
        <v>43160.0</v>
      </c>
      <c r="H214" s="165" t="s">
        <v>1747</v>
      </c>
      <c r="I214" s="209">
        <v>43171.0</v>
      </c>
      <c r="J214" s="165" t="s">
        <v>2535</v>
      </c>
      <c r="K214" s="191" t="s">
        <v>2535</v>
      </c>
      <c r="L214" s="242" t="s">
        <v>12975</v>
      </c>
      <c r="M214" s="215" t="s">
        <v>497</v>
      </c>
      <c r="N214" s="215" t="s">
        <v>1077</v>
      </c>
      <c r="O214" s="232">
        <v>19761.9</v>
      </c>
      <c r="P214" s="214"/>
      <c r="Q214" s="214"/>
      <c r="R214" s="214"/>
      <c r="S214" s="214"/>
      <c r="T214" s="214"/>
      <c r="U214" s="214"/>
      <c r="V214" s="214"/>
      <c r="W214" s="214"/>
      <c r="X214" s="214"/>
      <c r="Y214" s="214"/>
      <c r="Z214" s="214"/>
      <c r="AA214" s="214"/>
    </row>
    <row r="215" ht="33.75" customHeight="1">
      <c r="A215" s="245" t="str">
        <f>HYPERLINK("https://drive.google.com/file/d/0B4phjTjb-BwLQmhLQl9faXVoR3VPZ2p5ZXU0a2xHcXVoblNN/view?usp=sharing","32064")</f>
        <v>32064</v>
      </c>
      <c r="B215" s="165" t="s">
        <v>25</v>
      </c>
      <c r="C215" s="165">
        <v>1182.0</v>
      </c>
      <c r="D215" s="165" t="s">
        <v>12976</v>
      </c>
      <c r="E215" s="214" t="s">
        <v>2852</v>
      </c>
      <c r="F215" s="209">
        <v>43160.0</v>
      </c>
      <c r="G215" s="209">
        <v>43186.0</v>
      </c>
      <c r="H215" s="649" t="s">
        <v>1747</v>
      </c>
      <c r="I215" s="209" t="s">
        <v>12977</v>
      </c>
      <c r="J215" s="165" t="s">
        <v>2535</v>
      </c>
      <c r="K215" s="191" t="s">
        <v>2535</v>
      </c>
      <c r="L215" s="242" t="s">
        <v>12978</v>
      </c>
      <c r="M215" s="215"/>
      <c r="N215" s="165"/>
      <c r="O215" s="232"/>
      <c r="P215" s="214"/>
      <c r="Q215" s="214"/>
      <c r="R215" s="214"/>
      <c r="S215" s="214"/>
      <c r="T215" s="214"/>
      <c r="U215" s="214"/>
      <c r="V215" s="214"/>
      <c r="W215" s="214"/>
      <c r="X215" s="214"/>
      <c r="Y215" s="214"/>
      <c r="Z215" s="214"/>
      <c r="AA215" s="214"/>
    </row>
    <row r="216" ht="33.75" customHeight="1">
      <c r="A216" s="245" t="str">
        <f>HYPERLINK("https://drive.google.com/file/d/0B4phjTjb-BwLblNOcEU5dWJycWxzMm5GcmFGbFVDVU03bVZB/view?usp=sharing","32015")</f>
        <v>32015</v>
      </c>
      <c r="B216" s="165" t="s">
        <v>21</v>
      </c>
      <c r="C216" s="165" t="s">
        <v>12979</v>
      </c>
      <c r="D216" s="165" t="s">
        <v>2031</v>
      </c>
      <c r="E216" s="214" t="s">
        <v>12980</v>
      </c>
      <c r="F216" s="209">
        <v>43160.0</v>
      </c>
      <c r="G216" s="209">
        <v>43159.0</v>
      </c>
      <c r="H216" s="165" t="s">
        <v>1747</v>
      </c>
      <c r="I216" s="209">
        <v>43165.0</v>
      </c>
      <c r="J216" s="165" t="s">
        <v>12950</v>
      </c>
      <c r="K216" s="191" t="s">
        <v>3197</v>
      </c>
      <c r="L216" s="242" t="s">
        <v>12981</v>
      </c>
      <c r="M216" s="215"/>
      <c r="N216" s="165"/>
      <c r="O216" s="232"/>
      <c r="P216" s="214"/>
      <c r="Q216" s="214"/>
      <c r="R216" s="214"/>
      <c r="S216" s="214"/>
      <c r="T216" s="214"/>
      <c r="U216" s="214"/>
      <c r="V216" s="214"/>
      <c r="W216" s="214"/>
      <c r="X216" s="214"/>
      <c r="Y216" s="214"/>
      <c r="Z216" s="214"/>
      <c r="AA216" s="214"/>
    </row>
    <row r="217" ht="33.75" customHeight="1">
      <c r="A217" s="245" t="str">
        <f>HYPERLINK("https://drive.google.com/file/d/0B4phjTjb-BwLTDJtUE1OVWdOOVdQX3dWd1FhdzNiX21JZTRB/view?usp=sharing","31995")</f>
        <v>31995</v>
      </c>
      <c r="B217" s="165" t="s">
        <v>14</v>
      </c>
      <c r="C217" s="165">
        <v>777.0</v>
      </c>
      <c r="D217" s="165" t="s">
        <v>12982</v>
      </c>
      <c r="E217" s="214" t="s">
        <v>12983</v>
      </c>
      <c r="F217" s="209">
        <v>43152.0</v>
      </c>
      <c r="G217" s="209">
        <v>43152.0</v>
      </c>
      <c r="H217" s="165" t="s">
        <v>1747</v>
      </c>
      <c r="I217" s="209">
        <v>43159.0</v>
      </c>
      <c r="J217" s="165" t="s">
        <v>2535</v>
      </c>
      <c r="K217" s="191" t="s">
        <v>2535</v>
      </c>
      <c r="L217" s="242" t="s">
        <v>12984</v>
      </c>
      <c r="M217" s="215"/>
      <c r="N217" s="165"/>
      <c r="O217" s="232"/>
      <c r="P217" s="214"/>
      <c r="Q217" s="214"/>
      <c r="R217" s="214"/>
      <c r="S217" s="214"/>
      <c r="T217" s="214"/>
      <c r="U217" s="214"/>
      <c r="V217" s="214"/>
      <c r="W217" s="214"/>
      <c r="X217" s="214"/>
      <c r="Y217" s="214"/>
      <c r="Z217" s="214"/>
      <c r="AA217" s="214"/>
    </row>
    <row r="218" ht="33.75" customHeight="1">
      <c r="A218" s="245" t="str">
        <f>HYPERLINK("https://drive.google.com/file/d/0B4phjTjb-BwLZFdubW01Y1NvN1RXbk0td213ejh6QmdwRXpB/view?usp=sharing","31993")</f>
        <v>31993</v>
      </c>
      <c r="B218" s="165" t="s">
        <v>14</v>
      </c>
      <c r="C218" s="165">
        <v>1300.0</v>
      </c>
      <c r="D218" s="165" t="s">
        <v>12985</v>
      </c>
      <c r="E218" s="214" t="s">
        <v>8430</v>
      </c>
      <c r="F218" s="209">
        <v>43151.0</v>
      </c>
      <c r="G218" s="209">
        <v>43172.0</v>
      </c>
      <c r="H218" s="165" t="s">
        <v>1747</v>
      </c>
      <c r="I218" s="209">
        <v>43154.0</v>
      </c>
      <c r="J218" s="165" t="s">
        <v>2535</v>
      </c>
      <c r="K218" s="191" t="s">
        <v>2535</v>
      </c>
      <c r="L218" s="242" t="s">
        <v>12986</v>
      </c>
      <c r="M218" s="215"/>
      <c r="N218" s="165"/>
      <c r="O218" s="232"/>
      <c r="P218" s="214"/>
      <c r="Q218" s="214"/>
      <c r="R218" s="214"/>
      <c r="S218" s="214"/>
      <c r="T218" s="214"/>
      <c r="U218" s="214"/>
      <c r="V218" s="214"/>
      <c r="W218" s="214"/>
      <c r="X218" s="214"/>
      <c r="Y218" s="214"/>
      <c r="Z218" s="214"/>
      <c r="AA218" s="214"/>
    </row>
    <row r="219" ht="33.75" customHeight="1">
      <c r="A219" s="245" t="str">
        <f>HYPERLINK("https://drive.google.com/file/d/0B4phjTjb-BwLTDJJcTZsNGQ4MXJ4eFJJSUNCSmpjNjN6MWIw/view?usp=sharing","31941")</f>
        <v>31941</v>
      </c>
      <c r="B219" s="165" t="s">
        <v>14</v>
      </c>
      <c r="C219" s="165">
        <v>944.0</v>
      </c>
      <c r="D219" s="165" t="s">
        <v>12987</v>
      </c>
      <c r="E219" s="214" t="s">
        <v>12988</v>
      </c>
      <c r="F219" s="209">
        <v>43145.0</v>
      </c>
      <c r="G219" s="209">
        <v>43143.0</v>
      </c>
      <c r="H219" s="165" t="s">
        <v>1747</v>
      </c>
      <c r="I219" s="209">
        <v>43157.0</v>
      </c>
      <c r="J219" s="165" t="s">
        <v>2535</v>
      </c>
      <c r="K219" s="191" t="s">
        <v>2535</v>
      </c>
      <c r="L219" s="242" t="s">
        <v>12989</v>
      </c>
      <c r="M219" s="215"/>
      <c r="N219" s="165"/>
      <c r="O219" s="232"/>
      <c r="P219" s="214"/>
      <c r="Q219" s="214"/>
      <c r="R219" s="214"/>
      <c r="S219" s="214"/>
      <c r="T219" s="214"/>
      <c r="U219" s="214"/>
      <c r="V219" s="214"/>
      <c r="W219" s="214"/>
      <c r="X219" s="214"/>
      <c r="Y219" s="214"/>
      <c r="Z219" s="214"/>
      <c r="AA219" s="214"/>
    </row>
    <row r="220" ht="33.75" customHeight="1">
      <c r="A220" s="245" t="str">
        <f>HYPERLINK("https://drive.google.com/file/d/0B4phjTjb-BwLZ3FyTDFtLVhqR2xhc0g3emVneE9rcGxFbjZR/view?usp=sharing","31969")</f>
        <v>31969</v>
      </c>
      <c r="B220" s="165" t="s">
        <v>14</v>
      </c>
      <c r="C220" s="165">
        <v>1300.0</v>
      </c>
      <c r="D220" s="165" t="s">
        <v>12990</v>
      </c>
      <c r="E220" s="214" t="s">
        <v>12905</v>
      </c>
      <c r="F220" s="209">
        <v>43144.0</v>
      </c>
      <c r="G220" s="209">
        <v>43140.0</v>
      </c>
      <c r="H220" s="165" t="s">
        <v>1747</v>
      </c>
      <c r="I220" s="209">
        <v>43147.0</v>
      </c>
      <c r="J220" s="165" t="s">
        <v>2535</v>
      </c>
      <c r="K220" s="191" t="s">
        <v>2535</v>
      </c>
      <c r="L220" s="242" t="s">
        <v>12991</v>
      </c>
      <c r="M220" s="215"/>
      <c r="N220" s="165"/>
      <c r="O220" s="232"/>
      <c r="P220" s="214"/>
      <c r="Q220" s="214"/>
      <c r="R220" s="214"/>
      <c r="S220" s="214"/>
      <c r="T220" s="214"/>
      <c r="U220" s="214"/>
      <c r="V220" s="214"/>
      <c r="W220" s="214"/>
      <c r="X220" s="214"/>
      <c r="Y220" s="214"/>
      <c r="Z220" s="214"/>
      <c r="AA220" s="214"/>
    </row>
    <row r="221" ht="33.75" customHeight="1">
      <c r="A221" s="245" t="str">
        <f>HYPERLINK("https://drive.google.com/file/d/0B4phjTjb-BwLNkFDeDJQWHJWVWxwUFdqaVVtWjVVMlJSdGtB/view?usp=sharing","31810")</f>
        <v>31810</v>
      </c>
      <c r="B221" s="165" t="s">
        <v>21</v>
      </c>
      <c r="C221" s="165">
        <v>665.0</v>
      </c>
      <c r="D221" s="165" t="s">
        <v>2029</v>
      </c>
      <c r="E221" s="214" t="s">
        <v>12729</v>
      </c>
      <c r="F221" s="209">
        <v>43137.0</v>
      </c>
      <c r="G221" s="209">
        <v>43136.0</v>
      </c>
      <c r="H221" s="165" t="s">
        <v>12879</v>
      </c>
      <c r="I221" s="209">
        <v>43145.0</v>
      </c>
      <c r="J221" s="165" t="s">
        <v>12992</v>
      </c>
      <c r="K221" s="165" t="s">
        <v>2531</v>
      </c>
      <c r="L221" s="242" t="s">
        <v>12993</v>
      </c>
      <c r="M221" s="215"/>
      <c r="N221" s="165"/>
      <c r="O221" s="232"/>
      <c r="P221" s="214"/>
      <c r="Q221" s="214"/>
      <c r="R221" s="214"/>
      <c r="S221" s="214"/>
      <c r="T221" s="214"/>
      <c r="U221" s="214"/>
      <c r="V221" s="214"/>
      <c r="W221" s="214"/>
      <c r="X221" s="214"/>
      <c r="Y221" s="214"/>
      <c r="Z221" s="214"/>
      <c r="AA221" s="214"/>
    </row>
    <row r="222" ht="33.75" customHeight="1">
      <c r="A222" s="245" t="str">
        <f>HYPERLINK("https://drive.google.com/file/d/0B4phjTjb-BwLRE5qSTBNSk9LZlVrUzNFTHlNaU1Udm1nNDVN/view?usp=sharing","31946")</f>
        <v>31946</v>
      </c>
      <c r="B222" s="165" t="s">
        <v>14</v>
      </c>
      <c r="C222" s="165">
        <v>1300.0</v>
      </c>
      <c r="D222" s="165" t="s">
        <v>12994</v>
      </c>
      <c r="E222" s="214" t="s">
        <v>12905</v>
      </c>
      <c r="F222" s="209">
        <v>43137.0</v>
      </c>
      <c r="G222" s="209">
        <v>43133.0</v>
      </c>
      <c r="H222" s="165" t="s">
        <v>1747</v>
      </c>
      <c r="I222" s="209">
        <v>43145.0</v>
      </c>
      <c r="J222" s="165" t="s">
        <v>2535</v>
      </c>
      <c r="K222" s="191" t="s">
        <v>2535</v>
      </c>
      <c r="L222" s="242" t="s">
        <v>12995</v>
      </c>
      <c r="M222" s="215"/>
      <c r="N222" s="165"/>
      <c r="O222" s="232"/>
      <c r="P222" s="214"/>
      <c r="Q222" s="214"/>
      <c r="R222" s="214"/>
      <c r="S222" s="214"/>
      <c r="T222" s="214"/>
      <c r="U222" s="214"/>
      <c r="V222" s="214"/>
      <c r="W222" s="214"/>
      <c r="X222" s="214"/>
      <c r="Y222" s="214"/>
      <c r="Z222" s="214"/>
      <c r="AA222" s="214"/>
    </row>
    <row r="223" ht="33.75" customHeight="1">
      <c r="A223" s="245" t="str">
        <f>HYPERLINK("https://drive.google.com/file/d/0B4phjTjb-BwLU3JIb2ZhN0NUeTZiSVBHX3lmclhkOTFib05j/view?usp=sharing","31827")</f>
        <v>31827</v>
      </c>
      <c r="B223" s="165" t="s">
        <v>14</v>
      </c>
      <c r="C223" s="165">
        <v>900.0</v>
      </c>
      <c r="D223" s="165" t="s">
        <v>12996</v>
      </c>
      <c r="E223" s="214" t="s">
        <v>12997</v>
      </c>
      <c r="F223" s="209">
        <v>43136.0</v>
      </c>
      <c r="G223" s="209">
        <v>43154.0</v>
      </c>
      <c r="H223" s="165" t="s">
        <v>1747</v>
      </c>
      <c r="I223" s="209">
        <v>43157.0</v>
      </c>
      <c r="J223" s="165" t="s">
        <v>2535</v>
      </c>
      <c r="K223" s="191" t="s">
        <v>2535</v>
      </c>
      <c r="L223" s="242" t="s">
        <v>12998</v>
      </c>
      <c r="M223" s="215"/>
      <c r="N223" s="165"/>
      <c r="O223" s="232"/>
      <c r="P223" s="214"/>
      <c r="Q223" s="214"/>
      <c r="R223" s="214"/>
      <c r="S223" s="214"/>
      <c r="T223" s="214"/>
      <c r="U223" s="214"/>
      <c r="V223" s="214"/>
      <c r="W223" s="214"/>
      <c r="X223" s="214"/>
      <c r="Y223" s="214"/>
      <c r="Z223" s="214"/>
      <c r="AA223" s="214"/>
    </row>
    <row r="224" ht="33.75" customHeight="1">
      <c r="A224" s="245" t="str">
        <f>HYPERLINK("https://drive.google.com/file/d/0B4phjTjb-BwLLVlnU0V3MDU0SU9BaXctTFFHVzlfUV9UYWlr/view?usp=sharing","31545")</f>
        <v>31545</v>
      </c>
      <c r="B224" s="165" t="s">
        <v>14</v>
      </c>
      <c r="C224" s="165">
        <v>1130.0</v>
      </c>
      <c r="D224" s="165" t="s">
        <v>12999</v>
      </c>
      <c r="E224" s="214" t="s">
        <v>8440</v>
      </c>
      <c r="F224" s="209">
        <v>43136.0</v>
      </c>
      <c r="G224" s="209">
        <v>43132.0</v>
      </c>
      <c r="H224" s="165" t="s">
        <v>1747</v>
      </c>
      <c r="I224" s="209" t="s">
        <v>13000</v>
      </c>
      <c r="J224" s="165" t="s">
        <v>2535</v>
      </c>
      <c r="K224" s="191" t="s">
        <v>2535</v>
      </c>
      <c r="L224" s="242" t="s">
        <v>13001</v>
      </c>
      <c r="M224" s="215" t="s">
        <v>497</v>
      </c>
      <c r="N224" s="165" t="s">
        <v>3868</v>
      </c>
      <c r="O224" s="232">
        <v>18383.4</v>
      </c>
      <c r="P224" s="214"/>
      <c r="Q224" s="214"/>
      <c r="R224" s="214"/>
      <c r="S224" s="214"/>
      <c r="T224" s="214"/>
      <c r="U224" s="214"/>
      <c r="V224" s="214"/>
      <c r="W224" s="214"/>
      <c r="X224" s="214"/>
      <c r="Y224" s="214"/>
      <c r="Z224" s="214"/>
      <c r="AA224" s="214"/>
    </row>
    <row r="225" ht="33.75" customHeight="1">
      <c r="A225" s="245" t="str">
        <f>HYPERLINK("https://drive.google.com/file/d/0B4phjTjb-BwLQWN2ZkVCYk5TSVM4djcyclFTaU93RFRtZ29B/view?usp=sharing","31806")</f>
        <v>31806</v>
      </c>
      <c r="B225" s="165" t="s">
        <v>21</v>
      </c>
      <c r="C225" s="165">
        <v>900.0</v>
      </c>
      <c r="D225" s="165" t="s">
        <v>13002</v>
      </c>
      <c r="E225" s="214" t="s">
        <v>12997</v>
      </c>
      <c r="F225" s="209">
        <v>43134.0</v>
      </c>
      <c r="G225" s="209">
        <v>43147.0</v>
      </c>
      <c r="H225" s="165" t="s">
        <v>1747</v>
      </c>
      <c r="I225" s="209">
        <v>43138.0</v>
      </c>
      <c r="J225" s="165" t="s">
        <v>12992</v>
      </c>
      <c r="K225" s="165" t="s">
        <v>2531</v>
      </c>
      <c r="L225" s="242" t="s">
        <v>13003</v>
      </c>
      <c r="M225" s="215"/>
      <c r="N225" s="165"/>
      <c r="O225" s="232"/>
      <c r="P225" s="214"/>
      <c r="Q225" s="214"/>
      <c r="R225" s="214"/>
      <c r="S225" s="214"/>
      <c r="T225" s="214"/>
      <c r="U225" s="214"/>
      <c r="V225" s="214"/>
      <c r="W225" s="214"/>
      <c r="X225" s="214"/>
      <c r="Y225" s="214"/>
      <c r="Z225" s="214"/>
      <c r="AA225" s="214"/>
    </row>
    <row r="226" ht="33.75" customHeight="1">
      <c r="A226" s="245" t="str">
        <f>HYPERLINK("https://drive.google.com/file/d/0B4phjTjb-BwLaVpRNkhOTDMyY0ZLU2FvLW9jTWtrTGdNUWRv/view?usp=sharing","31717")</f>
        <v>31717</v>
      </c>
      <c r="B226" s="165" t="s">
        <v>14</v>
      </c>
      <c r="C226" s="165">
        <v>320.0</v>
      </c>
      <c r="D226" s="165" t="s">
        <v>13004</v>
      </c>
      <c r="E226" s="214" t="s">
        <v>13005</v>
      </c>
      <c r="F226" s="209">
        <v>43132.0</v>
      </c>
      <c r="G226" s="209">
        <v>43129.0</v>
      </c>
      <c r="H226" s="165" t="s">
        <v>1747</v>
      </c>
      <c r="I226" s="209">
        <v>43139.0</v>
      </c>
      <c r="J226" s="165" t="s">
        <v>2535</v>
      </c>
      <c r="K226" s="191" t="s">
        <v>2535</v>
      </c>
      <c r="L226" s="242" t="s">
        <v>13006</v>
      </c>
      <c r="M226" s="215"/>
      <c r="N226" s="165"/>
      <c r="O226" s="232"/>
      <c r="P226" s="214"/>
      <c r="Q226" s="214"/>
      <c r="R226" s="214"/>
      <c r="S226" s="214"/>
      <c r="T226" s="214"/>
      <c r="U226" s="214"/>
      <c r="V226" s="214"/>
      <c r="W226" s="214"/>
      <c r="X226" s="214"/>
      <c r="Y226" s="214"/>
      <c r="Z226" s="214"/>
      <c r="AA226" s="214"/>
    </row>
    <row r="227" ht="33.75" customHeight="1">
      <c r="A227" s="245" t="str">
        <f>HYPERLINK("https://drive.google.com/file/d/0B4phjTjb-BwLZWp5VTlWVjlPaldKcmMtX0R4U0ZmdzhvOFZF/view?usp=sharing","31892")</f>
        <v>31892</v>
      </c>
      <c r="B227" s="165" t="s">
        <v>25</v>
      </c>
      <c r="C227" s="165">
        <v>147.0</v>
      </c>
      <c r="D227" s="165" t="s">
        <v>13007</v>
      </c>
      <c r="E227" s="214" t="s">
        <v>13008</v>
      </c>
      <c r="F227" s="209">
        <v>43131.0</v>
      </c>
      <c r="G227" s="209" t="s">
        <v>210</v>
      </c>
      <c r="H227" s="165" t="s">
        <v>1747</v>
      </c>
      <c r="I227" s="209">
        <v>43139.0</v>
      </c>
      <c r="J227" s="165" t="s">
        <v>2535</v>
      </c>
      <c r="K227" s="191" t="s">
        <v>2535</v>
      </c>
      <c r="L227" s="242" t="s">
        <v>13009</v>
      </c>
      <c r="M227" s="215"/>
      <c r="N227" s="165"/>
      <c r="O227" s="232"/>
      <c r="P227" s="214"/>
      <c r="Q227" s="214"/>
      <c r="R227" s="214"/>
      <c r="S227" s="214"/>
      <c r="T227" s="214"/>
      <c r="U227" s="214"/>
      <c r="V227" s="214"/>
      <c r="W227" s="214"/>
      <c r="X227" s="214"/>
      <c r="Y227" s="214"/>
      <c r="Z227" s="214"/>
      <c r="AA227" s="214"/>
    </row>
    <row r="228" ht="33.75" customHeight="1">
      <c r="A228" s="245" t="str">
        <f>HYPERLINK("https://drive.google.com/file/d/0B4phjTjb-BwLb2xSZXNRNU43ZlFOTkFMd3ppTXpJSmtla0Vj/view?usp=sharing","31935")</f>
        <v>31935</v>
      </c>
      <c r="B228" s="165" t="s">
        <v>14</v>
      </c>
      <c r="C228" s="165">
        <v>1300.0</v>
      </c>
      <c r="D228" s="165" t="s">
        <v>13010</v>
      </c>
      <c r="E228" s="214" t="s">
        <v>12905</v>
      </c>
      <c r="F228" s="209">
        <v>43130.0</v>
      </c>
      <c r="G228" s="209">
        <v>43126.0</v>
      </c>
      <c r="H228" s="165" t="s">
        <v>1747</v>
      </c>
      <c r="I228" s="209">
        <v>43137.0</v>
      </c>
      <c r="J228" s="165" t="s">
        <v>2535</v>
      </c>
      <c r="K228" s="191" t="s">
        <v>2535</v>
      </c>
      <c r="L228" s="242" t="s">
        <v>13011</v>
      </c>
      <c r="M228" s="215"/>
      <c r="N228" s="165"/>
      <c r="O228" s="232"/>
      <c r="P228" s="214"/>
      <c r="Q228" s="214"/>
      <c r="R228" s="214"/>
      <c r="S228" s="214"/>
      <c r="T228" s="214"/>
      <c r="U228" s="214"/>
      <c r="V228" s="214"/>
      <c r="W228" s="214"/>
      <c r="X228" s="214"/>
      <c r="Y228" s="214"/>
      <c r="Z228" s="214"/>
      <c r="AA228" s="214"/>
    </row>
    <row r="229" ht="33.75" customHeight="1">
      <c r="A229" s="245" t="str">
        <f>HYPERLINK("https://drive.google.com/file/d/0B4phjTjb-BwLaUNmdTFqUGZOY0lGX2M1VlJTalRTLVhXb21z/view?usp=sharing","31910")</f>
        <v>31910</v>
      </c>
      <c r="B229" s="165" t="s">
        <v>14</v>
      </c>
      <c r="C229" s="165">
        <v>1100.0</v>
      </c>
      <c r="D229" s="165" t="s">
        <v>13012</v>
      </c>
      <c r="E229" s="214" t="s">
        <v>13013</v>
      </c>
      <c r="F229" s="209">
        <v>43130.0</v>
      </c>
      <c r="G229" s="209">
        <v>43129.0</v>
      </c>
      <c r="H229" s="165" t="s">
        <v>12879</v>
      </c>
      <c r="I229" s="209">
        <v>43144.0</v>
      </c>
      <c r="J229" s="165" t="s">
        <v>2535</v>
      </c>
      <c r="K229" s="191" t="s">
        <v>2535</v>
      </c>
      <c r="L229" s="242" t="s">
        <v>13014</v>
      </c>
      <c r="M229" s="215"/>
      <c r="N229" s="165"/>
      <c r="O229" s="232"/>
      <c r="P229" s="214"/>
      <c r="Q229" s="214"/>
      <c r="R229" s="214"/>
      <c r="S229" s="214"/>
      <c r="T229" s="214"/>
      <c r="U229" s="214"/>
      <c r="V229" s="214"/>
      <c r="W229" s="214"/>
      <c r="X229" s="214"/>
      <c r="Y229" s="214"/>
      <c r="Z229" s="214"/>
      <c r="AA229" s="214"/>
    </row>
    <row r="230" ht="33.75" customHeight="1">
      <c r="A230" s="245" t="str">
        <f>HYPERLINK("https://drive.google.com/file/d/0B4phjTjb-BwLSmtFMUE1V1RueW5lRTdmbVItc2c0cGFvQi1Z/view?usp=sharing","31607")</f>
        <v>31607</v>
      </c>
      <c r="B230" s="165" t="s">
        <v>14</v>
      </c>
      <c r="C230" s="165">
        <v>2040.0</v>
      </c>
      <c r="D230" s="165" t="s">
        <v>13015</v>
      </c>
      <c r="E230" s="214" t="s">
        <v>8688</v>
      </c>
      <c r="F230" s="209">
        <v>43129.0</v>
      </c>
      <c r="G230" s="209">
        <v>43132.0</v>
      </c>
      <c r="H230" s="165" t="s">
        <v>1747</v>
      </c>
      <c r="I230" s="209">
        <v>43140.0</v>
      </c>
      <c r="J230" s="165" t="s">
        <v>2535</v>
      </c>
      <c r="K230" s="191" t="s">
        <v>2535</v>
      </c>
      <c r="L230" s="242" t="s">
        <v>13016</v>
      </c>
      <c r="M230" s="215" t="s">
        <v>497</v>
      </c>
      <c r="N230" s="165" t="s">
        <v>2554</v>
      </c>
      <c r="O230" s="232">
        <v>30824.4</v>
      </c>
      <c r="P230" s="214"/>
      <c r="Q230" s="214"/>
      <c r="R230" s="214"/>
      <c r="S230" s="214"/>
      <c r="T230" s="214"/>
      <c r="U230" s="214"/>
      <c r="V230" s="214"/>
      <c r="W230" s="214"/>
      <c r="X230" s="214"/>
      <c r="Y230" s="214"/>
      <c r="Z230" s="214"/>
      <c r="AA230" s="214"/>
    </row>
    <row r="231" ht="33.75" customHeight="1">
      <c r="A231" s="245" t="str">
        <f>HYPERLINK("https://drive.google.com/file/d/0B4phjTjb-BwLbWwySjdfX1QwRmQ2UUdDcnYyaDcxZmpxbE9N/view?usp=sharing","31606")</f>
        <v>31606</v>
      </c>
      <c r="B231" s="165" t="s">
        <v>14</v>
      </c>
      <c r="C231" s="165">
        <v>2040.0</v>
      </c>
      <c r="D231" s="165" t="s">
        <v>13017</v>
      </c>
      <c r="E231" s="214" t="s">
        <v>8688</v>
      </c>
      <c r="F231" s="209">
        <v>43129.0</v>
      </c>
      <c r="G231" s="209">
        <v>43132.0</v>
      </c>
      <c r="H231" s="165" t="s">
        <v>1747</v>
      </c>
      <c r="I231" s="209">
        <v>43144.0</v>
      </c>
      <c r="J231" s="165" t="s">
        <v>2535</v>
      </c>
      <c r="K231" s="191" t="s">
        <v>2535</v>
      </c>
      <c r="L231" s="242" t="s">
        <v>13018</v>
      </c>
      <c r="M231" s="215" t="s">
        <v>497</v>
      </c>
      <c r="N231" s="165" t="s">
        <v>2554</v>
      </c>
      <c r="O231" s="232">
        <v>30824.4</v>
      </c>
      <c r="P231" s="214"/>
      <c r="Q231" s="214"/>
      <c r="R231" s="214"/>
      <c r="S231" s="214"/>
      <c r="T231" s="214"/>
      <c r="U231" s="214"/>
      <c r="V231" s="214"/>
      <c r="W231" s="214"/>
      <c r="X231" s="214"/>
      <c r="Y231" s="214"/>
      <c r="Z231" s="214"/>
      <c r="AA231" s="214"/>
    </row>
    <row r="232" ht="33.75" customHeight="1">
      <c r="A232" s="245" t="str">
        <f>HYPERLINK("https://drive.google.com/file/d/0B4phjTjb-BwLSng0UmZnQU1TQjVZZFFTYmlkZ0g5Z2o1QmVr/view?usp=sharing","31936")</f>
        <v>31936</v>
      </c>
      <c r="B232" s="165" t="s">
        <v>21</v>
      </c>
      <c r="C232" s="165">
        <v>1300.0</v>
      </c>
      <c r="D232" s="165" t="s">
        <v>2027</v>
      </c>
      <c r="E232" s="214" t="s">
        <v>12905</v>
      </c>
      <c r="F232" s="209">
        <v>43125.0</v>
      </c>
      <c r="G232" s="209">
        <v>43147.0</v>
      </c>
      <c r="H232" s="165" t="s">
        <v>1747</v>
      </c>
      <c r="I232" s="209">
        <v>43132.0</v>
      </c>
      <c r="J232" s="165" t="s">
        <v>12992</v>
      </c>
      <c r="K232" s="165" t="s">
        <v>3197</v>
      </c>
      <c r="L232" s="242" t="s">
        <v>13019</v>
      </c>
      <c r="M232" s="215"/>
      <c r="N232" s="165"/>
      <c r="O232" s="232"/>
      <c r="P232" s="214"/>
      <c r="Q232" s="214"/>
      <c r="R232" s="214"/>
      <c r="S232" s="214"/>
      <c r="T232" s="214"/>
      <c r="U232" s="214"/>
      <c r="V232" s="214"/>
      <c r="W232" s="214"/>
      <c r="X232" s="214"/>
      <c r="Y232" s="214"/>
      <c r="Z232" s="214"/>
      <c r="AA232" s="214"/>
    </row>
    <row r="233" ht="33.75" customHeight="1">
      <c r="A233" s="245" t="str">
        <f>HYPERLINK("https://drive.google.com/file/d/0B4phjTjb-BwLZzBfRjJoSTFPbnkzUXV2SDRaSXRFRVNYc2lR/view?usp=sharing","31907")</f>
        <v>31907</v>
      </c>
      <c r="B233" s="165" t="s">
        <v>14</v>
      </c>
      <c r="C233" s="165">
        <v>1139.0</v>
      </c>
      <c r="D233" s="165" t="s">
        <v>13020</v>
      </c>
      <c r="E233" s="214" t="s">
        <v>13021</v>
      </c>
      <c r="F233" s="209">
        <v>43124.0</v>
      </c>
      <c r="G233" s="209">
        <v>43129.0</v>
      </c>
      <c r="H233" s="165" t="s">
        <v>1747</v>
      </c>
      <c r="I233" s="209">
        <v>43136.0</v>
      </c>
      <c r="J233" s="165" t="s">
        <v>2535</v>
      </c>
      <c r="K233" s="191" t="s">
        <v>2535</v>
      </c>
      <c r="L233" s="242" t="s">
        <v>13022</v>
      </c>
      <c r="M233" s="215"/>
      <c r="N233" s="165"/>
      <c r="O233" s="232"/>
      <c r="P233" s="214"/>
      <c r="Q233" s="214"/>
      <c r="R233" s="214"/>
      <c r="S233" s="214"/>
      <c r="T233" s="214"/>
      <c r="U233" s="214"/>
      <c r="V233" s="214"/>
      <c r="W233" s="214"/>
      <c r="X233" s="214"/>
      <c r="Y233" s="214"/>
      <c r="Z233" s="214"/>
      <c r="AA233" s="214"/>
    </row>
    <row r="234" ht="33.75" customHeight="1">
      <c r="A234" s="245" t="str">
        <f>HYPERLINK("https://drive.google.com/file/d/0B4phjTjb-BwLRjl6ZlRzVjVMeHQ1UmFqMEQtOXVIbW5YTmlF/view?usp=sharing","31608")</f>
        <v>31608</v>
      </c>
      <c r="B234" s="165" t="s">
        <v>21</v>
      </c>
      <c r="C234" s="165">
        <v>2040.0</v>
      </c>
      <c r="D234" s="165" t="s">
        <v>2024</v>
      </c>
      <c r="E234" s="214" t="s">
        <v>8688</v>
      </c>
      <c r="F234" s="209">
        <v>43123.0</v>
      </c>
      <c r="G234" s="209">
        <v>43122.0</v>
      </c>
      <c r="H234" s="165" t="s">
        <v>1747</v>
      </c>
      <c r="I234" s="209">
        <v>43131.0</v>
      </c>
      <c r="J234" s="165" t="s">
        <v>13023</v>
      </c>
      <c r="K234" s="165" t="s">
        <v>3197</v>
      </c>
      <c r="L234" s="213" t="s">
        <v>13024</v>
      </c>
      <c r="M234" s="215" t="s">
        <v>497</v>
      </c>
      <c r="N234" s="165" t="s">
        <v>2554</v>
      </c>
      <c r="O234" s="232">
        <v>30824.4</v>
      </c>
      <c r="P234" s="214"/>
      <c r="Q234" s="214"/>
      <c r="R234" s="214"/>
      <c r="S234" s="214"/>
      <c r="T234" s="214"/>
      <c r="U234" s="214"/>
      <c r="V234" s="214"/>
      <c r="W234" s="214"/>
      <c r="X234" s="214"/>
      <c r="Y234" s="214"/>
      <c r="Z234" s="214"/>
      <c r="AA234" s="214"/>
    </row>
    <row r="235" ht="33.75" customHeight="1">
      <c r="A235" s="245" t="str">
        <f>HYPERLINK("https://drive.google.com/file/d/0B4phjTjb-BwLbmRrbGZuNXdjTmFVR3pFZ2VuajVhVURRODFn/view?usp=sharing","31609")</f>
        <v>31609</v>
      </c>
      <c r="B235" s="165" t="s">
        <v>21</v>
      </c>
      <c r="C235" s="165">
        <v>2040.0</v>
      </c>
      <c r="D235" s="165" t="s">
        <v>2025</v>
      </c>
      <c r="E235" s="214" t="s">
        <v>8688</v>
      </c>
      <c r="F235" s="209">
        <v>43123.0</v>
      </c>
      <c r="G235" s="209">
        <v>43122.0</v>
      </c>
      <c r="H235" s="165" t="s">
        <v>1747</v>
      </c>
      <c r="I235" s="209">
        <v>43132.0</v>
      </c>
      <c r="J235" s="165" t="s">
        <v>12992</v>
      </c>
      <c r="K235" s="165" t="s">
        <v>3197</v>
      </c>
      <c r="L235" s="213" t="s">
        <v>13025</v>
      </c>
      <c r="M235" s="215" t="s">
        <v>497</v>
      </c>
      <c r="N235" s="165" t="s">
        <v>2554</v>
      </c>
      <c r="O235" s="232">
        <v>30824.4</v>
      </c>
      <c r="P235" s="214"/>
      <c r="Q235" s="214"/>
      <c r="R235" s="214"/>
      <c r="S235" s="214"/>
      <c r="T235" s="214"/>
      <c r="U235" s="214"/>
      <c r="V235" s="214"/>
      <c r="W235" s="214"/>
      <c r="X235" s="214"/>
      <c r="Y235" s="214"/>
      <c r="Z235" s="214"/>
      <c r="AA235" s="214"/>
    </row>
    <row r="236" ht="33.75" customHeight="1">
      <c r="A236" s="245" t="str">
        <f>HYPERLINK("https://drive.google.com/file/d/0B4phjTjb-BwLcGI2WVlaRFdEaVgyYm9udGFBbGlEYzZwZ21r/view?usp=sharing","31934")</f>
        <v>31934</v>
      </c>
      <c r="B236" s="165" t="s">
        <v>21</v>
      </c>
      <c r="C236" s="165">
        <v>1029.0</v>
      </c>
      <c r="D236" s="165" t="s">
        <v>2026</v>
      </c>
      <c r="E236" s="214" t="s">
        <v>13021</v>
      </c>
      <c r="F236" s="209">
        <v>43123.0</v>
      </c>
      <c r="G236" s="209">
        <v>43122.0</v>
      </c>
      <c r="H236" s="165" t="s">
        <v>13026</v>
      </c>
      <c r="I236" s="209">
        <v>43133.0</v>
      </c>
      <c r="J236" s="165" t="s">
        <v>12992</v>
      </c>
      <c r="K236" s="165" t="s">
        <v>3197</v>
      </c>
      <c r="L236" s="213" t="s">
        <v>13027</v>
      </c>
      <c r="M236" s="215"/>
      <c r="N236" s="165"/>
      <c r="O236" s="232"/>
      <c r="P236" s="214"/>
      <c r="Q236" s="214"/>
      <c r="R236" s="214"/>
      <c r="S236" s="214"/>
      <c r="T236" s="214"/>
      <c r="U236" s="214"/>
      <c r="V236" s="214"/>
      <c r="W236" s="214"/>
      <c r="X236" s="214"/>
      <c r="Y236" s="214"/>
      <c r="Z236" s="214"/>
      <c r="AA236" s="214"/>
    </row>
    <row r="237" ht="33.75" customHeight="1">
      <c r="A237" s="245" t="str">
        <f>HYPERLINK("https://drive.google.com/file/d/0B4phjTjb-BwLMVlMWEs1eVNTQnBuSGFvS3hqNXg3XzhjTGw4/view?usp=sharing","31644 / NS1866 / NS2454")</f>
        <v>31644 / NS1866 / NS2454</v>
      </c>
      <c r="B237" s="165" t="s">
        <v>21</v>
      </c>
      <c r="C237" s="165">
        <v>95.0</v>
      </c>
      <c r="D237" s="165" t="s">
        <v>13028</v>
      </c>
      <c r="E237" s="214" t="s">
        <v>13029</v>
      </c>
      <c r="F237" s="209">
        <v>43119.0</v>
      </c>
      <c r="G237" s="209">
        <v>43116.0</v>
      </c>
      <c r="H237" s="165" t="s">
        <v>1747</v>
      </c>
      <c r="I237" s="209">
        <v>43133.0</v>
      </c>
      <c r="J237" s="165" t="s">
        <v>12992</v>
      </c>
      <c r="K237" s="165" t="s">
        <v>2531</v>
      </c>
      <c r="L237" s="242" t="s">
        <v>13030</v>
      </c>
      <c r="M237" s="215" t="s">
        <v>497</v>
      </c>
      <c r="N237" s="165" t="s">
        <v>1048</v>
      </c>
      <c r="O237" s="232">
        <v>11597.21</v>
      </c>
      <c r="P237" s="214"/>
      <c r="Q237" s="214"/>
      <c r="R237" s="214"/>
      <c r="S237" s="214"/>
      <c r="T237" s="214"/>
      <c r="U237" s="214"/>
      <c r="V237" s="214"/>
      <c r="W237" s="214"/>
      <c r="X237" s="214"/>
      <c r="Y237" s="214"/>
      <c r="Z237" s="214"/>
      <c r="AA237" s="214"/>
    </row>
    <row r="238" ht="33.75" customHeight="1">
      <c r="A238" s="245" t="str">
        <f>HYPERLINK("https://drive.google.com/open?id=0B4phjTjb-BwLajBiWTFUeHF3VS13YlhkY0YyczFac1gxMHdJ","31708")</f>
        <v>31708</v>
      </c>
      <c r="B238" s="165" t="s">
        <v>21</v>
      </c>
      <c r="C238" s="165">
        <v>423.0</v>
      </c>
      <c r="D238" s="165" t="s">
        <v>13031</v>
      </c>
      <c r="E238" s="214" t="s">
        <v>12512</v>
      </c>
      <c r="F238" s="209">
        <v>43118.0</v>
      </c>
      <c r="G238" s="209">
        <v>43122.0</v>
      </c>
      <c r="H238" s="165" t="s">
        <v>1747</v>
      </c>
      <c r="I238" s="209">
        <v>43140.0</v>
      </c>
      <c r="J238" s="165" t="s">
        <v>12992</v>
      </c>
      <c r="K238" s="165" t="s">
        <v>2531</v>
      </c>
      <c r="L238" s="242" t="s">
        <v>13032</v>
      </c>
      <c r="M238" s="215" t="s">
        <v>497</v>
      </c>
      <c r="N238" s="215" t="s">
        <v>1077</v>
      </c>
      <c r="O238" s="232">
        <v>19067.28</v>
      </c>
      <c r="P238" s="214"/>
      <c r="Q238" s="214"/>
      <c r="R238" s="214"/>
      <c r="S238" s="214"/>
      <c r="T238" s="214"/>
      <c r="U238" s="214"/>
      <c r="V238" s="214"/>
      <c r="W238" s="214"/>
      <c r="X238" s="214"/>
      <c r="Y238" s="214"/>
      <c r="Z238" s="214"/>
      <c r="AA238" s="214"/>
    </row>
    <row r="239" ht="33.75" customHeight="1">
      <c r="A239" s="245" t="str">
        <f>HYPERLINK("https://drive.google.com/file/d/0B4phjTjb-BwLZDVUNTFRcW4tWnM5S2FBd1ZzSTFibU0xVFZJ/view?usp=sharing","31897")</f>
        <v>31897</v>
      </c>
      <c r="B239" s="165" t="s">
        <v>21</v>
      </c>
      <c r="C239" s="165">
        <v>1100.0</v>
      </c>
      <c r="D239" s="165" t="s">
        <v>13033</v>
      </c>
      <c r="E239" s="214" t="s">
        <v>13013</v>
      </c>
      <c r="F239" s="209">
        <v>43114.0</v>
      </c>
      <c r="G239" s="209">
        <v>43112.0</v>
      </c>
      <c r="H239" s="165" t="s">
        <v>1747</v>
      </c>
      <c r="I239" s="209">
        <v>43122.0</v>
      </c>
      <c r="J239" s="165" t="s">
        <v>13023</v>
      </c>
      <c r="K239" s="165" t="s">
        <v>3197</v>
      </c>
      <c r="L239" s="242" t="s">
        <v>13034</v>
      </c>
      <c r="M239" s="215"/>
      <c r="N239" s="165"/>
      <c r="O239" s="232"/>
      <c r="P239" s="214"/>
      <c r="Q239" s="214"/>
      <c r="R239" s="214"/>
      <c r="S239" s="214"/>
      <c r="T239" s="214"/>
      <c r="U239" s="214"/>
      <c r="V239" s="214"/>
      <c r="W239" s="214"/>
      <c r="X239" s="214"/>
      <c r="Y239" s="214"/>
      <c r="Z239" s="214"/>
      <c r="AA239" s="214"/>
    </row>
    <row r="240" ht="33.75" customHeight="1">
      <c r="A240" s="245" t="str">
        <f>HYPERLINK("https://drive.google.com/file/d/0B4phjTjb-BwLTVJ2aWtxZWhBaGpqVEtoekZkSTFKNHRlN25v/view?usp=sharing","31602")</f>
        <v>31602</v>
      </c>
      <c r="B240" s="165" t="s">
        <v>14</v>
      </c>
      <c r="C240" s="165">
        <v>2040.0</v>
      </c>
      <c r="D240" s="165" t="s">
        <v>13035</v>
      </c>
      <c r="E240" s="214" t="s">
        <v>8688</v>
      </c>
      <c r="F240" s="209">
        <v>43114.0</v>
      </c>
      <c r="G240" s="209" t="s">
        <v>210</v>
      </c>
      <c r="H240" s="165" t="s">
        <v>1747</v>
      </c>
      <c r="I240" s="209">
        <v>43122.0</v>
      </c>
      <c r="J240" s="165" t="s">
        <v>2535</v>
      </c>
      <c r="K240" s="191" t="s">
        <v>2535</v>
      </c>
      <c r="L240" s="242" t="s">
        <v>13036</v>
      </c>
      <c r="M240" s="215" t="s">
        <v>497</v>
      </c>
      <c r="N240" s="165" t="s">
        <v>2554</v>
      </c>
      <c r="O240" s="232">
        <v>30824.4</v>
      </c>
      <c r="P240" s="214"/>
      <c r="Q240" s="214"/>
      <c r="R240" s="214"/>
      <c r="S240" s="214"/>
      <c r="T240" s="214"/>
      <c r="U240" s="214"/>
      <c r="V240" s="214"/>
      <c r="W240" s="214"/>
      <c r="X240" s="214"/>
      <c r="Y240" s="214"/>
      <c r="Z240" s="214"/>
      <c r="AA240" s="214"/>
    </row>
    <row r="241" ht="33.75" customHeight="1">
      <c r="A241" s="165">
        <v>31807.0</v>
      </c>
      <c r="B241" s="165" t="s">
        <v>14</v>
      </c>
      <c r="C241" s="165">
        <v>1800.0</v>
      </c>
      <c r="D241" s="165" t="s">
        <v>13037</v>
      </c>
      <c r="E241" s="214" t="s">
        <v>1038</v>
      </c>
      <c r="F241" s="209">
        <v>43110.0</v>
      </c>
      <c r="G241" s="209" t="s">
        <v>210</v>
      </c>
      <c r="H241" s="165" t="s">
        <v>1747</v>
      </c>
      <c r="I241" s="209">
        <v>43118.0</v>
      </c>
      <c r="J241" s="165" t="s">
        <v>2535</v>
      </c>
      <c r="K241" s="191" t="s">
        <v>2535</v>
      </c>
      <c r="L241" s="242" t="s">
        <v>13038</v>
      </c>
      <c r="M241" s="215"/>
      <c r="N241" s="165"/>
      <c r="O241" s="232"/>
      <c r="P241" s="214"/>
      <c r="Q241" s="214"/>
      <c r="R241" s="214"/>
      <c r="S241" s="214"/>
      <c r="T241" s="214"/>
      <c r="U241" s="214"/>
      <c r="V241" s="214"/>
      <c r="W241" s="214"/>
      <c r="X241" s="214"/>
      <c r="Y241" s="214"/>
      <c r="Z241" s="214"/>
      <c r="AA241" s="214"/>
    </row>
    <row r="242" ht="33.75" customHeight="1">
      <c r="A242" s="245" t="str">
        <f>HYPERLINK("https://drive.google.com/file/d/0B4phjTjb-BwLb2RBMlIta3NaRlZUbktnOWhxcjFER2RvM2Nn/view?usp=sharing","31399")</f>
        <v>31399</v>
      </c>
      <c r="B242" s="165" t="s">
        <v>25</v>
      </c>
      <c r="C242" s="165">
        <v>131.0</v>
      </c>
      <c r="D242" s="165" t="s">
        <v>13039</v>
      </c>
      <c r="E242" s="214" t="s">
        <v>12622</v>
      </c>
      <c r="F242" s="209">
        <v>43110.0</v>
      </c>
      <c r="G242" s="209">
        <v>43125.0</v>
      </c>
      <c r="H242" s="165" t="s">
        <v>1032</v>
      </c>
      <c r="I242" s="209">
        <v>43124.0</v>
      </c>
      <c r="J242" s="165" t="s">
        <v>2535</v>
      </c>
      <c r="K242" s="191" t="s">
        <v>2535</v>
      </c>
      <c r="L242" s="242" t="s">
        <v>13040</v>
      </c>
      <c r="M242" s="215"/>
      <c r="N242" s="165"/>
      <c r="O242" s="232"/>
      <c r="P242" s="214"/>
      <c r="Q242" s="214"/>
      <c r="R242" s="214"/>
      <c r="S242" s="214"/>
      <c r="T242" s="214"/>
      <c r="U242" s="214"/>
      <c r="V242" s="214"/>
      <c r="W242" s="214"/>
      <c r="X242" s="214"/>
      <c r="Y242" s="214"/>
      <c r="Z242" s="214"/>
      <c r="AA242" s="214"/>
    </row>
    <row r="243" ht="33.75" customHeight="1">
      <c r="A243" s="245" t="str">
        <f>HYPERLINK("https://drive.google.com/file/d/0B4phjTjb-BwLSHIxZjVQQzhGVllSaEtrTE9DTkJUY01NaHFV/view?usp=sharing","31898")</f>
        <v>31898</v>
      </c>
      <c r="B243" s="165" t="s">
        <v>14</v>
      </c>
      <c r="C243" s="165">
        <v>1074.0</v>
      </c>
      <c r="D243" s="165" t="s">
        <v>13041</v>
      </c>
      <c r="E243" s="214" t="s">
        <v>13042</v>
      </c>
      <c r="F243" s="209">
        <v>43110.0</v>
      </c>
      <c r="G243" s="209">
        <v>43108.0</v>
      </c>
      <c r="H243" s="649" t="s">
        <v>12879</v>
      </c>
      <c r="I243" s="209">
        <v>43116.0</v>
      </c>
      <c r="J243" s="165" t="s">
        <v>2535</v>
      </c>
      <c r="K243" s="191" t="s">
        <v>2535</v>
      </c>
      <c r="L243" s="242" t="s">
        <v>13043</v>
      </c>
      <c r="M243" s="215"/>
      <c r="N243" s="165"/>
      <c r="O243" s="232"/>
      <c r="P243" s="214"/>
      <c r="Q243" s="214"/>
      <c r="R243" s="214"/>
      <c r="S243" s="214"/>
      <c r="T243" s="214"/>
      <c r="U243" s="214"/>
      <c r="V243" s="214"/>
      <c r="W243" s="214"/>
      <c r="X243" s="214"/>
      <c r="Y243" s="214"/>
      <c r="Z243" s="214"/>
      <c r="AA243" s="214"/>
    </row>
    <row r="244" ht="33.75" customHeight="1">
      <c r="A244" s="245" t="str">
        <f>HYPERLINK("https://drive.google.com/file/d/0B4phjTjb-BwLS2h6UXFfYVVoX25JSldrZU45UWJyOWYzZmQw/view?usp=sharing","31605")</f>
        <v>31605</v>
      </c>
      <c r="B244" s="165" t="s">
        <v>25</v>
      </c>
      <c r="C244" s="165">
        <v>2040.0</v>
      </c>
      <c r="D244" s="165" t="s">
        <v>13044</v>
      </c>
      <c r="E244" s="214" t="s">
        <v>8688</v>
      </c>
      <c r="F244" s="209">
        <v>43109.0</v>
      </c>
      <c r="G244" s="209">
        <v>43110.0</v>
      </c>
      <c r="H244" s="165" t="s">
        <v>1747</v>
      </c>
      <c r="I244" s="209">
        <v>43118.0</v>
      </c>
      <c r="J244" s="165" t="s">
        <v>2535</v>
      </c>
      <c r="K244" s="191" t="s">
        <v>2535</v>
      </c>
      <c r="L244" s="242" t="s">
        <v>13045</v>
      </c>
      <c r="M244" s="215" t="s">
        <v>497</v>
      </c>
      <c r="N244" s="165" t="s">
        <v>2554</v>
      </c>
      <c r="O244" s="232">
        <v>30754.8</v>
      </c>
      <c r="P244" s="214"/>
      <c r="Q244" s="214"/>
      <c r="R244" s="214"/>
      <c r="S244" s="214"/>
      <c r="T244" s="214"/>
      <c r="U244" s="214"/>
      <c r="V244" s="214"/>
      <c r="W244" s="214"/>
      <c r="X244" s="214"/>
      <c r="Y244" s="214"/>
      <c r="Z244" s="214"/>
      <c r="AA244" s="214"/>
    </row>
    <row r="245" ht="33.75" customHeight="1">
      <c r="A245" s="245" t="str">
        <f>HYPERLINK("https://drive.google.com/file/d/0B4phjTjb-BwLNHFlQkZvbmtYMXgyRzN0SWREcUxhOHJTY3Qw/view?usp=sharing","31604")</f>
        <v>31604</v>
      </c>
      <c r="B245" s="165" t="s">
        <v>14</v>
      </c>
      <c r="C245" s="165">
        <v>2040.0</v>
      </c>
      <c r="D245" s="165" t="s">
        <v>13046</v>
      </c>
      <c r="E245" s="214" t="s">
        <v>8688</v>
      </c>
      <c r="F245" s="209">
        <v>43108.0</v>
      </c>
      <c r="G245" s="209">
        <v>43104.0</v>
      </c>
      <c r="H245" s="165" t="s">
        <v>1747</v>
      </c>
      <c r="I245" s="209">
        <v>43112.0</v>
      </c>
      <c r="J245" s="165" t="s">
        <v>2535</v>
      </c>
      <c r="K245" s="191" t="s">
        <v>2535</v>
      </c>
      <c r="L245" s="242" t="s">
        <v>13047</v>
      </c>
      <c r="M245" s="215" t="s">
        <v>497</v>
      </c>
      <c r="N245" s="165" t="s">
        <v>2554</v>
      </c>
      <c r="O245" s="232">
        <v>30685.2</v>
      </c>
      <c r="P245" s="214"/>
      <c r="Q245" s="214"/>
      <c r="R245" s="214"/>
      <c r="S245" s="214"/>
      <c r="T245" s="214"/>
      <c r="U245" s="214"/>
      <c r="V245" s="214"/>
      <c r="W245" s="214"/>
      <c r="X245" s="214"/>
      <c r="Y245" s="214"/>
      <c r="Z245" s="214"/>
      <c r="AA245" s="214"/>
    </row>
    <row r="246" ht="33.75" customHeight="1">
      <c r="A246" s="245" t="str">
        <f>HYPERLINK("https://drive.google.com/file/d/0B4phjTjb-BwLYWFacGRYV1l3TF9BZHdWT3NwSFdYUlo4NmNN/view?usp=sharing","31909")</f>
        <v>31909</v>
      </c>
      <c r="B246" s="165" t="s">
        <v>21</v>
      </c>
      <c r="C246" s="165">
        <v>1150.0</v>
      </c>
      <c r="D246" s="165" t="s">
        <v>2021</v>
      </c>
      <c r="E246" s="214" t="s">
        <v>8475</v>
      </c>
      <c r="F246" s="209">
        <v>43106.0</v>
      </c>
      <c r="G246" s="209" t="s">
        <v>210</v>
      </c>
      <c r="H246" s="165" t="s">
        <v>1747</v>
      </c>
      <c r="I246" s="209">
        <v>43116.0</v>
      </c>
      <c r="J246" s="165" t="s">
        <v>2535</v>
      </c>
      <c r="K246" s="191" t="s">
        <v>2535</v>
      </c>
      <c r="L246" s="213" t="s">
        <v>13048</v>
      </c>
      <c r="M246" s="215"/>
      <c r="N246" s="215"/>
      <c r="O246" s="232"/>
      <c r="P246" s="214"/>
      <c r="Q246" s="214"/>
      <c r="R246" s="214"/>
      <c r="S246" s="214"/>
      <c r="T246" s="214"/>
      <c r="U246" s="214"/>
      <c r="V246" s="214"/>
      <c r="W246" s="214"/>
      <c r="X246" s="214"/>
      <c r="Y246" s="214"/>
      <c r="Z246" s="214"/>
      <c r="AA246" s="214"/>
    </row>
    <row r="247" ht="33.75" customHeight="1">
      <c r="A247" s="245" t="str">
        <f>HYPERLINK("https://drive.google.com/file/d/0B4phjTjb-BwLZDVYendiVkNNTWlsUUtKbW0zVWpERzlXLXpz/view?usp=sharing","31693")</f>
        <v>31693</v>
      </c>
      <c r="B247" s="165" t="s">
        <v>21</v>
      </c>
      <c r="C247" s="165">
        <v>900.0</v>
      </c>
      <c r="D247" s="165" t="s">
        <v>2015</v>
      </c>
      <c r="E247" s="214" t="s">
        <v>12997</v>
      </c>
      <c r="F247" s="209">
        <v>43102.0</v>
      </c>
      <c r="G247" s="209">
        <v>43098.0</v>
      </c>
      <c r="H247" s="165" t="s">
        <v>1747</v>
      </c>
      <c r="I247" s="209">
        <v>43109.0</v>
      </c>
      <c r="J247" s="165" t="s">
        <v>13023</v>
      </c>
      <c r="K247" s="191" t="s">
        <v>2531</v>
      </c>
      <c r="L247" s="213" t="s">
        <v>13049</v>
      </c>
      <c r="M247" s="215"/>
      <c r="N247" s="215"/>
      <c r="O247" s="232"/>
      <c r="P247" s="214"/>
      <c r="Q247" s="214"/>
      <c r="R247" s="214"/>
      <c r="S247" s="214"/>
      <c r="T247" s="214"/>
      <c r="U247" s="214"/>
      <c r="V247" s="214"/>
      <c r="W247" s="214"/>
      <c r="X247" s="214"/>
      <c r="Y247" s="214"/>
      <c r="Z247" s="214"/>
      <c r="AA247" s="214"/>
    </row>
    <row r="248" ht="33.75" customHeight="1">
      <c r="A248" s="245" t="str">
        <f>HYPERLINK("https://drive.google.com/file/d/0B4phjTjb-BwLdFdfX1FocHMxVVlvVDBXRmZBVXc1U2w0Ni1N/view?usp=sharing","31603")</f>
        <v>31603</v>
      </c>
      <c r="B248" s="165" t="s">
        <v>21</v>
      </c>
      <c r="C248" s="165">
        <v>2040.0</v>
      </c>
      <c r="D248" s="165" t="s">
        <v>2016</v>
      </c>
      <c r="E248" s="214" t="s">
        <v>8688</v>
      </c>
      <c r="F248" s="209">
        <v>43102.0</v>
      </c>
      <c r="G248" s="209">
        <v>43098.0</v>
      </c>
      <c r="H248" s="165" t="s">
        <v>1747</v>
      </c>
      <c r="I248" s="209">
        <v>43110.0</v>
      </c>
      <c r="J248" s="165" t="s">
        <v>13023</v>
      </c>
      <c r="K248" s="165" t="s">
        <v>3197</v>
      </c>
      <c r="L248" s="242" t="s">
        <v>13050</v>
      </c>
      <c r="M248" s="215" t="s">
        <v>497</v>
      </c>
      <c r="N248" s="165" t="s">
        <v>2554</v>
      </c>
      <c r="O248" s="232">
        <v>30824.4</v>
      </c>
      <c r="P248" s="214"/>
      <c r="Q248" s="214"/>
      <c r="R248" s="214"/>
      <c r="S248" s="214"/>
      <c r="T248" s="214"/>
      <c r="U248" s="214"/>
      <c r="V248" s="214"/>
      <c r="W248" s="214"/>
      <c r="X248" s="214"/>
      <c r="Y248" s="214"/>
      <c r="Z248" s="214"/>
      <c r="AA248" s="214"/>
    </row>
    <row r="249" ht="33.75" customHeight="1">
      <c r="A249" s="245" t="str">
        <f>HYPERLINK("https://drive.google.com/file/d/0B4phjTjb-BwLbDg5SUlucFBPcmRQR2lxbXZZS1pPZVZFUjlV/view?usp=sharing","31618")</f>
        <v>31618</v>
      </c>
      <c r="B249" s="165" t="s">
        <v>21</v>
      </c>
      <c r="C249" s="165">
        <v>147.0</v>
      </c>
      <c r="D249" s="165" t="s">
        <v>13051</v>
      </c>
      <c r="E249" s="214" t="s">
        <v>13052</v>
      </c>
      <c r="F249" s="209">
        <v>43101.0</v>
      </c>
      <c r="G249" s="209">
        <v>43109.0</v>
      </c>
      <c r="H249" s="165" t="s">
        <v>1747</v>
      </c>
      <c r="I249" s="209">
        <v>43112.0</v>
      </c>
      <c r="J249" s="165" t="s">
        <v>13023</v>
      </c>
      <c r="K249" s="191" t="s">
        <v>2531</v>
      </c>
      <c r="L249" s="242" t="s">
        <v>13053</v>
      </c>
      <c r="M249" s="215"/>
      <c r="N249" s="165"/>
      <c r="O249" s="232"/>
      <c r="P249" s="214"/>
      <c r="Q249" s="214"/>
      <c r="R249" s="214"/>
      <c r="S249" s="214"/>
      <c r="T249" s="214"/>
      <c r="U249" s="214"/>
      <c r="V249" s="214"/>
      <c r="W249" s="214"/>
      <c r="X249" s="214"/>
      <c r="Y249" s="214"/>
      <c r="Z249" s="214"/>
      <c r="AA249" s="214"/>
    </row>
    <row r="250" ht="33.75" customHeight="1">
      <c r="A250" s="245" t="str">
        <f>HYPERLINK("https://drive.google.com/file/d/0B4phjTjb-BwLSmsyWG9ZTHNGODYzSEVLc2F2ck5DX3B5aDFF/view?usp=sharing","31900")</f>
        <v>31900</v>
      </c>
      <c r="B250" s="165" t="s">
        <v>21</v>
      </c>
      <c r="C250" s="165">
        <v>930.0</v>
      </c>
      <c r="D250" s="165" t="s">
        <v>2020</v>
      </c>
      <c r="E250" s="214" t="s">
        <v>8430</v>
      </c>
      <c r="F250" s="209">
        <v>43101.0</v>
      </c>
      <c r="G250" s="209">
        <v>43104.0</v>
      </c>
      <c r="H250" s="165" t="s">
        <v>1747</v>
      </c>
      <c r="I250" s="209">
        <v>43117.0</v>
      </c>
      <c r="J250" s="165" t="s">
        <v>13023</v>
      </c>
      <c r="K250" s="165" t="s">
        <v>3197</v>
      </c>
      <c r="L250" s="242" t="s">
        <v>13054</v>
      </c>
      <c r="M250" s="215"/>
      <c r="N250" s="165"/>
      <c r="O250" s="232"/>
      <c r="P250" s="214"/>
      <c r="Q250" s="214"/>
      <c r="R250" s="214"/>
      <c r="S250" s="214"/>
      <c r="T250" s="214"/>
      <c r="U250" s="214"/>
      <c r="V250" s="214"/>
      <c r="W250" s="214"/>
      <c r="X250" s="214"/>
      <c r="Y250" s="214"/>
      <c r="Z250" s="214"/>
      <c r="AA250" s="214"/>
    </row>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O$250">
    <sortState ref="A3:O250">
      <sortCondition descending="1" ref="F3:F250"/>
      <sortCondition ref="E3:E250"/>
    </sortState>
  </autoFilter>
  <printOptions gridLines="1" horizontalCentered="1"/>
  <pageMargins bottom="0.75" footer="0.0" header="0.0" left="0.7" right="0.7" top="0.75"/>
  <pageSetup fitToHeight="0" cellComments="atEnd" orientation="landscape" pageOrder="overThenDown"/>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14"/>
    <col customWidth="1" min="2" max="2" width="15.0"/>
    <col customWidth="1" min="3" max="3" width="11.71"/>
    <col customWidth="1" min="4" max="4" width="18.43"/>
    <col customWidth="1" min="5" max="5" width="39.43"/>
    <col customWidth="1" min="6" max="6" width="14.29"/>
    <col customWidth="1" min="7" max="7" width="14.43"/>
    <col customWidth="1" min="8" max="8" width="14.29"/>
    <col customWidth="1" min="9" max="9" width="42.71"/>
  </cols>
  <sheetData>
    <row r="1" ht="12.75" customHeight="1">
      <c r="A1" s="636"/>
      <c r="B1" s="636"/>
      <c r="C1" s="637"/>
      <c r="D1" s="182"/>
      <c r="E1" s="210" t="s">
        <v>12467</v>
      </c>
      <c r="F1" s="639"/>
      <c r="G1" s="216"/>
      <c r="H1" s="638"/>
      <c r="I1" s="640"/>
      <c r="J1" s="157"/>
      <c r="K1" s="157"/>
      <c r="L1" s="157"/>
      <c r="M1" s="157"/>
      <c r="N1" s="157"/>
      <c r="O1" s="157"/>
      <c r="P1" s="157"/>
      <c r="Q1" s="157"/>
      <c r="R1" s="157"/>
      <c r="S1" s="157"/>
      <c r="T1" s="157"/>
      <c r="U1" s="157"/>
      <c r="V1" s="157"/>
      <c r="W1" s="157"/>
      <c r="X1" s="157"/>
      <c r="Y1" s="157"/>
      <c r="Z1" s="157"/>
    </row>
    <row r="2" ht="12.75" customHeight="1">
      <c r="A2" s="182"/>
      <c r="B2" s="182"/>
      <c r="C2" s="182"/>
      <c r="D2" s="182"/>
      <c r="E2" s="182" t="s">
        <v>1674</v>
      </c>
      <c r="F2" s="183" t="s">
        <v>4</v>
      </c>
      <c r="G2" s="182" t="s">
        <v>2106</v>
      </c>
      <c r="H2" s="184" t="s">
        <v>2107</v>
      </c>
      <c r="I2" s="182"/>
      <c r="J2" s="156"/>
      <c r="K2" s="156"/>
      <c r="L2" s="156"/>
      <c r="M2" s="156"/>
      <c r="N2" s="156"/>
      <c r="O2" s="156"/>
      <c r="P2" s="156"/>
      <c r="Q2" s="156"/>
      <c r="R2" s="156"/>
      <c r="S2" s="156"/>
      <c r="T2" s="156"/>
      <c r="U2" s="156"/>
      <c r="V2" s="156"/>
      <c r="W2" s="156"/>
      <c r="X2" s="156"/>
      <c r="Y2" s="156"/>
      <c r="Z2" s="156"/>
    </row>
    <row r="3" ht="12.75" customHeight="1">
      <c r="A3" s="185" t="s">
        <v>2108</v>
      </c>
      <c r="B3" s="185" t="s">
        <v>2109</v>
      </c>
      <c r="C3" s="185" t="s">
        <v>2110</v>
      </c>
      <c r="D3" s="185" t="s">
        <v>10</v>
      </c>
      <c r="E3" s="185" t="s">
        <v>11</v>
      </c>
      <c r="F3" s="186" t="s">
        <v>12</v>
      </c>
      <c r="G3" s="187" t="s">
        <v>12</v>
      </c>
      <c r="H3" s="187" t="s">
        <v>12</v>
      </c>
      <c r="I3" s="185" t="s">
        <v>2113</v>
      </c>
      <c r="J3" s="189"/>
      <c r="K3" s="189"/>
      <c r="L3" s="189"/>
      <c r="M3" s="189"/>
      <c r="N3" s="189"/>
      <c r="O3" s="189"/>
      <c r="P3" s="189"/>
      <c r="Q3" s="189"/>
      <c r="R3" s="189"/>
      <c r="S3" s="189"/>
      <c r="T3" s="189"/>
      <c r="U3" s="189"/>
      <c r="V3" s="189"/>
      <c r="W3" s="189"/>
      <c r="X3" s="189"/>
      <c r="Y3" s="189"/>
      <c r="Z3" s="189"/>
    </row>
    <row r="4" ht="32.25" customHeight="1">
      <c r="A4" s="650">
        <v>8.500000047E9</v>
      </c>
      <c r="B4" s="165" t="s">
        <v>21</v>
      </c>
      <c r="C4" s="165">
        <v>96.0</v>
      </c>
      <c r="D4" s="165" t="s">
        <v>12445</v>
      </c>
      <c r="E4" s="207" t="s">
        <v>13055</v>
      </c>
      <c r="F4" s="170">
        <v>43465.0</v>
      </c>
      <c r="G4" s="200">
        <v>43468.0</v>
      </c>
      <c r="H4" s="200">
        <v>43475.0</v>
      </c>
      <c r="I4" s="248" t="s">
        <v>13056</v>
      </c>
      <c r="J4" s="157"/>
      <c r="K4" s="157"/>
      <c r="L4" s="157"/>
      <c r="M4" s="157"/>
      <c r="N4" s="157"/>
      <c r="O4" s="157"/>
      <c r="P4" s="157"/>
      <c r="Q4" s="157"/>
      <c r="R4" s="157"/>
      <c r="S4" s="157"/>
      <c r="T4" s="157"/>
      <c r="U4" s="157"/>
      <c r="V4" s="157"/>
      <c r="W4" s="157"/>
      <c r="X4" s="157"/>
      <c r="Y4" s="157"/>
      <c r="Z4" s="157"/>
    </row>
    <row r="5" ht="32.25" customHeight="1">
      <c r="A5" s="650">
        <v>8.600000424E9</v>
      </c>
      <c r="B5" s="165" t="s">
        <v>14</v>
      </c>
      <c r="C5" s="165">
        <v>333.0</v>
      </c>
      <c r="D5" s="165" t="s">
        <v>13057</v>
      </c>
      <c r="E5" s="214" t="s">
        <v>13058</v>
      </c>
      <c r="F5" s="170">
        <v>43463.0</v>
      </c>
      <c r="G5" s="170">
        <v>43460.0</v>
      </c>
      <c r="H5" s="209">
        <v>43469.0</v>
      </c>
      <c r="I5" s="248" t="s">
        <v>13059</v>
      </c>
      <c r="J5" s="157"/>
      <c r="K5" s="157"/>
      <c r="L5" s="157"/>
      <c r="M5" s="157"/>
      <c r="N5" s="157"/>
      <c r="O5" s="157"/>
      <c r="P5" s="157"/>
      <c r="Q5" s="157"/>
      <c r="R5" s="157"/>
      <c r="S5" s="157"/>
      <c r="T5" s="157"/>
      <c r="U5" s="157"/>
      <c r="V5" s="157"/>
      <c r="W5" s="157"/>
      <c r="X5" s="157"/>
      <c r="Y5" s="157"/>
      <c r="Z5" s="157"/>
    </row>
    <row r="6" ht="32.25" customHeight="1">
      <c r="A6" s="650">
        <v>8.600000425E9</v>
      </c>
      <c r="B6" s="165" t="s">
        <v>25</v>
      </c>
      <c r="C6" s="165">
        <v>957.0</v>
      </c>
      <c r="D6" s="161" t="s">
        <v>13060</v>
      </c>
      <c r="E6" s="213" t="s">
        <v>13061</v>
      </c>
      <c r="F6" s="170">
        <v>43456.0</v>
      </c>
      <c r="G6" s="170">
        <v>43451.0</v>
      </c>
      <c r="H6" s="209">
        <v>43462.0</v>
      </c>
      <c r="I6" s="248" t="s">
        <v>13062</v>
      </c>
      <c r="J6" s="157"/>
      <c r="K6" s="157"/>
      <c r="L6" s="157"/>
      <c r="M6" s="157"/>
      <c r="N6" s="157"/>
      <c r="O6" s="157"/>
      <c r="P6" s="157"/>
      <c r="Q6" s="157"/>
      <c r="R6" s="157"/>
      <c r="S6" s="157"/>
      <c r="T6" s="157"/>
      <c r="U6" s="157"/>
      <c r="V6" s="157"/>
      <c r="W6" s="157"/>
      <c r="X6" s="157"/>
      <c r="Y6" s="157"/>
      <c r="Z6" s="157"/>
    </row>
    <row r="7" ht="32.25" customHeight="1">
      <c r="A7" s="650">
        <v>8.500000046E9</v>
      </c>
      <c r="B7" s="165" t="s">
        <v>21</v>
      </c>
      <c r="C7" s="165">
        <v>698.0</v>
      </c>
      <c r="D7" s="12" t="s">
        <v>13063</v>
      </c>
      <c r="E7" s="207" t="s">
        <v>1678</v>
      </c>
      <c r="F7" s="170">
        <v>43454.0</v>
      </c>
      <c r="G7" s="193">
        <v>43451.0</v>
      </c>
      <c r="H7" s="233">
        <v>43472.0</v>
      </c>
      <c r="I7" s="248" t="s">
        <v>13064</v>
      </c>
      <c r="J7" s="157"/>
      <c r="K7" s="157"/>
      <c r="L7" s="157"/>
      <c r="M7" s="157"/>
      <c r="N7" s="157"/>
      <c r="O7" s="157"/>
      <c r="P7" s="157"/>
      <c r="Q7" s="157"/>
      <c r="R7" s="157"/>
      <c r="S7" s="157"/>
      <c r="T7" s="157"/>
      <c r="U7" s="157"/>
      <c r="V7" s="157"/>
      <c r="W7" s="157"/>
      <c r="X7" s="157"/>
      <c r="Y7" s="157"/>
      <c r="Z7" s="157"/>
    </row>
    <row r="8" ht="32.25" customHeight="1">
      <c r="A8" s="650">
        <v>8.600000423E9</v>
      </c>
      <c r="B8" s="165" t="s">
        <v>14</v>
      </c>
      <c r="C8" s="165">
        <v>3644.0</v>
      </c>
      <c r="D8" s="161" t="s">
        <v>13065</v>
      </c>
      <c r="E8" s="213" t="s">
        <v>13066</v>
      </c>
      <c r="F8" s="170">
        <v>43452.0</v>
      </c>
      <c r="G8" s="170">
        <v>43451.0</v>
      </c>
      <c r="H8" s="165" t="s">
        <v>13067</v>
      </c>
      <c r="I8" s="248" t="s">
        <v>13068</v>
      </c>
      <c r="J8" s="157"/>
      <c r="K8" s="157"/>
      <c r="L8" s="157"/>
      <c r="M8" s="157"/>
      <c r="N8" s="157"/>
      <c r="O8" s="157"/>
      <c r="P8" s="157"/>
      <c r="Q8" s="157"/>
      <c r="R8" s="157"/>
      <c r="S8" s="157"/>
      <c r="T8" s="157"/>
      <c r="U8" s="157"/>
      <c r="V8" s="157"/>
      <c r="W8" s="157"/>
      <c r="X8" s="157"/>
      <c r="Y8" s="157"/>
      <c r="Z8" s="157"/>
    </row>
    <row r="9" ht="32.25" customHeight="1">
      <c r="A9" s="650">
        <v>8.600000419E9</v>
      </c>
      <c r="B9" s="165" t="s">
        <v>21</v>
      </c>
      <c r="C9" s="165">
        <v>54.0</v>
      </c>
      <c r="D9" s="165" t="s">
        <v>13069</v>
      </c>
      <c r="E9" s="207" t="s">
        <v>13070</v>
      </c>
      <c r="F9" s="170">
        <v>43450.0</v>
      </c>
      <c r="G9" s="193">
        <v>43458.0</v>
      </c>
      <c r="H9" s="233">
        <v>43461.0</v>
      </c>
      <c r="I9" s="248" t="s">
        <v>13071</v>
      </c>
      <c r="J9" s="157"/>
      <c r="K9" s="157"/>
      <c r="L9" s="157"/>
      <c r="M9" s="157"/>
      <c r="N9" s="157"/>
      <c r="O9" s="157"/>
      <c r="P9" s="157"/>
      <c r="Q9" s="157"/>
      <c r="R9" s="157"/>
      <c r="S9" s="157"/>
      <c r="T9" s="157"/>
      <c r="U9" s="157"/>
      <c r="V9" s="157"/>
      <c r="W9" s="157"/>
      <c r="X9" s="157"/>
      <c r="Y9" s="157"/>
      <c r="Z9" s="157"/>
    </row>
    <row r="10" ht="32.25" customHeight="1">
      <c r="A10" s="650">
        <v>8.600000408E9</v>
      </c>
      <c r="B10" s="165" t="s">
        <v>14</v>
      </c>
      <c r="C10" s="165" t="s">
        <v>13072</v>
      </c>
      <c r="D10" s="165" t="s">
        <v>13073</v>
      </c>
      <c r="E10" s="213" t="s">
        <v>13074</v>
      </c>
      <c r="F10" s="170">
        <v>43447.0</v>
      </c>
      <c r="G10" s="170">
        <v>43451.0</v>
      </c>
      <c r="H10" s="209" t="s">
        <v>13075</v>
      </c>
      <c r="I10" s="248" t="s">
        <v>13076</v>
      </c>
      <c r="J10" s="157"/>
      <c r="K10" s="157"/>
      <c r="L10" s="157"/>
      <c r="M10" s="157"/>
      <c r="N10" s="157"/>
      <c r="O10" s="157"/>
      <c r="P10" s="157"/>
      <c r="Q10" s="157"/>
      <c r="R10" s="157"/>
      <c r="S10" s="157"/>
      <c r="T10" s="157"/>
      <c r="U10" s="157"/>
      <c r="V10" s="157"/>
      <c r="W10" s="157"/>
      <c r="X10" s="157"/>
      <c r="Y10" s="157"/>
      <c r="Z10" s="157"/>
    </row>
    <row r="11" ht="32.25" customHeight="1">
      <c r="A11" s="264">
        <v>8.600000387E9</v>
      </c>
      <c r="B11" s="165" t="s">
        <v>21</v>
      </c>
      <c r="C11" s="165">
        <v>155.0</v>
      </c>
      <c r="D11" s="165" t="s">
        <v>2100</v>
      </c>
      <c r="E11" s="213" t="s">
        <v>13077</v>
      </c>
      <c r="F11" s="170">
        <v>43437.0</v>
      </c>
      <c r="G11" s="200">
        <v>43440.0</v>
      </c>
      <c r="H11" s="216" t="s">
        <v>13078</v>
      </c>
      <c r="I11" s="248" t="s">
        <v>13079</v>
      </c>
      <c r="J11" s="157"/>
      <c r="K11" s="157"/>
      <c r="L11" s="157"/>
      <c r="M11" s="157"/>
      <c r="N11" s="157"/>
      <c r="O11" s="157"/>
      <c r="P11" s="157"/>
      <c r="Q11" s="157"/>
      <c r="R11" s="157"/>
      <c r="S11" s="157"/>
      <c r="T11" s="157"/>
      <c r="U11" s="157"/>
      <c r="V11" s="157"/>
      <c r="W11" s="157"/>
      <c r="X11" s="157"/>
      <c r="Y11" s="157"/>
      <c r="Z11" s="157"/>
    </row>
    <row r="12" ht="32.25" customHeight="1">
      <c r="A12" s="630">
        <v>8.600000384E9</v>
      </c>
      <c r="B12" s="165" t="s">
        <v>14</v>
      </c>
      <c r="C12" s="165">
        <v>254.0</v>
      </c>
      <c r="D12" s="161" t="s">
        <v>13080</v>
      </c>
      <c r="E12" s="207" t="s">
        <v>13081</v>
      </c>
      <c r="F12" s="170">
        <v>43434.0</v>
      </c>
      <c r="G12" s="170">
        <v>43431.0</v>
      </c>
      <c r="H12" s="209">
        <v>43440.0</v>
      </c>
      <c r="I12" s="248" t="s">
        <v>13082</v>
      </c>
      <c r="J12" s="157"/>
      <c r="K12" s="157"/>
      <c r="L12" s="157"/>
      <c r="M12" s="157"/>
      <c r="N12" s="157"/>
      <c r="O12" s="157"/>
      <c r="P12" s="157"/>
      <c r="Q12" s="157"/>
      <c r="R12" s="157"/>
      <c r="S12" s="157"/>
      <c r="T12" s="157"/>
      <c r="U12" s="157"/>
      <c r="V12" s="157"/>
      <c r="W12" s="157"/>
      <c r="X12" s="157"/>
      <c r="Y12" s="157"/>
      <c r="Z12" s="157"/>
    </row>
    <row r="13" ht="32.25" customHeight="1">
      <c r="A13" s="264">
        <v>8.600000398E9</v>
      </c>
      <c r="B13" s="165" t="s">
        <v>14</v>
      </c>
      <c r="C13" s="165" t="s">
        <v>13083</v>
      </c>
      <c r="D13" s="165" t="s">
        <v>13084</v>
      </c>
      <c r="E13" s="207" t="s">
        <v>13085</v>
      </c>
      <c r="F13" s="170">
        <v>43433.0</v>
      </c>
      <c r="G13" s="170">
        <v>43431.0</v>
      </c>
      <c r="H13" s="209">
        <v>43439.0</v>
      </c>
      <c r="I13" s="248" t="s">
        <v>13086</v>
      </c>
      <c r="J13" s="157"/>
      <c r="K13" s="157"/>
      <c r="L13" s="157"/>
      <c r="M13" s="157"/>
      <c r="N13" s="157"/>
      <c r="O13" s="157"/>
      <c r="P13" s="157"/>
      <c r="Q13" s="157"/>
      <c r="R13" s="157"/>
      <c r="S13" s="157"/>
      <c r="T13" s="157"/>
      <c r="U13" s="157"/>
      <c r="V13" s="157"/>
      <c r="W13" s="157"/>
      <c r="X13" s="157"/>
      <c r="Y13" s="157"/>
      <c r="Z13" s="157"/>
    </row>
    <row r="14" ht="32.25" customHeight="1">
      <c r="A14" s="264">
        <v>8.50000004E9</v>
      </c>
      <c r="B14" s="165" t="s">
        <v>14</v>
      </c>
      <c r="C14" s="165">
        <v>240.0</v>
      </c>
      <c r="D14" s="165" t="s">
        <v>13087</v>
      </c>
      <c r="E14" s="207" t="s">
        <v>13088</v>
      </c>
      <c r="F14" s="170">
        <v>43430.0</v>
      </c>
      <c r="G14" s="193">
        <v>43432.0</v>
      </c>
      <c r="H14" s="233">
        <v>43440.0</v>
      </c>
      <c r="I14" s="248" t="s">
        <v>13089</v>
      </c>
      <c r="J14" s="157"/>
      <c r="K14" s="157"/>
      <c r="L14" s="157"/>
      <c r="M14" s="157"/>
      <c r="N14" s="157"/>
      <c r="O14" s="157"/>
      <c r="P14" s="157"/>
      <c r="Q14" s="157"/>
      <c r="R14" s="157"/>
      <c r="S14" s="157"/>
      <c r="T14" s="157"/>
      <c r="U14" s="157"/>
      <c r="V14" s="157"/>
      <c r="W14" s="157"/>
      <c r="X14" s="157"/>
      <c r="Y14" s="157"/>
      <c r="Z14" s="157"/>
    </row>
    <row r="15" ht="32.25" customHeight="1">
      <c r="A15" s="264">
        <v>8.600000396E9</v>
      </c>
      <c r="B15" s="165" t="s">
        <v>21</v>
      </c>
      <c r="C15" s="165" t="s">
        <v>13090</v>
      </c>
      <c r="D15" s="165" t="s">
        <v>2097</v>
      </c>
      <c r="E15" s="207" t="s">
        <v>13091</v>
      </c>
      <c r="F15" s="170">
        <v>43430.0</v>
      </c>
      <c r="G15" s="170">
        <v>43430.0</v>
      </c>
      <c r="H15" s="209">
        <v>43438.0</v>
      </c>
      <c r="I15" s="248" t="s">
        <v>13092</v>
      </c>
      <c r="J15" s="157"/>
      <c r="K15" s="157"/>
      <c r="L15" s="157"/>
      <c r="M15" s="157"/>
      <c r="N15" s="157"/>
      <c r="O15" s="157"/>
      <c r="P15" s="157"/>
      <c r="Q15" s="157"/>
      <c r="R15" s="157"/>
      <c r="S15" s="157"/>
      <c r="T15" s="157"/>
      <c r="U15" s="157"/>
      <c r="V15" s="157"/>
      <c r="W15" s="157"/>
      <c r="X15" s="157"/>
      <c r="Y15" s="157"/>
      <c r="Z15" s="157"/>
    </row>
    <row r="16" ht="32.25" customHeight="1">
      <c r="A16" s="650">
        <v>8.600000409E9</v>
      </c>
      <c r="B16" s="165" t="s">
        <v>25</v>
      </c>
      <c r="C16" s="165" t="s">
        <v>2577</v>
      </c>
      <c r="D16" s="165" t="s">
        <v>13093</v>
      </c>
      <c r="E16" s="207" t="s">
        <v>13094</v>
      </c>
      <c r="F16" s="170">
        <v>43428.0</v>
      </c>
      <c r="G16" s="170">
        <v>43425.0</v>
      </c>
      <c r="H16" s="209">
        <v>43439.0</v>
      </c>
      <c r="I16" s="248" t="s">
        <v>13095</v>
      </c>
      <c r="J16" s="157"/>
      <c r="K16" s="157"/>
      <c r="L16" s="157"/>
      <c r="M16" s="157"/>
      <c r="N16" s="157"/>
      <c r="O16" s="157"/>
      <c r="P16" s="157"/>
      <c r="Q16" s="157"/>
      <c r="R16" s="157"/>
      <c r="S16" s="157"/>
      <c r="T16" s="157"/>
      <c r="U16" s="157"/>
      <c r="V16" s="157"/>
      <c r="W16" s="157"/>
      <c r="X16" s="157"/>
      <c r="Y16" s="157"/>
      <c r="Z16" s="157"/>
    </row>
    <row r="17" ht="32.25" customHeight="1">
      <c r="A17" s="264">
        <v>8.600000377E9</v>
      </c>
      <c r="B17" s="165" t="s">
        <v>25</v>
      </c>
      <c r="C17" s="165">
        <v>40.0</v>
      </c>
      <c r="D17" s="165" t="s">
        <v>13096</v>
      </c>
      <c r="E17" s="207" t="s">
        <v>13097</v>
      </c>
      <c r="F17" s="170">
        <v>43426.0</v>
      </c>
      <c r="G17" s="193">
        <v>43425.0</v>
      </c>
      <c r="H17" s="233">
        <v>43434.0</v>
      </c>
      <c r="I17" s="248" t="s">
        <v>13098</v>
      </c>
      <c r="J17" s="157"/>
      <c r="K17" s="157"/>
      <c r="L17" s="157"/>
      <c r="M17" s="157"/>
      <c r="N17" s="157"/>
      <c r="O17" s="157"/>
      <c r="P17" s="157"/>
      <c r="Q17" s="157"/>
      <c r="R17" s="157"/>
      <c r="S17" s="157"/>
      <c r="T17" s="157"/>
      <c r="U17" s="157"/>
      <c r="V17" s="157"/>
      <c r="W17" s="157"/>
      <c r="X17" s="157"/>
      <c r="Y17" s="157"/>
      <c r="Z17" s="157"/>
    </row>
    <row r="18" ht="32.25" customHeight="1">
      <c r="A18" s="264">
        <v>8.500000039E9</v>
      </c>
      <c r="B18" s="165" t="s">
        <v>14</v>
      </c>
      <c r="C18" s="165">
        <v>685.0</v>
      </c>
      <c r="D18" s="165" t="s">
        <v>13099</v>
      </c>
      <c r="E18" s="207" t="s">
        <v>1678</v>
      </c>
      <c r="F18" s="170">
        <v>43425.0</v>
      </c>
      <c r="G18" s="193">
        <v>43430.0</v>
      </c>
      <c r="H18" s="233">
        <v>43433.0</v>
      </c>
      <c r="I18" s="248" t="s">
        <v>13100</v>
      </c>
      <c r="J18" s="157"/>
      <c r="K18" s="157"/>
      <c r="L18" s="157"/>
      <c r="M18" s="157"/>
      <c r="N18" s="157"/>
      <c r="O18" s="157"/>
      <c r="P18" s="157"/>
      <c r="Q18" s="157"/>
      <c r="R18" s="157"/>
      <c r="S18" s="157"/>
      <c r="T18" s="157"/>
      <c r="U18" s="157"/>
      <c r="V18" s="157"/>
      <c r="W18" s="157"/>
      <c r="X18" s="157"/>
      <c r="Y18" s="157"/>
      <c r="Z18" s="157"/>
    </row>
    <row r="19" ht="32.25" customHeight="1">
      <c r="A19" s="264">
        <v>8.600000395E9</v>
      </c>
      <c r="B19" s="165" t="s">
        <v>25</v>
      </c>
      <c r="C19" s="165" t="s">
        <v>13101</v>
      </c>
      <c r="D19" s="165" t="s">
        <v>13102</v>
      </c>
      <c r="E19" s="207" t="s">
        <v>13103</v>
      </c>
      <c r="F19" s="170">
        <v>43424.0</v>
      </c>
      <c r="G19" s="194">
        <v>43423.0</v>
      </c>
      <c r="H19" s="220">
        <v>43433.0</v>
      </c>
      <c r="I19" s="248" t="s">
        <v>13104</v>
      </c>
      <c r="J19" s="157"/>
      <c r="K19" s="157"/>
      <c r="L19" s="157"/>
      <c r="M19" s="157"/>
      <c r="N19" s="157"/>
      <c r="O19" s="157"/>
      <c r="P19" s="157"/>
      <c r="Q19" s="157"/>
      <c r="R19" s="157"/>
      <c r="S19" s="157"/>
      <c r="T19" s="157"/>
      <c r="U19" s="157"/>
      <c r="V19" s="157"/>
      <c r="W19" s="157"/>
      <c r="X19" s="157"/>
      <c r="Y19" s="157"/>
      <c r="Z19" s="157"/>
    </row>
    <row r="20" ht="32.25" customHeight="1">
      <c r="A20" s="264">
        <v>8.600000383E9</v>
      </c>
      <c r="B20" s="165" t="s">
        <v>14</v>
      </c>
      <c r="C20" s="165">
        <v>4293.0</v>
      </c>
      <c r="D20" s="165" t="s">
        <v>13105</v>
      </c>
      <c r="E20" s="207" t="s">
        <v>1927</v>
      </c>
      <c r="F20" s="170">
        <v>43423.0</v>
      </c>
      <c r="G20" s="194">
        <v>43420.0</v>
      </c>
      <c r="H20" s="220" t="s">
        <v>13106</v>
      </c>
      <c r="I20" s="248" t="s">
        <v>13107</v>
      </c>
      <c r="J20" s="157"/>
      <c r="K20" s="157"/>
      <c r="L20" s="157"/>
      <c r="M20" s="157"/>
      <c r="N20" s="157"/>
      <c r="O20" s="157"/>
      <c r="P20" s="157"/>
      <c r="Q20" s="157"/>
      <c r="R20" s="157"/>
      <c r="S20" s="157"/>
      <c r="T20" s="157"/>
      <c r="U20" s="157"/>
      <c r="V20" s="157"/>
      <c r="W20" s="157"/>
      <c r="X20" s="157"/>
      <c r="Y20" s="157"/>
      <c r="Z20" s="157"/>
    </row>
    <row r="21" ht="32.25" customHeight="1">
      <c r="A21" s="264">
        <v>8.600000374E9</v>
      </c>
      <c r="B21" s="165" t="s">
        <v>21</v>
      </c>
      <c r="C21" s="165">
        <v>2036.0</v>
      </c>
      <c r="D21" s="165" t="s">
        <v>2095</v>
      </c>
      <c r="E21" s="207" t="s">
        <v>13108</v>
      </c>
      <c r="F21" s="170">
        <v>43423.0</v>
      </c>
      <c r="G21" s="170">
        <v>43420.0</v>
      </c>
      <c r="H21" s="209" t="s">
        <v>13109</v>
      </c>
      <c r="I21" s="248" t="s">
        <v>13110</v>
      </c>
      <c r="J21" s="157"/>
      <c r="K21" s="157"/>
      <c r="L21" s="157"/>
      <c r="M21" s="157"/>
      <c r="N21" s="157"/>
      <c r="O21" s="157"/>
      <c r="P21" s="157"/>
      <c r="Q21" s="157"/>
      <c r="R21" s="157"/>
      <c r="S21" s="157"/>
      <c r="T21" s="157"/>
      <c r="U21" s="157"/>
      <c r="V21" s="157"/>
      <c r="W21" s="157"/>
      <c r="X21" s="157"/>
      <c r="Y21" s="157"/>
      <c r="Z21" s="157"/>
    </row>
    <row r="22" ht="32.25" customHeight="1">
      <c r="A22" s="250">
        <v>8.600000373E9</v>
      </c>
      <c r="B22" s="165" t="s">
        <v>25</v>
      </c>
      <c r="C22" s="165">
        <v>600.0</v>
      </c>
      <c r="D22" s="165" t="s">
        <v>13111</v>
      </c>
      <c r="E22" s="207" t="s">
        <v>1927</v>
      </c>
      <c r="F22" s="170">
        <v>43415.0</v>
      </c>
      <c r="G22" s="193">
        <v>43411.0</v>
      </c>
      <c r="H22" s="233">
        <v>43418.0</v>
      </c>
      <c r="I22" s="248" t="s">
        <v>13112</v>
      </c>
      <c r="J22" s="157"/>
      <c r="K22" s="157"/>
      <c r="L22" s="157"/>
      <c r="M22" s="157"/>
      <c r="N22" s="157"/>
      <c r="O22" s="157"/>
      <c r="P22" s="157"/>
      <c r="Q22" s="157"/>
      <c r="R22" s="157"/>
      <c r="S22" s="157"/>
      <c r="T22" s="157"/>
      <c r="U22" s="157"/>
      <c r="V22" s="157"/>
      <c r="W22" s="157"/>
      <c r="X22" s="157"/>
      <c r="Y22" s="157"/>
      <c r="Z22" s="157"/>
    </row>
    <row r="23" ht="32.25" customHeight="1">
      <c r="A23" s="250">
        <v>8.600000355E9</v>
      </c>
      <c r="B23" s="165" t="s">
        <v>21</v>
      </c>
      <c r="C23" s="165">
        <v>222.0</v>
      </c>
      <c r="D23" s="165" t="s">
        <v>2093</v>
      </c>
      <c r="E23" s="207" t="s">
        <v>13113</v>
      </c>
      <c r="F23" s="170">
        <v>43412.0</v>
      </c>
      <c r="G23" s="193">
        <v>43410.0</v>
      </c>
      <c r="H23" s="216">
        <v>43420.0</v>
      </c>
      <c r="I23" s="248" t="s">
        <v>13114</v>
      </c>
      <c r="J23" s="157"/>
      <c r="K23" s="157"/>
      <c r="L23" s="157"/>
      <c r="M23" s="157"/>
      <c r="N23" s="157"/>
      <c r="O23" s="157"/>
      <c r="P23" s="157"/>
      <c r="Q23" s="157"/>
      <c r="R23" s="157"/>
      <c r="S23" s="157"/>
      <c r="T23" s="157"/>
      <c r="U23" s="157"/>
      <c r="V23" s="157"/>
      <c r="W23" s="157"/>
      <c r="X23" s="157"/>
      <c r="Y23" s="157"/>
      <c r="Z23" s="157"/>
    </row>
    <row r="24" ht="32.25" customHeight="1">
      <c r="A24" s="250">
        <v>8.500000038E9</v>
      </c>
      <c r="B24" s="165" t="s">
        <v>14</v>
      </c>
      <c r="C24" s="165">
        <v>136.0</v>
      </c>
      <c r="D24" s="165" t="s">
        <v>13115</v>
      </c>
      <c r="E24" s="207" t="s">
        <v>13116</v>
      </c>
      <c r="F24" s="170">
        <v>43406.0</v>
      </c>
      <c r="G24" s="193">
        <v>43413.0</v>
      </c>
      <c r="H24" s="233">
        <v>43418.0</v>
      </c>
      <c r="I24" s="248" t="s">
        <v>13117</v>
      </c>
      <c r="J24" s="157"/>
      <c r="K24" s="157"/>
      <c r="L24" s="157"/>
      <c r="M24" s="157"/>
      <c r="N24" s="157"/>
      <c r="O24" s="157"/>
      <c r="P24" s="157"/>
      <c r="Q24" s="157"/>
      <c r="R24" s="157"/>
      <c r="S24" s="157"/>
      <c r="T24" s="157"/>
      <c r="U24" s="157"/>
      <c r="V24" s="157"/>
      <c r="W24" s="157"/>
      <c r="X24" s="157"/>
      <c r="Y24" s="157"/>
      <c r="Z24" s="157"/>
    </row>
    <row r="25" ht="32.25" customHeight="1">
      <c r="A25" s="250">
        <v>8.600000359E9</v>
      </c>
      <c r="B25" s="165" t="s">
        <v>14</v>
      </c>
      <c r="C25" s="165" t="s">
        <v>13118</v>
      </c>
      <c r="D25" s="165" t="s">
        <v>13119</v>
      </c>
      <c r="E25" s="207" t="s">
        <v>13120</v>
      </c>
      <c r="F25" s="170">
        <v>43406.0</v>
      </c>
      <c r="G25" s="170">
        <v>43404.0</v>
      </c>
      <c r="H25" s="209" t="s">
        <v>13121</v>
      </c>
      <c r="I25" s="248" t="s">
        <v>13122</v>
      </c>
      <c r="J25" s="157"/>
      <c r="K25" s="157"/>
      <c r="L25" s="157"/>
      <c r="M25" s="157"/>
      <c r="N25" s="157"/>
      <c r="O25" s="157"/>
      <c r="P25" s="157"/>
      <c r="Q25" s="157"/>
      <c r="R25" s="157"/>
      <c r="S25" s="157"/>
      <c r="T25" s="157"/>
      <c r="U25" s="157"/>
      <c r="V25" s="157"/>
      <c r="W25" s="157"/>
      <c r="X25" s="157"/>
      <c r="Y25" s="157"/>
      <c r="Z25" s="157"/>
    </row>
    <row r="26" ht="32.25" customHeight="1">
      <c r="A26" s="264">
        <v>8.600000362E9</v>
      </c>
      <c r="B26" s="165" t="s">
        <v>21</v>
      </c>
      <c r="C26" s="165">
        <v>1757.0</v>
      </c>
      <c r="D26" s="165" t="s">
        <v>2092</v>
      </c>
      <c r="E26" s="207" t="s">
        <v>1927</v>
      </c>
      <c r="F26" s="170">
        <v>43404.0</v>
      </c>
      <c r="G26" s="193">
        <v>43409.0</v>
      </c>
      <c r="H26" s="233">
        <v>43412.0</v>
      </c>
      <c r="I26" s="248" t="s">
        <v>13123</v>
      </c>
      <c r="J26" s="157"/>
      <c r="K26" s="157"/>
      <c r="L26" s="157"/>
      <c r="M26" s="157"/>
      <c r="N26" s="157"/>
      <c r="O26" s="157"/>
      <c r="P26" s="157"/>
      <c r="Q26" s="157"/>
      <c r="R26" s="157"/>
      <c r="S26" s="157"/>
      <c r="T26" s="157"/>
      <c r="U26" s="157"/>
      <c r="V26" s="157"/>
      <c r="W26" s="157"/>
      <c r="X26" s="157"/>
      <c r="Y26" s="157"/>
      <c r="Z26" s="157"/>
    </row>
    <row r="27" ht="32.25" customHeight="1">
      <c r="A27" s="250">
        <v>8.500000035E9</v>
      </c>
      <c r="B27" s="165" t="s">
        <v>14</v>
      </c>
      <c r="C27" s="165">
        <v>168.0</v>
      </c>
      <c r="D27" s="165" t="s">
        <v>13124</v>
      </c>
      <c r="E27" s="207" t="s">
        <v>13088</v>
      </c>
      <c r="F27" s="170">
        <v>43402.0</v>
      </c>
      <c r="G27" s="193">
        <v>43403.0</v>
      </c>
      <c r="H27" s="233">
        <v>43406.0</v>
      </c>
      <c r="I27" s="248" t="s">
        <v>13125</v>
      </c>
      <c r="J27" s="157"/>
      <c r="K27" s="157"/>
      <c r="L27" s="157"/>
      <c r="M27" s="157"/>
      <c r="N27" s="157"/>
      <c r="O27" s="157"/>
      <c r="P27" s="157"/>
      <c r="Q27" s="157"/>
      <c r="R27" s="157"/>
      <c r="S27" s="157"/>
      <c r="T27" s="157"/>
      <c r="U27" s="157"/>
      <c r="V27" s="157"/>
      <c r="W27" s="157"/>
      <c r="X27" s="157"/>
      <c r="Y27" s="157"/>
      <c r="Z27" s="157"/>
    </row>
    <row r="28" ht="32.25" customHeight="1">
      <c r="A28" s="264">
        <v>8.600000356E9</v>
      </c>
      <c r="B28" s="165" t="s">
        <v>14</v>
      </c>
      <c r="C28" s="165">
        <v>397.0</v>
      </c>
      <c r="D28" s="165" t="s">
        <v>13126</v>
      </c>
      <c r="E28" s="207" t="s">
        <v>13113</v>
      </c>
      <c r="F28" s="170">
        <v>43402.0</v>
      </c>
      <c r="G28" s="170">
        <v>43403.0</v>
      </c>
      <c r="H28" s="209">
        <v>43404.0</v>
      </c>
      <c r="I28" s="248" t="s">
        <v>13127</v>
      </c>
      <c r="J28" s="157"/>
      <c r="K28" s="157"/>
      <c r="L28" s="157"/>
      <c r="M28" s="157"/>
      <c r="N28" s="157"/>
      <c r="O28" s="157"/>
      <c r="P28" s="157"/>
      <c r="Q28" s="157"/>
      <c r="R28" s="157"/>
      <c r="S28" s="157"/>
      <c r="T28" s="157"/>
      <c r="U28" s="157"/>
      <c r="V28" s="157"/>
      <c r="W28" s="157"/>
      <c r="X28" s="157"/>
      <c r="Y28" s="157"/>
      <c r="Z28" s="157"/>
    </row>
    <row r="29" ht="32.25" customHeight="1">
      <c r="A29" s="264">
        <v>8.500000036E9</v>
      </c>
      <c r="B29" s="165" t="s">
        <v>21</v>
      </c>
      <c r="C29" s="165">
        <v>72.0</v>
      </c>
      <c r="D29" s="165" t="s">
        <v>13128</v>
      </c>
      <c r="E29" s="207" t="s">
        <v>13088</v>
      </c>
      <c r="F29" s="170">
        <v>43399.0</v>
      </c>
      <c r="G29" s="193">
        <v>43404.0</v>
      </c>
      <c r="H29" s="233">
        <v>43405.0</v>
      </c>
      <c r="I29" s="248" t="s">
        <v>13129</v>
      </c>
      <c r="J29" s="157"/>
      <c r="K29" s="157"/>
      <c r="L29" s="157"/>
      <c r="M29" s="157"/>
      <c r="N29" s="157"/>
      <c r="O29" s="157"/>
      <c r="P29" s="157"/>
      <c r="Q29" s="157"/>
      <c r="R29" s="157"/>
      <c r="S29" s="157"/>
      <c r="T29" s="157"/>
      <c r="U29" s="157"/>
      <c r="V29" s="157"/>
      <c r="W29" s="157"/>
      <c r="X29" s="157"/>
      <c r="Y29" s="157"/>
      <c r="Z29" s="157"/>
    </row>
    <row r="30" ht="32.25" customHeight="1">
      <c r="A30" s="264">
        <v>8.600000348E9</v>
      </c>
      <c r="B30" s="165" t="s">
        <v>25</v>
      </c>
      <c r="C30" s="165">
        <v>635.0</v>
      </c>
      <c r="D30" s="165" t="s">
        <v>13130</v>
      </c>
      <c r="E30" s="207" t="s">
        <v>1927</v>
      </c>
      <c r="F30" s="170">
        <v>43397.0</v>
      </c>
      <c r="G30" s="193">
        <v>43398.0</v>
      </c>
      <c r="H30" s="233">
        <v>43405.0</v>
      </c>
      <c r="I30" s="248" t="s">
        <v>13131</v>
      </c>
      <c r="J30" s="157"/>
      <c r="K30" s="157"/>
      <c r="L30" s="157"/>
      <c r="M30" s="157"/>
      <c r="N30" s="157"/>
      <c r="O30" s="157"/>
      <c r="P30" s="157"/>
      <c r="Q30" s="157"/>
      <c r="R30" s="157"/>
      <c r="S30" s="157"/>
      <c r="T30" s="157"/>
      <c r="U30" s="157"/>
      <c r="V30" s="157"/>
      <c r="W30" s="157"/>
      <c r="X30" s="157"/>
      <c r="Y30" s="157"/>
      <c r="Z30" s="157"/>
    </row>
    <row r="31" ht="32.25" customHeight="1">
      <c r="A31" s="264">
        <v>8.600000347E9</v>
      </c>
      <c r="B31" s="165" t="s">
        <v>14</v>
      </c>
      <c r="C31" s="165">
        <v>3377.0</v>
      </c>
      <c r="D31" s="165" t="s">
        <v>13132</v>
      </c>
      <c r="E31" s="207" t="s">
        <v>13133</v>
      </c>
      <c r="F31" s="170">
        <v>43395.0</v>
      </c>
      <c r="G31" s="170">
        <v>43392.0</v>
      </c>
      <c r="H31" s="209" t="s">
        <v>13134</v>
      </c>
      <c r="I31" s="248" t="s">
        <v>13135</v>
      </c>
      <c r="J31" s="157"/>
      <c r="K31" s="157"/>
      <c r="L31" s="157"/>
      <c r="M31" s="157"/>
      <c r="N31" s="157"/>
      <c r="O31" s="157"/>
      <c r="P31" s="157"/>
      <c r="Q31" s="157"/>
      <c r="R31" s="157"/>
      <c r="S31" s="157"/>
      <c r="T31" s="157"/>
      <c r="U31" s="157"/>
      <c r="V31" s="157"/>
      <c r="W31" s="157"/>
      <c r="X31" s="157"/>
      <c r="Y31" s="157"/>
      <c r="Z31" s="157"/>
    </row>
    <row r="32" ht="32.25" customHeight="1">
      <c r="A32" s="264">
        <v>8.60000036E9</v>
      </c>
      <c r="B32" s="165" t="s">
        <v>21</v>
      </c>
      <c r="C32" s="165" t="s">
        <v>13136</v>
      </c>
      <c r="D32" s="165" t="s">
        <v>13137</v>
      </c>
      <c r="E32" s="210" t="s">
        <v>13138</v>
      </c>
      <c r="F32" s="170">
        <v>43395.0</v>
      </c>
      <c r="G32" s="193">
        <v>43391.0</v>
      </c>
      <c r="H32" s="233">
        <v>43402.0</v>
      </c>
      <c r="I32" s="248" t="s">
        <v>13139</v>
      </c>
      <c r="J32" s="157"/>
      <c r="K32" s="157"/>
      <c r="L32" s="157"/>
      <c r="M32" s="157"/>
      <c r="N32" s="157"/>
      <c r="O32" s="157"/>
      <c r="P32" s="157"/>
      <c r="Q32" s="157"/>
      <c r="R32" s="157"/>
      <c r="S32" s="157"/>
      <c r="T32" s="157"/>
      <c r="U32" s="157"/>
      <c r="V32" s="157"/>
      <c r="W32" s="157"/>
      <c r="X32" s="157"/>
      <c r="Y32" s="157"/>
      <c r="Z32" s="157"/>
    </row>
    <row r="33" ht="32.25" customHeight="1">
      <c r="A33" s="250">
        <v>8.500000033E9</v>
      </c>
      <c r="B33" s="165" t="s">
        <v>14</v>
      </c>
      <c r="C33" s="165">
        <v>692.0</v>
      </c>
      <c r="D33" s="165" t="s">
        <v>13140</v>
      </c>
      <c r="E33" s="207" t="s">
        <v>1678</v>
      </c>
      <c r="F33" s="170">
        <v>43390.0</v>
      </c>
      <c r="G33" s="193">
        <v>43403.0</v>
      </c>
      <c r="H33" s="233">
        <v>43403.0</v>
      </c>
      <c r="I33" s="248" t="s">
        <v>13141</v>
      </c>
      <c r="J33" s="157"/>
      <c r="K33" s="157"/>
      <c r="L33" s="157"/>
      <c r="M33" s="157"/>
      <c r="N33" s="157"/>
      <c r="O33" s="157"/>
      <c r="P33" s="157"/>
      <c r="Q33" s="157"/>
      <c r="R33" s="157"/>
      <c r="S33" s="157"/>
      <c r="T33" s="157"/>
      <c r="U33" s="157"/>
      <c r="V33" s="157"/>
      <c r="W33" s="157"/>
      <c r="X33" s="157"/>
      <c r="Y33" s="157"/>
      <c r="Z33" s="157"/>
    </row>
    <row r="34" ht="32.25" customHeight="1">
      <c r="A34" s="264">
        <v>8.600000344E9</v>
      </c>
      <c r="B34" s="165" t="s">
        <v>25</v>
      </c>
      <c r="C34" s="165" t="s">
        <v>3578</v>
      </c>
      <c r="D34" s="165" t="s">
        <v>13142</v>
      </c>
      <c r="E34" s="210" t="s">
        <v>13138</v>
      </c>
      <c r="F34" s="170">
        <v>43385.0</v>
      </c>
      <c r="G34" s="200">
        <v>43382.0</v>
      </c>
      <c r="H34" s="216">
        <v>43391.0</v>
      </c>
      <c r="I34" s="248" t="s">
        <v>13143</v>
      </c>
      <c r="J34" s="157"/>
      <c r="K34" s="157"/>
      <c r="L34" s="157"/>
      <c r="M34" s="157"/>
      <c r="N34" s="157"/>
      <c r="O34" s="157"/>
      <c r="P34" s="157"/>
      <c r="Q34" s="157"/>
      <c r="R34" s="157"/>
      <c r="S34" s="157"/>
      <c r="T34" s="157"/>
      <c r="U34" s="157"/>
      <c r="V34" s="157"/>
      <c r="W34" s="157"/>
      <c r="X34" s="157"/>
      <c r="Y34" s="157"/>
      <c r="Z34" s="157"/>
    </row>
    <row r="35" ht="32.25" customHeight="1">
      <c r="A35" s="651">
        <v>8.600000316E9</v>
      </c>
      <c r="B35" s="165" t="s">
        <v>21</v>
      </c>
      <c r="C35" s="161">
        <v>2018.0</v>
      </c>
      <c r="D35" s="165" t="s">
        <v>13144</v>
      </c>
      <c r="E35" s="207" t="s">
        <v>13133</v>
      </c>
      <c r="F35" s="170">
        <v>43376.0</v>
      </c>
      <c r="G35" s="170">
        <v>43391.0</v>
      </c>
      <c r="H35" s="209">
        <v>43383.0</v>
      </c>
      <c r="I35" s="248" t="s">
        <v>13145</v>
      </c>
      <c r="J35" s="157"/>
      <c r="K35" s="157"/>
      <c r="L35" s="157"/>
      <c r="M35" s="157"/>
      <c r="N35" s="157"/>
      <c r="O35" s="157"/>
      <c r="P35" s="157"/>
      <c r="Q35" s="157"/>
      <c r="R35" s="157"/>
      <c r="S35" s="157"/>
      <c r="T35" s="157"/>
      <c r="U35" s="157"/>
      <c r="V35" s="157"/>
      <c r="W35" s="157"/>
      <c r="X35" s="157"/>
      <c r="Y35" s="157"/>
      <c r="Z35" s="157"/>
    </row>
    <row r="36" ht="32.25" customHeight="1">
      <c r="A36" s="250">
        <v>8.600000305E9</v>
      </c>
      <c r="B36" s="165" t="s">
        <v>14</v>
      </c>
      <c r="C36" s="165" t="s">
        <v>13146</v>
      </c>
      <c r="D36" s="161" t="s">
        <v>13147</v>
      </c>
      <c r="E36" s="210" t="s">
        <v>13138</v>
      </c>
      <c r="F36" s="170">
        <v>43370.0</v>
      </c>
      <c r="G36" s="193">
        <v>43371.0</v>
      </c>
      <c r="H36" s="233">
        <v>43376.0</v>
      </c>
      <c r="I36" s="248" t="s">
        <v>13148</v>
      </c>
      <c r="J36" s="157"/>
      <c r="K36" s="157"/>
      <c r="L36" s="157"/>
      <c r="M36" s="157"/>
      <c r="N36" s="157"/>
      <c r="O36" s="157"/>
      <c r="P36" s="157"/>
      <c r="Q36" s="157"/>
      <c r="R36" s="157"/>
      <c r="S36" s="157"/>
      <c r="T36" s="157"/>
      <c r="U36" s="157"/>
      <c r="V36" s="157"/>
      <c r="W36" s="157"/>
      <c r="X36" s="157"/>
      <c r="Y36" s="157"/>
      <c r="Z36" s="157"/>
    </row>
    <row r="37" ht="32.25" customHeight="1">
      <c r="A37" s="250">
        <v>8.600000313E9</v>
      </c>
      <c r="B37" s="165" t="s">
        <v>25</v>
      </c>
      <c r="C37" s="165">
        <v>888.0</v>
      </c>
      <c r="D37" s="165" t="s">
        <v>13149</v>
      </c>
      <c r="E37" s="207" t="s">
        <v>13150</v>
      </c>
      <c r="F37" s="170">
        <v>43369.0</v>
      </c>
      <c r="G37" s="193">
        <v>43367.0</v>
      </c>
      <c r="H37" s="233">
        <v>43377.0</v>
      </c>
      <c r="I37" s="248" t="s">
        <v>13151</v>
      </c>
      <c r="J37" s="157"/>
      <c r="K37" s="157"/>
      <c r="L37" s="157"/>
      <c r="M37" s="157"/>
      <c r="N37" s="157"/>
      <c r="O37" s="157"/>
      <c r="P37" s="157"/>
      <c r="Q37" s="157"/>
      <c r="R37" s="157"/>
      <c r="S37" s="157"/>
      <c r="T37" s="157"/>
      <c r="U37" s="157"/>
      <c r="V37" s="157"/>
      <c r="W37" s="157"/>
      <c r="X37" s="157"/>
      <c r="Y37" s="157"/>
      <c r="Z37" s="157"/>
    </row>
    <row r="38" ht="32.25" customHeight="1">
      <c r="A38" s="651">
        <v>8.600000306E9</v>
      </c>
      <c r="B38" s="165" t="s">
        <v>14</v>
      </c>
      <c r="C38" s="165">
        <v>2192.0</v>
      </c>
      <c r="D38" s="165" t="s">
        <v>13152</v>
      </c>
      <c r="E38" s="207" t="s">
        <v>13153</v>
      </c>
      <c r="F38" s="170">
        <v>43367.0</v>
      </c>
      <c r="G38" s="200">
        <v>43363.0</v>
      </c>
      <c r="H38" s="216">
        <v>43369.0</v>
      </c>
      <c r="I38" s="248" t="s">
        <v>13154</v>
      </c>
      <c r="J38" s="157"/>
      <c r="K38" s="157"/>
      <c r="L38" s="157"/>
      <c r="M38" s="157"/>
      <c r="N38" s="157"/>
      <c r="O38" s="157"/>
      <c r="P38" s="157"/>
      <c r="Q38" s="157"/>
      <c r="R38" s="157"/>
      <c r="S38" s="157"/>
      <c r="T38" s="157"/>
      <c r="U38" s="157"/>
      <c r="V38" s="157"/>
      <c r="W38" s="157"/>
      <c r="X38" s="157"/>
      <c r="Y38" s="157"/>
      <c r="Z38" s="157"/>
    </row>
    <row r="39" ht="32.25" customHeight="1">
      <c r="A39" s="250">
        <v>8.600000308E9</v>
      </c>
      <c r="B39" s="165" t="s">
        <v>21</v>
      </c>
      <c r="C39" s="165">
        <v>102.0</v>
      </c>
      <c r="D39" s="165" t="s">
        <v>13155</v>
      </c>
      <c r="E39" s="207" t="s">
        <v>13156</v>
      </c>
      <c r="F39" s="170">
        <v>43366.0</v>
      </c>
      <c r="G39" s="193">
        <v>43390.0</v>
      </c>
      <c r="H39" s="233">
        <v>43389.0</v>
      </c>
      <c r="I39" s="248" t="s">
        <v>13157</v>
      </c>
      <c r="J39" s="157"/>
      <c r="K39" s="157"/>
      <c r="L39" s="157"/>
      <c r="M39" s="157"/>
      <c r="N39" s="157"/>
      <c r="O39" s="157"/>
      <c r="P39" s="157"/>
      <c r="Q39" s="157"/>
      <c r="R39" s="157"/>
      <c r="S39" s="157"/>
      <c r="T39" s="157"/>
      <c r="U39" s="157"/>
      <c r="V39" s="157"/>
      <c r="W39" s="157"/>
      <c r="X39" s="157"/>
      <c r="Y39" s="157"/>
      <c r="Z39" s="157"/>
    </row>
    <row r="40" ht="32.25" customHeight="1">
      <c r="A40" s="250">
        <v>8.600000307E9</v>
      </c>
      <c r="B40" s="165" t="s">
        <v>25</v>
      </c>
      <c r="C40" s="165">
        <v>71.0</v>
      </c>
      <c r="D40" s="165" t="s">
        <v>13155</v>
      </c>
      <c r="E40" s="207" t="s">
        <v>13158</v>
      </c>
      <c r="F40" s="170">
        <v>43366.0</v>
      </c>
      <c r="G40" s="170">
        <v>43381.0</v>
      </c>
      <c r="H40" s="209">
        <v>43385.0</v>
      </c>
      <c r="I40" s="248" t="s">
        <v>13159</v>
      </c>
      <c r="J40" s="157"/>
      <c r="K40" s="157"/>
      <c r="L40" s="157"/>
      <c r="M40" s="157"/>
      <c r="N40" s="157"/>
      <c r="O40" s="157"/>
      <c r="P40" s="157"/>
      <c r="Q40" s="157"/>
      <c r="R40" s="157"/>
      <c r="S40" s="157"/>
      <c r="T40" s="157"/>
      <c r="U40" s="157"/>
      <c r="V40" s="157"/>
      <c r="W40" s="157"/>
      <c r="X40" s="157"/>
      <c r="Y40" s="157"/>
      <c r="Z40" s="157"/>
    </row>
    <row r="41" ht="32.25" customHeight="1">
      <c r="A41" s="651">
        <v>8.600000301E9</v>
      </c>
      <c r="B41" s="165" t="s">
        <v>14</v>
      </c>
      <c r="C41" s="165">
        <v>102.0</v>
      </c>
      <c r="D41" s="165" t="s">
        <v>13160</v>
      </c>
      <c r="E41" s="207" t="s">
        <v>13161</v>
      </c>
      <c r="F41" s="170">
        <v>43366.0</v>
      </c>
      <c r="G41" s="200">
        <v>43370.0</v>
      </c>
      <c r="H41" s="216">
        <v>43376.0</v>
      </c>
      <c r="I41" s="248" t="s">
        <v>13162</v>
      </c>
      <c r="J41" s="157"/>
      <c r="K41" s="157"/>
      <c r="L41" s="157"/>
      <c r="M41" s="157"/>
      <c r="N41" s="157"/>
      <c r="O41" s="157"/>
      <c r="P41" s="157"/>
      <c r="Q41" s="157"/>
      <c r="R41" s="157"/>
      <c r="S41" s="157"/>
      <c r="T41" s="157"/>
      <c r="U41" s="157"/>
      <c r="V41" s="157"/>
      <c r="W41" s="157"/>
      <c r="X41" s="157"/>
      <c r="Y41" s="157"/>
      <c r="Z41" s="157"/>
    </row>
    <row r="42" ht="32.25" customHeight="1">
      <c r="A42" s="250">
        <v>8.600000317E9</v>
      </c>
      <c r="B42" s="165" t="s">
        <v>21</v>
      </c>
      <c r="C42" s="165" t="s">
        <v>13163</v>
      </c>
      <c r="D42" s="165" t="s">
        <v>13164</v>
      </c>
      <c r="E42" s="207" t="s">
        <v>13165</v>
      </c>
      <c r="F42" s="170">
        <v>43363.0</v>
      </c>
      <c r="G42" s="193">
        <v>43361.0</v>
      </c>
      <c r="H42" s="233">
        <v>43369.0</v>
      </c>
      <c r="I42" s="248" t="s">
        <v>13166</v>
      </c>
      <c r="J42" s="157"/>
      <c r="K42" s="157"/>
      <c r="L42" s="157"/>
      <c r="M42" s="157"/>
      <c r="N42" s="157"/>
      <c r="O42" s="157"/>
      <c r="P42" s="157"/>
      <c r="Q42" s="157"/>
      <c r="R42" s="157"/>
      <c r="S42" s="157"/>
      <c r="T42" s="157"/>
      <c r="U42" s="157"/>
      <c r="V42" s="157"/>
      <c r="W42" s="157"/>
      <c r="X42" s="157"/>
      <c r="Y42" s="157"/>
      <c r="Z42" s="157"/>
    </row>
    <row r="43" ht="32.25" customHeight="1">
      <c r="A43" s="250">
        <v>8.600000318E9</v>
      </c>
      <c r="B43" s="165" t="s">
        <v>25</v>
      </c>
      <c r="C43" s="165" t="s">
        <v>3578</v>
      </c>
      <c r="D43" s="165" t="s">
        <v>13167</v>
      </c>
      <c r="E43" s="210" t="s">
        <v>13168</v>
      </c>
      <c r="F43" s="170">
        <v>43357.0</v>
      </c>
      <c r="G43" s="193">
        <v>43354.0</v>
      </c>
      <c r="H43" s="233">
        <v>43363.0</v>
      </c>
      <c r="I43" s="248" t="s">
        <v>13169</v>
      </c>
      <c r="J43" s="157"/>
      <c r="K43" s="157"/>
      <c r="L43" s="157"/>
      <c r="M43" s="157"/>
      <c r="N43" s="157"/>
      <c r="O43" s="157"/>
      <c r="P43" s="157"/>
      <c r="Q43" s="157"/>
      <c r="R43" s="157"/>
      <c r="S43" s="157"/>
      <c r="T43" s="157"/>
      <c r="U43" s="157"/>
      <c r="V43" s="157"/>
      <c r="W43" s="157"/>
      <c r="X43" s="157"/>
      <c r="Y43" s="157"/>
      <c r="Z43" s="157"/>
    </row>
    <row r="44" ht="32.25" customHeight="1">
      <c r="A44" s="651">
        <v>8.600000282E9</v>
      </c>
      <c r="B44" s="165" t="s">
        <v>14</v>
      </c>
      <c r="C44" s="161">
        <v>732.0</v>
      </c>
      <c r="D44" s="165" t="s">
        <v>13170</v>
      </c>
      <c r="E44" s="207" t="s">
        <v>13171</v>
      </c>
      <c r="F44" s="170">
        <v>43347.0</v>
      </c>
      <c r="G44" s="200">
        <v>43343.0</v>
      </c>
      <c r="H44" s="216" t="s">
        <v>13172</v>
      </c>
      <c r="I44" s="248" t="s">
        <v>13173</v>
      </c>
      <c r="J44" s="157"/>
      <c r="K44" s="157"/>
      <c r="L44" s="157"/>
      <c r="M44" s="157"/>
      <c r="N44" s="157"/>
      <c r="O44" s="157"/>
      <c r="P44" s="157"/>
      <c r="Q44" s="157"/>
      <c r="R44" s="157"/>
      <c r="S44" s="157"/>
      <c r="T44" s="157"/>
      <c r="U44" s="157"/>
      <c r="V44" s="157"/>
      <c r="W44" s="157"/>
      <c r="X44" s="157"/>
      <c r="Y44" s="157"/>
      <c r="Z44" s="157"/>
    </row>
    <row r="45" ht="32.25" customHeight="1">
      <c r="A45" s="250">
        <v>8.500000029E9</v>
      </c>
      <c r="B45" s="165" t="s">
        <v>21</v>
      </c>
      <c r="C45" s="165">
        <v>681.0</v>
      </c>
      <c r="D45" s="165" t="s">
        <v>13174</v>
      </c>
      <c r="E45" s="207" t="s">
        <v>1678</v>
      </c>
      <c r="F45" s="170">
        <v>43344.0</v>
      </c>
      <c r="G45" s="216">
        <v>43340.0</v>
      </c>
      <c r="H45" s="216">
        <v>43353.0</v>
      </c>
      <c r="I45" s="248" t="s">
        <v>13175</v>
      </c>
      <c r="J45" s="157"/>
      <c r="K45" s="157"/>
      <c r="L45" s="157"/>
      <c r="M45" s="157"/>
      <c r="N45" s="157"/>
      <c r="O45" s="157"/>
      <c r="P45" s="157"/>
      <c r="Q45" s="157"/>
      <c r="R45" s="157"/>
      <c r="S45" s="157"/>
      <c r="T45" s="157"/>
      <c r="U45" s="157"/>
      <c r="V45" s="157"/>
      <c r="W45" s="157"/>
      <c r="X45" s="157"/>
      <c r="Y45" s="157"/>
      <c r="Z45" s="157"/>
    </row>
    <row r="46" ht="32.25" customHeight="1">
      <c r="A46" s="250">
        <v>8.600000272E9</v>
      </c>
      <c r="B46" s="165" t="s">
        <v>21</v>
      </c>
      <c r="C46" s="165">
        <v>89.0</v>
      </c>
      <c r="D46" s="161" t="s">
        <v>13176</v>
      </c>
      <c r="E46" s="207" t="s">
        <v>13161</v>
      </c>
      <c r="F46" s="170">
        <v>43338.0</v>
      </c>
      <c r="G46" s="216">
        <v>43348.0</v>
      </c>
      <c r="H46" s="216">
        <v>43356.0</v>
      </c>
      <c r="I46" s="248" t="s">
        <v>13177</v>
      </c>
      <c r="J46" s="157"/>
      <c r="K46" s="157"/>
      <c r="L46" s="157"/>
      <c r="M46" s="157"/>
      <c r="N46" s="157"/>
      <c r="O46" s="157"/>
      <c r="P46" s="157"/>
      <c r="Q46" s="157"/>
      <c r="R46" s="157"/>
      <c r="S46" s="157"/>
      <c r="T46" s="157"/>
      <c r="U46" s="157"/>
      <c r="V46" s="157"/>
      <c r="W46" s="157"/>
      <c r="X46" s="157"/>
      <c r="Y46" s="157"/>
      <c r="Z46" s="157"/>
    </row>
    <row r="47" ht="32.25" customHeight="1">
      <c r="A47" s="250">
        <v>8.600000277E9</v>
      </c>
      <c r="B47" s="165" t="s">
        <v>21</v>
      </c>
      <c r="C47" s="165">
        <v>1616.0</v>
      </c>
      <c r="D47" s="165" t="s">
        <v>2081</v>
      </c>
      <c r="E47" s="210" t="s">
        <v>13178</v>
      </c>
      <c r="F47" s="170">
        <v>43336.0</v>
      </c>
      <c r="G47" s="216">
        <v>43332.0</v>
      </c>
      <c r="H47" s="216">
        <v>43342.0</v>
      </c>
      <c r="I47" s="248" t="s">
        <v>13179</v>
      </c>
      <c r="J47" s="157"/>
      <c r="K47" s="157"/>
      <c r="L47" s="157"/>
      <c r="M47" s="157"/>
      <c r="N47" s="157"/>
      <c r="O47" s="157"/>
      <c r="P47" s="157"/>
      <c r="Q47" s="157"/>
      <c r="R47" s="157"/>
      <c r="S47" s="157"/>
      <c r="T47" s="157"/>
      <c r="U47" s="157"/>
      <c r="V47" s="157"/>
      <c r="W47" s="157"/>
      <c r="X47" s="157"/>
      <c r="Y47" s="157"/>
      <c r="Z47" s="157"/>
    </row>
    <row r="48" ht="32.25" customHeight="1">
      <c r="A48" s="250">
        <v>8.600000271E9</v>
      </c>
      <c r="B48" s="165" t="s">
        <v>14</v>
      </c>
      <c r="C48" s="165">
        <v>130.0</v>
      </c>
      <c r="D48" s="165" t="s">
        <v>13180</v>
      </c>
      <c r="E48" s="207" t="s">
        <v>13161</v>
      </c>
      <c r="F48" s="170">
        <v>43336.0</v>
      </c>
      <c r="G48" s="200">
        <v>43335.0</v>
      </c>
      <c r="H48" s="216">
        <v>43348.0</v>
      </c>
      <c r="I48" s="248" t="s">
        <v>13181</v>
      </c>
      <c r="J48" s="157"/>
      <c r="K48" s="157"/>
      <c r="L48" s="157"/>
      <c r="M48" s="157"/>
      <c r="N48" s="157"/>
      <c r="O48" s="157"/>
      <c r="P48" s="157"/>
      <c r="Q48" s="157"/>
      <c r="R48" s="157"/>
      <c r="S48" s="157"/>
      <c r="T48" s="157"/>
      <c r="U48" s="157"/>
      <c r="V48" s="157"/>
      <c r="W48" s="157"/>
      <c r="X48" s="157"/>
      <c r="Y48" s="157"/>
      <c r="Z48" s="157"/>
    </row>
    <row r="49" ht="32.25" customHeight="1">
      <c r="A49" s="250">
        <v>8.600000273E9</v>
      </c>
      <c r="B49" s="165" t="s">
        <v>25</v>
      </c>
      <c r="C49" s="165">
        <v>1602.0</v>
      </c>
      <c r="D49" s="165" t="s">
        <v>13182</v>
      </c>
      <c r="E49" s="207" t="s">
        <v>13183</v>
      </c>
      <c r="F49" s="170">
        <v>43334.0</v>
      </c>
      <c r="G49" s="216">
        <v>43332.0</v>
      </c>
      <c r="H49" s="216">
        <v>43342.0</v>
      </c>
      <c r="I49" s="248" t="s">
        <v>13184</v>
      </c>
      <c r="J49" s="157"/>
      <c r="K49" s="157"/>
      <c r="L49" s="157"/>
      <c r="M49" s="157"/>
      <c r="N49" s="157"/>
      <c r="O49" s="157"/>
      <c r="P49" s="157"/>
      <c r="Q49" s="157"/>
      <c r="R49" s="157"/>
      <c r="S49" s="157"/>
      <c r="T49" s="157"/>
      <c r="U49" s="157"/>
      <c r="V49" s="157"/>
      <c r="W49" s="157"/>
      <c r="X49" s="157"/>
      <c r="Y49" s="157"/>
      <c r="Z49" s="157"/>
    </row>
    <row r="50" ht="32.25" customHeight="1">
      <c r="A50" s="250">
        <v>8.600000267E9</v>
      </c>
      <c r="B50" s="165" t="s">
        <v>14</v>
      </c>
      <c r="C50" s="165">
        <v>4148.0</v>
      </c>
      <c r="D50" s="165" t="s">
        <v>13185</v>
      </c>
      <c r="E50" s="207" t="s">
        <v>13186</v>
      </c>
      <c r="F50" s="170">
        <v>43332.0</v>
      </c>
      <c r="G50" s="216">
        <v>43332.0</v>
      </c>
      <c r="H50" s="216" t="s">
        <v>13187</v>
      </c>
      <c r="I50" s="248" t="s">
        <v>13188</v>
      </c>
      <c r="J50" s="157"/>
      <c r="K50" s="157"/>
      <c r="L50" s="157"/>
      <c r="M50" s="157"/>
      <c r="N50" s="157"/>
      <c r="O50" s="157"/>
      <c r="P50" s="157"/>
      <c r="Q50" s="157"/>
      <c r="R50" s="157"/>
      <c r="S50" s="157"/>
      <c r="T50" s="157"/>
      <c r="U50" s="157"/>
      <c r="V50" s="157"/>
      <c r="W50" s="157"/>
      <c r="X50" s="157"/>
      <c r="Y50" s="157"/>
      <c r="Z50" s="157"/>
    </row>
    <row r="51" ht="32.25" customHeight="1">
      <c r="A51" s="250">
        <v>8.600000276E9</v>
      </c>
      <c r="B51" s="165" t="s">
        <v>21</v>
      </c>
      <c r="C51" s="165" t="s">
        <v>13189</v>
      </c>
      <c r="D51" s="165" t="s">
        <v>2078</v>
      </c>
      <c r="E51" s="210" t="s">
        <v>13138</v>
      </c>
      <c r="F51" s="170">
        <v>43329.0</v>
      </c>
      <c r="G51" s="216">
        <v>43325.0</v>
      </c>
      <c r="H51" s="216">
        <v>43334.0</v>
      </c>
      <c r="I51" s="248" t="s">
        <v>13190</v>
      </c>
      <c r="J51" s="157"/>
      <c r="K51" s="157"/>
      <c r="L51" s="157"/>
      <c r="M51" s="157"/>
      <c r="N51" s="157"/>
      <c r="O51" s="157"/>
      <c r="P51" s="157"/>
      <c r="Q51" s="157"/>
      <c r="R51" s="157"/>
      <c r="S51" s="157"/>
      <c r="T51" s="157"/>
      <c r="U51" s="157"/>
      <c r="V51" s="157"/>
      <c r="W51" s="157"/>
      <c r="X51" s="157"/>
      <c r="Y51" s="157"/>
      <c r="Z51" s="157"/>
    </row>
    <row r="52" ht="32.25" customHeight="1">
      <c r="A52" s="250">
        <v>8.600000263E9</v>
      </c>
      <c r="B52" s="165" t="s">
        <v>25</v>
      </c>
      <c r="C52" s="165">
        <v>220.0</v>
      </c>
      <c r="D52" s="165" t="s">
        <v>13191</v>
      </c>
      <c r="E52" s="207" t="s">
        <v>13138</v>
      </c>
      <c r="F52" s="170">
        <v>43318.0</v>
      </c>
      <c r="G52" s="170">
        <v>43325.0</v>
      </c>
      <c r="H52" s="216">
        <v>43322.0</v>
      </c>
      <c r="I52" s="248" t="s">
        <v>13192</v>
      </c>
      <c r="J52" s="157"/>
      <c r="K52" s="157"/>
      <c r="L52" s="157"/>
      <c r="M52" s="157"/>
      <c r="N52" s="157"/>
      <c r="O52" s="157"/>
      <c r="P52" s="157"/>
      <c r="Q52" s="157"/>
      <c r="R52" s="157"/>
      <c r="S52" s="157"/>
      <c r="T52" s="157"/>
      <c r="U52" s="157"/>
      <c r="V52" s="157"/>
      <c r="W52" s="157"/>
      <c r="X52" s="157"/>
      <c r="Y52" s="157"/>
      <c r="Z52" s="157"/>
    </row>
    <row r="53" ht="32.25" customHeight="1">
      <c r="A53" s="191">
        <v>8.600000243E9</v>
      </c>
      <c r="B53" s="165" t="s">
        <v>14</v>
      </c>
      <c r="C53" s="165" t="s">
        <v>13193</v>
      </c>
      <c r="D53" s="165" t="s">
        <v>13194</v>
      </c>
      <c r="E53" s="213" t="s">
        <v>13195</v>
      </c>
      <c r="F53" s="170">
        <v>43311.0</v>
      </c>
      <c r="G53" s="170">
        <v>43312.0</v>
      </c>
      <c r="H53" s="209">
        <v>43318.0</v>
      </c>
      <c r="I53" s="263" t="s">
        <v>13196</v>
      </c>
      <c r="J53" s="157"/>
      <c r="K53" s="157"/>
      <c r="L53" s="157"/>
      <c r="M53" s="157"/>
      <c r="N53" s="157"/>
      <c r="O53" s="157"/>
      <c r="P53" s="157"/>
      <c r="Q53" s="157"/>
      <c r="R53" s="157"/>
      <c r="S53" s="157"/>
      <c r="T53" s="157"/>
      <c r="U53" s="157"/>
      <c r="V53" s="157"/>
      <c r="W53" s="157"/>
      <c r="X53" s="157"/>
      <c r="Y53" s="157"/>
      <c r="Z53" s="157"/>
    </row>
    <row r="54" ht="32.25" customHeight="1">
      <c r="A54" s="191">
        <v>8.600000236E9</v>
      </c>
      <c r="B54" s="165" t="s">
        <v>14</v>
      </c>
      <c r="C54" s="161">
        <v>73.0</v>
      </c>
      <c r="D54" s="165" t="s">
        <v>13197</v>
      </c>
      <c r="E54" s="213" t="s">
        <v>13195</v>
      </c>
      <c r="F54" s="170">
        <v>43310.0</v>
      </c>
      <c r="G54" s="209">
        <v>43307.0</v>
      </c>
      <c r="H54" s="209">
        <v>43314.0</v>
      </c>
      <c r="I54" s="263" t="s">
        <v>13198</v>
      </c>
      <c r="J54" s="157"/>
      <c r="K54" s="157"/>
      <c r="L54" s="157"/>
      <c r="M54" s="157"/>
      <c r="N54" s="157"/>
      <c r="O54" s="157"/>
      <c r="P54" s="157"/>
      <c r="Q54" s="157"/>
      <c r="R54" s="157"/>
      <c r="S54" s="157"/>
      <c r="T54" s="157"/>
      <c r="U54" s="157"/>
      <c r="V54" s="157"/>
      <c r="W54" s="157"/>
      <c r="X54" s="157"/>
      <c r="Y54" s="157"/>
      <c r="Z54" s="157"/>
    </row>
    <row r="55" ht="32.25" customHeight="1">
      <c r="A55" s="191">
        <v>8.600000234E9</v>
      </c>
      <c r="B55" s="165" t="s">
        <v>21</v>
      </c>
      <c r="C55" s="165">
        <v>2064.0</v>
      </c>
      <c r="D55" s="165" t="s">
        <v>13199</v>
      </c>
      <c r="E55" s="213" t="s">
        <v>13200</v>
      </c>
      <c r="F55" s="170">
        <v>43307.0</v>
      </c>
      <c r="G55" s="209">
        <v>43304.0</v>
      </c>
      <c r="H55" s="209">
        <v>43313.0</v>
      </c>
      <c r="I55" s="263" t="s">
        <v>13201</v>
      </c>
      <c r="J55" s="157"/>
      <c r="K55" s="157"/>
      <c r="L55" s="157"/>
      <c r="M55" s="157"/>
      <c r="N55" s="157"/>
      <c r="O55" s="157"/>
      <c r="P55" s="157"/>
      <c r="Q55" s="157"/>
      <c r="R55" s="157"/>
      <c r="S55" s="157"/>
      <c r="T55" s="157"/>
      <c r="U55" s="157"/>
      <c r="V55" s="157"/>
      <c r="W55" s="157"/>
      <c r="X55" s="157"/>
      <c r="Y55" s="157"/>
      <c r="Z55" s="157"/>
    </row>
    <row r="56" ht="32.25" customHeight="1">
      <c r="A56" s="219">
        <v>8.600000235E9</v>
      </c>
      <c r="B56" s="165" t="s">
        <v>25</v>
      </c>
      <c r="C56" s="165">
        <v>1350.0</v>
      </c>
      <c r="D56" s="165" t="s">
        <v>13202</v>
      </c>
      <c r="E56" s="213" t="s">
        <v>1927</v>
      </c>
      <c r="F56" s="170">
        <v>43306.0</v>
      </c>
      <c r="G56" s="209">
        <v>43306.0</v>
      </c>
      <c r="H56" s="209">
        <v>43314.0</v>
      </c>
      <c r="I56" s="242" t="s">
        <v>13203</v>
      </c>
      <c r="J56" s="157"/>
      <c r="K56" s="157"/>
      <c r="L56" s="157"/>
      <c r="M56" s="157"/>
      <c r="N56" s="157"/>
      <c r="O56" s="157"/>
      <c r="P56" s="157"/>
      <c r="Q56" s="157"/>
      <c r="R56" s="157"/>
      <c r="S56" s="157"/>
      <c r="T56" s="157"/>
      <c r="U56" s="157"/>
      <c r="V56" s="157"/>
      <c r="W56" s="157"/>
      <c r="X56" s="157"/>
      <c r="Y56" s="157"/>
      <c r="Z56" s="157"/>
    </row>
    <row r="57" ht="32.25" customHeight="1">
      <c r="A57" s="191">
        <v>8.500000026E9</v>
      </c>
      <c r="B57" s="165" t="s">
        <v>21</v>
      </c>
      <c r="C57" s="165">
        <v>106.0</v>
      </c>
      <c r="D57" s="165" t="s">
        <v>13204</v>
      </c>
      <c r="E57" s="213" t="s">
        <v>13116</v>
      </c>
      <c r="F57" s="170">
        <v>43304.0</v>
      </c>
      <c r="G57" s="209">
        <v>43300.0</v>
      </c>
      <c r="H57" s="209">
        <v>43311.0</v>
      </c>
      <c r="I57" s="242" t="s">
        <v>13205</v>
      </c>
      <c r="J57" s="157"/>
      <c r="K57" s="157"/>
      <c r="L57" s="157"/>
      <c r="M57" s="157"/>
      <c r="N57" s="157"/>
      <c r="O57" s="157"/>
      <c r="P57" s="157"/>
      <c r="Q57" s="157"/>
      <c r="R57" s="157"/>
      <c r="S57" s="157"/>
      <c r="T57" s="157"/>
      <c r="U57" s="157"/>
      <c r="V57" s="157"/>
      <c r="W57" s="157"/>
      <c r="X57" s="157"/>
      <c r="Y57" s="157"/>
      <c r="Z57" s="157"/>
    </row>
    <row r="58" ht="32.25" customHeight="1">
      <c r="A58" s="191">
        <v>8.600000229E9</v>
      </c>
      <c r="B58" s="165" t="s">
        <v>14</v>
      </c>
      <c r="C58" s="165">
        <v>2418.0</v>
      </c>
      <c r="D58" s="161" t="s">
        <v>13206</v>
      </c>
      <c r="E58" s="213" t="s">
        <v>13207</v>
      </c>
      <c r="F58" s="170">
        <v>43304.0</v>
      </c>
      <c r="G58" s="209">
        <v>43304.0</v>
      </c>
      <c r="H58" s="209">
        <v>43308.0</v>
      </c>
      <c r="I58" s="242" t="s">
        <v>13208</v>
      </c>
      <c r="J58" s="157"/>
      <c r="K58" s="157"/>
      <c r="L58" s="157"/>
      <c r="M58" s="157"/>
      <c r="N58" s="157"/>
      <c r="O58" s="157"/>
      <c r="P58" s="157"/>
      <c r="Q58" s="157"/>
      <c r="R58" s="157"/>
      <c r="S58" s="157"/>
      <c r="T58" s="157"/>
      <c r="U58" s="157"/>
      <c r="V58" s="157"/>
      <c r="W58" s="157"/>
      <c r="X58" s="157"/>
      <c r="Y58" s="157"/>
      <c r="Z58" s="157"/>
    </row>
    <row r="59" ht="32.25" customHeight="1">
      <c r="A59" s="191">
        <v>8.600000242E9</v>
      </c>
      <c r="B59" s="165" t="s">
        <v>21</v>
      </c>
      <c r="C59" s="165" t="s">
        <v>13163</v>
      </c>
      <c r="D59" s="165" t="s">
        <v>2070</v>
      </c>
      <c r="E59" s="213" t="s">
        <v>13209</v>
      </c>
      <c r="F59" s="170">
        <v>43303.0</v>
      </c>
      <c r="G59" s="209">
        <v>43299.0</v>
      </c>
      <c r="H59" s="209">
        <v>43307.0</v>
      </c>
      <c r="I59" s="242" t="s">
        <v>13210</v>
      </c>
      <c r="J59" s="157"/>
      <c r="K59" s="157"/>
      <c r="L59" s="157"/>
      <c r="M59" s="157"/>
      <c r="N59" s="157"/>
      <c r="O59" s="157"/>
      <c r="P59" s="157"/>
      <c r="Q59" s="157"/>
      <c r="R59" s="157"/>
      <c r="S59" s="157"/>
      <c r="T59" s="157"/>
      <c r="U59" s="157"/>
      <c r="V59" s="157"/>
      <c r="W59" s="157"/>
      <c r="X59" s="157"/>
      <c r="Y59" s="157"/>
      <c r="Z59" s="157"/>
    </row>
    <row r="60" ht="32.25" customHeight="1">
      <c r="A60" s="219">
        <v>8.50000002E9</v>
      </c>
      <c r="B60" s="165" t="s">
        <v>14</v>
      </c>
      <c r="C60" s="161">
        <v>898.0</v>
      </c>
      <c r="D60" s="165" t="s">
        <v>13211</v>
      </c>
      <c r="E60" s="213" t="s">
        <v>1678</v>
      </c>
      <c r="F60" s="170">
        <v>43299.0</v>
      </c>
      <c r="G60" s="209">
        <v>43298.0</v>
      </c>
      <c r="H60" s="209">
        <v>43307.0</v>
      </c>
      <c r="I60" s="242" t="s">
        <v>13212</v>
      </c>
      <c r="J60" s="157"/>
      <c r="K60" s="157"/>
      <c r="L60" s="157"/>
      <c r="M60" s="157"/>
      <c r="N60" s="157"/>
      <c r="O60" s="157"/>
      <c r="P60" s="157"/>
      <c r="Q60" s="157"/>
      <c r="R60" s="157"/>
      <c r="S60" s="157"/>
      <c r="T60" s="157"/>
      <c r="U60" s="157"/>
      <c r="V60" s="157"/>
      <c r="W60" s="157"/>
      <c r="X60" s="157"/>
      <c r="Y60" s="157"/>
      <c r="Z60" s="157"/>
    </row>
    <row r="61" ht="32.25" customHeight="1">
      <c r="A61" s="165">
        <v>8.600000201E9</v>
      </c>
      <c r="B61" s="165" t="s">
        <v>14</v>
      </c>
      <c r="C61" s="165">
        <v>799.0</v>
      </c>
      <c r="D61" s="161" t="s">
        <v>13213</v>
      </c>
      <c r="E61" s="214" t="s">
        <v>13195</v>
      </c>
      <c r="F61" s="170">
        <v>43293.0</v>
      </c>
      <c r="G61" s="209">
        <v>43298.0</v>
      </c>
      <c r="H61" s="209" t="s">
        <v>13214</v>
      </c>
      <c r="I61" s="263" t="s">
        <v>13215</v>
      </c>
      <c r="J61" s="157"/>
      <c r="K61" s="157"/>
      <c r="L61" s="157"/>
      <c r="M61" s="157"/>
      <c r="N61" s="157"/>
      <c r="O61" s="157"/>
      <c r="P61" s="157"/>
      <c r="Q61" s="157"/>
      <c r="R61" s="157"/>
      <c r="S61" s="157"/>
      <c r="T61" s="157"/>
      <c r="U61" s="157"/>
      <c r="V61" s="157"/>
      <c r="W61" s="157"/>
      <c r="X61" s="157"/>
      <c r="Y61" s="157"/>
      <c r="Z61" s="157"/>
    </row>
    <row r="62" ht="32.25" customHeight="1">
      <c r="A62" s="191">
        <v>8.600000194E9</v>
      </c>
      <c r="B62" s="165" t="s">
        <v>21</v>
      </c>
      <c r="C62" s="165">
        <v>1572.0</v>
      </c>
      <c r="D62" s="165" t="s">
        <v>13216</v>
      </c>
      <c r="E62" s="213" t="s">
        <v>13207</v>
      </c>
      <c r="F62" s="170">
        <v>43279.0</v>
      </c>
      <c r="G62" s="209">
        <v>43277.0</v>
      </c>
      <c r="H62" s="209">
        <v>43284.0</v>
      </c>
      <c r="I62" s="263" t="s">
        <v>13217</v>
      </c>
      <c r="J62" s="157"/>
      <c r="K62" s="157"/>
      <c r="L62" s="157"/>
      <c r="M62" s="157"/>
      <c r="N62" s="157"/>
      <c r="O62" s="157"/>
      <c r="P62" s="157"/>
      <c r="Q62" s="157"/>
      <c r="R62" s="157"/>
      <c r="S62" s="157"/>
      <c r="T62" s="157"/>
      <c r="U62" s="157"/>
      <c r="V62" s="157"/>
      <c r="W62" s="157"/>
      <c r="X62" s="157"/>
      <c r="Y62" s="157"/>
      <c r="Z62" s="157"/>
    </row>
    <row r="63" ht="32.25" customHeight="1">
      <c r="A63" s="219">
        <v>8.600000186E9</v>
      </c>
      <c r="B63" s="165" t="s">
        <v>21</v>
      </c>
      <c r="C63" s="165">
        <v>102.0</v>
      </c>
      <c r="D63" s="165" t="s">
        <v>13218</v>
      </c>
      <c r="E63" s="213" t="s">
        <v>13195</v>
      </c>
      <c r="F63" s="170">
        <v>43279.0</v>
      </c>
      <c r="G63" s="209">
        <v>43290.0</v>
      </c>
      <c r="H63" s="209" t="s">
        <v>13219</v>
      </c>
      <c r="I63" s="263" t="s">
        <v>13220</v>
      </c>
      <c r="J63" s="157"/>
      <c r="K63" s="157"/>
      <c r="L63" s="157"/>
      <c r="M63" s="157"/>
      <c r="N63" s="157"/>
      <c r="O63" s="157"/>
      <c r="P63" s="157"/>
      <c r="Q63" s="157"/>
      <c r="R63" s="157"/>
      <c r="S63" s="157"/>
      <c r="T63" s="157"/>
      <c r="U63" s="157"/>
      <c r="V63" s="157"/>
      <c r="W63" s="157"/>
      <c r="X63" s="157"/>
      <c r="Y63" s="157"/>
      <c r="Z63" s="157"/>
    </row>
    <row r="64" ht="32.25" customHeight="1">
      <c r="A64" s="191">
        <v>8.600000193E9</v>
      </c>
      <c r="B64" s="165" t="s">
        <v>25</v>
      </c>
      <c r="C64" s="165">
        <v>1681.0</v>
      </c>
      <c r="D64" s="165" t="s">
        <v>13221</v>
      </c>
      <c r="E64" s="213" t="s">
        <v>13200</v>
      </c>
      <c r="F64" s="170">
        <v>43278.0</v>
      </c>
      <c r="G64" s="209">
        <v>43276.0</v>
      </c>
      <c r="H64" s="209">
        <v>43290.0</v>
      </c>
      <c r="I64" s="263" t="s">
        <v>13222</v>
      </c>
      <c r="J64" s="157"/>
      <c r="K64" s="157"/>
      <c r="L64" s="157"/>
      <c r="M64" s="157"/>
      <c r="N64" s="157"/>
      <c r="O64" s="157"/>
      <c r="P64" s="157"/>
      <c r="Q64" s="157"/>
      <c r="R64" s="157"/>
      <c r="S64" s="157"/>
      <c r="T64" s="157"/>
      <c r="U64" s="157"/>
      <c r="V64" s="157"/>
      <c r="W64" s="157"/>
      <c r="X64" s="157"/>
      <c r="Y64" s="157"/>
      <c r="Z64" s="157"/>
    </row>
    <row r="65" ht="32.25" customHeight="1">
      <c r="A65" s="165">
        <v>8.60000019E9</v>
      </c>
      <c r="B65" s="165" t="s">
        <v>14</v>
      </c>
      <c r="C65" s="165">
        <v>2633.0</v>
      </c>
      <c r="D65" s="165" t="s">
        <v>13223</v>
      </c>
      <c r="E65" s="214" t="s">
        <v>13224</v>
      </c>
      <c r="F65" s="170">
        <v>43276.0</v>
      </c>
      <c r="G65" s="209">
        <v>43277.0</v>
      </c>
      <c r="H65" s="209" t="s">
        <v>13225</v>
      </c>
      <c r="I65" s="263" t="s">
        <v>13226</v>
      </c>
      <c r="J65" s="157"/>
      <c r="K65" s="157"/>
      <c r="L65" s="157"/>
      <c r="M65" s="157"/>
      <c r="N65" s="157"/>
      <c r="O65" s="157"/>
      <c r="P65" s="157"/>
      <c r="Q65" s="157"/>
      <c r="R65" s="157"/>
      <c r="S65" s="157"/>
      <c r="T65" s="157"/>
      <c r="U65" s="157"/>
      <c r="V65" s="157"/>
      <c r="W65" s="157"/>
      <c r="X65" s="157"/>
      <c r="Y65" s="157"/>
      <c r="Z65" s="157"/>
    </row>
    <row r="66" ht="32.25" customHeight="1">
      <c r="A66" s="191">
        <v>8.600000198E9</v>
      </c>
      <c r="B66" s="165" t="s">
        <v>21</v>
      </c>
      <c r="C66" s="165">
        <v>1880.0</v>
      </c>
      <c r="D66" s="165" t="s">
        <v>13227</v>
      </c>
      <c r="E66" s="213" t="s">
        <v>13195</v>
      </c>
      <c r="F66" s="170">
        <v>43273.0</v>
      </c>
      <c r="G66" s="209">
        <v>43278.0</v>
      </c>
      <c r="H66" s="209">
        <v>335473.0</v>
      </c>
      <c r="I66" s="263" t="s">
        <v>13228</v>
      </c>
      <c r="J66" s="157"/>
      <c r="K66" s="157"/>
      <c r="L66" s="157"/>
      <c r="M66" s="157"/>
      <c r="N66" s="157"/>
      <c r="O66" s="157"/>
      <c r="P66" s="157"/>
      <c r="Q66" s="157"/>
      <c r="R66" s="157"/>
      <c r="S66" s="157"/>
      <c r="T66" s="157"/>
      <c r="U66" s="157"/>
      <c r="V66" s="157"/>
      <c r="W66" s="157"/>
      <c r="X66" s="157"/>
      <c r="Y66" s="157"/>
      <c r="Z66" s="157"/>
    </row>
    <row r="67" ht="32.25" customHeight="1">
      <c r="A67" s="219">
        <v>8.600000185E9</v>
      </c>
      <c r="B67" s="165" t="s">
        <v>14</v>
      </c>
      <c r="C67" s="165">
        <v>121.0</v>
      </c>
      <c r="D67" s="165" t="s">
        <v>13229</v>
      </c>
      <c r="E67" s="213" t="s">
        <v>13209</v>
      </c>
      <c r="F67" s="170">
        <v>43272.0</v>
      </c>
      <c r="G67" s="209">
        <v>43277.0</v>
      </c>
      <c r="H67" s="209">
        <v>43279.0</v>
      </c>
      <c r="I67" s="263" t="s">
        <v>13230</v>
      </c>
      <c r="J67" s="157"/>
      <c r="K67" s="157"/>
      <c r="L67" s="157"/>
      <c r="M67" s="157"/>
      <c r="N67" s="157"/>
      <c r="O67" s="157"/>
      <c r="P67" s="157"/>
      <c r="Q67" s="157"/>
      <c r="R67" s="157"/>
      <c r="S67" s="157"/>
      <c r="T67" s="157"/>
      <c r="U67" s="157"/>
      <c r="V67" s="157"/>
      <c r="W67" s="157"/>
      <c r="X67" s="157"/>
      <c r="Y67" s="157"/>
      <c r="Z67" s="157"/>
    </row>
    <row r="68" ht="32.25" customHeight="1">
      <c r="A68" s="165">
        <v>8.600000169E9</v>
      </c>
      <c r="B68" s="165" t="s">
        <v>21</v>
      </c>
      <c r="C68" s="165">
        <v>399.0</v>
      </c>
      <c r="D68" s="161" t="s">
        <v>2063</v>
      </c>
      <c r="E68" s="214" t="s">
        <v>13231</v>
      </c>
      <c r="F68" s="170">
        <v>43271.0</v>
      </c>
      <c r="G68" s="209">
        <v>43277.0</v>
      </c>
      <c r="H68" s="209">
        <v>43276.0</v>
      </c>
      <c r="I68" s="242" t="s">
        <v>13232</v>
      </c>
      <c r="J68" s="157"/>
      <c r="K68" s="157"/>
      <c r="L68" s="157"/>
      <c r="M68" s="157"/>
      <c r="N68" s="157"/>
      <c r="O68" s="157"/>
      <c r="P68" s="157"/>
      <c r="Q68" s="157"/>
      <c r="R68" s="157"/>
      <c r="S68" s="157"/>
      <c r="T68" s="157"/>
      <c r="U68" s="157"/>
      <c r="V68" s="157"/>
      <c r="W68" s="157"/>
      <c r="X68" s="157"/>
      <c r="Y68" s="157"/>
      <c r="Z68" s="157"/>
    </row>
    <row r="69" ht="32.25" customHeight="1">
      <c r="A69" s="165">
        <v>8.500000016E9</v>
      </c>
      <c r="B69" s="165" t="s">
        <v>14</v>
      </c>
      <c r="C69" s="165">
        <v>336.0</v>
      </c>
      <c r="D69" s="165" t="s">
        <v>13233</v>
      </c>
      <c r="E69" s="214" t="s">
        <v>13088</v>
      </c>
      <c r="F69" s="170">
        <v>43269.0</v>
      </c>
      <c r="G69" s="209">
        <v>43269.0</v>
      </c>
      <c r="H69" s="209">
        <v>43273.0</v>
      </c>
      <c r="I69" s="213" t="s">
        <v>13234</v>
      </c>
      <c r="J69" s="157"/>
      <c r="K69" s="157"/>
      <c r="L69" s="157"/>
      <c r="M69" s="157"/>
      <c r="N69" s="157"/>
      <c r="O69" s="157"/>
      <c r="P69" s="157"/>
      <c r="Q69" s="157"/>
      <c r="R69" s="157"/>
      <c r="S69" s="157"/>
      <c r="T69" s="157"/>
      <c r="U69" s="157"/>
      <c r="V69" s="157"/>
      <c r="W69" s="157"/>
      <c r="X69" s="157"/>
      <c r="Y69" s="157"/>
      <c r="Z69" s="157"/>
    </row>
    <row r="70" ht="32.25" customHeight="1">
      <c r="A70" s="165">
        <v>8.500000015E9</v>
      </c>
      <c r="B70" s="165" t="s">
        <v>21</v>
      </c>
      <c r="C70" s="165">
        <v>168.0</v>
      </c>
      <c r="D70" s="165" t="s">
        <v>2061</v>
      </c>
      <c r="E70" s="214" t="s">
        <v>13088</v>
      </c>
      <c r="F70" s="170">
        <v>43263.0</v>
      </c>
      <c r="G70" s="209">
        <v>43258.0</v>
      </c>
      <c r="H70" s="209">
        <v>43264.0</v>
      </c>
      <c r="I70" s="242" t="s">
        <v>13235</v>
      </c>
      <c r="J70" s="157"/>
      <c r="K70" s="157"/>
      <c r="L70" s="157"/>
      <c r="M70" s="157"/>
      <c r="N70" s="157"/>
      <c r="O70" s="157"/>
      <c r="P70" s="157"/>
      <c r="Q70" s="157"/>
      <c r="R70" s="157"/>
      <c r="S70" s="157"/>
      <c r="T70" s="157"/>
      <c r="U70" s="157"/>
      <c r="V70" s="157"/>
      <c r="W70" s="157"/>
      <c r="X70" s="157"/>
      <c r="Y70" s="157"/>
      <c r="Z70" s="157"/>
    </row>
    <row r="71" ht="32.25" customHeight="1">
      <c r="A71" s="191">
        <v>8.600000184E9</v>
      </c>
      <c r="B71" s="165" t="s">
        <v>25</v>
      </c>
      <c r="C71" s="165">
        <v>326.0</v>
      </c>
      <c r="D71" s="165" t="s">
        <v>13236</v>
      </c>
      <c r="E71" s="213" t="s">
        <v>13195</v>
      </c>
      <c r="F71" s="170">
        <v>43262.0</v>
      </c>
      <c r="G71" s="209">
        <v>43259.0</v>
      </c>
      <c r="H71" s="209">
        <v>43265.0</v>
      </c>
      <c r="I71" s="263" t="s">
        <v>13237</v>
      </c>
      <c r="J71" s="157"/>
      <c r="K71" s="157"/>
      <c r="L71" s="157"/>
      <c r="M71" s="157"/>
      <c r="N71" s="157"/>
      <c r="O71" s="157"/>
      <c r="P71" s="157"/>
      <c r="Q71" s="157"/>
      <c r="R71" s="157"/>
      <c r="S71" s="157"/>
      <c r="T71" s="157"/>
      <c r="U71" s="157"/>
      <c r="V71" s="157"/>
      <c r="W71" s="157"/>
      <c r="X71" s="157"/>
      <c r="Y71" s="157"/>
      <c r="Z71" s="157"/>
    </row>
    <row r="72" ht="32.25" customHeight="1">
      <c r="A72" s="165">
        <v>8.600000167E9</v>
      </c>
      <c r="B72" s="165" t="s">
        <v>14</v>
      </c>
      <c r="C72" s="165">
        <v>631.0</v>
      </c>
      <c r="D72" s="165" t="s">
        <v>13238</v>
      </c>
      <c r="E72" s="214" t="s">
        <v>13231</v>
      </c>
      <c r="F72" s="170">
        <v>43262.0</v>
      </c>
      <c r="G72" s="209">
        <v>43263.0</v>
      </c>
      <c r="H72" s="209">
        <v>43269.0</v>
      </c>
      <c r="I72" s="242" t="s">
        <v>13239</v>
      </c>
      <c r="J72" s="157"/>
      <c r="K72" s="157"/>
      <c r="L72" s="157"/>
      <c r="M72" s="157"/>
      <c r="N72" s="157"/>
      <c r="O72" s="157"/>
      <c r="P72" s="157"/>
      <c r="Q72" s="157"/>
      <c r="R72" s="157"/>
      <c r="S72" s="157"/>
      <c r="T72" s="157"/>
      <c r="U72" s="157"/>
      <c r="V72" s="157"/>
      <c r="W72" s="157"/>
      <c r="X72" s="157"/>
      <c r="Y72" s="157"/>
      <c r="Z72" s="157"/>
    </row>
    <row r="73" ht="32.25" customHeight="1">
      <c r="A73" s="191">
        <v>8.500000017E9</v>
      </c>
      <c r="B73" s="165" t="s">
        <v>21</v>
      </c>
      <c r="C73" s="165">
        <v>938.0</v>
      </c>
      <c r="D73" s="165" t="s">
        <v>13240</v>
      </c>
      <c r="E73" s="213" t="s">
        <v>1678</v>
      </c>
      <c r="F73" s="170">
        <v>43260.0</v>
      </c>
      <c r="G73" s="209">
        <v>43257.0</v>
      </c>
      <c r="H73" s="209">
        <v>43264.0</v>
      </c>
      <c r="I73" s="213" t="s">
        <v>13241</v>
      </c>
      <c r="J73" s="157"/>
      <c r="K73" s="157"/>
      <c r="L73" s="157"/>
      <c r="M73" s="157"/>
      <c r="N73" s="157"/>
      <c r="O73" s="157"/>
      <c r="P73" s="157"/>
      <c r="Q73" s="157"/>
      <c r="R73" s="157"/>
      <c r="S73" s="157"/>
      <c r="T73" s="157"/>
      <c r="U73" s="157"/>
      <c r="V73" s="157"/>
      <c r="W73" s="157"/>
      <c r="X73" s="157"/>
      <c r="Y73" s="157"/>
      <c r="Z73" s="157"/>
    </row>
    <row r="74" ht="32.25" customHeight="1">
      <c r="A74" s="161">
        <v>8.600000172E9</v>
      </c>
      <c r="B74" s="165" t="s">
        <v>25</v>
      </c>
      <c r="C74" s="165">
        <v>24.0</v>
      </c>
      <c r="D74" s="165" t="s">
        <v>13242</v>
      </c>
      <c r="E74" s="214" t="s">
        <v>13209</v>
      </c>
      <c r="F74" s="170">
        <v>43256.0</v>
      </c>
      <c r="G74" s="209">
        <v>43258.0</v>
      </c>
      <c r="H74" s="209">
        <v>43263.0</v>
      </c>
      <c r="I74" s="213" t="s">
        <v>13243</v>
      </c>
      <c r="J74" s="157"/>
      <c r="K74" s="157"/>
      <c r="L74" s="157"/>
      <c r="M74" s="157"/>
      <c r="N74" s="157"/>
      <c r="O74" s="157"/>
      <c r="P74" s="157"/>
      <c r="Q74" s="157"/>
      <c r="R74" s="157"/>
      <c r="S74" s="157"/>
      <c r="T74" s="157"/>
      <c r="U74" s="157"/>
      <c r="V74" s="157"/>
      <c r="W74" s="157"/>
      <c r="X74" s="157"/>
      <c r="Y74" s="157"/>
      <c r="Z74" s="157"/>
    </row>
    <row r="75" ht="32.25" customHeight="1">
      <c r="A75" s="191">
        <v>8.60000016E9</v>
      </c>
      <c r="B75" s="165" t="s">
        <v>14</v>
      </c>
      <c r="C75" s="165">
        <v>3502.0</v>
      </c>
      <c r="D75" s="165" t="s">
        <v>13244</v>
      </c>
      <c r="E75" s="213" t="s">
        <v>13209</v>
      </c>
      <c r="F75" s="170">
        <v>43255.0</v>
      </c>
      <c r="G75" s="209">
        <v>43256.0</v>
      </c>
      <c r="H75" s="209" t="s">
        <v>13245</v>
      </c>
      <c r="I75" s="213" t="s">
        <v>13246</v>
      </c>
      <c r="J75" s="157"/>
      <c r="K75" s="157"/>
      <c r="L75" s="157"/>
      <c r="M75" s="157"/>
      <c r="N75" s="157"/>
      <c r="O75" s="157"/>
      <c r="P75" s="157"/>
      <c r="Q75" s="157"/>
      <c r="R75" s="157"/>
      <c r="S75" s="157"/>
      <c r="T75" s="157"/>
      <c r="U75" s="157"/>
      <c r="V75" s="157"/>
      <c r="W75" s="157"/>
      <c r="X75" s="157"/>
      <c r="Y75" s="157"/>
      <c r="Z75" s="157"/>
    </row>
    <row r="76" ht="32.25" customHeight="1">
      <c r="A76" s="191">
        <v>8.500000014E9</v>
      </c>
      <c r="B76" s="161" t="s">
        <v>14</v>
      </c>
      <c r="C76" s="165">
        <v>135.0</v>
      </c>
      <c r="D76" s="165" t="s">
        <v>13247</v>
      </c>
      <c r="E76" s="213" t="s">
        <v>13116</v>
      </c>
      <c r="F76" s="170">
        <v>43255.0</v>
      </c>
      <c r="G76" s="209">
        <v>43257.0</v>
      </c>
      <c r="H76" s="209">
        <v>43259.0</v>
      </c>
      <c r="I76" s="213" t="s">
        <v>13248</v>
      </c>
      <c r="J76" s="157"/>
      <c r="K76" s="157"/>
      <c r="L76" s="157"/>
      <c r="M76" s="157"/>
      <c r="N76" s="157"/>
      <c r="O76" s="157"/>
      <c r="P76" s="157"/>
      <c r="Q76" s="157"/>
      <c r="R76" s="157"/>
      <c r="S76" s="157"/>
      <c r="T76" s="157"/>
      <c r="U76" s="157"/>
      <c r="V76" s="157"/>
      <c r="W76" s="157"/>
      <c r="X76" s="157"/>
      <c r="Y76" s="157"/>
      <c r="Z76" s="157"/>
    </row>
    <row r="77" ht="32.25" customHeight="1">
      <c r="A77" s="191">
        <v>8.600000159E9</v>
      </c>
      <c r="B77" s="165" t="s">
        <v>21</v>
      </c>
      <c r="C77" s="165">
        <v>1012.0</v>
      </c>
      <c r="D77" s="161" t="s">
        <v>2058</v>
      </c>
      <c r="E77" s="213" t="s">
        <v>13209</v>
      </c>
      <c r="F77" s="170">
        <v>43252.0</v>
      </c>
      <c r="G77" s="209">
        <v>43249.0</v>
      </c>
      <c r="H77" s="209">
        <v>43257.0</v>
      </c>
      <c r="I77" s="213" t="s">
        <v>13249</v>
      </c>
      <c r="J77" s="157"/>
      <c r="K77" s="157"/>
      <c r="L77" s="157"/>
      <c r="M77" s="157"/>
      <c r="N77" s="157"/>
      <c r="O77" s="157"/>
      <c r="P77" s="157"/>
      <c r="Q77" s="157"/>
      <c r="R77" s="157"/>
      <c r="S77" s="157"/>
      <c r="T77" s="157"/>
      <c r="U77" s="157"/>
      <c r="V77" s="157"/>
      <c r="W77" s="157"/>
      <c r="X77" s="157"/>
      <c r="Y77" s="157"/>
      <c r="Z77" s="157"/>
    </row>
    <row r="78" ht="32.25" customHeight="1">
      <c r="A78" s="191">
        <v>8.600000132E9</v>
      </c>
      <c r="B78" s="165" t="s">
        <v>14</v>
      </c>
      <c r="C78" s="165">
        <v>133.0</v>
      </c>
      <c r="D78" s="165" t="s">
        <v>13250</v>
      </c>
      <c r="E78" s="213" t="s">
        <v>13251</v>
      </c>
      <c r="F78" s="170">
        <v>43248.0</v>
      </c>
      <c r="G78" s="209">
        <v>43250.0</v>
      </c>
      <c r="H78" s="209">
        <v>43252.0</v>
      </c>
      <c r="I78" s="213" t="s">
        <v>13252</v>
      </c>
      <c r="J78" s="157"/>
      <c r="K78" s="157"/>
      <c r="L78" s="157"/>
      <c r="M78" s="157"/>
      <c r="N78" s="157"/>
      <c r="O78" s="157"/>
      <c r="P78" s="157"/>
      <c r="Q78" s="157"/>
      <c r="R78" s="157"/>
      <c r="S78" s="157"/>
      <c r="T78" s="157"/>
      <c r="U78" s="157"/>
      <c r="V78" s="157"/>
      <c r="W78" s="157"/>
      <c r="X78" s="157"/>
      <c r="Y78" s="157"/>
      <c r="Z78" s="157"/>
    </row>
    <row r="79" ht="32.25" customHeight="1">
      <c r="A79" s="219">
        <v>8.600000146E9</v>
      </c>
      <c r="B79" s="165" t="s">
        <v>21</v>
      </c>
      <c r="C79" s="165">
        <v>1503.0</v>
      </c>
      <c r="D79" s="165" t="s">
        <v>13253</v>
      </c>
      <c r="E79" s="213" t="s">
        <v>13224</v>
      </c>
      <c r="F79" s="170">
        <v>43245.0</v>
      </c>
      <c r="G79" s="209">
        <v>43242.0</v>
      </c>
      <c r="H79" s="209">
        <v>43252.0</v>
      </c>
      <c r="I79" s="213" t="s">
        <v>13254</v>
      </c>
      <c r="J79" s="157"/>
      <c r="K79" s="157"/>
      <c r="L79" s="157"/>
      <c r="M79" s="157"/>
      <c r="N79" s="157"/>
      <c r="O79" s="157"/>
      <c r="P79" s="157"/>
      <c r="Q79" s="157"/>
      <c r="R79" s="157"/>
      <c r="S79" s="157"/>
      <c r="T79" s="157"/>
      <c r="U79" s="157"/>
      <c r="V79" s="157"/>
      <c r="W79" s="157"/>
      <c r="X79" s="157"/>
      <c r="Y79" s="157"/>
      <c r="Z79" s="157"/>
    </row>
    <row r="80" ht="32.25" customHeight="1">
      <c r="A80" s="243" t="str">
        <f>HYPERLINK("https://drive.google.com/file/d/0B4phjTjb-BwLN0ZFRDcwRmVBVjJsUFVjakQwRUZlVUdEdkFv/view?usp=sharing","8600000140")</f>
        <v>8600000140</v>
      </c>
      <c r="B80" s="165" t="s">
        <v>25</v>
      </c>
      <c r="C80" s="165">
        <v>1130.0</v>
      </c>
      <c r="D80" s="165" t="s">
        <v>13255</v>
      </c>
      <c r="E80" s="213" t="s">
        <v>13256</v>
      </c>
      <c r="F80" s="170">
        <v>43243.0</v>
      </c>
      <c r="G80" s="209">
        <v>43242.0</v>
      </c>
      <c r="H80" s="209">
        <v>43256.0</v>
      </c>
      <c r="I80" s="213" t="s">
        <v>13257</v>
      </c>
      <c r="J80" s="157"/>
      <c r="K80" s="157"/>
      <c r="L80" s="157"/>
      <c r="M80" s="157"/>
      <c r="N80" s="157"/>
      <c r="O80" s="157"/>
      <c r="P80" s="157"/>
      <c r="Q80" s="157"/>
      <c r="R80" s="157"/>
      <c r="S80" s="157"/>
      <c r="T80" s="157"/>
      <c r="U80" s="157"/>
      <c r="V80" s="157"/>
      <c r="W80" s="157"/>
      <c r="X80" s="157"/>
      <c r="Y80" s="157"/>
      <c r="Z80" s="157"/>
    </row>
    <row r="81" ht="32.25" customHeight="1">
      <c r="A81" s="191">
        <v>8.600000139E9</v>
      </c>
      <c r="B81" s="165" t="s">
        <v>14</v>
      </c>
      <c r="C81" s="165">
        <v>3502.0</v>
      </c>
      <c r="D81" s="165" t="s">
        <v>13258</v>
      </c>
      <c r="E81" s="213" t="s">
        <v>13224</v>
      </c>
      <c r="F81" s="170">
        <v>43241.0</v>
      </c>
      <c r="G81" s="209">
        <v>43237.0</v>
      </c>
      <c r="H81" s="209">
        <v>43245.0</v>
      </c>
      <c r="I81" s="213" t="s">
        <v>13259</v>
      </c>
      <c r="J81" s="157"/>
      <c r="K81" s="157"/>
      <c r="L81" s="157"/>
      <c r="M81" s="157"/>
      <c r="N81" s="157"/>
      <c r="O81" s="157"/>
      <c r="P81" s="157"/>
      <c r="Q81" s="157"/>
      <c r="R81" s="157"/>
      <c r="S81" s="157"/>
      <c r="T81" s="157"/>
      <c r="U81" s="157"/>
      <c r="V81" s="157"/>
      <c r="W81" s="157"/>
      <c r="X81" s="157"/>
      <c r="Y81" s="157"/>
      <c r="Z81" s="157"/>
    </row>
    <row r="82" ht="32.25" customHeight="1">
      <c r="A82" s="191">
        <v>8.600000158E9</v>
      </c>
      <c r="B82" s="165" t="s">
        <v>25</v>
      </c>
      <c r="C82" s="165">
        <v>32.0</v>
      </c>
      <c r="D82" s="165" t="s">
        <v>13260</v>
      </c>
      <c r="E82" s="213" t="s">
        <v>13261</v>
      </c>
      <c r="F82" s="170">
        <v>43239.0</v>
      </c>
      <c r="G82" s="209">
        <v>43237.0</v>
      </c>
      <c r="H82" s="209">
        <v>43242.0</v>
      </c>
      <c r="I82" s="213" t="s">
        <v>13262</v>
      </c>
      <c r="J82" s="157"/>
      <c r="K82" s="157"/>
      <c r="L82" s="157"/>
      <c r="M82" s="157"/>
      <c r="N82" s="157"/>
      <c r="O82" s="157"/>
      <c r="P82" s="157"/>
      <c r="Q82" s="157"/>
      <c r="R82" s="157"/>
      <c r="S82" s="157"/>
      <c r="T82" s="157"/>
      <c r="U82" s="157"/>
      <c r="V82" s="157"/>
      <c r="W82" s="157"/>
      <c r="X82" s="157"/>
      <c r="Y82" s="157"/>
      <c r="Z82" s="157"/>
    </row>
    <row r="83" ht="32.25" customHeight="1">
      <c r="A83" s="191">
        <v>8.600000109E9</v>
      </c>
      <c r="B83" s="165" t="s">
        <v>14</v>
      </c>
      <c r="C83" s="165">
        <v>270.0</v>
      </c>
      <c r="D83" s="165" t="s">
        <v>13263</v>
      </c>
      <c r="E83" s="213" t="s">
        <v>13264</v>
      </c>
      <c r="F83" s="170">
        <v>43220.0</v>
      </c>
      <c r="G83" s="209">
        <v>43222.0</v>
      </c>
      <c r="H83" s="209">
        <v>43224.0</v>
      </c>
      <c r="I83" s="213" t="s">
        <v>13265</v>
      </c>
      <c r="J83" s="157"/>
      <c r="K83" s="157"/>
      <c r="L83" s="157"/>
      <c r="M83" s="157"/>
      <c r="N83" s="157"/>
      <c r="O83" s="157"/>
      <c r="P83" s="157"/>
      <c r="Q83" s="157"/>
      <c r="R83" s="157"/>
      <c r="S83" s="157"/>
      <c r="T83" s="157"/>
      <c r="U83" s="157"/>
      <c r="V83" s="157"/>
      <c r="W83" s="157"/>
      <c r="X83" s="157"/>
      <c r="Y83" s="157"/>
      <c r="Z83" s="157"/>
    </row>
    <row r="84" ht="32.25" customHeight="1">
      <c r="A84" s="191">
        <v>8.600000106E9</v>
      </c>
      <c r="B84" s="165" t="s">
        <v>21</v>
      </c>
      <c r="C84" s="165">
        <v>961.0</v>
      </c>
      <c r="D84" s="219" t="s">
        <v>2048</v>
      </c>
      <c r="E84" s="213" t="s">
        <v>1927</v>
      </c>
      <c r="F84" s="170">
        <v>43217.0</v>
      </c>
      <c r="G84" s="209">
        <v>43215.0</v>
      </c>
      <c r="H84" s="209">
        <v>43223.0</v>
      </c>
      <c r="I84" s="213" t="s">
        <v>13266</v>
      </c>
      <c r="J84" s="157"/>
      <c r="K84" s="157"/>
      <c r="L84" s="157"/>
      <c r="M84" s="157"/>
      <c r="N84" s="157"/>
      <c r="O84" s="157"/>
      <c r="P84" s="157"/>
      <c r="Q84" s="157"/>
      <c r="R84" s="157"/>
      <c r="S84" s="157"/>
      <c r="T84" s="157"/>
      <c r="U84" s="157"/>
      <c r="V84" s="157"/>
      <c r="W84" s="157"/>
      <c r="X84" s="157"/>
      <c r="Y84" s="157"/>
      <c r="Z84" s="157"/>
    </row>
    <row r="85" ht="32.25" customHeight="1">
      <c r="A85" s="191">
        <v>8.600000105E9</v>
      </c>
      <c r="B85" s="165" t="s">
        <v>25</v>
      </c>
      <c r="C85" s="165">
        <v>925.0</v>
      </c>
      <c r="D85" s="191" t="s">
        <v>13267</v>
      </c>
      <c r="E85" s="213" t="s">
        <v>13268</v>
      </c>
      <c r="F85" s="170">
        <v>43215.0</v>
      </c>
      <c r="G85" s="209">
        <v>43214.0</v>
      </c>
      <c r="H85" s="209" t="s">
        <v>13269</v>
      </c>
      <c r="I85" s="213" t="s">
        <v>13270</v>
      </c>
      <c r="J85" s="157"/>
      <c r="K85" s="157"/>
      <c r="L85" s="157"/>
      <c r="M85" s="157"/>
      <c r="N85" s="157"/>
      <c r="O85" s="157"/>
      <c r="P85" s="157"/>
      <c r="Q85" s="157"/>
      <c r="R85" s="157"/>
      <c r="S85" s="157"/>
      <c r="T85" s="157"/>
      <c r="U85" s="157"/>
      <c r="V85" s="157"/>
      <c r="W85" s="157"/>
      <c r="X85" s="157"/>
      <c r="Y85" s="157"/>
      <c r="Z85" s="157"/>
    </row>
    <row r="86" ht="32.25" customHeight="1">
      <c r="A86" s="219">
        <v>8.600000097E9</v>
      </c>
      <c r="B86" s="165" t="s">
        <v>21</v>
      </c>
      <c r="C86" s="165">
        <v>135.0</v>
      </c>
      <c r="D86" s="191" t="s">
        <v>2045</v>
      </c>
      <c r="E86" s="213" t="s">
        <v>13271</v>
      </c>
      <c r="F86" s="170">
        <v>43215.0</v>
      </c>
      <c r="G86" s="209">
        <v>43217.0</v>
      </c>
      <c r="H86" s="209">
        <v>43227.0</v>
      </c>
      <c r="I86" s="213" t="s">
        <v>13272</v>
      </c>
      <c r="J86" s="157"/>
      <c r="K86" s="157"/>
      <c r="L86" s="157"/>
      <c r="M86" s="157"/>
      <c r="N86" s="157"/>
      <c r="O86" s="157"/>
      <c r="P86" s="157"/>
      <c r="Q86" s="157"/>
      <c r="R86" s="157"/>
      <c r="S86" s="157"/>
      <c r="T86" s="157"/>
      <c r="U86" s="157"/>
      <c r="V86" s="157"/>
      <c r="W86" s="157"/>
      <c r="X86" s="157"/>
      <c r="Y86" s="157"/>
      <c r="Z86" s="157"/>
    </row>
    <row r="87" ht="32.25" customHeight="1">
      <c r="A87" s="191">
        <v>8.600000099E9</v>
      </c>
      <c r="B87" s="165" t="s">
        <v>14</v>
      </c>
      <c r="C87" s="165">
        <v>1921.0</v>
      </c>
      <c r="D87" s="165" t="s">
        <v>13273</v>
      </c>
      <c r="E87" s="213" t="s">
        <v>1927</v>
      </c>
      <c r="F87" s="170">
        <v>43213.0</v>
      </c>
      <c r="G87" s="209">
        <v>43209.0</v>
      </c>
      <c r="H87" s="209">
        <v>43217.0</v>
      </c>
      <c r="I87" s="213" t="s">
        <v>13274</v>
      </c>
      <c r="J87" s="157"/>
      <c r="K87" s="157"/>
      <c r="L87" s="157"/>
      <c r="M87" s="157"/>
      <c r="N87" s="157"/>
      <c r="O87" s="157"/>
      <c r="P87" s="157"/>
      <c r="Q87" s="157"/>
      <c r="R87" s="157"/>
      <c r="S87" s="157"/>
      <c r="T87" s="157"/>
      <c r="U87" s="157"/>
      <c r="V87" s="157"/>
      <c r="W87" s="157"/>
      <c r="X87" s="157"/>
      <c r="Y87" s="157"/>
      <c r="Z87" s="157"/>
    </row>
    <row r="88" ht="32.25" customHeight="1">
      <c r="A88" s="191">
        <v>8.600000096E9</v>
      </c>
      <c r="B88" s="165" t="s">
        <v>14</v>
      </c>
      <c r="C88" s="165">
        <v>406.0</v>
      </c>
      <c r="D88" s="219" t="s">
        <v>13275</v>
      </c>
      <c r="E88" s="213" t="s">
        <v>1681</v>
      </c>
      <c r="F88" s="170">
        <v>43213.0</v>
      </c>
      <c r="G88" s="209">
        <v>43210.0</v>
      </c>
      <c r="H88" s="209">
        <v>43216.0</v>
      </c>
      <c r="I88" s="213" t="s">
        <v>13276</v>
      </c>
      <c r="J88" s="157"/>
      <c r="K88" s="157"/>
      <c r="L88" s="157"/>
      <c r="M88" s="157"/>
      <c r="N88" s="157"/>
      <c r="O88" s="157"/>
      <c r="P88" s="157"/>
      <c r="Q88" s="157"/>
      <c r="R88" s="157"/>
      <c r="S88" s="157"/>
      <c r="T88" s="157"/>
      <c r="U88" s="157"/>
      <c r="V88" s="157"/>
      <c r="W88" s="157"/>
      <c r="X88" s="157"/>
      <c r="Y88" s="157"/>
      <c r="Z88" s="157"/>
    </row>
    <row r="89" ht="32.25" customHeight="1">
      <c r="A89" s="191">
        <v>8.600000008E9</v>
      </c>
      <c r="B89" s="165" t="s">
        <v>14</v>
      </c>
      <c r="C89" s="165">
        <v>913.0</v>
      </c>
      <c r="D89" s="191" t="s">
        <v>13277</v>
      </c>
      <c r="E89" s="213" t="s">
        <v>1678</v>
      </c>
      <c r="F89" s="170">
        <v>43205.0</v>
      </c>
      <c r="G89" s="209">
        <v>43202.0</v>
      </c>
      <c r="H89" s="209">
        <v>43208.0</v>
      </c>
      <c r="I89" s="213" t="s">
        <v>13278</v>
      </c>
      <c r="J89" s="157"/>
      <c r="K89" s="157"/>
      <c r="L89" s="157"/>
      <c r="M89" s="157"/>
      <c r="N89" s="157"/>
      <c r="O89" s="157"/>
      <c r="P89" s="157"/>
      <c r="Q89" s="157"/>
      <c r="R89" s="157"/>
      <c r="S89" s="157"/>
      <c r="T89" s="157"/>
      <c r="U89" s="157"/>
      <c r="V89" s="157"/>
      <c r="W89" s="157"/>
      <c r="X89" s="157"/>
      <c r="Y89" s="157"/>
      <c r="Z89" s="157"/>
    </row>
    <row r="90" ht="32.25" customHeight="1">
      <c r="A90" s="191">
        <v>8.600000062E9</v>
      </c>
      <c r="B90" s="165" t="s">
        <v>21</v>
      </c>
      <c r="C90" s="165">
        <v>572.0</v>
      </c>
      <c r="D90" s="191" t="s">
        <v>2041</v>
      </c>
      <c r="E90" s="213" t="s">
        <v>1681</v>
      </c>
      <c r="F90" s="170">
        <v>43199.0</v>
      </c>
      <c r="G90" s="209">
        <v>43194.0</v>
      </c>
      <c r="H90" s="209">
        <v>43203.0</v>
      </c>
      <c r="I90" s="213" t="s">
        <v>13279</v>
      </c>
      <c r="J90" s="157"/>
      <c r="K90" s="157"/>
      <c r="L90" s="157"/>
      <c r="M90" s="157"/>
      <c r="N90" s="157"/>
      <c r="O90" s="157"/>
      <c r="P90" s="157"/>
      <c r="Q90" s="157"/>
      <c r="R90" s="157"/>
      <c r="S90" s="157"/>
      <c r="T90" s="157"/>
      <c r="U90" s="157"/>
      <c r="V90" s="157"/>
      <c r="W90" s="157"/>
      <c r="X90" s="157"/>
      <c r="Y90" s="157"/>
      <c r="Z90" s="157"/>
    </row>
    <row r="91" ht="32.25" customHeight="1">
      <c r="A91" s="191">
        <v>8.600000061E9</v>
      </c>
      <c r="B91" s="165" t="s">
        <v>14</v>
      </c>
      <c r="C91" s="165">
        <v>1280.0</v>
      </c>
      <c r="D91" s="191" t="s">
        <v>13280</v>
      </c>
      <c r="E91" s="213" t="s">
        <v>1681</v>
      </c>
      <c r="F91" s="170">
        <v>43192.0</v>
      </c>
      <c r="G91" s="209">
        <v>43188.0</v>
      </c>
      <c r="H91" s="209">
        <v>43195.0</v>
      </c>
      <c r="I91" s="213" t="s">
        <v>13281</v>
      </c>
      <c r="J91" s="157"/>
      <c r="K91" s="157"/>
      <c r="L91" s="157"/>
      <c r="M91" s="157"/>
      <c r="N91" s="157"/>
      <c r="O91" s="157"/>
      <c r="P91" s="157"/>
      <c r="Q91" s="157"/>
      <c r="R91" s="157"/>
      <c r="S91" s="157"/>
      <c r="T91" s="157"/>
      <c r="U91" s="157"/>
      <c r="V91" s="157"/>
      <c r="W91" s="157"/>
      <c r="X91" s="157"/>
      <c r="Y91" s="157"/>
      <c r="Z91" s="157"/>
    </row>
    <row r="92" ht="32.25" customHeight="1">
      <c r="A92" s="219">
        <v>8.600000069E9</v>
      </c>
      <c r="B92" s="165" t="s">
        <v>21</v>
      </c>
      <c r="C92" s="165">
        <v>2175.0</v>
      </c>
      <c r="D92" s="191" t="s">
        <v>2040</v>
      </c>
      <c r="E92" s="213" t="s">
        <v>1694</v>
      </c>
      <c r="F92" s="170">
        <v>43189.0</v>
      </c>
      <c r="G92" s="209">
        <v>43193.0</v>
      </c>
      <c r="H92" s="209">
        <v>43201.0</v>
      </c>
      <c r="I92" s="213" t="s">
        <v>13282</v>
      </c>
      <c r="J92" s="157"/>
      <c r="K92" s="157"/>
      <c r="L92" s="157"/>
      <c r="M92" s="157"/>
      <c r="N92" s="157"/>
      <c r="O92" s="157"/>
      <c r="P92" s="157"/>
      <c r="Q92" s="157"/>
      <c r="R92" s="157"/>
      <c r="S92" s="157"/>
      <c r="T92" s="157"/>
      <c r="U92" s="157"/>
      <c r="V92" s="157"/>
      <c r="W92" s="157"/>
      <c r="X92" s="157"/>
      <c r="Y92" s="157"/>
      <c r="Z92" s="157"/>
    </row>
    <row r="93" ht="32.25" customHeight="1">
      <c r="A93" s="191">
        <v>8.60000006E9</v>
      </c>
      <c r="B93" s="165" t="s">
        <v>25</v>
      </c>
      <c r="C93" s="165">
        <v>261.0</v>
      </c>
      <c r="D93" s="191" t="s">
        <v>13283</v>
      </c>
      <c r="E93" s="213" t="s">
        <v>1787</v>
      </c>
      <c r="F93" s="170">
        <v>43187.0</v>
      </c>
      <c r="G93" s="209">
        <v>43185.0</v>
      </c>
      <c r="H93" s="209">
        <v>43194.0</v>
      </c>
      <c r="I93" s="213" t="s">
        <v>13284</v>
      </c>
      <c r="J93" s="157"/>
      <c r="K93" s="157"/>
      <c r="L93" s="157"/>
      <c r="M93" s="157"/>
      <c r="N93" s="157"/>
      <c r="O93" s="157"/>
      <c r="P93" s="157"/>
      <c r="Q93" s="157"/>
      <c r="R93" s="157"/>
      <c r="S93" s="157"/>
      <c r="T93" s="157"/>
      <c r="U93" s="157"/>
      <c r="V93" s="157"/>
      <c r="W93" s="157"/>
      <c r="X93" s="157"/>
      <c r="Y93" s="157"/>
      <c r="Z93" s="157"/>
    </row>
    <row r="94" ht="32.25" customHeight="1">
      <c r="A94" s="219">
        <v>8.600000066E9</v>
      </c>
      <c r="B94" s="165" t="s">
        <v>14</v>
      </c>
      <c r="C94" s="165">
        <v>3090.0</v>
      </c>
      <c r="D94" s="191" t="s">
        <v>13285</v>
      </c>
      <c r="E94" s="213" t="s">
        <v>13286</v>
      </c>
      <c r="F94" s="170">
        <v>43185.0</v>
      </c>
      <c r="G94" s="209">
        <v>43185.0</v>
      </c>
      <c r="H94" s="209">
        <v>43189.0</v>
      </c>
      <c r="I94" s="213" t="s">
        <v>13287</v>
      </c>
      <c r="J94" s="157"/>
      <c r="K94" s="157"/>
      <c r="L94" s="157"/>
      <c r="M94" s="157"/>
      <c r="N94" s="157"/>
      <c r="O94" s="157"/>
      <c r="P94" s="157"/>
      <c r="Q94" s="157"/>
      <c r="R94" s="157"/>
      <c r="S94" s="157"/>
      <c r="T94" s="157"/>
      <c r="U94" s="157"/>
      <c r="V94" s="157"/>
      <c r="W94" s="157"/>
      <c r="X94" s="157"/>
      <c r="Y94" s="157"/>
      <c r="Z94" s="157"/>
    </row>
    <row r="95" ht="32.25" customHeight="1">
      <c r="A95" s="652" t="str">
        <f>HYPERLINK("https://drive.google.com/file/d/0B4phjTjb-BwLNWJlUzJRbXVGSzRMWlluTFNlQmpmTUhWaHpN/view?usp=sharing","8600000028")</f>
        <v>8600000028</v>
      </c>
      <c r="B95" s="165" t="s">
        <v>14</v>
      </c>
      <c r="C95" s="165">
        <v>955.0</v>
      </c>
      <c r="D95" s="219" t="s">
        <v>13288</v>
      </c>
      <c r="E95" s="213" t="s">
        <v>1681</v>
      </c>
      <c r="F95" s="170">
        <v>43171.0</v>
      </c>
      <c r="G95" s="209">
        <v>43167.0</v>
      </c>
      <c r="H95" s="209">
        <v>43175.0</v>
      </c>
      <c r="I95" s="213" t="s">
        <v>13289</v>
      </c>
      <c r="J95" s="157"/>
      <c r="K95" s="157"/>
      <c r="L95" s="157"/>
      <c r="M95" s="157"/>
      <c r="N95" s="157"/>
      <c r="O95" s="157"/>
      <c r="P95" s="157"/>
      <c r="Q95" s="157"/>
      <c r="R95" s="157"/>
      <c r="S95" s="157"/>
      <c r="T95" s="157"/>
      <c r="U95" s="157"/>
      <c r="V95" s="157"/>
      <c r="W95" s="157"/>
      <c r="X95" s="157"/>
      <c r="Y95" s="157"/>
      <c r="Z95" s="157"/>
    </row>
    <row r="96" ht="32.25" customHeight="1">
      <c r="A96" s="245" t="str">
        <f>HYPERLINK("https://drive.google.com/file/d/0B4phjTjb-BwLbzhoeUJpUUVKTU5GNW05dlBBeHBBU2haOVhZ/view?usp=sharing","8600000032")</f>
        <v>8600000032</v>
      </c>
      <c r="B96" s="165" t="s">
        <v>21</v>
      </c>
      <c r="C96" s="165">
        <v>555.0</v>
      </c>
      <c r="D96" s="191" t="s">
        <v>2034</v>
      </c>
      <c r="E96" s="213" t="s">
        <v>1681</v>
      </c>
      <c r="F96" s="170">
        <v>43170.0</v>
      </c>
      <c r="G96" s="209">
        <v>43166.0</v>
      </c>
      <c r="H96" s="209">
        <v>43178.0</v>
      </c>
      <c r="I96" s="213" t="s">
        <v>13290</v>
      </c>
      <c r="J96" s="157"/>
      <c r="K96" s="157"/>
      <c r="L96" s="157"/>
      <c r="M96" s="157"/>
      <c r="N96" s="157"/>
      <c r="O96" s="157"/>
      <c r="P96" s="157"/>
      <c r="Q96" s="157"/>
      <c r="R96" s="157"/>
      <c r="S96" s="157"/>
      <c r="T96" s="157"/>
      <c r="U96" s="157"/>
      <c r="V96" s="157"/>
      <c r="W96" s="157"/>
      <c r="X96" s="157"/>
      <c r="Y96" s="157"/>
      <c r="Z96" s="157"/>
    </row>
    <row r="97" ht="32.25" customHeight="1">
      <c r="A97" s="245" t="str">
        <f>HYPERLINK("https://drive.google.com/file/d/0B4phjTjb-BwLUWwwWUZ0Q1hVdTFKUE9sQWhRd09Mam5MTkFv/view?usp=sharing","8600000045")</f>
        <v>8600000045</v>
      </c>
      <c r="B97" s="165" t="s">
        <v>21</v>
      </c>
      <c r="C97" s="165">
        <v>1701.0</v>
      </c>
      <c r="D97" s="219" t="s">
        <v>2033</v>
      </c>
      <c r="E97" s="213" t="s">
        <v>13291</v>
      </c>
      <c r="F97" s="170">
        <v>43163.0</v>
      </c>
      <c r="G97" s="209">
        <v>43165.0</v>
      </c>
      <c r="H97" s="209">
        <v>43171.0</v>
      </c>
      <c r="I97" s="213" t="s">
        <v>13292</v>
      </c>
      <c r="J97" s="157"/>
      <c r="K97" s="157"/>
      <c r="L97" s="157"/>
      <c r="M97" s="157"/>
      <c r="N97" s="157"/>
      <c r="O97" s="157"/>
      <c r="P97" s="157"/>
      <c r="Q97" s="157"/>
      <c r="R97" s="157"/>
      <c r="S97" s="157"/>
      <c r="T97" s="157"/>
      <c r="U97" s="157"/>
      <c r="V97" s="157"/>
      <c r="W97" s="157"/>
      <c r="X97" s="157"/>
      <c r="Y97" s="157"/>
      <c r="Z97" s="157"/>
    </row>
    <row r="98" ht="32.25" customHeight="1">
      <c r="A98" s="245" t="str">
        <f>HYPERLINK("https://drive.google.com/file/d/0B4phjTjb-BwLY3JDTnlLVVlnMnhxRjNmeXZBZEFWQU9XVDE0/view?usp=sharing","8600000030")</f>
        <v>8600000030</v>
      </c>
      <c r="B98" s="165" t="s">
        <v>25</v>
      </c>
      <c r="C98" s="165">
        <v>275.0</v>
      </c>
      <c r="D98" s="191" t="s">
        <v>13293</v>
      </c>
      <c r="E98" s="213" t="s">
        <v>1681</v>
      </c>
      <c r="F98" s="170">
        <v>43159.0</v>
      </c>
      <c r="G98" s="209">
        <v>43158.0</v>
      </c>
      <c r="H98" s="209">
        <v>43166.0</v>
      </c>
      <c r="I98" s="213" t="s">
        <v>13294</v>
      </c>
      <c r="J98" s="157"/>
      <c r="K98" s="157"/>
      <c r="L98" s="157"/>
      <c r="M98" s="157"/>
      <c r="N98" s="157"/>
      <c r="O98" s="157"/>
      <c r="P98" s="157"/>
      <c r="Q98" s="157"/>
      <c r="R98" s="157"/>
      <c r="S98" s="157"/>
      <c r="T98" s="157"/>
      <c r="U98" s="157"/>
      <c r="V98" s="157"/>
      <c r="W98" s="157"/>
      <c r="X98" s="157"/>
      <c r="Y98" s="157"/>
      <c r="Z98" s="157"/>
    </row>
    <row r="99" ht="32.25" customHeight="1">
      <c r="A99" s="245" t="str">
        <f>HYPERLINK("https://drive.google.com/file/d/0B4phjTjb-BwLbkdMc0ZtOTRRLWctcDBiT2xWZVdCYkRwbzhB/view?usp=sharing","8600000041")</f>
        <v>8600000041</v>
      </c>
      <c r="B99" s="165" t="s">
        <v>14</v>
      </c>
      <c r="C99" s="165">
        <v>2146.0</v>
      </c>
      <c r="D99" s="219" t="s">
        <v>13295</v>
      </c>
      <c r="E99" s="213" t="s">
        <v>1694</v>
      </c>
      <c r="F99" s="170">
        <v>43157.0</v>
      </c>
      <c r="G99" s="209">
        <v>43158.0</v>
      </c>
      <c r="H99" s="209">
        <v>43159.0</v>
      </c>
      <c r="I99" s="213" t="s">
        <v>13296</v>
      </c>
      <c r="J99" s="157"/>
      <c r="K99" s="157"/>
      <c r="L99" s="157"/>
      <c r="M99" s="157"/>
      <c r="N99" s="157"/>
      <c r="O99" s="157"/>
      <c r="P99" s="157"/>
      <c r="Q99" s="157"/>
      <c r="R99" s="157"/>
      <c r="S99" s="157"/>
      <c r="T99" s="157"/>
      <c r="U99" s="157"/>
      <c r="V99" s="157"/>
      <c r="W99" s="157"/>
      <c r="X99" s="157"/>
      <c r="Y99" s="157"/>
      <c r="Z99" s="157"/>
    </row>
    <row r="100" ht="32.25" customHeight="1">
      <c r="A100" s="245" t="str">
        <f>HYPERLINK("https://drive.google.com/file/d/0B4phjTjb-BwLb1lES0MwcVdzbEhFWU9yMFRVYzYxTFZKc1c4/view?usp=sharing","8500000001")</f>
        <v>8500000001</v>
      </c>
      <c r="B100" s="165" t="s">
        <v>14</v>
      </c>
      <c r="C100" s="165">
        <v>904.0</v>
      </c>
      <c r="D100" s="191" t="s">
        <v>13297</v>
      </c>
      <c r="E100" s="213" t="s">
        <v>1678</v>
      </c>
      <c r="F100" s="170">
        <v>43157.0</v>
      </c>
      <c r="G100" s="209">
        <v>43157.0</v>
      </c>
      <c r="H100" s="209">
        <v>43160.0</v>
      </c>
      <c r="I100" s="213" t="s">
        <v>13298</v>
      </c>
      <c r="J100" s="157"/>
      <c r="K100" s="157"/>
      <c r="L100" s="157"/>
      <c r="M100" s="157"/>
      <c r="N100" s="157"/>
      <c r="O100" s="157"/>
      <c r="P100" s="157"/>
      <c r="Q100" s="157"/>
      <c r="R100" s="157"/>
      <c r="S100" s="157"/>
      <c r="T100" s="157"/>
      <c r="U100" s="157"/>
      <c r="V100" s="157"/>
      <c r="W100" s="157"/>
      <c r="X100" s="157"/>
      <c r="Y100" s="157"/>
      <c r="Z100" s="157"/>
    </row>
    <row r="101" ht="32.25" customHeight="1">
      <c r="A101" s="245" t="str">
        <f>HYPERLINK("https://drive.google.com/file/d/0B4phjTjb-BwLWHdsaE5yZE40N0xxa1pENExWVi1ad3hsM2I0/view?usp=sharing","8500000003")</f>
        <v>8500000003</v>
      </c>
      <c r="B101" s="165" t="s">
        <v>21</v>
      </c>
      <c r="C101" s="165">
        <v>135.0</v>
      </c>
      <c r="D101" s="191" t="s">
        <v>2030</v>
      </c>
      <c r="E101" s="213" t="s">
        <v>13116</v>
      </c>
      <c r="F101" s="170">
        <v>43149.0</v>
      </c>
      <c r="G101" s="209">
        <v>43145.0</v>
      </c>
      <c r="H101" s="209">
        <v>43157.0</v>
      </c>
      <c r="I101" s="213" t="s">
        <v>13299</v>
      </c>
      <c r="J101" s="157"/>
      <c r="K101" s="157"/>
      <c r="L101" s="157"/>
      <c r="M101" s="157"/>
      <c r="N101" s="157"/>
      <c r="O101" s="157"/>
      <c r="P101" s="157"/>
      <c r="Q101" s="157"/>
      <c r="R101" s="157"/>
      <c r="S101" s="157"/>
      <c r="T101" s="157"/>
      <c r="U101" s="157"/>
      <c r="V101" s="157"/>
      <c r="W101" s="157"/>
      <c r="X101" s="157"/>
      <c r="Y101" s="157"/>
      <c r="Z101" s="157"/>
    </row>
    <row r="102" ht="32.25" customHeight="1">
      <c r="A102" s="245" t="str">
        <f>HYPERLINK("https://drive.google.com/file/d/0B4phjTjb-BwLamI4OGlZZXA1aWhvR2ZFc3Z1ajBBSk5fT1ln/view?usp=sharing","7773")</f>
        <v>7773</v>
      </c>
      <c r="B102" s="165" t="s">
        <v>21</v>
      </c>
      <c r="C102" s="165">
        <v>395.0</v>
      </c>
      <c r="D102" s="191" t="s">
        <v>2028</v>
      </c>
      <c r="E102" s="213" t="s">
        <v>1681</v>
      </c>
      <c r="F102" s="170">
        <v>43128.0</v>
      </c>
      <c r="G102" s="209">
        <v>43126.0</v>
      </c>
      <c r="H102" s="209">
        <v>43133.0</v>
      </c>
      <c r="I102" s="213" t="s">
        <v>13300</v>
      </c>
      <c r="J102" s="157"/>
      <c r="K102" s="157"/>
      <c r="L102" s="157"/>
      <c r="M102" s="157"/>
      <c r="N102" s="157"/>
      <c r="O102" s="157"/>
      <c r="P102" s="157"/>
      <c r="Q102" s="157"/>
      <c r="R102" s="157"/>
      <c r="S102" s="157"/>
      <c r="T102" s="157"/>
      <c r="U102" s="157"/>
      <c r="V102" s="157"/>
      <c r="W102" s="157"/>
      <c r="X102" s="157"/>
      <c r="Y102" s="157"/>
      <c r="Z102" s="157"/>
    </row>
    <row r="103" ht="32.25" customHeight="1">
      <c r="A103" s="245" t="str">
        <f>HYPERLINK("https://drive.google.com/file/d/0B4phjTjb-BwLLUxqUk4tTmVpam5pNnJ4S3kwcGRWdnYtc0RZ/view?usp=sharing","7771")</f>
        <v>7771</v>
      </c>
      <c r="B103" s="165" t="s">
        <v>14</v>
      </c>
      <c r="C103" s="165">
        <v>579.0</v>
      </c>
      <c r="D103" s="219" t="s">
        <v>13301</v>
      </c>
      <c r="E103" s="213" t="s">
        <v>1681</v>
      </c>
      <c r="F103" s="170">
        <v>43122.0</v>
      </c>
      <c r="G103" s="209">
        <v>43118.0</v>
      </c>
      <c r="H103" s="209">
        <v>43124.0</v>
      </c>
      <c r="I103" s="213" t="s">
        <v>13302</v>
      </c>
      <c r="J103" s="157"/>
      <c r="K103" s="157"/>
      <c r="L103" s="157"/>
      <c r="M103" s="157"/>
      <c r="N103" s="157"/>
      <c r="O103" s="157"/>
      <c r="P103" s="157"/>
      <c r="Q103" s="157"/>
      <c r="R103" s="157"/>
      <c r="S103" s="157"/>
      <c r="T103" s="157"/>
      <c r="U103" s="157"/>
      <c r="V103" s="157"/>
      <c r="W103" s="157"/>
      <c r="X103" s="157"/>
      <c r="Y103" s="157"/>
      <c r="Z103" s="157"/>
    </row>
    <row r="104" ht="32.25" customHeight="1">
      <c r="A104" s="245" t="str">
        <f>HYPERLINK("https://drive.google.com/file/d/0B4phjTjb-BwLUlRJZ0ZBUHZBN0hBVVpPV1dscG5BNGQwalE0/view?usp=sharing","7774")</f>
        <v>7774</v>
      </c>
      <c r="B104" s="165" t="s">
        <v>21</v>
      </c>
      <c r="C104" s="165">
        <v>1394.0</v>
      </c>
      <c r="D104" s="191" t="s">
        <v>2023</v>
      </c>
      <c r="E104" s="213" t="s">
        <v>13268</v>
      </c>
      <c r="F104" s="170">
        <v>43121.0</v>
      </c>
      <c r="G104" s="209">
        <v>43119.0</v>
      </c>
      <c r="H104" s="209">
        <v>42764.0</v>
      </c>
      <c r="I104" s="213" t="s">
        <v>13303</v>
      </c>
      <c r="J104" s="157"/>
      <c r="K104" s="157"/>
      <c r="L104" s="157"/>
      <c r="M104" s="157"/>
      <c r="N104" s="157"/>
      <c r="O104" s="157"/>
      <c r="P104" s="157"/>
      <c r="Q104" s="157"/>
      <c r="R104" s="157"/>
      <c r="S104" s="157"/>
      <c r="T104" s="157"/>
      <c r="U104" s="157"/>
      <c r="V104" s="157"/>
      <c r="W104" s="157"/>
      <c r="X104" s="157"/>
      <c r="Y104" s="157"/>
      <c r="Z104" s="157"/>
    </row>
    <row r="105" ht="32.25" customHeight="1">
      <c r="A105" s="245" t="str">
        <f>HYPERLINK("https://drive.google.com/file/d/0B4phjTjb-BwLVnVpTEdUVXdjMDJOaDg2UFFIcHkyR3JhWDFz/view?usp=sharing","7776")</f>
        <v>7776</v>
      </c>
      <c r="B105" s="165" t="s">
        <v>25</v>
      </c>
      <c r="C105" s="165">
        <v>723.0</v>
      </c>
      <c r="D105" s="219" t="s">
        <v>13304</v>
      </c>
      <c r="E105" s="213" t="s">
        <v>13268</v>
      </c>
      <c r="F105" s="170">
        <v>43120.0</v>
      </c>
      <c r="G105" s="209">
        <v>43116.0</v>
      </c>
      <c r="H105" s="209">
        <v>43123.0</v>
      </c>
      <c r="I105" s="213" t="s">
        <v>13305</v>
      </c>
      <c r="J105" s="157"/>
      <c r="K105" s="157"/>
      <c r="L105" s="157"/>
      <c r="M105" s="157"/>
      <c r="N105" s="157"/>
      <c r="O105" s="157"/>
      <c r="P105" s="157"/>
      <c r="Q105" s="157"/>
      <c r="R105" s="157"/>
      <c r="S105" s="157"/>
      <c r="T105" s="157"/>
      <c r="U105" s="157"/>
      <c r="V105" s="157"/>
      <c r="W105" s="157"/>
      <c r="X105" s="157"/>
      <c r="Y105" s="157"/>
      <c r="Z105" s="157"/>
    </row>
    <row r="106" ht="32.25" customHeight="1">
      <c r="A106" s="245" t="str">
        <f>HYPERLINK("https://drive.google.com/file/d/0B4phjTjb-BwLQURBR0VOME5vQmtjV1RlaFNReHJjcmlsY1lV/view?usp=sharing","7772")</f>
        <v>7772</v>
      </c>
      <c r="B106" s="165" t="s">
        <v>25</v>
      </c>
      <c r="C106" s="165">
        <v>290.0</v>
      </c>
      <c r="D106" s="191" t="s">
        <v>13306</v>
      </c>
      <c r="E106" s="213" t="s">
        <v>1681</v>
      </c>
      <c r="F106" s="170">
        <v>43117.0</v>
      </c>
      <c r="G106" s="209">
        <v>43143.0</v>
      </c>
      <c r="H106" s="209">
        <v>43124.0</v>
      </c>
      <c r="I106" s="213" t="s">
        <v>13307</v>
      </c>
      <c r="J106" s="157"/>
      <c r="K106" s="157"/>
      <c r="L106" s="157"/>
      <c r="M106" s="157"/>
      <c r="N106" s="157"/>
      <c r="O106" s="157"/>
      <c r="P106" s="157"/>
      <c r="Q106" s="157"/>
      <c r="R106" s="157"/>
      <c r="S106" s="157"/>
      <c r="T106" s="157"/>
      <c r="U106" s="157"/>
      <c r="V106" s="157"/>
      <c r="W106" s="157"/>
      <c r="X106" s="157"/>
      <c r="Y106" s="157"/>
      <c r="Z106" s="157"/>
    </row>
    <row r="107" ht="32.25" customHeight="1">
      <c r="A107" s="245" t="str">
        <f>HYPERLINK("https://drive.google.com/file/d/0B4phjTjb-BwLWTBZcjVOdy1UUFRwbDRUbmYtam85VE5JckVB/view?usp=sharing","7775")</f>
        <v>7775</v>
      </c>
      <c r="B107" s="165" t="s">
        <v>14</v>
      </c>
      <c r="C107" s="165">
        <v>1461.0</v>
      </c>
      <c r="D107" s="219" t="s">
        <v>13308</v>
      </c>
      <c r="E107" s="213" t="s">
        <v>1694</v>
      </c>
      <c r="F107" s="170">
        <v>43115.0</v>
      </c>
      <c r="G107" s="209">
        <v>43115.0</v>
      </c>
      <c r="H107" s="209">
        <v>43122.0</v>
      </c>
      <c r="I107" s="213" t="s">
        <v>13309</v>
      </c>
      <c r="J107" s="157"/>
      <c r="K107" s="157"/>
      <c r="L107" s="157"/>
      <c r="M107" s="157"/>
      <c r="N107" s="157"/>
      <c r="O107" s="157"/>
      <c r="P107" s="157"/>
      <c r="Q107" s="157"/>
      <c r="R107" s="157"/>
      <c r="S107" s="157"/>
      <c r="T107" s="157"/>
      <c r="U107" s="157"/>
      <c r="V107" s="157"/>
      <c r="W107" s="157"/>
      <c r="X107" s="157"/>
      <c r="Y107" s="157"/>
      <c r="Z107" s="157"/>
    </row>
    <row r="108" ht="32.25" customHeight="1">
      <c r="A108" s="245" t="str">
        <f>HYPERLINK("https://drive.google.com/file/d/0B4phjTjb-BwLUnlRQU1LZFhIOC1iUHppR1oxS3Q1bVBxZ0Uw/view?usp=sharing","7769")</f>
        <v>7769</v>
      </c>
      <c r="B108" s="165" t="s">
        <v>21</v>
      </c>
      <c r="C108" s="165" t="s">
        <v>13310</v>
      </c>
      <c r="D108" s="191" t="s">
        <v>2022</v>
      </c>
      <c r="E108" s="213" t="s">
        <v>13264</v>
      </c>
      <c r="F108" s="170">
        <v>43112.0</v>
      </c>
      <c r="G108" s="209">
        <v>43130.0</v>
      </c>
      <c r="H108" s="209">
        <v>43119.0</v>
      </c>
      <c r="I108" s="213" t="s">
        <v>13311</v>
      </c>
      <c r="J108" s="157"/>
      <c r="K108" s="157"/>
      <c r="L108" s="157"/>
      <c r="M108" s="157"/>
      <c r="N108" s="157"/>
      <c r="O108" s="157"/>
      <c r="P108" s="157"/>
      <c r="Q108" s="157"/>
      <c r="R108" s="157"/>
      <c r="S108" s="157"/>
      <c r="T108" s="157"/>
      <c r="U108" s="157"/>
      <c r="V108" s="157"/>
      <c r="W108" s="157"/>
      <c r="X108" s="157"/>
      <c r="Y108" s="157"/>
      <c r="Z108" s="157"/>
    </row>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Z$108">
    <sortState ref="A3:Z108">
      <sortCondition descending="1" ref="F3:F108"/>
    </sortState>
  </autoFilter>
  <conditionalFormatting sqref="A79">
    <cfRule type="colorScale" priority="1">
      <colorScale>
        <cfvo type="min"/>
        <cfvo type="max"/>
        <color rgb="FF57BB8A"/>
        <color rgb="FFFFFFFF"/>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43"/>
    <col customWidth="1" min="2" max="2" width="11.71"/>
    <col customWidth="1" min="3" max="3" width="12.29"/>
    <col customWidth="1" min="4" max="4" width="17.43"/>
    <col customWidth="1" min="5" max="5" width="41.43"/>
    <col customWidth="1" min="6" max="6" width="11.43"/>
    <col customWidth="1" min="7" max="7" width="18.71"/>
    <col customWidth="1" min="8" max="8" width="13.0"/>
    <col customWidth="1" min="9" max="9" width="11.43"/>
    <col customWidth="1" min="10" max="10" width="11.71"/>
    <col customWidth="1" min="11" max="11" width="9.86"/>
    <col customWidth="1" min="12" max="12" width="31.43"/>
  </cols>
  <sheetData>
    <row r="1" ht="12.75" customHeight="1">
      <c r="A1" s="653"/>
      <c r="B1" s="1"/>
      <c r="C1" s="2"/>
      <c r="D1" s="2"/>
      <c r="E1" s="3" t="s">
        <v>13312</v>
      </c>
      <c r="F1" s="4" t="s">
        <v>492</v>
      </c>
      <c r="G1" s="4"/>
      <c r="H1" s="4"/>
      <c r="I1" s="62"/>
      <c r="J1" s="5"/>
      <c r="K1" s="12"/>
      <c r="L1" s="5"/>
      <c r="M1" s="42"/>
      <c r="N1" s="42"/>
      <c r="O1" s="82"/>
    </row>
    <row r="2" ht="12.75" customHeight="1">
      <c r="A2" s="1"/>
      <c r="B2" s="6" t="s">
        <v>13313</v>
      </c>
      <c r="C2" s="1"/>
      <c r="D2" s="654" t="s">
        <v>1023</v>
      </c>
      <c r="E2" s="7" t="s">
        <v>3</v>
      </c>
      <c r="F2" s="8" t="s">
        <v>4</v>
      </c>
      <c r="G2" s="118" t="s">
        <v>5</v>
      </c>
      <c r="H2" s="118" t="s">
        <v>8416</v>
      </c>
      <c r="I2" s="75" t="s">
        <v>6</v>
      </c>
      <c r="J2" s="42" t="s">
        <v>13314</v>
      </c>
      <c r="K2" s="42" t="s">
        <v>13315</v>
      </c>
      <c r="L2" s="9"/>
      <c r="M2" s="42"/>
      <c r="N2" s="42"/>
      <c r="O2" s="82"/>
    </row>
    <row r="3" ht="12.75" customHeight="1">
      <c r="A3" s="10" t="s">
        <v>7</v>
      </c>
      <c r="B3" s="10" t="s">
        <v>8</v>
      </c>
      <c r="C3" s="10" t="s">
        <v>9</v>
      </c>
      <c r="D3" s="10" t="s">
        <v>10</v>
      </c>
      <c r="E3" s="10" t="s">
        <v>11</v>
      </c>
      <c r="F3" s="11" t="s">
        <v>12</v>
      </c>
      <c r="G3" s="11" t="s">
        <v>12</v>
      </c>
      <c r="H3" s="10" t="s">
        <v>12</v>
      </c>
      <c r="I3" s="655" t="s">
        <v>12</v>
      </c>
      <c r="J3" s="10"/>
      <c r="K3" s="10"/>
      <c r="L3" s="10" t="s">
        <v>13</v>
      </c>
      <c r="M3" s="10" t="s">
        <v>493</v>
      </c>
      <c r="N3" s="58" t="s">
        <v>1025</v>
      </c>
      <c r="O3" s="656" t="s">
        <v>1026</v>
      </c>
    </row>
    <row r="4" ht="33.75" customHeight="1">
      <c r="A4" s="657" t="str">
        <f>HYPERLINK("https://drive.google.com/file/d/0B4phjTjb-BwLWWxQdjVhMXZUSGVnakxSWTBONVVqT3YxZ0xn/view?usp=sharing","31715")</f>
        <v>31715</v>
      </c>
      <c r="B4" s="45" t="s">
        <v>21</v>
      </c>
      <c r="C4" s="42">
        <v>320.0</v>
      </c>
      <c r="D4" s="128" t="s">
        <v>2008</v>
      </c>
      <c r="E4" s="126" t="s">
        <v>13316</v>
      </c>
      <c r="F4" s="465">
        <v>43099.0</v>
      </c>
      <c r="G4" s="658">
        <v>43096.0</v>
      </c>
      <c r="H4" s="69" t="s">
        <v>1747</v>
      </c>
      <c r="I4" s="465">
        <v>43105.0</v>
      </c>
      <c r="J4" s="123" t="s">
        <v>13317</v>
      </c>
      <c r="K4" s="123" t="s">
        <v>2531</v>
      </c>
      <c r="L4" s="126" t="s">
        <v>13318</v>
      </c>
      <c r="M4" s="123"/>
      <c r="N4" s="123"/>
      <c r="O4" s="659"/>
      <c r="P4" s="411"/>
      <c r="Q4" s="411"/>
      <c r="R4" s="411"/>
      <c r="S4" s="411"/>
      <c r="T4" s="411"/>
      <c r="U4" s="411"/>
      <c r="V4" s="411"/>
      <c r="W4" s="411"/>
      <c r="X4" s="411"/>
      <c r="Y4" s="411"/>
      <c r="Z4" s="411"/>
      <c r="AA4" s="411"/>
    </row>
    <row r="5" ht="33.75" customHeight="1">
      <c r="A5" s="657" t="str">
        <f>HYPERLINK("https://drive.google.com/file/d/0B4phjTjb-BwLTWdCV3BHZVRnZzE0eXpnZ2s3aUNUNGVfVFlB/view?usp=sharing","31896")</f>
        <v>31896</v>
      </c>
      <c r="B5" s="45" t="s">
        <v>21</v>
      </c>
      <c r="C5" s="42">
        <v>722.0</v>
      </c>
      <c r="D5" s="123" t="s">
        <v>2009</v>
      </c>
      <c r="E5" s="126" t="s">
        <v>13319</v>
      </c>
      <c r="F5" s="465">
        <v>43097.0</v>
      </c>
      <c r="G5" s="660">
        <v>43096.0</v>
      </c>
      <c r="H5" s="69" t="s">
        <v>1747</v>
      </c>
      <c r="I5" s="470">
        <v>43104.0</v>
      </c>
      <c r="J5" s="661" t="s">
        <v>13023</v>
      </c>
      <c r="K5" s="123" t="s">
        <v>3197</v>
      </c>
      <c r="L5" s="126" t="s">
        <v>13320</v>
      </c>
      <c r="M5" s="123"/>
      <c r="N5" s="123"/>
      <c r="O5" s="659"/>
      <c r="P5" s="411"/>
      <c r="Q5" s="411"/>
      <c r="R5" s="411"/>
      <c r="S5" s="411"/>
      <c r="T5" s="411"/>
      <c r="U5" s="411"/>
      <c r="V5" s="411"/>
      <c r="W5" s="411"/>
      <c r="X5" s="411"/>
      <c r="Y5" s="411"/>
      <c r="Z5" s="411"/>
      <c r="AA5" s="411"/>
    </row>
    <row r="6" ht="33.75" customHeight="1">
      <c r="A6" s="657" t="str">
        <f>HYPERLINK("https://drive.google.com/file/d/0B4phjTjb-BwLQzd6Z1U1NUdJU1Z4Zy1XU1JWaDYzOUtVUVhv/view?usp=sharing","31895")</f>
        <v>31895</v>
      </c>
      <c r="B6" s="45" t="s">
        <v>25</v>
      </c>
      <c r="C6" s="42">
        <v>1182.0</v>
      </c>
      <c r="D6" s="123" t="s">
        <v>13321</v>
      </c>
      <c r="E6" s="126" t="s">
        <v>8430</v>
      </c>
      <c r="F6" s="662">
        <v>43096.0</v>
      </c>
      <c r="G6" s="658">
        <v>43097.0</v>
      </c>
      <c r="H6" s="69" t="s">
        <v>1747</v>
      </c>
      <c r="I6" s="663">
        <v>43103.0</v>
      </c>
      <c r="J6" s="123" t="s">
        <v>2535</v>
      </c>
      <c r="K6" s="123" t="s">
        <v>2535</v>
      </c>
      <c r="L6" s="126" t="s">
        <v>13322</v>
      </c>
      <c r="M6" s="123"/>
      <c r="N6" s="123"/>
      <c r="O6" s="659"/>
      <c r="P6" s="411"/>
      <c r="Q6" s="411"/>
      <c r="R6" s="411"/>
      <c r="S6" s="411"/>
      <c r="T6" s="411"/>
      <c r="U6" s="411"/>
      <c r="V6" s="411"/>
      <c r="W6" s="411"/>
      <c r="X6" s="411"/>
      <c r="Y6" s="411"/>
      <c r="Z6" s="411"/>
      <c r="AA6" s="411"/>
    </row>
    <row r="7" ht="33.75" customHeight="1">
      <c r="A7" s="664" t="str">
        <f>HYPERLINK("https://drive.google.com/file/d/0B4phjTjb-BwLRTZHd2hZQy1Tb1ZhNGZqT19oZ0JnVkVUVks4/view?usp=sharing","31689")</f>
        <v>31689</v>
      </c>
      <c r="B7" s="45" t="s">
        <v>21</v>
      </c>
      <c r="C7" s="42">
        <v>508.0</v>
      </c>
      <c r="D7" s="128" t="s">
        <v>2010</v>
      </c>
      <c r="E7" s="665" t="s">
        <v>512</v>
      </c>
      <c r="F7" s="465">
        <v>43095.0</v>
      </c>
      <c r="G7" s="666">
        <v>43091.0</v>
      </c>
      <c r="H7" s="45" t="s">
        <v>1747</v>
      </c>
      <c r="I7" s="465">
        <v>43103.0</v>
      </c>
      <c r="J7" s="123" t="s">
        <v>13317</v>
      </c>
      <c r="K7" s="123" t="s">
        <v>2531</v>
      </c>
      <c r="L7" s="47" t="s">
        <v>13323</v>
      </c>
      <c r="M7" s="123" t="s">
        <v>497</v>
      </c>
      <c r="N7" s="42" t="s">
        <v>2554</v>
      </c>
      <c r="O7" s="659">
        <v>31310.0</v>
      </c>
      <c r="P7" s="411"/>
      <c r="Q7" s="411"/>
      <c r="R7" s="411"/>
      <c r="S7" s="411"/>
      <c r="T7" s="411"/>
      <c r="U7" s="411"/>
      <c r="V7" s="411"/>
      <c r="W7" s="411"/>
      <c r="X7" s="411"/>
      <c r="Y7" s="411"/>
      <c r="Z7" s="411"/>
      <c r="AA7" s="411"/>
    </row>
    <row r="8" ht="33.75" customHeight="1">
      <c r="A8" s="657" t="str">
        <f>HYPERLINK("https://drive.google.com/file/d/0B4phjTjb-BwLMS0xNlF4bXZKd2ZYb25uX0ZZb1V3VkVYZFQ0/view?usp=sharing","31601")</f>
        <v>31601</v>
      </c>
      <c r="B8" s="45" t="s">
        <v>21</v>
      </c>
      <c r="C8" s="42">
        <v>2040.0</v>
      </c>
      <c r="D8" s="123" t="s">
        <v>2011</v>
      </c>
      <c r="E8" s="126" t="s">
        <v>8688</v>
      </c>
      <c r="F8" s="465">
        <v>43095.0</v>
      </c>
      <c r="G8" s="658">
        <v>43091.0</v>
      </c>
      <c r="H8" s="69" t="s">
        <v>13324</v>
      </c>
      <c r="I8" s="667">
        <v>43102.0</v>
      </c>
      <c r="J8" s="661" t="s">
        <v>13023</v>
      </c>
      <c r="K8" s="123" t="s">
        <v>3197</v>
      </c>
      <c r="L8" s="126" t="s">
        <v>13325</v>
      </c>
      <c r="M8" s="123" t="s">
        <v>497</v>
      </c>
      <c r="N8" s="42" t="s">
        <v>2554</v>
      </c>
      <c r="O8" s="659">
        <v>30824.4</v>
      </c>
      <c r="P8" s="411"/>
      <c r="Q8" s="411"/>
      <c r="R8" s="411"/>
      <c r="S8" s="411"/>
      <c r="T8" s="411"/>
      <c r="U8" s="411"/>
      <c r="V8" s="411"/>
      <c r="W8" s="411"/>
      <c r="X8" s="411"/>
      <c r="Y8" s="411"/>
      <c r="Z8" s="411"/>
      <c r="AA8" s="411"/>
    </row>
    <row r="9" ht="33.75" customHeight="1">
      <c r="A9" s="657" t="str">
        <f>HYPERLINK("https://drive.google.com/file/d/0B4phjTjb-BwLN3JiM2h4ZkVETkdvUjYzaTNSM2c3Tnp3M2l3/view?usp=sharing","31707")</f>
        <v>31707</v>
      </c>
      <c r="B9" s="45" t="s">
        <v>25</v>
      </c>
      <c r="C9" s="42">
        <v>432.0</v>
      </c>
      <c r="D9" s="123" t="s">
        <v>13326</v>
      </c>
      <c r="E9" s="126" t="s">
        <v>12512</v>
      </c>
      <c r="F9" s="465">
        <v>43095.0</v>
      </c>
      <c r="G9" s="658">
        <v>43091.0</v>
      </c>
      <c r="H9" s="69" t="s">
        <v>1747</v>
      </c>
      <c r="I9" s="663">
        <v>43104.0</v>
      </c>
      <c r="J9" s="123" t="s">
        <v>2535</v>
      </c>
      <c r="K9" s="123" t="s">
        <v>2535</v>
      </c>
      <c r="L9" s="126" t="s">
        <v>13327</v>
      </c>
      <c r="M9" s="123" t="s">
        <v>497</v>
      </c>
      <c r="N9" s="123" t="s">
        <v>1077</v>
      </c>
      <c r="O9" s="659">
        <v>19837.76</v>
      </c>
      <c r="P9" s="411"/>
      <c r="Q9" s="411"/>
      <c r="R9" s="411"/>
      <c r="S9" s="411"/>
      <c r="T9" s="411"/>
      <c r="U9" s="411"/>
      <c r="V9" s="411"/>
      <c r="W9" s="411"/>
      <c r="X9" s="411"/>
      <c r="Y9" s="411"/>
      <c r="Z9" s="411"/>
      <c r="AA9" s="411"/>
    </row>
    <row r="10" ht="33.75" customHeight="1">
      <c r="A10" s="657" t="str">
        <f>HYPERLINK("https://drive.google.com/file/d/0B4phjTjb-BwLR3FlS3BQb2ZFWlpNazg0R2hkeXJFd1VEMG1v/view?usp=sharing","31850")</f>
        <v>31850</v>
      </c>
      <c r="B10" s="45" t="s">
        <v>21</v>
      </c>
      <c r="C10" s="42">
        <v>944.0</v>
      </c>
      <c r="D10" s="668" t="s">
        <v>2012</v>
      </c>
      <c r="E10" s="126" t="s">
        <v>13328</v>
      </c>
      <c r="F10" s="465">
        <v>43095.0</v>
      </c>
      <c r="G10" s="660">
        <v>43091.0</v>
      </c>
      <c r="H10" s="69" t="s">
        <v>1747</v>
      </c>
      <c r="I10" s="470">
        <v>43105.0</v>
      </c>
      <c r="J10" s="661" t="s">
        <v>13023</v>
      </c>
      <c r="K10" s="123" t="s">
        <v>3197</v>
      </c>
      <c r="L10" s="126" t="s">
        <v>13329</v>
      </c>
      <c r="M10" s="123"/>
      <c r="N10" s="123"/>
      <c r="O10" s="659"/>
      <c r="P10" s="411"/>
      <c r="Q10" s="411"/>
      <c r="R10" s="411"/>
      <c r="S10" s="411"/>
      <c r="T10" s="411"/>
      <c r="U10" s="411"/>
      <c r="V10" s="411"/>
      <c r="W10" s="411"/>
      <c r="X10" s="411"/>
      <c r="Y10" s="411"/>
      <c r="Z10" s="411"/>
      <c r="AA10" s="411"/>
    </row>
    <row r="11" ht="33.75" customHeight="1">
      <c r="A11" s="657" t="str">
        <f>HYPERLINK("https://drive.google.com/file/d/0B4phjTjb-BwLa184QUZGcnJWdFJ3TThFX2lpUEJ0QTZNNm1j/view?usp=sharing","31834")</f>
        <v>31834</v>
      </c>
      <c r="B11" s="45" t="s">
        <v>21</v>
      </c>
      <c r="C11" s="42">
        <v>1074.0</v>
      </c>
      <c r="D11" s="669" t="s">
        <v>2014</v>
      </c>
      <c r="E11" s="126" t="s">
        <v>13330</v>
      </c>
      <c r="F11" s="465">
        <v>43095.0</v>
      </c>
      <c r="G11" s="658">
        <v>43091.0</v>
      </c>
      <c r="H11" s="69" t="s">
        <v>1747</v>
      </c>
      <c r="I11" s="465">
        <v>43108.0</v>
      </c>
      <c r="J11" s="661" t="s">
        <v>13023</v>
      </c>
      <c r="K11" s="123" t="s">
        <v>3197</v>
      </c>
      <c r="L11" s="126" t="s">
        <v>13331</v>
      </c>
      <c r="M11" s="123"/>
      <c r="N11" s="123"/>
      <c r="O11" s="659"/>
      <c r="P11" s="411"/>
      <c r="Q11" s="411"/>
      <c r="R11" s="411"/>
      <c r="S11" s="411"/>
      <c r="T11" s="411"/>
      <c r="U11" s="411"/>
      <c r="V11" s="411"/>
      <c r="W11" s="411"/>
      <c r="X11" s="411"/>
      <c r="Y11" s="411"/>
      <c r="Z11" s="411"/>
      <c r="AA11" s="411"/>
    </row>
    <row r="12" ht="33.75" customHeight="1">
      <c r="A12" s="657" t="str">
        <f>HYPERLINK("https://drive.google.com/file/d/0B4phjTjb-BwLWnhYN0c1VnZpS25FSS1qM2JtbzB6WnJVWTVn/view?usp=sharing","31833")</f>
        <v>31833</v>
      </c>
      <c r="B12" s="45" t="s">
        <v>13332</v>
      </c>
      <c r="C12" s="42">
        <v>417.0</v>
      </c>
      <c r="D12" s="123" t="s">
        <v>13333</v>
      </c>
      <c r="E12" s="126" t="s">
        <v>13334</v>
      </c>
      <c r="F12" s="465">
        <v>43087.0</v>
      </c>
      <c r="G12" s="483">
        <v>43110.0</v>
      </c>
      <c r="H12" s="69" t="s">
        <v>1747</v>
      </c>
      <c r="I12" s="667">
        <v>43105.0</v>
      </c>
      <c r="J12" s="661" t="s">
        <v>13023</v>
      </c>
      <c r="K12" s="123" t="s">
        <v>2531</v>
      </c>
      <c r="L12" s="126" t="s">
        <v>13335</v>
      </c>
      <c r="M12" s="123"/>
      <c r="N12" s="123"/>
      <c r="O12" s="659"/>
      <c r="P12" s="411"/>
      <c r="Q12" s="411"/>
      <c r="R12" s="411"/>
      <c r="S12" s="411"/>
      <c r="T12" s="411"/>
      <c r="U12" s="411"/>
      <c r="V12" s="411"/>
      <c r="W12" s="411"/>
      <c r="X12" s="411"/>
      <c r="Y12" s="411"/>
      <c r="Z12" s="411"/>
      <c r="AA12" s="411"/>
    </row>
    <row r="13" ht="33.75" customHeight="1">
      <c r="A13" s="69">
        <v>31855.0</v>
      </c>
      <c r="B13" s="45" t="s">
        <v>21</v>
      </c>
      <c r="C13" s="42">
        <v>231.0</v>
      </c>
      <c r="D13" s="128" t="s">
        <v>2013</v>
      </c>
      <c r="E13" s="126" t="s">
        <v>13336</v>
      </c>
      <c r="F13" s="465">
        <v>43087.0</v>
      </c>
      <c r="G13" s="658">
        <v>43084.0</v>
      </c>
      <c r="H13" s="69" t="s">
        <v>1747</v>
      </c>
      <c r="I13" s="663">
        <v>43095.0</v>
      </c>
      <c r="J13" s="661" t="s">
        <v>13337</v>
      </c>
      <c r="K13" s="123" t="s">
        <v>3197</v>
      </c>
      <c r="L13" s="126" t="s">
        <v>13338</v>
      </c>
      <c r="M13" s="123"/>
      <c r="N13" s="123"/>
      <c r="O13" s="659"/>
      <c r="P13" s="411"/>
      <c r="Q13" s="411"/>
      <c r="R13" s="411"/>
      <c r="S13" s="411"/>
      <c r="T13" s="411"/>
      <c r="U13" s="411"/>
      <c r="V13" s="411"/>
      <c r="W13" s="411"/>
      <c r="X13" s="411"/>
      <c r="Y13" s="411"/>
      <c r="Z13" s="411"/>
      <c r="AA13" s="411"/>
    </row>
    <row r="14" ht="33.75" customHeight="1">
      <c r="A14" s="69">
        <v>31835.0</v>
      </c>
      <c r="B14" s="45" t="s">
        <v>21</v>
      </c>
      <c r="C14" s="42">
        <v>1138.0</v>
      </c>
      <c r="D14" s="123" t="s">
        <v>2007</v>
      </c>
      <c r="E14" s="126" t="s">
        <v>13339</v>
      </c>
      <c r="F14" s="465">
        <v>43084.0</v>
      </c>
      <c r="G14" s="670">
        <v>43082.0</v>
      </c>
      <c r="H14" s="69" t="s">
        <v>1747</v>
      </c>
      <c r="I14" s="671" t="s">
        <v>13340</v>
      </c>
      <c r="J14" s="661" t="s">
        <v>13337</v>
      </c>
      <c r="K14" s="123" t="s">
        <v>3197</v>
      </c>
      <c r="L14" s="126" t="s">
        <v>13341</v>
      </c>
      <c r="M14" s="123"/>
      <c r="N14" s="123"/>
      <c r="O14" s="659"/>
      <c r="P14" s="411"/>
      <c r="Q14" s="411"/>
      <c r="R14" s="411"/>
      <c r="S14" s="411"/>
      <c r="T14" s="411"/>
      <c r="U14" s="411"/>
      <c r="V14" s="411"/>
      <c r="W14" s="411"/>
      <c r="X14" s="411"/>
      <c r="Y14" s="411"/>
      <c r="Z14" s="411"/>
      <c r="AA14" s="411"/>
    </row>
    <row r="15" ht="33.75" customHeight="1">
      <c r="A15" s="69">
        <v>31547.0</v>
      </c>
      <c r="B15" s="45" t="s">
        <v>21</v>
      </c>
      <c r="C15" s="42">
        <v>1764.0</v>
      </c>
      <c r="D15" s="123" t="s">
        <v>2006</v>
      </c>
      <c r="E15" s="126" t="s">
        <v>13342</v>
      </c>
      <c r="F15" s="465">
        <v>43083.0</v>
      </c>
      <c r="G15" s="658">
        <v>43084.0</v>
      </c>
      <c r="H15" s="69" t="s">
        <v>1747</v>
      </c>
      <c r="I15" s="667">
        <v>43088.0</v>
      </c>
      <c r="J15" s="661" t="s">
        <v>13337</v>
      </c>
      <c r="K15" s="123" t="s">
        <v>2531</v>
      </c>
      <c r="L15" s="126" t="s">
        <v>13343</v>
      </c>
      <c r="M15" s="123"/>
      <c r="N15" s="123"/>
      <c r="O15" s="659"/>
      <c r="P15" s="411"/>
      <c r="Q15" s="411"/>
      <c r="R15" s="411"/>
      <c r="S15" s="411"/>
      <c r="T15" s="411"/>
      <c r="U15" s="411"/>
      <c r="V15" s="411"/>
      <c r="W15" s="411"/>
      <c r="X15" s="411"/>
      <c r="Y15" s="411"/>
      <c r="Z15" s="411"/>
      <c r="AA15" s="411"/>
    </row>
    <row r="16" ht="33.75" customHeight="1">
      <c r="A16" s="69">
        <v>31740.0</v>
      </c>
      <c r="B16" s="45" t="s">
        <v>25</v>
      </c>
      <c r="C16" s="42">
        <v>2020.0</v>
      </c>
      <c r="D16" s="123" t="s">
        <v>13344</v>
      </c>
      <c r="E16" s="126" t="s">
        <v>13345</v>
      </c>
      <c r="F16" s="465">
        <v>43083.0</v>
      </c>
      <c r="G16" s="658">
        <v>43083.0</v>
      </c>
      <c r="H16" s="69" t="s">
        <v>1747</v>
      </c>
      <c r="I16" s="663">
        <v>43089.0</v>
      </c>
      <c r="J16" s="123" t="s">
        <v>2535</v>
      </c>
      <c r="K16" s="123" t="s">
        <v>2535</v>
      </c>
      <c r="L16" s="126" t="s">
        <v>13346</v>
      </c>
      <c r="M16" s="123"/>
      <c r="N16" s="123"/>
      <c r="O16" s="659"/>
      <c r="P16" s="411"/>
      <c r="Q16" s="411"/>
      <c r="R16" s="411"/>
      <c r="S16" s="411"/>
      <c r="T16" s="411"/>
      <c r="U16" s="411"/>
      <c r="V16" s="411"/>
      <c r="W16" s="411"/>
      <c r="X16" s="411"/>
      <c r="Y16" s="411"/>
      <c r="Z16" s="411"/>
      <c r="AA16" s="411"/>
    </row>
    <row r="17" ht="33.75" customHeight="1">
      <c r="A17" s="69">
        <v>31598.0</v>
      </c>
      <c r="B17" s="45" t="s">
        <v>21</v>
      </c>
      <c r="C17" s="42">
        <v>2040.0</v>
      </c>
      <c r="D17" s="654" t="s">
        <v>2005</v>
      </c>
      <c r="E17" s="126" t="s">
        <v>8688</v>
      </c>
      <c r="F17" s="465">
        <v>43081.0</v>
      </c>
      <c r="G17" s="658">
        <v>43076.0</v>
      </c>
      <c r="H17" s="69" t="s">
        <v>1747</v>
      </c>
      <c r="I17" s="667">
        <v>43088.0</v>
      </c>
      <c r="J17" s="661" t="s">
        <v>13337</v>
      </c>
      <c r="K17" s="123" t="s">
        <v>3197</v>
      </c>
      <c r="L17" s="126" t="s">
        <v>13347</v>
      </c>
      <c r="M17" s="123" t="s">
        <v>497</v>
      </c>
      <c r="N17" s="42" t="s">
        <v>2554</v>
      </c>
      <c r="O17" s="659">
        <v>30824.4</v>
      </c>
      <c r="P17" s="411"/>
      <c r="Q17" s="411"/>
      <c r="R17" s="411"/>
      <c r="S17" s="411"/>
      <c r="T17" s="411"/>
      <c r="U17" s="411"/>
      <c r="V17" s="411"/>
      <c r="W17" s="411"/>
      <c r="X17" s="411"/>
      <c r="Y17" s="411"/>
      <c r="Z17" s="411"/>
      <c r="AA17" s="411"/>
    </row>
    <row r="18" ht="33.75" customHeight="1">
      <c r="A18" s="69">
        <v>31600.0</v>
      </c>
      <c r="B18" s="45" t="s">
        <v>14</v>
      </c>
      <c r="C18" s="42">
        <v>2040.0</v>
      </c>
      <c r="D18" s="123" t="s">
        <v>13348</v>
      </c>
      <c r="E18" s="126" t="s">
        <v>8688</v>
      </c>
      <c r="F18" s="465">
        <v>43080.0</v>
      </c>
      <c r="G18" s="658">
        <v>43076.0</v>
      </c>
      <c r="H18" s="69" t="s">
        <v>1747</v>
      </c>
      <c r="I18" s="667">
        <v>43087.0</v>
      </c>
      <c r="J18" s="123" t="s">
        <v>2535</v>
      </c>
      <c r="K18" s="123" t="s">
        <v>2535</v>
      </c>
      <c r="L18" s="126" t="s">
        <v>13349</v>
      </c>
      <c r="M18" s="123" t="s">
        <v>497</v>
      </c>
      <c r="N18" s="42" t="s">
        <v>2554</v>
      </c>
      <c r="O18" s="659">
        <v>30824.4</v>
      </c>
      <c r="P18" s="411"/>
      <c r="Q18" s="411"/>
      <c r="R18" s="411"/>
      <c r="S18" s="411"/>
      <c r="T18" s="411"/>
      <c r="U18" s="411"/>
      <c r="V18" s="411"/>
      <c r="W18" s="411"/>
      <c r="X18" s="411"/>
      <c r="Y18" s="411"/>
      <c r="Z18" s="411"/>
      <c r="AA18" s="411"/>
    </row>
    <row r="19" ht="33.75" customHeight="1">
      <c r="A19" s="69">
        <v>31597.0</v>
      </c>
      <c r="B19" s="45" t="s">
        <v>14</v>
      </c>
      <c r="C19" s="42">
        <v>2040.0</v>
      </c>
      <c r="D19" s="128" t="s">
        <v>13350</v>
      </c>
      <c r="E19" s="126" t="s">
        <v>8688</v>
      </c>
      <c r="F19" s="465">
        <v>43079.0</v>
      </c>
      <c r="G19" s="658">
        <v>43075.0</v>
      </c>
      <c r="H19" s="69" t="s">
        <v>1747</v>
      </c>
      <c r="I19" s="663">
        <v>43084.0</v>
      </c>
      <c r="J19" s="123" t="s">
        <v>2535</v>
      </c>
      <c r="K19" s="123" t="s">
        <v>2535</v>
      </c>
      <c r="L19" s="126" t="s">
        <v>13351</v>
      </c>
      <c r="M19" s="123" t="s">
        <v>497</v>
      </c>
      <c r="N19" s="42" t="s">
        <v>2554</v>
      </c>
      <c r="O19" s="659">
        <v>30754.8</v>
      </c>
      <c r="P19" s="411"/>
      <c r="Q19" s="411"/>
      <c r="R19" s="411"/>
      <c r="S19" s="411"/>
      <c r="T19" s="411"/>
      <c r="U19" s="411"/>
      <c r="V19" s="411"/>
      <c r="W19" s="411"/>
      <c r="X19" s="411"/>
      <c r="Y19" s="411"/>
      <c r="Z19" s="411"/>
      <c r="AA19" s="411"/>
    </row>
    <row r="20" ht="33.75" customHeight="1">
      <c r="A20" s="69">
        <v>31741.0</v>
      </c>
      <c r="B20" s="45" t="s">
        <v>14</v>
      </c>
      <c r="C20" s="42">
        <v>1040.0</v>
      </c>
      <c r="D20" s="123" t="s">
        <v>13352</v>
      </c>
      <c r="E20" s="126" t="s">
        <v>13345</v>
      </c>
      <c r="F20" s="465">
        <v>43078.0</v>
      </c>
      <c r="G20" s="658">
        <v>43077.0</v>
      </c>
      <c r="H20" s="69" t="s">
        <v>1747</v>
      </c>
      <c r="I20" s="663">
        <v>43083.0</v>
      </c>
      <c r="J20" s="123" t="s">
        <v>2535</v>
      </c>
      <c r="K20" s="123" t="s">
        <v>2535</v>
      </c>
      <c r="L20" s="126" t="s">
        <v>13353</v>
      </c>
      <c r="M20" s="123"/>
      <c r="N20" s="123"/>
      <c r="O20" s="659"/>
      <c r="P20" s="411"/>
      <c r="Q20" s="411"/>
      <c r="R20" s="411"/>
      <c r="S20" s="411"/>
      <c r="T20" s="411"/>
      <c r="U20" s="411"/>
      <c r="V20" s="411"/>
      <c r="W20" s="411"/>
      <c r="X20" s="411"/>
      <c r="Y20" s="411"/>
      <c r="Z20" s="411"/>
      <c r="AA20" s="411"/>
    </row>
    <row r="21" ht="33.75" customHeight="1">
      <c r="A21" s="69">
        <v>31770.0</v>
      </c>
      <c r="B21" s="45" t="s">
        <v>14</v>
      </c>
      <c r="C21" s="42">
        <v>1644.0</v>
      </c>
      <c r="D21" s="128" t="s">
        <v>13354</v>
      </c>
      <c r="E21" s="126" t="s">
        <v>13355</v>
      </c>
      <c r="F21" s="465">
        <v>43075.0</v>
      </c>
      <c r="G21" s="658">
        <v>43076.0</v>
      </c>
      <c r="H21" s="69" t="s">
        <v>1747</v>
      </c>
      <c r="I21" s="672" t="s">
        <v>13356</v>
      </c>
      <c r="J21" s="123" t="s">
        <v>2535</v>
      </c>
      <c r="K21" s="123" t="s">
        <v>2535</v>
      </c>
      <c r="L21" s="126" t="s">
        <v>13357</v>
      </c>
      <c r="M21" s="123"/>
      <c r="N21" s="123"/>
      <c r="O21" s="659"/>
      <c r="P21" s="411"/>
      <c r="Q21" s="411"/>
      <c r="R21" s="411"/>
      <c r="S21" s="411"/>
      <c r="T21" s="411"/>
      <c r="U21" s="411"/>
      <c r="V21" s="411"/>
      <c r="W21" s="411"/>
      <c r="X21" s="411"/>
      <c r="Y21" s="411"/>
      <c r="Z21" s="411"/>
      <c r="AA21" s="411"/>
    </row>
    <row r="22" ht="33.75" customHeight="1">
      <c r="A22" s="69">
        <v>31782.0</v>
      </c>
      <c r="B22" s="45" t="s">
        <v>14</v>
      </c>
      <c r="C22" s="42">
        <v>930.0</v>
      </c>
      <c r="D22" s="123" t="s">
        <v>13358</v>
      </c>
      <c r="E22" s="126" t="s">
        <v>8430</v>
      </c>
      <c r="F22" s="465">
        <v>43074.0</v>
      </c>
      <c r="G22" s="658">
        <v>43074.0</v>
      </c>
      <c r="H22" s="69" t="s">
        <v>1747</v>
      </c>
      <c r="I22" s="663">
        <v>43077.0</v>
      </c>
      <c r="J22" s="123" t="s">
        <v>2535</v>
      </c>
      <c r="K22" s="123" t="s">
        <v>2535</v>
      </c>
      <c r="L22" s="126" t="s">
        <v>13359</v>
      </c>
      <c r="M22" s="123"/>
      <c r="N22" s="123"/>
      <c r="O22" s="659"/>
      <c r="P22" s="411"/>
      <c r="Q22" s="411"/>
      <c r="R22" s="411"/>
      <c r="S22" s="411"/>
      <c r="T22" s="411"/>
      <c r="U22" s="411"/>
      <c r="V22" s="411"/>
      <c r="W22" s="411"/>
      <c r="X22" s="411"/>
      <c r="Y22" s="411"/>
      <c r="Z22" s="411"/>
      <c r="AA22" s="411"/>
    </row>
    <row r="23" ht="33.75" customHeight="1">
      <c r="A23" s="69">
        <v>31781.0</v>
      </c>
      <c r="B23" s="45" t="s">
        <v>14</v>
      </c>
      <c r="C23" s="42">
        <v>1450.0</v>
      </c>
      <c r="D23" s="123" t="s">
        <v>13360</v>
      </c>
      <c r="E23" s="126" t="s">
        <v>8430</v>
      </c>
      <c r="F23" s="465">
        <v>43074.0</v>
      </c>
      <c r="G23" s="658">
        <v>43074.0</v>
      </c>
      <c r="H23" s="69" t="s">
        <v>1747</v>
      </c>
      <c r="I23" s="663">
        <v>43081.0</v>
      </c>
      <c r="J23" s="123" t="s">
        <v>2535</v>
      </c>
      <c r="K23" s="123" t="s">
        <v>2535</v>
      </c>
      <c r="L23" s="126" t="s">
        <v>13361</v>
      </c>
      <c r="M23" s="123"/>
      <c r="N23" s="123"/>
      <c r="O23" s="659"/>
      <c r="P23" s="411"/>
      <c r="Q23" s="411"/>
      <c r="R23" s="411"/>
      <c r="S23" s="411"/>
      <c r="T23" s="411"/>
      <c r="U23" s="411"/>
      <c r="V23" s="411"/>
      <c r="W23" s="411"/>
      <c r="X23" s="411"/>
      <c r="Y23" s="411"/>
      <c r="Z23" s="411"/>
      <c r="AA23" s="411"/>
    </row>
    <row r="24" ht="33.75" customHeight="1">
      <c r="A24" s="69">
        <v>31599.0</v>
      </c>
      <c r="B24" s="45" t="s">
        <v>25</v>
      </c>
      <c r="C24" s="42">
        <v>2040.0</v>
      </c>
      <c r="D24" s="673" t="s">
        <v>13362</v>
      </c>
      <c r="E24" s="126" t="s">
        <v>13363</v>
      </c>
      <c r="F24" s="465">
        <v>43074.0</v>
      </c>
      <c r="G24" s="658">
        <v>43070.0</v>
      </c>
      <c r="H24" s="69" t="s">
        <v>1747</v>
      </c>
      <c r="I24" s="663">
        <v>43081.0</v>
      </c>
      <c r="J24" s="123" t="s">
        <v>2535</v>
      </c>
      <c r="K24" s="123" t="s">
        <v>2535</v>
      </c>
      <c r="L24" s="126" t="s">
        <v>13364</v>
      </c>
      <c r="M24" s="123" t="s">
        <v>497</v>
      </c>
      <c r="N24" s="42" t="s">
        <v>2554</v>
      </c>
      <c r="O24" s="659">
        <v>30685.2</v>
      </c>
      <c r="P24" s="411"/>
      <c r="Q24" s="411"/>
      <c r="R24" s="411"/>
      <c r="S24" s="411"/>
      <c r="T24" s="411"/>
      <c r="U24" s="411"/>
      <c r="V24" s="411"/>
      <c r="W24" s="411"/>
      <c r="X24" s="411"/>
      <c r="Y24" s="411"/>
      <c r="Z24" s="411"/>
      <c r="AA24" s="411"/>
    </row>
    <row r="25" ht="33.75" customHeight="1">
      <c r="A25" s="69">
        <v>31797.0</v>
      </c>
      <c r="B25" s="45" t="s">
        <v>14</v>
      </c>
      <c r="C25" s="42">
        <v>1095.0</v>
      </c>
      <c r="D25" s="42" t="s">
        <v>13365</v>
      </c>
      <c r="E25" s="126" t="s">
        <v>8475</v>
      </c>
      <c r="F25" s="465">
        <v>43074.0</v>
      </c>
      <c r="G25" s="658">
        <v>43070.0</v>
      </c>
      <c r="H25" s="69" t="s">
        <v>1747</v>
      </c>
      <c r="I25" s="663">
        <v>43080.0</v>
      </c>
      <c r="J25" s="123" t="s">
        <v>2535</v>
      </c>
      <c r="K25" s="123" t="s">
        <v>2535</v>
      </c>
      <c r="L25" s="126" t="s">
        <v>13366</v>
      </c>
      <c r="M25" s="123"/>
      <c r="N25" s="123"/>
      <c r="O25" s="659"/>
      <c r="P25" s="411"/>
      <c r="Q25" s="411"/>
      <c r="R25" s="411"/>
      <c r="S25" s="411"/>
      <c r="T25" s="411"/>
      <c r="U25" s="411"/>
      <c r="V25" s="411"/>
      <c r="W25" s="411"/>
      <c r="X25" s="411"/>
      <c r="Y25" s="411"/>
      <c r="Z25" s="411"/>
      <c r="AA25" s="411"/>
    </row>
    <row r="26" ht="33.75" customHeight="1">
      <c r="A26" s="69">
        <v>31479.0</v>
      </c>
      <c r="B26" s="45" t="s">
        <v>21</v>
      </c>
      <c r="C26" s="42">
        <v>1600.0</v>
      </c>
      <c r="D26" s="123" t="s">
        <v>2004</v>
      </c>
      <c r="E26" s="126" t="s">
        <v>13367</v>
      </c>
      <c r="F26" s="465">
        <v>43074.0</v>
      </c>
      <c r="G26" s="658">
        <v>43073.0</v>
      </c>
      <c r="H26" s="69" t="s">
        <v>1747</v>
      </c>
      <c r="I26" s="667">
        <v>43083.0</v>
      </c>
      <c r="J26" s="661" t="s">
        <v>13337</v>
      </c>
      <c r="K26" s="123" t="s">
        <v>3197</v>
      </c>
      <c r="L26" s="126" t="s">
        <v>13368</v>
      </c>
      <c r="M26" s="123"/>
      <c r="N26" s="123"/>
      <c r="O26" s="659"/>
      <c r="P26" s="411"/>
      <c r="Q26" s="411"/>
      <c r="R26" s="411"/>
      <c r="S26" s="411"/>
      <c r="T26" s="411"/>
      <c r="U26" s="411"/>
      <c r="V26" s="411"/>
      <c r="W26" s="411"/>
      <c r="X26" s="411"/>
      <c r="Y26" s="411"/>
      <c r="Z26" s="411"/>
      <c r="AA26" s="411"/>
    </row>
    <row r="27" ht="33.75" customHeight="1">
      <c r="A27" s="69">
        <v>31596.0</v>
      </c>
      <c r="B27" s="45" t="s">
        <v>21</v>
      </c>
      <c r="C27" s="42">
        <v>2040.0</v>
      </c>
      <c r="D27" s="128" t="s">
        <v>2003</v>
      </c>
      <c r="E27" s="126" t="s">
        <v>8688</v>
      </c>
      <c r="F27" s="465">
        <v>43074.0</v>
      </c>
      <c r="G27" s="658">
        <v>43073.0</v>
      </c>
      <c r="H27" s="69" t="s">
        <v>1747</v>
      </c>
      <c r="I27" s="667">
        <v>43082.0</v>
      </c>
      <c r="J27" s="661" t="s">
        <v>13337</v>
      </c>
      <c r="K27" s="123" t="s">
        <v>3197</v>
      </c>
      <c r="L27" s="126" t="s">
        <v>13369</v>
      </c>
      <c r="M27" s="123" t="s">
        <v>497</v>
      </c>
      <c r="N27" s="42" t="s">
        <v>2554</v>
      </c>
      <c r="O27" s="659">
        <v>30824.4</v>
      </c>
      <c r="P27" s="411"/>
      <c r="Q27" s="411"/>
      <c r="R27" s="411"/>
      <c r="S27" s="411"/>
      <c r="T27" s="411"/>
      <c r="U27" s="411"/>
      <c r="V27" s="411"/>
      <c r="W27" s="411"/>
      <c r="X27" s="411"/>
      <c r="Y27" s="411"/>
      <c r="Z27" s="411"/>
      <c r="AA27" s="411"/>
    </row>
    <row r="28" ht="33.75" customHeight="1">
      <c r="A28" s="69">
        <v>31557.0</v>
      </c>
      <c r="B28" s="45" t="s">
        <v>21</v>
      </c>
      <c r="C28" s="42">
        <v>819.0</v>
      </c>
      <c r="D28" s="123" t="s">
        <v>2002</v>
      </c>
      <c r="E28" s="126" t="s">
        <v>12512</v>
      </c>
      <c r="F28" s="465">
        <v>43074.0</v>
      </c>
      <c r="G28" s="658">
        <v>43073.0</v>
      </c>
      <c r="H28" s="69" t="s">
        <v>1747</v>
      </c>
      <c r="I28" s="667">
        <v>43083.0</v>
      </c>
      <c r="J28" s="661" t="s">
        <v>13337</v>
      </c>
      <c r="K28" s="123" t="s">
        <v>2531</v>
      </c>
      <c r="L28" s="126" t="s">
        <v>13370</v>
      </c>
      <c r="M28" s="123" t="s">
        <v>497</v>
      </c>
      <c r="N28" s="123" t="s">
        <v>1048</v>
      </c>
      <c r="O28" s="659">
        <v>40682.67</v>
      </c>
      <c r="P28" s="411"/>
      <c r="Q28" s="411"/>
      <c r="R28" s="411"/>
      <c r="S28" s="411"/>
      <c r="T28" s="411"/>
      <c r="U28" s="411"/>
      <c r="V28" s="411"/>
      <c r="W28" s="411"/>
      <c r="X28" s="411"/>
      <c r="Y28" s="411"/>
      <c r="Z28" s="411"/>
      <c r="AA28" s="411"/>
    </row>
    <row r="29" ht="33.75" customHeight="1">
      <c r="A29" s="69">
        <v>31751.0</v>
      </c>
      <c r="B29" s="45" t="s">
        <v>14</v>
      </c>
      <c r="C29" s="42">
        <v>944.0</v>
      </c>
      <c r="D29" s="128" t="s">
        <v>13371</v>
      </c>
      <c r="E29" s="126" t="s">
        <v>13372</v>
      </c>
      <c r="F29" s="465">
        <v>43070.0</v>
      </c>
      <c r="G29" s="658">
        <v>43067.0</v>
      </c>
      <c r="H29" s="69" t="s">
        <v>1747</v>
      </c>
      <c r="I29" s="672" t="s">
        <v>13373</v>
      </c>
      <c r="J29" s="661" t="s">
        <v>2535</v>
      </c>
      <c r="K29" s="123" t="s">
        <v>2535</v>
      </c>
      <c r="L29" s="126" t="s">
        <v>13374</v>
      </c>
      <c r="M29" s="123"/>
      <c r="N29" s="123"/>
      <c r="O29" s="659"/>
      <c r="P29" s="411"/>
      <c r="Q29" s="411"/>
      <c r="R29" s="411"/>
      <c r="S29" s="411"/>
      <c r="T29" s="411"/>
      <c r="U29" s="411"/>
      <c r="V29" s="411"/>
      <c r="W29" s="411"/>
      <c r="X29" s="411"/>
      <c r="Y29" s="411"/>
      <c r="Z29" s="411"/>
      <c r="AA29" s="411"/>
    </row>
    <row r="30" ht="33.75" customHeight="1">
      <c r="A30" s="69">
        <v>31780.0</v>
      </c>
      <c r="B30" s="45" t="s">
        <v>21</v>
      </c>
      <c r="C30" s="42">
        <v>1300.0</v>
      </c>
      <c r="D30" s="123" t="s">
        <v>2001</v>
      </c>
      <c r="E30" s="126" t="s">
        <v>13375</v>
      </c>
      <c r="F30" s="465">
        <v>43067.0</v>
      </c>
      <c r="G30" s="658">
        <v>43066.0</v>
      </c>
      <c r="H30" s="69" t="s">
        <v>1747</v>
      </c>
      <c r="I30" s="667">
        <v>43077.0</v>
      </c>
      <c r="J30" s="661" t="s">
        <v>13337</v>
      </c>
      <c r="K30" s="123" t="s">
        <v>3197</v>
      </c>
      <c r="L30" s="126" t="s">
        <v>13376</v>
      </c>
      <c r="M30" s="123"/>
      <c r="N30" s="123"/>
      <c r="O30" s="659"/>
      <c r="P30" s="411"/>
      <c r="Q30" s="411"/>
      <c r="R30" s="411"/>
      <c r="S30" s="411"/>
      <c r="T30" s="411"/>
      <c r="U30" s="411"/>
      <c r="V30" s="411"/>
      <c r="W30" s="411"/>
      <c r="X30" s="411"/>
      <c r="Y30" s="411"/>
      <c r="Z30" s="411"/>
      <c r="AA30" s="411"/>
    </row>
    <row r="31" ht="33.75" customHeight="1">
      <c r="A31" s="69">
        <v>31358.0</v>
      </c>
      <c r="B31" s="45" t="s">
        <v>14</v>
      </c>
      <c r="C31" s="42">
        <v>2080.0</v>
      </c>
      <c r="D31" s="123" t="s">
        <v>13377</v>
      </c>
      <c r="E31" s="126" t="s">
        <v>13378</v>
      </c>
      <c r="F31" s="465">
        <v>43066.0</v>
      </c>
      <c r="G31" s="658">
        <v>43074.0</v>
      </c>
      <c r="H31" s="69" t="s">
        <v>1747</v>
      </c>
      <c r="I31" s="663">
        <v>43070.0</v>
      </c>
      <c r="J31" s="123" t="s">
        <v>2535</v>
      </c>
      <c r="K31" s="123" t="s">
        <v>2535</v>
      </c>
      <c r="L31" s="126" t="s">
        <v>13379</v>
      </c>
      <c r="M31" s="123"/>
      <c r="N31" s="123"/>
      <c r="O31" s="659"/>
      <c r="P31" s="411"/>
      <c r="Q31" s="411"/>
      <c r="R31" s="411"/>
      <c r="S31" s="411"/>
      <c r="T31" s="411"/>
      <c r="U31" s="411"/>
      <c r="V31" s="411"/>
      <c r="W31" s="411"/>
      <c r="X31" s="411"/>
      <c r="Y31" s="411"/>
      <c r="Z31" s="411"/>
      <c r="AA31" s="411"/>
    </row>
    <row r="32" ht="33.75" customHeight="1">
      <c r="A32" s="69">
        <v>31493.0</v>
      </c>
      <c r="B32" s="45" t="s">
        <v>14</v>
      </c>
      <c r="C32" s="42">
        <v>2040.0</v>
      </c>
      <c r="D32" s="123" t="s">
        <v>13380</v>
      </c>
      <c r="E32" s="126" t="s">
        <v>8688</v>
      </c>
      <c r="F32" s="465">
        <v>43065.0</v>
      </c>
      <c r="G32" s="658">
        <v>43074.0</v>
      </c>
      <c r="H32" s="69" t="s">
        <v>1747</v>
      </c>
      <c r="I32" s="663">
        <v>43070.0</v>
      </c>
      <c r="J32" s="123" t="s">
        <v>2535</v>
      </c>
      <c r="K32" s="123" t="s">
        <v>2535</v>
      </c>
      <c r="L32" s="126" t="s">
        <v>13381</v>
      </c>
      <c r="M32" s="123" t="s">
        <v>497</v>
      </c>
      <c r="N32" s="42" t="s">
        <v>2554</v>
      </c>
      <c r="O32" s="659">
        <v>30824.4</v>
      </c>
      <c r="P32" s="411"/>
      <c r="Q32" s="411"/>
      <c r="R32" s="411"/>
      <c r="S32" s="411"/>
      <c r="T32" s="411"/>
      <c r="U32" s="411"/>
      <c r="V32" s="411"/>
      <c r="W32" s="411"/>
      <c r="X32" s="411"/>
      <c r="Y32" s="411"/>
      <c r="Z32" s="411"/>
      <c r="AA32" s="411"/>
    </row>
    <row r="33" ht="33.75" customHeight="1">
      <c r="A33" s="69">
        <v>31492.0</v>
      </c>
      <c r="B33" s="45" t="s">
        <v>14</v>
      </c>
      <c r="C33" s="42">
        <v>2040.0</v>
      </c>
      <c r="D33" s="123" t="s">
        <v>13382</v>
      </c>
      <c r="E33" s="126" t="s">
        <v>8688</v>
      </c>
      <c r="F33" s="465">
        <v>43065.0</v>
      </c>
      <c r="G33" s="658">
        <v>43061.0</v>
      </c>
      <c r="H33" s="69" t="s">
        <v>1747</v>
      </c>
      <c r="I33" s="663">
        <v>43070.0</v>
      </c>
      <c r="J33" s="123" t="s">
        <v>2535</v>
      </c>
      <c r="K33" s="123" t="s">
        <v>2535</v>
      </c>
      <c r="L33" s="126" t="s">
        <v>13383</v>
      </c>
      <c r="M33" s="123" t="s">
        <v>497</v>
      </c>
      <c r="N33" s="42" t="s">
        <v>2554</v>
      </c>
      <c r="O33" s="659">
        <v>30824.4</v>
      </c>
      <c r="P33" s="411"/>
      <c r="Q33" s="411"/>
      <c r="R33" s="411"/>
      <c r="S33" s="411"/>
      <c r="T33" s="411"/>
      <c r="U33" s="411"/>
      <c r="V33" s="411"/>
      <c r="W33" s="411"/>
      <c r="X33" s="411"/>
      <c r="Y33" s="411"/>
      <c r="Z33" s="411"/>
      <c r="AA33" s="411"/>
    </row>
    <row r="34" ht="33.75" customHeight="1">
      <c r="A34" s="69">
        <v>31548.0</v>
      </c>
      <c r="B34" s="45" t="s">
        <v>14</v>
      </c>
      <c r="C34" s="42">
        <v>1002.0</v>
      </c>
      <c r="D34" s="123" t="s">
        <v>13384</v>
      </c>
      <c r="E34" s="126" t="s">
        <v>13345</v>
      </c>
      <c r="F34" s="465">
        <v>43064.0</v>
      </c>
      <c r="G34" s="658">
        <v>43074.0</v>
      </c>
      <c r="H34" s="69" t="s">
        <v>1747</v>
      </c>
      <c r="I34" s="663">
        <v>43067.0</v>
      </c>
      <c r="J34" s="123" t="s">
        <v>2535</v>
      </c>
      <c r="K34" s="123" t="s">
        <v>2535</v>
      </c>
      <c r="L34" s="126" t="s">
        <v>13385</v>
      </c>
      <c r="M34" s="123"/>
      <c r="N34" s="123"/>
      <c r="O34" s="659"/>
      <c r="P34" s="411"/>
      <c r="Q34" s="411"/>
      <c r="R34" s="411"/>
      <c r="S34" s="411"/>
      <c r="T34" s="411"/>
      <c r="U34" s="411"/>
      <c r="V34" s="411"/>
      <c r="W34" s="411"/>
      <c r="X34" s="411"/>
      <c r="Y34" s="411"/>
      <c r="Z34" s="411"/>
      <c r="AA34" s="411"/>
    </row>
    <row r="35" ht="33.75" customHeight="1">
      <c r="A35" s="69">
        <v>31778.0</v>
      </c>
      <c r="B35" s="45" t="s">
        <v>14</v>
      </c>
      <c r="C35" s="42">
        <v>1300.0</v>
      </c>
      <c r="D35" s="123" t="s">
        <v>13386</v>
      </c>
      <c r="E35" s="126" t="s">
        <v>12521</v>
      </c>
      <c r="F35" s="465">
        <v>43063.0</v>
      </c>
      <c r="G35" s="658">
        <v>43059.0</v>
      </c>
      <c r="H35" s="69" t="s">
        <v>1747</v>
      </c>
      <c r="I35" s="663">
        <v>43068.0</v>
      </c>
      <c r="J35" s="123" t="s">
        <v>2535</v>
      </c>
      <c r="K35" s="123" t="s">
        <v>2535</v>
      </c>
      <c r="L35" s="126" t="s">
        <v>13387</v>
      </c>
      <c r="M35" s="123"/>
      <c r="N35" s="123"/>
      <c r="O35" s="659"/>
      <c r="P35" s="411"/>
      <c r="Q35" s="411"/>
      <c r="R35" s="411"/>
      <c r="S35" s="411"/>
      <c r="T35" s="411"/>
      <c r="U35" s="411"/>
      <c r="V35" s="411"/>
      <c r="W35" s="411"/>
      <c r="X35" s="411"/>
      <c r="Y35" s="411"/>
      <c r="Z35" s="411"/>
      <c r="AA35" s="411"/>
    </row>
    <row r="36" ht="33.75" customHeight="1">
      <c r="A36" s="69">
        <v>31779.0</v>
      </c>
      <c r="B36" s="45" t="s">
        <v>25</v>
      </c>
      <c r="C36" s="42">
        <v>1349.0</v>
      </c>
      <c r="D36" s="128" t="s">
        <v>13388</v>
      </c>
      <c r="E36" s="126" t="s">
        <v>13355</v>
      </c>
      <c r="F36" s="465">
        <v>43062.0</v>
      </c>
      <c r="G36" s="658">
        <v>43060.0</v>
      </c>
      <c r="H36" s="69" t="s">
        <v>1747</v>
      </c>
      <c r="I36" s="672" t="s">
        <v>13389</v>
      </c>
      <c r="J36" s="123" t="s">
        <v>2535</v>
      </c>
      <c r="K36" s="123" t="s">
        <v>2535</v>
      </c>
      <c r="L36" s="126" t="s">
        <v>13390</v>
      </c>
      <c r="M36" s="123"/>
      <c r="N36" s="123"/>
      <c r="O36" s="659"/>
      <c r="P36" s="411"/>
      <c r="Q36" s="411"/>
      <c r="R36" s="411"/>
      <c r="S36" s="411"/>
      <c r="T36" s="411"/>
      <c r="U36" s="411"/>
      <c r="V36" s="411"/>
      <c r="W36" s="411"/>
      <c r="X36" s="411"/>
      <c r="Y36" s="411"/>
      <c r="Z36" s="411"/>
      <c r="AA36" s="411"/>
    </row>
    <row r="37" ht="33.75" customHeight="1">
      <c r="A37" s="69">
        <v>31585.0</v>
      </c>
      <c r="B37" s="45" t="s">
        <v>25</v>
      </c>
      <c r="C37" s="42">
        <v>237.0</v>
      </c>
      <c r="D37" s="123" t="s">
        <v>13391</v>
      </c>
      <c r="E37" s="126" t="s">
        <v>13392</v>
      </c>
      <c r="F37" s="465">
        <v>43060.0</v>
      </c>
      <c r="G37" s="674">
        <v>43060.0</v>
      </c>
      <c r="H37" s="69" t="s">
        <v>1747</v>
      </c>
      <c r="I37" s="675" t="s">
        <v>13393</v>
      </c>
      <c r="J37" s="123" t="s">
        <v>2535</v>
      </c>
      <c r="K37" s="123" t="s">
        <v>2535</v>
      </c>
      <c r="L37" s="126" t="s">
        <v>13394</v>
      </c>
      <c r="M37" s="123"/>
      <c r="N37" s="123"/>
      <c r="O37" s="659"/>
      <c r="P37" s="411"/>
      <c r="Q37" s="411"/>
      <c r="R37" s="411"/>
      <c r="S37" s="411"/>
      <c r="T37" s="411"/>
      <c r="U37" s="411"/>
      <c r="V37" s="411"/>
      <c r="W37" s="411"/>
      <c r="X37" s="411"/>
      <c r="Y37" s="411"/>
      <c r="Z37" s="411"/>
      <c r="AA37" s="411"/>
    </row>
    <row r="38" ht="33.75" customHeight="1">
      <c r="A38" s="69">
        <v>31489.0</v>
      </c>
      <c r="B38" s="45" t="s">
        <v>21</v>
      </c>
      <c r="C38" s="42">
        <v>2040.0</v>
      </c>
      <c r="D38" s="123" t="s">
        <v>2000</v>
      </c>
      <c r="E38" s="126" t="s">
        <v>13367</v>
      </c>
      <c r="F38" s="465">
        <v>43060.0</v>
      </c>
      <c r="G38" s="658">
        <v>43056.0</v>
      </c>
      <c r="H38" s="69" t="s">
        <v>1747</v>
      </c>
      <c r="I38" s="667">
        <v>43068.0</v>
      </c>
      <c r="J38" s="661" t="s">
        <v>13395</v>
      </c>
      <c r="K38" s="123" t="s">
        <v>3197</v>
      </c>
      <c r="L38" s="126" t="s">
        <v>13396</v>
      </c>
      <c r="M38" s="123" t="s">
        <v>497</v>
      </c>
      <c r="N38" s="42" t="s">
        <v>2554</v>
      </c>
      <c r="O38" s="659">
        <v>31494.4</v>
      </c>
      <c r="P38" s="411"/>
      <c r="Q38" s="411"/>
      <c r="R38" s="411"/>
      <c r="S38" s="411"/>
      <c r="T38" s="411"/>
      <c r="U38" s="411"/>
      <c r="V38" s="411"/>
      <c r="W38" s="411"/>
      <c r="X38" s="411"/>
      <c r="Y38" s="411"/>
      <c r="Z38" s="411"/>
      <c r="AA38" s="411"/>
    </row>
    <row r="39" ht="33.75" customHeight="1">
      <c r="A39" s="69">
        <v>31581.0</v>
      </c>
      <c r="B39" s="45" t="s">
        <v>14</v>
      </c>
      <c r="C39" s="42">
        <v>900.0</v>
      </c>
      <c r="D39" s="128" t="s">
        <v>13397</v>
      </c>
      <c r="E39" s="126" t="s">
        <v>12997</v>
      </c>
      <c r="F39" s="465">
        <v>43059.0</v>
      </c>
      <c r="G39" s="658">
        <v>43055.0</v>
      </c>
      <c r="H39" s="69" t="s">
        <v>1747</v>
      </c>
      <c r="I39" s="663">
        <v>43061.0</v>
      </c>
      <c r="J39" s="123" t="s">
        <v>2535</v>
      </c>
      <c r="K39" s="123" t="s">
        <v>2535</v>
      </c>
      <c r="L39" s="126" t="s">
        <v>13398</v>
      </c>
      <c r="M39" s="123"/>
      <c r="N39" s="123"/>
      <c r="O39" s="659"/>
      <c r="P39" s="411"/>
      <c r="Q39" s="411"/>
      <c r="R39" s="411"/>
      <c r="S39" s="411"/>
      <c r="T39" s="411"/>
      <c r="U39" s="411"/>
      <c r="V39" s="411"/>
      <c r="W39" s="411"/>
      <c r="X39" s="411"/>
      <c r="Y39" s="411"/>
      <c r="Z39" s="411"/>
      <c r="AA39" s="411"/>
    </row>
    <row r="40" ht="33.75" customHeight="1">
      <c r="A40" s="69">
        <v>31766.0</v>
      </c>
      <c r="B40" s="45" t="s">
        <v>21</v>
      </c>
      <c r="C40" s="42">
        <v>1100.0</v>
      </c>
      <c r="D40" s="123" t="s">
        <v>1999</v>
      </c>
      <c r="E40" s="126" t="s">
        <v>8475</v>
      </c>
      <c r="F40" s="465">
        <v>43056.0</v>
      </c>
      <c r="G40" s="658">
        <v>43053.0</v>
      </c>
      <c r="H40" s="69" t="s">
        <v>1747</v>
      </c>
      <c r="I40" s="663">
        <v>43066.0</v>
      </c>
      <c r="J40" s="123" t="s">
        <v>2535</v>
      </c>
      <c r="K40" s="123" t="s">
        <v>2535</v>
      </c>
      <c r="L40" s="126" t="s">
        <v>13399</v>
      </c>
      <c r="M40" s="123"/>
      <c r="N40" s="123"/>
      <c r="O40" s="659"/>
      <c r="P40" s="411"/>
      <c r="Q40" s="411"/>
      <c r="R40" s="411"/>
      <c r="S40" s="411"/>
      <c r="T40" s="411"/>
      <c r="U40" s="411"/>
      <c r="V40" s="411"/>
      <c r="W40" s="411"/>
      <c r="X40" s="411"/>
      <c r="Y40" s="411"/>
      <c r="Z40" s="411"/>
      <c r="AA40" s="411"/>
    </row>
    <row r="41" ht="33.75" customHeight="1">
      <c r="A41" s="69">
        <v>31559.0</v>
      </c>
      <c r="B41" s="45" t="s">
        <v>25</v>
      </c>
      <c r="C41" s="42">
        <v>1814.0</v>
      </c>
      <c r="D41" s="128" t="s">
        <v>13400</v>
      </c>
      <c r="E41" s="126" t="s">
        <v>13345</v>
      </c>
      <c r="F41" s="465">
        <v>43055.0</v>
      </c>
      <c r="G41" s="658">
        <v>43054.0</v>
      </c>
      <c r="H41" s="69" t="s">
        <v>1747</v>
      </c>
      <c r="I41" s="672" t="s">
        <v>13401</v>
      </c>
      <c r="J41" s="123" t="s">
        <v>2535</v>
      </c>
      <c r="K41" s="123" t="s">
        <v>2535</v>
      </c>
      <c r="L41" s="126" t="s">
        <v>13402</v>
      </c>
      <c r="M41" s="123"/>
      <c r="N41" s="123"/>
      <c r="O41" s="659"/>
      <c r="P41" s="411"/>
      <c r="Q41" s="411"/>
      <c r="R41" s="411"/>
      <c r="S41" s="411"/>
      <c r="T41" s="411"/>
      <c r="U41" s="411"/>
      <c r="V41" s="411"/>
      <c r="W41" s="411"/>
      <c r="X41" s="411"/>
      <c r="Y41" s="411"/>
      <c r="Z41" s="411"/>
      <c r="AA41" s="411"/>
    </row>
    <row r="42" ht="33.75" customHeight="1">
      <c r="A42" s="69">
        <v>31739.0</v>
      </c>
      <c r="B42" s="45" t="s">
        <v>14</v>
      </c>
      <c r="C42" s="42">
        <v>1100.0</v>
      </c>
      <c r="D42" s="123" t="s">
        <v>13403</v>
      </c>
      <c r="E42" s="126" t="s">
        <v>13404</v>
      </c>
      <c r="F42" s="465">
        <v>43053.0</v>
      </c>
      <c r="G42" s="658">
        <v>43054.0</v>
      </c>
      <c r="H42" s="69" t="s">
        <v>1747</v>
      </c>
      <c r="I42" s="663">
        <v>43060.0</v>
      </c>
      <c r="J42" s="123" t="s">
        <v>2535</v>
      </c>
      <c r="K42" s="123" t="s">
        <v>2535</v>
      </c>
      <c r="L42" s="126" t="s">
        <v>13405</v>
      </c>
      <c r="M42" s="123"/>
      <c r="N42" s="123"/>
      <c r="O42" s="659"/>
      <c r="P42" s="411"/>
      <c r="Q42" s="411"/>
      <c r="R42" s="411"/>
      <c r="S42" s="411"/>
      <c r="T42" s="411"/>
      <c r="U42" s="411"/>
      <c r="V42" s="411"/>
      <c r="W42" s="411"/>
      <c r="X42" s="411"/>
      <c r="Y42" s="411"/>
      <c r="Z42" s="411"/>
      <c r="AA42" s="411"/>
    </row>
    <row r="43" ht="33.75" customHeight="1">
      <c r="A43" s="69">
        <v>31491.0</v>
      </c>
      <c r="B43" s="45" t="s">
        <v>25</v>
      </c>
      <c r="C43" s="42">
        <v>2010.0</v>
      </c>
      <c r="D43" s="128" t="s">
        <v>13406</v>
      </c>
      <c r="E43" s="126" t="s">
        <v>8688</v>
      </c>
      <c r="F43" s="465">
        <v>43053.0</v>
      </c>
      <c r="G43" s="658">
        <v>43052.0</v>
      </c>
      <c r="H43" s="69" t="s">
        <v>1747</v>
      </c>
      <c r="I43" s="663">
        <v>43056.0</v>
      </c>
      <c r="J43" s="123" t="s">
        <v>2535</v>
      </c>
      <c r="K43" s="123" t="s">
        <v>2535</v>
      </c>
      <c r="L43" s="126" t="s">
        <v>13407</v>
      </c>
      <c r="M43" s="123" t="s">
        <v>497</v>
      </c>
      <c r="N43" s="42" t="s">
        <v>2554</v>
      </c>
      <c r="O43" s="659">
        <v>30685.2</v>
      </c>
      <c r="P43" s="411"/>
      <c r="Q43" s="411"/>
      <c r="R43" s="411"/>
      <c r="S43" s="411"/>
      <c r="T43" s="411"/>
      <c r="U43" s="411"/>
      <c r="V43" s="411"/>
      <c r="W43" s="411"/>
      <c r="X43" s="411"/>
      <c r="Y43" s="411"/>
      <c r="Z43" s="411"/>
      <c r="AA43" s="411"/>
    </row>
    <row r="44" ht="33.75" customHeight="1">
      <c r="A44" s="69">
        <v>31490.0</v>
      </c>
      <c r="B44" s="45" t="s">
        <v>14</v>
      </c>
      <c r="C44" s="42">
        <v>2040.0</v>
      </c>
      <c r="D44" s="123" t="s">
        <v>13408</v>
      </c>
      <c r="E44" s="126" t="s">
        <v>13367</v>
      </c>
      <c r="F44" s="465">
        <v>43052.0</v>
      </c>
      <c r="G44" s="658">
        <v>43053.0</v>
      </c>
      <c r="H44" s="69" t="s">
        <v>1747</v>
      </c>
      <c r="I44" s="663">
        <v>43056.0</v>
      </c>
      <c r="J44" s="123" t="s">
        <v>2535</v>
      </c>
      <c r="K44" s="123" t="s">
        <v>2535</v>
      </c>
      <c r="L44" s="126" t="s">
        <v>13409</v>
      </c>
      <c r="M44" s="123" t="s">
        <v>497</v>
      </c>
      <c r="N44" s="42" t="s">
        <v>2554</v>
      </c>
      <c r="O44" s="659">
        <v>31371.2</v>
      </c>
      <c r="P44" s="411"/>
      <c r="Q44" s="411"/>
      <c r="R44" s="411"/>
      <c r="S44" s="411"/>
      <c r="T44" s="411"/>
      <c r="U44" s="411"/>
      <c r="V44" s="411"/>
      <c r="W44" s="411"/>
      <c r="X44" s="411"/>
      <c r="Y44" s="411"/>
      <c r="Z44" s="411"/>
      <c r="AA44" s="411"/>
    </row>
    <row r="45" ht="33.75" customHeight="1">
      <c r="A45" s="69">
        <v>31219.0</v>
      </c>
      <c r="B45" s="45" t="s">
        <v>13332</v>
      </c>
      <c r="C45" s="42">
        <v>456.0</v>
      </c>
      <c r="D45" s="123" t="s">
        <v>13410</v>
      </c>
      <c r="E45" s="126" t="s">
        <v>13411</v>
      </c>
      <c r="F45" s="465">
        <v>43052.0</v>
      </c>
      <c r="G45" s="148" t="s">
        <v>210</v>
      </c>
      <c r="H45" s="69" t="s">
        <v>1747</v>
      </c>
      <c r="I45" s="663">
        <v>43069.0</v>
      </c>
      <c r="J45" s="661" t="s">
        <v>13395</v>
      </c>
      <c r="K45" s="123" t="s">
        <v>2531</v>
      </c>
      <c r="L45" s="126" t="s">
        <v>13412</v>
      </c>
      <c r="M45" s="123"/>
      <c r="N45" s="123"/>
      <c r="O45" s="659"/>
      <c r="P45" s="411"/>
      <c r="Q45" s="411"/>
      <c r="R45" s="411"/>
      <c r="S45" s="411"/>
      <c r="T45" s="411"/>
      <c r="U45" s="411"/>
      <c r="V45" s="411"/>
      <c r="W45" s="411"/>
      <c r="X45" s="411"/>
      <c r="Y45" s="411"/>
      <c r="Z45" s="411"/>
      <c r="AA45" s="411"/>
    </row>
    <row r="46" ht="33.75" customHeight="1">
      <c r="A46" s="69">
        <v>31076.0</v>
      </c>
      <c r="B46" s="45" t="s">
        <v>13332</v>
      </c>
      <c r="C46" s="42">
        <v>160.0</v>
      </c>
      <c r="D46" s="123" t="s">
        <v>13413</v>
      </c>
      <c r="E46" s="126" t="s">
        <v>12622</v>
      </c>
      <c r="F46" s="465">
        <v>43049.0</v>
      </c>
      <c r="G46" s="658">
        <v>43053.0</v>
      </c>
      <c r="H46" s="69" t="s">
        <v>1747</v>
      </c>
      <c r="I46" s="672" t="s">
        <v>13414</v>
      </c>
      <c r="J46" s="661" t="s">
        <v>13395</v>
      </c>
      <c r="K46" s="123" t="s">
        <v>2531</v>
      </c>
      <c r="L46" s="126" t="s">
        <v>13415</v>
      </c>
      <c r="M46" s="123"/>
      <c r="N46" s="123"/>
      <c r="O46" s="659"/>
      <c r="P46" s="411"/>
      <c r="Q46" s="411"/>
      <c r="R46" s="411"/>
      <c r="S46" s="411"/>
      <c r="T46" s="411"/>
      <c r="U46" s="411"/>
      <c r="V46" s="411"/>
      <c r="W46" s="411"/>
      <c r="X46" s="411"/>
      <c r="Y46" s="411"/>
      <c r="Z46" s="411"/>
      <c r="AA46" s="411"/>
    </row>
    <row r="47" ht="33.75" customHeight="1">
      <c r="A47" s="69" t="s">
        <v>13416</v>
      </c>
      <c r="B47" s="45" t="s">
        <v>21</v>
      </c>
      <c r="C47" s="42">
        <v>79.0</v>
      </c>
      <c r="D47" s="128" t="s">
        <v>13417</v>
      </c>
      <c r="E47" s="126" t="s">
        <v>13418</v>
      </c>
      <c r="F47" s="465">
        <v>43049.0</v>
      </c>
      <c r="G47" s="148" t="s">
        <v>210</v>
      </c>
      <c r="H47" s="69" t="s">
        <v>1747</v>
      </c>
      <c r="I47" s="663">
        <v>43055.0</v>
      </c>
      <c r="J47" s="123" t="s">
        <v>2535</v>
      </c>
      <c r="K47" s="123" t="s">
        <v>2535</v>
      </c>
      <c r="L47" s="126" t="s">
        <v>13419</v>
      </c>
      <c r="M47" s="123" t="s">
        <v>497</v>
      </c>
      <c r="N47" s="123" t="s">
        <v>1048</v>
      </c>
      <c r="O47" s="659">
        <v>14935.32</v>
      </c>
      <c r="P47" s="411"/>
      <c r="Q47" s="411"/>
      <c r="R47" s="411"/>
      <c r="S47" s="411"/>
      <c r="T47" s="411"/>
      <c r="U47" s="411"/>
      <c r="V47" s="411"/>
      <c r="W47" s="411"/>
      <c r="X47" s="411"/>
      <c r="Y47" s="411"/>
      <c r="Z47" s="411"/>
      <c r="AA47" s="411"/>
    </row>
    <row r="48" ht="33.75" customHeight="1">
      <c r="A48" s="69">
        <v>31387.0</v>
      </c>
      <c r="B48" s="45" t="s">
        <v>25</v>
      </c>
      <c r="C48" s="42">
        <v>2040.0</v>
      </c>
      <c r="D48" s="123" t="s">
        <v>13420</v>
      </c>
      <c r="E48" s="126" t="s">
        <v>8688</v>
      </c>
      <c r="F48" s="465">
        <v>43046.0</v>
      </c>
      <c r="G48" s="658">
        <v>43042.0</v>
      </c>
      <c r="H48" s="69" t="s">
        <v>1747</v>
      </c>
      <c r="I48" s="663">
        <v>42322.0</v>
      </c>
      <c r="J48" s="123" t="s">
        <v>2535</v>
      </c>
      <c r="K48" s="123" t="s">
        <v>2535</v>
      </c>
      <c r="L48" s="126" t="s">
        <v>13421</v>
      </c>
      <c r="M48" s="123" t="s">
        <v>497</v>
      </c>
      <c r="N48" s="42" t="s">
        <v>2554</v>
      </c>
      <c r="O48" s="659">
        <v>31494.4</v>
      </c>
      <c r="P48" s="411"/>
      <c r="Q48" s="411"/>
      <c r="R48" s="411"/>
      <c r="S48" s="411"/>
      <c r="T48" s="411"/>
      <c r="U48" s="411"/>
      <c r="V48" s="411"/>
      <c r="W48" s="411"/>
      <c r="X48" s="411"/>
      <c r="Y48" s="411"/>
      <c r="Z48" s="411"/>
      <c r="AA48" s="411"/>
    </row>
    <row r="49" ht="33.75" customHeight="1">
      <c r="A49" s="69">
        <v>31385.0</v>
      </c>
      <c r="B49" s="45" t="s">
        <v>25</v>
      </c>
      <c r="C49" s="42">
        <v>2040.0</v>
      </c>
      <c r="D49" s="123" t="s">
        <v>13422</v>
      </c>
      <c r="E49" s="126" t="s">
        <v>13367</v>
      </c>
      <c r="F49" s="465">
        <v>43046.0</v>
      </c>
      <c r="G49" s="658">
        <v>43042.0</v>
      </c>
      <c r="H49" s="69" t="s">
        <v>1747</v>
      </c>
      <c r="I49" s="663">
        <v>43054.0</v>
      </c>
      <c r="J49" s="123" t="s">
        <v>2535</v>
      </c>
      <c r="K49" s="123" t="s">
        <v>2535</v>
      </c>
      <c r="L49" s="126" t="s">
        <v>13423</v>
      </c>
      <c r="M49" s="123" t="s">
        <v>497</v>
      </c>
      <c r="N49" s="42" t="s">
        <v>2554</v>
      </c>
      <c r="O49" s="659">
        <v>31494.4</v>
      </c>
      <c r="P49" s="411"/>
      <c r="Q49" s="411"/>
      <c r="R49" s="411"/>
      <c r="S49" s="411"/>
      <c r="T49" s="411"/>
      <c r="U49" s="411"/>
      <c r="V49" s="411"/>
      <c r="W49" s="411"/>
      <c r="X49" s="411"/>
      <c r="Y49" s="411"/>
      <c r="Z49" s="411"/>
      <c r="AA49" s="411"/>
    </row>
    <row r="50" ht="33.75" customHeight="1">
      <c r="A50" s="69">
        <v>31386.0</v>
      </c>
      <c r="B50" s="45" t="s">
        <v>14</v>
      </c>
      <c r="C50" s="45">
        <v>2040.0</v>
      </c>
      <c r="D50" s="128" t="s">
        <v>13424</v>
      </c>
      <c r="E50" s="126" t="s">
        <v>8688</v>
      </c>
      <c r="F50" s="465">
        <v>43044.0</v>
      </c>
      <c r="G50" s="658">
        <v>43040.0</v>
      </c>
      <c r="H50" s="69" t="s">
        <v>1747</v>
      </c>
      <c r="I50" s="663">
        <v>43052.0</v>
      </c>
      <c r="J50" s="123" t="s">
        <v>2535</v>
      </c>
      <c r="K50" s="123" t="s">
        <v>2535</v>
      </c>
      <c r="L50" s="126" t="s">
        <v>13425</v>
      </c>
      <c r="M50" s="123" t="s">
        <v>497</v>
      </c>
      <c r="N50" s="42" t="s">
        <v>2554</v>
      </c>
      <c r="O50" s="659">
        <v>30824.4</v>
      </c>
      <c r="P50" s="411"/>
      <c r="Q50" s="411"/>
      <c r="R50" s="411"/>
      <c r="S50" s="411"/>
      <c r="T50" s="411"/>
      <c r="U50" s="411"/>
      <c r="V50" s="411"/>
      <c r="W50" s="411"/>
      <c r="X50" s="411"/>
      <c r="Y50" s="411"/>
      <c r="Z50" s="411"/>
      <c r="AA50" s="411"/>
    </row>
    <row r="51" ht="33.75" customHeight="1">
      <c r="A51" s="69">
        <v>31384.0</v>
      </c>
      <c r="B51" s="45" t="s">
        <v>14</v>
      </c>
      <c r="C51" s="42">
        <v>2040.0</v>
      </c>
      <c r="D51" s="123" t="s">
        <v>13426</v>
      </c>
      <c r="E51" s="126" t="s">
        <v>13367</v>
      </c>
      <c r="F51" s="465">
        <v>43044.0</v>
      </c>
      <c r="G51" s="658">
        <v>43040.0</v>
      </c>
      <c r="H51" s="69" t="s">
        <v>1747</v>
      </c>
      <c r="I51" s="663">
        <v>43048.0</v>
      </c>
      <c r="J51" s="123" t="s">
        <v>2535</v>
      </c>
      <c r="K51" s="123" t="s">
        <v>2535</v>
      </c>
      <c r="L51" s="126" t="s">
        <v>13427</v>
      </c>
      <c r="M51" s="123" t="s">
        <v>497</v>
      </c>
      <c r="N51" s="42" t="s">
        <v>2554</v>
      </c>
      <c r="O51" s="659">
        <v>31371.2</v>
      </c>
      <c r="P51" s="411"/>
      <c r="Q51" s="411"/>
      <c r="R51" s="411"/>
      <c r="S51" s="411"/>
      <c r="T51" s="411"/>
      <c r="U51" s="411"/>
      <c r="V51" s="411"/>
      <c r="W51" s="411"/>
      <c r="X51" s="411"/>
      <c r="Y51" s="411"/>
      <c r="Z51" s="411"/>
      <c r="AA51" s="411"/>
    </row>
    <row r="52" ht="33.75" customHeight="1">
      <c r="A52" s="69">
        <v>31533.0</v>
      </c>
      <c r="B52" s="45" t="s">
        <v>21</v>
      </c>
      <c r="C52" s="42">
        <v>900.0</v>
      </c>
      <c r="D52" s="123" t="s">
        <v>1996</v>
      </c>
      <c r="E52" s="126" t="s">
        <v>4271</v>
      </c>
      <c r="F52" s="465">
        <v>43043.0</v>
      </c>
      <c r="G52" s="658">
        <v>43040.0</v>
      </c>
      <c r="H52" s="69" t="s">
        <v>1747</v>
      </c>
      <c r="I52" s="663">
        <v>43048.0</v>
      </c>
      <c r="J52" s="661" t="s">
        <v>13395</v>
      </c>
      <c r="K52" s="123" t="s">
        <v>2531</v>
      </c>
      <c r="L52" s="126" t="s">
        <v>13428</v>
      </c>
      <c r="M52" s="123"/>
      <c r="N52" s="123"/>
      <c r="O52" s="659"/>
      <c r="P52" s="411"/>
      <c r="Q52" s="411"/>
      <c r="R52" s="411"/>
      <c r="S52" s="411"/>
      <c r="T52" s="411"/>
      <c r="U52" s="411"/>
      <c r="V52" s="411"/>
      <c r="W52" s="411"/>
      <c r="X52" s="411"/>
      <c r="Y52" s="411"/>
      <c r="Z52" s="411"/>
      <c r="AA52" s="411"/>
    </row>
    <row r="53" ht="33.75" customHeight="1">
      <c r="A53" s="69">
        <v>31233.0</v>
      </c>
      <c r="B53" s="45" t="s">
        <v>21</v>
      </c>
      <c r="C53" s="42">
        <v>1731.0</v>
      </c>
      <c r="D53" s="123" t="s">
        <v>1997</v>
      </c>
      <c r="E53" s="126" t="s">
        <v>556</v>
      </c>
      <c r="F53" s="465">
        <v>43043.0</v>
      </c>
      <c r="G53" s="658">
        <v>43040.0</v>
      </c>
      <c r="H53" s="69" t="s">
        <v>1747</v>
      </c>
      <c r="I53" s="663">
        <v>43046.0</v>
      </c>
      <c r="J53" s="123" t="s">
        <v>2535</v>
      </c>
      <c r="K53" s="123" t="s">
        <v>2535</v>
      </c>
      <c r="L53" s="126" t="s">
        <v>13429</v>
      </c>
      <c r="M53" s="123"/>
      <c r="N53" s="123"/>
      <c r="O53" s="659"/>
      <c r="P53" s="411"/>
      <c r="Q53" s="411"/>
      <c r="R53" s="411"/>
      <c r="S53" s="411"/>
      <c r="T53" s="411"/>
      <c r="U53" s="411"/>
      <c r="V53" s="411"/>
      <c r="W53" s="411"/>
      <c r="X53" s="411"/>
      <c r="Y53" s="411"/>
      <c r="Z53" s="411"/>
      <c r="AA53" s="411"/>
    </row>
    <row r="54" ht="33.75" customHeight="1">
      <c r="A54" s="69">
        <v>31235.0</v>
      </c>
      <c r="B54" s="45" t="s">
        <v>25</v>
      </c>
      <c r="C54" s="42">
        <v>1673.0</v>
      </c>
      <c r="D54" s="128" t="s">
        <v>13430</v>
      </c>
      <c r="E54" s="126" t="s">
        <v>556</v>
      </c>
      <c r="F54" s="465">
        <v>43041.0</v>
      </c>
      <c r="G54" s="658">
        <v>43045.0</v>
      </c>
      <c r="H54" s="69" t="s">
        <v>1747</v>
      </c>
      <c r="I54" s="663">
        <v>43045.0</v>
      </c>
      <c r="J54" s="123" t="s">
        <v>2535</v>
      </c>
      <c r="K54" s="123" t="s">
        <v>2535</v>
      </c>
      <c r="L54" s="126" t="s">
        <v>13431</v>
      </c>
      <c r="M54" s="123"/>
      <c r="N54" s="123"/>
      <c r="O54" s="659"/>
      <c r="P54" s="411"/>
      <c r="Q54" s="411"/>
      <c r="R54" s="411"/>
      <c r="S54" s="411"/>
      <c r="T54" s="411"/>
      <c r="U54" s="411"/>
      <c r="V54" s="411"/>
      <c r="W54" s="411"/>
      <c r="X54" s="411"/>
      <c r="Y54" s="411"/>
      <c r="Z54" s="411"/>
      <c r="AA54" s="411"/>
    </row>
    <row r="55" ht="33.75" customHeight="1">
      <c r="A55" s="69">
        <v>31383.0</v>
      </c>
      <c r="B55" s="45" t="s">
        <v>21</v>
      </c>
      <c r="C55" s="42">
        <v>2040.0</v>
      </c>
      <c r="D55" s="123" t="s">
        <v>1998</v>
      </c>
      <c r="E55" s="126" t="s">
        <v>8688</v>
      </c>
      <c r="F55" s="465">
        <v>43040.0</v>
      </c>
      <c r="G55" s="658">
        <v>43041.0</v>
      </c>
      <c r="H55" s="69" t="s">
        <v>1747</v>
      </c>
      <c r="I55" s="676">
        <v>43054.0</v>
      </c>
      <c r="J55" s="661" t="s">
        <v>13395</v>
      </c>
      <c r="K55" s="123" t="s">
        <v>3197</v>
      </c>
      <c r="L55" s="126" t="s">
        <v>13432</v>
      </c>
      <c r="M55" s="123" t="s">
        <v>497</v>
      </c>
      <c r="N55" s="42" t="s">
        <v>2554</v>
      </c>
      <c r="O55" s="659">
        <v>30824.4</v>
      </c>
      <c r="P55" s="411"/>
      <c r="Q55" s="411"/>
      <c r="R55" s="411"/>
      <c r="S55" s="411"/>
      <c r="T55" s="411"/>
      <c r="U55" s="411"/>
      <c r="V55" s="411"/>
      <c r="W55" s="411"/>
      <c r="X55" s="411"/>
      <c r="Y55" s="411"/>
      <c r="Z55" s="411"/>
      <c r="AA55" s="411"/>
    </row>
    <row r="56" ht="33.75" customHeight="1">
      <c r="A56" s="69">
        <v>31234.0</v>
      </c>
      <c r="B56" s="45" t="s">
        <v>14</v>
      </c>
      <c r="C56" s="42">
        <v>1552.0</v>
      </c>
      <c r="D56" s="128" t="s">
        <v>13433</v>
      </c>
      <c r="E56" s="126" t="s">
        <v>556</v>
      </c>
      <c r="F56" s="465">
        <v>43038.0</v>
      </c>
      <c r="G56" s="658">
        <v>43038.0</v>
      </c>
      <c r="H56" s="69" t="s">
        <v>1747</v>
      </c>
      <c r="I56" s="667">
        <v>43040.0</v>
      </c>
      <c r="J56" s="123" t="s">
        <v>2535</v>
      </c>
      <c r="K56" s="123" t="s">
        <v>2535</v>
      </c>
      <c r="L56" s="126" t="s">
        <v>13434</v>
      </c>
      <c r="M56" s="123"/>
      <c r="N56" s="123"/>
      <c r="O56" s="659"/>
      <c r="P56" s="411"/>
      <c r="Q56" s="411"/>
      <c r="R56" s="411"/>
      <c r="S56" s="411"/>
      <c r="T56" s="411"/>
      <c r="U56" s="411"/>
      <c r="V56" s="411"/>
      <c r="W56" s="411"/>
      <c r="X56" s="411"/>
      <c r="Y56" s="411"/>
      <c r="Z56" s="411"/>
      <c r="AA56" s="411"/>
    </row>
    <row r="57" ht="33.75" customHeight="1">
      <c r="A57" s="69">
        <v>31472.0</v>
      </c>
      <c r="B57" s="45" t="s">
        <v>21</v>
      </c>
      <c r="C57" s="42">
        <v>1728.0</v>
      </c>
      <c r="D57" s="123" t="s">
        <v>1995</v>
      </c>
      <c r="E57" s="126" t="s">
        <v>13345</v>
      </c>
      <c r="F57" s="465">
        <v>43036.0</v>
      </c>
      <c r="G57" s="658">
        <v>43033.0</v>
      </c>
      <c r="H57" s="69" t="s">
        <v>1747</v>
      </c>
      <c r="I57" s="672" t="s">
        <v>13435</v>
      </c>
      <c r="J57" s="661" t="s">
        <v>13436</v>
      </c>
      <c r="K57" s="123" t="s">
        <v>2531</v>
      </c>
      <c r="L57" s="126" t="s">
        <v>13437</v>
      </c>
      <c r="M57" s="123"/>
      <c r="N57" s="123"/>
      <c r="O57" s="659"/>
      <c r="P57" s="411"/>
      <c r="Q57" s="411"/>
      <c r="R57" s="411"/>
      <c r="S57" s="411"/>
      <c r="T57" s="411"/>
      <c r="U57" s="411"/>
      <c r="V57" s="411"/>
      <c r="W57" s="411"/>
      <c r="X57" s="411"/>
      <c r="Y57" s="411"/>
      <c r="Z57" s="411"/>
      <c r="AA57" s="411"/>
    </row>
    <row r="58" ht="33.75" customHeight="1">
      <c r="A58" s="69">
        <v>31276.0</v>
      </c>
      <c r="B58" s="45" t="s">
        <v>14</v>
      </c>
      <c r="C58" s="42">
        <v>805.0</v>
      </c>
      <c r="D58" s="123" t="s">
        <v>13438</v>
      </c>
      <c r="E58" s="126" t="s">
        <v>12512</v>
      </c>
      <c r="F58" s="465">
        <v>43033.0</v>
      </c>
      <c r="G58" s="658">
        <v>43031.0</v>
      </c>
      <c r="H58" s="69" t="s">
        <v>1747</v>
      </c>
      <c r="I58" s="663">
        <v>43039.0</v>
      </c>
      <c r="J58" s="123" t="s">
        <v>2535</v>
      </c>
      <c r="K58" s="123" t="s">
        <v>2535</v>
      </c>
      <c r="L58" s="126" t="s">
        <v>13439</v>
      </c>
      <c r="M58" s="123" t="s">
        <v>497</v>
      </c>
      <c r="N58" s="123" t="s">
        <v>1077</v>
      </c>
      <c r="O58" s="659">
        <v>39329.25</v>
      </c>
      <c r="P58" s="411"/>
      <c r="Q58" s="411"/>
      <c r="R58" s="411"/>
      <c r="S58" s="411"/>
      <c r="T58" s="411"/>
      <c r="U58" s="411"/>
      <c r="V58" s="411"/>
      <c r="W58" s="411"/>
      <c r="X58" s="411"/>
      <c r="Y58" s="411"/>
      <c r="Z58" s="411"/>
      <c r="AA58" s="411"/>
    </row>
    <row r="59" ht="33.75" customHeight="1">
      <c r="A59" s="69">
        <v>31419.0</v>
      </c>
      <c r="B59" s="45" t="s">
        <v>21</v>
      </c>
      <c r="C59" s="42">
        <v>1530.0</v>
      </c>
      <c r="D59" s="128" t="s">
        <v>1994</v>
      </c>
      <c r="E59" s="126" t="s">
        <v>13440</v>
      </c>
      <c r="F59" s="465">
        <v>43033.0</v>
      </c>
      <c r="G59" s="658">
        <v>43031.0</v>
      </c>
      <c r="H59" s="69" t="s">
        <v>1747</v>
      </c>
      <c r="I59" s="667">
        <v>43041.0</v>
      </c>
      <c r="J59" s="661" t="s">
        <v>13436</v>
      </c>
      <c r="K59" s="123" t="s">
        <v>2531</v>
      </c>
      <c r="L59" s="126" t="s">
        <v>13441</v>
      </c>
      <c r="M59" s="42"/>
      <c r="N59" s="42"/>
      <c r="O59" s="659"/>
      <c r="P59" s="411"/>
      <c r="Q59" s="411"/>
      <c r="R59" s="411"/>
      <c r="S59" s="411"/>
      <c r="T59" s="411"/>
      <c r="U59" s="411"/>
      <c r="V59" s="411"/>
      <c r="W59" s="411"/>
      <c r="X59" s="411"/>
      <c r="Y59" s="411"/>
      <c r="Z59" s="411"/>
      <c r="AA59" s="411"/>
    </row>
    <row r="60" ht="33.75" customHeight="1">
      <c r="A60" s="69">
        <v>31534.0</v>
      </c>
      <c r="B60" s="45" t="s">
        <v>21</v>
      </c>
      <c r="C60" s="42">
        <v>2505.0</v>
      </c>
      <c r="D60" s="123" t="s">
        <v>1993</v>
      </c>
      <c r="E60" s="126" t="s">
        <v>12789</v>
      </c>
      <c r="F60" s="465">
        <v>43032.0</v>
      </c>
      <c r="G60" s="658">
        <v>43028.0</v>
      </c>
      <c r="H60" s="69" t="s">
        <v>1747</v>
      </c>
      <c r="I60" s="663">
        <v>43040.0</v>
      </c>
      <c r="J60" s="661" t="s">
        <v>13395</v>
      </c>
      <c r="K60" s="123" t="s">
        <v>2531</v>
      </c>
      <c r="L60" s="126" t="s">
        <v>13442</v>
      </c>
      <c r="M60" s="42" t="s">
        <v>497</v>
      </c>
      <c r="N60" s="42" t="s">
        <v>3868</v>
      </c>
      <c r="O60" s="659">
        <v>10104.0</v>
      </c>
      <c r="P60" s="411"/>
      <c r="Q60" s="411"/>
      <c r="R60" s="411"/>
      <c r="S60" s="411"/>
      <c r="T60" s="411"/>
      <c r="U60" s="411"/>
      <c r="V60" s="411"/>
      <c r="W60" s="411"/>
      <c r="X60" s="411"/>
      <c r="Y60" s="411"/>
      <c r="Z60" s="411"/>
      <c r="AA60" s="411"/>
    </row>
    <row r="61" ht="33.75" customHeight="1">
      <c r="A61" s="123">
        <v>31738.0</v>
      </c>
      <c r="B61" s="45" t="s">
        <v>13332</v>
      </c>
      <c r="C61" s="42">
        <v>42.0</v>
      </c>
      <c r="D61" s="123" t="s">
        <v>13443</v>
      </c>
      <c r="E61" s="126" t="s">
        <v>13444</v>
      </c>
      <c r="F61" s="465">
        <v>43030.0</v>
      </c>
      <c r="G61" s="148" t="s">
        <v>210</v>
      </c>
      <c r="H61" s="69" t="s">
        <v>1747</v>
      </c>
      <c r="I61" s="663">
        <v>43047.0</v>
      </c>
      <c r="J61" s="661" t="s">
        <v>13445</v>
      </c>
      <c r="K61" s="123" t="s">
        <v>3197</v>
      </c>
      <c r="L61" s="126" t="s">
        <v>13446</v>
      </c>
      <c r="M61" s="123"/>
      <c r="N61" s="123"/>
      <c r="O61" s="659"/>
      <c r="P61" s="411"/>
      <c r="Q61" s="411"/>
      <c r="R61" s="411"/>
      <c r="S61" s="411"/>
      <c r="T61" s="411"/>
      <c r="U61" s="411"/>
      <c r="V61" s="411"/>
      <c r="W61" s="411"/>
      <c r="X61" s="411"/>
      <c r="Y61" s="411"/>
      <c r="Z61" s="411"/>
      <c r="AA61" s="411"/>
    </row>
    <row r="62" ht="33.75" customHeight="1">
      <c r="A62" s="128">
        <v>31691.0</v>
      </c>
      <c r="B62" s="677" t="s">
        <v>21</v>
      </c>
      <c r="C62" s="42">
        <v>1100.0</v>
      </c>
      <c r="D62" s="128" t="s">
        <v>13447</v>
      </c>
      <c r="E62" s="126" t="s">
        <v>13404</v>
      </c>
      <c r="F62" s="465">
        <v>43030.0</v>
      </c>
      <c r="G62" s="658">
        <v>43031.0</v>
      </c>
      <c r="H62" s="69" t="s">
        <v>1747</v>
      </c>
      <c r="I62" s="663">
        <v>43035.0</v>
      </c>
      <c r="J62" s="661" t="s">
        <v>13448</v>
      </c>
      <c r="K62" s="123" t="s">
        <v>3197</v>
      </c>
      <c r="L62" s="126" t="s">
        <v>13449</v>
      </c>
      <c r="M62" s="123"/>
      <c r="N62" s="123"/>
      <c r="O62" s="659"/>
      <c r="P62" s="411"/>
      <c r="Q62" s="411"/>
      <c r="R62" s="411"/>
      <c r="S62" s="411"/>
      <c r="T62" s="411"/>
      <c r="U62" s="411"/>
      <c r="V62" s="411"/>
      <c r="W62" s="411"/>
      <c r="X62" s="411"/>
      <c r="Y62" s="411"/>
      <c r="Z62" s="411"/>
      <c r="AA62" s="411"/>
    </row>
    <row r="63" ht="33.75" customHeight="1">
      <c r="A63" s="123" t="s">
        <v>13450</v>
      </c>
      <c r="B63" s="45" t="s">
        <v>21</v>
      </c>
      <c r="C63" s="42">
        <v>139.0</v>
      </c>
      <c r="D63" s="123" t="s">
        <v>13451</v>
      </c>
      <c r="E63" s="126" t="s">
        <v>13452</v>
      </c>
      <c r="F63" s="465">
        <v>43028.0</v>
      </c>
      <c r="G63" s="148" t="s">
        <v>210</v>
      </c>
      <c r="H63" s="69" t="s">
        <v>1747</v>
      </c>
      <c r="I63" s="667">
        <v>43039.0</v>
      </c>
      <c r="J63" s="123" t="s">
        <v>2535</v>
      </c>
      <c r="K63" s="123" t="s">
        <v>2535</v>
      </c>
      <c r="L63" s="126" t="s">
        <v>13453</v>
      </c>
      <c r="M63" s="123" t="s">
        <v>497</v>
      </c>
      <c r="N63" s="123" t="s">
        <v>1048</v>
      </c>
      <c r="O63" s="659">
        <v>12101.03</v>
      </c>
      <c r="P63" s="411"/>
      <c r="Q63" s="411"/>
      <c r="R63" s="411"/>
      <c r="S63" s="411"/>
      <c r="T63" s="411"/>
      <c r="U63" s="411"/>
      <c r="V63" s="411"/>
      <c r="W63" s="411"/>
      <c r="X63" s="411"/>
      <c r="Y63" s="411"/>
      <c r="Z63" s="411"/>
      <c r="AA63" s="411"/>
    </row>
    <row r="64" ht="33.75" customHeight="1">
      <c r="A64" s="678">
        <v>31546.0</v>
      </c>
      <c r="B64" s="45" t="s">
        <v>25</v>
      </c>
      <c r="C64" s="42">
        <v>1689.0</v>
      </c>
      <c r="D64" s="123" t="s">
        <v>13454</v>
      </c>
      <c r="E64" s="126" t="s">
        <v>13345</v>
      </c>
      <c r="F64" s="465">
        <v>43027.0</v>
      </c>
      <c r="G64" s="658">
        <v>43024.0</v>
      </c>
      <c r="H64" s="69" t="s">
        <v>1747</v>
      </c>
      <c r="I64" s="672" t="s">
        <v>13455</v>
      </c>
      <c r="J64" s="123" t="s">
        <v>2535</v>
      </c>
      <c r="K64" s="123" t="s">
        <v>2535</v>
      </c>
      <c r="L64" s="126" t="s">
        <v>13456</v>
      </c>
      <c r="M64" s="123"/>
      <c r="N64" s="123"/>
      <c r="O64" s="659"/>
      <c r="P64" s="411"/>
      <c r="Q64" s="411"/>
      <c r="R64" s="411"/>
      <c r="S64" s="411"/>
      <c r="T64" s="411"/>
      <c r="U64" s="411"/>
      <c r="V64" s="411"/>
      <c r="W64" s="411"/>
      <c r="X64" s="411"/>
      <c r="Y64" s="411"/>
      <c r="Z64" s="411"/>
      <c r="AA64" s="411"/>
    </row>
    <row r="65" ht="33.75" customHeight="1">
      <c r="A65" s="69">
        <v>31690.0</v>
      </c>
      <c r="B65" s="677" t="s">
        <v>25</v>
      </c>
      <c r="C65" s="42">
        <v>1100.0</v>
      </c>
      <c r="D65" s="128" t="s">
        <v>13457</v>
      </c>
      <c r="E65" s="126" t="s">
        <v>13404</v>
      </c>
      <c r="F65" s="465">
        <v>43026.0</v>
      </c>
      <c r="G65" s="658">
        <v>43038.0</v>
      </c>
      <c r="H65" s="69" t="s">
        <v>1747</v>
      </c>
      <c r="I65" s="671" t="s">
        <v>13458</v>
      </c>
      <c r="J65" s="123" t="s">
        <v>2535</v>
      </c>
      <c r="K65" s="123" t="s">
        <v>2535</v>
      </c>
      <c r="L65" s="126" t="s">
        <v>13459</v>
      </c>
      <c r="M65" s="123"/>
      <c r="N65" s="123"/>
      <c r="O65" s="659"/>
      <c r="P65" s="411"/>
      <c r="Q65" s="411"/>
      <c r="R65" s="411"/>
      <c r="S65" s="411"/>
      <c r="T65" s="411"/>
      <c r="U65" s="411"/>
      <c r="V65" s="411"/>
      <c r="W65" s="411"/>
      <c r="X65" s="411"/>
      <c r="Y65" s="411"/>
      <c r="Z65" s="411"/>
      <c r="AA65" s="411"/>
    </row>
    <row r="66" ht="33.75" customHeight="1">
      <c r="A66" s="69">
        <v>31654.0</v>
      </c>
      <c r="B66" s="45" t="s">
        <v>21</v>
      </c>
      <c r="C66" s="42">
        <v>1300.0</v>
      </c>
      <c r="D66" s="123" t="s">
        <v>1991</v>
      </c>
      <c r="E66" s="126" t="s">
        <v>13460</v>
      </c>
      <c r="F66" s="465">
        <v>43024.0</v>
      </c>
      <c r="G66" s="658">
        <v>43021.0</v>
      </c>
      <c r="H66" s="69" t="s">
        <v>1747</v>
      </c>
      <c r="I66" s="663">
        <v>43038.0</v>
      </c>
      <c r="J66" s="661" t="s">
        <v>13448</v>
      </c>
      <c r="K66" s="123" t="s">
        <v>3197</v>
      </c>
      <c r="L66" s="126" t="s">
        <v>13461</v>
      </c>
      <c r="M66" s="123"/>
      <c r="N66" s="123"/>
      <c r="O66" s="659"/>
      <c r="P66" s="411"/>
      <c r="Q66" s="411"/>
      <c r="R66" s="411"/>
      <c r="S66" s="411"/>
      <c r="T66" s="411"/>
      <c r="U66" s="411"/>
      <c r="V66" s="411"/>
      <c r="W66" s="411"/>
      <c r="X66" s="411"/>
      <c r="Y66" s="411"/>
      <c r="Z66" s="411"/>
      <c r="AA66" s="411"/>
    </row>
    <row r="67" ht="33.75" customHeight="1">
      <c r="A67" s="69">
        <v>31653.0</v>
      </c>
      <c r="B67" s="45" t="s">
        <v>21</v>
      </c>
      <c r="C67" s="42">
        <v>1182.0</v>
      </c>
      <c r="D67" s="123" t="s">
        <v>1992</v>
      </c>
      <c r="E67" s="126" t="s">
        <v>8430</v>
      </c>
      <c r="F67" s="465">
        <v>43024.0</v>
      </c>
      <c r="G67" s="658">
        <v>43020.0</v>
      </c>
      <c r="H67" s="69" t="s">
        <v>1747</v>
      </c>
      <c r="I67" s="663">
        <v>43038.0</v>
      </c>
      <c r="J67" s="661" t="s">
        <v>13448</v>
      </c>
      <c r="K67" s="123" t="s">
        <v>3197</v>
      </c>
      <c r="L67" s="126" t="s">
        <v>13462</v>
      </c>
      <c r="M67" s="123"/>
      <c r="N67" s="42"/>
      <c r="O67" s="659"/>
      <c r="P67" s="411"/>
      <c r="Q67" s="411"/>
      <c r="R67" s="411"/>
      <c r="S67" s="411"/>
      <c r="T67" s="411"/>
      <c r="U67" s="411"/>
      <c r="V67" s="411"/>
      <c r="W67" s="411"/>
      <c r="X67" s="411"/>
      <c r="Y67" s="411"/>
      <c r="Z67" s="411"/>
      <c r="AA67" s="411"/>
    </row>
    <row r="68" ht="33.75" customHeight="1">
      <c r="A68" s="69">
        <v>31640.0</v>
      </c>
      <c r="B68" s="45" t="s">
        <v>14</v>
      </c>
      <c r="C68" s="42">
        <v>205.0</v>
      </c>
      <c r="D68" s="128" t="s">
        <v>13463</v>
      </c>
      <c r="E68" s="126" t="s">
        <v>8449</v>
      </c>
      <c r="F68" s="465">
        <v>43023.0</v>
      </c>
      <c r="G68" s="658">
        <v>43024.0</v>
      </c>
      <c r="H68" s="69" t="s">
        <v>1747</v>
      </c>
      <c r="I68" s="663">
        <v>43032.0</v>
      </c>
      <c r="J68" s="123" t="s">
        <v>2535</v>
      </c>
      <c r="K68" s="123" t="s">
        <v>2535</v>
      </c>
      <c r="L68" s="126" t="s">
        <v>13464</v>
      </c>
      <c r="M68" s="123"/>
      <c r="N68" s="42"/>
      <c r="O68" s="659"/>
      <c r="P68" s="411"/>
      <c r="Q68" s="411"/>
      <c r="R68" s="411"/>
      <c r="S68" s="411"/>
      <c r="T68" s="411"/>
      <c r="U68" s="411"/>
      <c r="V68" s="411"/>
      <c r="W68" s="411"/>
      <c r="X68" s="411"/>
      <c r="Y68" s="411"/>
      <c r="Z68" s="411"/>
      <c r="AA68" s="411"/>
    </row>
    <row r="69" ht="33.75" customHeight="1">
      <c r="A69" s="69">
        <v>31415.0</v>
      </c>
      <c r="B69" s="45" t="s">
        <v>14</v>
      </c>
      <c r="C69" s="42">
        <v>1815.0</v>
      </c>
      <c r="D69" s="123" t="s">
        <v>13465</v>
      </c>
      <c r="E69" s="126" t="s">
        <v>675</v>
      </c>
      <c r="F69" s="465">
        <v>43019.0</v>
      </c>
      <c r="G69" s="148" t="s">
        <v>210</v>
      </c>
      <c r="H69" s="69" t="s">
        <v>1747</v>
      </c>
      <c r="I69" s="663">
        <v>43027.0</v>
      </c>
      <c r="J69" s="123" t="s">
        <v>2535</v>
      </c>
      <c r="K69" s="123" t="s">
        <v>2535</v>
      </c>
      <c r="L69" s="126" t="s">
        <v>13466</v>
      </c>
      <c r="M69" s="123"/>
      <c r="N69" s="42"/>
      <c r="O69" s="659"/>
      <c r="P69" s="411"/>
      <c r="Q69" s="411"/>
      <c r="R69" s="411"/>
      <c r="S69" s="411"/>
      <c r="T69" s="411"/>
      <c r="U69" s="411"/>
      <c r="V69" s="411"/>
      <c r="W69" s="411"/>
      <c r="X69" s="411"/>
      <c r="Y69" s="411"/>
      <c r="Z69" s="411"/>
      <c r="AA69" s="411"/>
    </row>
    <row r="70" ht="33.75" customHeight="1">
      <c r="A70" s="69">
        <v>31452.0</v>
      </c>
      <c r="B70" s="45" t="s">
        <v>21</v>
      </c>
      <c r="C70" s="42">
        <v>147.0</v>
      </c>
      <c r="D70" s="128" t="s">
        <v>13467</v>
      </c>
      <c r="E70" s="126" t="s">
        <v>13468</v>
      </c>
      <c r="F70" s="465">
        <v>43019.0</v>
      </c>
      <c r="G70" s="658">
        <v>43018.0</v>
      </c>
      <c r="H70" s="69" t="s">
        <v>1747</v>
      </c>
      <c r="I70" s="663">
        <v>43020.0</v>
      </c>
      <c r="J70" s="661" t="s">
        <v>13448</v>
      </c>
      <c r="K70" s="123" t="s">
        <v>2531</v>
      </c>
      <c r="L70" s="129" t="s">
        <v>13469</v>
      </c>
      <c r="M70" s="123"/>
      <c r="N70" s="42"/>
      <c r="O70" s="659"/>
      <c r="P70" s="411"/>
      <c r="Q70" s="411"/>
      <c r="R70" s="411"/>
      <c r="S70" s="411"/>
      <c r="T70" s="411"/>
      <c r="U70" s="411"/>
      <c r="V70" s="411"/>
      <c r="W70" s="411"/>
      <c r="X70" s="411"/>
      <c r="Y70" s="411"/>
      <c r="Z70" s="411"/>
      <c r="AA70" s="411"/>
    </row>
    <row r="71" ht="33.75" customHeight="1">
      <c r="A71" s="69">
        <v>31627.0</v>
      </c>
      <c r="B71" s="45" t="s">
        <v>14</v>
      </c>
      <c r="C71" s="42">
        <v>930.0</v>
      </c>
      <c r="D71" s="123" t="s">
        <v>13470</v>
      </c>
      <c r="E71" s="126" t="s">
        <v>12905</v>
      </c>
      <c r="F71" s="465">
        <v>43018.0</v>
      </c>
      <c r="G71" s="658">
        <v>43056.0</v>
      </c>
      <c r="H71" s="69" t="s">
        <v>1747</v>
      </c>
      <c r="I71" s="663">
        <v>43028.0</v>
      </c>
      <c r="J71" s="123" t="s">
        <v>2535</v>
      </c>
      <c r="K71" s="123" t="s">
        <v>2535</v>
      </c>
      <c r="L71" s="126" t="s">
        <v>13471</v>
      </c>
      <c r="M71" s="123"/>
      <c r="N71" s="42"/>
      <c r="O71" s="659"/>
      <c r="P71" s="411"/>
      <c r="Q71" s="411"/>
      <c r="R71" s="411"/>
      <c r="S71" s="411"/>
      <c r="T71" s="411"/>
      <c r="U71" s="411"/>
      <c r="V71" s="411"/>
      <c r="W71" s="411"/>
      <c r="X71" s="411"/>
      <c r="Y71" s="411"/>
      <c r="Z71" s="411"/>
      <c r="AA71" s="411"/>
    </row>
    <row r="72" ht="33.75" customHeight="1">
      <c r="A72" s="69">
        <v>31357.0</v>
      </c>
      <c r="B72" s="45" t="s">
        <v>14</v>
      </c>
      <c r="C72" s="42">
        <v>2080.0</v>
      </c>
      <c r="D72" s="128" t="s">
        <v>13472</v>
      </c>
      <c r="E72" s="126" t="s">
        <v>13378</v>
      </c>
      <c r="F72" s="465">
        <v>43017.0</v>
      </c>
      <c r="G72" s="658">
        <v>43014.0</v>
      </c>
      <c r="H72" s="69" t="s">
        <v>1747</v>
      </c>
      <c r="I72" s="663">
        <v>43020.0</v>
      </c>
      <c r="J72" s="661" t="s">
        <v>13436</v>
      </c>
      <c r="K72" s="123" t="s">
        <v>2531</v>
      </c>
      <c r="L72" s="126" t="s">
        <v>13473</v>
      </c>
      <c r="M72" s="123"/>
      <c r="N72" s="42"/>
      <c r="O72" s="659"/>
      <c r="P72" s="411"/>
      <c r="Q72" s="411"/>
      <c r="R72" s="411"/>
      <c r="S72" s="411"/>
      <c r="T72" s="411"/>
      <c r="U72" s="411"/>
      <c r="V72" s="411"/>
      <c r="W72" s="411"/>
      <c r="X72" s="411"/>
      <c r="Y72" s="411"/>
      <c r="Z72" s="411"/>
      <c r="AA72" s="411"/>
    </row>
    <row r="73" ht="33.75" customHeight="1">
      <c r="A73" s="69">
        <v>31586.0</v>
      </c>
      <c r="B73" s="45" t="s">
        <v>14</v>
      </c>
      <c r="C73" s="42">
        <v>944.0</v>
      </c>
      <c r="D73" s="123" t="s">
        <v>13474</v>
      </c>
      <c r="E73" s="129" t="s">
        <v>13330</v>
      </c>
      <c r="F73" s="465">
        <v>43012.0</v>
      </c>
      <c r="G73" s="658">
        <v>43011.0</v>
      </c>
      <c r="H73" s="69" t="s">
        <v>1747</v>
      </c>
      <c r="I73" s="663">
        <v>43018.0</v>
      </c>
      <c r="J73" s="123" t="s">
        <v>2535</v>
      </c>
      <c r="K73" s="123" t="s">
        <v>2535</v>
      </c>
      <c r="L73" s="126" t="s">
        <v>13475</v>
      </c>
      <c r="M73" s="123"/>
      <c r="N73" s="42"/>
      <c r="O73" s="659"/>
      <c r="P73" s="411"/>
      <c r="Q73" s="411"/>
      <c r="R73" s="411"/>
      <c r="S73" s="411"/>
      <c r="T73" s="411"/>
      <c r="U73" s="411"/>
      <c r="V73" s="411"/>
      <c r="W73" s="411"/>
      <c r="X73" s="411"/>
      <c r="Y73" s="411"/>
      <c r="Z73" s="411"/>
      <c r="AA73" s="411"/>
    </row>
    <row r="74" ht="33.75" customHeight="1">
      <c r="A74" s="69">
        <v>31471.0</v>
      </c>
      <c r="B74" s="45" t="s">
        <v>25</v>
      </c>
      <c r="C74" s="42">
        <v>2136.0</v>
      </c>
      <c r="D74" s="123" t="s">
        <v>13476</v>
      </c>
      <c r="E74" s="126" t="s">
        <v>13345</v>
      </c>
      <c r="F74" s="465">
        <v>43011.0</v>
      </c>
      <c r="G74" s="658">
        <v>43011.0</v>
      </c>
      <c r="H74" s="69" t="s">
        <v>1747</v>
      </c>
      <c r="I74" s="663">
        <v>43017.0</v>
      </c>
      <c r="J74" s="123" t="s">
        <v>2535</v>
      </c>
      <c r="K74" s="123" t="s">
        <v>2535</v>
      </c>
      <c r="L74" s="126" t="s">
        <v>13477</v>
      </c>
      <c r="M74" s="123"/>
      <c r="N74" s="123"/>
      <c r="O74" s="659"/>
      <c r="P74" s="411"/>
      <c r="Q74" s="411"/>
      <c r="R74" s="411"/>
      <c r="S74" s="411"/>
      <c r="T74" s="411"/>
      <c r="U74" s="411"/>
      <c r="V74" s="411"/>
      <c r="W74" s="411"/>
      <c r="X74" s="411"/>
      <c r="Y74" s="411"/>
      <c r="Z74" s="411"/>
      <c r="AA74" s="411"/>
    </row>
    <row r="75" ht="33.75" customHeight="1">
      <c r="A75" s="69">
        <v>31621.0</v>
      </c>
      <c r="B75" s="45" t="s">
        <v>14</v>
      </c>
      <c r="C75" s="42">
        <v>1300.0</v>
      </c>
      <c r="D75" s="123" t="s">
        <v>13478</v>
      </c>
      <c r="E75" s="126" t="s">
        <v>2852</v>
      </c>
      <c r="F75" s="465">
        <v>43011.0</v>
      </c>
      <c r="G75" s="658">
        <v>43011.0</v>
      </c>
      <c r="H75" s="69" t="s">
        <v>1747</v>
      </c>
      <c r="I75" s="663">
        <v>43019.0</v>
      </c>
      <c r="J75" s="123" t="s">
        <v>2535</v>
      </c>
      <c r="K75" s="123" t="s">
        <v>2535</v>
      </c>
      <c r="L75" s="126" t="s">
        <v>13479</v>
      </c>
      <c r="M75" s="123"/>
      <c r="N75" s="42"/>
      <c r="O75" s="659"/>
      <c r="P75" s="411"/>
      <c r="Q75" s="411"/>
      <c r="R75" s="411"/>
      <c r="S75" s="411"/>
      <c r="T75" s="411"/>
      <c r="U75" s="411"/>
      <c r="V75" s="411"/>
      <c r="W75" s="411"/>
      <c r="X75" s="411"/>
      <c r="Y75" s="411"/>
      <c r="Z75" s="411"/>
      <c r="AA75" s="411"/>
    </row>
    <row r="76" ht="33.75" customHeight="1">
      <c r="A76" s="69">
        <v>31470.0</v>
      </c>
      <c r="B76" s="45" t="s">
        <v>14</v>
      </c>
      <c r="C76" s="42">
        <v>938.0</v>
      </c>
      <c r="D76" s="484" t="s">
        <v>13480</v>
      </c>
      <c r="E76" s="126" t="s">
        <v>13345</v>
      </c>
      <c r="F76" s="465">
        <v>43008.0</v>
      </c>
      <c r="G76" s="148" t="s">
        <v>210</v>
      </c>
      <c r="H76" s="69" t="s">
        <v>1747</v>
      </c>
      <c r="I76" s="663">
        <v>43010.0</v>
      </c>
      <c r="J76" s="123" t="s">
        <v>2535</v>
      </c>
      <c r="K76" s="123" t="s">
        <v>2535</v>
      </c>
      <c r="L76" s="126" t="s">
        <v>13481</v>
      </c>
      <c r="M76" s="123"/>
      <c r="N76" s="123"/>
      <c r="O76" s="659"/>
      <c r="P76" s="411"/>
      <c r="Q76" s="411"/>
      <c r="R76" s="411"/>
      <c r="S76" s="411"/>
      <c r="T76" s="411"/>
      <c r="U76" s="411"/>
      <c r="V76" s="411"/>
      <c r="W76" s="411"/>
      <c r="X76" s="411"/>
      <c r="Y76" s="411"/>
      <c r="Z76" s="411"/>
      <c r="AA76" s="411"/>
    </row>
    <row r="77" ht="33.75" customHeight="1">
      <c r="A77" s="69">
        <v>31628.0</v>
      </c>
      <c r="B77" s="45" t="s">
        <v>25</v>
      </c>
      <c r="C77" s="42">
        <v>1300.0</v>
      </c>
      <c r="D77" s="123" t="s">
        <v>13482</v>
      </c>
      <c r="E77" s="126" t="s">
        <v>8430</v>
      </c>
      <c r="F77" s="465">
        <v>43006.0</v>
      </c>
      <c r="G77" s="658">
        <v>43024.0</v>
      </c>
      <c r="H77" s="69" t="s">
        <v>1747</v>
      </c>
      <c r="I77" s="663">
        <v>43013.0</v>
      </c>
      <c r="J77" s="123" t="s">
        <v>2535</v>
      </c>
      <c r="K77" s="123" t="s">
        <v>2535</v>
      </c>
      <c r="L77" s="126" t="s">
        <v>13483</v>
      </c>
      <c r="M77" s="123"/>
      <c r="N77" s="42"/>
      <c r="O77" s="659"/>
      <c r="P77" s="411"/>
      <c r="Q77" s="411"/>
      <c r="R77" s="411"/>
      <c r="S77" s="411"/>
      <c r="T77" s="411"/>
      <c r="U77" s="411"/>
      <c r="V77" s="411"/>
      <c r="W77" s="411"/>
      <c r="X77" s="411"/>
      <c r="Y77" s="411"/>
      <c r="Z77" s="411"/>
      <c r="AA77" s="411"/>
    </row>
    <row r="78" ht="33.75" customHeight="1">
      <c r="A78" s="69">
        <v>31482.0</v>
      </c>
      <c r="B78" s="45" t="s">
        <v>21</v>
      </c>
      <c r="C78" s="42">
        <v>795.0</v>
      </c>
      <c r="D78" s="123" t="s">
        <v>1990</v>
      </c>
      <c r="E78" s="126" t="s">
        <v>12729</v>
      </c>
      <c r="F78" s="465">
        <v>43004.0</v>
      </c>
      <c r="G78" s="658">
        <v>43000.0</v>
      </c>
      <c r="H78" s="69" t="s">
        <v>1747</v>
      </c>
      <c r="I78" s="663">
        <v>43012.0</v>
      </c>
      <c r="J78" s="661" t="s">
        <v>13448</v>
      </c>
      <c r="K78" s="123" t="s">
        <v>2531</v>
      </c>
      <c r="L78" s="126" t="s">
        <v>13484</v>
      </c>
      <c r="M78" s="123"/>
      <c r="N78" s="42"/>
      <c r="O78" s="659"/>
      <c r="P78" s="411"/>
      <c r="Q78" s="411"/>
      <c r="R78" s="411"/>
      <c r="S78" s="411"/>
      <c r="T78" s="411"/>
      <c r="U78" s="411"/>
      <c r="V78" s="411"/>
      <c r="W78" s="411"/>
      <c r="X78" s="411"/>
      <c r="Y78" s="411"/>
      <c r="Z78" s="411"/>
      <c r="AA78" s="411"/>
    </row>
    <row r="79" ht="33.75" customHeight="1">
      <c r="A79" s="69">
        <v>31587.0</v>
      </c>
      <c r="B79" s="45" t="s">
        <v>14</v>
      </c>
      <c r="C79" s="42">
        <v>1300.0</v>
      </c>
      <c r="D79" s="123" t="s">
        <v>13485</v>
      </c>
      <c r="E79" s="126" t="s">
        <v>8430</v>
      </c>
      <c r="F79" s="465">
        <v>43004.0</v>
      </c>
      <c r="G79" s="658">
        <v>43003.0</v>
      </c>
      <c r="H79" s="69" t="s">
        <v>1747</v>
      </c>
      <c r="I79" s="663">
        <v>43011.0</v>
      </c>
      <c r="J79" s="123" t="s">
        <v>2535</v>
      </c>
      <c r="K79" s="123" t="s">
        <v>2535</v>
      </c>
      <c r="L79" s="126" t="s">
        <v>13486</v>
      </c>
      <c r="M79" s="123"/>
      <c r="N79" s="42"/>
      <c r="O79" s="659"/>
      <c r="P79" s="411"/>
      <c r="Q79" s="411"/>
      <c r="R79" s="411"/>
      <c r="S79" s="411"/>
      <c r="T79" s="411"/>
      <c r="U79" s="411"/>
      <c r="V79" s="411"/>
      <c r="W79" s="411"/>
      <c r="X79" s="411"/>
      <c r="Y79" s="411"/>
      <c r="Z79" s="411"/>
      <c r="AA79" s="411"/>
    </row>
    <row r="80" ht="33.75" customHeight="1">
      <c r="A80" s="69">
        <v>31203.0</v>
      </c>
      <c r="B80" s="45" t="s">
        <v>14</v>
      </c>
      <c r="C80" s="42">
        <v>1796.0</v>
      </c>
      <c r="D80" s="128" t="s">
        <v>13487</v>
      </c>
      <c r="E80" s="126" t="s">
        <v>675</v>
      </c>
      <c r="F80" s="465">
        <v>43003.0</v>
      </c>
      <c r="G80" s="658">
        <v>42999.0</v>
      </c>
      <c r="H80" s="69" t="s">
        <v>1747</v>
      </c>
      <c r="I80" s="663">
        <v>43010.0</v>
      </c>
      <c r="J80" s="123" t="s">
        <v>2535</v>
      </c>
      <c r="K80" s="123" t="s">
        <v>2535</v>
      </c>
      <c r="L80" s="126" t="s">
        <v>13488</v>
      </c>
      <c r="M80" s="123"/>
      <c r="N80" s="42"/>
      <c r="O80" s="659"/>
      <c r="P80" s="411"/>
      <c r="Q80" s="411"/>
      <c r="R80" s="411"/>
      <c r="S80" s="411"/>
      <c r="T80" s="411"/>
      <c r="U80" s="411"/>
      <c r="V80" s="411"/>
      <c r="W80" s="411"/>
      <c r="X80" s="411"/>
      <c r="Y80" s="411"/>
      <c r="Z80" s="411"/>
      <c r="AA80" s="411"/>
    </row>
    <row r="81" ht="33.75" customHeight="1">
      <c r="A81" s="69">
        <v>31354.0</v>
      </c>
      <c r="B81" s="45" t="s">
        <v>14</v>
      </c>
      <c r="C81" s="42">
        <v>2040.0</v>
      </c>
      <c r="D81" s="123" t="s">
        <v>13489</v>
      </c>
      <c r="E81" s="126" t="s">
        <v>13490</v>
      </c>
      <c r="F81" s="465">
        <v>43003.0</v>
      </c>
      <c r="G81" s="674">
        <v>43000.0</v>
      </c>
      <c r="H81" s="69" t="s">
        <v>1747</v>
      </c>
      <c r="I81" s="663">
        <v>43011.0</v>
      </c>
      <c r="J81" s="123" t="s">
        <v>2535</v>
      </c>
      <c r="K81" s="123" t="s">
        <v>2535</v>
      </c>
      <c r="L81" s="126" t="s">
        <v>13491</v>
      </c>
      <c r="M81" s="123" t="s">
        <v>497</v>
      </c>
      <c r="N81" s="42" t="s">
        <v>1052</v>
      </c>
      <c r="O81" s="659">
        <v>31494.4</v>
      </c>
      <c r="P81" s="411"/>
      <c r="Q81" s="411"/>
      <c r="R81" s="411"/>
      <c r="S81" s="411"/>
      <c r="T81" s="411"/>
      <c r="U81" s="411"/>
      <c r="V81" s="411"/>
      <c r="W81" s="411"/>
      <c r="X81" s="411"/>
      <c r="Y81" s="411"/>
      <c r="Z81" s="411"/>
      <c r="AA81" s="411"/>
    </row>
    <row r="82" ht="33.75" customHeight="1">
      <c r="A82" s="69">
        <v>31612.0</v>
      </c>
      <c r="B82" s="45" t="s">
        <v>14</v>
      </c>
      <c r="C82" s="42">
        <v>1080.0</v>
      </c>
      <c r="D82" s="123" t="s">
        <v>13492</v>
      </c>
      <c r="E82" s="18" t="s">
        <v>8475</v>
      </c>
      <c r="F82" s="465">
        <v>43001.0</v>
      </c>
      <c r="G82" s="658">
        <v>43003.0</v>
      </c>
      <c r="H82" s="69" t="s">
        <v>1747</v>
      </c>
      <c r="I82" s="663">
        <v>43006.0</v>
      </c>
      <c r="J82" s="123" t="s">
        <v>2535</v>
      </c>
      <c r="K82" s="123" t="s">
        <v>2535</v>
      </c>
      <c r="L82" s="126" t="s">
        <v>13493</v>
      </c>
      <c r="M82" s="123"/>
      <c r="N82" s="42"/>
      <c r="O82" s="659"/>
      <c r="P82" s="411"/>
      <c r="Q82" s="411"/>
      <c r="R82" s="411"/>
      <c r="S82" s="411"/>
      <c r="T82" s="411"/>
      <c r="U82" s="411"/>
      <c r="V82" s="411"/>
      <c r="W82" s="411"/>
      <c r="X82" s="411"/>
      <c r="Y82" s="411"/>
      <c r="Z82" s="411"/>
      <c r="AA82" s="411"/>
    </row>
    <row r="83" ht="33.75" customHeight="1">
      <c r="A83" s="69">
        <v>31057.0</v>
      </c>
      <c r="B83" s="45" t="s">
        <v>14</v>
      </c>
      <c r="C83" s="42">
        <v>846.0</v>
      </c>
      <c r="D83" s="239" t="s">
        <v>13494</v>
      </c>
      <c r="E83" s="126" t="s">
        <v>13495</v>
      </c>
      <c r="F83" s="465">
        <v>42998.0</v>
      </c>
      <c r="G83" s="658">
        <v>42993.0</v>
      </c>
      <c r="H83" s="69" t="s">
        <v>1747</v>
      </c>
      <c r="I83" s="663">
        <v>43004.0</v>
      </c>
      <c r="J83" s="123" t="s">
        <v>2535</v>
      </c>
      <c r="K83" s="123" t="s">
        <v>2535</v>
      </c>
      <c r="L83" s="126" t="s">
        <v>13496</v>
      </c>
      <c r="M83" s="123"/>
      <c r="N83" s="42"/>
      <c r="O83" s="659"/>
      <c r="P83" s="411"/>
      <c r="Q83" s="411"/>
      <c r="R83" s="411"/>
      <c r="S83" s="411"/>
      <c r="T83" s="411"/>
      <c r="U83" s="411"/>
      <c r="V83" s="411"/>
      <c r="W83" s="411"/>
      <c r="X83" s="411"/>
      <c r="Y83" s="411"/>
      <c r="Z83" s="411"/>
      <c r="AA83" s="411"/>
    </row>
    <row r="84" ht="33.75" customHeight="1">
      <c r="A84" s="69">
        <v>31588.0</v>
      </c>
      <c r="B84" s="45" t="s">
        <v>14</v>
      </c>
      <c r="C84" s="42">
        <v>431.0</v>
      </c>
      <c r="D84" s="123" t="s">
        <v>13497</v>
      </c>
      <c r="E84" s="126" t="s">
        <v>13498</v>
      </c>
      <c r="F84" s="465">
        <v>42998.0</v>
      </c>
      <c r="G84" s="658">
        <v>42993.0</v>
      </c>
      <c r="H84" s="69" t="s">
        <v>1747</v>
      </c>
      <c r="I84" s="663">
        <v>43003.0</v>
      </c>
      <c r="J84" s="123" t="s">
        <v>2535</v>
      </c>
      <c r="K84" s="123" t="s">
        <v>2535</v>
      </c>
      <c r="L84" s="126" t="s">
        <v>13499</v>
      </c>
      <c r="M84" s="123"/>
      <c r="N84" s="42"/>
      <c r="O84" s="659"/>
      <c r="P84" s="411"/>
      <c r="Q84" s="411"/>
      <c r="R84" s="411"/>
      <c r="S84" s="411"/>
      <c r="T84" s="411"/>
      <c r="U84" s="411"/>
      <c r="V84" s="411"/>
      <c r="W84" s="411"/>
      <c r="X84" s="411"/>
      <c r="Y84" s="411"/>
      <c r="Z84" s="411"/>
      <c r="AA84" s="411"/>
    </row>
    <row r="85" ht="33.75" customHeight="1">
      <c r="A85" s="69">
        <v>31356.0</v>
      </c>
      <c r="B85" s="45" t="s">
        <v>14</v>
      </c>
      <c r="C85" s="42">
        <v>2040.0</v>
      </c>
      <c r="D85" s="123" t="s">
        <v>13500</v>
      </c>
      <c r="E85" s="126" t="s">
        <v>8688</v>
      </c>
      <c r="F85" s="465">
        <v>42996.0</v>
      </c>
      <c r="G85" s="658">
        <v>42992.0</v>
      </c>
      <c r="H85" s="69" t="s">
        <v>1747</v>
      </c>
      <c r="I85" s="663">
        <v>43003.0</v>
      </c>
      <c r="J85" s="123" t="s">
        <v>2535</v>
      </c>
      <c r="K85" s="123" t="s">
        <v>2535</v>
      </c>
      <c r="L85" s="126" t="s">
        <v>13501</v>
      </c>
      <c r="M85" s="123" t="s">
        <v>497</v>
      </c>
      <c r="N85" s="42" t="s">
        <v>1052</v>
      </c>
      <c r="O85" s="659">
        <v>30824.4</v>
      </c>
      <c r="P85" s="411"/>
      <c r="Q85" s="411"/>
      <c r="R85" s="411"/>
      <c r="S85" s="411"/>
      <c r="T85" s="411"/>
      <c r="U85" s="411"/>
      <c r="V85" s="411"/>
      <c r="W85" s="411"/>
      <c r="X85" s="411"/>
      <c r="Y85" s="411"/>
      <c r="Z85" s="411"/>
      <c r="AA85" s="411"/>
    </row>
    <row r="86" ht="33.75" customHeight="1">
      <c r="A86" s="69">
        <v>31268.0</v>
      </c>
      <c r="B86" s="45" t="s">
        <v>21</v>
      </c>
      <c r="C86" s="42">
        <v>508.0</v>
      </c>
      <c r="D86" s="215" t="s">
        <v>1987</v>
      </c>
      <c r="E86" s="126" t="s">
        <v>13502</v>
      </c>
      <c r="F86" s="465">
        <v>42996.0</v>
      </c>
      <c r="G86" s="658">
        <v>42996.0</v>
      </c>
      <c r="H86" s="69" t="s">
        <v>1747</v>
      </c>
      <c r="I86" s="679" t="s">
        <v>13503</v>
      </c>
      <c r="J86" s="661" t="s">
        <v>13504</v>
      </c>
      <c r="K86" s="123" t="s">
        <v>13505</v>
      </c>
      <c r="L86" s="126" t="s">
        <v>13506</v>
      </c>
      <c r="M86" s="123" t="s">
        <v>497</v>
      </c>
      <c r="N86" s="42" t="s">
        <v>1052</v>
      </c>
      <c r="O86" s="659">
        <v>31310.0</v>
      </c>
      <c r="P86" s="411"/>
      <c r="Q86" s="411"/>
      <c r="R86" s="411"/>
      <c r="S86" s="411"/>
      <c r="T86" s="411"/>
      <c r="U86" s="411"/>
      <c r="V86" s="411"/>
      <c r="W86" s="411"/>
      <c r="X86" s="411"/>
      <c r="Y86" s="411"/>
      <c r="Z86" s="411"/>
      <c r="AA86" s="411"/>
    </row>
    <row r="87" ht="33.75" customHeight="1">
      <c r="A87" s="69">
        <v>31531.0</v>
      </c>
      <c r="B87" s="45" t="s">
        <v>14</v>
      </c>
      <c r="C87" s="42">
        <v>1300.0</v>
      </c>
      <c r="D87" s="123" t="s">
        <v>13507</v>
      </c>
      <c r="E87" s="129" t="s">
        <v>12905</v>
      </c>
      <c r="F87" s="465">
        <v>42994.0</v>
      </c>
      <c r="G87" s="658">
        <v>43004.0</v>
      </c>
      <c r="H87" s="69" t="s">
        <v>1747</v>
      </c>
      <c r="I87" s="663">
        <v>42999.0</v>
      </c>
      <c r="J87" s="123" t="s">
        <v>2535</v>
      </c>
      <c r="K87" s="123" t="s">
        <v>2535</v>
      </c>
      <c r="L87" s="126" t="s">
        <v>13508</v>
      </c>
      <c r="M87" s="123"/>
      <c r="N87" s="42"/>
      <c r="O87" s="659"/>
      <c r="P87" s="411"/>
      <c r="Q87" s="411"/>
      <c r="R87" s="411"/>
      <c r="S87" s="411"/>
      <c r="T87" s="411"/>
      <c r="U87" s="411"/>
      <c r="V87" s="411"/>
      <c r="W87" s="411"/>
      <c r="X87" s="411"/>
      <c r="Y87" s="411"/>
      <c r="Z87" s="411"/>
      <c r="AA87" s="411"/>
    </row>
    <row r="88" ht="33.75" customHeight="1">
      <c r="A88" s="69">
        <v>31281.0</v>
      </c>
      <c r="B88" s="45" t="s">
        <v>25</v>
      </c>
      <c r="C88" s="42">
        <v>900.0</v>
      </c>
      <c r="D88" s="123" t="s">
        <v>13509</v>
      </c>
      <c r="E88" s="126" t="s">
        <v>8953</v>
      </c>
      <c r="F88" s="465">
        <v>42992.0</v>
      </c>
      <c r="G88" s="658">
        <v>42990.0</v>
      </c>
      <c r="H88" s="69" t="s">
        <v>1747</v>
      </c>
      <c r="I88" s="663">
        <v>43007.0</v>
      </c>
      <c r="J88" s="123" t="s">
        <v>2535</v>
      </c>
      <c r="K88" s="123" t="s">
        <v>2535</v>
      </c>
      <c r="L88" s="126" t="s">
        <v>13510</v>
      </c>
      <c r="M88" s="123"/>
      <c r="N88" s="42"/>
      <c r="O88" s="659"/>
      <c r="P88" s="411"/>
      <c r="Q88" s="411"/>
      <c r="R88" s="411"/>
      <c r="S88" s="411"/>
      <c r="T88" s="411"/>
      <c r="U88" s="411"/>
      <c r="V88" s="411"/>
      <c r="W88" s="411"/>
      <c r="X88" s="411"/>
      <c r="Y88" s="411"/>
      <c r="Z88" s="411"/>
      <c r="AA88" s="411"/>
    </row>
    <row r="89" ht="33.75" customHeight="1">
      <c r="A89" s="69">
        <v>31352.0</v>
      </c>
      <c r="B89" s="45" t="s">
        <v>21</v>
      </c>
      <c r="C89" s="42">
        <v>2040.0</v>
      </c>
      <c r="D89" s="123" t="s">
        <v>1986</v>
      </c>
      <c r="E89" s="126" t="s">
        <v>13490</v>
      </c>
      <c r="F89" s="465">
        <v>42992.0</v>
      </c>
      <c r="G89" s="658">
        <v>42989.0</v>
      </c>
      <c r="H89" s="69" t="s">
        <v>1747</v>
      </c>
      <c r="I89" s="679" t="s">
        <v>13511</v>
      </c>
      <c r="J89" s="661" t="s">
        <v>13504</v>
      </c>
      <c r="K89" s="123" t="s">
        <v>3197</v>
      </c>
      <c r="L89" s="126" t="s">
        <v>13512</v>
      </c>
      <c r="M89" s="123" t="s">
        <v>497</v>
      </c>
      <c r="N89" s="42" t="s">
        <v>1052</v>
      </c>
      <c r="O89" s="659">
        <v>31494.4</v>
      </c>
      <c r="P89" s="411"/>
      <c r="Q89" s="411"/>
      <c r="R89" s="411"/>
      <c r="S89" s="411"/>
      <c r="T89" s="411"/>
      <c r="U89" s="411"/>
      <c r="V89" s="411"/>
      <c r="W89" s="411"/>
      <c r="X89" s="411"/>
      <c r="Y89" s="411"/>
      <c r="Z89" s="411"/>
      <c r="AA89" s="411"/>
    </row>
    <row r="90" ht="33.75" customHeight="1">
      <c r="A90" s="69">
        <v>31532.0</v>
      </c>
      <c r="B90" s="45" t="s">
        <v>14</v>
      </c>
      <c r="C90" s="42">
        <v>1139.0</v>
      </c>
      <c r="D90" s="123" t="s">
        <v>13513</v>
      </c>
      <c r="E90" s="126" t="s">
        <v>13514</v>
      </c>
      <c r="F90" s="465">
        <v>42991.0</v>
      </c>
      <c r="G90" s="658">
        <v>42989.0</v>
      </c>
      <c r="H90" s="69" t="s">
        <v>1747</v>
      </c>
      <c r="I90" s="663">
        <v>42997.0</v>
      </c>
      <c r="J90" s="123" t="s">
        <v>2535</v>
      </c>
      <c r="K90" s="123" t="s">
        <v>2535</v>
      </c>
      <c r="L90" s="126" t="s">
        <v>13515</v>
      </c>
      <c r="M90" s="123"/>
      <c r="N90" s="42"/>
      <c r="O90" s="659"/>
      <c r="P90" s="411"/>
      <c r="Q90" s="411"/>
      <c r="R90" s="411"/>
      <c r="S90" s="411"/>
      <c r="T90" s="411"/>
      <c r="U90" s="411"/>
      <c r="V90" s="411"/>
      <c r="W90" s="411"/>
      <c r="X90" s="411"/>
      <c r="Y90" s="411"/>
      <c r="Z90" s="411"/>
      <c r="AA90" s="411"/>
    </row>
    <row r="91" ht="33.75" customHeight="1">
      <c r="A91" s="69">
        <v>31355.0</v>
      </c>
      <c r="B91" s="45" t="s">
        <v>25</v>
      </c>
      <c r="C91" s="42">
        <v>2040.0</v>
      </c>
      <c r="D91" s="128" t="s">
        <v>13516</v>
      </c>
      <c r="E91" s="126" t="s">
        <v>8688</v>
      </c>
      <c r="F91" s="465">
        <v>42991.0</v>
      </c>
      <c r="G91" s="658">
        <v>42989.0</v>
      </c>
      <c r="H91" s="69" t="s">
        <v>1747</v>
      </c>
      <c r="I91" s="663">
        <v>42998.0</v>
      </c>
      <c r="J91" s="123" t="s">
        <v>2535</v>
      </c>
      <c r="K91" s="123" t="s">
        <v>2535</v>
      </c>
      <c r="L91" s="126" t="s">
        <v>13517</v>
      </c>
      <c r="M91" s="123" t="s">
        <v>497</v>
      </c>
      <c r="N91" s="42" t="s">
        <v>1052</v>
      </c>
      <c r="O91" s="659">
        <v>30685.2</v>
      </c>
      <c r="P91" s="411"/>
      <c r="Q91" s="411"/>
      <c r="R91" s="411"/>
      <c r="S91" s="411"/>
      <c r="T91" s="411"/>
      <c r="U91" s="411"/>
      <c r="V91" s="411"/>
      <c r="W91" s="411"/>
      <c r="X91" s="411"/>
      <c r="Y91" s="411"/>
      <c r="Z91" s="411"/>
      <c r="AA91" s="411"/>
    </row>
    <row r="92" ht="33.75" customHeight="1">
      <c r="A92" s="69">
        <v>31353.0</v>
      </c>
      <c r="B92" s="45" t="s">
        <v>14</v>
      </c>
      <c r="C92" s="42">
        <v>2040.0</v>
      </c>
      <c r="D92" s="123" t="s">
        <v>13518</v>
      </c>
      <c r="E92" s="126" t="s">
        <v>13519</v>
      </c>
      <c r="F92" s="465">
        <v>42988.0</v>
      </c>
      <c r="G92" s="658">
        <v>42986.0</v>
      </c>
      <c r="H92" s="69" t="s">
        <v>1747</v>
      </c>
      <c r="I92" s="672" t="s">
        <v>13520</v>
      </c>
      <c r="J92" s="661" t="s">
        <v>2535</v>
      </c>
      <c r="K92" s="123" t="s">
        <v>2535</v>
      </c>
      <c r="L92" s="126" t="s">
        <v>13521</v>
      </c>
      <c r="M92" s="123" t="s">
        <v>497</v>
      </c>
      <c r="N92" s="42" t="s">
        <v>1052</v>
      </c>
      <c r="O92" s="659">
        <v>30754.8</v>
      </c>
      <c r="P92" s="411"/>
      <c r="Q92" s="411"/>
      <c r="R92" s="411"/>
      <c r="S92" s="411"/>
      <c r="T92" s="411"/>
      <c r="U92" s="411"/>
      <c r="V92" s="411"/>
      <c r="W92" s="411"/>
      <c r="X92" s="411"/>
      <c r="Y92" s="411"/>
      <c r="Z92" s="411"/>
      <c r="AA92" s="411"/>
    </row>
    <row r="93" ht="33.75" customHeight="1">
      <c r="A93" s="69">
        <v>31229.0</v>
      </c>
      <c r="B93" s="45" t="s">
        <v>21</v>
      </c>
      <c r="C93" s="42">
        <v>1687.0</v>
      </c>
      <c r="D93" s="128" t="s">
        <v>1985</v>
      </c>
      <c r="E93" s="126" t="s">
        <v>556</v>
      </c>
      <c r="F93" s="465">
        <v>42988.0</v>
      </c>
      <c r="G93" s="148" t="s">
        <v>210</v>
      </c>
      <c r="H93" s="69" t="s">
        <v>1747</v>
      </c>
      <c r="I93" s="679" t="s">
        <v>13522</v>
      </c>
      <c r="J93" s="661" t="s">
        <v>13504</v>
      </c>
      <c r="K93" s="123" t="s">
        <v>13505</v>
      </c>
      <c r="L93" s="126" t="s">
        <v>13523</v>
      </c>
      <c r="M93" s="123"/>
      <c r="N93" s="42"/>
      <c r="O93" s="659"/>
      <c r="P93" s="411"/>
      <c r="Q93" s="411"/>
      <c r="R93" s="411"/>
      <c r="S93" s="411"/>
      <c r="T93" s="411"/>
      <c r="U93" s="411"/>
      <c r="V93" s="411"/>
      <c r="W93" s="411"/>
      <c r="X93" s="411"/>
      <c r="Y93" s="411"/>
      <c r="Z93" s="411"/>
      <c r="AA93" s="411"/>
    </row>
    <row r="94" ht="33.75" customHeight="1">
      <c r="A94" s="69">
        <v>31231.0</v>
      </c>
      <c r="B94" s="45" t="s">
        <v>25</v>
      </c>
      <c r="C94" s="42">
        <v>1665.0</v>
      </c>
      <c r="D94" s="123" t="s">
        <v>13524</v>
      </c>
      <c r="E94" s="126" t="s">
        <v>556</v>
      </c>
      <c r="F94" s="465">
        <v>42986.0</v>
      </c>
      <c r="G94" s="658">
        <v>42989.0</v>
      </c>
      <c r="H94" s="69" t="s">
        <v>1747</v>
      </c>
      <c r="I94" s="680">
        <v>42990.0</v>
      </c>
      <c r="J94" s="661" t="s">
        <v>2535</v>
      </c>
      <c r="K94" s="123" t="s">
        <v>2535</v>
      </c>
      <c r="L94" s="126" t="s">
        <v>13525</v>
      </c>
      <c r="M94" s="123"/>
      <c r="N94" s="42"/>
      <c r="O94" s="659"/>
      <c r="P94" s="411"/>
      <c r="Q94" s="411"/>
      <c r="R94" s="411"/>
      <c r="S94" s="411"/>
      <c r="T94" s="411"/>
      <c r="U94" s="411"/>
      <c r="V94" s="411"/>
      <c r="W94" s="411"/>
      <c r="X94" s="411"/>
      <c r="Y94" s="411"/>
      <c r="Z94" s="411"/>
      <c r="AA94" s="411"/>
    </row>
    <row r="95" ht="33.75" customHeight="1">
      <c r="A95" s="69">
        <v>31589.0</v>
      </c>
      <c r="B95" s="45" t="s">
        <v>21</v>
      </c>
      <c r="C95" s="42">
        <v>210.0</v>
      </c>
      <c r="D95" s="123" t="s">
        <v>13526</v>
      </c>
      <c r="E95" s="126" t="s">
        <v>13527</v>
      </c>
      <c r="F95" s="465">
        <v>42983.0</v>
      </c>
      <c r="G95" s="658">
        <v>42979.0</v>
      </c>
      <c r="H95" s="69" t="s">
        <v>1747</v>
      </c>
      <c r="I95" s="679" t="s">
        <v>13528</v>
      </c>
      <c r="J95" s="661" t="s">
        <v>13504</v>
      </c>
      <c r="K95" s="123" t="s">
        <v>3197</v>
      </c>
      <c r="L95" s="126" t="s">
        <v>13529</v>
      </c>
      <c r="M95" s="123"/>
      <c r="N95" s="42"/>
      <c r="O95" s="659"/>
      <c r="P95" s="411"/>
      <c r="Q95" s="411"/>
      <c r="R95" s="411"/>
      <c r="S95" s="411"/>
      <c r="T95" s="411"/>
      <c r="U95" s="411"/>
      <c r="V95" s="411"/>
      <c r="W95" s="411"/>
      <c r="X95" s="411"/>
      <c r="Y95" s="411"/>
      <c r="Z95" s="411"/>
      <c r="AA95" s="411"/>
    </row>
    <row r="96" ht="33.75" customHeight="1">
      <c r="A96" s="69">
        <v>31230.0</v>
      </c>
      <c r="B96" s="45" t="s">
        <v>14</v>
      </c>
      <c r="C96" s="42">
        <v>1611.0</v>
      </c>
      <c r="D96" s="128" t="s">
        <v>13530</v>
      </c>
      <c r="E96" s="126" t="s">
        <v>556</v>
      </c>
      <c r="F96" s="465">
        <v>42981.0</v>
      </c>
      <c r="G96" s="148" t="s">
        <v>210</v>
      </c>
      <c r="H96" s="69" t="s">
        <v>1747</v>
      </c>
      <c r="I96" s="663">
        <v>42990.0</v>
      </c>
      <c r="J96" s="661" t="s">
        <v>2535</v>
      </c>
      <c r="K96" s="123" t="s">
        <v>2535</v>
      </c>
      <c r="L96" s="126" t="s">
        <v>13531</v>
      </c>
      <c r="M96" s="123"/>
      <c r="N96" s="42"/>
      <c r="O96" s="659"/>
      <c r="P96" s="411"/>
      <c r="Q96" s="411"/>
      <c r="R96" s="411"/>
      <c r="S96" s="411"/>
      <c r="T96" s="411"/>
      <c r="U96" s="411"/>
      <c r="V96" s="411"/>
      <c r="W96" s="411"/>
      <c r="X96" s="411"/>
      <c r="Y96" s="411"/>
      <c r="Z96" s="411"/>
      <c r="AA96" s="411"/>
    </row>
    <row r="97" ht="33.75" customHeight="1">
      <c r="A97" s="69">
        <v>31555.0</v>
      </c>
      <c r="B97" s="45" t="s">
        <v>21</v>
      </c>
      <c r="C97" s="42">
        <v>1070.0</v>
      </c>
      <c r="D97" s="123" t="s">
        <v>13532</v>
      </c>
      <c r="E97" s="126" t="s">
        <v>8475</v>
      </c>
      <c r="F97" s="465">
        <v>42980.0</v>
      </c>
      <c r="G97" s="658">
        <v>42977.0</v>
      </c>
      <c r="H97" s="69" t="s">
        <v>1747</v>
      </c>
      <c r="I97" s="679" t="s">
        <v>13533</v>
      </c>
      <c r="J97" s="661" t="s">
        <v>2535</v>
      </c>
      <c r="K97" s="123" t="s">
        <v>2535</v>
      </c>
      <c r="L97" s="126" t="s">
        <v>13534</v>
      </c>
      <c r="M97" s="123"/>
      <c r="N97" s="42"/>
      <c r="O97" s="659"/>
      <c r="P97" s="411"/>
      <c r="Q97" s="411"/>
      <c r="R97" s="411"/>
      <c r="S97" s="411"/>
      <c r="T97" s="411"/>
      <c r="U97" s="411"/>
      <c r="V97" s="411"/>
      <c r="W97" s="411"/>
      <c r="X97" s="411"/>
      <c r="Y97" s="411"/>
      <c r="Z97" s="411"/>
      <c r="AA97" s="411"/>
    </row>
    <row r="98" ht="33.75" customHeight="1">
      <c r="A98" s="69">
        <v>31562.0</v>
      </c>
      <c r="B98" s="45" t="s">
        <v>25</v>
      </c>
      <c r="C98" s="42">
        <v>930.0</v>
      </c>
      <c r="D98" s="239" t="s">
        <v>13535</v>
      </c>
      <c r="E98" s="126" t="s">
        <v>8430</v>
      </c>
      <c r="F98" s="465">
        <v>42978.0</v>
      </c>
      <c r="G98" s="658">
        <v>42979.0</v>
      </c>
      <c r="H98" s="69" t="s">
        <v>1747</v>
      </c>
      <c r="I98" s="663">
        <v>42984.0</v>
      </c>
      <c r="J98" s="123" t="s">
        <v>2535</v>
      </c>
      <c r="K98" s="123" t="s">
        <v>2535</v>
      </c>
      <c r="L98" s="126" t="s">
        <v>13536</v>
      </c>
      <c r="M98" s="123"/>
      <c r="N98" s="42"/>
      <c r="O98" s="659"/>
      <c r="P98" s="411"/>
      <c r="Q98" s="411"/>
      <c r="R98" s="411"/>
      <c r="S98" s="411"/>
      <c r="T98" s="411"/>
      <c r="U98" s="411"/>
      <c r="V98" s="411"/>
      <c r="W98" s="411"/>
      <c r="X98" s="411"/>
      <c r="Y98" s="411"/>
      <c r="Z98" s="411"/>
      <c r="AA98" s="411"/>
    </row>
    <row r="99" ht="33.75" customHeight="1">
      <c r="A99" s="69">
        <v>31584.0</v>
      </c>
      <c r="B99" s="45" t="s">
        <v>21</v>
      </c>
      <c r="C99" s="42">
        <v>9.0</v>
      </c>
      <c r="D99" s="123" t="s">
        <v>13537</v>
      </c>
      <c r="E99" s="126" t="s">
        <v>13538</v>
      </c>
      <c r="F99" s="465">
        <v>42977.0</v>
      </c>
      <c r="G99" s="681" t="s">
        <v>12879</v>
      </c>
      <c r="H99" s="69" t="s">
        <v>1747</v>
      </c>
      <c r="I99" s="679" t="s">
        <v>13539</v>
      </c>
      <c r="J99" s="123" t="s">
        <v>2535</v>
      </c>
      <c r="K99" s="123" t="s">
        <v>2535</v>
      </c>
      <c r="L99" s="126" t="s">
        <v>13540</v>
      </c>
      <c r="M99" s="123"/>
      <c r="N99" s="42"/>
      <c r="O99" s="659"/>
      <c r="P99" s="411"/>
      <c r="Q99" s="411"/>
      <c r="R99" s="411"/>
      <c r="S99" s="411"/>
      <c r="T99" s="411"/>
      <c r="U99" s="411"/>
      <c r="V99" s="411"/>
      <c r="W99" s="411"/>
      <c r="X99" s="411"/>
      <c r="Y99" s="411"/>
      <c r="Z99" s="411"/>
      <c r="AA99" s="411"/>
    </row>
    <row r="100" ht="33.75" customHeight="1">
      <c r="A100" s="69">
        <v>31498.0</v>
      </c>
      <c r="B100" s="45" t="s">
        <v>14</v>
      </c>
      <c r="C100" s="42">
        <v>1182.0</v>
      </c>
      <c r="D100" s="123" t="s">
        <v>13541</v>
      </c>
      <c r="E100" s="126" t="s">
        <v>8430</v>
      </c>
      <c r="F100" s="465">
        <v>42977.0</v>
      </c>
      <c r="G100" s="658">
        <v>42977.0</v>
      </c>
      <c r="H100" s="69" t="s">
        <v>1747</v>
      </c>
      <c r="I100" s="663">
        <v>42986.0</v>
      </c>
      <c r="J100" s="123" t="s">
        <v>2535</v>
      </c>
      <c r="K100" s="123" t="s">
        <v>2535</v>
      </c>
      <c r="L100" s="126" t="s">
        <v>13542</v>
      </c>
      <c r="M100" s="123"/>
      <c r="N100" s="42"/>
      <c r="O100" s="659"/>
      <c r="P100" s="411"/>
      <c r="Q100" s="411"/>
      <c r="R100" s="411"/>
      <c r="S100" s="411"/>
      <c r="T100" s="411"/>
      <c r="U100" s="411"/>
      <c r="V100" s="411"/>
      <c r="W100" s="411"/>
      <c r="X100" s="411"/>
      <c r="Y100" s="411"/>
      <c r="Z100" s="411"/>
      <c r="AA100" s="411"/>
    </row>
    <row r="101" ht="33.75" customHeight="1">
      <c r="A101" s="69">
        <v>31345.0</v>
      </c>
      <c r="B101" s="45" t="s">
        <v>14</v>
      </c>
      <c r="C101" s="42">
        <v>320.0</v>
      </c>
      <c r="D101" s="215" t="s">
        <v>13543</v>
      </c>
      <c r="E101" s="126" t="s">
        <v>13544</v>
      </c>
      <c r="F101" s="465">
        <v>42976.0</v>
      </c>
      <c r="G101" s="658">
        <v>42975.0</v>
      </c>
      <c r="H101" s="69" t="s">
        <v>1747</v>
      </c>
      <c r="I101" s="663">
        <v>42989.0</v>
      </c>
      <c r="J101" s="123" t="s">
        <v>2535</v>
      </c>
      <c r="K101" s="123" t="s">
        <v>2535</v>
      </c>
      <c r="L101" s="126" t="s">
        <v>13545</v>
      </c>
      <c r="M101" s="123"/>
      <c r="N101" s="42"/>
      <c r="O101" s="659"/>
      <c r="P101" s="411"/>
      <c r="Q101" s="411"/>
      <c r="R101" s="411"/>
      <c r="S101" s="411"/>
      <c r="T101" s="411"/>
      <c r="U101" s="411"/>
      <c r="V101" s="411"/>
      <c r="W101" s="411"/>
      <c r="X101" s="411"/>
      <c r="Y101" s="411"/>
      <c r="Z101" s="411"/>
      <c r="AA101" s="411"/>
    </row>
    <row r="102" ht="33.75" customHeight="1">
      <c r="A102" s="69">
        <v>31298.0</v>
      </c>
      <c r="B102" s="45" t="s">
        <v>14</v>
      </c>
      <c r="C102" s="42">
        <v>2040.0</v>
      </c>
      <c r="D102" s="128" t="s">
        <v>13546</v>
      </c>
      <c r="E102" s="126" t="s">
        <v>13367</v>
      </c>
      <c r="F102" s="465">
        <v>42975.0</v>
      </c>
      <c r="G102" s="658">
        <v>42971.0</v>
      </c>
      <c r="H102" s="69" t="s">
        <v>1747</v>
      </c>
      <c r="I102" s="663">
        <v>42983.0</v>
      </c>
      <c r="J102" s="123" t="s">
        <v>2535</v>
      </c>
      <c r="K102" s="123" t="s">
        <v>2535</v>
      </c>
      <c r="L102" s="126" t="s">
        <v>13547</v>
      </c>
      <c r="M102" s="123" t="s">
        <v>497</v>
      </c>
      <c r="N102" s="42" t="s">
        <v>1052</v>
      </c>
      <c r="O102" s="659">
        <v>31494.4</v>
      </c>
      <c r="P102" s="411"/>
      <c r="Q102" s="411"/>
      <c r="R102" s="411"/>
      <c r="S102" s="411"/>
      <c r="T102" s="411"/>
      <c r="U102" s="411"/>
      <c r="V102" s="411"/>
      <c r="W102" s="411"/>
      <c r="X102" s="411"/>
      <c r="Y102" s="411"/>
      <c r="Z102" s="411"/>
      <c r="AA102" s="411"/>
    </row>
    <row r="103" ht="33.75" customHeight="1">
      <c r="A103" s="69">
        <v>31297.0</v>
      </c>
      <c r="B103" s="45" t="s">
        <v>21</v>
      </c>
      <c r="C103" s="42">
        <v>2040.0</v>
      </c>
      <c r="D103" s="123" t="s">
        <v>1984</v>
      </c>
      <c r="E103" s="126" t="s">
        <v>8688</v>
      </c>
      <c r="F103" s="465">
        <v>42974.0</v>
      </c>
      <c r="G103" s="658">
        <v>42969.0</v>
      </c>
      <c r="H103" s="69" t="s">
        <v>1747</v>
      </c>
      <c r="I103" s="663">
        <v>42983.0</v>
      </c>
      <c r="J103" s="661" t="s">
        <v>13504</v>
      </c>
      <c r="K103" s="123" t="s">
        <v>3197</v>
      </c>
      <c r="L103" s="126" t="s">
        <v>13548</v>
      </c>
      <c r="M103" s="123" t="s">
        <v>497</v>
      </c>
      <c r="N103" s="42" t="s">
        <v>1052</v>
      </c>
      <c r="O103" s="659">
        <v>30824.4</v>
      </c>
      <c r="P103" s="411"/>
      <c r="Q103" s="411"/>
      <c r="R103" s="411"/>
      <c r="S103" s="411"/>
      <c r="T103" s="411"/>
      <c r="U103" s="411"/>
      <c r="V103" s="411"/>
      <c r="W103" s="411"/>
      <c r="X103" s="411"/>
      <c r="Y103" s="411"/>
      <c r="Z103" s="411"/>
      <c r="AA103" s="411"/>
    </row>
    <row r="104" ht="33.75" customHeight="1">
      <c r="A104" s="69">
        <v>31497.0</v>
      </c>
      <c r="B104" s="45" t="s">
        <v>21</v>
      </c>
      <c r="C104" s="42">
        <v>1157.0</v>
      </c>
      <c r="D104" s="123" t="s">
        <v>1983</v>
      </c>
      <c r="E104" s="682" t="s">
        <v>13549</v>
      </c>
      <c r="F104" s="465">
        <v>42973.0</v>
      </c>
      <c r="G104" s="658">
        <v>42971.0</v>
      </c>
      <c r="H104" s="69" t="s">
        <v>1747</v>
      </c>
      <c r="I104" s="671" t="s">
        <v>13550</v>
      </c>
      <c r="J104" s="661" t="s">
        <v>13504</v>
      </c>
      <c r="K104" s="123" t="s">
        <v>3197</v>
      </c>
      <c r="L104" s="126" t="s">
        <v>13551</v>
      </c>
      <c r="M104" s="123"/>
      <c r="N104" s="42"/>
      <c r="O104" s="659"/>
      <c r="P104" s="411"/>
      <c r="Q104" s="411"/>
      <c r="R104" s="411"/>
      <c r="S104" s="411"/>
      <c r="T104" s="411"/>
      <c r="U104" s="411"/>
      <c r="V104" s="411"/>
      <c r="W104" s="411"/>
      <c r="X104" s="411"/>
      <c r="Y104" s="411"/>
      <c r="Z104" s="411"/>
      <c r="AA104" s="411"/>
    </row>
    <row r="105" ht="33.75" customHeight="1">
      <c r="A105" s="69" t="s">
        <v>13552</v>
      </c>
      <c r="B105" s="45" t="s">
        <v>21</v>
      </c>
      <c r="C105" s="42">
        <v>132.0</v>
      </c>
      <c r="D105" s="128" t="s">
        <v>13553</v>
      </c>
      <c r="E105" s="126" t="s">
        <v>13554</v>
      </c>
      <c r="F105" s="465">
        <v>42972.0</v>
      </c>
      <c r="G105" s="148" t="s">
        <v>210</v>
      </c>
      <c r="H105" s="69" t="s">
        <v>1747</v>
      </c>
      <c r="I105" s="663">
        <v>42978.0</v>
      </c>
      <c r="J105" s="661" t="s">
        <v>13504</v>
      </c>
      <c r="K105" s="123" t="s">
        <v>13505</v>
      </c>
      <c r="L105" s="126" t="s">
        <v>13555</v>
      </c>
      <c r="M105" s="123"/>
      <c r="N105" s="42"/>
      <c r="O105" s="659"/>
      <c r="P105" s="411"/>
      <c r="Q105" s="411"/>
      <c r="R105" s="411"/>
      <c r="S105" s="411"/>
      <c r="T105" s="411"/>
      <c r="U105" s="411"/>
      <c r="V105" s="411"/>
      <c r="W105" s="411"/>
      <c r="X105" s="411"/>
      <c r="Y105" s="411"/>
      <c r="Z105" s="411"/>
      <c r="AA105" s="411"/>
    </row>
    <row r="106" ht="33.75" customHeight="1">
      <c r="A106" s="69">
        <v>31530.0</v>
      </c>
      <c r="B106" s="45" t="s">
        <v>25</v>
      </c>
      <c r="C106" s="42">
        <v>1300.0</v>
      </c>
      <c r="D106" s="123" t="s">
        <v>13556</v>
      </c>
      <c r="E106" s="126" t="s">
        <v>13375</v>
      </c>
      <c r="F106" s="465">
        <v>42971.0</v>
      </c>
      <c r="G106" s="658">
        <v>42972.0</v>
      </c>
      <c r="H106" s="69" t="s">
        <v>1747</v>
      </c>
      <c r="I106" s="676">
        <v>42977.0</v>
      </c>
      <c r="J106" s="661" t="s">
        <v>2535</v>
      </c>
      <c r="K106" s="123" t="s">
        <v>2535</v>
      </c>
      <c r="L106" s="126" t="s">
        <v>13557</v>
      </c>
      <c r="M106" s="123"/>
      <c r="N106" s="42"/>
      <c r="O106" s="659"/>
      <c r="P106" s="411"/>
      <c r="Q106" s="411"/>
      <c r="R106" s="411"/>
      <c r="S106" s="411"/>
      <c r="T106" s="411"/>
      <c r="U106" s="411"/>
      <c r="V106" s="411"/>
      <c r="W106" s="411"/>
      <c r="X106" s="411"/>
      <c r="Y106" s="411"/>
      <c r="Z106" s="411"/>
      <c r="AA106" s="411"/>
    </row>
    <row r="107" ht="33.75" customHeight="1">
      <c r="A107" s="69">
        <v>31295.0</v>
      </c>
      <c r="B107" s="45" t="s">
        <v>21</v>
      </c>
      <c r="C107" s="42">
        <v>1375.0</v>
      </c>
      <c r="D107" s="123" t="s">
        <v>1982</v>
      </c>
      <c r="E107" s="126" t="s">
        <v>13558</v>
      </c>
      <c r="F107" s="465">
        <v>42971.0</v>
      </c>
      <c r="G107" s="658">
        <v>42969.0</v>
      </c>
      <c r="H107" s="69" t="s">
        <v>1747</v>
      </c>
      <c r="I107" s="672" t="s">
        <v>13559</v>
      </c>
      <c r="J107" s="661" t="s">
        <v>13560</v>
      </c>
      <c r="K107" s="123" t="s">
        <v>13505</v>
      </c>
      <c r="L107" s="126" t="s">
        <v>13561</v>
      </c>
      <c r="M107" s="123"/>
      <c r="N107" s="42"/>
      <c r="O107" s="659"/>
      <c r="P107" s="411"/>
      <c r="Q107" s="411"/>
      <c r="R107" s="411"/>
      <c r="S107" s="411"/>
      <c r="T107" s="411"/>
      <c r="U107" s="411"/>
      <c r="V107" s="411"/>
      <c r="W107" s="411"/>
      <c r="X107" s="411"/>
      <c r="Y107" s="411"/>
      <c r="Z107" s="411"/>
      <c r="AA107" s="411"/>
    </row>
    <row r="108" ht="33.75" customHeight="1">
      <c r="A108" s="69">
        <v>31380.0</v>
      </c>
      <c r="B108" s="45" t="s">
        <v>14</v>
      </c>
      <c r="C108" s="42">
        <v>1375.0</v>
      </c>
      <c r="D108" s="128" t="s">
        <v>13562</v>
      </c>
      <c r="E108" s="126" t="s">
        <v>13563</v>
      </c>
      <c r="F108" s="465">
        <v>42970.0</v>
      </c>
      <c r="G108" s="658">
        <v>42964.0</v>
      </c>
      <c r="H108" s="69" t="s">
        <v>1747</v>
      </c>
      <c r="I108" s="663">
        <v>42977.0</v>
      </c>
      <c r="J108" s="661" t="s">
        <v>2535</v>
      </c>
      <c r="K108" s="123" t="s">
        <v>2535</v>
      </c>
      <c r="L108" s="126" t="s">
        <v>13564</v>
      </c>
      <c r="M108" s="42" t="s">
        <v>497</v>
      </c>
      <c r="N108" s="42" t="s">
        <v>3868</v>
      </c>
      <c r="O108" s="659">
        <v>10104.0</v>
      </c>
      <c r="P108" s="411"/>
      <c r="Q108" s="411"/>
      <c r="R108" s="411"/>
      <c r="S108" s="411"/>
      <c r="T108" s="411"/>
      <c r="U108" s="411"/>
      <c r="V108" s="411"/>
      <c r="W108" s="411"/>
      <c r="X108" s="411"/>
      <c r="Y108" s="411"/>
      <c r="Z108" s="411"/>
      <c r="AA108" s="411"/>
    </row>
    <row r="109" ht="33.75" customHeight="1">
      <c r="A109" s="69">
        <v>31153.0</v>
      </c>
      <c r="B109" s="45" t="s">
        <v>25</v>
      </c>
      <c r="C109" s="42">
        <v>2896.0</v>
      </c>
      <c r="D109" s="123" t="s">
        <v>13565</v>
      </c>
      <c r="E109" s="126" t="s">
        <v>13566</v>
      </c>
      <c r="F109" s="465">
        <v>42970.0</v>
      </c>
      <c r="G109" s="658">
        <v>42972.0</v>
      </c>
      <c r="H109" s="69" t="s">
        <v>1747</v>
      </c>
      <c r="I109" s="676">
        <v>42977.0</v>
      </c>
      <c r="J109" s="661" t="s">
        <v>2535</v>
      </c>
      <c r="K109" s="123" t="s">
        <v>2535</v>
      </c>
      <c r="L109" s="126" t="s">
        <v>13567</v>
      </c>
      <c r="M109" s="123" t="s">
        <v>497</v>
      </c>
      <c r="N109" s="42" t="s">
        <v>1052</v>
      </c>
      <c r="O109" s="659">
        <v>80971.2</v>
      </c>
      <c r="P109" s="411"/>
      <c r="Q109" s="411"/>
      <c r="R109" s="411"/>
      <c r="S109" s="411"/>
      <c r="T109" s="411"/>
      <c r="U109" s="411"/>
      <c r="V109" s="411"/>
      <c r="W109" s="411"/>
      <c r="X109" s="411"/>
      <c r="Y109" s="411"/>
      <c r="Z109" s="411"/>
      <c r="AA109" s="411"/>
    </row>
    <row r="110" ht="33.75" customHeight="1">
      <c r="A110" s="69">
        <v>31475.0</v>
      </c>
      <c r="B110" s="45" t="s">
        <v>14</v>
      </c>
      <c r="C110" s="42">
        <v>1100.0</v>
      </c>
      <c r="D110" s="128" t="s">
        <v>13568</v>
      </c>
      <c r="E110" s="682" t="s">
        <v>13569</v>
      </c>
      <c r="F110" s="465">
        <v>42969.0</v>
      </c>
      <c r="G110" s="658">
        <v>42968.0</v>
      </c>
      <c r="H110" s="69" t="s">
        <v>1747</v>
      </c>
      <c r="I110" s="671" t="s">
        <v>13570</v>
      </c>
      <c r="J110" s="661" t="s">
        <v>2535</v>
      </c>
      <c r="K110" s="123" t="s">
        <v>2535</v>
      </c>
      <c r="L110" s="126" t="s">
        <v>13571</v>
      </c>
      <c r="M110" s="42"/>
      <c r="N110" s="42"/>
      <c r="O110" s="659"/>
      <c r="P110" s="411"/>
      <c r="Q110" s="411"/>
      <c r="R110" s="411"/>
      <c r="S110" s="411"/>
      <c r="T110" s="411"/>
      <c r="U110" s="411"/>
      <c r="V110" s="411"/>
      <c r="W110" s="411"/>
      <c r="X110" s="411"/>
      <c r="Y110" s="411"/>
      <c r="Z110" s="411"/>
      <c r="AA110" s="411"/>
    </row>
    <row r="111" ht="33.75" customHeight="1">
      <c r="A111" s="69">
        <v>31300.0</v>
      </c>
      <c r="B111" s="45" t="s">
        <v>14</v>
      </c>
      <c r="C111" s="42">
        <v>2040.0</v>
      </c>
      <c r="D111" s="123" t="s">
        <v>13572</v>
      </c>
      <c r="E111" s="126" t="s">
        <v>13363</v>
      </c>
      <c r="F111" s="465">
        <v>42968.0</v>
      </c>
      <c r="G111" s="658">
        <v>42964.0</v>
      </c>
      <c r="H111" s="69" t="s">
        <v>1747</v>
      </c>
      <c r="I111" s="663">
        <v>42972.0</v>
      </c>
      <c r="J111" s="661" t="s">
        <v>2535</v>
      </c>
      <c r="K111" s="123" t="s">
        <v>2535</v>
      </c>
      <c r="L111" s="126" t="s">
        <v>13573</v>
      </c>
      <c r="M111" s="123" t="s">
        <v>497</v>
      </c>
      <c r="N111" s="42" t="s">
        <v>1052</v>
      </c>
      <c r="O111" s="659">
        <v>30824.4</v>
      </c>
      <c r="P111" s="411"/>
      <c r="Q111" s="411"/>
      <c r="R111" s="411"/>
      <c r="S111" s="411"/>
      <c r="T111" s="411"/>
      <c r="U111" s="411"/>
      <c r="V111" s="411"/>
      <c r="W111" s="411"/>
      <c r="X111" s="411"/>
      <c r="Y111" s="411"/>
      <c r="Z111" s="411"/>
      <c r="AA111" s="411"/>
    </row>
    <row r="112" ht="33.75" customHeight="1">
      <c r="A112" s="69">
        <v>31220.0</v>
      </c>
      <c r="B112" s="45" t="s">
        <v>21</v>
      </c>
      <c r="C112" s="42">
        <v>785.0</v>
      </c>
      <c r="D112" s="123" t="s">
        <v>13574</v>
      </c>
      <c r="E112" s="126" t="s">
        <v>13575</v>
      </c>
      <c r="F112" s="465">
        <v>42967.0</v>
      </c>
      <c r="G112" s="148" t="s">
        <v>210</v>
      </c>
      <c r="H112" s="69" t="s">
        <v>1747</v>
      </c>
      <c r="I112" s="663">
        <v>42975.0</v>
      </c>
      <c r="J112" s="661" t="s">
        <v>13504</v>
      </c>
      <c r="K112" s="123" t="s">
        <v>13505</v>
      </c>
      <c r="L112" s="126" t="s">
        <v>13576</v>
      </c>
      <c r="M112" s="42"/>
      <c r="N112" s="42"/>
      <c r="O112" s="659"/>
      <c r="P112" s="411"/>
      <c r="Q112" s="411"/>
      <c r="R112" s="411"/>
      <c r="S112" s="411"/>
      <c r="T112" s="411"/>
      <c r="U112" s="411"/>
      <c r="V112" s="411"/>
      <c r="W112" s="411"/>
      <c r="X112" s="411"/>
      <c r="Y112" s="411"/>
      <c r="Z112" s="411"/>
      <c r="AA112" s="411"/>
    </row>
    <row r="113" ht="33.75" customHeight="1">
      <c r="A113" s="69">
        <v>31152.0</v>
      </c>
      <c r="B113" s="45" t="s">
        <v>21</v>
      </c>
      <c r="C113" s="42">
        <v>3000.0</v>
      </c>
      <c r="D113" s="123" t="s">
        <v>13577</v>
      </c>
      <c r="E113" s="126" t="s">
        <v>13566</v>
      </c>
      <c r="F113" s="465">
        <v>42967.0</v>
      </c>
      <c r="G113" s="658">
        <v>42963.0</v>
      </c>
      <c r="H113" s="69" t="s">
        <v>1747</v>
      </c>
      <c r="I113" s="663">
        <v>42972.0</v>
      </c>
      <c r="J113" s="661" t="s">
        <v>13578</v>
      </c>
      <c r="K113" s="123" t="s">
        <v>3197</v>
      </c>
      <c r="L113" s="126" t="s">
        <v>13579</v>
      </c>
      <c r="M113" s="123" t="s">
        <v>497</v>
      </c>
      <c r="N113" s="42" t="s">
        <v>1052</v>
      </c>
      <c r="O113" s="659">
        <v>83800.0</v>
      </c>
      <c r="P113" s="411"/>
      <c r="Q113" s="411"/>
      <c r="R113" s="411"/>
      <c r="S113" s="411"/>
      <c r="T113" s="411"/>
      <c r="U113" s="411"/>
      <c r="V113" s="411"/>
      <c r="W113" s="411"/>
      <c r="X113" s="411"/>
      <c r="Y113" s="411"/>
      <c r="Z113" s="411"/>
      <c r="AA113" s="411"/>
    </row>
    <row r="114" ht="33.75" customHeight="1">
      <c r="A114" s="69">
        <v>31377.0</v>
      </c>
      <c r="B114" s="45" t="s">
        <v>21</v>
      </c>
      <c r="C114" s="42">
        <v>1350.0</v>
      </c>
      <c r="D114" s="123" t="s">
        <v>1981</v>
      </c>
      <c r="E114" s="682" t="s">
        <v>13563</v>
      </c>
      <c r="F114" s="475">
        <v>42967.0</v>
      </c>
      <c r="G114" s="670">
        <v>42963.0</v>
      </c>
      <c r="H114" s="677" t="s">
        <v>1747</v>
      </c>
      <c r="I114" s="671" t="s">
        <v>13580</v>
      </c>
      <c r="J114" s="661" t="s">
        <v>13578</v>
      </c>
      <c r="K114" s="123" t="s">
        <v>13505</v>
      </c>
      <c r="L114" s="126" t="s">
        <v>13581</v>
      </c>
      <c r="M114" s="42" t="s">
        <v>497</v>
      </c>
      <c r="N114" s="42" t="s">
        <v>3868</v>
      </c>
      <c r="O114" s="659">
        <v>10837.8</v>
      </c>
      <c r="P114" s="411"/>
      <c r="Q114" s="411"/>
      <c r="R114" s="411"/>
      <c r="S114" s="411"/>
      <c r="T114" s="411"/>
      <c r="U114" s="411"/>
      <c r="V114" s="411"/>
      <c r="W114" s="411"/>
      <c r="X114" s="411"/>
      <c r="Y114" s="411"/>
      <c r="Z114" s="411"/>
      <c r="AA114" s="411"/>
    </row>
    <row r="115" ht="33.75" customHeight="1">
      <c r="A115" s="69">
        <v>31421.0</v>
      </c>
      <c r="B115" s="45" t="s">
        <v>21</v>
      </c>
      <c r="C115" s="42">
        <v>182.0</v>
      </c>
      <c r="D115" s="128" t="s">
        <v>13582</v>
      </c>
      <c r="E115" s="126" t="s">
        <v>13583</v>
      </c>
      <c r="F115" s="465">
        <v>42967.0</v>
      </c>
      <c r="G115" s="658">
        <v>42975.0</v>
      </c>
      <c r="H115" s="69" t="s">
        <v>1747</v>
      </c>
      <c r="I115" s="663">
        <v>42976.0</v>
      </c>
      <c r="J115" s="661" t="s">
        <v>2535</v>
      </c>
      <c r="K115" s="123" t="s">
        <v>2535</v>
      </c>
      <c r="L115" s="126" t="s">
        <v>13584</v>
      </c>
      <c r="M115" s="42"/>
      <c r="N115" s="42"/>
      <c r="O115" s="659"/>
      <c r="P115" s="411"/>
      <c r="Q115" s="411"/>
      <c r="R115" s="411"/>
      <c r="S115" s="411"/>
      <c r="T115" s="411"/>
      <c r="U115" s="411"/>
      <c r="V115" s="411"/>
      <c r="W115" s="411"/>
      <c r="X115" s="411"/>
      <c r="Y115" s="411"/>
      <c r="Z115" s="411"/>
      <c r="AA115" s="411"/>
    </row>
    <row r="116" ht="33.75" customHeight="1">
      <c r="A116" s="69">
        <v>31236.0</v>
      </c>
      <c r="B116" s="45" t="s">
        <v>21</v>
      </c>
      <c r="C116" s="42">
        <v>1600.0</v>
      </c>
      <c r="D116" s="123" t="s">
        <v>1980</v>
      </c>
      <c r="E116" s="126" t="s">
        <v>13367</v>
      </c>
      <c r="F116" s="465">
        <v>42967.0</v>
      </c>
      <c r="G116" s="658">
        <v>42963.0</v>
      </c>
      <c r="H116" s="69" t="s">
        <v>1747</v>
      </c>
      <c r="I116" s="663">
        <v>42976.0</v>
      </c>
      <c r="J116" s="661" t="s">
        <v>13578</v>
      </c>
      <c r="K116" s="123" t="s">
        <v>3197</v>
      </c>
      <c r="L116" s="126" t="s">
        <v>13585</v>
      </c>
      <c r="M116" s="123" t="s">
        <v>497</v>
      </c>
      <c r="N116" s="42" t="s">
        <v>1052</v>
      </c>
      <c r="O116" s="659">
        <v>25122.56</v>
      </c>
      <c r="P116" s="411"/>
      <c r="Q116" s="411"/>
      <c r="R116" s="411"/>
      <c r="S116" s="411"/>
      <c r="T116" s="411"/>
      <c r="U116" s="411"/>
      <c r="V116" s="411"/>
      <c r="W116" s="411"/>
      <c r="X116" s="411"/>
      <c r="Y116" s="411"/>
      <c r="Z116" s="411"/>
      <c r="AA116" s="411"/>
    </row>
    <row r="117" ht="33.75" customHeight="1">
      <c r="A117" s="69">
        <v>31301.0</v>
      </c>
      <c r="B117" s="45" t="s">
        <v>25</v>
      </c>
      <c r="C117" s="42">
        <v>2040.0</v>
      </c>
      <c r="D117" s="123" t="s">
        <v>13586</v>
      </c>
      <c r="E117" s="126" t="s">
        <v>13587</v>
      </c>
      <c r="F117" s="465">
        <v>42964.0</v>
      </c>
      <c r="G117" s="658">
        <v>42961.0</v>
      </c>
      <c r="H117" s="69" t="s">
        <v>1747</v>
      </c>
      <c r="I117" s="663">
        <v>42969.0</v>
      </c>
      <c r="J117" s="661" t="s">
        <v>2535</v>
      </c>
      <c r="K117" s="123" t="s">
        <v>2535</v>
      </c>
      <c r="L117" s="126" t="s">
        <v>13588</v>
      </c>
      <c r="M117" s="123" t="s">
        <v>497</v>
      </c>
      <c r="N117" s="42" t="s">
        <v>1052</v>
      </c>
      <c r="O117" s="659">
        <v>31494.4</v>
      </c>
      <c r="P117" s="411"/>
      <c r="Q117" s="411"/>
      <c r="R117" s="411"/>
      <c r="S117" s="411"/>
      <c r="T117" s="411"/>
      <c r="U117" s="411"/>
      <c r="V117" s="411"/>
      <c r="W117" s="411"/>
      <c r="X117" s="411"/>
      <c r="Y117" s="411"/>
      <c r="Z117" s="411"/>
      <c r="AA117" s="411"/>
    </row>
    <row r="118" ht="33.75" customHeight="1">
      <c r="A118" s="69">
        <v>31477.0</v>
      </c>
      <c r="B118" s="45" t="s">
        <v>14</v>
      </c>
      <c r="C118" s="42">
        <v>1122.0</v>
      </c>
      <c r="D118" s="123" t="s">
        <v>13589</v>
      </c>
      <c r="E118" s="682" t="s">
        <v>13590</v>
      </c>
      <c r="F118" s="465">
        <v>42963.0</v>
      </c>
      <c r="G118" s="658">
        <v>42964.0</v>
      </c>
      <c r="H118" s="69" t="s">
        <v>1747</v>
      </c>
      <c r="I118" s="667">
        <v>42965.0</v>
      </c>
      <c r="J118" s="661" t="s">
        <v>2535</v>
      </c>
      <c r="K118" s="123" t="s">
        <v>2535</v>
      </c>
      <c r="L118" s="126" t="s">
        <v>13591</v>
      </c>
      <c r="M118" s="42"/>
      <c r="N118" s="42"/>
      <c r="O118" s="659"/>
      <c r="P118" s="411"/>
      <c r="Q118" s="411"/>
      <c r="R118" s="411"/>
      <c r="S118" s="411"/>
      <c r="T118" s="411"/>
      <c r="U118" s="411"/>
      <c r="V118" s="411"/>
      <c r="W118" s="411"/>
      <c r="X118" s="411"/>
      <c r="Y118" s="411"/>
      <c r="Z118" s="411"/>
      <c r="AA118" s="411"/>
    </row>
    <row r="119" ht="33.75" customHeight="1">
      <c r="A119" s="69">
        <v>31451.0</v>
      </c>
      <c r="B119" s="45" t="s">
        <v>14</v>
      </c>
      <c r="C119" s="42">
        <v>1074.0</v>
      </c>
      <c r="D119" s="239" t="s">
        <v>13592</v>
      </c>
      <c r="E119" s="126" t="s">
        <v>13593</v>
      </c>
      <c r="F119" s="465">
        <v>42963.0</v>
      </c>
      <c r="G119" s="658">
        <v>42961.0</v>
      </c>
      <c r="H119" s="69" t="s">
        <v>1747</v>
      </c>
      <c r="I119" s="683">
        <v>42970.0</v>
      </c>
      <c r="J119" s="661" t="s">
        <v>2535</v>
      </c>
      <c r="K119" s="123" t="s">
        <v>2535</v>
      </c>
      <c r="L119" s="126" t="s">
        <v>13594</v>
      </c>
      <c r="M119" s="42"/>
      <c r="N119" s="42"/>
      <c r="O119" s="659"/>
      <c r="P119" s="411"/>
      <c r="Q119" s="411"/>
      <c r="R119" s="411"/>
      <c r="S119" s="411"/>
      <c r="T119" s="411"/>
      <c r="U119" s="411"/>
      <c r="V119" s="411"/>
      <c r="W119" s="411"/>
      <c r="X119" s="411"/>
      <c r="Y119" s="411"/>
      <c r="Z119" s="411"/>
      <c r="AA119" s="411"/>
    </row>
    <row r="120" ht="33.75" customHeight="1">
      <c r="A120" s="69">
        <v>31463.0</v>
      </c>
      <c r="B120" s="45" t="s">
        <v>14</v>
      </c>
      <c r="C120" s="42">
        <v>1450.0</v>
      </c>
      <c r="D120" s="123" t="s">
        <v>13595</v>
      </c>
      <c r="E120" s="126" t="s">
        <v>8430</v>
      </c>
      <c r="F120" s="465">
        <v>42963.0</v>
      </c>
      <c r="G120" s="658">
        <v>42965.0</v>
      </c>
      <c r="H120" s="69" t="s">
        <v>1747</v>
      </c>
      <c r="I120" s="683">
        <v>42969.0</v>
      </c>
      <c r="J120" s="661" t="s">
        <v>2535</v>
      </c>
      <c r="K120" s="123" t="s">
        <v>2535</v>
      </c>
      <c r="L120" s="126" t="s">
        <v>13596</v>
      </c>
      <c r="M120" s="42"/>
      <c r="N120" s="42"/>
      <c r="O120" s="659"/>
      <c r="P120" s="411"/>
      <c r="Q120" s="411"/>
      <c r="R120" s="411"/>
      <c r="S120" s="411"/>
      <c r="T120" s="411"/>
      <c r="U120" s="411"/>
      <c r="V120" s="411"/>
      <c r="W120" s="411"/>
      <c r="X120" s="411"/>
      <c r="Y120" s="411"/>
      <c r="Z120" s="411"/>
      <c r="AA120" s="411"/>
    </row>
    <row r="121" ht="33.75" customHeight="1">
      <c r="A121" s="69">
        <v>31299.0</v>
      </c>
      <c r="B121" s="45" t="s">
        <v>21</v>
      </c>
      <c r="C121" s="42">
        <v>2040.0</v>
      </c>
      <c r="D121" s="128" t="s">
        <v>1979</v>
      </c>
      <c r="E121" s="126" t="s">
        <v>8688</v>
      </c>
      <c r="F121" s="465">
        <v>42962.0</v>
      </c>
      <c r="G121" s="658">
        <v>42958.0</v>
      </c>
      <c r="H121" s="69" t="s">
        <v>1747</v>
      </c>
      <c r="I121" s="683">
        <v>42969.0</v>
      </c>
      <c r="J121" s="661" t="s">
        <v>13578</v>
      </c>
      <c r="K121" s="123" t="s">
        <v>3197</v>
      </c>
      <c r="L121" s="126" t="s">
        <v>13597</v>
      </c>
      <c r="M121" s="123" t="s">
        <v>497</v>
      </c>
      <c r="N121" s="42" t="s">
        <v>1052</v>
      </c>
      <c r="O121" s="659">
        <v>30824.4</v>
      </c>
      <c r="P121" s="411"/>
      <c r="Q121" s="411"/>
      <c r="R121" s="411"/>
      <c r="S121" s="411"/>
      <c r="T121" s="411"/>
      <c r="U121" s="411"/>
      <c r="V121" s="411"/>
      <c r="W121" s="411"/>
      <c r="X121" s="411"/>
      <c r="Y121" s="411"/>
      <c r="Z121" s="411"/>
      <c r="AA121" s="411"/>
    </row>
    <row r="122" ht="33.75" customHeight="1">
      <c r="A122" s="69" t="s">
        <v>28</v>
      </c>
      <c r="B122" s="45" t="s">
        <v>21</v>
      </c>
      <c r="C122" s="42">
        <v>86.0</v>
      </c>
      <c r="D122" s="123" t="s">
        <v>13598</v>
      </c>
      <c r="E122" s="126" t="s">
        <v>13599</v>
      </c>
      <c r="F122" s="465">
        <v>42958.0</v>
      </c>
      <c r="G122" s="148" t="s">
        <v>1175</v>
      </c>
      <c r="H122" s="69" t="s">
        <v>1747</v>
      </c>
      <c r="I122" s="663">
        <v>42970.0</v>
      </c>
      <c r="J122" s="661" t="s">
        <v>2535</v>
      </c>
      <c r="K122" s="123" t="s">
        <v>2535</v>
      </c>
      <c r="L122" s="126" t="s">
        <v>13600</v>
      </c>
      <c r="M122" s="123" t="s">
        <v>497</v>
      </c>
      <c r="N122" s="42" t="s">
        <v>1048</v>
      </c>
      <c r="O122" s="659">
        <v>670.0</v>
      </c>
      <c r="P122" s="411"/>
      <c r="Q122" s="411"/>
      <c r="R122" s="411"/>
      <c r="S122" s="411"/>
      <c r="T122" s="411"/>
      <c r="U122" s="411"/>
      <c r="V122" s="411"/>
      <c r="W122" s="411"/>
      <c r="X122" s="411"/>
      <c r="Y122" s="411"/>
      <c r="Z122" s="411"/>
      <c r="AA122" s="411"/>
    </row>
    <row r="123" ht="33.75" customHeight="1">
      <c r="A123" s="69">
        <v>31261.0</v>
      </c>
      <c r="B123" s="45" t="s">
        <v>21</v>
      </c>
      <c r="C123" s="42">
        <v>1130.0</v>
      </c>
      <c r="D123" s="123" t="s">
        <v>1975</v>
      </c>
      <c r="E123" s="126" t="s">
        <v>12789</v>
      </c>
      <c r="F123" s="465">
        <v>42954.0</v>
      </c>
      <c r="G123" s="658">
        <v>42942.0</v>
      </c>
      <c r="H123" s="69" t="s">
        <v>1747</v>
      </c>
      <c r="I123" s="675" t="s">
        <v>13601</v>
      </c>
      <c r="J123" s="661" t="s">
        <v>13578</v>
      </c>
      <c r="K123" s="123" t="s">
        <v>13505</v>
      </c>
      <c r="L123" s="126" t="s">
        <v>13602</v>
      </c>
      <c r="M123" s="42" t="s">
        <v>497</v>
      </c>
      <c r="N123" s="42" t="s">
        <v>3868</v>
      </c>
      <c r="O123" s="659">
        <v>18916.2</v>
      </c>
      <c r="P123" s="411"/>
      <c r="Q123" s="411"/>
      <c r="R123" s="411"/>
      <c r="S123" s="411"/>
      <c r="T123" s="411"/>
      <c r="U123" s="411"/>
      <c r="V123" s="411"/>
      <c r="W123" s="411"/>
      <c r="X123" s="411"/>
      <c r="Y123" s="411"/>
      <c r="Z123" s="411"/>
      <c r="AA123" s="411"/>
    </row>
    <row r="124" ht="33.75" customHeight="1">
      <c r="A124" s="69">
        <v>31274.0</v>
      </c>
      <c r="B124" s="45" t="s">
        <v>21</v>
      </c>
      <c r="C124" s="42">
        <v>900.0</v>
      </c>
      <c r="D124" s="123" t="s">
        <v>1978</v>
      </c>
      <c r="E124" s="126" t="s">
        <v>8953</v>
      </c>
      <c r="F124" s="465">
        <v>42953.0</v>
      </c>
      <c r="G124" s="658">
        <v>42951.0</v>
      </c>
      <c r="H124" s="69" t="s">
        <v>1747</v>
      </c>
      <c r="I124" s="663">
        <v>42958.0</v>
      </c>
      <c r="J124" s="661" t="s">
        <v>13578</v>
      </c>
      <c r="K124" s="123" t="s">
        <v>13505</v>
      </c>
      <c r="L124" s="126" t="s">
        <v>13603</v>
      </c>
      <c r="M124" s="42"/>
      <c r="N124" s="42"/>
      <c r="O124" s="659"/>
      <c r="P124" s="411"/>
      <c r="Q124" s="411"/>
      <c r="R124" s="411"/>
      <c r="S124" s="411"/>
      <c r="T124" s="411"/>
      <c r="U124" s="411"/>
      <c r="V124" s="411"/>
      <c r="W124" s="411"/>
      <c r="X124" s="411"/>
      <c r="Y124" s="411"/>
      <c r="Z124" s="411"/>
      <c r="AA124" s="411"/>
    </row>
    <row r="125" ht="33.75" customHeight="1">
      <c r="A125" s="69">
        <v>31455.0</v>
      </c>
      <c r="B125" s="45" t="s">
        <v>21</v>
      </c>
      <c r="C125" s="42">
        <v>1100.0</v>
      </c>
      <c r="D125" s="128" t="s">
        <v>13604</v>
      </c>
      <c r="E125" s="682" t="s">
        <v>13605</v>
      </c>
      <c r="F125" s="465">
        <v>42953.0</v>
      </c>
      <c r="G125" s="658">
        <v>42950.0</v>
      </c>
      <c r="H125" s="69" t="s">
        <v>1747</v>
      </c>
      <c r="I125" s="675" t="s">
        <v>13606</v>
      </c>
      <c r="J125" s="661" t="s">
        <v>13578</v>
      </c>
      <c r="K125" s="123" t="s">
        <v>3197</v>
      </c>
      <c r="L125" s="126" t="s">
        <v>13607</v>
      </c>
      <c r="M125" s="42"/>
      <c r="N125" s="42"/>
      <c r="O125" s="659"/>
      <c r="P125" s="411"/>
      <c r="Q125" s="411"/>
      <c r="R125" s="411"/>
      <c r="S125" s="411"/>
      <c r="T125" s="411"/>
      <c r="U125" s="411"/>
      <c r="V125" s="411"/>
      <c r="W125" s="411"/>
      <c r="X125" s="411"/>
      <c r="Y125" s="411"/>
      <c r="Z125" s="411"/>
      <c r="AA125" s="411"/>
    </row>
    <row r="126" ht="33.75" customHeight="1">
      <c r="A126" s="69">
        <v>31378.0</v>
      </c>
      <c r="B126" s="45" t="s">
        <v>14</v>
      </c>
      <c r="C126" s="42">
        <v>1595.0</v>
      </c>
      <c r="D126" s="123" t="s">
        <v>13608</v>
      </c>
      <c r="E126" s="684" t="s">
        <v>13355</v>
      </c>
      <c r="F126" s="465">
        <v>42952.0</v>
      </c>
      <c r="G126" s="658">
        <v>42947.0</v>
      </c>
      <c r="H126" s="69" t="s">
        <v>1747</v>
      </c>
      <c r="I126" s="675" t="s">
        <v>13609</v>
      </c>
      <c r="J126" s="123" t="s">
        <v>2535</v>
      </c>
      <c r="K126" s="123" t="s">
        <v>2535</v>
      </c>
      <c r="L126" s="126" t="s">
        <v>13610</v>
      </c>
      <c r="M126" s="42"/>
      <c r="N126" s="42"/>
      <c r="O126" s="659"/>
      <c r="P126" s="411"/>
      <c r="Q126" s="411"/>
      <c r="R126" s="411"/>
      <c r="S126" s="411"/>
      <c r="T126" s="411"/>
      <c r="U126" s="411"/>
      <c r="V126" s="411"/>
      <c r="W126" s="411"/>
      <c r="X126" s="411"/>
      <c r="Y126" s="411"/>
      <c r="Z126" s="411"/>
      <c r="AA126" s="411"/>
    </row>
    <row r="127" ht="33.75" customHeight="1">
      <c r="A127" s="69">
        <v>31344.0</v>
      </c>
      <c r="B127" s="45" t="s">
        <v>21</v>
      </c>
      <c r="C127" s="42">
        <v>320.0</v>
      </c>
      <c r="D127" s="123" t="s">
        <v>1976</v>
      </c>
      <c r="E127" s="126" t="s">
        <v>13611</v>
      </c>
      <c r="F127" s="465">
        <v>42951.0</v>
      </c>
      <c r="G127" s="658">
        <v>42948.0</v>
      </c>
      <c r="H127" s="69" t="s">
        <v>1747</v>
      </c>
      <c r="I127" s="663">
        <v>42957.0</v>
      </c>
      <c r="J127" s="661" t="s">
        <v>13578</v>
      </c>
      <c r="K127" s="123" t="s">
        <v>13505</v>
      </c>
      <c r="L127" s="126" t="s">
        <v>13612</v>
      </c>
      <c r="M127" s="42"/>
      <c r="N127" s="42"/>
      <c r="O127" s="659"/>
      <c r="P127" s="411"/>
      <c r="Q127" s="411"/>
      <c r="R127" s="411"/>
      <c r="S127" s="411"/>
      <c r="T127" s="411"/>
      <c r="U127" s="411"/>
      <c r="V127" s="411"/>
      <c r="W127" s="411"/>
      <c r="X127" s="411"/>
      <c r="Y127" s="411"/>
      <c r="Z127" s="411"/>
      <c r="AA127" s="411"/>
    </row>
    <row r="128" ht="33.75" customHeight="1">
      <c r="A128" s="69">
        <v>31435.0</v>
      </c>
      <c r="B128" s="45" t="s">
        <v>21</v>
      </c>
      <c r="C128" s="42">
        <v>1400.0</v>
      </c>
      <c r="D128" s="128" t="s">
        <v>1977</v>
      </c>
      <c r="E128" s="126" t="s">
        <v>13613</v>
      </c>
      <c r="F128" s="465">
        <v>42949.0</v>
      </c>
      <c r="G128" s="658">
        <v>42948.0</v>
      </c>
      <c r="H128" s="69" t="s">
        <v>1747</v>
      </c>
      <c r="I128" s="663">
        <v>42958.0</v>
      </c>
      <c r="J128" s="661" t="s">
        <v>13578</v>
      </c>
      <c r="K128" s="123" t="s">
        <v>3197</v>
      </c>
      <c r="L128" s="126" t="s">
        <v>13614</v>
      </c>
      <c r="M128" s="42"/>
      <c r="N128" s="42"/>
      <c r="O128" s="659"/>
      <c r="P128" s="411"/>
      <c r="Q128" s="411"/>
      <c r="R128" s="411"/>
      <c r="S128" s="411"/>
      <c r="T128" s="411"/>
      <c r="U128" s="411"/>
      <c r="V128" s="411"/>
      <c r="W128" s="411"/>
      <c r="X128" s="411"/>
      <c r="Y128" s="411"/>
      <c r="Z128" s="411"/>
      <c r="AA128" s="411"/>
    </row>
    <row r="129" ht="33.75" customHeight="1">
      <c r="A129" s="69">
        <v>30951.0</v>
      </c>
      <c r="B129" s="45" t="s">
        <v>14</v>
      </c>
      <c r="C129" s="42">
        <v>2912.0</v>
      </c>
      <c r="D129" s="123" t="s">
        <v>13615</v>
      </c>
      <c r="E129" s="126" t="s">
        <v>13616</v>
      </c>
      <c r="F129" s="465">
        <v>42947.0</v>
      </c>
      <c r="G129" s="658">
        <v>42944.0</v>
      </c>
      <c r="H129" s="69" t="s">
        <v>1747</v>
      </c>
      <c r="I129" s="663">
        <v>42951.0</v>
      </c>
      <c r="J129" s="123" t="s">
        <v>2535</v>
      </c>
      <c r="K129" s="123" t="s">
        <v>2535</v>
      </c>
      <c r="L129" s="126" t="s">
        <v>13617</v>
      </c>
      <c r="M129" s="123" t="s">
        <v>497</v>
      </c>
      <c r="N129" s="42" t="s">
        <v>1052</v>
      </c>
      <c r="O129" s="659">
        <v>82846.4</v>
      </c>
      <c r="P129" s="411"/>
      <c r="Q129" s="411"/>
      <c r="R129" s="411"/>
      <c r="S129" s="411"/>
      <c r="T129" s="411"/>
      <c r="U129" s="411"/>
      <c r="V129" s="411"/>
      <c r="W129" s="411"/>
      <c r="X129" s="411"/>
      <c r="Y129" s="411"/>
      <c r="Z129" s="411"/>
      <c r="AA129" s="411"/>
    </row>
    <row r="130" ht="33.75" customHeight="1">
      <c r="A130" s="69">
        <v>30952.0</v>
      </c>
      <c r="B130" s="69" t="s">
        <v>14</v>
      </c>
      <c r="C130" s="42">
        <v>3000.0</v>
      </c>
      <c r="D130" s="123" t="s">
        <v>13618</v>
      </c>
      <c r="E130" s="126" t="s">
        <v>13619</v>
      </c>
      <c r="F130" s="465">
        <v>42947.0</v>
      </c>
      <c r="G130" s="658">
        <v>42943.0</v>
      </c>
      <c r="H130" s="69" t="s">
        <v>1747</v>
      </c>
      <c r="I130" s="663">
        <v>42949.0</v>
      </c>
      <c r="J130" s="123" t="s">
        <v>2535</v>
      </c>
      <c r="K130" s="123" t="s">
        <v>2535</v>
      </c>
      <c r="L130" s="126" t="s">
        <v>13620</v>
      </c>
      <c r="M130" s="123" t="s">
        <v>497</v>
      </c>
      <c r="N130" s="42" t="s">
        <v>1052</v>
      </c>
      <c r="O130" s="659">
        <v>85240.0</v>
      </c>
      <c r="P130" s="411"/>
      <c r="Q130" s="411"/>
      <c r="R130" s="411"/>
      <c r="S130" s="411"/>
      <c r="T130" s="411"/>
      <c r="U130" s="411"/>
      <c r="V130" s="411"/>
      <c r="W130" s="411"/>
      <c r="X130" s="411"/>
      <c r="Y130" s="411"/>
      <c r="Z130" s="411"/>
      <c r="AA130" s="411"/>
    </row>
    <row r="131" ht="33.75" customHeight="1">
      <c r="A131" s="69">
        <v>31179.0</v>
      </c>
      <c r="B131" s="45" t="s">
        <v>14</v>
      </c>
      <c r="C131" s="42">
        <v>2040.0</v>
      </c>
      <c r="D131" s="128" t="s">
        <v>13621</v>
      </c>
      <c r="E131" s="126" t="s">
        <v>8688</v>
      </c>
      <c r="F131" s="465">
        <v>42947.0</v>
      </c>
      <c r="G131" s="658">
        <v>42943.0</v>
      </c>
      <c r="H131" s="69" t="s">
        <v>1747</v>
      </c>
      <c r="I131" s="663">
        <v>42954.0</v>
      </c>
      <c r="J131" s="123" t="s">
        <v>2535</v>
      </c>
      <c r="K131" s="123" t="s">
        <v>2535</v>
      </c>
      <c r="L131" s="126" t="s">
        <v>13622</v>
      </c>
      <c r="M131" s="123" t="s">
        <v>497</v>
      </c>
      <c r="N131" s="42" t="s">
        <v>1052</v>
      </c>
      <c r="O131" s="659">
        <v>30824.4</v>
      </c>
      <c r="P131" s="411"/>
      <c r="Q131" s="411"/>
      <c r="R131" s="411"/>
      <c r="S131" s="411"/>
      <c r="T131" s="411"/>
      <c r="U131" s="411"/>
      <c r="V131" s="411"/>
      <c r="W131" s="411"/>
      <c r="X131" s="411"/>
      <c r="Y131" s="411"/>
      <c r="Z131" s="411"/>
      <c r="AA131" s="411"/>
    </row>
    <row r="132" ht="33.75" customHeight="1">
      <c r="A132" s="69">
        <v>31417.0</v>
      </c>
      <c r="B132" s="45" t="s">
        <v>25</v>
      </c>
      <c r="C132" s="42">
        <v>1350.0</v>
      </c>
      <c r="D132" s="123" t="s">
        <v>13623</v>
      </c>
      <c r="E132" s="684" t="s">
        <v>13624</v>
      </c>
      <c r="F132" s="465">
        <v>42947.0</v>
      </c>
      <c r="G132" s="670">
        <v>42940.0</v>
      </c>
      <c r="H132" s="677" t="s">
        <v>1747</v>
      </c>
      <c r="I132" s="671" t="s">
        <v>13609</v>
      </c>
      <c r="J132" s="123" t="s">
        <v>2535</v>
      </c>
      <c r="K132" s="123" t="s">
        <v>2535</v>
      </c>
      <c r="L132" s="126" t="s">
        <v>13625</v>
      </c>
      <c r="M132" s="42"/>
      <c r="N132" s="42"/>
      <c r="O132" s="659"/>
      <c r="P132" s="411"/>
      <c r="Q132" s="411"/>
      <c r="R132" s="411"/>
      <c r="S132" s="411"/>
      <c r="T132" s="411"/>
      <c r="U132" s="411"/>
      <c r="V132" s="411"/>
      <c r="W132" s="411"/>
      <c r="X132" s="411"/>
      <c r="Y132" s="411"/>
      <c r="Z132" s="411"/>
      <c r="AA132" s="411"/>
    </row>
    <row r="133" ht="33.75" customHeight="1">
      <c r="A133" s="69">
        <v>31436.0</v>
      </c>
      <c r="B133" s="45" t="s">
        <v>25</v>
      </c>
      <c r="C133" s="42">
        <v>1182.0</v>
      </c>
      <c r="D133" s="215" t="s">
        <v>13626</v>
      </c>
      <c r="E133" s="126" t="s">
        <v>8430</v>
      </c>
      <c r="F133" s="465">
        <v>42943.0</v>
      </c>
      <c r="G133" s="658">
        <v>42947.0</v>
      </c>
      <c r="H133" s="69" t="s">
        <v>1747</v>
      </c>
      <c r="I133" s="663">
        <v>42950.0</v>
      </c>
      <c r="J133" s="123" t="s">
        <v>2535</v>
      </c>
      <c r="K133" s="123" t="s">
        <v>2535</v>
      </c>
      <c r="L133" s="126" t="s">
        <v>13627</v>
      </c>
      <c r="M133" s="42"/>
      <c r="N133" s="42"/>
      <c r="O133" s="659"/>
      <c r="P133" s="411"/>
      <c r="Q133" s="411"/>
      <c r="R133" s="411"/>
      <c r="S133" s="411"/>
      <c r="T133" s="411"/>
      <c r="U133" s="411"/>
      <c r="V133" s="411"/>
      <c r="W133" s="411"/>
      <c r="X133" s="411"/>
      <c r="Y133" s="411"/>
      <c r="Z133" s="411"/>
      <c r="AA133" s="411"/>
    </row>
    <row r="134" ht="33.75" customHeight="1">
      <c r="A134" s="69">
        <v>31275.0</v>
      </c>
      <c r="B134" s="45" t="s">
        <v>21</v>
      </c>
      <c r="C134" s="42">
        <v>764.0</v>
      </c>
      <c r="D134" s="128" t="s">
        <v>1974</v>
      </c>
      <c r="E134" s="126" t="s">
        <v>2751</v>
      </c>
      <c r="F134" s="465">
        <v>42941.0</v>
      </c>
      <c r="G134" s="658">
        <v>42937.0</v>
      </c>
      <c r="H134" s="69" t="s">
        <v>1747</v>
      </c>
      <c r="I134" s="663">
        <v>42948.0</v>
      </c>
      <c r="J134" s="661" t="s">
        <v>13628</v>
      </c>
      <c r="K134" s="123" t="s">
        <v>13505</v>
      </c>
      <c r="L134" s="126" t="s">
        <v>13629</v>
      </c>
      <c r="M134" s="123" t="s">
        <v>497</v>
      </c>
      <c r="N134" s="123" t="s">
        <v>1077</v>
      </c>
      <c r="O134" s="659">
        <v>38938.39</v>
      </c>
      <c r="P134" s="411"/>
      <c r="Q134" s="411"/>
      <c r="R134" s="411"/>
      <c r="S134" s="411"/>
      <c r="T134" s="411"/>
      <c r="U134" s="411"/>
      <c r="V134" s="411"/>
      <c r="W134" s="411"/>
      <c r="X134" s="411"/>
      <c r="Y134" s="411"/>
      <c r="Z134" s="411"/>
      <c r="AA134" s="411"/>
    </row>
    <row r="135" ht="33.75" customHeight="1">
      <c r="A135" s="69">
        <v>31398.0</v>
      </c>
      <c r="B135" s="45" t="s">
        <v>14</v>
      </c>
      <c r="C135" s="42">
        <v>1300.0</v>
      </c>
      <c r="D135" s="123" t="s">
        <v>13630</v>
      </c>
      <c r="E135" s="126" t="s">
        <v>8430</v>
      </c>
      <c r="F135" s="465">
        <v>42941.0</v>
      </c>
      <c r="G135" s="658">
        <v>42937.0</v>
      </c>
      <c r="H135" s="69" t="s">
        <v>1747</v>
      </c>
      <c r="I135" s="663">
        <v>42943.0</v>
      </c>
      <c r="J135" s="123" t="s">
        <v>2535</v>
      </c>
      <c r="K135" s="123" t="s">
        <v>2535</v>
      </c>
      <c r="L135" s="126" t="s">
        <v>13631</v>
      </c>
      <c r="M135" s="42"/>
      <c r="N135" s="42"/>
      <c r="O135" s="659"/>
      <c r="P135" s="411"/>
      <c r="Q135" s="411"/>
      <c r="R135" s="411"/>
      <c r="S135" s="411"/>
      <c r="T135" s="411"/>
      <c r="U135" s="411"/>
      <c r="V135" s="411"/>
      <c r="W135" s="411"/>
      <c r="X135" s="411"/>
      <c r="Y135" s="411"/>
      <c r="Z135" s="411"/>
      <c r="AA135" s="411"/>
    </row>
    <row r="136" ht="33.75" customHeight="1">
      <c r="A136" s="69">
        <v>31397.0</v>
      </c>
      <c r="B136" s="45" t="s">
        <v>14</v>
      </c>
      <c r="C136" s="42">
        <v>1182.0</v>
      </c>
      <c r="D136" s="128" t="s">
        <v>13632</v>
      </c>
      <c r="E136" s="126" t="s">
        <v>8430</v>
      </c>
      <c r="F136" s="465">
        <v>42941.0</v>
      </c>
      <c r="G136" s="658">
        <v>42942.0</v>
      </c>
      <c r="H136" s="69" t="s">
        <v>1747</v>
      </c>
      <c r="I136" s="663">
        <v>42944.0</v>
      </c>
      <c r="J136" s="123" t="s">
        <v>2535</v>
      </c>
      <c r="K136" s="123" t="s">
        <v>2535</v>
      </c>
      <c r="L136" s="126" t="s">
        <v>13633</v>
      </c>
      <c r="M136" s="42"/>
      <c r="N136" s="42"/>
      <c r="O136" s="659"/>
      <c r="P136" s="411"/>
      <c r="Q136" s="411"/>
      <c r="R136" s="411"/>
      <c r="S136" s="411"/>
      <c r="T136" s="411"/>
      <c r="U136" s="411"/>
      <c r="V136" s="411"/>
      <c r="W136" s="411"/>
      <c r="X136" s="411"/>
      <c r="Y136" s="411"/>
      <c r="Z136" s="411"/>
      <c r="AA136" s="411"/>
    </row>
    <row r="137" ht="33.75" customHeight="1">
      <c r="A137" s="69">
        <v>31296.0</v>
      </c>
      <c r="B137" s="45" t="s">
        <v>14</v>
      </c>
      <c r="C137" s="42">
        <v>1130.0</v>
      </c>
      <c r="D137" s="123" t="s">
        <v>13634</v>
      </c>
      <c r="E137" s="126" t="s">
        <v>12789</v>
      </c>
      <c r="F137" s="465">
        <v>42940.0</v>
      </c>
      <c r="G137" s="658">
        <v>42936.0</v>
      </c>
      <c r="H137" s="69" t="s">
        <v>1747</v>
      </c>
      <c r="I137" s="663">
        <v>42947.0</v>
      </c>
      <c r="J137" s="123" t="s">
        <v>2535</v>
      </c>
      <c r="K137" s="123" t="s">
        <v>2535</v>
      </c>
      <c r="L137" s="126" t="s">
        <v>13635</v>
      </c>
      <c r="M137" s="42" t="s">
        <v>497</v>
      </c>
      <c r="N137" s="42" t="s">
        <v>3868</v>
      </c>
      <c r="O137" s="659">
        <v>18333.0</v>
      </c>
      <c r="P137" s="411"/>
      <c r="Q137" s="411"/>
      <c r="R137" s="411"/>
      <c r="S137" s="411"/>
      <c r="T137" s="411"/>
      <c r="U137" s="411"/>
      <c r="V137" s="411"/>
      <c r="W137" s="411"/>
      <c r="X137" s="411"/>
      <c r="Y137" s="411"/>
      <c r="Z137" s="411"/>
      <c r="AA137" s="411"/>
    </row>
    <row r="138" ht="33.75" customHeight="1">
      <c r="A138" s="69">
        <v>31210.0</v>
      </c>
      <c r="B138" s="45" t="s">
        <v>14</v>
      </c>
      <c r="C138" s="42">
        <v>484.0</v>
      </c>
      <c r="D138" s="128" t="s">
        <v>13636</v>
      </c>
      <c r="E138" s="126" t="s">
        <v>13637</v>
      </c>
      <c r="F138" s="465">
        <v>42939.0</v>
      </c>
      <c r="G138" s="658">
        <v>42944.0</v>
      </c>
      <c r="H138" s="685" t="s">
        <v>13638</v>
      </c>
      <c r="I138" s="663">
        <v>42950.0</v>
      </c>
      <c r="J138" s="123" t="s">
        <v>2535</v>
      </c>
      <c r="K138" s="123" t="s">
        <v>2535</v>
      </c>
      <c r="L138" s="126" t="s">
        <v>13639</v>
      </c>
      <c r="M138" s="42"/>
      <c r="N138" s="42"/>
      <c r="O138" s="659"/>
      <c r="P138" s="411"/>
      <c r="Q138" s="411"/>
      <c r="R138" s="411"/>
      <c r="S138" s="411"/>
      <c r="T138" s="411"/>
      <c r="U138" s="411"/>
      <c r="V138" s="411"/>
      <c r="W138" s="411"/>
      <c r="X138" s="411"/>
      <c r="Y138" s="411"/>
      <c r="Z138" s="411"/>
      <c r="AA138" s="411"/>
    </row>
    <row r="139" ht="33.75" customHeight="1">
      <c r="A139" s="69">
        <v>31209.0</v>
      </c>
      <c r="B139" s="45" t="s">
        <v>21</v>
      </c>
      <c r="C139" s="42">
        <v>729.0</v>
      </c>
      <c r="D139" s="123" t="s">
        <v>13640</v>
      </c>
      <c r="E139" s="126" t="s">
        <v>13637</v>
      </c>
      <c r="F139" s="465">
        <v>42939.0</v>
      </c>
      <c r="G139" s="658">
        <v>42942.0</v>
      </c>
      <c r="H139" s="69" t="s">
        <v>1747</v>
      </c>
      <c r="I139" s="663">
        <v>42942.0</v>
      </c>
      <c r="J139" s="661" t="s">
        <v>13641</v>
      </c>
      <c r="K139" s="123" t="s">
        <v>13505</v>
      </c>
      <c r="L139" s="126" t="s">
        <v>13642</v>
      </c>
      <c r="M139" s="42"/>
      <c r="N139" s="42"/>
      <c r="O139" s="659"/>
      <c r="P139" s="411"/>
      <c r="Q139" s="411"/>
      <c r="R139" s="411"/>
      <c r="S139" s="411"/>
      <c r="T139" s="411"/>
      <c r="U139" s="411"/>
      <c r="V139" s="411"/>
      <c r="W139" s="411"/>
      <c r="X139" s="411"/>
      <c r="Y139" s="411"/>
      <c r="Z139" s="411"/>
      <c r="AA139" s="411"/>
    </row>
    <row r="140" ht="33.75" customHeight="1">
      <c r="A140" s="69">
        <v>31211.0</v>
      </c>
      <c r="B140" s="45" t="s">
        <v>25</v>
      </c>
      <c r="C140" s="42">
        <v>448.0</v>
      </c>
      <c r="D140" s="128" t="s">
        <v>13643</v>
      </c>
      <c r="E140" s="126" t="s">
        <v>13637</v>
      </c>
      <c r="F140" s="465">
        <v>42935.0</v>
      </c>
      <c r="G140" s="686" t="s">
        <v>1747</v>
      </c>
      <c r="H140" s="69" t="s">
        <v>1747</v>
      </c>
      <c r="I140" s="663">
        <v>42942.0</v>
      </c>
      <c r="J140" s="123" t="s">
        <v>2535</v>
      </c>
      <c r="K140" s="123" t="s">
        <v>2535</v>
      </c>
      <c r="L140" s="126" t="s">
        <v>13644</v>
      </c>
      <c r="M140" s="42"/>
      <c r="N140" s="42"/>
      <c r="O140" s="659"/>
      <c r="P140" s="411"/>
      <c r="Q140" s="411"/>
      <c r="R140" s="411"/>
      <c r="S140" s="411"/>
      <c r="T140" s="411"/>
      <c r="U140" s="411"/>
      <c r="V140" s="411"/>
      <c r="W140" s="411"/>
      <c r="X140" s="411"/>
      <c r="Y140" s="411"/>
      <c r="Z140" s="411"/>
      <c r="AA140" s="411"/>
    </row>
    <row r="141" ht="33.75" customHeight="1">
      <c r="A141" s="69">
        <v>31177.0</v>
      </c>
      <c r="B141" s="45" t="s">
        <v>14</v>
      </c>
      <c r="C141" s="42">
        <v>2040.0</v>
      </c>
      <c r="D141" s="123" t="s">
        <v>13645</v>
      </c>
      <c r="E141" s="126" t="s">
        <v>13367</v>
      </c>
      <c r="F141" s="465">
        <v>42933.0</v>
      </c>
      <c r="G141" s="658">
        <v>42929.0</v>
      </c>
      <c r="H141" s="69" t="s">
        <v>1747</v>
      </c>
      <c r="I141" s="675" t="s">
        <v>13646</v>
      </c>
      <c r="J141" s="123" t="s">
        <v>2535</v>
      </c>
      <c r="K141" s="123" t="s">
        <v>2535</v>
      </c>
      <c r="L141" s="126" t="s">
        <v>13647</v>
      </c>
      <c r="M141" s="123" t="s">
        <v>497</v>
      </c>
      <c r="N141" s="42" t="s">
        <v>1052</v>
      </c>
      <c r="O141" s="659">
        <v>31494.4</v>
      </c>
      <c r="P141" s="411"/>
      <c r="Q141" s="411"/>
      <c r="R141" s="411"/>
      <c r="S141" s="411"/>
      <c r="T141" s="411"/>
      <c r="U141" s="411"/>
      <c r="V141" s="411"/>
      <c r="W141" s="411"/>
      <c r="X141" s="411"/>
      <c r="Y141" s="411"/>
      <c r="Z141" s="411"/>
      <c r="AA141" s="411"/>
    </row>
    <row r="142" ht="33.75" customHeight="1">
      <c r="A142" s="69">
        <v>31176.0</v>
      </c>
      <c r="B142" s="45" t="s">
        <v>21</v>
      </c>
      <c r="C142" s="42">
        <v>2040.0</v>
      </c>
      <c r="D142" s="123" t="s">
        <v>1973</v>
      </c>
      <c r="E142" s="126" t="s">
        <v>13367</v>
      </c>
      <c r="F142" s="465">
        <v>42932.0</v>
      </c>
      <c r="G142" s="658">
        <v>42929.0</v>
      </c>
      <c r="H142" s="69" t="s">
        <v>1747</v>
      </c>
      <c r="I142" s="663">
        <v>42940.0</v>
      </c>
      <c r="J142" s="661" t="s">
        <v>13628</v>
      </c>
      <c r="K142" s="123" t="s">
        <v>3197</v>
      </c>
      <c r="L142" s="126" t="s">
        <v>13648</v>
      </c>
      <c r="M142" s="123" t="s">
        <v>497</v>
      </c>
      <c r="N142" s="42" t="s">
        <v>1052</v>
      </c>
      <c r="O142" s="659">
        <v>31494.4</v>
      </c>
      <c r="P142" s="411"/>
      <c r="Q142" s="411"/>
      <c r="R142" s="411"/>
      <c r="S142" s="411"/>
      <c r="T142" s="411"/>
      <c r="U142" s="411"/>
      <c r="V142" s="411"/>
      <c r="W142" s="411"/>
      <c r="X142" s="411"/>
      <c r="Y142" s="411"/>
      <c r="Z142" s="411"/>
      <c r="AA142" s="411"/>
    </row>
    <row r="143" ht="33.75" customHeight="1">
      <c r="A143" s="69">
        <v>31350.0</v>
      </c>
      <c r="B143" s="45" t="s">
        <v>14</v>
      </c>
      <c r="C143" s="42">
        <v>1182.0</v>
      </c>
      <c r="D143" s="123" t="s">
        <v>13649</v>
      </c>
      <c r="E143" s="126" t="s">
        <v>8430</v>
      </c>
      <c r="F143" s="465">
        <v>42931.0</v>
      </c>
      <c r="G143" s="658">
        <v>42928.0</v>
      </c>
      <c r="H143" s="69" t="s">
        <v>1747</v>
      </c>
      <c r="I143" s="663">
        <v>42934.0</v>
      </c>
      <c r="J143" s="123" t="s">
        <v>2535</v>
      </c>
      <c r="K143" s="123" t="s">
        <v>2535</v>
      </c>
      <c r="L143" s="126" t="s">
        <v>13650</v>
      </c>
      <c r="M143" s="42"/>
      <c r="N143" s="42"/>
      <c r="O143" s="659"/>
      <c r="P143" s="411"/>
      <c r="Q143" s="411"/>
      <c r="R143" s="411"/>
      <c r="S143" s="411"/>
      <c r="T143" s="411"/>
      <c r="U143" s="411"/>
      <c r="V143" s="411"/>
      <c r="W143" s="411"/>
      <c r="X143" s="411"/>
      <c r="Y143" s="411"/>
      <c r="Z143" s="411"/>
      <c r="AA143" s="411"/>
    </row>
    <row r="144" ht="33.75" customHeight="1">
      <c r="A144" s="69">
        <v>31351.0</v>
      </c>
      <c r="B144" s="45" t="s">
        <v>14</v>
      </c>
      <c r="C144" s="42">
        <v>1300.0</v>
      </c>
      <c r="D144" s="42" t="s">
        <v>13651</v>
      </c>
      <c r="E144" s="126" t="s">
        <v>8430</v>
      </c>
      <c r="F144" s="465">
        <v>42931.0</v>
      </c>
      <c r="G144" s="658">
        <v>42928.0</v>
      </c>
      <c r="H144" s="69" t="s">
        <v>1747</v>
      </c>
      <c r="I144" s="663">
        <v>42935.0</v>
      </c>
      <c r="J144" s="123" t="s">
        <v>2535</v>
      </c>
      <c r="K144" s="123" t="s">
        <v>2535</v>
      </c>
      <c r="L144" s="126" t="s">
        <v>13652</v>
      </c>
      <c r="M144" s="42"/>
      <c r="N144" s="42"/>
      <c r="O144" s="659"/>
      <c r="P144" s="411"/>
      <c r="Q144" s="411"/>
      <c r="R144" s="411"/>
      <c r="S144" s="411"/>
      <c r="T144" s="411"/>
      <c r="U144" s="411"/>
      <c r="V144" s="411"/>
      <c r="W144" s="411"/>
      <c r="X144" s="411"/>
      <c r="Y144" s="411"/>
      <c r="Z144" s="411"/>
      <c r="AA144" s="411"/>
    </row>
    <row r="145" ht="33.75" customHeight="1">
      <c r="A145" s="69">
        <v>31315.0</v>
      </c>
      <c r="B145" s="45" t="s">
        <v>25</v>
      </c>
      <c r="C145" s="42">
        <v>145.0</v>
      </c>
      <c r="D145" s="123" t="s">
        <v>13653</v>
      </c>
      <c r="E145" s="126" t="s">
        <v>13654</v>
      </c>
      <c r="F145" s="465">
        <v>42928.0</v>
      </c>
      <c r="G145" s="148" t="s">
        <v>13655</v>
      </c>
      <c r="H145" s="69" t="s">
        <v>1747</v>
      </c>
      <c r="I145" s="663">
        <v>42937.0</v>
      </c>
      <c r="J145" s="123" t="s">
        <v>2535</v>
      </c>
      <c r="K145" s="123" t="s">
        <v>2535</v>
      </c>
      <c r="L145" s="126" t="s">
        <v>13656</v>
      </c>
      <c r="M145" s="42"/>
      <c r="N145" s="42"/>
      <c r="O145" s="659"/>
      <c r="P145" s="411"/>
      <c r="Q145" s="411"/>
      <c r="R145" s="411"/>
      <c r="S145" s="411"/>
      <c r="T145" s="411"/>
      <c r="U145" s="411"/>
      <c r="V145" s="411"/>
      <c r="W145" s="411"/>
      <c r="X145" s="411"/>
      <c r="Y145" s="411"/>
      <c r="Z145" s="411"/>
      <c r="AA145" s="411"/>
    </row>
    <row r="146" ht="33.75" customHeight="1">
      <c r="A146" s="69">
        <v>31178.0</v>
      </c>
      <c r="B146" s="45" t="s">
        <v>25</v>
      </c>
      <c r="C146" s="42">
        <v>2010.0</v>
      </c>
      <c r="D146" s="128" t="s">
        <v>13657</v>
      </c>
      <c r="E146" s="126" t="s">
        <v>8688</v>
      </c>
      <c r="F146" s="465">
        <v>42928.0</v>
      </c>
      <c r="G146" s="658">
        <v>42926.0</v>
      </c>
      <c r="H146" s="69" t="s">
        <v>1747</v>
      </c>
      <c r="I146" s="663">
        <v>42935.0</v>
      </c>
      <c r="J146" s="123" t="s">
        <v>2535</v>
      </c>
      <c r="K146" s="123" t="s">
        <v>2535</v>
      </c>
      <c r="L146" s="126" t="s">
        <v>13658</v>
      </c>
      <c r="M146" s="123" t="s">
        <v>497</v>
      </c>
      <c r="N146" s="42" t="s">
        <v>1052</v>
      </c>
      <c r="O146" s="659">
        <v>30824.4</v>
      </c>
      <c r="P146" s="411"/>
      <c r="Q146" s="411"/>
      <c r="R146" s="411"/>
      <c r="S146" s="411"/>
      <c r="T146" s="411"/>
      <c r="U146" s="411"/>
      <c r="V146" s="411"/>
      <c r="W146" s="411"/>
      <c r="X146" s="411"/>
      <c r="Y146" s="411"/>
      <c r="Z146" s="411"/>
      <c r="AA146" s="411"/>
    </row>
    <row r="147" ht="33.75" customHeight="1">
      <c r="A147" s="69">
        <v>31365.0</v>
      </c>
      <c r="B147" s="45" t="s">
        <v>21</v>
      </c>
      <c r="C147" s="42">
        <v>1074.0</v>
      </c>
      <c r="D147" s="123" t="s">
        <v>1971</v>
      </c>
      <c r="E147" s="126" t="s">
        <v>13659</v>
      </c>
      <c r="F147" s="465">
        <v>42927.0</v>
      </c>
      <c r="G147" s="658">
        <v>42923.0</v>
      </c>
      <c r="H147" s="69" t="s">
        <v>1747</v>
      </c>
      <c r="I147" s="663">
        <v>42936.0</v>
      </c>
      <c r="J147" s="661" t="s">
        <v>13628</v>
      </c>
      <c r="K147" s="123" t="s">
        <v>3197</v>
      </c>
      <c r="L147" s="126" t="s">
        <v>13660</v>
      </c>
      <c r="M147" s="42"/>
      <c r="N147" s="42"/>
      <c r="O147" s="659"/>
      <c r="P147" s="411"/>
      <c r="Q147" s="411"/>
      <c r="R147" s="411"/>
      <c r="S147" s="411"/>
      <c r="T147" s="411"/>
      <c r="U147" s="411"/>
      <c r="V147" s="411"/>
      <c r="W147" s="411"/>
      <c r="X147" s="411"/>
      <c r="Y147" s="411"/>
      <c r="Z147" s="411"/>
      <c r="AA147" s="411"/>
    </row>
    <row r="148" ht="33.75" customHeight="1">
      <c r="A148" s="69">
        <v>31195.0</v>
      </c>
      <c r="B148" s="45" t="s">
        <v>21</v>
      </c>
      <c r="C148" s="42">
        <v>500.0</v>
      </c>
      <c r="D148" s="123" t="s">
        <v>1972</v>
      </c>
      <c r="E148" s="126" t="s">
        <v>13661</v>
      </c>
      <c r="F148" s="465">
        <v>42926.0</v>
      </c>
      <c r="G148" s="658">
        <v>42934.0</v>
      </c>
      <c r="H148" s="69" t="s">
        <v>1747</v>
      </c>
      <c r="I148" s="663">
        <v>42934.0</v>
      </c>
      <c r="J148" s="661" t="s">
        <v>13628</v>
      </c>
      <c r="K148" s="123" t="s">
        <v>13505</v>
      </c>
      <c r="L148" s="126" t="s">
        <v>13662</v>
      </c>
      <c r="M148" s="123" t="s">
        <v>497</v>
      </c>
      <c r="N148" s="42" t="s">
        <v>3868</v>
      </c>
      <c r="O148" s="659">
        <v>31646.25</v>
      </c>
      <c r="P148" s="411"/>
      <c r="Q148" s="411"/>
      <c r="R148" s="411"/>
      <c r="S148" s="411"/>
      <c r="T148" s="411"/>
      <c r="U148" s="411"/>
      <c r="V148" s="411"/>
      <c r="W148" s="411"/>
      <c r="X148" s="411"/>
      <c r="Y148" s="411"/>
      <c r="Z148" s="411"/>
      <c r="AA148" s="411"/>
    </row>
    <row r="149" ht="33.75" customHeight="1">
      <c r="A149" s="69">
        <v>31391.0</v>
      </c>
      <c r="B149" s="45" t="s">
        <v>21</v>
      </c>
      <c r="C149" s="42">
        <v>1130.0</v>
      </c>
      <c r="D149" s="128" t="s">
        <v>13663</v>
      </c>
      <c r="E149" s="126" t="s">
        <v>8475</v>
      </c>
      <c r="F149" s="465">
        <v>42917.0</v>
      </c>
      <c r="G149" s="658">
        <v>42921.0</v>
      </c>
      <c r="H149" s="69" t="s">
        <v>1747</v>
      </c>
      <c r="I149" s="663">
        <v>42926.0</v>
      </c>
      <c r="J149" s="123" t="s">
        <v>2535</v>
      </c>
      <c r="K149" s="123" t="s">
        <v>2535</v>
      </c>
      <c r="L149" s="126" t="s">
        <v>13664</v>
      </c>
      <c r="M149" s="42"/>
      <c r="N149" s="42"/>
      <c r="O149" s="659"/>
      <c r="P149" s="411"/>
      <c r="Q149" s="411"/>
      <c r="R149" s="411"/>
      <c r="S149" s="411"/>
      <c r="T149" s="411"/>
      <c r="U149" s="411"/>
      <c r="V149" s="411"/>
      <c r="W149" s="411"/>
      <c r="X149" s="411"/>
      <c r="Y149" s="411"/>
      <c r="Z149" s="411"/>
      <c r="AA149" s="411"/>
    </row>
    <row r="150" ht="33.75" customHeight="1">
      <c r="A150" s="69" t="s">
        <v>1966</v>
      </c>
      <c r="B150" s="45" t="s">
        <v>21</v>
      </c>
      <c r="C150" s="42">
        <v>1795.0</v>
      </c>
      <c r="D150" s="123" t="s">
        <v>13665</v>
      </c>
      <c r="E150" s="126" t="s">
        <v>13666</v>
      </c>
      <c r="F150" s="465">
        <v>42916.0</v>
      </c>
      <c r="G150" s="658">
        <v>42913.0</v>
      </c>
      <c r="H150" s="69" t="s">
        <v>1747</v>
      </c>
      <c r="I150" s="663">
        <v>42922.0</v>
      </c>
      <c r="J150" s="661" t="s">
        <v>13667</v>
      </c>
      <c r="K150" s="123" t="s">
        <v>13505</v>
      </c>
      <c r="L150" s="126" t="s">
        <v>13668</v>
      </c>
      <c r="M150" s="42" t="s">
        <v>497</v>
      </c>
      <c r="N150" s="42" t="s">
        <v>1048</v>
      </c>
      <c r="O150" s="659">
        <v>31494.4</v>
      </c>
      <c r="P150" s="411"/>
      <c r="Q150" s="411"/>
      <c r="R150" s="411"/>
      <c r="S150" s="411"/>
      <c r="T150" s="411"/>
      <c r="U150" s="411"/>
      <c r="V150" s="411"/>
      <c r="W150" s="411"/>
      <c r="X150" s="411"/>
      <c r="Y150" s="411"/>
      <c r="Z150" s="411"/>
      <c r="AA150" s="411"/>
    </row>
    <row r="151" ht="33.75" customHeight="1">
      <c r="A151" s="69">
        <v>31075.0</v>
      </c>
      <c r="B151" s="45" t="s">
        <v>25</v>
      </c>
      <c r="C151" s="42">
        <v>135.0</v>
      </c>
      <c r="D151" s="123" t="s">
        <v>13669</v>
      </c>
      <c r="E151" s="126" t="s">
        <v>12622</v>
      </c>
      <c r="F151" s="465">
        <v>42914.0</v>
      </c>
      <c r="G151" s="658">
        <v>42912.0</v>
      </c>
      <c r="H151" s="69" t="s">
        <v>1747</v>
      </c>
      <c r="I151" s="687">
        <v>42922.0</v>
      </c>
      <c r="J151" s="123" t="s">
        <v>2535</v>
      </c>
      <c r="K151" s="123" t="s">
        <v>2535</v>
      </c>
      <c r="L151" s="126" t="s">
        <v>13670</v>
      </c>
      <c r="M151" s="42"/>
      <c r="N151" s="42"/>
      <c r="O151" s="659"/>
      <c r="P151" s="411"/>
      <c r="Q151" s="411"/>
      <c r="R151" s="411"/>
      <c r="S151" s="411"/>
      <c r="T151" s="411"/>
      <c r="U151" s="411"/>
      <c r="V151" s="411"/>
      <c r="W151" s="411"/>
      <c r="X151" s="411"/>
      <c r="Y151" s="411"/>
      <c r="Z151" s="411"/>
      <c r="AA151" s="411"/>
    </row>
    <row r="152" ht="33.75" customHeight="1">
      <c r="A152" s="69">
        <v>31318.0</v>
      </c>
      <c r="B152" s="45" t="s">
        <v>14</v>
      </c>
      <c r="C152" s="42">
        <v>220.0</v>
      </c>
      <c r="D152" s="128" t="s">
        <v>13671</v>
      </c>
      <c r="E152" s="126" t="s">
        <v>8449</v>
      </c>
      <c r="F152" s="465">
        <v>42914.0</v>
      </c>
      <c r="G152" s="658">
        <v>42921.0</v>
      </c>
      <c r="H152" s="69" t="s">
        <v>1747</v>
      </c>
      <c r="I152" s="663">
        <v>42922.0</v>
      </c>
      <c r="J152" s="123" t="s">
        <v>2535</v>
      </c>
      <c r="K152" s="123" t="s">
        <v>2535</v>
      </c>
      <c r="L152" s="126" t="s">
        <v>13672</v>
      </c>
      <c r="M152" s="42"/>
      <c r="N152" s="42"/>
      <c r="O152" s="659"/>
      <c r="P152" s="411"/>
      <c r="Q152" s="411"/>
      <c r="R152" s="411"/>
      <c r="S152" s="411"/>
      <c r="T152" s="411"/>
      <c r="U152" s="411"/>
      <c r="V152" s="411"/>
      <c r="W152" s="411"/>
      <c r="X152" s="411"/>
      <c r="Y152" s="411"/>
      <c r="Z152" s="411"/>
      <c r="AA152" s="411"/>
    </row>
    <row r="153" ht="33.75" customHeight="1">
      <c r="A153" s="69">
        <v>31316.0</v>
      </c>
      <c r="B153" s="45" t="s">
        <v>14</v>
      </c>
      <c r="C153" s="42">
        <v>944.0</v>
      </c>
      <c r="D153" s="123" t="s">
        <v>13673</v>
      </c>
      <c r="E153" s="126" t="s">
        <v>13674</v>
      </c>
      <c r="F153" s="465">
        <v>42914.0</v>
      </c>
      <c r="G153" s="688">
        <v>42921.0</v>
      </c>
      <c r="H153" s="69" t="s">
        <v>1747</v>
      </c>
      <c r="I153" s="663">
        <v>42927.0</v>
      </c>
      <c r="J153" s="123" t="s">
        <v>2535</v>
      </c>
      <c r="K153" s="123" t="s">
        <v>2535</v>
      </c>
      <c r="L153" s="126" t="s">
        <v>13675</v>
      </c>
      <c r="M153" s="42"/>
      <c r="N153" s="42"/>
      <c r="O153" s="659"/>
      <c r="P153" s="411"/>
      <c r="Q153" s="411"/>
      <c r="R153" s="411"/>
      <c r="S153" s="411"/>
      <c r="T153" s="411"/>
      <c r="U153" s="411"/>
      <c r="V153" s="411"/>
      <c r="W153" s="411"/>
      <c r="X153" s="411"/>
      <c r="Y153" s="411"/>
      <c r="Z153" s="411"/>
      <c r="AA153" s="411"/>
    </row>
    <row r="154" ht="33.75" customHeight="1">
      <c r="A154" s="69">
        <v>31328.0</v>
      </c>
      <c r="B154" s="45" t="s">
        <v>21</v>
      </c>
      <c r="C154" s="42">
        <v>1450.0</v>
      </c>
      <c r="D154" s="128" t="s">
        <v>1965</v>
      </c>
      <c r="E154" s="126" t="s">
        <v>13676</v>
      </c>
      <c r="F154" s="689">
        <v>42913.0</v>
      </c>
      <c r="G154" s="690">
        <v>42909.0</v>
      </c>
      <c r="H154" s="69" t="s">
        <v>1747</v>
      </c>
      <c r="I154" s="671" t="s">
        <v>13677</v>
      </c>
      <c r="J154" s="661" t="s">
        <v>13628</v>
      </c>
      <c r="K154" s="123" t="s">
        <v>3197</v>
      </c>
      <c r="L154" s="126" t="s">
        <v>13678</v>
      </c>
      <c r="M154" s="42"/>
      <c r="N154" s="42"/>
      <c r="O154" s="659"/>
      <c r="P154" s="411"/>
      <c r="Q154" s="411"/>
      <c r="R154" s="411"/>
      <c r="S154" s="411"/>
      <c r="T154" s="411"/>
      <c r="U154" s="411"/>
      <c r="V154" s="411"/>
      <c r="W154" s="411"/>
      <c r="X154" s="411"/>
      <c r="Y154" s="411"/>
      <c r="Z154" s="411"/>
      <c r="AA154" s="411"/>
    </row>
    <row r="155" ht="33.75" customHeight="1">
      <c r="A155" s="69">
        <v>31112.0</v>
      </c>
      <c r="B155" s="45" t="s">
        <v>14</v>
      </c>
      <c r="C155" s="42">
        <v>2040.0</v>
      </c>
      <c r="D155" s="123" t="s">
        <v>13679</v>
      </c>
      <c r="E155" s="126" t="s">
        <v>13680</v>
      </c>
      <c r="F155" s="465">
        <v>42912.0</v>
      </c>
      <c r="G155" s="688">
        <v>42908.0</v>
      </c>
      <c r="H155" s="69" t="s">
        <v>1747</v>
      </c>
      <c r="I155" s="663">
        <v>42922.0</v>
      </c>
      <c r="J155" s="123" t="s">
        <v>2535</v>
      </c>
      <c r="K155" s="123" t="s">
        <v>2535</v>
      </c>
      <c r="L155" s="126" t="s">
        <v>13681</v>
      </c>
      <c r="M155" s="123" t="s">
        <v>497</v>
      </c>
      <c r="N155" s="42" t="s">
        <v>1052</v>
      </c>
      <c r="O155" s="659">
        <v>31494.4</v>
      </c>
      <c r="P155" s="411"/>
      <c r="Q155" s="411"/>
      <c r="R155" s="411"/>
      <c r="S155" s="411"/>
      <c r="T155" s="411"/>
      <c r="U155" s="411"/>
      <c r="V155" s="411"/>
      <c r="W155" s="411"/>
      <c r="X155" s="411"/>
      <c r="Y155" s="411"/>
      <c r="Z155" s="411"/>
      <c r="AA155" s="411"/>
    </row>
    <row r="156" ht="33.75" customHeight="1">
      <c r="A156" s="69">
        <v>31114.0</v>
      </c>
      <c r="B156" s="45" t="s">
        <v>14</v>
      </c>
      <c r="C156" s="42">
        <v>2040.0</v>
      </c>
      <c r="D156" s="128" t="s">
        <v>13682</v>
      </c>
      <c r="E156" s="126" t="s">
        <v>8688</v>
      </c>
      <c r="F156" s="465">
        <v>42906.0</v>
      </c>
      <c r="G156" s="688">
        <v>42912.0</v>
      </c>
      <c r="H156" s="69" t="s">
        <v>1747</v>
      </c>
      <c r="I156" s="663">
        <v>42922.0</v>
      </c>
      <c r="J156" s="123" t="s">
        <v>2535</v>
      </c>
      <c r="K156" s="123" t="s">
        <v>2535</v>
      </c>
      <c r="L156" s="126" t="s">
        <v>13683</v>
      </c>
      <c r="M156" s="123" t="s">
        <v>497</v>
      </c>
      <c r="N156" s="42" t="s">
        <v>1052</v>
      </c>
      <c r="O156" s="659">
        <v>30824.4</v>
      </c>
      <c r="P156" s="411"/>
      <c r="Q156" s="411"/>
      <c r="R156" s="411"/>
      <c r="S156" s="411"/>
      <c r="T156" s="411"/>
      <c r="U156" s="411"/>
      <c r="V156" s="411"/>
      <c r="W156" s="411"/>
      <c r="X156" s="411"/>
      <c r="Y156" s="411"/>
      <c r="Z156" s="411"/>
      <c r="AA156" s="411"/>
    </row>
    <row r="157" ht="33.75" customHeight="1">
      <c r="A157" s="69">
        <v>31321.0</v>
      </c>
      <c r="B157" s="45" t="s">
        <v>21</v>
      </c>
      <c r="C157" s="42">
        <v>853.0</v>
      </c>
      <c r="D157" s="123" t="s">
        <v>1964</v>
      </c>
      <c r="E157" s="126" t="s">
        <v>13684</v>
      </c>
      <c r="F157" s="465">
        <v>42908.0</v>
      </c>
      <c r="G157" s="688">
        <v>42906.0</v>
      </c>
      <c r="H157" s="69" t="s">
        <v>1747</v>
      </c>
      <c r="I157" s="663">
        <v>42915.0</v>
      </c>
      <c r="J157" s="661" t="s">
        <v>13685</v>
      </c>
      <c r="K157" s="123" t="s">
        <v>3197</v>
      </c>
      <c r="L157" s="126" t="s">
        <v>13686</v>
      </c>
      <c r="M157" s="42"/>
      <c r="N157" s="42"/>
      <c r="O157" s="659"/>
      <c r="P157" s="411"/>
      <c r="Q157" s="411"/>
      <c r="R157" s="411"/>
      <c r="S157" s="411"/>
      <c r="T157" s="411"/>
      <c r="U157" s="411"/>
      <c r="V157" s="411"/>
      <c r="W157" s="411"/>
      <c r="X157" s="411"/>
      <c r="Y157" s="411"/>
      <c r="Z157" s="411"/>
      <c r="AA157" s="411"/>
    </row>
    <row r="158" ht="33.75" customHeight="1">
      <c r="A158" s="69">
        <v>31055.0</v>
      </c>
      <c r="B158" s="45" t="s">
        <v>21</v>
      </c>
      <c r="C158" s="42">
        <v>941.0</v>
      </c>
      <c r="D158" s="128" t="s">
        <v>1963</v>
      </c>
      <c r="E158" s="126" t="s">
        <v>2751</v>
      </c>
      <c r="F158" s="465">
        <v>42906.0</v>
      </c>
      <c r="G158" s="688">
        <v>42902.0</v>
      </c>
      <c r="H158" s="69" t="s">
        <v>1747</v>
      </c>
      <c r="I158" s="663">
        <v>42913.0</v>
      </c>
      <c r="J158" s="661" t="s">
        <v>13685</v>
      </c>
      <c r="K158" s="661" t="s">
        <v>13505</v>
      </c>
      <c r="L158" s="126" t="s">
        <v>13687</v>
      </c>
      <c r="M158" s="123" t="s">
        <v>497</v>
      </c>
      <c r="N158" s="123" t="s">
        <v>1077</v>
      </c>
      <c r="O158" s="659">
        <v>45599.84</v>
      </c>
      <c r="P158" s="411"/>
      <c r="Q158" s="411"/>
      <c r="R158" s="411"/>
      <c r="S158" s="411"/>
      <c r="T158" s="411"/>
      <c r="U158" s="411"/>
      <c r="V158" s="411"/>
      <c r="W158" s="411"/>
      <c r="X158" s="411"/>
      <c r="Y158" s="411"/>
      <c r="Z158" s="411"/>
      <c r="AA158" s="411"/>
    </row>
    <row r="159" ht="33.75" customHeight="1">
      <c r="A159" s="69">
        <v>31111.0</v>
      </c>
      <c r="B159" s="45" t="s">
        <v>21</v>
      </c>
      <c r="C159" s="42">
        <v>2040.0</v>
      </c>
      <c r="D159" s="123" t="s">
        <v>13688</v>
      </c>
      <c r="E159" s="126" t="s">
        <v>13689</v>
      </c>
      <c r="F159" s="465">
        <v>42906.0</v>
      </c>
      <c r="G159" s="688">
        <v>42902.0</v>
      </c>
      <c r="H159" s="69" t="s">
        <v>1747</v>
      </c>
      <c r="I159" s="663">
        <v>42912.0</v>
      </c>
      <c r="J159" s="661" t="s">
        <v>13685</v>
      </c>
      <c r="K159" s="123" t="s">
        <v>3197</v>
      </c>
      <c r="L159" s="126" t="s">
        <v>13690</v>
      </c>
      <c r="M159" s="123" t="s">
        <v>497</v>
      </c>
      <c r="N159" s="42" t="s">
        <v>1052</v>
      </c>
      <c r="O159" s="659">
        <v>31523.88</v>
      </c>
      <c r="P159" s="411"/>
      <c r="Q159" s="411"/>
      <c r="R159" s="411"/>
      <c r="S159" s="411"/>
      <c r="T159" s="411"/>
      <c r="U159" s="411"/>
      <c r="V159" s="411"/>
      <c r="W159" s="411"/>
      <c r="X159" s="411"/>
      <c r="Y159" s="411"/>
      <c r="Z159" s="411"/>
      <c r="AA159" s="411"/>
    </row>
    <row r="160" ht="33.75" customHeight="1">
      <c r="A160" s="69">
        <v>31302.0</v>
      </c>
      <c r="B160" s="45" t="s">
        <v>14</v>
      </c>
      <c r="C160" s="42">
        <v>1300.0</v>
      </c>
      <c r="D160" s="123" t="s">
        <v>13691</v>
      </c>
      <c r="E160" s="126" t="s">
        <v>8430</v>
      </c>
      <c r="F160" s="465">
        <v>42906.0</v>
      </c>
      <c r="G160" s="688">
        <v>42914.0</v>
      </c>
      <c r="H160" s="69" t="s">
        <v>1747</v>
      </c>
      <c r="I160" s="663">
        <v>42915.0</v>
      </c>
      <c r="J160" s="123" t="s">
        <v>2535</v>
      </c>
      <c r="K160" s="123" t="s">
        <v>2535</v>
      </c>
      <c r="L160" s="126" t="s">
        <v>13692</v>
      </c>
      <c r="M160" s="42"/>
      <c r="N160" s="42"/>
      <c r="O160" s="659"/>
      <c r="P160" s="411"/>
      <c r="Q160" s="411"/>
      <c r="R160" s="411"/>
      <c r="S160" s="411"/>
      <c r="T160" s="411"/>
      <c r="U160" s="411"/>
      <c r="V160" s="411"/>
      <c r="W160" s="411"/>
      <c r="X160" s="411"/>
      <c r="Y160" s="411"/>
      <c r="Z160" s="411"/>
      <c r="AA160" s="411"/>
    </row>
    <row r="161" ht="33.75" customHeight="1">
      <c r="A161" s="69">
        <v>31305.0</v>
      </c>
      <c r="B161" s="45" t="s">
        <v>14</v>
      </c>
      <c r="C161" s="42">
        <v>1100.0</v>
      </c>
      <c r="D161" s="123" t="s">
        <v>13693</v>
      </c>
      <c r="E161" s="126" t="s">
        <v>13694</v>
      </c>
      <c r="F161" s="465">
        <v>42906.0</v>
      </c>
      <c r="G161" s="691">
        <v>42905.0</v>
      </c>
      <c r="H161" s="69" t="s">
        <v>1747</v>
      </c>
      <c r="I161" s="663">
        <v>42913.0</v>
      </c>
      <c r="J161" s="123" t="s">
        <v>2535</v>
      </c>
      <c r="K161" s="123" t="s">
        <v>2535</v>
      </c>
      <c r="L161" s="126" t="s">
        <v>13695</v>
      </c>
      <c r="M161" s="42"/>
      <c r="N161" s="42"/>
      <c r="O161" s="659"/>
      <c r="P161" s="411"/>
      <c r="Q161" s="411"/>
      <c r="R161" s="411"/>
      <c r="S161" s="411"/>
      <c r="T161" s="411"/>
      <c r="U161" s="411"/>
      <c r="V161" s="411"/>
      <c r="W161" s="411"/>
      <c r="X161" s="411"/>
      <c r="Y161" s="411"/>
      <c r="Z161" s="411"/>
      <c r="AA161" s="411"/>
    </row>
    <row r="162" ht="33.75" customHeight="1">
      <c r="A162" s="69">
        <v>31172.0</v>
      </c>
      <c r="B162" s="45" t="s">
        <v>21</v>
      </c>
      <c r="C162" s="42">
        <v>147.0</v>
      </c>
      <c r="D162" s="123" t="s">
        <v>13696</v>
      </c>
      <c r="E162" s="126" t="s">
        <v>13697</v>
      </c>
      <c r="F162" s="465">
        <v>42906.0</v>
      </c>
      <c r="G162" s="688">
        <v>42908.0</v>
      </c>
      <c r="H162" s="69" t="s">
        <v>1747</v>
      </c>
      <c r="I162" s="692" t="s">
        <v>13698</v>
      </c>
      <c r="J162" s="661" t="s">
        <v>13685</v>
      </c>
      <c r="K162" s="123" t="s">
        <v>13505</v>
      </c>
      <c r="L162" s="126" t="s">
        <v>13699</v>
      </c>
      <c r="M162" s="42"/>
      <c r="N162" s="42"/>
      <c r="O162" s="659"/>
      <c r="P162" s="411"/>
      <c r="Q162" s="411"/>
      <c r="R162" s="411"/>
      <c r="S162" s="411"/>
      <c r="T162" s="411"/>
      <c r="U162" s="411"/>
      <c r="V162" s="411"/>
      <c r="W162" s="411"/>
      <c r="X162" s="411"/>
      <c r="Y162" s="411"/>
      <c r="Z162" s="411"/>
      <c r="AA162" s="411"/>
    </row>
    <row r="163" ht="33.75" customHeight="1">
      <c r="A163" s="69">
        <v>31306.0</v>
      </c>
      <c r="B163" s="45" t="s">
        <v>21</v>
      </c>
      <c r="C163" s="42">
        <v>1101.0</v>
      </c>
      <c r="D163" s="123" t="s">
        <v>13700</v>
      </c>
      <c r="E163" s="126" t="s">
        <v>13694</v>
      </c>
      <c r="F163" s="689">
        <v>42904.0</v>
      </c>
      <c r="G163" s="688">
        <v>42900.0</v>
      </c>
      <c r="H163" s="69" t="s">
        <v>1747</v>
      </c>
      <c r="I163" s="693" t="s">
        <v>13701</v>
      </c>
      <c r="J163" s="661" t="s">
        <v>13702</v>
      </c>
      <c r="K163" s="123" t="s">
        <v>3197</v>
      </c>
      <c r="L163" s="126" t="s">
        <v>13703</v>
      </c>
      <c r="M163" s="42"/>
      <c r="N163" s="42"/>
      <c r="O163" s="659"/>
      <c r="P163" s="411"/>
      <c r="Q163" s="411"/>
      <c r="R163" s="411"/>
      <c r="S163" s="411"/>
      <c r="T163" s="411"/>
      <c r="U163" s="411"/>
      <c r="V163" s="411"/>
      <c r="W163" s="411"/>
      <c r="X163" s="411"/>
      <c r="Y163" s="411"/>
      <c r="Z163" s="411"/>
      <c r="AA163" s="411"/>
    </row>
    <row r="164" ht="33.75" customHeight="1">
      <c r="A164" s="69">
        <v>31320.0</v>
      </c>
      <c r="B164" s="45" t="s">
        <v>21</v>
      </c>
      <c r="C164" s="42">
        <v>1159.0</v>
      </c>
      <c r="D164" s="128" t="s">
        <v>1961</v>
      </c>
      <c r="E164" s="126" t="s">
        <v>13704</v>
      </c>
      <c r="F164" s="465">
        <v>42903.0</v>
      </c>
      <c r="G164" s="688">
        <v>42900.0</v>
      </c>
      <c r="H164" s="69" t="s">
        <v>1747</v>
      </c>
      <c r="I164" s="692" t="s">
        <v>13705</v>
      </c>
      <c r="J164" s="661" t="s">
        <v>13685</v>
      </c>
      <c r="K164" s="123" t="s">
        <v>3197</v>
      </c>
      <c r="L164" s="126" t="s">
        <v>13706</v>
      </c>
      <c r="M164" s="42"/>
      <c r="N164" s="42"/>
      <c r="O164" s="659"/>
      <c r="P164" s="411"/>
      <c r="Q164" s="411"/>
      <c r="R164" s="411"/>
      <c r="S164" s="411"/>
      <c r="T164" s="411"/>
      <c r="U164" s="411"/>
      <c r="V164" s="411"/>
      <c r="W164" s="411"/>
      <c r="X164" s="411"/>
      <c r="Y164" s="411"/>
      <c r="Z164" s="411"/>
      <c r="AA164" s="411"/>
    </row>
    <row r="165" ht="33.75" customHeight="1">
      <c r="A165" s="69">
        <v>31056.0</v>
      </c>
      <c r="B165" s="45" t="s">
        <v>14</v>
      </c>
      <c r="C165" s="42">
        <v>794.0</v>
      </c>
      <c r="D165" s="123" t="s">
        <v>13707</v>
      </c>
      <c r="E165" s="126" t="s">
        <v>2751</v>
      </c>
      <c r="F165" s="465">
        <v>42901.0</v>
      </c>
      <c r="G165" s="688">
        <v>42898.0</v>
      </c>
      <c r="H165" s="675" t="s">
        <v>1747</v>
      </c>
      <c r="I165" s="663">
        <v>42907.0</v>
      </c>
      <c r="J165" s="123" t="s">
        <v>2535</v>
      </c>
      <c r="K165" s="123" t="s">
        <v>2535</v>
      </c>
      <c r="L165" s="126" t="s">
        <v>13708</v>
      </c>
      <c r="M165" s="123" t="s">
        <v>497</v>
      </c>
      <c r="N165" s="123" t="s">
        <v>1077</v>
      </c>
      <c r="O165" s="659">
        <v>38552.7</v>
      </c>
      <c r="P165" s="411"/>
      <c r="Q165" s="411"/>
      <c r="R165" s="411"/>
      <c r="S165" s="411"/>
      <c r="T165" s="411"/>
      <c r="U165" s="411"/>
      <c r="V165" s="411"/>
      <c r="W165" s="411"/>
      <c r="X165" s="411"/>
      <c r="Y165" s="411"/>
      <c r="Z165" s="411"/>
      <c r="AA165" s="411"/>
    </row>
    <row r="166" ht="33.75" customHeight="1">
      <c r="A166" s="69">
        <v>31135.0</v>
      </c>
      <c r="B166" s="45" t="s">
        <v>14</v>
      </c>
      <c r="C166" s="42">
        <v>9600.0</v>
      </c>
      <c r="D166" s="128" t="s">
        <v>13709</v>
      </c>
      <c r="E166" s="126" t="s">
        <v>259</v>
      </c>
      <c r="F166" s="465">
        <v>42899.0</v>
      </c>
      <c r="G166" s="688">
        <v>42898.0</v>
      </c>
      <c r="H166" s="69" t="s">
        <v>1747</v>
      </c>
      <c r="I166" s="663">
        <v>42905.0</v>
      </c>
      <c r="J166" s="123" t="s">
        <v>2535</v>
      </c>
      <c r="K166" s="123" t="s">
        <v>2535</v>
      </c>
      <c r="L166" s="126" t="s">
        <v>13710</v>
      </c>
      <c r="M166" s="42"/>
      <c r="N166" s="42"/>
      <c r="O166" s="659"/>
      <c r="P166" s="411"/>
      <c r="Q166" s="411"/>
      <c r="R166" s="411"/>
      <c r="S166" s="411"/>
      <c r="T166" s="411"/>
      <c r="U166" s="411"/>
      <c r="V166" s="411"/>
      <c r="W166" s="411"/>
      <c r="X166" s="411"/>
      <c r="Y166" s="411"/>
      <c r="Z166" s="411"/>
      <c r="AA166" s="411"/>
    </row>
    <row r="167" ht="33.75" customHeight="1">
      <c r="A167" s="69">
        <v>31193.0</v>
      </c>
      <c r="B167" s="45" t="s">
        <v>21</v>
      </c>
      <c r="C167" s="42">
        <v>452.0</v>
      </c>
      <c r="D167" s="123" t="s">
        <v>1960</v>
      </c>
      <c r="E167" s="126" t="s">
        <v>12729</v>
      </c>
      <c r="F167" s="689">
        <v>42899.0</v>
      </c>
      <c r="G167" s="688">
        <v>42895.0</v>
      </c>
      <c r="H167" s="69" t="s">
        <v>1747</v>
      </c>
      <c r="I167" s="663">
        <v>42906.0</v>
      </c>
      <c r="J167" s="661" t="s">
        <v>13685</v>
      </c>
      <c r="K167" s="123" t="s">
        <v>13505</v>
      </c>
      <c r="L167" s="126" t="s">
        <v>13711</v>
      </c>
      <c r="M167" s="42"/>
      <c r="N167" s="42"/>
      <c r="O167" s="659"/>
      <c r="P167" s="411"/>
      <c r="Q167" s="411"/>
      <c r="R167" s="411"/>
      <c r="S167" s="411"/>
      <c r="T167" s="411"/>
      <c r="U167" s="411"/>
      <c r="V167" s="411"/>
      <c r="W167" s="411"/>
      <c r="X167" s="411"/>
      <c r="Y167" s="411"/>
      <c r="Z167" s="411"/>
      <c r="AA167" s="411"/>
    </row>
    <row r="168" ht="33.75" customHeight="1">
      <c r="A168" s="69">
        <v>31285.0</v>
      </c>
      <c r="B168" s="45" t="s">
        <v>14</v>
      </c>
      <c r="C168" s="42">
        <v>1182.0</v>
      </c>
      <c r="D168" s="123" t="s">
        <v>13712</v>
      </c>
      <c r="E168" s="126" t="s">
        <v>13713</v>
      </c>
      <c r="F168" s="465">
        <v>42899.0</v>
      </c>
      <c r="G168" s="688">
        <v>42898.0</v>
      </c>
      <c r="H168" s="69" t="s">
        <v>1747</v>
      </c>
      <c r="I168" s="663">
        <v>42906.0</v>
      </c>
      <c r="J168" s="123" t="s">
        <v>2535</v>
      </c>
      <c r="K168" s="123" t="s">
        <v>2535</v>
      </c>
      <c r="L168" s="126" t="s">
        <v>13714</v>
      </c>
      <c r="M168" s="42"/>
      <c r="N168" s="42"/>
      <c r="O168" s="659"/>
      <c r="P168" s="411"/>
      <c r="Q168" s="411"/>
      <c r="R168" s="411"/>
      <c r="S168" s="411"/>
      <c r="T168" s="411"/>
      <c r="U168" s="411"/>
      <c r="V168" s="411"/>
      <c r="W168" s="411"/>
      <c r="X168" s="411"/>
      <c r="Y168" s="411"/>
      <c r="Z168" s="411"/>
      <c r="AA168" s="411"/>
    </row>
    <row r="169" ht="33.75" customHeight="1">
      <c r="A169" s="69">
        <v>31284.0</v>
      </c>
      <c r="B169" s="45" t="s">
        <v>14</v>
      </c>
      <c r="C169" s="42">
        <v>930.0</v>
      </c>
      <c r="D169" s="128" t="s">
        <v>13715</v>
      </c>
      <c r="E169" s="126" t="s">
        <v>2852</v>
      </c>
      <c r="F169" s="465">
        <v>42899.0</v>
      </c>
      <c r="G169" s="688">
        <v>42895.0</v>
      </c>
      <c r="H169" s="69" t="s">
        <v>1747</v>
      </c>
      <c r="I169" s="663">
        <v>42905.0</v>
      </c>
      <c r="J169" s="123" t="s">
        <v>2535</v>
      </c>
      <c r="K169" s="123" t="s">
        <v>2535</v>
      </c>
      <c r="L169" s="126" t="s">
        <v>13716</v>
      </c>
      <c r="M169" s="42"/>
      <c r="N169" s="42"/>
      <c r="O169" s="659"/>
      <c r="P169" s="411"/>
      <c r="Q169" s="411"/>
      <c r="R169" s="411"/>
      <c r="S169" s="411"/>
      <c r="T169" s="411"/>
      <c r="U169" s="411"/>
      <c r="V169" s="411"/>
      <c r="W169" s="411"/>
      <c r="X169" s="411"/>
      <c r="Y169" s="411"/>
      <c r="Z169" s="411"/>
      <c r="AA169" s="411"/>
    </row>
    <row r="170" ht="33.75" customHeight="1">
      <c r="A170" s="69">
        <v>31303.0</v>
      </c>
      <c r="B170" s="45" t="s">
        <v>25</v>
      </c>
      <c r="C170" s="42">
        <v>1182.0</v>
      </c>
      <c r="D170" s="123" t="s">
        <v>13717</v>
      </c>
      <c r="E170" s="126" t="s">
        <v>8430</v>
      </c>
      <c r="F170" s="465">
        <v>42894.0</v>
      </c>
      <c r="G170" s="688">
        <v>42893.0</v>
      </c>
      <c r="H170" s="69" t="s">
        <v>1747</v>
      </c>
      <c r="I170" s="663">
        <v>42900.0</v>
      </c>
      <c r="J170" s="123" t="s">
        <v>2535</v>
      </c>
      <c r="K170" s="123" t="s">
        <v>2535</v>
      </c>
      <c r="L170" s="126" t="s">
        <v>13718</v>
      </c>
      <c r="M170" s="42"/>
      <c r="N170" s="42"/>
      <c r="O170" s="659"/>
      <c r="P170" s="411"/>
      <c r="Q170" s="411"/>
      <c r="R170" s="411"/>
      <c r="S170" s="411"/>
      <c r="T170" s="411"/>
      <c r="U170" s="411"/>
      <c r="V170" s="411"/>
      <c r="W170" s="411"/>
      <c r="X170" s="411"/>
      <c r="Y170" s="411"/>
      <c r="Z170" s="411"/>
      <c r="AA170" s="411"/>
    </row>
    <row r="171" ht="33.75" customHeight="1">
      <c r="A171" s="69">
        <v>31293.0</v>
      </c>
      <c r="B171" s="45" t="s">
        <v>14</v>
      </c>
      <c r="C171" s="42">
        <v>1160.0</v>
      </c>
      <c r="D171" s="128" t="s">
        <v>13719</v>
      </c>
      <c r="E171" s="126" t="s">
        <v>8475</v>
      </c>
      <c r="F171" s="465">
        <v>42892.0</v>
      </c>
      <c r="G171" s="688">
        <v>42888.0</v>
      </c>
      <c r="H171" s="69" t="s">
        <v>1747</v>
      </c>
      <c r="I171" s="663">
        <v>42898.0</v>
      </c>
      <c r="J171" s="123" t="s">
        <v>2535</v>
      </c>
      <c r="K171" s="123" t="s">
        <v>2535</v>
      </c>
      <c r="L171" s="126" t="s">
        <v>13720</v>
      </c>
      <c r="M171" s="42"/>
      <c r="N171" s="42"/>
      <c r="O171" s="659"/>
      <c r="P171" s="411"/>
      <c r="Q171" s="411"/>
      <c r="R171" s="411"/>
      <c r="S171" s="411"/>
      <c r="T171" s="411"/>
      <c r="U171" s="411"/>
      <c r="V171" s="411"/>
      <c r="W171" s="411"/>
      <c r="X171" s="411"/>
      <c r="Y171" s="411"/>
      <c r="Z171" s="411"/>
      <c r="AA171" s="411"/>
    </row>
    <row r="172" ht="33.75" customHeight="1">
      <c r="A172" s="69">
        <v>31113.0</v>
      </c>
      <c r="B172" s="45" t="s">
        <v>14</v>
      </c>
      <c r="C172" s="42">
        <v>2040.0</v>
      </c>
      <c r="D172" s="123" t="s">
        <v>13721</v>
      </c>
      <c r="E172" s="126" t="s">
        <v>8688</v>
      </c>
      <c r="F172" s="465">
        <v>42888.0</v>
      </c>
      <c r="G172" s="688">
        <v>42888.0</v>
      </c>
      <c r="H172" s="69" t="s">
        <v>1747</v>
      </c>
      <c r="I172" s="663">
        <v>42895.0</v>
      </c>
      <c r="J172" s="123" t="s">
        <v>2535</v>
      </c>
      <c r="K172" s="123" t="s">
        <v>2535</v>
      </c>
      <c r="L172" s="126" t="s">
        <v>13722</v>
      </c>
      <c r="M172" s="123" t="s">
        <v>497</v>
      </c>
      <c r="N172" s="42" t="s">
        <v>1052</v>
      </c>
      <c r="O172" s="659">
        <v>30824.4</v>
      </c>
      <c r="P172" s="411"/>
      <c r="Q172" s="411"/>
      <c r="R172" s="411"/>
      <c r="S172" s="411"/>
      <c r="T172" s="411"/>
      <c r="U172" s="411"/>
      <c r="V172" s="411"/>
      <c r="W172" s="411"/>
      <c r="X172" s="411"/>
      <c r="Y172" s="411"/>
      <c r="Z172" s="411"/>
      <c r="AA172" s="411"/>
    </row>
    <row r="173" ht="33.75" customHeight="1">
      <c r="A173" s="69">
        <v>31121.0</v>
      </c>
      <c r="B173" s="45" t="s">
        <v>21</v>
      </c>
      <c r="C173" s="42">
        <v>1400.0</v>
      </c>
      <c r="D173" s="123" t="s">
        <v>1958</v>
      </c>
      <c r="E173" s="126" t="s">
        <v>13723</v>
      </c>
      <c r="F173" s="465">
        <v>42888.0</v>
      </c>
      <c r="G173" s="688">
        <v>42885.0</v>
      </c>
      <c r="H173" s="69" t="s">
        <v>1747</v>
      </c>
      <c r="I173" s="663">
        <v>42894.0</v>
      </c>
      <c r="J173" s="661" t="s">
        <v>13724</v>
      </c>
      <c r="K173" s="123" t="s">
        <v>13505</v>
      </c>
      <c r="L173" s="126" t="s">
        <v>13725</v>
      </c>
      <c r="M173" s="42" t="s">
        <v>497</v>
      </c>
      <c r="N173" s="42" t="s">
        <v>3868</v>
      </c>
      <c r="O173" s="659">
        <v>10800.0</v>
      </c>
      <c r="P173" s="411"/>
      <c r="Q173" s="411"/>
      <c r="R173" s="411"/>
      <c r="S173" s="411"/>
      <c r="T173" s="411"/>
      <c r="U173" s="411"/>
      <c r="V173" s="411"/>
      <c r="W173" s="411"/>
      <c r="X173" s="411"/>
      <c r="Y173" s="411"/>
      <c r="Z173" s="411"/>
      <c r="AA173" s="411"/>
    </row>
    <row r="174" ht="33.75" customHeight="1">
      <c r="A174" s="69">
        <v>31270.0</v>
      </c>
      <c r="B174" s="45" t="s">
        <v>21</v>
      </c>
      <c r="C174" s="42">
        <v>1182.0</v>
      </c>
      <c r="D174" s="123" t="s">
        <v>1959</v>
      </c>
      <c r="E174" s="126" t="s">
        <v>8430</v>
      </c>
      <c r="F174" s="465">
        <v>42886.0</v>
      </c>
      <c r="G174" s="688">
        <v>42885.0</v>
      </c>
      <c r="H174" s="69" t="s">
        <v>1747</v>
      </c>
      <c r="I174" s="663">
        <v>42894.0</v>
      </c>
      <c r="J174" s="661" t="s">
        <v>13685</v>
      </c>
      <c r="K174" s="123" t="s">
        <v>3197</v>
      </c>
      <c r="L174" s="126" t="s">
        <v>13726</v>
      </c>
      <c r="M174" s="42"/>
      <c r="N174" s="42"/>
      <c r="O174" s="659"/>
      <c r="P174" s="411"/>
      <c r="Q174" s="411"/>
      <c r="R174" s="411"/>
      <c r="S174" s="411"/>
      <c r="T174" s="411"/>
      <c r="U174" s="411"/>
      <c r="V174" s="411"/>
      <c r="W174" s="411"/>
      <c r="X174" s="411"/>
      <c r="Y174" s="411"/>
      <c r="Z174" s="411"/>
      <c r="AA174" s="411"/>
    </row>
    <row r="175" ht="33.75" customHeight="1">
      <c r="A175" s="69">
        <v>31148.0</v>
      </c>
      <c r="B175" s="45" t="s">
        <v>25</v>
      </c>
      <c r="C175" s="42">
        <v>601.0</v>
      </c>
      <c r="D175" s="123" t="s">
        <v>13727</v>
      </c>
      <c r="E175" s="126" t="s">
        <v>13728</v>
      </c>
      <c r="F175" s="465">
        <v>42885.0</v>
      </c>
      <c r="G175" s="688">
        <v>42888.0</v>
      </c>
      <c r="H175" s="69" t="s">
        <v>1747</v>
      </c>
      <c r="I175" s="663">
        <v>42887.0</v>
      </c>
      <c r="J175" s="123" t="s">
        <v>2535</v>
      </c>
      <c r="K175" s="123" t="s">
        <v>2535</v>
      </c>
      <c r="L175" s="694"/>
      <c r="M175" s="42"/>
      <c r="N175" s="42"/>
      <c r="O175" s="659"/>
      <c r="P175" s="411"/>
      <c r="Q175" s="411"/>
      <c r="R175" s="411"/>
      <c r="S175" s="411"/>
      <c r="T175" s="411"/>
      <c r="U175" s="411"/>
      <c r="V175" s="411"/>
      <c r="W175" s="411"/>
      <c r="X175" s="411"/>
      <c r="Y175" s="411"/>
      <c r="Z175" s="411"/>
      <c r="AA175" s="411"/>
    </row>
    <row r="176" ht="33.75" customHeight="1">
      <c r="A176" s="69">
        <v>31046.0</v>
      </c>
      <c r="B176" s="45" t="s">
        <v>14</v>
      </c>
      <c r="C176" s="42">
        <v>2040.0</v>
      </c>
      <c r="D176" s="128" t="s">
        <v>13729</v>
      </c>
      <c r="E176" s="126" t="s">
        <v>8688</v>
      </c>
      <c r="F176" s="465">
        <v>42883.0</v>
      </c>
      <c r="G176" s="688">
        <v>42906.0</v>
      </c>
      <c r="H176" s="69" t="s">
        <v>1747</v>
      </c>
      <c r="I176" s="663">
        <v>42893.0</v>
      </c>
      <c r="J176" s="123" t="s">
        <v>2535</v>
      </c>
      <c r="K176" s="123" t="s">
        <v>2535</v>
      </c>
      <c r="L176" s="694" t="s">
        <v>13730</v>
      </c>
      <c r="M176" s="123" t="s">
        <v>497</v>
      </c>
      <c r="N176" s="42" t="s">
        <v>1052</v>
      </c>
      <c r="O176" s="659">
        <v>30824.4</v>
      </c>
      <c r="P176" s="411"/>
      <c r="Q176" s="411"/>
      <c r="R176" s="411"/>
      <c r="S176" s="411"/>
      <c r="T176" s="411"/>
      <c r="U176" s="411"/>
      <c r="V176" s="411"/>
      <c r="W176" s="411"/>
      <c r="X176" s="411"/>
      <c r="Y176" s="411"/>
      <c r="Z176" s="411"/>
      <c r="AA176" s="411"/>
    </row>
    <row r="177" ht="33.75" customHeight="1">
      <c r="A177" s="69">
        <v>31224.0</v>
      </c>
      <c r="B177" s="45" t="s">
        <v>14</v>
      </c>
      <c r="C177" s="42">
        <v>1300.0</v>
      </c>
      <c r="D177" s="123" t="s">
        <v>13731</v>
      </c>
      <c r="E177" s="126" t="s">
        <v>8430</v>
      </c>
      <c r="F177" s="465">
        <v>42881.0</v>
      </c>
      <c r="G177" s="688">
        <v>42877.0</v>
      </c>
      <c r="H177" s="69" t="s">
        <v>1747</v>
      </c>
      <c r="I177" s="663">
        <v>42886.0</v>
      </c>
      <c r="J177" s="123" t="s">
        <v>2535</v>
      </c>
      <c r="K177" s="123" t="s">
        <v>2535</v>
      </c>
      <c r="L177" s="694" t="s">
        <v>13732</v>
      </c>
      <c r="M177" s="123"/>
      <c r="N177" s="42"/>
      <c r="O177" s="659"/>
      <c r="P177" s="411"/>
      <c r="Q177" s="411"/>
      <c r="R177" s="411"/>
      <c r="S177" s="411"/>
      <c r="T177" s="411"/>
      <c r="U177" s="411"/>
      <c r="V177" s="411"/>
      <c r="W177" s="411"/>
      <c r="X177" s="411"/>
      <c r="Y177" s="411"/>
      <c r="Z177" s="411"/>
      <c r="AA177" s="411"/>
    </row>
    <row r="178" ht="33.75" customHeight="1">
      <c r="A178" s="69">
        <v>31054.0</v>
      </c>
      <c r="B178" s="45" t="s">
        <v>25</v>
      </c>
      <c r="C178" s="42">
        <v>334.0</v>
      </c>
      <c r="D178" s="128" t="s">
        <v>13733</v>
      </c>
      <c r="E178" s="126" t="s">
        <v>12512</v>
      </c>
      <c r="F178" s="465">
        <v>42880.0</v>
      </c>
      <c r="G178" s="688">
        <v>42877.0</v>
      </c>
      <c r="H178" s="69" t="s">
        <v>1747</v>
      </c>
      <c r="I178" s="663">
        <v>42887.0</v>
      </c>
      <c r="J178" s="123" t="s">
        <v>2535</v>
      </c>
      <c r="K178" s="123" t="s">
        <v>2535</v>
      </c>
      <c r="L178" s="694" t="s">
        <v>13734</v>
      </c>
      <c r="M178" s="123" t="s">
        <v>497</v>
      </c>
      <c r="N178" s="123" t="s">
        <v>1077</v>
      </c>
      <c r="O178" s="659">
        <v>17988.13</v>
      </c>
      <c r="P178" s="411"/>
      <c r="Q178" s="411"/>
      <c r="R178" s="411"/>
      <c r="S178" s="411"/>
      <c r="T178" s="411"/>
      <c r="U178" s="411"/>
      <c r="V178" s="411"/>
      <c r="W178" s="411"/>
      <c r="X178" s="411"/>
      <c r="Y178" s="411"/>
      <c r="Z178" s="411"/>
      <c r="AA178" s="411"/>
    </row>
    <row r="179" ht="33.75" customHeight="1">
      <c r="A179" s="69">
        <v>31260.0</v>
      </c>
      <c r="B179" s="45" t="s">
        <v>21</v>
      </c>
      <c r="C179" s="42">
        <v>571.0</v>
      </c>
      <c r="D179" s="123" t="s">
        <v>13735</v>
      </c>
      <c r="E179" s="126" t="s">
        <v>13736</v>
      </c>
      <c r="F179" s="465">
        <v>42878.0</v>
      </c>
      <c r="G179" s="695">
        <v>42881.0</v>
      </c>
      <c r="H179" s="677" t="s">
        <v>1747</v>
      </c>
      <c r="I179" s="693" t="s">
        <v>13737</v>
      </c>
      <c r="J179" s="661" t="s">
        <v>13738</v>
      </c>
      <c r="K179" s="123" t="s">
        <v>3197</v>
      </c>
      <c r="L179" s="694" t="s">
        <v>13739</v>
      </c>
      <c r="M179" s="42"/>
      <c r="N179" s="42"/>
      <c r="O179" s="659"/>
      <c r="P179" s="411"/>
      <c r="Q179" s="411"/>
      <c r="R179" s="411"/>
      <c r="S179" s="411"/>
      <c r="T179" s="411"/>
      <c r="U179" s="411"/>
      <c r="V179" s="411"/>
      <c r="W179" s="411"/>
      <c r="X179" s="411"/>
      <c r="Y179" s="411"/>
      <c r="Z179" s="411"/>
      <c r="AA179" s="411"/>
    </row>
    <row r="180" ht="33.75" customHeight="1">
      <c r="A180" s="69">
        <v>31119.0</v>
      </c>
      <c r="B180" s="45" t="s">
        <v>14</v>
      </c>
      <c r="C180" s="42">
        <v>530.0</v>
      </c>
      <c r="D180" s="123" t="s">
        <v>13740</v>
      </c>
      <c r="E180" s="126" t="s">
        <v>13723</v>
      </c>
      <c r="F180" s="465">
        <v>42877.0</v>
      </c>
      <c r="G180" s="688">
        <v>42873.0</v>
      </c>
      <c r="H180" s="69" t="s">
        <v>1747</v>
      </c>
      <c r="I180" s="663">
        <v>42892.0</v>
      </c>
      <c r="J180" s="123" t="s">
        <v>2535</v>
      </c>
      <c r="K180" s="123" t="s">
        <v>2535</v>
      </c>
      <c r="L180" s="694" t="s">
        <v>13741</v>
      </c>
      <c r="M180" s="123" t="s">
        <v>497</v>
      </c>
      <c r="N180" s="42" t="s">
        <v>3868</v>
      </c>
      <c r="O180" s="659">
        <v>10800.0</v>
      </c>
      <c r="P180" s="411"/>
      <c r="Q180" s="411"/>
      <c r="R180" s="411"/>
      <c r="S180" s="411"/>
      <c r="T180" s="411"/>
      <c r="U180" s="411"/>
      <c r="V180" s="411"/>
      <c r="W180" s="411"/>
      <c r="X180" s="411"/>
      <c r="Y180" s="411"/>
      <c r="Z180" s="411"/>
      <c r="AA180" s="411"/>
    </row>
    <row r="181" ht="33.75" customHeight="1">
      <c r="A181" s="69">
        <v>30950.0</v>
      </c>
      <c r="B181" s="45" t="s">
        <v>14</v>
      </c>
      <c r="C181" s="42">
        <v>2924.0</v>
      </c>
      <c r="D181" s="128" t="s">
        <v>13742</v>
      </c>
      <c r="E181" s="126" t="s">
        <v>13566</v>
      </c>
      <c r="F181" s="465">
        <v>42877.0</v>
      </c>
      <c r="G181" s="666">
        <v>42874.0</v>
      </c>
      <c r="H181" s="45" t="s">
        <v>1747</v>
      </c>
      <c r="I181" s="696">
        <v>42885.0</v>
      </c>
      <c r="J181" s="123" t="s">
        <v>2535</v>
      </c>
      <c r="K181" s="123" t="s">
        <v>2535</v>
      </c>
      <c r="L181" s="694" t="s">
        <v>13743</v>
      </c>
      <c r="M181" s="123"/>
      <c r="N181" s="42"/>
      <c r="O181" s="659"/>
      <c r="P181" s="411"/>
      <c r="Q181" s="411"/>
      <c r="R181" s="411"/>
      <c r="S181" s="411"/>
      <c r="T181" s="411"/>
      <c r="U181" s="411"/>
      <c r="V181" s="411"/>
      <c r="W181" s="411"/>
      <c r="X181" s="411"/>
      <c r="Y181" s="411"/>
      <c r="Z181" s="411"/>
      <c r="AA181" s="411"/>
    </row>
    <row r="182" ht="33.75" customHeight="1">
      <c r="A182" s="69">
        <v>31190.0</v>
      </c>
      <c r="B182" s="45" t="s">
        <v>14</v>
      </c>
      <c r="C182" s="42">
        <v>1100.0</v>
      </c>
      <c r="D182" s="123" t="s">
        <v>13744</v>
      </c>
      <c r="E182" s="126" t="s">
        <v>13694</v>
      </c>
      <c r="F182" s="465">
        <v>42874.0</v>
      </c>
      <c r="G182" s="695">
        <v>42872.0</v>
      </c>
      <c r="H182" s="677" t="s">
        <v>1747</v>
      </c>
      <c r="I182" s="693" t="s">
        <v>13745</v>
      </c>
      <c r="J182" s="123" t="s">
        <v>2535</v>
      </c>
      <c r="K182" s="123" t="s">
        <v>2535</v>
      </c>
      <c r="L182" s="694" t="s">
        <v>13746</v>
      </c>
      <c r="M182" s="123"/>
      <c r="N182" s="42"/>
      <c r="O182" s="659"/>
      <c r="P182" s="411"/>
      <c r="Q182" s="411"/>
      <c r="R182" s="411"/>
      <c r="S182" s="411"/>
      <c r="T182" s="411"/>
      <c r="U182" s="411"/>
      <c r="V182" s="411"/>
      <c r="W182" s="411"/>
      <c r="X182" s="411"/>
      <c r="Y182" s="411"/>
      <c r="Z182" s="411"/>
      <c r="AA182" s="411"/>
    </row>
    <row r="183" ht="33.75" customHeight="1">
      <c r="A183" s="69">
        <v>31045.0</v>
      </c>
      <c r="B183" s="45" t="s">
        <v>25</v>
      </c>
      <c r="C183" s="42">
        <v>2040.0</v>
      </c>
      <c r="D183" s="128" t="s">
        <v>13747</v>
      </c>
      <c r="E183" s="126" t="s">
        <v>8688</v>
      </c>
      <c r="F183" s="465">
        <v>42873.0</v>
      </c>
      <c r="G183" s="688">
        <v>42870.0</v>
      </c>
      <c r="H183" s="69" t="s">
        <v>1747</v>
      </c>
      <c r="I183" s="663">
        <v>42879.0</v>
      </c>
      <c r="J183" s="123" t="s">
        <v>2535</v>
      </c>
      <c r="K183" s="123" t="s">
        <v>2535</v>
      </c>
      <c r="L183" s="694" t="s">
        <v>13748</v>
      </c>
      <c r="M183" s="123" t="s">
        <v>497</v>
      </c>
      <c r="N183" s="42" t="s">
        <v>1052</v>
      </c>
      <c r="O183" s="659">
        <v>30824.4</v>
      </c>
      <c r="P183" s="411"/>
      <c r="Q183" s="411"/>
      <c r="R183" s="411"/>
      <c r="S183" s="411"/>
      <c r="T183" s="411"/>
      <c r="U183" s="411"/>
      <c r="V183" s="411"/>
      <c r="W183" s="411"/>
      <c r="X183" s="411"/>
      <c r="Y183" s="411"/>
      <c r="Z183" s="411"/>
      <c r="AA183" s="411"/>
    </row>
    <row r="184" ht="33.75" customHeight="1">
      <c r="A184" s="69">
        <v>31238.0</v>
      </c>
      <c r="B184" s="45" t="s">
        <v>21</v>
      </c>
      <c r="C184" s="42">
        <v>220.0</v>
      </c>
      <c r="D184" s="123" t="s">
        <v>13749</v>
      </c>
      <c r="E184" s="126" t="s">
        <v>8449</v>
      </c>
      <c r="F184" s="465">
        <v>42872.0</v>
      </c>
      <c r="G184" s="688">
        <v>42878.0</v>
      </c>
      <c r="H184" s="69" t="s">
        <v>1747</v>
      </c>
      <c r="I184" s="663">
        <v>42885.0</v>
      </c>
      <c r="J184" s="661" t="s">
        <v>13738</v>
      </c>
      <c r="K184" s="123" t="s">
        <v>3197</v>
      </c>
      <c r="L184" s="694" t="s">
        <v>13750</v>
      </c>
      <c r="M184" s="123"/>
      <c r="N184" s="42"/>
      <c r="O184" s="659"/>
      <c r="P184" s="411"/>
      <c r="Q184" s="411"/>
      <c r="R184" s="411"/>
      <c r="S184" s="411"/>
      <c r="T184" s="411"/>
      <c r="U184" s="411"/>
      <c r="V184" s="411"/>
      <c r="W184" s="411"/>
      <c r="X184" s="411"/>
      <c r="Y184" s="411"/>
      <c r="Z184" s="411"/>
      <c r="AA184" s="411"/>
    </row>
    <row r="185" ht="33.75" customHeight="1">
      <c r="A185" s="69">
        <v>31043.0</v>
      </c>
      <c r="B185" s="45" t="s">
        <v>21</v>
      </c>
      <c r="C185" s="42">
        <v>2040.0</v>
      </c>
      <c r="D185" s="42" t="s">
        <v>1956</v>
      </c>
      <c r="E185" s="126" t="s">
        <v>13587</v>
      </c>
      <c r="F185" s="465">
        <v>42871.0</v>
      </c>
      <c r="G185" s="688">
        <v>42867.0</v>
      </c>
      <c r="H185" s="69" t="s">
        <v>1747</v>
      </c>
      <c r="I185" s="663">
        <v>42878.0</v>
      </c>
      <c r="J185" s="661" t="s">
        <v>13738</v>
      </c>
      <c r="K185" s="123" t="s">
        <v>3197</v>
      </c>
      <c r="L185" s="694" t="s">
        <v>13751</v>
      </c>
      <c r="M185" s="123" t="s">
        <v>497</v>
      </c>
      <c r="N185" s="42" t="s">
        <v>1052</v>
      </c>
      <c r="O185" s="659">
        <v>31494.4</v>
      </c>
      <c r="P185" s="411"/>
      <c r="Q185" s="411"/>
      <c r="R185" s="411"/>
      <c r="S185" s="411"/>
      <c r="T185" s="411"/>
      <c r="U185" s="411"/>
      <c r="V185" s="411"/>
      <c r="W185" s="411"/>
      <c r="X185" s="411"/>
      <c r="Y185" s="411"/>
      <c r="Z185" s="411"/>
      <c r="AA185" s="411"/>
    </row>
    <row r="186" ht="33.75" customHeight="1">
      <c r="A186" s="69">
        <v>31199.0</v>
      </c>
      <c r="B186" s="45" t="s">
        <v>14</v>
      </c>
      <c r="C186" s="42">
        <v>1182.0</v>
      </c>
      <c r="D186" s="128" t="s">
        <v>13752</v>
      </c>
      <c r="E186" s="126" t="s">
        <v>13713</v>
      </c>
      <c r="F186" s="465">
        <v>42871.0</v>
      </c>
      <c r="G186" s="688">
        <v>42874.0</v>
      </c>
      <c r="H186" s="69" t="s">
        <v>1747</v>
      </c>
      <c r="I186" s="663">
        <v>42880.0</v>
      </c>
      <c r="J186" s="123" t="s">
        <v>2535</v>
      </c>
      <c r="K186" s="123" t="s">
        <v>2535</v>
      </c>
      <c r="L186" s="694" t="s">
        <v>13753</v>
      </c>
      <c r="M186" s="123"/>
      <c r="N186" s="42"/>
      <c r="O186" s="659"/>
      <c r="P186" s="411"/>
      <c r="Q186" s="411"/>
      <c r="R186" s="411"/>
      <c r="S186" s="411"/>
      <c r="T186" s="411"/>
      <c r="U186" s="411"/>
      <c r="V186" s="411"/>
      <c r="W186" s="411"/>
      <c r="X186" s="411"/>
      <c r="Y186" s="411"/>
      <c r="Z186" s="411"/>
      <c r="AA186" s="411"/>
    </row>
    <row r="187" ht="33.75" customHeight="1">
      <c r="A187" s="69">
        <v>30877.0</v>
      </c>
      <c r="B187" s="45" t="s">
        <v>14</v>
      </c>
      <c r="C187" s="42">
        <v>110.0</v>
      </c>
      <c r="D187" s="123" t="s">
        <v>1962</v>
      </c>
      <c r="E187" s="126" t="s">
        <v>12622</v>
      </c>
      <c r="F187" s="465">
        <v>42871.0</v>
      </c>
      <c r="G187" s="688">
        <v>42907.0</v>
      </c>
      <c r="H187" s="69" t="s">
        <v>1747</v>
      </c>
      <c r="I187" s="693">
        <v>42877.0</v>
      </c>
      <c r="J187" s="123" t="s">
        <v>2535</v>
      </c>
      <c r="K187" s="123" t="s">
        <v>2535</v>
      </c>
      <c r="L187" s="694" t="s">
        <v>13754</v>
      </c>
      <c r="M187" s="123"/>
      <c r="N187" s="42"/>
      <c r="O187" s="659"/>
      <c r="P187" s="411"/>
      <c r="Q187" s="411"/>
      <c r="R187" s="411"/>
      <c r="S187" s="411"/>
      <c r="T187" s="411"/>
      <c r="U187" s="411"/>
      <c r="V187" s="411"/>
      <c r="W187" s="411"/>
      <c r="X187" s="411"/>
      <c r="Y187" s="411"/>
      <c r="Z187" s="411"/>
      <c r="AA187" s="411"/>
    </row>
    <row r="188" ht="33.75" customHeight="1">
      <c r="A188" s="69">
        <v>31044.0</v>
      </c>
      <c r="B188" s="45" t="s">
        <v>14</v>
      </c>
      <c r="C188" s="42">
        <v>2040.0</v>
      </c>
      <c r="D188" s="128" t="s">
        <v>13755</v>
      </c>
      <c r="E188" s="126" t="s">
        <v>13367</v>
      </c>
      <c r="F188" s="465">
        <v>42870.0</v>
      </c>
      <c r="G188" s="688">
        <v>42866.0</v>
      </c>
      <c r="H188" s="69" t="s">
        <v>1747</v>
      </c>
      <c r="I188" s="663">
        <v>42878.0</v>
      </c>
      <c r="J188" s="123" t="s">
        <v>2535</v>
      </c>
      <c r="K188" s="123" t="s">
        <v>2535</v>
      </c>
      <c r="L188" s="694" t="s">
        <v>13756</v>
      </c>
      <c r="M188" s="123" t="s">
        <v>497</v>
      </c>
      <c r="N188" s="42" t="s">
        <v>1052</v>
      </c>
      <c r="O188" s="659">
        <v>31464.92</v>
      </c>
      <c r="P188" s="411"/>
      <c r="Q188" s="411"/>
      <c r="R188" s="411"/>
      <c r="S188" s="411"/>
      <c r="T188" s="411"/>
      <c r="U188" s="411"/>
      <c r="V188" s="411"/>
      <c r="W188" s="411"/>
      <c r="X188" s="411"/>
      <c r="Y188" s="411"/>
      <c r="Z188" s="411"/>
      <c r="AA188" s="411"/>
    </row>
    <row r="189" ht="33.75" customHeight="1">
      <c r="A189" s="69">
        <v>31011.0</v>
      </c>
      <c r="B189" s="45" t="s">
        <v>14</v>
      </c>
      <c r="C189" s="42">
        <v>2040.0</v>
      </c>
      <c r="D189" s="123" t="s">
        <v>13757</v>
      </c>
      <c r="E189" s="126" t="s">
        <v>8688</v>
      </c>
      <c r="F189" s="465">
        <v>42869.0</v>
      </c>
      <c r="G189" s="666">
        <v>42865.0</v>
      </c>
      <c r="H189" s="45" t="s">
        <v>1747</v>
      </c>
      <c r="I189" s="696">
        <v>42874.0</v>
      </c>
      <c r="J189" s="123" t="s">
        <v>2535</v>
      </c>
      <c r="K189" s="123" t="s">
        <v>2535</v>
      </c>
      <c r="L189" s="694" t="s">
        <v>13758</v>
      </c>
      <c r="M189" s="123" t="s">
        <v>497</v>
      </c>
      <c r="N189" s="42" t="s">
        <v>1052</v>
      </c>
      <c r="O189" s="659">
        <v>30824.4</v>
      </c>
      <c r="P189" s="411"/>
      <c r="Q189" s="411"/>
      <c r="R189" s="411"/>
      <c r="S189" s="411"/>
      <c r="T189" s="411"/>
      <c r="U189" s="411"/>
      <c r="V189" s="411"/>
      <c r="W189" s="411"/>
      <c r="X189" s="411"/>
      <c r="Y189" s="411"/>
      <c r="Z189" s="411"/>
      <c r="AA189" s="411"/>
    </row>
    <row r="190" ht="33.75" customHeight="1">
      <c r="A190" s="69">
        <v>31222.0</v>
      </c>
      <c r="B190" s="677" t="s">
        <v>25</v>
      </c>
      <c r="C190" s="42">
        <v>1182.0</v>
      </c>
      <c r="D190" s="123" t="s">
        <v>13759</v>
      </c>
      <c r="E190" s="697" t="s">
        <v>2852</v>
      </c>
      <c r="F190" s="465">
        <v>42868.0</v>
      </c>
      <c r="G190" s="688">
        <v>42864.0</v>
      </c>
      <c r="H190" s="69" t="s">
        <v>1747</v>
      </c>
      <c r="I190" s="693" t="s">
        <v>13760</v>
      </c>
      <c r="J190" s="123" t="s">
        <v>2535</v>
      </c>
      <c r="K190" s="123" t="s">
        <v>2535</v>
      </c>
      <c r="L190" s="694" t="s">
        <v>13761</v>
      </c>
      <c r="M190" s="123"/>
      <c r="N190" s="42"/>
      <c r="O190" s="659"/>
      <c r="P190" s="411"/>
      <c r="Q190" s="411"/>
      <c r="R190" s="411"/>
      <c r="S190" s="411"/>
      <c r="T190" s="411"/>
      <c r="U190" s="411"/>
      <c r="V190" s="411"/>
      <c r="W190" s="411"/>
      <c r="X190" s="411"/>
      <c r="Y190" s="411"/>
      <c r="Z190" s="411"/>
      <c r="AA190" s="411"/>
    </row>
    <row r="191" ht="33.75" customHeight="1">
      <c r="A191" s="69">
        <v>31225.0</v>
      </c>
      <c r="B191" s="677" t="s">
        <v>25</v>
      </c>
      <c r="C191" s="42">
        <v>944.0</v>
      </c>
      <c r="D191" s="123" t="s">
        <v>13762</v>
      </c>
      <c r="E191" s="697" t="s">
        <v>13763</v>
      </c>
      <c r="F191" s="465">
        <v>42866.0</v>
      </c>
      <c r="G191" s="688">
        <v>42864.0</v>
      </c>
      <c r="H191" s="69" t="s">
        <v>1747</v>
      </c>
      <c r="I191" s="693" t="s">
        <v>13764</v>
      </c>
      <c r="J191" s="123" t="s">
        <v>2535</v>
      </c>
      <c r="K191" s="123" t="s">
        <v>2535</v>
      </c>
      <c r="L191" s="694" t="s">
        <v>13765</v>
      </c>
      <c r="M191" s="123"/>
      <c r="N191" s="42"/>
      <c r="O191" s="659"/>
      <c r="P191" s="411"/>
      <c r="Q191" s="411"/>
      <c r="R191" s="411"/>
      <c r="S191" s="411"/>
      <c r="T191" s="411"/>
      <c r="U191" s="411"/>
      <c r="V191" s="411"/>
      <c r="W191" s="411"/>
      <c r="X191" s="411"/>
      <c r="Y191" s="411"/>
      <c r="Z191" s="411"/>
      <c r="AA191" s="411"/>
    </row>
    <row r="192" ht="33.75" customHeight="1">
      <c r="A192" s="69">
        <v>31187.0</v>
      </c>
      <c r="B192" s="45" t="s">
        <v>21</v>
      </c>
      <c r="C192" s="42">
        <v>405.0</v>
      </c>
      <c r="D192" s="123" t="s">
        <v>13766</v>
      </c>
      <c r="E192" s="126" t="s">
        <v>13334</v>
      </c>
      <c r="F192" s="465">
        <v>42865.0</v>
      </c>
      <c r="G192" s="688">
        <v>42872.0</v>
      </c>
      <c r="H192" s="69" t="s">
        <v>1747</v>
      </c>
      <c r="I192" s="663">
        <v>42872.0</v>
      </c>
      <c r="J192" s="661" t="s">
        <v>13738</v>
      </c>
      <c r="K192" s="123" t="s">
        <v>13505</v>
      </c>
      <c r="L192" s="694" t="s">
        <v>13767</v>
      </c>
      <c r="M192" s="123"/>
      <c r="N192" s="42"/>
      <c r="O192" s="659"/>
      <c r="P192" s="411"/>
      <c r="Q192" s="411"/>
      <c r="R192" s="411"/>
      <c r="S192" s="411"/>
      <c r="T192" s="411"/>
      <c r="U192" s="411"/>
      <c r="V192" s="411"/>
      <c r="W192" s="411"/>
      <c r="X192" s="411"/>
      <c r="Y192" s="411"/>
      <c r="Z192" s="411"/>
      <c r="AA192" s="411"/>
    </row>
    <row r="193" ht="33.75" customHeight="1">
      <c r="A193" s="69">
        <v>31173.0</v>
      </c>
      <c r="B193" s="45" t="s">
        <v>14</v>
      </c>
      <c r="C193" s="42">
        <v>930.0</v>
      </c>
      <c r="D193" s="128" t="s">
        <v>13768</v>
      </c>
      <c r="E193" s="126" t="s">
        <v>2852</v>
      </c>
      <c r="F193" s="465">
        <v>42864.0</v>
      </c>
      <c r="G193" s="666">
        <v>42863.0</v>
      </c>
      <c r="H193" s="45" t="s">
        <v>1747</v>
      </c>
      <c r="I193" s="696">
        <v>42867.0</v>
      </c>
      <c r="J193" s="123" t="s">
        <v>2535</v>
      </c>
      <c r="K193" s="123" t="s">
        <v>2535</v>
      </c>
      <c r="L193" s="694" t="s">
        <v>13769</v>
      </c>
      <c r="M193" s="123"/>
      <c r="N193" s="42"/>
      <c r="O193" s="659"/>
      <c r="P193" s="411"/>
      <c r="Q193" s="411"/>
      <c r="R193" s="411"/>
      <c r="S193" s="411"/>
      <c r="T193" s="411"/>
      <c r="U193" s="411"/>
      <c r="V193" s="411"/>
      <c r="W193" s="411"/>
      <c r="X193" s="411"/>
      <c r="Y193" s="411"/>
      <c r="Z193" s="411"/>
      <c r="AA193" s="411"/>
    </row>
    <row r="194" ht="33.75" customHeight="1">
      <c r="A194" s="69">
        <v>31096.0</v>
      </c>
      <c r="B194" s="45" t="s">
        <v>14</v>
      </c>
      <c r="C194" s="42">
        <v>1130.0</v>
      </c>
      <c r="D194" s="123" t="s">
        <v>13770</v>
      </c>
      <c r="E194" s="126" t="s">
        <v>13771</v>
      </c>
      <c r="F194" s="465">
        <v>42863.0</v>
      </c>
      <c r="G194" s="666">
        <v>42852.0</v>
      </c>
      <c r="H194" s="45" t="s">
        <v>1747</v>
      </c>
      <c r="I194" s="693" t="s">
        <v>13772</v>
      </c>
      <c r="J194" s="123" t="s">
        <v>2535</v>
      </c>
      <c r="K194" s="123" t="s">
        <v>2535</v>
      </c>
      <c r="L194" s="694" t="s">
        <v>13773</v>
      </c>
      <c r="M194" s="123" t="s">
        <v>497</v>
      </c>
      <c r="N194" s="42" t="s">
        <v>3868</v>
      </c>
      <c r="O194" s="659">
        <v>18916.2</v>
      </c>
      <c r="P194" s="411"/>
      <c r="Q194" s="411"/>
      <c r="R194" s="411"/>
      <c r="S194" s="411"/>
      <c r="T194" s="411"/>
      <c r="U194" s="411"/>
      <c r="V194" s="411"/>
      <c r="W194" s="411"/>
      <c r="X194" s="411"/>
      <c r="Y194" s="411"/>
      <c r="Z194" s="411"/>
      <c r="AA194" s="411"/>
    </row>
    <row r="195" ht="33.75" customHeight="1">
      <c r="A195" s="69">
        <v>31191.0</v>
      </c>
      <c r="B195" s="45" t="s">
        <v>25</v>
      </c>
      <c r="C195" s="42">
        <v>1100.0</v>
      </c>
      <c r="D195" s="128" t="s">
        <v>1957</v>
      </c>
      <c r="E195" s="126" t="s">
        <v>13694</v>
      </c>
      <c r="F195" s="465">
        <v>42862.0</v>
      </c>
      <c r="G195" s="695">
        <v>42864.0</v>
      </c>
      <c r="H195" s="677" t="s">
        <v>1747</v>
      </c>
      <c r="I195" s="693" t="s">
        <v>13774</v>
      </c>
      <c r="J195" s="123" t="s">
        <v>2535</v>
      </c>
      <c r="K195" s="123" t="s">
        <v>2535</v>
      </c>
      <c r="L195" s="694" t="s">
        <v>13775</v>
      </c>
      <c r="M195" s="123"/>
      <c r="N195" s="42"/>
      <c r="O195" s="659"/>
      <c r="P195" s="411"/>
      <c r="Q195" s="411"/>
      <c r="R195" s="411"/>
      <c r="S195" s="411"/>
      <c r="T195" s="411"/>
      <c r="U195" s="411"/>
      <c r="V195" s="411"/>
      <c r="W195" s="411"/>
      <c r="X195" s="411"/>
      <c r="Y195" s="411"/>
      <c r="Z195" s="411"/>
      <c r="AA195" s="411"/>
    </row>
    <row r="196" ht="33.75" customHeight="1">
      <c r="A196" s="69">
        <v>31010.0</v>
      </c>
      <c r="B196" s="45" t="s">
        <v>14</v>
      </c>
      <c r="C196" s="42">
        <v>2040.0</v>
      </c>
      <c r="D196" s="123" t="s">
        <v>13776</v>
      </c>
      <c r="E196" s="126" t="s">
        <v>8688</v>
      </c>
      <c r="F196" s="465">
        <v>42862.0</v>
      </c>
      <c r="G196" s="666">
        <v>42858.0</v>
      </c>
      <c r="H196" s="45" t="s">
        <v>1747</v>
      </c>
      <c r="I196" s="696">
        <v>42870.0</v>
      </c>
      <c r="J196" s="123" t="s">
        <v>2535</v>
      </c>
      <c r="K196" s="123" t="s">
        <v>2535</v>
      </c>
      <c r="L196" s="694" t="s">
        <v>13777</v>
      </c>
      <c r="M196" s="123" t="s">
        <v>497</v>
      </c>
      <c r="N196" s="42" t="s">
        <v>1052</v>
      </c>
      <c r="O196" s="659">
        <v>30824.4</v>
      </c>
      <c r="P196" s="411"/>
      <c r="Q196" s="411"/>
      <c r="R196" s="411"/>
      <c r="S196" s="411"/>
      <c r="T196" s="411"/>
      <c r="U196" s="411"/>
      <c r="V196" s="411"/>
      <c r="W196" s="411"/>
      <c r="X196" s="411"/>
      <c r="Y196" s="411"/>
      <c r="Z196" s="411"/>
      <c r="AA196" s="411"/>
    </row>
    <row r="197" ht="33.75" customHeight="1">
      <c r="A197" s="69">
        <v>30949.0</v>
      </c>
      <c r="B197" s="45" t="s">
        <v>14</v>
      </c>
      <c r="C197" s="42">
        <v>2900.0</v>
      </c>
      <c r="D197" s="123" t="s">
        <v>13778</v>
      </c>
      <c r="E197" s="126" t="s">
        <v>13779</v>
      </c>
      <c r="F197" s="465">
        <v>42860.0</v>
      </c>
      <c r="G197" s="666">
        <v>42852.0</v>
      </c>
      <c r="H197" s="45" t="s">
        <v>1747</v>
      </c>
      <c r="I197" s="696" t="s">
        <v>13780</v>
      </c>
      <c r="J197" s="123" t="s">
        <v>2535</v>
      </c>
      <c r="K197" s="123" t="s">
        <v>2535</v>
      </c>
      <c r="L197" s="694" t="s">
        <v>13781</v>
      </c>
      <c r="M197" s="123"/>
      <c r="N197" s="42"/>
      <c r="O197" s="659"/>
      <c r="P197" s="411"/>
      <c r="Q197" s="411"/>
      <c r="R197" s="411"/>
      <c r="S197" s="411"/>
      <c r="T197" s="411"/>
      <c r="U197" s="411"/>
      <c r="V197" s="411"/>
      <c r="W197" s="411"/>
      <c r="X197" s="411"/>
      <c r="Y197" s="411"/>
      <c r="Z197" s="411"/>
      <c r="AA197" s="411"/>
    </row>
    <row r="198" ht="33.75" customHeight="1">
      <c r="A198" s="69">
        <v>31051.0</v>
      </c>
      <c r="B198" s="45" t="s">
        <v>21</v>
      </c>
      <c r="C198" s="42">
        <v>1080.0</v>
      </c>
      <c r="D198" s="123" t="s">
        <v>1955</v>
      </c>
      <c r="E198" s="126" t="s">
        <v>13782</v>
      </c>
      <c r="F198" s="465">
        <v>42857.0</v>
      </c>
      <c r="G198" s="666">
        <v>42863.0</v>
      </c>
      <c r="H198" s="45" t="s">
        <v>1747</v>
      </c>
      <c r="I198" s="696">
        <v>42874.0</v>
      </c>
      <c r="J198" s="123" t="s">
        <v>2535</v>
      </c>
      <c r="K198" s="123" t="s">
        <v>2535</v>
      </c>
      <c r="L198" s="694" t="s">
        <v>13783</v>
      </c>
      <c r="M198" s="123"/>
      <c r="N198" s="42"/>
      <c r="O198" s="659"/>
      <c r="P198" s="411"/>
      <c r="Q198" s="411"/>
      <c r="R198" s="411"/>
      <c r="S198" s="411"/>
      <c r="T198" s="411"/>
      <c r="U198" s="411"/>
      <c r="V198" s="411"/>
      <c r="W198" s="411"/>
      <c r="X198" s="411"/>
      <c r="Y198" s="411"/>
      <c r="Z198" s="411"/>
      <c r="AA198" s="411"/>
    </row>
    <row r="199" ht="33.75" customHeight="1">
      <c r="A199" s="69">
        <v>31174.0</v>
      </c>
      <c r="B199" s="45" t="s">
        <v>1676</v>
      </c>
      <c r="C199" s="42">
        <v>1450.0</v>
      </c>
      <c r="D199" s="128" t="s">
        <v>1953</v>
      </c>
      <c r="E199" s="126" t="s">
        <v>13784</v>
      </c>
      <c r="F199" s="465">
        <v>42857.0</v>
      </c>
      <c r="G199" s="666">
        <v>42859.0</v>
      </c>
      <c r="H199" s="677" t="s">
        <v>1747</v>
      </c>
      <c r="I199" s="698">
        <v>42864.0</v>
      </c>
      <c r="J199" s="661" t="s">
        <v>13738</v>
      </c>
      <c r="K199" s="123" t="s">
        <v>3197</v>
      </c>
      <c r="L199" s="694" t="s">
        <v>13785</v>
      </c>
      <c r="M199" s="123"/>
      <c r="N199" s="42"/>
      <c r="O199" s="659"/>
      <c r="P199" s="411"/>
      <c r="Q199" s="411"/>
      <c r="R199" s="411"/>
      <c r="S199" s="411"/>
      <c r="T199" s="411"/>
      <c r="U199" s="411"/>
      <c r="V199" s="411"/>
      <c r="W199" s="411"/>
      <c r="X199" s="411"/>
      <c r="Y199" s="411"/>
      <c r="Z199" s="411"/>
      <c r="AA199" s="411"/>
    </row>
    <row r="200" ht="33.75" customHeight="1">
      <c r="A200" s="69">
        <v>31008.0</v>
      </c>
      <c r="B200" s="45" t="s">
        <v>1676</v>
      </c>
      <c r="C200" s="42">
        <v>2040.0</v>
      </c>
      <c r="D200" s="123" t="s">
        <v>1952</v>
      </c>
      <c r="E200" s="126" t="s">
        <v>8688</v>
      </c>
      <c r="F200" s="465">
        <v>42857.0</v>
      </c>
      <c r="G200" s="666">
        <v>42853.0</v>
      </c>
      <c r="H200" s="45" t="s">
        <v>1747</v>
      </c>
      <c r="I200" s="696">
        <v>42865.0</v>
      </c>
      <c r="J200" s="661" t="s">
        <v>13738</v>
      </c>
      <c r="K200" s="123" t="s">
        <v>3197</v>
      </c>
      <c r="L200" s="694" t="s">
        <v>13786</v>
      </c>
      <c r="M200" s="123" t="s">
        <v>497</v>
      </c>
      <c r="N200" s="42" t="s">
        <v>1052</v>
      </c>
      <c r="O200" s="659">
        <v>31494.4</v>
      </c>
      <c r="P200" s="411"/>
      <c r="Q200" s="411"/>
      <c r="R200" s="411"/>
      <c r="S200" s="411"/>
      <c r="T200" s="411"/>
      <c r="U200" s="411"/>
      <c r="V200" s="411"/>
      <c r="W200" s="411"/>
      <c r="X200" s="411"/>
      <c r="Y200" s="411"/>
      <c r="Z200" s="411"/>
      <c r="AA200" s="411"/>
    </row>
    <row r="201" ht="33.75" customHeight="1">
      <c r="A201" s="69">
        <v>31087.0</v>
      </c>
      <c r="B201" s="45" t="s">
        <v>14</v>
      </c>
      <c r="C201" s="42">
        <v>1841.0</v>
      </c>
      <c r="D201" s="128" t="s">
        <v>13787</v>
      </c>
      <c r="E201" s="126" t="s">
        <v>675</v>
      </c>
      <c r="F201" s="465">
        <v>42856.0</v>
      </c>
      <c r="G201" s="666">
        <v>42851.0</v>
      </c>
      <c r="H201" s="45" t="s">
        <v>1747</v>
      </c>
      <c r="I201" s="696">
        <v>42864.0</v>
      </c>
      <c r="J201" s="123" t="s">
        <v>2535</v>
      </c>
      <c r="K201" s="123" t="s">
        <v>2535</v>
      </c>
      <c r="L201" s="694" t="s">
        <v>13788</v>
      </c>
      <c r="M201" s="123"/>
      <c r="N201" s="42"/>
      <c r="O201" s="659"/>
      <c r="P201" s="411"/>
      <c r="Q201" s="411"/>
      <c r="R201" s="411"/>
      <c r="S201" s="411"/>
      <c r="T201" s="411"/>
      <c r="U201" s="411"/>
      <c r="V201" s="411"/>
      <c r="W201" s="411"/>
      <c r="X201" s="411"/>
      <c r="Y201" s="411"/>
      <c r="Z201" s="411"/>
      <c r="AA201" s="411"/>
    </row>
    <row r="202" ht="33.75" customHeight="1">
      <c r="A202" s="69">
        <v>31149.0</v>
      </c>
      <c r="B202" s="45" t="s">
        <v>1676</v>
      </c>
      <c r="C202" s="42">
        <v>226.0</v>
      </c>
      <c r="D202" s="123" t="s">
        <v>1954</v>
      </c>
      <c r="E202" s="126" t="s">
        <v>13789</v>
      </c>
      <c r="F202" s="465">
        <v>42856.0</v>
      </c>
      <c r="G202" s="666">
        <v>42870.0</v>
      </c>
      <c r="H202" s="45" t="s">
        <v>1747</v>
      </c>
      <c r="I202" s="696">
        <v>42860.0</v>
      </c>
      <c r="J202" s="661" t="s">
        <v>13738</v>
      </c>
      <c r="K202" s="123" t="s">
        <v>3197</v>
      </c>
      <c r="L202" s="694" t="s">
        <v>13790</v>
      </c>
      <c r="M202" s="123"/>
      <c r="N202" s="42"/>
      <c r="O202" s="659"/>
      <c r="P202" s="411"/>
      <c r="Q202" s="411"/>
      <c r="R202" s="411"/>
      <c r="S202" s="411"/>
      <c r="T202" s="411"/>
      <c r="U202" s="411"/>
      <c r="V202" s="411"/>
      <c r="W202" s="411"/>
      <c r="X202" s="411"/>
      <c r="Y202" s="411"/>
      <c r="Z202" s="411"/>
      <c r="AA202" s="411"/>
    </row>
    <row r="203" ht="33.75" customHeight="1">
      <c r="A203" s="69">
        <v>31147.0</v>
      </c>
      <c r="B203" s="45" t="s">
        <v>14</v>
      </c>
      <c r="C203" s="42">
        <v>1182.0</v>
      </c>
      <c r="D203" s="123" t="s">
        <v>13791</v>
      </c>
      <c r="E203" s="126" t="s">
        <v>2852</v>
      </c>
      <c r="F203" s="465">
        <v>42850.0</v>
      </c>
      <c r="G203" s="695">
        <v>42846.0</v>
      </c>
      <c r="H203" s="677" t="s">
        <v>1747</v>
      </c>
      <c r="I203" s="693" t="s">
        <v>13792</v>
      </c>
      <c r="J203" s="123" t="s">
        <v>2535</v>
      </c>
      <c r="K203" s="123" t="s">
        <v>2535</v>
      </c>
      <c r="L203" s="694" t="s">
        <v>13793</v>
      </c>
      <c r="M203" s="123"/>
      <c r="N203" s="42"/>
      <c r="O203" s="659"/>
      <c r="P203" s="411"/>
      <c r="Q203" s="411"/>
      <c r="R203" s="411"/>
      <c r="S203" s="411"/>
      <c r="T203" s="411"/>
      <c r="U203" s="411"/>
      <c r="V203" s="411"/>
      <c r="W203" s="411"/>
      <c r="X203" s="411"/>
      <c r="Y203" s="411"/>
      <c r="Z203" s="411"/>
      <c r="AA203" s="411"/>
    </row>
    <row r="204" ht="33.75" customHeight="1">
      <c r="A204" s="69">
        <v>31146.0</v>
      </c>
      <c r="B204" s="45" t="s">
        <v>14</v>
      </c>
      <c r="C204" s="42">
        <v>1300.0</v>
      </c>
      <c r="D204" s="123" t="s">
        <v>13794</v>
      </c>
      <c r="E204" s="126" t="s">
        <v>8430</v>
      </c>
      <c r="F204" s="465">
        <v>42850.0</v>
      </c>
      <c r="G204" s="666">
        <v>42846.0</v>
      </c>
      <c r="H204" s="45" t="s">
        <v>1747</v>
      </c>
      <c r="I204" s="696">
        <v>42857.0</v>
      </c>
      <c r="J204" s="123" t="s">
        <v>2535</v>
      </c>
      <c r="K204" s="123" t="s">
        <v>2535</v>
      </c>
      <c r="L204" s="694" t="s">
        <v>13795</v>
      </c>
      <c r="M204" s="123"/>
      <c r="N204" s="42"/>
      <c r="O204" s="659"/>
      <c r="P204" s="411"/>
      <c r="Q204" s="411"/>
      <c r="R204" s="411"/>
      <c r="S204" s="411"/>
      <c r="T204" s="411"/>
      <c r="U204" s="411"/>
      <c r="V204" s="411"/>
      <c r="W204" s="411"/>
      <c r="X204" s="411"/>
      <c r="Y204" s="411"/>
      <c r="Z204" s="411"/>
      <c r="AA204" s="411"/>
    </row>
    <row r="205" ht="33.75" customHeight="1">
      <c r="A205" s="69">
        <v>31145.0</v>
      </c>
      <c r="B205" s="45" t="s">
        <v>1676</v>
      </c>
      <c r="C205" s="42">
        <v>1139.0</v>
      </c>
      <c r="D205" s="123" t="s">
        <v>1951</v>
      </c>
      <c r="E205" s="126" t="s">
        <v>13763</v>
      </c>
      <c r="F205" s="465">
        <v>42850.0</v>
      </c>
      <c r="G205" s="666">
        <v>42846.0</v>
      </c>
      <c r="H205" s="45" t="s">
        <v>1747</v>
      </c>
      <c r="I205" s="696">
        <v>42857.0</v>
      </c>
      <c r="J205" s="661" t="s">
        <v>13738</v>
      </c>
      <c r="K205" s="123" t="s">
        <v>3197</v>
      </c>
      <c r="L205" s="694" t="s">
        <v>13796</v>
      </c>
      <c r="M205" s="123"/>
      <c r="N205" s="42"/>
      <c r="O205" s="659"/>
      <c r="P205" s="411"/>
      <c r="Q205" s="411"/>
      <c r="R205" s="411"/>
      <c r="S205" s="411"/>
      <c r="T205" s="411"/>
      <c r="U205" s="411"/>
      <c r="V205" s="411"/>
      <c r="W205" s="411"/>
      <c r="X205" s="411"/>
      <c r="Y205" s="411"/>
      <c r="Z205" s="411"/>
      <c r="AA205" s="411"/>
    </row>
    <row r="206" ht="33.75" customHeight="1">
      <c r="A206" s="69">
        <v>31009.0</v>
      </c>
      <c r="B206" s="45" t="s">
        <v>14</v>
      </c>
      <c r="C206" s="42">
        <v>2040.0</v>
      </c>
      <c r="D206" s="128" t="s">
        <v>13797</v>
      </c>
      <c r="E206" s="126" t="s">
        <v>13367</v>
      </c>
      <c r="F206" s="465">
        <v>42849.0</v>
      </c>
      <c r="G206" s="666">
        <v>42845.0</v>
      </c>
      <c r="H206" s="45" t="s">
        <v>1747</v>
      </c>
      <c r="I206" s="699" t="s">
        <v>13798</v>
      </c>
      <c r="J206" s="123" t="s">
        <v>2535</v>
      </c>
      <c r="K206" s="123" t="s">
        <v>2535</v>
      </c>
      <c r="L206" s="694" t="s">
        <v>13799</v>
      </c>
      <c r="M206" s="123" t="s">
        <v>497</v>
      </c>
      <c r="N206" s="42" t="s">
        <v>1052</v>
      </c>
      <c r="O206" s="659">
        <v>31494.4</v>
      </c>
      <c r="P206" s="411"/>
      <c r="Q206" s="411"/>
      <c r="R206" s="411"/>
      <c r="S206" s="411"/>
      <c r="T206" s="411"/>
      <c r="U206" s="411"/>
      <c r="V206" s="411"/>
      <c r="W206" s="411"/>
      <c r="X206" s="411"/>
      <c r="Y206" s="411"/>
      <c r="Z206" s="411"/>
      <c r="AA206" s="411"/>
    </row>
    <row r="207" ht="33.75" customHeight="1">
      <c r="A207" s="69">
        <v>31007.0</v>
      </c>
      <c r="B207" s="45" t="s">
        <v>14</v>
      </c>
      <c r="C207" s="42">
        <v>2040.0</v>
      </c>
      <c r="D207" s="123" t="s">
        <v>13800</v>
      </c>
      <c r="E207" s="126" t="s">
        <v>13367</v>
      </c>
      <c r="F207" s="465">
        <v>42845.0</v>
      </c>
      <c r="G207" s="666">
        <v>42842.0</v>
      </c>
      <c r="H207" s="45" t="s">
        <v>1747</v>
      </c>
      <c r="I207" s="699" t="s">
        <v>13801</v>
      </c>
      <c r="J207" s="123" t="s">
        <v>2535</v>
      </c>
      <c r="K207" s="123" t="s">
        <v>2535</v>
      </c>
      <c r="L207" s="694" t="s">
        <v>13802</v>
      </c>
      <c r="M207" s="123" t="s">
        <v>497</v>
      </c>
      <c r="N207" s="42" t="s">
        <v>1052</v>
      </c>
      <c r="O207" s="659">
        <v>31494.4</v>
      </c>
      <c r="P207" s="411"/>
      <c r="Q207" s="411"/>
      <c r="R207" s="411"/>
      <c r="S207" s="411"/>
      <c r="T207" s="411"/>
      <c r="U207" s="411"/>
      <c r="V207" s="411"/>
      <c r="W207" s="411"/>
      <c r="X207" s="411"/>
      <c r="Y207" s="411"/>
      <c r="Z207" s="411"/>
      <c r="AA207" s="411"/>
    </row>
    <row r="208" ht="33.75" customHeight="1">
      <c r="A208" s="69">
        <v>31006.0</v>
      </c>
      <c r="B208" s="45" t="s">
        <v>25</v>
      </c>
      <c r="C208" s="42">
        <v>2040.0</v>
      </c>
      <c r="D208" s="123" t="s">
        <v>13803</v>
      </c>
      <c r="E208" s="126" t="s">
        <v>13367</v>
      </c>
      <c r="F208" s="465">
        <v>42843.0</v>
      </c>
      <c r="G208" s="666">
        <v>42842.0</v>
      </c>
      <c r="H208" s="45" t="s">
        <v>1747</v>
      </c>
      <c r="I208" s="696">
        <v>42850.0</v>
      </c>
      <c r="J208" s="123" t="s">
        <v>2535</v>
      </c>
      <c r="K208" s="123" t="s">
        <v>2535</v>
      </c>
      <c r="L208" s="694" t="s">
        <v>13804</v>
      </c>
      <c r="M208" s="123" t="s">
        <v>497</v>
      </c>
      <c r="N208" s="42" t="s">
        <v>1052</v>
      </c>
      <c r="O208" s="659">
        <v>31494.4</v>
      </c>
      <c r="P208" s="411"/>
      <c r="Q208" s="411"/>
      <c r="R208" s="411"/>
      <c r="S208" s="411"/>
      <c r="T208" s="411"/>
      <c r="U208" s="411"/>
      <c r="V208" s="411"/>
      <c r="W208" s="411"/>
      <c r="X208" s="411"/>
      <c r="Y208" s="411"/>
      <c r="Z208" s="411"/>
      <c r="AA208" s="411"/>
    </row>
    <row r="209" ht="33.75" customHeight="1">
      <c r="A209" s="69">
        <v>31027.0</v>
      </c>
      <c r="B209" s="45" t="s">
        <v>1676</v>
      </c>
      <c r="C209" s="42">
        <v>1130.0</v>
      </c>
      <c r="D209" s="128" t="s">
        <v>13805</v>
      </c>
      <c r="E209" s="126" t="s">
        <v>13771</v>
      </c>
      <c r="F209" s="465">
        <v>42843.0</v>
      </c>
      <c r="G209" s="666">
        <v>42839.0</v>
      </c>
      <c r="H209" s="45" t="s">
        <v>1747</v>
      </c>
      <c r="I209" s="696">
        <v>42851.0</v>
      </c>
      <c r="J209" s="661" t="s">
        <v>13738</v>
      </c>
      <c r="K209" s="123" t="s">
        <v>13505</v>
      </c>
      <c r="L209" s="694" t="s">
        <v>13806</v>
      </c>
      <c r="M209" s="42" t="s">
        <v>497</v>
      </c>
      <c r="N209" s="42" t="s">
        <v>3868</v>
      </c>
      <c r="O209" s="659">
        <v>18916.2</v>
      </c>
      <c r="P209" s="411"/>
      <c r="Q209" s="411"/>
      <c r="R209" s="411"/>
      <c r="S209" s="411"/>
      <c r="T209" s="411"/>
      <c r="U209" s="411"/>
      <c r="V209" s="411"/>
      <c r="W209" s="411"/>
      <c r="X209" s="411"/>
      <c r="Y209" s="411"/>
      <c r="Z209" s="411"/>
      <c r="AA209" s="411"/>
    </row>
    <row r="210" ht="33.75" customHeight="1">
      <c r="A210" s="69">
        <v>31115.0</v>
      </c>
      <c r="B210" s="45" t="s">
        <v>25</v>
      </c>
      <c r="C210" s="42">
        <v>200.0</v>
      </c>
      <c r="D210" s="123" t="s">
        <v>13807</v>
      </c>
      <c r="E210" s="126" t="s">
        <v>13728</v>
      </c>
      <c r="F210" s="465">
        <v>42842.0</v>
      </c>
      <c r="G210" s="688">
        <v>42842.0</v>
      </c>
      <c r="H210" s="45" t="s">
        <v>1747</v>
      </c>
      <c r="I210" s="696" t="s">
        <v>13801</v>
      </c>
      <c r="J210" s="123" t="s">
        <v>2535</v>
      </c>
      <c r="K210" s="123" t="s">
        <v>2535</v>
      </c>
      <c r="L210" s="694" t="s">
        <v>13808</v>
      </c>
      <c r="M210" s="123"/>
      <c r="N210" s="42"/>
      <c r="O210" s="659"/>
      <c r="P210" s="411"/>
      <c r="Q210" s="411"/>
      <c r="R210" s="411"/>
      <c r="S210" s="411"/>
      <c r="T210" s="411"/>
      <c r="U210" s="411"/>
      <c r="V210" s="411"/>
      <c r="W210" s="411"/>
      <c r="X210" s="411"/>
      <c r="Y210" s="411"/>
      <c r="Z210" s="411"/>
      <c r="AA210" s="411"/>
    </row>
    <row r="211" ht="33.75" customHeight="1">
      <c r="A211" s="69">
        <v>31092.0</v>
      </c>
      <c r="B211" s="45" t="s">
        <v>14</v>
      </c>
      <c r="C211" s="42">
        <v>1100.0</v>
      </c>
      <c r="D211" s="123" t="s">
        <v>13809</v>
      </c>
      <c r="E211" s="126" t="s">
        <v>13810</v>
      </c>
      <c r="F211" s="465">
        <v>42837.0</v>
      </c>
      <c r="G211" s="666">
        <v>42835.0</v>
      </c>
      <c r="H211" s="45" t="s">
        <v>1747</v>
      </c>
      <c r="I211" s="696">
        <v>42843.0</v>
      </c>
      <c r="J211" s="123" t="s">
        <v>2535</v>
      </c>
      <c r="K211" s="123" t="s">
        <v>2535</v>
      </c>
      <c r="L211" s="694" t="s">
        <v>13811</v>
      </c>
      <c r="M211" s="123"/>
      <c r="N211" s="42"/>
      <c r="O211" s="659"/>
      <c r="P211" s="411"/>
      <c r="Q211" s="411"/>
      <c r="R211" s="411"/>
      <c r="S211" s="411"/>
      <c r="T211" s="411"/>
      <c r="U211" s="411"/>
      <c r="V211" s="411"/>
      <c r="W211" s="411"/>
      <c r="X211" s="411"/>
      <c r="Y211" s="411"/>
      <c r="Z211" s="411"/>
      <c r="AA211" s="411"/>
    </row>
    <row r="212" ht="33.75" customHeight="1">
      <c r="A212" s="69">
        <v>31137.0</v>
      </c>
      <c r="B212" s="45" t="s">
        <v>21</v>
      </c>
      <c r="C212" s="42">
        <v>1129.0</v>
      </c>
      <c r="D212" s="123" t="s">
        <v>1950</v>
      </c>
      <c r="E212" s="126" t="s">
        <v>8475</v>
      </c>
      <c r="F212" s="465">
        <v>42836.0</v>
      </c>
      <c r="G212" s="666">
        <v>42832.0</v>
      </c>
      <c r="H212" s="45" t="s">
        <v>1747</v>
      </c>
      <c r="I212" s="696">
        <v>42844.0</v>
      </c>
      <c r="J212" s="123" t="s">
        <v>2535</v>
      </c>
      <c r="K212" s="123" t="s">
        <v>2535</v>
      </c>
      <c r="L212" s="694" t="s">
        <v>13812</v>
      </c>
      <c r="M212" s="123"/>
      <c r="N212" s="42"/>
      <c r="O212" s="659"/>
      <c r="P212" s="411"/>
      <c r="Q212" s="411"/>
      <c r="R212" s="411"/>
      <c r="S212" s="411"/>
      <c r="T212" s="411"/>
      <c r="U212" s="411"/>
      <c r="V212" s="411"/>
      <c r="W212" s="411"/>
      <c r="X212" s="411"/>
      <c r="Y212" s="411"/>
      <c r="Z212" s="411"/>
      <c r="AA212" s="411"/>
    </row>
    <row r="213" ht="33.75" customHeight="1">
      <c r="A213" s="69">
        <v>30896.0</v>
      </c>
      <c r="B213" s="45" t="s">
        <v>1676</v>
      </c>
      <c r="C213" s="42">
        <v>1000.0</v>
      </c>
      <c r="D213" s="128" t="s">
        <v>13813</v>
      </c>
      <c r="E213" s="126" t="s">
        <v>13814</v>
      </c>
      <c r="F213" s="465">
        <v>42834.0</v>
      </c>
      <c r="G213" s="666">
        <v>42838.0</v>
      </c>
      <c r="H213" s="45" t="s">
        <v>1747</v>
      </c>
      <c r="I213" s="696">
        <v>42839.0</v>
      </c>
      <c r="J213" s="123" t="s">
        <v>13815</v>
      </c>
      <c r="K213" s="123" t="s">
        <v>13505</v>
      </c>
      <c r="L213" s="694" t="s">
        <v>13816</v>
      </c>
      <c r="M213" s="123"/>
      <c r="N213" s="123"/>
      <c r="O213" s="659"/>
      <c r="P213" s="411"/>
      <c r="Q213" s="411"/>
      <c r="R213" s="411"/>
      <c r="S213" s="411"/>
      <c r="T213" s="411"/>
      <c r="U213" s="411"/>
      <c r="V213" s="411"/>
      <c r="W213" s="411"/>
      <c r="X213" s="411"/>
      <c r="Y213" s="411"/>
      <c r="Z213" s="411"/>
      <c r="AA213" s="411"/>
    </row>
    <row r="214" ht="33.75" customHeight="1">
      <c r="A214" s="69">
        <v>31123.0</v>
      </c>
      <c r="B214" s="700" t="s">
        <v>25</v>
      </c>
      <c r="C214" s="42">
        <v>1029.0</v>
      </c>
      <c r="D214" s="123" t="s">
        <v>13817</v>
      </c>
      <c r="E214" s="126" t="s">
        <v>13818</v>
      </c>
      <c r="F214" s="465">
        <v>42831.0</v>
      </c>
      <c r="G214" s="688">
        <v>42828.0</v>
      </c>
      <c r="H214" s="45" t="s">
        <v>1747</v>
      </c>
      <c r="I214" s="663" t="s">
        <v>13819</v>
      </c>
      <c r="J214" s="123" t="s">
        <v>2535</v>
      </c>
      <c r="K214" s="123" t="s">
        <v>2535</v>
      </c>
      <c r="L214" s="694" t="s">
        <v>13820</v>
      </c>
      <c r="M214" s="123"/>
      <c r="N214" s="42"/>
      <c r="O214" s="659"/>
      <c r="P214" s="411"/>
      <c r="Q214" s="411"/>
      <c r="R214" s="411"/>
      <c r="S214" s="411"/>
      <c r="T214" s="411"/>
      <c r="U214" s="411"/>
      <c r="V214" s="411"/>
      <c r="W214" s="411"/>
      <c r="X214" s="411"/>
      <c r="Y214" s="411"/>
      <c r="Z214" s="411"/>
      <c r="AA214" s="411"/>
    </row>
    <row r="215" ht="33.75" customHeight="1">
      <c r="A215" s="69">
        <v>31086.0</v>
      </c>
      <c r="B215" s="45" t="s">
        <v>14</v>
      </c>
      <c r="C215" s="42">
        <v>1139.0</v>
      </c>
      <c r="D215" s="123" t="s">
        <v>13821</v>
      </c>
      <c r="E215" s="126" t="s">
        <v>13763</v>
      </c>
      <c r="F215" s="465">
        <v>42831.0</v>
      </c>
      <c r="G215" s="666">
        <v>42828.0</v>
      </c>
      <c r="H215" s="45" t="s">
        <v>1747</v>
      </c>
      <c r="I215" s="696">
        <v>42832.0</v>
      </c>
      <c r="J215" s="123" t="s">
        <v>2535</v>
      </c>
      <c r="K215" s="123" t="s">
        <v>2535</v>
      </c>
      <c r="L215" s="694" t="s">
        <v>13822</v>
      </c>
      <c r="M215" s="123"/>
      <c r="N215" s="42"/>
      <c r="O215" s="659"/>
      <c r="P215" s="411"/>
      <c r="Q215" s="411"/>
      <c r="R215" s="411"/>
      <c r="S215" s="411"/>
      <c r="T215" s="411"/>
      <c r="U215" s="411"/>
      <c r="V215" s="411"/>
      <c r="W215" s="411"/>
      <c r="X215" s="411"/>
      <c r="Y215" s="411"/>
      <c r="Z215" s="411"/>
      <c r="AA215" s="411"/>
    </row>
    <row r="216" ht="33.75" customHeight="1">
      <c r="A216" s="69">
        <v>31085.0</v>
      </c>
      <c r="B216" s="45" t="s">
        <v>14</v>
      </c>
      <c r="C216" s="42">
        <v>445.0</v>
      </c>
      <c r="D216" s="123" t="s">
        <v>13823</v>
      </c>
      <c r="E216" s="126" t="s">
        <v>13824</v>
      </c>
      <c r="F216" s="465">
        <v>42830.0</v>
      </c>
      <c r="G216" s="666">
        <v>42828.0</v>
      </c>
      <c r="H216" s="701">
        <v>42832.0</v>
      </c>
      <c r="I216" s="696">
        <v>42837.0</v>
      </c>
      <c r="J216" s="123" t="s">
        <v>2535</v>
      </c>
      <c r="K216" s="123" t="s">
        <v>2535</v>
      </c>
      <c r="L216" s="694" t="s">
        <v>13825</v>
      </c>
      <c r="M216" s="123"/>
      <c r="N216" s="42"/>
      <c r="O216" s="659"/>
      <c r="P216" s="411"/>
      <c r="Q216" s="411"/>
      <c r="R216" s="411"/>
      <c r="S216" s="411"/>
      <c r="T216" s="411"/>
      <c r="U216" s="411"/>
      <c r="V216" s="411"/>
      <c r="W216" s="411"/>
      <c r="X216" s="411"/>
      <c r="Y216" s="411"/>
      <c r="Z216" s="411"/>
      <c r="AA216" s="411"/>
    </row>
    <row r="217" ht="33.75" customHeight="1">
      <c r="A217" s="69">
        <v>30892.0</v>
      </c>
      <c r="B217" s="45" t="s">
        <v>25</v>
      </c>
      <c r="C217" s="42">
        <v>898.0</v>
      </c>
      <c r="D217" s="123" t="s">
        <v>13826</v>
      </c>
      <c r="E217" s="126" t="s">
        <v>12512</v>
      </c>
      <c r="F217" s="465">
        <v>42829.0</v>
      </c>
      <c r="G217" s="666">
        <v>42829.0</v>
      </c>
      <c r="H217" s="45" t="s">
        <v>1747</v>
      </c>
      <c r="I217" s="696">
        <v>42832.0</v>
      </c>
      <c r="J217" s="123" t="s">
        <v>2535</v>
      </c>
      <c r="K217" s="123" t="s">
        <v>2535</v>
      </c>
      <c r="L217" s="694" t="s">
        <v>13827</v>
      </c>
      <c r="M217" s="123" t="s">
        <v>497</v>
      </c>
      <c r="N217" s="123" t="s">
        <v>1077</v>
      </c>
      <c r="O217" s="659">
        <v>45278.52</v>
      </c>
      <c r="P217" s="411"/>
      <c r="Q217" s="411"/>
      <c r="R217" s="411"/>
      <c r="S217" s="411"/>
      <c r="T217" s="411"/>
      <c r="U217" s="411"/>
      <c r="V217" s="411"/>
      <c r="W217" s="411"/>
      <c r="X217" s="411"/>
      <c r="Y217" s="411"/>
      <c r="Z217" s="411"/>
      <c r="AA217" s="411"/>
    </row>
    <row r="218" ht="33.75" customHeight="1">
      <c r="A218" s="69">
        <v>30920.0</v>
      </c>
      <c r="B218" s="45" t="s">
        <v>1676</v>
      </c>
      <c r="C218" s="42">
        <v>550.0</v>
      </c>
      <c r="D218" s="123" t="s">
        <v>1949</v>
      </c>
      <c r="E218" s="126" t="s">
        <v>13828</v>
      </c>
      <c r="F218" s="465">
        <v>42829.0</v>
      </c>
      <c r="G218" s="666">
        <v>42825.0</v>
      </c>
      <c r="H218" s="45" t="s">
        <v>1747</v>
      </c>
      <c r="I218" s="696">
        <v>42837.0</v>
      </c>
      <c r="J218" s="69" t="s">
        <v>13829</v>
      </c>
      <c r="K218" s="123" t="s">
        <v>13505</v>
      </c>
      <c r="L218" s="694" t="s">
        <v>13830</v>
      </c>
      <c r="M218" s="123"/>
      <c r="N218" s="42"/>
      <c r="O218" s="659"/>
      <c r="P218" s="411"/>
      <c r="Q218" s="411"/>
      <c r="R218" s="411"/>
      <c r="S218" s="411"/>
      <c r="T218" s="411"/>
      <c r="U218" s="411"/>
      <c r="V218" s="411"/>
      <c r="W218" s="411"/>
      <c r="X218" s="411"/>
      <c r="Y218" s="411"/>
      <c r="Z218" s="411"/>
      <c r="AA218" s="411"/>
    </row>
    <row r="219" ht="33.75" customHeight="1">
      <c r="A219" s="69">
        <v>30084.0</v>
      </c>
      <c r="B219" s="45" t="s">
        <v>14</v>
      </c>
      <c r="C219" s="42">
        <v>2000.0</v>
      </c>
      <c r="D219" s="128" t="s">
        <v>13831</v>
      </c>
      <c r="E219" s="126" t="s">
        <v>13832</v>
      </c>
      <c r="F219" s="465">
        <v>42828.0</v>
      </c>
      <c r="G219" s="666">
        <v>42824.0</v>
      </c>
      <c r="H219" s="45" t="s">
        <v>1747</v>
      </c>
      <c r="I219" s="696">
        <v>42836.0</v>
      </c>
      <c r="J219" s="123" t="s">
        <v>2535</v>
      </c>
      <c r="K219" s="123" t="s">
        <v>2535</v>
      </c>
      <c r="L219" s="694" t="s">
        <v>13833</v>
      </c>
      <c r="M219" s="123" t="s">
        <v>497</v>
      </c>
      <c r="N219" s="42" t="s">
        <v>1052</v>
      </c>
      <c r="O219" s="659">
        <v>31560.0</v>
      </c>
      <c r="P219" s="411"/>
      <c r="Q219" s="411"/>
      <c r="R219" s="411"/>
      <c r="S219" s="411"/>
      <c r="T219" s="411"/>
      <c r="U219" s="411"/>
      <c r="V219" s="411"/>
      <c r="W219" s="411"/>
      <c r="X219" s="411"/>
      <c r="Y219" s="411"/>
      <c r="Z219" s="411"/>
      <c r="AA219" s="411"/>
    </row>
    <row r="220" ht="33.75" customHeight="1">
      <c r="A220" s="69">
        <v>31122.0</v>
      </c>
      <c r="B220" s="45" t="s">
        <v>25</v>
      </c>
      <c r="C220" s="42">
        <v>1182.0</v>
      </c>
      <c r="D220" s="215" t="s">
        <v>13834</v>
      </c>
      <c r="E220" s="126" t="s">
        <v>12521</v>
      </c>
      <c r="F220" s="465">
        <v>42828.0</v>
      </c>
      <c r="G220" s="666">
        <v>42835.0</v>
      </c>
      <c r="H220" s="45" t="s">
        <v>1747</v>
      </c>
      <c r="I220" s="698" t="s">
        <v>13819</v>
      </c>
      <c r="J220" s="123" t="s">
        <v>2535</v>
      </c>
      <c r="K220" s="123" t="s">
        <v>2535</v>
      </c>
      <c r="L220" s="694" t="s">
        <v>13835</v>
      </c>
      <c r="M220" s="123"/>
      <c r="N220" s="42"/>
      <c r="O220" s="659"/>
      <c r="P220" s="411"/>
      <c r="Q220" s="411"/>
      <c r="R220" s="411"/>
      <c r="S220" s="411"/>
      <c r="T220" s="411"/>
      <c r="U220" s="411"/>
      <c r="V220" s="411"/>
      <c r="W220" s="411"/>
      <c r="X220" s="411"/>
      <c r="Y220" s="411"/>
      <c r="Z220" s="411"/>
      <c r="AA220" s="411"/>
    </row>
    <row r="221" ht="33.75" customHeight="1">
      <c r="A221" s="69">
        <v>31052.0</v>
      </c>
      <c r="B221" s="45" t="s">
        <v>14</v>
      </c>
      <c r="C221" s="42">
        <v>900.0</v>
      </c>
      <c r="D221" s="123" t="s">
        <v>13836</v>
      </c>
      <c r="E221" s="126" t="s">
        <v>13837</v>
      </c>
      <c r="F221" s="465">
        <v>42827.0</v>
      </c>
      <c r="G221" s="666">
        <v>42824.0</v>
      </c>
      <c r="H221" s="45" t="s">
        <v>1747</v>
      </c>
      <c r="I221" s="696">
        <v>42839.0</v>
      </c>
      <c r="J221" s="123" t="s">
        <v>2535</v>
      </c>
      <c r="K221" s="123" t="s">
        <v>2535</v>
      </c>
      <c r="L221" s="694" t="s">
        <v>13838</v>
      </c>
      <c r="M221" s="123"/>
      <c r="N221" s="42"/>
      <c r="O221" s="659"/>
      <c r="P221" s="411"/>
      <c r="Q221" s="411"/>
      <c r="R221" s="411"/>
      <c r="S221" s="411"/>
      <c r="T221" s="411"/>
      <c r="U221" s="411"/>
      <c r="V221" s="411"/>
      <c r="W221" s="411"/>
      <c r="X221" s="411"/>
      <c r="Y221" s="411"/>
      <c r="Z221" s="411"/>
      <c r="AA221" s="411"/>
    </row>
    <row r="222" ht="33.75" customHeight="1">
      <c r="A222" s="69">
        <v>31039.0</v>
      </c>
      <c r="B222" s="45" t="s">
        <v>14</v>
      </c>
      <c r="C222" s="42">
        <v>930.0</v>
      </c>
      <c r="D222" s="128" t="s">
        <v>13839</v>
      </c>
      <c r="E222" s="126" t="s">
        <v>8430</v>
      </c>
      <c r="F222" s="465">
        <v>42825.0</v>
      </c>
      <c r="G222" s="666">
        <v>42814.0</v>
      </c>
      <c r="H222" s="45" t="s">
        <v>1747</v>
      </c>
      <c r="I222" s="696">
        <v>42818.0</v>
      </c>
      <c r="J222" s="123" t="s">
        <v>2535</v>
      </c>
      <c r="K222" s="123" t="s">
        <v>2535</v>
      </c>
      <c r="L222" s="694" t="s">
        <v>13840</v>
      </c>
      <c r="M222" s="123"/>
      <c r="N222" s="42"/>
      <c r="O222" s="659"/>
      <c r="P222" s="411"/>
      <c r="Q222" s="411"/>
      <c r="R222" s="411"/>
      <c r="S222" s="411"/>
      <c r="T222" s="411"/>
      <c r="U222" s="411"/>
      <c r="V222" s="411"/>
      <c r="W222" s="411"/>
      <c r="X222" s="411"/>
      <c r="Y222" s="411"/>
      <c r="Z222" s="411"/>
      <c r="AA222" s="411"/>
    </row>
    <row r="223" ht="33.75" customHeight="1">
      <c r="A223" s="69">
        <v>30889.0</v>
      </c>
      <c r="B223" s="45" t="s">
        <v>14</v>
      </c>
      <c r="C223" s="42">
        <v>952.0</v>
      </c>
      <c r="D223" s="123" t="s">
        <v>13841</v>
      </c>
      <c r="E223" s="126" t="s">
        <v>8618</v>
      </c>
      <c r="F223" s="465">
        <v>42823.0</v>
      </c>
      <c r="G223" s="666">
        <v>42821.0</v>
      </c>
      <c r="H223" s="45" t="s">
        <v>1747</v>
      </c>
      <c r="I223" s="698" t="s">
        <v>13842</v>
      </c>
      <c r="J223" s="123" t="s">
        <v>2535</v>
      </c>
      <c r="K223" s="123" t="s">
        <v>2535</v>
      </c>
      <c r="L223" s="694" t="s">
        <v>13843</v>
      </c>
      <c r="M223" s="123" t="s">
        <v>497</v>
      </c>
      <c r="N223" s="123" t="s">
        <v>1077</v>
      </c>
      <c r="O223" s="659">
        <v>46365.46</v>
      </c>
      <c r="P223" s="411"/>
      <c r="Q223" s="411"/>
      <c r="R223" s="411"/>
      <c r="S223" s="411"/>
      <c r="T223" s="411"/>
      <c r="U223" s="411"/>
      <c r="V223" s="411"/>
      <c r="W223" s="411"/>
      <c r="X223" s="411"/>
      <c r="Y223" s="411"/>
      <c r="Z223" s="411"/>
      <c r="AA223" s="411"/>
    </row>
    <row r="224" ht="33.75" customHeight="1">
      <c r="A224" s="69">
        <v>31091.0</v>
      </c>
      <c r="B224" s="45" t="s">
        <v>1676</v>
      </c>
      <c r="C224" s="42">
        <v>1300.0</v>
      </c>
      <c r="D224" s="128" t="s">
        <v>13844</v>
      </c>
      <c r="E224" s="702" t="s">
        <v>13845</v>
      </c>
      <c r="F224" s="465">
        <v>42822.0</v>
      </c>
      <c r="G224" s="666">
        <v>42818.0</v>
      </c>
      <c r="H224" s="45" t="s">
        <v>1747</v>
      </c>
      <c r="I224" s="698">
        <v>42830.0</v>
      </c>
      <c r="J224" s="69" t="s">
        <v>13829</v>
      </c>
      <c r="K224" s="123" t="s">
        <v>3197</v>
      </c>
      <c r="L224" s="694" t="s">
        <v>13846</v>
      </c>
      <c r="M224" s="123"/>
      <c r="N224" s="42"/>
      <c r="O224" s="659"/>
      <c r="P224" s="411"/>
      <c r="Q224" s="411"/>
      <c r="R224" s="411"/>
      <c r="S224" s="411"/>
      <c r="T224" s="411"/>
      <c r="U224" s="411"/>
      <c r="V224" s="411"/>
      <c r="W224" s="411"/>
      <c r="X224" s="411"/>
      <c r="Y224" s="411"/>
      <c r="Z224" s="411"/>
      <c r="AA224" s="411"/>
    </row>
    <row r="225" ht="33.75" customHeight="1">
      <c r="A225" s="69">
        <v>31058.0</v>
      </c>
      <c r="B225" s="45" t="s">
        <v>14</v>
      </c>
      <c r="C225" s="42">
        <v>1182.0</v>
      </c>
      <c r="D225" s="123" t="s">
        <v>13847</v>
      </c>
      <c r="E225" s="126" t="s">
        <v>8430</v>
      </c>
      <c r="F225" s="465">
        <v>42821.0</v>
      </c>
      <c r="G225" s="666">
        <v>42818.0</v>
      </c>
      <c r="H225" s="45" t="s">
        <v>1747</v>
      </c>
      <c r="I225" s="696">
        <v>42823.0</v>
      </c>
      <c r="J225" s="123" t="s">
        <v>2535</v>
      </c>
      <c r="K225" s="123" t="s">
        <v>2535</v>
      </c>
      <c r="L225" s="694" t="s">
        <v>13848</v>
      </c>
      <c r="M225" s="123"/>
      <c r="N225" s="42"/>
      <c r="O225" s="659"/>
      <c r="P225" s="411"/>
      <c r="Q225" s="411"/>
      <c r="R225" s="411"/>
      <c r="S225" s="411"/>
      <c r="T225" s="411"/>
      <c r="U225" s="411"/>
      <c r="V225" s="411"/>
      <c r="W225" s="411"/>
      <c r="X225" s="411"/>
      <c r="Y225" s="411"/>
      <c r="Z225" s="411"/>
      <c r="AA225" s="411"/>
    </row>
    <row r="226" ht="33.75" customHeight="1">
      <c r="A226" s="69">
        <v>31083.0</v>
      </c>
      <c r="B226" s="45" t="s">
        <v>1676</v>
      </c>
      <c r="C226" s="42">
        <v>1300.0</v>
      </c>
      <c r="D226" s="123" t="s">
        <v>1948</v>
      </c>
      <c r="E226" s="126" t="s">
        <v>13849</v>
      </c>
      <c r="F226" s="465">
        <v>42818.0</v>
      </c>
      <c r="G226" s="666">
        <v>42816.0</v>
      </c>
      <c r="H226" s="45" t="s">
        <v>1747</v>
      </c>
      <c r="I226" s="698" t="s">
        <v>13850</v>
      </c>
      <c r="J226" s="69" t="s">
        <v>13829</v>
      </c>
      <c r="K226" s="123" t="s">
        <v>3197</v>
      </c>
      <c r="L226" s="694" t="s">
        <v>13851</v>
      </c>
      <c r="M226" s="123"/>
      <c r="N226" s="42"/>
      <c r="O226" s="659"/>
      <c r="P226" s="411"/>
      <c r="Q226" s="411"/>
      <c r="R226" s="411"/>
      <c r="S226" s="411"/>
      <c r="T226" s="411"/>
      <c r="U226" s="411"/>
      <c r="V226" s="411"/>
      <c r="W226" s="411"/>
      <c r="X226" s="411"/>
      <c r="Y226" s="411"/>
      <c r="Z226" s="411"/>
      <c r="AA226" s="411"/>
    </row>
    <row r="227" ht="33.75" customHeight="1">
      <c r="A227" s="69">
        <v>31124.0</v>
      </c>
      <c r="B227" s="45" t="s">
        <v>1676</v>
      </c>
      <c r="C227" s="42">
        <v>808.0</v>
      </c>
      <c r="D227" s="123" t="s">
        <v>1945</v>
      </c>
      <c r="E227" s="126" t="s">
        <v>13852</v>
      </c>
      <c r="F227" s="465">
        <v>42814.0</v>
      </c>
      <c r="G227" s="666">
        <v>42810.0</v>
      </c>
      <c r="H227" s="45" t="s">
        <v>1747</v>
      </c>
      <c r="I227" s="696" t="s">
        <v>13853</v>
      </c>
      <c r="J227" s="69" t="s">
        <v>13829</v>
      </c>
      <c r="K227" s="123" t="s">
        <v>3197</v>
      </c>
      <c r="L227" s="694" t="s">
        <v>13854</v>
      </c>
      <c r="M227" s="123"/>
      <c r="N227" s="42"/>
      <c r="O227" s="659"/>
      <c r="P227" s="411"/>
      <c r="Q227" s="411"/>
      <c r="R227" s="411"/>
      <c r="S227" s="411"/>
      <c r="T227" s="411"/>
      <c r="U227" s="411"/>
      <c r="V227" s="411"/>
      <c r="W227" s="411"/>
      <c r="X227" s="411"/>
      <c r="Y227" s="411"/>
      <c r="Z227" s="411"/>
      <c r="AA227" s="411"/>
    </row>
    <row r="228" ht="33.75" customHeight="1">
      <c r="A228" s="69" t="s">
        <v>13855</v>
      </c>
      <c r="B228" s="45" t="s">
        <v>1676</v>
      </c>
      <c r="C228" s="42">
        <v>181.0</v>
      </c>
      <c r="D228" s="471" t="s">
        <v>13856</v>
      </c>
      <c r="E228" s="126" t="s">
        <v>13857</v>
      </c>
      <c r="F228" s="465">
        <v>42813.0</v>
      </c>
      <c r="G228" s="666">
        <v>42816.0</v>
      </c>
      <c r="H228" s="45" t="s">
        <v>1747</v>
      </c>
      <c r="I228" s="696" t="s">
        <v>13858</v>
      </c>
      <c r="J228" s="123" t="s">
        <v>2535</v>
      </c>
      <c r="K228" s="123" t="s">
        <v>2535</v>
      </c>
      <c r="L228" s="694" t="s">
        <v>13859</v>
      </c>
      <c r="M228" s="123" t="s">
        <v>497</v>
      </c>
      <c r="N228" s="42" t="s">
        <v>1048</v>
      </c>
      <c r="O228" s="659">
        <v>15493.64</v>
      </c>
      <c r="P228" s="411"/>
      <c r="Q228" s="411"/>
      <c r="R228" s="411"/>
      <c r="S228" s="411"/>
      <c r="T228" s="411"/>
      <c r="U228" s="411"/>
      <c r="V228" s="411"/>
      <c r="W228" s="411"/>
      <c r="X228" s="411"/>
      <c r="Y228" s="411"/>
      <c r="Z228" s="411"/>
      <c r="AA228" s="411"/>
    </row>
    <row r="229" ht="33.75" customHeight="1">
      <c r="A229" s="69">
        <v>30978.0</v>
      </c>
      <c r="B229" s="45" t="s">
        <v>21</v>
      </c>
      <c r="C229" s="42">
        <v>320.0</v>
      </c>
      <c r="D229" s="128" t="s">
        <v>1944</v>
      </c>
      <c r="E229" s="126" t="s">
        <v>13860</v>
      </c>
      <c r="F229" s="465">
        <v>42812.0</v>
      </c>
      <c r="G229" s="666">
        <v>42816.0</v>
      </c>
      <c r="H229" s="45" t="s">
        <v>1747</v>
      </c>
      <c r="I229" s="696">
        <v>42821.0</v>
      </c>
      <c r="J229" s="69" t="s">
        <v>13829</v>
      </c>
      <c r="K229" s="123" t="s">
        <v>3197</v>
      </c>
      <c r="L229" s="694" t="s">
        <v>13861</v>
      </c>
      <c r="M229" s="123"/>
      <c r="N229" s="42"/>
      <c r="O229" s="659"/>
      <c r="P229" s="411"/>
      <c r="Q229" s="411"/>
      <c r="R229" s="411"/>
      <c r="S229" s="411"/>
      <c r="T229" s="411"/>
      <c r="U229" s="411"/>
      <c r="V229" s="411"/>
      <c r="W229" s="411"/>
      <c r="X229" s="411"/>
      <c r="Y229" s="411"/>
      <c r="Z229" s="411"/>
      <c r="AA229" s="411"/>
    </row>
    <row r="230" ht="33.75" customHeight="1">
      <c r="A230" s="69">
        <v>30982.0</v>
      </c>
      <c r="B230" s="45" t="s">
        <v>21</v>
      </c>
      <c r="C230" s="42">
        <v>186.0</v>
      </c>
      <c r="D230" s="123" t="s">
        <v>13862</v>
      </c>
      <c r="E230" s="126" t="s">
        <v>13411</v>
      </c>
      <c r="F230" s="465">
        <v>42810.0</v>
      </c>
      <c r="G230" s="666">
        <v>42816.0</v>
      </c>
      <c r="H230" s="45" t="s">
        <v>1747</v>
      </c>
      <c r="I230" s="696">
        <v>42822.0</v>
      </c>
      <c r="J230" s="123" t="s">
        <v>2535</v>
      </c>
      <c r="K230" s="123" t="s">
        <v>2535</v>
      </c>
      <c r="L230" s="703" t="s">
        <v>13863</v>
      </c>
      <c r="M230" s="123"/>
      <c r="N230" s="42"/>
      <c r="O230" s="659"/>
      <c r="P230" s="411"/>
      <c r="Q230" s="411"/>
      <c r="R230" s="411"/>
      <c r="S230" s="411"/>
      <c r="T230" s="411"/>
      <c r="U230" s="411"/>
      <c r="V230" s="411"/>
      <c r="W230" s="411"/>
      <c r="X230" s="411"/>
      <c r="Y230" s="411"/>
      <c r="Z230" s="411"/>
      <c r="AA230" s="411"/>
    </row>
    <row r="231" ht="33.75" customHeight="1">
      <c r="A231" s="69">
        <v>30915.0</v>
      </c>
      <c r="B231" s="45" t="s">
        <v>21</v>
      </c>
      <c r="C231" s="42">
        <v>2200.0</v>
      </c>
      <c r="D231" s="471" t="s">
        <v>1943</v>
      </c>
      <c r="E231" s="126" t="s">
        <v>13864</v>
      </c>
      <c r="F231" s="465">
        <v>42805.0</v>
      </c>
      <c r="G231" s="666">
        <v>42801.0</v>
      </c>
      <c r="H231" s="45" t="s">
        <v>1747</v>
      </c>
      <c r="I231" s="696">
        <v>42810.0</v>
      </c>
      <c r="J231" s="69" t="s">
        <v>13829</v>
      </c>
      <c r="K231" s="45" t="s">
        <v>13505</v>
      </c>
      <c r="L231" s="703" t="s">
        <v>13865</v>
      </c>
      <c r="M231" s="123" t="s">
        <v>497</v>
      </c>
      <c r="N231" s="42" t="s">
        <v>1052</v>
      </c>
      <c r="O231" s="659">
        <v>29018.0</v>
      </c>
      <c r="P231" s="411"/>
      <c r="Q231" s="411"/>
      <c r="R231" s="411"/>
      <c r="S231" s="411"/>
      <c r="T231" s="411"/>
      <c r="U231" s="411"/>
      <c r="V231" s="411"/>
      <c r="W231" s="411"/>
      <c r="X231" s="411"/>
      <c r="Y231" s="411"/>
      <c r="Z231" s="411"/>
      <c r="AA231" s="411"/>
    </row>
    <row r="232" ht="33.75" customHeight="1">
      <c r="A232" s="69">
        <v>30913.0</v>
      </c>
      <c r="B232" s="45" t="s">
        <v>14</v>
      </c>
      <c r="C232" s="42">
        <v>2200.0</v>
      </c>
      <c r="D232" s="471" t="s">
        <v>13866</v>
      </c>
      <c r="E232" s="126" t="s">
        <v>13864</v>
      </c>
      <c r="F232" s="465">
        <v>42803.0</v>
      </c>
      <c r="G232" s="666">
        <v>42800.0</v>
      </c>
      <c r="H232" s="45" t="s">
        <v>1747</v>
      </c>
      <c r="I232" s="696">
        <v>42810.0</v>
      </c>
      <c r="J232" s="123" t="s">
        <v>2535</v>
      </c>
      <c r="K232" s="123" t="s">
        <v>2535</v>
      </c>
      <c r="L232" s="703" t="s">
        <v>13867</v>
      </c>
      <c r="M232" s="123" t="s">
        <v>497</v>
      </c>
      <c r="N232" s="42" t="s">
        <v>1052</v>
      </c>
      <c r="O232" s="659">
        <v>29018.0</v>
      </c>
      <c r="P232" s="411"/>
      <c r="Q232" s="411"/>
      <c r="R232" s="411"/>
      <c r="S232" s="411"/>
      <c r="T232" s="411"/>
      <c r="U232" s="411"/>
      <c r="V232" s="411"/>
      <c r="W232" s="411"/>
      <c r="X232" s="411"/>
      <c r="Y232" s="411"/>
      <c r="Z232" s="411"/>
      <c r="AA232" s="411"/>
    </row>
    <row r="233" ht="33.75" customHeight="1">
      <c r="A233" s="69">
        <v>30479.0</v>
      </c>
      <c r="B233" s="45" t="s">
        <v>14</v>
      </c>
      <c r="C233" s="42">
        <v>2200.0</v>
      </c>
      <c r="D233" s="471" t="s">
        <v>13868</v>
      </c>
      <c r="E233" s="126" t="s">
        <v>13864</v>
      </c>
      <c r="F233" s="465">
        <v>42803.0</v>
      </c>
      <c r="G233" s="666">
        <v>42800.0</v>
      </c>
      <c r="H233" s="45" t="s">
        <v>1747</v>
      </c>
      <c r="I233" s="696">
        <v>42811.0</v>
      </c>
      <c r="J233" s="123" t="s">
        <v>2535</v>
      </c>
      <c r="K233" s="123" t="s">
        <v>2535</v>
      </c>
      <c r="L233" s="703" t="s">
        <v>13869</v>
      </c>
      <c r="M233" s="123" t="s">
        <v>497</v>
      </c>
      <c r="N233" s="42" t="s">
        <v>1052</v>
      </c>
      <c r="O233" s="659">
        <v>29018.0</v>
      </c>
      <c r="P233" s="411"/>
      <c r="Q233" s="411"/>
      <c r="R233" s="411"/>
      <c r="S233" s="411"/>
      <c r="T233" s="411"/>
      <c r="U233" s="411"/>
      <c r="V233" s="411"/>
      <c r="W233" s="411"/>
      <c r="X233" s="411"/>
      <c r="Y233" s="411"/>
      <c r="Z233" s="411"/>
      <c r="AA233" s="411"/>
    </row>
    <row r="234" ht="33.75" customHeight="1">
      <c r="A234" s="69">
        <v>30926.0</v>
      </c>
      <c r="B234" s="45" t="s">
        <v>1676</v>
      </c>
      <c r="C234" s="42">
        <v>55.0</v>
      </c>
      <c r="D234" s="471" t="s">
        <v>13870</v>
      </c>
      <c r="E234" s="126" t="s">
        <v>13871</v>
      </c>
      <c r="F234" s="465">
        <v>42802.0</v>
      </c>
      <c r="G234" s="666">
        <v>42807.0</v>
      </c>
      <c r="H234" s="45" t="s">
        <v>1747</v>
      </c>
      <c r="I234" s="696">
        <v>42809.0</v>
      </c>
      <c r="J234" s="69" t="s">
        <v>13829</v>
      </c>
      <c r="K234" s="123" t="s">
        <v>2535</v>
      </c>
      <c r="L234" s="703" t="s">
        <v>13872</v>
      </c>
      <c r="M234" s="123"/>
      <c r="N234" s="42"/>
      <c r="O234" s="659"/>
      <c r="P234" s="411"/>
      <c r="Q234" s="411"/>
      <c r="R234" s="411"/>
      <c r="S234" s="411"/>
      <c r="T234" s="411"/>
      <c r="U234" s="411"/>
      <c r="V234" s="411"/>
      <c r="W234" s="411"/>
      <c r="X234" s="411"/>
      <c r="Y234" s="411"/>
      <c r="Z234" s="411"/>
      <c r="AA234" s="411"/>
    </row>
    <row r="235" ht="33.75" customHeight="1">
      <c r="A235" s="69">
        <v>31035.0</v>
      </c>
      <c r="B235" s="45" t="s">
        <v>1676</v>
      </c>
      <c r="C235" s="42">
        <v>1182.0</v>
      </c>
      <c r="D235" s="128" t="s">
        <v>13873</v>
      </c>
      <c r="E235" s="126" t="s">
        <v>8430</v>
      </c>
      <c r="F235" s="465">
        <v>42801.0</v>
      </c>
      <c r="G235" s="666">
        <v>42797.0</v>
      </c>
      <c r="H235" s="45" t="s">
        <v>1747</v>
      </c>
      <c r="I235" s="696">
        <v>42809.0</v>
      </c>
      <c r="J235" s="69" t="s">
        <v>13829</v>
      </c>
      <c r="K235" s="45" t="s">
        <v>3197</v>
      </c>
      <c r="L235" s="703" t="s">
        <v>13874</v>
      </c>
      <c r="M235" s="123"/>
      <c r="N235" s="42"/>
      <c r="O235" s="659"/>
      <c r="P235" s="411"/>
      <c r="Q235" s="411"/>
      <c r="R235" s="411"/>
      <c r="S235" s="411"/>
      <c r="T235" s="411"/>
      <c r="U235" s="411"/>
      <c r="V235" s="411"/>
      <c r="W235" s="411"/>
      <c r="X235" s="411"/>
      <c r="Y235" s="411"/>
      <c r="Z235" s="411"/>
      <c r="AA235" s="411"/>
    </row>
    <row r="236" ht="33.75" customHeight="1">
      <c r="A236" s="69">
        <v>30477.0</v>
      </c>
      <c r="B236" s="45" t="s">
        <v>14</v>
      </c>
      <c r="C236" s="42">
        <v>2000.0</v>
      </c>
      <c r="D236" s="123" t="s">
        <v>13875</v>
      </c>
      <c r="E236" s="126" t="s">
        <v>13876</v>
      </c>
      <c r="F236" s="465">
        <v>42800.0</v>
      </c>
      <c r="G236" s="666">
        <v>42797.0</v>
      </c>
      <c r="H236" s="45" t="s">
        <v>1747</v>
      </c>
      <c r="I236" s="696">
        <v>42803.0</v>
      </c>
      <c r="J236" s="123" t="s">
        <v>2535</v>
      </c>
      <c r="K236" s="123" t="s">
        <v>2535</v>
      </c>
      <c r="L236" s="703" t="s">
        <v>13877</v>
      </c>
      <c r="M236" s="123" t="s">
        <v>497</v>
      </c>
      <c r="N236" s="42" t="s">
        <v>1052</v>
      </c>
      <c r="O236" s="659">
        <v>30220.0</v>
      </c>
      <c r="P236" s="411"/>
      <c r="Q236" s="411"/>
      <c r="R236" s="411"/>
      <c r="S236" s="411"/>
      <c r="T236" s="411"/>
      <c r="U236" s="411"/>
      <c r="V236" s="411"/>
      <c r="W236" s="411"/>
      <c r="X236" s="411"/>
      <c r="Y236" s="411"/>
      <c r="Z236" s="411"/>
      <c r="AA236" s="411"/>
    </row>
    <row r="237" ht="33.75" customHeight="1">
      <c r="A237" s="69">
        <v>31022.0</v>
      </c>
      <c r="B237" s="45" t="s">
        <v>14</v>
      </c>
      <c r="C237" s="42">
        <v>1185.0</v>
      </c>
      <c r="D237" s="128" t="s">
        <v>13878</v>
      </c>
      <c r="E237" s="126" t="s">
        <v>8475</v>
      </c>
      <c r="F237" s="465">
        <v>42794.0</v>
      </c>
      <c r="G237" s="666">
        <v>42790.0</v>
      </c>
      <c r="H237" s="45" t="s">
        <v>1747</v>
      </c>
      <c r="I237" s="696">
        <v>42801.0</v>
      </c>
      <c r="J237" s="123" t="s">
        <v>2535</v>
      </c>
      <c r="K237" s="123" t="s">
        <v>2535</v>
      </c>
      <c r="L237" s="703" t="s">
        <v>13879</v>
      </c>
      <c r="M237" s="123"/>
      <c r="N237" s="42"/>
      <c r="O237" s="659"/>
      <c r="P237" s="411"/>
      <c r="Q237" s="411"/>
      <c r="R237" s="411"/>
      <c r="S237" s="411"/>
      <c r="T237" s="411"/>
      <c r="U237" s="411"/>
      <c r="V237" s="411"/>
      <c r="W237" s="411"/>
      <c r="X237" s="411"/>
      <c r="Y237" s="411"/>
      <c r="Z237" s="411"/>
      <c r="AA237" s="411"/>
    </row>
    <row r="238" ht="33.75" customHeight="1">
      <c r="A238" s="69">
        <v>30077.0</v>
      </c>
      <c r="B238" s="45" t="s">
        <v>25</v>
      </c>
      <c r="C238" s="42">
        <v>2000.0</v>
      </c>
      <c r="D238" s="704" t="s">
        <v>13880</v>
      </c>
      <c r="E238" s="126" t="s">
        <v>13881</v>
      </c>
      <c r="F238" s="465">
        <v>42793.0</v>
      </c>
      <c r="G238" s="666">
        <v>42797.0</v>
      </c>
      <c r="H238" s="45" t="s">
        <v>1747</v>
      </c>
      <c r="I238" s="696">
        <v>42796.0</v>
      </c>
      <c r="J238" s="123" t="s">
        <v>2535</v>
      </c>
      <c r="K238" s="123" t="s">
        <v>2535</v>
      </c>
      <c r="L238" s="703" t="s">
        <v>13882</v>
      </c>
      <c r="M238" s="123" t="s">
        <v>497</v>
      </c>
      <c r="N238" s="42" t="s">
        <v>1052</v>
      </c>
      <c r="O238" s="659">
        <v>27985.0</v>
      </c>
      <c r="P238" s="411"/>
      <c r="Q238" s="411"/>
      <c r="R238" s="411"/>
      <c r="S238" s="411"/>
      <c r="T238" s="411"/>
      <c r="U238" s="411"/>
      <c r="V238" s="411"/>
      <c r="W238" s="411"/>
      <c r="X238" s="411"/>
      <c r="Y238" s="411"/>
      <c r="Z238" s="411"/>
      <c r="AA238" s="411"/>
    </row>
    <row r="239" ht="33.75" customHeight="1">
      <c r="A239" s="69">
        <v>30967.0</v>
      </c>
      <c r="B239" s="45" t="s">
        <v>14</v>
      </c>
      <c r="C239" s="42">
        <v>930.0</v>
      </c>
      <c r="D239" s="471" t="s">
        <v>13883</v>
      </c>
      <c r="E239" s="126" t="s">
        <v>2852</v>
      </c>
      <c r="F239" s="465">
        <v>42787.0</v>
      </c>
      <c r="G239" s="666">
        <v>42789.0</v>
      </c>
      <c r="H239" s="45" t="s">
        <v>1747</v>
      </c>
      <c r="I239" s="696">
        <v>42795.0</v>
      </c>
      <c r="J239" s="123" t="s">
        <v>2535</v>
      </c>
      <c r="K239" s="123" t="s">
        <v>2535</v>
      </c>
      <c r="L239" s="703" t="s">
        <v>13884</v>
      </c>
      <c r="M239" s="123"/>
      <c r="N239" s="42"/>
      <c r="O239" s="659"/>
      <c r="P239" s="411"/>
      <c r="Q239" s="411"/>
      <c r="R239" s="411"/>
      <c r="S239" s="411"/>
      <c r="T239" s="411"/>
      <c r="U239" s="411"/>
      <c r="V239" s="411"/>
      <c r="W239" s="411"/>
      <c r="X239" s="411"/>
      <c r="Y239" s="411"/>
      <c r="Z239" s="411"/>
      <c r="AA239" s="411"/>
    </row>
    <row r="240" ht="33.75" customHeight="1">
      <c r="A240" s="69">
        <v>30959.0</v>
      </c>
      <c r="B240" s="45" t="s">
        <v>14</v>
      </c>
      <c r="C240" s="42">
        <v>1028.0</v>
      </c>
      <c r="D240" s="471" t="s">
        <v>13885</v>
      </c>
      <c r="E240" s="485" t="s">
        <v>13886</v>
      </c>
      <c r="F240" s="465">
        <v>42787.0</v>
      </c>
      <c r="G240" s="666">
        <v>42787.0</v>
      </c>
      <c r="H240" s="45" t="s">
        <v>1747</v>
      </c>
      <c r="I240" s="696">
        <v>42789.0</v>
      </c>
      <c r="J240" s="123" t="s">
        <v>2535</v>
      </c>
      <c r="K240" s="123" t="s">
        <v>2535</v>
      </c>
      <c r="L240" s="703" t="s">
        <v>13887</v>
      </c>
      <c r="M240" s="123"/>
      <c r="N240" s="42"/>
      <c r="O240" s="659"/>
      <c r="P240" s="411"/>
      <c r="Q240" s="411"/>
      <c r="R240" s="411"/>
      <c r="S240" s="411"/>
      <c r="T240" s="411"/>
      <c r="U240" s="411"/>
      <c r="V240" s="411"/>
      <c r="W240" s="411"/>
      <c r="X240" s="411"/>
      <c r="Y240" s="411"/>
      <c r="Z240" s="411"/>
      <c r="AA240" s="411"/>
    </row>
    <row r="241" ht="33.75" customHeight="1">
      <c r="A241" s="69">
        <v>30979.0</v>
      </c>
      <c r="B241" s="45" t="s">
        <v>14</v>
      </c>
      <c r="C241" s="42">
        <v>1300.0</v>
      </c>
      <c r="D241" s="471" t="s">
        <v>13888</v>
      </c>
      <c r="E241" s="485" t="s">
        <v>13889</v>
      </c>
      <c r="F241" s="465">
        <v>42786.0</v>
      </c>
      <c r="G241" s="666">
        <v>42782.0</v>
      </c>
      <c r="H241" s="45" t="s">
        <v>1747</v>
      </c>
      <c r="I241" s="696">
        <v>42793.0</v>
      </c>
      <c r="J241" s="123" t="s">
        <v>2535</v>
      </c>
      <c r="K241" s="123" t="s">
        <v>2535</v>
      </c>
      <c r="L241" s="703" t="s">
        <v>13890</v>
      </c>
      <c r="M241" s="123"/>
      <c r="N241" s="42"/>
      <c r="O241" s="659"/>
      <c r="P241" s="411"/>
      <c r="Q241" s="411"/>
      <c r="R241" s="411"/>
      <c r="S241" s="411"/>
      <c r="T241" s="411"/>
      <c r="U241" s="411"/>
      <c r="V241" s="411"/>
      <c r="W241" s="411"/>
      <c r="X241" s="411"/>
      <c r="Y241" s="411"/>
      <c r="Z241" s="411"/>
      <c r="AA241" s="411"/>
    </row>
    <row r="242" ht="33.75" customHeight="1">
      <c r="A242" s="45">
        <v>30088.0</v>
      </c>
      <c r="B242" s="45" t="s">
        <v>1676</v>
      </c>
      <c r="C242" s="42">
        <v>2000.0</v>
      </c>
      <c r="D242" s="705" t="s">
        <v>13891</v>
      </c>
      <c r="E242" s="485" t="s">
        <v>13832</v>
      </c>
      <c r="F242" s="465">
        <v>42786.0</v>
      </c>
      <c r="G242" s="465">
        <v>42788.0</v>
      </c>
      <c r="H242" s="45" t="s">
        <v>1747</v>
      </c>
      <c r="I242" s="696">
        <v>42794.0</v>
      </c>
      <c r="J242" s="69" t="s">
        <v>13892</v>
      </c>
      <c r="K242" s="123" t="s">
        <v>3197</v>
      </c>
      <c r="L242" s="703" t="s">
        <v>13893</v>
      </c>
      <c r="M242" s="123" t="s">
        <v>497</v>
      </c>
      <c r="N242" s="42" t="s">
        <v>1052</v>
      </c>
      <c r="O242" s="659">
        <v>31560.0</v>
      </c>
      <c r="P242" s="411"/>
      <c r="Q242" s="411"/>
      <c r="R242" s="411"/>
      <c r="S242" s="411"/>
      <c r="T242" s="411"/>
      <c r="U242" s="411"/>
      <c r="V242" s="411"/>
      <c r="W242" s="411"/>
      <c r="X242" s="411"/>
      <c r="Y242" s="411"/>
      <c r="Z242" s="411"/>
      <c r="AA242" s="411"/>
    </row>
    <row r="243" ht="33.75" customHeight="1">
      <c r="A243" s="69">
        <v>30960.0</v>
      </c>
      <c r="B243" s="45" t="s">
        <v>1676</v>
      </c>
      <c r="C243" s="42">
        <v>1300.0</v>
      </c>
      <c r="D243" s="471" t="s">
        <v>13894</v>
      </c>
      <c r="E243" s="485" t="s">
        <v>8430</v>
      </c>
      <c r="F243" s="465">
        <v>42783.0</v>
      </c>
      <c r="G243" s="666">
        <v>42779.0</v>
      </c>
      <c r="H243" s="45" t="s">
        <v>1747</v>
      </c>
      <c r="I243" s="696">
        <v>42793.0</v>
      </c>
      <c r="J243" s="69" t="s">
        <v>13892</v>
      </c>
      <c r="K243" s="45" t="s">
        <v>3197</v>
      </c>
      <c r="L243" s="703" t="s">
        <v>13895</v>
      </c>
      <c r="M243" s="123"/>
      <c r="N243" s="42"/>
      <c r="O243" s="659"/>
      <c r="P243" s="411"/>
      <c r="Q243" s="411"/>
      <c r="R243" s="411"/>
      <c r="S243" s="411"/>
      <c r="T243" s="411"/>
      <c r="U243" s="411"/>
      <c r="V243" s="411"/>
      <c r="W243" s="411"/>
      <c r="X243" s="411"/>
      <c r="Y243" s="411"/>
      <c r="Z243" s="411"/>
      <c r="AA243" s="411"/>
    </row>
    <row r="244" ht="33.75" customHeight="1">
      <c r="A244" s="69">
        <v>30481.0</v>
      </c>
      <c r="B244" s="45" t="s">
        <v>25</v>
      </c>
      <c r="C244" s="42">
        <v>2080.0</v>
      </c>
      <c r="D244" s="128" t="s">
        <v>13896</v>
      </c>
      <c r="E244" s="126" t="s">
        <v>13689</v>
      </c>
      <c r="F244" s="465">
        <v>42782.0</v>
      </c>
      <c r="G244" s="666">
        <v>42779.0</v>
      </c>
      <c r="H244" s="45" t="s">
        <v>1747</v>
      </c>
      <c r="I244" s="696">
        <v>42789.0</v>
      </c>
      <c r="J244" s="123" t="s">
        <v>2535</v>
      </c>
      <c r="K244" s="123" t="s">
        <v>2535</v>
      </c>
      <c r="L244" s="703" t="s">
        <v>13897</v>
      </c>
      <c r="M244" s="123" t="s">
        <v>497</v>
      </c>
      <c r="N244" s="42" t="s">
        <v>1052</v>
      </c>
      <c r="O244" s="659">
        <v>30768.4</v>
      </c>
      <c r="P244" s="411"/>
      <c r="Q244" s="411"/>
      <c r="R244" s="411"/>
      <c r="S244" s="411"/>
      <c r="T244" s="411"/>
      <c r="U244" s="411"/>
      <c r="V244" s="411"/>
      <c r="W244" s="411"/>
      <c r="X244" s="411"/>
      <c r="Y244" s="411"/>
      <c r="Z244" s="411"/>
      <c r="AA244" s="411"/>
    </row>
    <row r="245" ht="33.75" customHeight="1">
      <c r="A245" s="69">
        <v>30919.0</v>
      </c>
      <c r="B245" s="45" t="s">
        <v>25</v>
      </c>
      <c r="C245" s="42">
        <v>145.0</v>
      </c>
      <c r="D245" s="706" t="s">
        <v>13898</v>
      </c>
      <c r="E245" s="126" t="s">
        <v>13899</v>
      </c>
      <c r="F245" s="465">
        <v>42781.0</v>
      </c>
      <c r="G245" s="123" t="s">
        <v>2535</v>
      </c>
      <c r="H245" s="45" t="s">
        <v>1747</v>
      </c>
      <c r="I245" s="696">
        <v>42792.0</v>
      </c>
      <c r="J245" s="123" t="s">
        <v>2535</v>
      </c>
      <c r="K245" s="123" t="s">
        <v>2535</v>
      </c>
      <c r="L245" s="707" t="s">
        <v>13900</v>
      </c>
      <c r="M245" s="123"/>
      <c r="N245" s="42"/>
      <c r="O245" s="659"/>
      <c r="P245" s="411"/>
      <c r="Q245" s="411"/>
      <c r="R245" s="411"/>
      <c r="S245" s="411"/>
      <c r="T245" s="411"/>
      <c r="U245" s="411"/>
      <c r="V245" s="411"/>
      <c r="W245" s="411"/>
      <c r="X245" s="411"/>
      <c r="Y245" s="411"/>
      <c r="Z245" s="411"/>
      <c r="AA245" s="411"/>
    </row>
    <row r="246" ht="33.75" customHeight="1">
      <c r="A246" s="69">
        <v>30559.0</v>
      </c>
      <c r="B246" s="45" t="s">
        <v>21</v>
      </c>
      <c r="C246" s="42">
        <v>894.0</v>
      </c>
      <c r="D246" s="123" t="s">
        <v>1941</v>
      </c>
      <c r="E246" s="485" t="s">
        <v>12512</v>
      </c>
      <c r="F246" s="465">
        <v>42779.0</v>
      </c>
      <c r="G246" s="708">
        <v>42775.0</v>
      </c>
      <c r="H246" s="45" t="s">
        <v>1747</v>
      </c>
      <c r="I246" s="696">
        <v>42787.0</v>
      </c>
      <c r="J246" s="69" t="s">
        <v>13892</v>
      </c>
      <c r="K246" s="45" t="s">
        <v>13505</v>
      </c>
      <c r="L246" s="47" t="s">
        <v>13901</v>
      </c>
      <c r="M246" s="123" t="s">
        <v>497</v>
      </c>
      <c r="N246" s="123" t="s">
        <v>1077</v>
      </c>
      <c r="O246" s="659">
        <v>45633.42</v>
      </c>
      <c r="P246" s="411"/>
      <c r="Q246" s="411"/>
      <c r="R246" s="411"/>
      <c r="S246" s="411"/>
      <c r="T246" s="411"/>
      <c r="U246" s="411"/>
      <c r="V246" s="411"/>
      <c r="W246" s="411"/>
      <c r="X246" s="411"/>
      <c r="Y246" s="411"/>
      <c r="Z246" s="411"/>
      <c r="AA246" s="411"/>
    </row>
    <row r="247" ht="33.75" customHeight="1">
      <c r="A247" s="69">
        <v>30961.0</v>
      </c>
      <c r="B247" s="45" t="s">
        <v>25</v>
      </c>
      <c r="C247" s="42">
        <v>930.0</v>
      </c>
      <c r="D247" s="128" t="s">
        <v>13902</v>
      </c>
      <c r="E247" s="485" t="s">
        <v>8430</v>
      </c>
      <c r="F247" s="465">
        <v>42775.0</v>
      </c>
      <c r="G247" s="666">
        <v>42775.0</v>
      </c>
      <c r="H247" s="45" t="s">
        <v>1747</v>
      </c>
      <c r="I247" s="696">
        <v>42787.0</v>
      </c>
      <c r="J247" s="123" t="s">
        <v>2535</v>
      </c>
      <c r="K247" s="123" t="s">
        <v>2535</v>
      </c>
      <c r="L247" s="47" t="s">
        <v>13903</v>
      </c>
      <c r="M247" s="123"/>
      <c r="N247" s="42"/>
      <c r="O247" s="659"/>
      <c r="P247" s="411"/>
      <c r="Q247" s="411"/>
      <c r="R247" s="411"/>
      <c r="S247" s="411"/>
      <c r="T247" s="411"/>
      <c r="U247" s="411"/>
      <c r="V247" s="411"/>
      <c r="W247" s="411"/>
      <c r="X247" s="411"/>
      <c r="Y247" s="411"/>
      <c r="Z247" s="411"/>
      <c r="AA247" s="411"/>
    </row>
    <row r="248" ht="33.75" customHeight="1">
      <c r="A248" s="69">
        <v>30971.0</v>
      </c>
      <c r="B248" s="45" t="s">
        <v>21</v>
      </c>
      <c r="C248" s="42">
        <v>472.0</v>
      </c>
      <c r="D248" s="123" t="s">
        <v>1940</v>
      </c>
      <c r="E248" s="485" t="s">
        <v>13904</v>
      </c>
      <c r="F248" s="465">
        <v>42772.0</v>
      </c>
      <c r="G248" s="666">
        <v>42778.0</v>
      </c>
      <c r="H248" s="45" t="s">
        <v>1747</v>
      </c>
      <c r="I248" s="696">
        <v>46434.0</v>
      </c>
      <c r="J248" s="69" t="s">
        <v>13892</v>
      </c>
      <c r="K248" s="45" t="s">
        <v>3197</v>
      </c>
      <c r="L248" s="47" t="s">
        <v>13905</v>
      </c>
      <c r="M248" s="123"/>
      <c r="N248" s="42"/>
      <c r="O248" s="659"/>
      <c r="P248" s="411"/>
      <c r="Q248" s="411"/>
      <c r="R248" s="411"/>
      <c r="S248" s="411"/>
      <c r="T248" s="411"/>
      <c r="U248" s="411"/>
      <c r="V248" s="411"/>
      <c r="W248" s="411"/>
      <c r="X248" s="411"/>
      <c r="Y248" s="411"/>
      <c r="Z248" s="411"/>
      <c r="AA248" s="411"/>
    </row>
    <row r="249" ht="33.75" customHeight="1">
      <c r="A249" s="69">
        <v>30648.0</v>
      </c>
      <c r="B249" s="45" t="s">
        <v>1676</v>
      </c>
      <c r="C249" s="42">
        <v>1980.0</v>
      </c>
      <c r="D249" s="250" t="s">
        <v>1939</v>
      </c>
      <c r="E249" s="709" t="s">
        <v>4271</v>
      </c>
      <c r="F249" s="465">
        <v>42770.0</v>
      </c>
      <c r="G249" s="666">
        <v>42767.0</v>
      </c>
      <c r="H249" s="45" t="s">
        <v>1747</v>
      </c>
      <c r="I249" s="696">
        <v>42781.0</v>
      </c>
      <c r="J249" s="69" t="s">
        <v>13892</v>
      </c>
      <c r="K249" s="45" t="s">
        <v>13505</v>
      </c>
      <c r="L249" s="47" t="s">
        <v>13906</v>
      </c>
      <c r="M249" s="123"/>
      <c r="N249" s="42"/>
      <c r="O249" s="659"/>
      <c r="P249" s="411"/>
      <c r="Q249" s="411"/>
      <c r="R249" s="411"/>
      <c r="S249" s="411"/>
      <c r="T249" s="411"/>
      <c r="U249" s="411"/>
      <c r="V249" s="411"/>
      <c r="W249" s="411"/>
      <c r="X249" s="411"/>
      <c r="Y249" s="411"/>
      <c r="Z249" s="411"/>
      <c r="AA249" s="411"/>
    </row>
    <row r="250" ht="33.75" customHeight="1">
      <c r="A250" s="69">
        <v>30647.0</v>
      </c>
      <c r="B250" s="45" t="s">
        <v>14</v>
      </c>
      <c r="C250" s="42">
        <v>900.0</v>
      </c>
      <c r="D250" s="123" t="s">
        <v>13907</v>
      </c>
      <c r="E250" s="709" t="s">
        <v>4271</v>
      </c>
      <c r="F250" s="465">
        <v>42760.0</v>
      </c>
      <c r="G250" s="666">
        <v>42759.0</v>
      </c>
      <c r="H250" s="45" t="s">
        <v>1747</v>
      </c>
      <c r="I250" s="696">
        <v>42762.0</v>
      </c>
      <c r="J250" s="123" t="s">
        <v>2535</v>
      </c>
      <c r="K250" s="123" t="s">
        <v>2535</v>
      </c>
      <c r="L250" s="47" t="s">
        <v>13908</v>
      </c>
      <c r="M250" s="123"/>
      <c r="N250" s="42"/>
      <c r="O250" s="659"/>
      <c r="P250" s="411"/>
      <c r="Q250" s="411"/>
      <c r="R250" s="411"/>
      <c r="S250" s="411"/>
      <c r="T250" s="411"/>
      <c r="U250" s="411"/>
      <c r="V250" s="411"/>
      <c r="W250" s="411"/>
      <c r="X250" s="411"/>
      <c r="Y250" s="411"/>
      <c r="Z250" s="411"/>
      <c r="AA250" s="411"/>
    </row>
    <row r="251" ht="33.75" customHeight="1">
      <c r="A251" s="45">
        <v>30553.0</v>
      </c>
      <c r="B251" s="45" t="s">
        <v>14</v>
      </c>
      <c r="C251" s="42">
        <v>920.0</v>
      </c>
      <c r="D251" s="123" t="s">
        <v>13909</v>
      </c>
      <c r="E251" s="709" t="s">
        <v>12512</v>
      </c>
      <c r="F251" s="465">
        <v>42760.0</v>
      </c>
      <c r="G251" s="666">
        <v>42759.0</v>
      </c>
      <c r="H251" s="45" t="s">
        <v>1747</v>
      </c>
      <c r="I251" s="696">
        <v>42765.0</v>
      </c>
      <c r="J251" s="123" t="s">
        <v>2535</v>
      </c>
      <c r="K251" s="123" t="s">
        <v>2535</v>
      </c>
      <c r="L251" s="47" t="s">
        <v>13910</v>
      </c>
      <c r="M251" s="123" t="s">
        <v>497</v>
      </c>
      <c r="N251" s="123" t="s">
        <v>1077</v>
      </c>
      <c r="O251" s="659">
        <v>41456.95</v>
      </c>
      <c r="P251" s="411"/>
      <c r="Q251" s="411"/>
      <c r="R251" s="411"/>
      <c r="S251" s="411"/>
      <c r="T251" s="411"/>
      <c r="U251" s="411"/>
      <c r="V251" s="411"/>
      <c r="W251" s="411"/>
      <c r="X251" s="411"/>
      <c r="Y251" s="411"/>
      <c r="Z251" s="411"/>
      <c r="AA251" s="411"/>
    </row>
    <row r="252" ht="33.75" customHeight="1">
      <c r="A252" s="69">
        <v>30927.0</v>
      </c>
      <c r="B252" s="45" t="s">
        <v>21</v>
      </c>
      <c r="C252" s="42">
        <v>1331.0</v>
      </c>
      <c r="D252" s="90" t="s">
        <v>13911</v>
      </c>
      <c r="E252" s="709" t="s">
        <v>13912</v>
      </c>
      <c r="F252" s="465">
        <v>42759.0</v>
      </c>
      <c r="G252" s="666">
        <v>42762.0</v>
      </c>
      <c r="H252" s="45" t="s">
        <v>1747</v>
      </c>
      <c r="I252" s="696">
        <v>42775.0</v>
      </c>
      <c r="J252" s="69" t="s">
        <v>13892</v>
      </c>
      <c r="K252" s="45" t="s">
        <v>3197</v>
      </c>
      <c r="L252" s="47" t="s">
        <v>13913</v>
      </c>
      <c r="M252" s="123"/>
      <c r="N252" s="42"/>
      <c r="O252" s="659"/>
      <c r="P252" s="411"/>
      <c r="Q252" s="411"/>
      <c r="R252" s="411"/>
      <c r="S252" s="411"/>
      <c r="T252" s="411"/>
      <c r="U252" s="411"/>
      <c r="V252" s="411"/>
      <c r="W252" s="411"/>
      <c r="X252" s="411"/>
      <c r="Y252" s="411"/>
      <c r="Z252" s="411"/>
      <c r="AA252" s="411"/>
    </row>
    <row r="253" ht="33.75" customHeight="1">
      <c r="A253" s="69">
        <v>30743.0</v>
      </c>
      <c r="B253" s="45" t="s">
        <v>21</v>
      </c>
      <c r="C253" s="42">
        <v>516.0</v>
      </c>
      <c r="D253" s="123" t="s">
        <v>13914</v>
      </c>
      <c r="E253" s="709" t="s">
        <v>13915</v>
      </c>
      <c r="F253" s="465">
        <v>42757.0</v>
      </c>
      <c r="G253" s="666">
        <v>42761.0</v>
      </c>
      <c r="H253" s="45" t="s">
        <v>1747</v>
      </c>
      <c r="I253" s="696">
        <v>42766.0</v>
      </c>
      <c r="J253" s="69" t="s">
        <v>13892</v>
      </c>
      <c r="K253" s="45" t="s">
        <v>13505</v>
      </c>
      <c r="L253" s="47" t="s">
        <v>13916</v>
      </c>
      <c r="M253" s="123"/>
      <c r="N253" s="42"/>
      <c r="O253" s="659"/>
      <c r="P253" s="411"/>
      <c r="Q253" s="411"/>
      <c r="R253" s="411"/>
      <c r="S253" s="411"/>
      <c r="T253" s="411"/>
      <c r="U253" s="411"/>
      <c r="V253" s="411"/>
      <c r="W253" s="411"/>
      <c r="X253" s="411"/>
      <c r="Y253" s="411"/>
      <c r="Z253" s="411"/>
      <c r="AA253" s="411"/>
    </row>
    <row r="254" ht="33.75" customHeight="1">
      <c r="A254" s="45">
        <v>30772.0</v>
      </c>
      <c r="B254" s="45" t="s">
        <v>1676</v>
      </c>
      <c r="C254" s="42">
        <v>1500.0</v>
      </c>
      <c r="D254" s="123" t="s">
        <v>1938</v>
      </c>
      <c r="E254" s="709" t="s">
        <v>13917</v>
      </c>
      <c r="F254" s="465">
        <v>42754.0</v>
      </c>
      <c r="G254" s="666">
        <v>42753.0</v>
      </c>
      <c r="H254" s="45" t="s">
        <v>1747</v>
      </c>
      <c r="I254" s="696">
        <v>42765.0</v>
      </c>
      <c r="J254" s="45" t="s">
        <v>13918</v>
      </c>
      <c r="K254" s="45" t="s">
        <v>13505</v>
      </c>
      <c r="L254" s="47" t="s">
        <v>13919</v>
      </c>
      <c r="M254" s="123"/>
      <c r="N254" s="42"/>
      <c r="O254" s="659"/>
      <c r="P254" s="411"/>
      <c r="Q254" s="411"/>
      <c r="R254" s="411"/>
      <c r="S254" s="411"/>
      <c r="T254" s="411"/>
      <c r="U254" s="411"/>
      <c r="V254" s="411"/>
      <c r="W254" s="411"/>
      <c r="X254" s="411"/>
      <c r="Y254" s="411"/>
      <c r="Z254" s="411"/>
      <c r="AA254" s="411"/>
    </row>
    <row r="255" ht="33.75" customHeight="1">
      <c r="A255" s="45">
        <v>30924.0</v>
      </c>
      <c r="B255" s="45" t="s">
        <v>14</v>
      </c>
      <c r="C255" s="42">
        <v>1300.0</v>
      </c>
      <c r="D255" s="138" t="s">
        <v>13920</v>
      </c>
      <c r="E255" s="709" t="s">
        <v>8430</v>
      </c>
      <c r="F255" s="465">
        <v>42754.0</v>
      </c>
      <c r="G255" s="666">
        <v>42752.0</v>
      </c>
      <c r="H255" s="45" t="s">
        <v>1747</v>
      </c>
      <c r="I255" s="696">
        <v>42758.0</v>
      </c>
      <c r="J255" s="123" t="s">
        <v>2535</v>
      </c>
      <c r="K255" s="123" t="s">
        <v>2535</v>
      </c>
      <c r="L255" s="47" t="s">
        <v>13921</v>
      </c>
      <c r="M255" s="123"/>
      <c r="N255" s="42"/>
      <c r="O255" s="659"/>
      <c r="P255" s="411"/>
      <c r="Q255" s="411"/>
      <c r="R255" s="411"/>
      <c r="S255" s="411"/>
      <c r="T255" s="411"/>
      <c r="U255" s="411"/>
      <c r="V255" s="411"/>
      <c r="W255" s="411"/>
      <c r="X255" s="411"/>
      <c r="Y255" s="411"/>
      <c r="Z255" s="411"/>
      <c r="AA255" s="411"/>
    </row>
    <row r="256" ht="33.75" customHeight="1">
      <c r="A256" s="45">
        <v>30679.0</v>
      </c>
      <c r="B256" s="45" t="s">
        <v>1676</v>
      </c>
      <c r="C256" s="42">
        <v>110.0</v>
      </c>
      <c r="D256" s="123" t="s">
        <v>13922</v>
      </c>
      <c r="E256" s="709" t="s">
        <v>12622</v>
      </c>
      <c r="F256" s="465">
        <v>42753.0</v>
      </c>
      <c r="G256" s="666">
        <v>42758.0</v>
      </c>
      <c r="H256" s="45" t="s">
        <v>1747</v>
      </c>
      <c r="I256" s="696">
        <v>42754.0</v>
      </c>
      <c r="J256" s="45" t="s">
        <v>13918</v>
      </c>
      <c r="K256" s="45" t="s">
        <v>13505</v>
      </c>
      <c r="L256" s="47" t="s">
        <v>13923</v>
      </c>
      <c r="M256" s="123"/>
      <c r="N256" s="42"/>
      <c r="O256" s="659"/>
      <c r="P256" s="411"/>
      <c r="Q256" s="411"/>
      <c r="R256" s="411"/>
      <c r="S256" s="411"/>
      <c r="T256" s="411"/>
      <c r="U256" s="411"/>
      <c r="V256" s="411"/>
      <c r="W256" s="411"/>
      <c r="X256" s="411"/>
      <c r="Y256" s="411"/>
      <c r="Z256" s="411"/>
      <c r="AA256" s="411"/>
    </row>
    <row r="257" ht="33.75" customHeight="1">
      <c r="A257" s="45">
        <v>30850.0</v>
      </c>
      <c r="B257" s="45" t="s">
        <v>1676</v>
      </c>
      <c r="C257" s="42">
        <v>430.0</v>
      </c>
      <c r="D257" s="137" t="s">
        <v>1934</v>
      </c>
      <c r="E257" s="709" t="s">
        <v>13924</v>
      </c>
      <c r="F257" s="465">
        <v>42752.0</v>
      </c>
      <c r="G257" s="666">
        <v>42745.0</v>
      </c>
      <c r="H257" s="45" t="s">
        <v>1747</v>
      </c>
      <c r="I257" s="696">
        <v>42761.0</v>
      </c>
      <c r="J257" s="45" t="s">
        <v>13918</v>
      </c>
      <c r="K257" s="45" t="s">
        <v>13505</v>
      </c>
      <c r="L257" s="47" t="s">
        <v>13925</v>
      </c>
      <c r="M257" s="123"/>
      <c r="N257" s="42"/>
      <c r="O257" s="659"/>
      <c r="P257" s="411"/>
      <c r="Q257" s="411"/>
      <c r="R257" s="411"/>
      <c r="S257" s="411"/>
      <c r="T257" s="411"/>
      <c r="U257" s="411"/>
      <c r="V257" s="411"/>
      <c r="W257" s="411"/>
      <c r="X257" s="411"/>
      <c r="Y257" s="411"/>
      <c r="Z257" s="411"/>
      <c r="AA257" s="411"/>
    </row>
    <row r="258" ht="33.75" customHeight="1">
      <c r="A258" s="45">
        <v>30798.0</v>
      </c>
      <c r="B258" s="45" t="s">
        <v>1676</v>
      </c>
      <c r="C258" s="42">
        <v>1130.0</v>
      </c>
      <c r="D258" s="138" t="s">
        <v>1935</v>
      </c>
      <c r="E258" s="710" t="s">
        <v>8455</v>
      </c>
      <c r="F258" s="465">
        <v>42752.0</v>
      </c>
      <c r="G258" s="666">
        <v>42748.0</v>
      </c>
      <c r="H258" s="45" t="s">
        <v>1747</v>
      </c>
      <c r="I258" s="696">
        <v>42760.0</v>
      </c>
      <c r="J258" s="45" t="s">
        <v>13918</v>
      </c>
      <c r="K258" s="45" t="s">
        <v>13505</v>
      </c>
      <c r="L258" s="47" t="s">
        <v>13926</v>
      </c>
      <c r="M258" s="42" t="s">
        <v>497</v>
      </c>
      <c r="N258" s="42" t="s">
        <v>3868</v>
      </c>
      <c r="O258" s="82">
        <v>19976.4</v>
      </c>
      <c r="P258" s="411"/>
      <c r="Q258" s="411"/>
      <c r="R258" s="411"/>
      <c r="S258" s="411"/>
      <c r="T258" s="411"/>
      <c r="U258" s="411"/>
      <c r="V258" s="411"/>
      <c r="W258" s="411"/>
      <c r="X258" s="411"/>
      <c r="Y258" s="411"/>
      <c r="Z258" s="411"/>
      <c r="AA258" s="411"/>
    </row>
    <row r="259" ht="33.75" customHeight="1">
      <c r="A259" s="45">
        <v>30908.0</v>
      </c>
      <c r="B259" s="45" t="s">
        <v>1676</v>
      </c>
      <c r="C259" s="42">
        <v>944.0</v>
      </c>
      <c r="D259" s="123" t="s">
        <v>1937</v>
      </c>
      <c r="E259" s="485" t="s">
        <v>13927</v>
      </c>
      <c r="F259" s="465">
        <v>42751.0</v>
      </c>
      <c r="G259" s="688">
        <v>42753.0</v>
      </c>
      <c r="H259" s="45" t="s">
        <v>1747</v>
      </c>
      <c r="I259" s="696">
        <v>42765.0</v>
      </c>
      <c r="J259" s="69" t="s">
        <v>13892</v>
      </c>
      <c r="K259" s="45" t="s">
        <v>3197</v>
      </c>
      <c r="L259" s="47" t="s">
        <v>13928</v>
      </c>
      <c r="M259" s="123"/>
      <c r="N259" s="42"/>
      <c r="O259" s="659"/>
      <c r="P259" s="411"/>
      <c r="Q259" s="411"/>
      <c r="R259" s="411"/>
      <c r="S259" s="411"/>
      <c r="T259" s="411"/>
      <c r="U259" s="411"/>
      <c r="V259" s="411"/>
      <c r="W259" s="411"/>
      <c r="X259" s="411"/>
      <c r="Y259" s="411"/>
      <c r="Z259" s="411"/>
      <c r="AA259" s="411"/>
    </row>
    <row r="260" ht="33.75" customHeight="1">
      <c r="A260" s="45">
        <v>30753.0</v>
      </c>
      <c r="B260" s="45" t="s">
        <v>14</v>
      </c>
      <c r="C260" s="42">
        <v>1800.0</v>
      </c>
      <c r="D260" s="90" t="s">
        <v>13929</v>
      </c>
      <c r="E260" s="485" t="s">
        <v>675</v>
      </c>
      <c r="F260" s="465">
        <v>42746.0</v>
      </c>
      <c r="G260" s="711" t="s">
        <v>13930</v>
      </c>
      <c r="H260" s="45" t="s">
        <v>1747</v>
      </c>
      <c r="I260" s="696">
        <v>42753.0</v>
      </c>
      <c r="J260" s="123" t="s">
        <v>2535</v>
      </c>
      <c r="K260" s="123" t="s">
        <v>2535</v>
      </c>
      <c r="L260" s="47" t="s">
        <v>13931</v>
      </c>
      <c r="M260" s="123"/>
      <c r="N260" s="42"/>
      <c r="O260" s="659"/>
      <c r="P260" s="411"/>
      <c r="Q260" s="411"/>
      <c r="R260" s="411"/>
      <c r="S260" s="411"/>
      <c r="T260" s="411"/>
      <c r="U260" s="411"/>
      <c r="V260" s="411"/>
      <c r="W260" s="411"/>
      <c r="X260" s="411"/>
      <c r="Y260" s="411"/>
      <c r="Z260" s="411"/>
      <c r="AA260" s="411"/>
    </row>
    <row r="261" ht="33.75" customHeight="1">
      <c r="A261" s="45">
        <v>30911.0</v>
      </c>
      <c r="B261" s="45" t="s">
        <v>1676</v>
      </c>
      <c r="C261" s="42">
        <v>1182.0</v>
      </c>
      <c r="D261" s="123" t="s">
        <v>13932</v>
      </c>
      <c r="E261" s="485" t="s">
        <v>8430</v>
      </c>
      <c r="F261" s="465">
        <v>42745.0</v>
      </c>
      <c r="G261" s="666">
        <v>42747.0</v>
      </c>
      <c r="H261" s="45" t="s">
        <v>1747</v>
      </c>
      <c r="I261" s="696">
        <v>42752.0</v>
      </c>
      <c r="J261" s="45" t="s">
        <v>13918</v>
      </c>
      <c r="K261" s="45" t="s">
        <v>3197</v>
      </c>
      <c r="L261" s="47" t="s">
        <v>13933</v>
      </c>
      <c r="M261" s="123"/>
      <c r="N261" s="484"/>
      <c r="O261" s="659"/>
      <c r="P261" s="411"/>
      <c r="Q261" s="411"/>
      <c r="R261" s="411"/>
      <c r="S261" s="411"/>
      <c r="T261" s="411"/>
      <c r="U261" s="411"/>
      <c r="V261" s="411"/>
      <c r="W261" s="411"/>
      <c r="X261" s="411"/>
      <c r="Y261" s="411"/>
      <c r="Z261" s="411"/>
      <c r="AA261" s="411"/>
    </row>
    <row r="262" ht="33.75" customHeight="1">
      <c r="A262" s="45">
        <v>30740.0</v>
      </c>
      <c r="B262" s="45" t="s">
        <v>1676</v>
      </c>
      <c r="C262" s="42">
        <v>766.0</v>
      </c>
      <c r="D262" s="123" t="s">
        <v>13934</v>
      </c>
      <c r="E262" s="485" t="s">
        <v>13935</v>
      </c>
      <c r="F262" s="465">
        <v>42743.0</v>
      </c>
      <c r="G262" s="711" t="s">
        <v>13936</v>
      </c>
      <c r="H262" s="45" t="s">
        <v>1747</v>
      </c>
      <c r="I262" s="696">
        <v>42752.0</v>
      </c>
      <c r="J262" s="45" t="s">
        <v>13918</v>
      </c>
      <c r="K262" s="45" t="s">
        <v>13505</v>
      </c>
      <c r="L262" s="47" t="s">
        <v>13937</v>
      </c>
      <c r="M262" s="123"/>
      <c r="N262" s="42"/>
      <c r="O262" s="659"/>
      <c r="P262" s="411"/>
      <c r="Q262" s="411"/>
      <c r="R262" s="411"/>
      <c r="S262" s="411"/>
      <c r="T262" s="411"/>
      <c r="U262" s="411"/>
      <c r="V262" s="411"/>
      <c r="W262" s="411"/>
      <c r="X262" s="411"/>
      <c r="Y262" s="411"/>
      <c r="Z262" s="411"/>
      <c r="AA262" s="411"/>
    </row>
    <row r="263" ht="33.75" customHeight="1">
      <c r="A263" s="69">
        <v>30907.0</v>
      </c>
      <c r="B263" s="45" t="s">
        <v>14</v>
      </c>
      <c r="C263" s="42">
        <v>567.0</v>
      </c>
      <c r="D263" s="123" t="s">
        <v>8417</v>
      </c>
      <c r="E263" s="485" t="s">
        <v>13938</v>
      </c>
      <c r="F263" s="465">
        <v>42739.0</v>
      </c>
      <c r="G263" s="666">
        <v>42740.0</v>
      </c>
      <c r="H263" s="45" t="s">
        <v>1747</v>
      </c>
      <c r="I263" s="696">
        <v>42745.0</v>
      </c>
      <c r="J263" s="123" t="s">
        <v>2535</v>
      </c>
      <c r="K263" s="123" t="s">
        <v>2535</v>
      </c>
      <c r="L263" s="47" t="s">
        <v>13939</v>
      </c>
      <c r="M263" s="123"/>
      <c r="N263" s="42"/>
      <c r="O263" s="659"/>
      <c r="P263" s="411"/>
      <c r="Q263" s="411"/>
      <c r="R263" s="411"/>
      <c r="S263" s="411"/>
      <c r="T263" s="411"/>
      <c r="U263" s="411"/>
      <c r="V263" s="411"/>
      <c r="W263" s="411"/>
      <c r="X263" s="411"/>
      <c r="Y263" s="411"/>
      <c r="Z263" s="411"/>
      <c r="AA263" s="411"/>
    </row>
    <row r="264" ht="33.75" customHeight="1">
      <c r="A264" s="45">
        <v>30885.0</v>
      </c>
      <c r="B264" s="45" t="s">
        <v>1676</v>
      </c>
      <c r="C264" s="42">
        <v>220.0</v>
      </c>
      <c r="D264" s="123" t="s">
        <v>13940</v>
      </c>
      <c r="E264" s="126" t="s">
        <v>13824</v>
      </c>
      <c r="F264" s="465">
        <v>42737.0</v>
      </c>
      <c r="G264" s="666">
        <v>42726.0</v>
      </c>
      <c r="H264" s="701">
        <v>42732.0</v>
      </c>
      <c r="I264" s="696">
        <v>42746.0</v>
      </c>
      <c r="J264" s="45" t="s">
        <v>13918</v>
      </c>
      <c r="K264" s="45" t="s">
        <v>3197</v>
      </c>
      <c r="L264" s="47" t="s">
        <v>13941</v>
      </c>
      <c r="M264" s="123"/>
      <c r="N264" s="42"/>
      <c r="O264" s="659"/>
      <c r="P264" s="411"/>
      <c r="Q264" s="411"/>
      <c r="R264" s="411"/>
      <c r="S264" s="411"/>
      <c r="T264" s="411"/>
      <c r="U264" s="411"/>
      <c r="V264" s="411"/>
      <c r="W264" s="411"/>
      <c r="X264" s="411"/>
      <c r="Y264" s="411"/>
      <c r="Z264" s="411"/>
      <c r="AA264" s="411"/>
    </row>
    <row r="265" ht="33.75" customHeight="1">
      <c r="A265" s="45">
        <v>30888.0</v>
      </c>
      <c r="B265" s="45" t="s">
        <v>1676</v>
      </c>
      <c r="C265" s="42">
        <v>1250.0</v>
      </c>
      <c r="D265" s="128" t="s">
        <v>1936</v>
      </c>
      <c r="E265" s="485" t="s">
        <v>13942</v>
      </c>
      <c r="F265" s="465">
        <v>42736.0</v>
      </c>
      <c r="G265" s="666">
        <v>42752.0</v>
      </c>
      <c r="H265" s="69" t="s">
        <v>1747</v>
      </c>
      <c r="I265" s="696">
        <v>42762.0</v>
      </c>
      <c r="J265" s="45" t="s">
        <v>13918</v>
      </c>
      <c r="K265" s="69" t="s">
        <v>3197</v>
      </c>
      <c r="L265" s="47" t="s">
        <v>13943</v>
      </c>
      <c r="M265" s="123"/>
      <c r="N265" s="42"/>
      <c r="O265" s="659"/>
      <c r="P265" s="411"/>
      <c r="Q265" s="411"/>
      <c r="R265" s="411"/>
      <c r="S265" s="411"/>
      <c r="T265" s="411"/>
      <c r="U265" s="411"/>
      <c r="V265" s="411"/>
      <c r="W265" s="411"/>
      <c r="X265" s="411"/>
      <c r="Y265" s="411"/>
      <c r="Z265" s="411"/>
      <c r="AA265" s="411"/>
    </row>
    <row r="266" ht="33.75" customHeight="1">
      <c r="A266" s="45">
        <v>30482.0</v>
      </c>
      <c r="B266" s="45" t="s">
        <v>1676</v>
      </c>
      <c r="C266" s="42">
        <v>2240.0</v>
      </c>
      <c r="D266" s="123" t="s">
        <v>13944</v>
      </c>
      <c r="E266" s="126" t="s">
        <v>13864</v>
      </c>
      <c r="F266" s="465">
        <v>42735.0</v>
      </c>
      <c r="G266" s="666">
        <v>42731.0</v>
      </c>
      <c r="H266" s="45" t="s">
        <v>1747</v>
      </c>
      <c r="I266" s="696">
        <v>42744.0</v>
      </c>
      <c r="J266" s="45" t="s">
        <v>13918</v>
      </c>
      <c r="K266" s="45" t="s">
        <v>3197</v>
      </c>
      <c r="L266" s="47" t="s">
        <v>13945</v>
      </c>
      <c r="M266" s="123" t="s">
        <v>497</v>
      </c>
      <c r="N266" s="42" t="s">
        <v>1052</v>
      </c>
      <c r="O266" s="659">
        <v>29443.6</v>
      </c>
      <c r="P266" s="411"/>
      <c r="Q266" s="411"/>
      <c r="R266" s="411"/>
      <c r="S266" s="411"/>
      <c r="T266" s="411"/>
      <c r="U266" s="411"/>
      <c r="V266" s="411"/>
      <c r="W266" s="411"/>
      <c r="X266" s="411"/>
      <c r="Y266" s="411"/>
      <c r="Z266" s="411"/>
      <c r="AA266" s="411"/>
    </row>
    <row r="267" ht="33.75" customHeight="1">
      <c r="A267" s="45">
        <v>30884.0</v>
      </c>
      <c r="B267" s="45" t="s">
        <v>14</v>
      </c>
      <c r="C267" s="42">
        <v>1250.0</v>
      </c>
      <c r="D267" s="123" t="s">
        <v>13946</v>
      </c>
      <c r="E267" s="126" t="s">
        <v>13947</v>
      </c>
      <c r="F267" s="465">
        <v>42733.0</v>
      </c>
      <c r="G267" s="666">
        <v>42755.0</v>
      </c>
      <c r="H267" s="45" t="s">
        <v>1747</v>
      </c>
      <c r="I267" s="696">
        <v>42741.0</v>
      </c>
      <c r="J267" s="123" t="s">
        <v>2535</v>
      </c>
      <c r="K267" s="123" t="s">
        <v>2535</v>
      </c>
      <c r="L267" s="47" t="s">
        <v>13948</v>
      </c>
      <c r="M267" s="123"/>
      <c r="N267" s="42"/>
      <c r="O267" s="659"/>
      <c r="P267" s="411"/>
      <c r="Q267" s="411"/>
      <c r="R267" s="411"/>
      <c r="S267" s="411"/>
      <c r="T267" s="411"/>
      <c r="U267" s="411"/>
      <c r="V267" s="411"/>
      <c r="W267" s="411"/>
      <c r="X267" s="411"/>
      <c r="Y267" s="411"/>
      <c r="Z267" s="411"/>
      <c r="AA267" s="411"/>
    </row>
    <row r="268" ht="33.75" customHeight="1">
      <c r="A268" s="45">
        <v>30882.0</v>
      </c>
      <c r="B268" s="45" t="s">
        <v>14</v>
      </c>
      <c r="C268" s="42">
        <v>944.0</v>
      </c>
      <c r="D268" s="123" t="s">
        <v>13949</v>
      </c>
      <c r="E268" s="126" t="s">
        <v>8427</v>
      </c>
      <c r="F268" s="465">
        <v>42732.0</v>
      </c>
      <c r="G268" s="666">
        <v>42732.0</v>
      </c>
      <c r="H268" s="45" t="s">
        <v>1747</v>
      </c>
      <c r="I268" s="696">
        <v>42734.0</v>
      </c>
      <c r="J268" s="123" t="s">
        <v>2535</v>
      </c>
      <c r="K268" s="123" t="s">
        <v>2535</v>
      </c>
      <c r="L268" s="47" t="s">
        <v>13950</v>
      </c>
      <c r="M268" s="126"/>
      <c r="N268" s="42"/>
      <c r="O268" s="659"/>
      <c r="P268" s="411"/>
      <c r="Q268" s="411"/>
      <c r="R268" s="411"/>
      <c r="S268" s="411"/>
      <c r="T268" s="411"/>
      <c r="U268" s="411"/>
      <c r="V268" s="411"/>
      <c r="W268" s="411"/>
      <c r="X268" s="411"/>
      <c r="Y268" s="411"/>
      <c r="Z268" s="411"/>
      <c r="AA268" s="411"/>
    </row>
    <row r="269" ht="33.75" customHeight="1">
      <c r="A269" s="45">
        <v>30886.0</v>
      </c>
      <c r="B269" s="45" t="s">
        <v>14</v>
      </c>
      <c r="C269" s="42">
        <v>428.0</v>
      </c>
      <c r="D269" s="123" t="s">
        <v>13951</v>
      </c>
      <c r="E269" s="126" t="s">
        <v>8449</v>
      </c>
      <c r="F269" s="465">
        <v>42732.0</v>
      </c>
      <c r="G269" s="666">
        <v>42727.0</v>
      </c>
      <c r="H269" s="45" t="s">
        <v>1747</v>
      </c>
      <c r="I269" s="696">
        <v>42734.0</v>
      </c>
      <c r="J269" s="123" t="s">
        <v>2535</v>
      </c>
      <c r="K269" s="123" t="s">
        <v>2535</v>
      </c>
      <c r="L269" s="47" t="s">
        <v>13952</v>
      </c>
      <c r="M269" s="126"/>
      <c r="N269" s="484"/>
      <c r="O269" s="659"/>
      <c r="P269" s="411"/>
      <c r="Q269" s="411"/>
      <c r="R269" s="411"/>
      <c r="S269" s="411"/>
      <c r="T269" s="411"/>
      <c r="U269" s="411"/>
      <c r="V269" s="411"/>
      <c r="W269" s="411"/>
      <c r="X269" s="411"/>
      <c r="Y269" s="411"/>
      <c r="Z269" s="411"/>
      <c r="AA269" s="411"/>
    </row>
    <row r="270" ht="33.75" customHeight="1">
      <c r="A270" s="45">
        <v>30480.0</v>
      </c>
      <c r="B270" s="45" t="s">
        <v>25</v>
      </c>
      <c r="C270" s="42">
        <v>2240.0</v>
      </c>
      <c r="D270" s="123" t="s">
        <v>13953</v>
      </c>
      <c r="E270" s="485" t="s">
        <v>13864</v>
      </c>
      <c r="F270" s="465">
        <v>42731.0</v>
      </c>
      <c r="G270" s="666">
        <v>42732.0</v>
      </c>
      <c r="H270" s="45" t="s">
        <v>1747</v>
      </c>
      <c r="I270" s="696">
        <v>42734.0</v>
      </c>
      <c r="J270" s="123" t="s">
        <v>2535</v>
      </c>
      <c r="K270" s="123" t="s">
        <v>2535</v>
      </c>
      <c r="L270" s="47" t="s">
        <v>13954</v>
      </c>
      <c r="M270" s="123" t="s">
        <v>497</v>
      </c>
      <c r="N270" s="42" t="s">
        <v>1052</v>
      </c>
      <c r="O270" s="659">
        <v>29433.6</v>
      </c>
      <c r="P270" s="411"/>
      <c r="Q270" s="411"/>
      <c r="R270" s="411"/>
      <c r="S270" s="411"/>
      <c r="T270" s="411"/>
      <c r="U270" s="411"/>
      <c r="V270" s="411"/>
      <c r="W270" s="411"/>
      <c r="X270" s="411"/>
      <c r="Y270" s="411"/>
      <c r="Z270" s="411"/>
      <c r="AA270" s="411"/>
    </row>
    <row r="271" ht="33.75" customHeight="1">
      <c r="A271" s="45">
        <v>30878.0</v>
      </c>
      <c r="B271" s="45" t="s">
        <v>14</v>
      </c>
      <c r="C271" s="42">
        <v>1300.0</v>
      </c>
      <c r="D271" s="123" t="s">
        <v>13955</v>
      </c>
      <c r="E271" s="126" t="s">
        <v>8430</v>
      </c>
      <c r="F271" s="465">
        <v>42731.0</v>
      </c>
      <c r="G271" s="666">
        <v>42727.0</v>
      </c>
      <c r="H271" s="45" t="s">
        <v>1747</v>
      </c>
      <c r="I271" s="696">
        <v>42740.0</v>
      </c>
      <c r="J271" s="123" t="s">
        <v>2535</v>
      </c>
      <c r="K271" s="123" t="s">
        <v>2535</v>
      </c>
      <c r="L271" s="47" t="s">
        <v>13956</v>
      </c>
      <c r="M271" s="123"/>
      <c r="N271" s="42"/>
      <c r="O271" s="659"/>
      <c r="P271" s="411"/>
      <c r="Q271" s="411"/>
      <c r="R271" s="411"/>
      <c r="S271" s="411"/>
      <c r="T271" s="411"/>
      <c r="U271" s="411"/>
      <c r="V271" s="411"/>
      <c r="W271" s="411"/>
      <c r="X271" s="411"/>
      <c r="Y271" s="411"/>
      <c r="Z271" s="411"/>
      <c r="AA271" s="411"/>
    </row>
    <row r="272" ht="33.75" customHeight="1">
      <c r="A272" s="45">
        <v>30879.0</v>
      </c>
      <c r="B272" s="45" t="s">
        <v>14</v>
      </c>
      <c r="C272" s="42">
        <v>1182.0</v>
      </c>
      <c r="D272" s="123" t="s">
        <v>13957</v>
      </c>
      <c r="E272" s="126" t="s">
        <v>8430</v>
      </c>
      <c r="F272" s="465">
        <v>42731.0</v>
      </c>
      <c r="G272" s="666">
        <v>42727.0</v>
      </c>
      <c r="H272" s="45" t="s">
        <v>1747</v>
      </c>
      <c r="I272" s="696">
        <v>42739.0</v>
      </c>
      <c r="J272" s="123" t="s">
        <v>2535</v>
      </c>
      <c r="K272" s="123" t="s">
        <v>2535</v>
      </c>
      <c r="L272" s="47" t="s">
        <v>13958</v>
      </c>
      <c r="M272" s="123"/>
      <c r="N272" s="42"/>
      <c r="O272" s="659"/>
      <c r="P272" s="411"/>
      <c r="Q272" s="411"/>
      <c r="R272" s="411"/>
      <c r="S272" s="411"/>
      <c r="T272" s="411"/>
      <c r="U272" s="411"/>
      <c r="V272" s="411"/>
      <c r="W272" s="411"/>
      <c r="X272" s="411"/>
      <c r="Y272" s="411"/>
      <c r="Z272" s="411"/>
      <c r="AA272" s="411"/>
    </row>
    <row r="273" ht="33.75" customHeight="1">
      <c r="A273" s="45">
        <v>30781.0</v>
      </c>
      <c r="B273" s="45" t="s">
        <v>1676</v>
      </c>
      <c r="C273" s="42">
        <v>147.0</v>
      </c>
      <c r="D273" s="123" t="s">
        <v>13959</v>
      </c>
      <c r="E273" s="126" t="s">
        <v>13960</v>
      </c>
      <c r="F273" s="465">
        <v>42731.0</v>
      </c>
      <c r="G273" s="666">
        <v>42732.0</v>
      </c>
      <c r="H273" s="45" t="s">
        <v>1747</v>
      </c>
      <c r="I273" s="696">
        <v>42741.0</v>
      </c>
      <c r="J273" s="45" t="s">
        <v>13918</v>
      </c>
      <c r="K273" s="45" t="s">
        <v>13505</v>
      </c>
      <c r="L273" s="47" t="s">
        <v>13961</v>
      </c>
      <c r="M273" s="123"/>
      <c r="N273" s="42"/>
      <c r="O273" s="659"/>
      <c r="P273" s="411"/>
      <c r="Q273" s="411"/>
      <c r="R273" s="411"/>
      <c r="S273" s="411"/>
      <c r="T273" s="411"/>
      <c r="U273" s="411"/>
      <c r="V273" s="411"/>
      <c r="W273" s="411"/>
      <c r="X273" s="411"/>
      <c r="Y273" s="411"/>
      <c r="Z273" s="411"/>
      <c r="AA273" s="411"/>
    </row>
    <row r="274" ht="33.75" customHeight="1">
      <c r="A274" s="45">
        <v>30727.0</v>
      </c>
      <c r="B274" s="45" t="s">
        <v>1676</v>
      </c>
      <c r="C274" s="42">
        <v>71.0</v>
      </c>
      <c r="D274" s="123" t="s">
        <v>13962</v>
      </c>
      <c r="E274" s="665" t="s">
        <v>13963</v>
      </c>
      <c r="F274" s="465">
        <v>42730.0</v>
      </c>
      <c r="G274" s="666">
        <v>42732.0</v>
      </c>
      <c r="H274" s="45" t="s">
        <v>1747</v>
      </c>
      <c r="I274" s="696">
        <v>42740.0</v>
      </c>
      <c r="J274" s="45" t="s">
        <v>13918</v>
      </c>
      <c r="K274" s="45" t="s">
        <v>13505</v>
      </c>
      <c r="L274" s="47" t="s">
        <v>13964</v>
      </c>
      <c r="M274" s="123"/>
      <c r="N274" s="42"/>
      <c r="O274" s="659"/>
      <c r="P274" s="411"/>
      <c r="Q274" s="411"/>
      <c r="R274" s="411"/>
      <c r="S274" s="411"/>
      <c r="T274" s="411"/>
      <c r="U274" s="411"/>
      <c r="V274" s="411"/>
      <c r="W274" s="411"/>
      <c r="X274" s="411"/>
      <c r="Y274" s="411"/>
      <c r="Z274" s="411"/>
      <c r="AA274" s="411"/>
    </row>
    <row r="275" ht="12.75" customHeight="1">
      <c r="A275" s="411"/>
      <c r="B275" s="411"/>
      <c r="C275" s="411"/>
      <c r="D275" s="484"/>
      <c r="E275" s="411"/>
      <c r="F275" s="411"/>
      <c r="G275" s="484"/>
      <c r="H275" s="411"/>
      <c r="I275" s="712"/>
      <c r="J275" s="411"/>
      <c r="K275" s="411"/>
      <c r="L275" s="411"/>
    </row>
    <row r="276" ht="12.75" customHeight="1">
      <c r="A276" s="411"/>
      <c r="B276" s="411"/>
      <c r="C276" s="411"/>
      <c r="D276" s="484"/>
      <c r="E276" s="411"/>
      <c r="F276" s="411"/>
      <c r="G276" s="484"/>
      <c r="H276" s="411"/>
      <c r="I276" s="712"/>
      <c r="J276" s="411"/>
      <c r="K276" s="411"/>
      <c r="L276" s="411"/>
    </row>
    <row r="277" ht="12.75" customHeight="1">
      <c r="A277" s="411"/>
      <c r="B277" s="411"/>
      <c r="C277" s="411"/>
      <c r="D277" s="484"/>
      <c r="E277" s="411"/>
      <c r="F277" s="411"/>
      <c r="G277" s="484"/>
      <c r="H277" s="411"/>
      <c r="I277" s="712"/>
      <c r="J277" s="411"/>
      <c r="K277" s="411"/>
      <c r="L277" s="411"/>
    </row>
    <row r="278" ht="12.75" customHeight="1">
      <c r="A278" s="411"/>
      <c r="B278" s="411"/>
      <c r="C278" s="411"/>
      <c r="D278" s="484"/>
      <c r="E278" s="411"/>
      <c r="F278" s="411"/>
      <c r="G278" s="484"/>
      <c r="H278" s="411"/>
      <c r="I278" s="712"/>
      <c r="J278" s="411"/>
      <c r="K278" s="411"/>
      <c r="L278" s="411"/>
    </row>
    <row r="279" ht="12.75" customHeight="1">
      <c r="A279" s="411"/>
      <c r="B279" s="411"/>
      <c r="C279" s="411"/>
      <c r="D279" s="484"/>
      <c r="E279" s="411"/>
      <c r="F279" s="411"/>
      <c r="G279" s="484"/>
      <c r="H279" s="411"/>
      <c r="I279" s="712"/>
      <c r="J279" s="411"/>
      <c r="K279" s="411"/>
      <c r="L279" s="411"/>
    </row>
    <row r="280" ht="12.75" customHeight="1">
      <c r="A280" s="411"/>
      <c r="B280" s="411"/>
      <c r="C280" s="411"/>
      <c r="D280" s="484"/>
      <c r="E280" s="411"/>
      <c r="F280" s="411"/>
      <c r="G280" s="484"/>
      <c r="H280" s="411"/>
      <c r="I280" s="712"/>
      <c r="J280" s="411"/>
      <c r="K280" s="411"/>
      <c r="L280" s="411"/>
    </row>
    <row r="281" ht="12.75" customHeight="1">
      <c r="A281" s="411"/>
      <c r="B281" s="411"/>
      <c r="C281" s="411"/>
      <c r="D281" s="484"/>
      <c r="E281" s="411"/>
      <c r="F281" s="411"/>
      <c r="G281" s="484"/>
      <c r="H281" s="411"/>
      <c r="I281" s="712"/>
      <c r="J281" s="411"/>
      <c r="K281" s="411"/>
      <c r="L281" s="411"/>
    </row>
    <row r="282" ht="12.75" customHeight="1">
      <c r="A282" s="411"/>
      <c r="B282" s="411"/>
      <c r="C282" s="411"/>
      <c r="D282" s="484"/>
      <c r="E282" s="411"/>
      <c r="F282" s="411"/>
      <c r="G282" s="484"/>
      <c r="H282" s="411"/>
      <c r="I282" s="712"/>
      <c r="J282" s="411"/>
      <c r="K282" s="411"/>
      <c r="L282" s="411"/>
    </row>
    <row r="283" ht="12.75" customHeight="1">
      <c r="A283" s="411"/>
      <c r="B283" s="411"/>
      <c r="C283" s="411"/>
      <c r="D283" s="484"/>
      <c r="E283" s="411"/>
      <c r="F283" s="411"/>
      <c r="G283" s="484"/>
      <c r="H283" s="411"/>
      <c r="I283" s="712"/>
      <c r="J283" s="411"/>
      <c r="K283" s="411"/>
      <c r="L283" s="411"/>
    </row>
    <row r="284" ht="12.75" customHeight="1">
      <c r="A284" s="411"/>
      <c r="B284" s="411"/>
      <c r="C284" s="411"/>
      <c r="D284" s="484"/>
      <c r="E284" s="411"/>
      <c r="F284" s="411"/>
      <c r="G284" s="484"/>
      <c r="H284" s="411"/>
      <c r="I284" s="712"/>
      <c r="J284" s="411"/>
      <c r="K284" s="411"/>
      <c r="L284" s="411"/>
    </row>
    <row r="285" ht="12.75" customHeight="1">
      <c r="A285" s="411"/>
      <c r="B285" s="411"/>
      <c r="C285" s="411"/>
      <c r="D285" s="484"/>
      <c r="E285" s="411"/>
      <c r="F285" s="411"/>
      <c r="G285" s="484"/>
      <c r="H285" s="411"/>
      <c r="I285" s="712"/>
      <c r="J285" s="411"/>
      <c r="K285" s="411"/>
      <c r="L285" s="411"/>
    </row>
    <row r="286" ht="12.75" customHeight="1">
      <c r="A286" s="411"/>
      <c r="B286" s="411"/>
      <c r="C286" s="411"/>
      <c r="D286" s="484"/>
      <c r="E286" s="411"/>
      <c r="F286" s="411"/>
      <c r="G286" s="484"/>
      <c r="H286" s="411"/>
      <c r="I286" s="712"/>
      <c r="J286" s="411"/>
      <c r="K286" s="411"/>
      <c r="L286" s="411"/>
    </row>
    <row r="287" ht="12.75" customHeight="1">
      <c r="A287" s="411"/>
      <c r="B287" s="411"/>
      <c r="C287" s="411"/>
      <c r="D287" s="484"/>
      <c r="E287" s="411"/>
      <c r="F287" s="411"/>
      <c r="G287" s="484"/>
      <c r="H287" s="411"/>
      <c r="I287" s="712"/>
      <c r="J287" s="411"/>
      <c r="K287" s="411"/>
      <c r="L287" s="411"/>
    </row>
    <row r="288" ht="12.75" customHeight="1">
      <c r="A288" s="411"/>
      <c r="B288" s="411"/>
      <c r="C288" s="411"/>
      <c r="D288" s="484"/>
      <c r="E288" s="411"/>
      <c r="F288" s="411"/>
      <c r="G288" s="484"/>
      <c r="H288" s="411"/>
      <c r="I288" s="712"/>
      <c r="J288" s="411"/>
      <c r="K288" s="411"/>
      <c r="L288" s="411"/>
    </row>
    <row r="289" ht="12.75" customHeight="1">
      <c r="A289" s="411"/>
      <c r="B289" s="411"/>
      <c r="C289" s="411"/>
      <c r="D289" s="484"/>
      <c r="E289" s="411"/>
      <c r="F289" s="411"/>
      <c r="G289" s="484"/>
      <c r="H289" s="411"/>
      <c r="I289" s="712"/>
      <c r="J289" s="411"/>
      <c r="K289" s="411"/>
      <c r="L289" s="411"/>
    </row>
    <row r="290" ht="12.75" customHeight="1">
      <c r="A290" s="411"/>
      <c r="B290" s="411"/>
      <c r="C290" s="411"/>
      <c r="D290" s="484"/>
      <c r="E290" s="411"/>
      <c r="F290" s="411"/>
      <c r="G290" s="484"/>
      <c r="H290" s="411"/>
      <c r="I290" s="712"/>
      <c r="J290" s="411"/>
      <c r="K290" s="411"/>
      <c r="L290" s="411"/>
    </row>
    <row r="291" ht="12.75" customHeight="1">
      <c r="A291" s="411"/>
      <c r="B291" s="411"/>
      <c r="C291" s="411"/>
      <c r="D291" s="484"/>
      <c r="E291" s="411"/>
      <c r="F291" s="411"/>
      <c r="G291" s="484"/>
      <c r="H291" s="411"/>
      <c r="I291" s="712"/>
      <c r="J291" s="411"/>
      <c r="K291" s="411"/>
      <c r="L291" s="411"/>
    </row>
    <row r="292" ht="12.75" customHeight="1">
      <c r="A292" s="411"/>
      <c r="B292" s="411"/>
      <c r="C292" s="411"/>
      <c r="D292" s="484"/>
      <c r="E292" s="411"/>
      <c r="F292" s="411"/>
      <c r="G292" s="484"/>
      <c r="H292" s="411"/>
      <c r="I292" s="712"/>
      <c r="J292" s="411"/>
      <c r="K292" s="411"/>
      <c r="L292" s="411"/>
    </row>
    <row r="293" ht="12.75" customHeight="1">
      <c r="A293" s="411"/>
      <c r="B293" s="411"/>
      <c r="C293" s="411"/>
      <c r="D293" s="484"/>
      <c r="E293" s="411"/>
      <c r="F293" s="411"/>
      <c r="G293" s="484"/>
      <c r="H293" s="411"/>
      <c r="I293" s="712"/>
      <c r="J293" s="411"/>
      <c r="K293" s="411"/>
      <c r="L293" s="411"/>
    </row>
    <row r="294" ht="12.75" customHeight="1">
      <c r="A294" s="411"/>
      <c r="B294" s="411"/>
      <c r="C294" s="411"/>
      <c r="D294" s="484"/>
      <c r="E294" s="411"/>
      <c r="F294" s="411"/>
      <c r="G294" s="484"/>
      <c r="H294" s="411"/>
      <c r="I294" s="712"/>
      <c r="J294" s="411"/>
      <c r="K294" s="411"/>
      <c r="L294" s="411"/>
    </row>
    <row r="295" ht="12.75" customHeight="1">
      <c r="A295" s="411"/>
      <c r="B295" s="411"/>
      <c r="C295" s="411"/>
      <c r="D295" s="484"/>
      <c r="E295" s="411"/>
      <c r="F295" s="411"/>
      <c r="G295" s="484"/>
      <c r="H295" s="411"/>
      <c r="I295" s="712"/>
      <c r="J295" s="411"/>
      <c r="K295" s="411"/>
      <c r="L295" s="411"/>
    </row>
    <row r="296" ht="12.75" customHeight="1">
      <c r="A296" s="411"/>
      <c r="B296" s="411"/>
      <c r="C296" s="411"/>
      <c r="D296" s="484"/>
      <c r="E296" s="411"/>
      <c r="F296" s="411"/>
      <c r="G296" s="484"/>
      <c r="H296" s="411"/>
      <c r="I296" s="712"/>
      <c r="J296" s="411"/>
      <c r="K296" s="411"/>
      <c r="L296" s="411"/>
    </row>
    <row r="297" ht="12.75" customHeight="1">
      <c r="A297" s="411"/>
      <c r="B297" s="411"/>
      <c r="C297" s="411"/>
      <c r="D297" s="484"/>
      <c r="E297" s="411"/>
      <c r="F297" s="411"/>
      <c r="G297" s="484"/>
      <c r="H297" s="411"/>
      <c r="I297" s="712"/>
      <c r="J297" s="411"/>
      <c r="K297" s="411"/>
      <c r="L297" s="411"/>
    </row>
    <row r="298" ht="12.75" customHeight="1">
      <c r="A298" s="411"/>
      <c r="B298" s="411"/>
      <c r="C298" s="411"/>
      <c r="D298" s="484"/>
      <c r="E298" s="411"/>
      <c r="F298" s="411"/>
      <c r="G298" s="484"/>
      <c r="H298" s="411"/>
      <c r="I298" s="712"/>
      <c r="J298" s="411"/>
      <c r="K298" s="411"/>
      <c r="L298" s="411"/>
    </row>
    <row r="299" ht="12.75" customHeight="1">
      <c r="A299" s="411"/>
      <c r="B299" s="411"/>
      <c r="C299" s="411"/>
      <c r="D299" s="484"/>
      <c r="E299" s="411"/>
      <c r="F299" s="411"/>
      <c r="G299" s="484"/>
      <c r="H299" s="411"/>
      <c r="I299" s="712"/>
      <c r="J299" s="411"/>
      <c r="K299" s="411"/>
      <c r="L299" s="411"/>
    </row>
    <row r="300" ht="12.75" customHeight="1">
      <c r="A300" s="411"/>
      <c r="B300" s="411"/>
      <c r="C300" s="411"/>
      <c r="D300" s="484"/>
      <c r="E300" s="411"/>
      <c r="F300" s="411"/>
      <c r="G300" s="484"/>
      <c r="H300" s="411"/>
      <c r="I300" s="712"/>
      <c r="J300" s="411"/>
      <c r="K300" s="411"/>
      <c r="L300" s="411"/>
    </row>
    <row r="301" ht="12.75" customHeight="1">
      <c r="A301" s="411"/>
      <c r="B301" s="411"/>
      <c r="C301" s="411"/>
      <c r="D301" s="484"/>
      <c r="E301" s="411"/>
      <c r="F301" s="411"/>
      <c r="G301" s="484"/>
      <c r="H301" s="411"/>
      <c r="I301" s="712"/>
      <c r="J301" s="411"/>
      <c r="K301" s="411"/>
      <c r="L301" s="411"/>
    </row>
    <row r="302" ht="12.75" customHeight="1">
      <c r="A302" s="411"/>
      <c r="B302" s="411"/>
      <c r="C302" s="411"/>
      <c r="D302" s="484"/>
      <c r="E302" s="411"/>
      <c r="F302" s="411"/>
      <c r="G302" s="484"/>
      <c r="H302" s="411"/>
      <c r="I302" s="712"/>
      <c r="J302" s="411"/>
      <c r="K302" s="411"/>
      <c r="L302" s="411"/>
    </row>
    <row r="303" ht="12.75" customHeight="1">
      <c r="A303" s="411"/>
      <c r="B303" s="411"/>
      <c r="C303" s="411"/>
      <c r="D303" s="484"/>
      <c r="E303" s="411"/>
      <c r="F303" s="411"/>
      <c r="G303" s="484"/>
      <c r="H303" s="411"/>
      <c r="I303" s="712"/>
      <c r="J303" s="411"/>
      <c r="K303" s="411"/>
      <c r="L303" s="411"/>
    </row>
    <row r="304" ht="12.75" customHeight="1">
      <c r="A304" s="411"/>
      <c r="B304" s="411"/>
      <c r="C304" s="411"/>
      <c r="D304" s="484"/>
      <c r="E304" s="411"/>
      <c r="F304" s="411"/>
      <c r="G304" s="484"/>
      <c r="H304" s="411"/>
      <c r="I304" s="712"/>
      <c r="J304" s="411"/>
      <c r="K304" s="411"/>
      <c r="L304" s="411"/>
    </row>
    <row r="305" ht="12.75" customHeight="1">
      <c r="A305" s="411"/>
      <c r="B305" s="411"/>
      <c r="C305" s="411"/>
      <c r="D305" s="484"/>
      <c r="E305" s="411"/>
      <c r="F305" s="411"/>
      <c r="G305" s="484"/>
      <c r="H305" s="411"/>
      <c r="I305" s="712"/>
      <c r="J305" s="411"/>
      <c r="K305" s="411"/>
      <c r="L305" s="411"/>
    </row>
    <row r="306" ht="12.75" customHeight="1">
      <c r="A306" s="411"/>
      <c r="B306" s="411"/>
      <c r="C306" s="411"/>
      <c r="D306" s="484"/>
      <c r="E306" s="411"/>
      <c r="F306" s="411"/>
      <c r="G306" s="484"/>
      <c r="H306" s="411"/>
      <c r="I306" s="712"/>
      <c r="J306" s="411"/>
      <c r="K306" s="411"/>
      <c r="L306" s="411"/>
    </row>
    <row r="307" ht="12.75" customHeight="1">
      <c r="A307" s="411"/>
      <c r="B307" s="411"/>
      <c r="C307" s="411"/>
      <c r="D307" s="484"/>
      <c r="E307" s="411"/>
      <c r="F307" s="411"/>
      <c r="G307" s="484"/>
      <c r="H307" s="411"/>
      <c r="I307" s="712"/>
      <c r="J307" s="411"/>
      <c r="K307" s="411"/>
      <c r="L307" s="411"/>
    </row>
    <row r="308" ht="12.75" customHeight="1">
      <c r="A308" s="411"/>
      <c r="B308" s="411"/>
      <c r="C308" s="411"/>
      <c r="D308" s="484"/>
      <c r="E308" s="411"/>
      <c r="F308" s="411"/>
      <c r="G308" s="484"/>
      <c r="H308" s="411"/>
      <c r="I308" s="712"/>
      <c r="J308" s="411"/>
      <c r="K308" s="411"/>
      <c r="L308" s="411"/>
    </row>
    <row r="309" ht="12.75" customHeight="1">
      <c r="A309" s="411"/>
      <c r="B309" s="411"/>
      <c r="C309" s="411"/>
      <c r="D309" s="484"/>
      <c r="E309" s="411"/>
      <c r="F309" s="411"/>
      <c r="G309" s="484"/>
      <c r="H309" s="411"/>
      <c r="I309" s="712"/>
      <c r="J309" s="411"/>
      <c r="K309" s="411"/>
      <c r="L309" s="411"/>
    </row>
    <row r="310" ht="12.75" customHeight="1">
      <c r="A310" s="411"/>
      <c r="B310" s="411"/>
      <c r="C310" s="411"/>
      <c r="D310" s="484"/>
      <c r="E310" s="411"/>
      <c r="F310" s="411"/>
      <c r="G310" s="484"/>
      <c r="H310" s="411"/>
      <c r="I310" s="712"/>
      <c r="J310" s="411"/>
      <c r="K310" s="411"/>
      <c r="L310" s="411"/>
    </row>
    <row r="311" ht="12.75" customHeight="1">
      <c r="A311" s="411"/>
      <c r="B311" s="411"/>
      <c r="C311" s="411"/>
      <c r="D311" s="484"/>
      <c r="E311" s="411"/>
      <c r="F311" s="411"/>
      <c r="G311" s="484"/>
      <c r="H311" s="411"/>
      <c r="I311" s="712"/>
      <c r="J311" s="411"/>
      <c r="K311" s="411"/>
      <c r="L311" s="411"/>
    </row>
    <row r="312" ht="12.75" customHeight="1">
      <c r="A312" s="411"/>
      <c r="B312" s="411"/>
      <c r="C312" s="411"/>
      <c r="D312" s="484"/>
      <c r="E312" s="411"/>
      <c r="F312" s="411"/>
      <c r="G312" s="484"/>
      <c r="H312" s="411"/>
      <c r="I312" s="712"/>
      <c r="J312" s="411"/>
      <c r="K312" s="411"/>
      <c r="L312" s="411"/>
    </row>
    <row r="313" ht="12.75" customHeight="1">
      <c r="A313" s="411"/>
      <c r="B313" s="411"/>
      <c r="C313" s="411"/>
      <c r="D313" s="484"/>
      <c r="E313" s="411"/>
      <c r="F313" s="411"/>
      <c r="G313" s="484"/>
      <c r="H313" s="411"/>
      <c r="I313" s="712"/>
      <c r="J313" s="411"/>
      <c r="K313" s="411"/>
      <c r="L313" s="411"/>
    </row>
    <row r="314" ht="12.75" customHeight="1">
      <c r="A314" s="411"/>
      <c r="B314" s="411"/>
      <c r="C314" s="411"/>
      <c r="D314" s="484"/>
      <c r="E314" s="411"/>
      <c r="F314" s="411"/>
      <c r="G314" s="484"/>
      <c r="H314" s="411"/>
      <c r="I314" s="712"/>
      <c r="J314" s="411"/>
      <c r="K314" s="411"/>
      <c r="L314" s="411"/>
    </row>
    <row r="315" ht="12.75" customHeight="1">
      <c r="A315" s="411"/>
      <c r="B315" s="411"/>
      <c r="C315" s="411"/>
      <c r="D315" s="484"/>
      <c r="E315" s="411"/>
      <c r="F315" s="411"/>
      <c r="G315" s="484"/>
      <c r="H315" s="411"/>
      <c r="I315" s="712"/>
      <c r="J315" s="411"/>
      <c r="K315" s="411"/>
      <c r="L315" s="411"/>
    </row>
    <row r="316" ht="12.75" customHeight="1">
      <c r="A316" s="411"/>
      <c r="B316" s="411"/>
      <c r="C316" s="411"/>
      <c r="D316" s="484"/>
      <c r="E316" s="411"/>
      <c r="F316" s="411"/>
      <c r="G316" s="484"/>
      <c r="H316" s="411"/>
      <c r="I316" s="712"/>
      <c r="J316" s="411"/>
      <c r="K316" s="411"/>
      <c r="L316" s="411"/>
    </row>
    <row r="317" ht="12.75" customHeight="1">
      <c r="A317" s="411"/>
      <c r="B317" s="411"/>
      <c r="C317" s="411"/>
      <c r="D317" s="484"/>
      <c r="E317" s="411"/>
      <c r="F317" s="411"/>
      <c r="G317" s="484"/>
      <c r="H317" s="411"/>
      <c r="I317" s="712"/>
      <c r="J317" s="411"/>
      <c r="K317" s="411"/>
      <c r="L317" s="411"/>
    </row>
    <row r="318" ht="12.75" customHeight="1">
      <c r="A318" s="411"/>
      <c r="B318" s="411"/>
      <c r="C318" s="411"/>
      <c r="D318" s="484"/>
      <c r="E318" s="411"/>
      <c r="F318" s="411"/>
      <c r="G318" s="484"/>
      <c r="H318" s="411"/>
      <c r="I318" s="712"/>
      <c r="J318" s="411"/>
      <c r="K318" s="411"/>
      <c r="L318" s="411"/>
    </row>
    <row r="319" ht="12.75" customHeight="1">
      <c r="A319" s="411"/>
      <c r="B319" s="411"/>
      <c r="C319" s="411"/>
      <c r="D319" s="484"/>
      <c r="E319" s="411"/>
      <c r="F319" s="411"/>
      <c r="G319" s="484"/>
      <c r="H319" s="411"/>
      <c r="I319" s="712"/>
      <c r="J319" s="411"/>
      <c r="K319" s="411"/>
      <c r="L319" s="411"/>
    </row>
    <row r="320" ht="12.75" customHeight="1">
      <c r="A320" s="411"/>
      <c r="B320" s="411"/>
      <c r="C320" s="411"/>
      <c r="D320" s="484"/>
      <c r="E320" s="411"/>
      <c r="F320" s="411"/>
      <c r="G320" s="484"/>
      <c r="H320" s="411"/>
      <c r="I320" s="712"/>
      <c r="J320" s="411"/>
      <c r="K320" s="411"/>
      <c r="L320" s="411"/>
    </row>
    <row r="321" ht="12.75" customHeight="1">
      <c r="A321" s="411"/>
      <c r="B321" s="411"/>
      <c r="C321" s="411"/>
      <c r="D321" s="484"/>
      <c r="E321" s="411"/>
      <c r="F321" s="411"/>
      <c r="G321" s="484"/>
      <c r="H321" s="411"/>
      <c r="I321" s="712"/>
      <c r="J321" s="411"/>
      <c r="K321" s="411"/>
      <c r="L321" s="411"/>
    </row>
    <row r="322" ht="12.75" customHeight="1">
      <c r="A322" s="411"/>
      <c r="B322" s="411"/>
      <c r="C322" s="411"/>
      <c r="D322" s="484"/>
      <c r="E322" s="411"/>
      <c r="F322" s="411"/>
      <c r="G322" s="484"/>
      <c r="H322" s="411"/>
      <c r="I322" s="712"/>
      <c r="J322" s="411"/>
      <c r="K322" s="411"/>
      <c r="L322" s="411"/>
    </row>
    <row r="323" ht="12.75" customHeight="1">
      <c r="A323" s="411"/>
      <c r="B323" s="411"/>
      <c r="C323" s="411"/>
      <c r="D323" s="484"/>
      <c r="E323" s="411"/>
      <c r="F323" s="411"/>
      <c r="G323" s="484"/>
      <c r="H323" s="411"/>
      <c r="I323" s="712"/>
      <c r="J323" s="411"/>
      <c r="K323" s="411"/>
      <c r="L323" s="411"/>
    </row>
    <row r="324" ht="12.75" customHeight="1">
      <c r="A324" s="411"/>
      <c r="B324" s="411"/>
      <c r="C324" s="411"/>
      <c r="D324" s="484"/>
      <c r="E324" s="411"/>
      <c r="F324" s="411"/>
      <c r="G324" s="484"/>
      <c r="H324" s="411"/>
      <c r="I324" s="712"/>
      <c r="J324" s="411"/>
      <c r="K324" s="411"/>
      <c r="L324" s="411"/>
    </row>
    <row r="325" ht="12.75" customHeight="1">
      <c r="A325" s="411"/>
      <c r="B325" s="411"/>
      <c r="C325" s="411"/>
      <c r="D325" s="484"/>
      <c r="E325" s="411"/>
      <c r="F325" s="411"/>
      <c r="G325" s="484"/>
      <c r="H325" s="411"/>
      <c r="I325" s="712"/>
      <c r="J325" s="411"/>
      <c r="K325" s="411"/>
      <c r="L325" s="411"/>
    </row>
    <row r="326" ht="12.75" customHeight="1">
      <c r="A326" s="411"/>
      <c r="B326" s="411"/>
      <c r="C326" s="411"/>
      <c r="D326" s="484"/>
      <c r="E326" s="411"/>
      <c r="F326" s="411"/>
      <c r="G326" s="484"/>
      <c r="H326" s="411"/>
      <c r="I326" s="712"/>
      <c r="J326" s="411"/>
      <c r="K326" s="411"/>
      <c r="L326" s="411"/>
    </row>
    <row r="327" ht="12.75" customHeight="1">
      <c r="A327" s="411"/>
      <c r="B327" s="411"/>
      <c r="C327" s="411"/>
      <c r="D327" s="484"/>
      <c r="E327" s="411"/>
      <c r="F327" s="411"/>
      <c r="G327" s="484"/>
      <c r="H327" s="411"/>
      <c r="I327" s="712"/>
      <c r="J327" s="411"/>
      <c r="K327" s="411"/>
      <c r="L327" s="411"/>
    </row>
    <row r="328" ht="12.75" customHeight="1">
      <c r="A328" s="411"/>
      <c r="B328" s="411"/>
      <c r="C328" s="411"/>
      <c r="D328" s="484"/>
      <c r="E328" s="411"/>
      <c r="F328" s="411"/>
      <c r="G328" s="484"/>
      <c r="H328" s="411"/>
      <c r="I328" s="712"/>
      <c r="J328" s="411"/>
      <c r="K328" s="411"/>
      <c r="L328" s="411"/>
    </row>
    <row r="329" ht="12.75" customHeight="1">
      <c r="A329" s="411"/>
      <c r="B329" s="411"/>
      <c r="C329" s="411"/>
      <c r="D329" s="484"/>
      <c r="E329" s="411"/>
      <c r="F329" s="411"/>
      <c r="G329" s="484"/>
      <c r="H329" s="411"/>
      <c r="I329" s="712"/>
      <c r="J329" s="411"/>
      <c r="K329" s="411"/>
      <c r="L329" s="411"/>
    </row>
    <row r="330" ht="12.75" customHeight="1">
      <c r="A330" s="411"/>
      <c r="B330" s="411"/>
      <c r="C330" s="411"/>
      <c r="D330" s="484"/>
      <c r="E330" s="411"/>
      <c r="F330" s="411"/>
      <c r="G330" s="484"/>
      <c r="H330" s="411"/>
      <c r="I330" s="712"/>
      <c r="J330" s="411"/>
      <c r="K330" s="411"/>
      <c r="L330" s="411"/>
    </row>
    <row r="331" ht="12.75" customHeight="1">
      <c r="A331" s="411"/>
      <c r="B331" s="411"/>
      <c r="C331" s="411"/>
      <c r="D331" s="484"/>
      <c r="E331" s="411"/>
      <c r="F331" s="411"/>
      <c r="G331" s="484"/>
      <c r="H331" s="411"/>
      <c r="I331" s="712"/>
      <c r="J331" s="411"/>
      <c r="K331" s="411"/>
      <c r="L331" s="411"/>
    </row>
    <row r="332" ht="12.75" customHeight="1">
      <c r="A332" s="411"/>
      <c r="B332" s="411"/>
      <c r="C332" s="411"/>
      <c r="D332" s="484"/>
      <c r="E332" s="411"/>
      <c r="F332" s="411"/>
      <c r="G332" s="484"/>
      <c r="H332" s="411"/>
      <c r="I332" s="712"/>
      <c r="J332" s="411"/>
      <c r="K332" s="411"/>
      <c r="L332" s="411"/>
    </row>
    <row r="333" ht="12.75" customHeight="1">
      <c r="A333" s="411"/>
      <c r="B333" s="411"/>
      <c r="C333" s="411"/>
      <c r="D333" s="484"/>
      <c r="E333" s="411"/>
      <c r="F333" s="411"/>
      <c r="G333" s="484"/>
      <c r="H333" s="411"/>
      <c r="I333" s="712"/>
      <c r="J333" s="411"/>
      <c r="K333" s="411"/>
      <c r="L333" s="411"/>
    </row>
    <row r="334" ht="12.75" customHeight="1">
      <c r="A334" s="411"/>
      <c r="B334" s="411"/>
      <c r="C334" s="411"/>
      <c r="D334" s="484"/>
      <c r="E334" s="411"/>
      <c r="F334" s="411"/>
      <c r="G334" s="484"/>
      <c r="H334" s="411"/>
      <c r="I334" s="712"/>
      <c r="J334" s="411"/>
      <c r="K334" s="411"/>
      <c r="L334" s="411"/>
    </row>
    <row r="335" ht="12.75" customHeight="1">
      <c r="A335" s="411"/>
      <c r="B335" s="411"/>
      <c r="C335" s="411"/>
      <c r="D335" s="484"/>
      <c r="E335" s="411"/>
      <c r="F335" s="411"/>
      <c r="G335" s="484"/>
      <c r="H335" s="411"/>
      <c r="I335" s="712"/>
      <c r="J335" s="411"/>
      <c r="K335" s="411"/>
      <c r="L335" s="411"/>
    </row>
    <row r="336" ht="12.75" customHeight="1">
      <c r="A336" s="411"/>
      <c r="B336" s="411"/>
      <c r="C336" s="411"/>
      <c r="D336" s="484"/>
      <c r="E336" s="411"/>
      <c r="F336" s="411"/>
      <c r="G336" s="484"/>
      <c r="H336" s="411"/>
      <c r="I336" s="712"/>
      <c r="J336" s="411"/>
      <c r="K336" s="411"/>
      <c r="L336" s="411"/>
    </row>
    <row r="337" ht="12.75" customHeight="1">
      <c r="A337" s="411"/>
      <c r="B337" s="411"/>
      <c r="C337" s="411"/>
      <c r="D337" s="484"/>
      <c r="E337" s="411"/>
      <c r="F337" s="411"/>
      <c r="G337" s="484"/>
      <c r="H337" s="411"/>
      <c r="I337" s="712"/>
      <c r="J337" s="411"/>
      <c r="K337" s="411"/>
      <c r="L337" s="411"/>
    </row>
    <row r="338" ht="12.75" customHeight="1">
      <c r="A338" s="411"/>
      <c r="B338" s="411"/>
      <c r="C338" s="411"/>
      <c r="D338" s="484"/>
      <c r="E338" s="411"/>
      <c r="F338" s="411"/>
      <c r="G338" s="484"/>
      <c r="H338" s="411"/>
      <c r="I338" s="712"/>
      <c r="J338" s="411"/>
      <c r="K338" s="411"/>
      <c r="L338" s="411"/>
    </row>
    <row r="339" ht="12.75" customHeight="1">
      <c r="A339" s="411"/>
      <c r="B339" s="411"/>
      <c r="C339" s="411"/>
      <c r="D339" s="484"/>
      <c r="E339" s="411"/>
      <c r="F339" s="411"/>
      <c r="G339" s="484"/>
      <c r="H339" s="411"/>
      <c r="I339" s="712"/>
      <c r="J339" s="411"/>
      <c r="K339" s="411"/>
      <c r="L339" s="411"/>
    </row>
    <row r="340" ht="12.75" customHeight="1">
      <c r="A340" s="411"/>
      <c r="B340" s="411"/>
      <c r="C340" s="411"/>
      <c r="D340" s="484"/>
      <c r="E340" s="411"/>
      <c r="F340" s="411"/>
      <c r="G340" s="484"/>
      <c r="H340" s="411"/>
      <c r="I340" s="712"/>
      <c r="J340" s="411"/>
      <c r="K340" s="411"/>
      <c r="L340" s="411"/>
    </row>
    <row r="341" ht="12.75" customHeight="1">
      <c r="A341" s="411"/>
      <c r="B341" s="411"/>
      <c r="C341" s="411"/>
      <c r="D341" s="484"/>
      <c r="E341" s="411"/>
      <c r="F341" s="411"/>
      <c r="G341" s="484"/>
      <c r="H341" s="411"/>
      <c r="I341" s="712"/>
      <c r="J341" s="411"/>
      <c r="K341" s="411"/>
      <c r="L341" s="411"/>
    </row>
    <row r="342" ht="12.75" customHeight="1">
      <c r="A342" s="411"/>
      <c r="B342" s="411"/>
      <c r="C342" s="411"/>
      <c r="D342" s="484"/>
      <c r="E342" s="411"/>
      <c r="F342" s="411"/>
      <c r="G342" s="484"/>
      <c r="H342" s="411"/>
      <c r="I342" s="712"/>
      <c r="J342" s="411"/>
      <c r="K342" s="411"/>
      <c r="L342" s="411"/>
    </row>
    <row r="343" ht="12.75" customHeight="1">
      <c r="A343" s="411"/>
      <c r="B343" s="411"/>
      <c r="C343" s="411"/>
      <c r="D343" s="484"/>
      <c r="E343" s="411"/>
      <c r="F343" s="411"/>
      <c r="G343" s="484"/>
      <c r="H343" s="411"/>
      <c r="I343" s="712"/>
      <c r="J343" s="411"/>
      <c r="K343" s="411"/>
      <c r="L343" s="411"/>
    </row>
    <row r="344" ht="12.75" customHeight="1">
      <c r="A344" s="411"/>
      <c r="B344" s="411"/>
      <c r="C344" s="411"/>
      <c r="D344" s="484"/>
      <c r="E344" s="411"/>
      <c r="F344" s="411"/>
      <c r="G344" s="484"/>
      <c r="H344" s="411"/>
      <c r="I344" s="712"/>
      <c r="J344" s="411"/>
      <c r="K344" s="411"/>
      <c r="L344" s="411"/>
    </row>
    <row r="345" ht="12.75" customHeight="1">
      <c r="A345" s="411"/>
      <c r="B345" s="411"/>
      <c r="C345" s="411"/>
      <c r="D345" s="484"/>
      <c r="E345" s="411"/>
      <c r="F345" s="411"/>
      <c r="G345" s="484"/>
      <c r="H345" s="411"/>
      <c r="I345" s="712"/>
      <c r="J345" s="411"/>
      <c r="K345" s="411"/>
      <c r="L345" s="411"/>
    </row>
    <row r="346" ht="12.75" customHeight="1">
      <c r="A346" s="411"/>
      <c r="B346" s="411"/>
      <c r="C346" s="411"/>
      <c r="D346" s="484"/>
      <c r="E346" s="411"/>
      <c r="F346" s="411"/>
      <c r="G346" s="484"/>
      <c r="H346" s="411"/>
      <c r="I346" s="712"/>
      <c r="J346" s="411"/>
      <c r="K346" s="411"/>
      <c r="L346" s="411"/>
    </row>
    <row r="347" ht="12.75" customHeight="1">
      <c r="A347" s="411"/>
      <c r="B347" s="411"/>
      <c r="C347" s="411"/>
      <c r="D347" s="484"/>
      <c r="E347" s="411"/>
      <c r="F347" s="411"/>
      <c r="G347" s="484"/>
      <c r="H347" s="411"/>
      <c r="I347" s="712"/>
      <c r="J347" s="411"/>
      <c r="K347" s="411"/>
      <c r="L347" s="411"/>
    </row>
    <row r="348" ht="12.75" customHeight="1">
      <c r="A348" s="411"/>
      <c r="B348" s="411"/>
      <c r="C348" s="411"/>
      <c r="D348" s="484"/>
      <c r="E348" s="411"/>
      <c r="F348" s="411"/>
      <c r="G348" s="484"/>
      <c r="H348" s="411"/>
      <c r="I348" s="712"/>
      <c r="J348" s="411"/>
      <c r="K348" s="411"/>
      <c r="L348" s="411"/>
    </row>
    <row r="349" ht="12.75" customHeight="1">
      <c r="A349" s="411"/>
      <c r="B349" s="411"/>
      <c r="C349" s="411"/>
      <c r="D349" s="484"/>
      <c r="E349" s="411"/>
      <c r="F349" s="411"/>
      <c r="G349" s="484"/>
      <c r="H349" s="411"/>
      <c r="I349" s="712"/>
      <c r="J349" s="411"/>
      <c r="K349" s="411"/>
      <c r="L349" s="411"/>
    </row>
    <row r="350" ht="12.75" customHeight="1">
      <c r="A350" s="411"/>
      <c r="B350" s="411"/>
      <c r="C350" s="411"/>
      <c r="D350" s="484"/>
      <c r="E350" s="411"/>
      <c r="F350" s="411"/>
      <c r="G350" s="484"/>
      <c r="H350" s="411"/>
      <c r="I350" s="712"/>
      <c r="J350" s="411"/>
      <c r="K350" s="411"/>
      <c r="L350" s="411"/>
    </row>
    <row r="351" ht="12.75" customHeight="1">
      <c r="A351" s="411"/>
      <c r="B351" s="411"/>
      <c r="C351" s="411"/>
      <c r="D351" s="484"/>
      <c r="E351" s="411"/>
      <c r="F351" s="411"/>
      <c r="G351" s="484"/>
      <c r="H351" s="411"/>
      <c r="I351" s="712"/>
      <c r="J351" s="411"/>
      <c r="K351" s="411"/>
      <c r="L351" s="411"/>
    </row>
    <row r="352" ht="12.75" customHeight="1">
      <c r="A352" s="411"/>
      <c r="B352" s="411"/>
      <c r="C352" s="411"/>
      <c r="D352" s="484"/>
      <c r="E352" s="411"/>
      <c r="F352" s="411"/>
      <c r="G352" s="484"/>
      <c r="H352" s="411"/>
      <c r="I352" s="712"/>
      <c r="J352" s="411"/>
      <c r="K352" s="411"/>
      <c r="L352" s="411"/>
    </row>
    <row r="353" ht="12.75" customHeight="1">
      <c r="A353" s="411"/>
      <c r="B353" s="411"/>
      <c r="C353" s="411"/>
      <c r="D353" s="484"/>
      <c r="E353" s="411"/>
      <c r="F353" s="411"/>
      <c r="G353" s="484"/>
      <c r="H353" s="411"/>
      <c r="I353" s="712"/>
      <c r="J353" s="411"/>
      <c r="K353" s="411"/>
      <c r="L353" s="411"/>
    </row>
    <row r="354" ht="12.75" customHeight="1">
      <c r="A354" s="411"/>
      <c r="B354" s="411"/>
      <c r="C354" s="411"/>
      <c r="D354" s="484"/>
      <c r="E354" s="411"/>
      <c r="F354" s="411"/>
      <c r="G354" s="484"/>
      <c r="H354" s="411"/>
      <c r="I354" s="712"/>
      <c r="J354" s="411"/>
      <c r="K354" s="411"/>
      <c r="L354" s="411"/>
    </row>
    <row r="355" ht="12.75" customHeight="1">
      <c r="A355" s="411"/>
      <c r="B355" s="411"/>
      <c r="C355" s="411"/>
      <c r="D355" s="484"/>
      <c r="E355" s="411"/>
      <c r="F355" s="411"/>
      <c r="G355" s="484"/>
      <c r="H355" s="411"/>
      <c r="I355" s="712"/>
      <c r="J355" s="411"/>
      <c r="K355" s="411"/>
      <c r="L355" s="411"/>
    </row>
    <row r="356" ht="12.75" customHeight="1">
      <c r="A356" s="411"/>
      <c r="B356" s="411"/>
      <c r="C356" s="411"/>
      <c r="D356" s="484"/>
      <c r="E356" s="411"/>
      <c r="F356" s="411"/>
      <c r="G356" s="484"/>
      <c r="H356" s="411"/>
      <c r="I356" s="712"/>
      <c r="J356" s="411"/>
      <c r="K356" s="411"/>
      <c r="L356" s="411"/>
    </row>
    <row r="357" ht="12.75" customHeight="1">
      <c r="A357" s="411"/>
      <c r="B357" s="411"/>
      <c r="C357" s="411"/>
      <c r="D357" s="484"/>
      <c r="E357" s="411"/>
      <c r="F357" s="411"/>
      <c r="G357" s="484"/>
      <c r="H357" s="411"/>
      <c r="I357" s="712"/>
      <c r="J357" s="411"/>
      <c r="K357" s="411"/>
      <c r="L357" s="411"/>
    </row>
    <row r="358" ht="12.75" customHeight="1">
      <c r="A358" s="411"/>
      <c r="B358" s="411"/>
      <c r="C358" s="411"/>
      <c r="D358" s="484"/>
      <c r="E358" s="411"/>
      <c r="F358" s="411"/>
      <c r="G358" s="484"/>
      <c r="H358" s="411"/>
      <c r="I358" s="712"/>
      <c r="J358" s="411"/>
      <c r="K358" s="411"/>
      <c r="L358" s="411"/>
    </row>
    <row r="359" ht="12.75" customHeight="1">
      <c r="A359" s="411"/>
      <c r="B359" s="411"/>
      <c r="C359" s="411"/>
      <c r="D359" s="484"/>
      <c r="E359" s="411"/>
      <c r="F359" s="411"/>
      <c r="G359" s="484"/>
      <c r="H359" s="411"/>
      <c r="I359" s="712"/>
      <c r="J359" s="411"/>
      <c r="K359" s="411"/>
      <c r="L359" s="411"/>
    </row>
    <row r="360" ht="12.75" customHeight="1">
      <c r="A360" s="411"/>
      <c r="B360" s="411"/>
      <c r="C360" s="411"/>
      <c r="D360" s="484"/>
      <c r="E360" s="411"/>
      <c r="F360" s="411"/>
      <c r="G360" s="484"/>
      <c r="H360" s="411"/>
      <c r="I360" s="712"/>
      <c r="J360" s="411"/>
      <c r="K360" s="411"/>
      <c r="L360" s="411"/>
    </row>
    <row r="361" ht="12.75" customHeight="1">
      <c r="A361" s="411"/>
      <c r="B361" s="411"/>
      <c r="C361" s="411"/>
      <c r="D361" s="484"/>
      <c r="E361" s="411"/>
      <c r="F361" s="411"/>
      <c r="G361" s="484"/>
      <c r="H361" s="411"/>
      <c r="I361" s="712"/>
      <c r="J361" s="411"/>
      <c r="K361" s="411"/>
      <c r="L361" s="411"/>
    </row>
    <row r="362" ht="12.75" customHeight="1">
      <c r="A362" s="411"/>
      <c r="B362" s="411"/>
      <c r="C362" s="411"/>
      <c r="D362" s="484"/>
      <c r="E362" s="411"/>
      <c r="F362" s="411"/>
      <c r="G362" s="484"/>
      <c r="H362" s="411"/>
      <c r="I362" s="712"/>
      <c r="J362" s="411"/>
      <c r="K362" s="411"/>
      <c r="L362" s="411"/>
    </row>
    <row r="363" ht="12.75" customHeight="1">
      <c r="A363" s="411"/>
      <c r="B363" s="411"/>
      <c r="C363" s="411"/>
      <c r="D363" s="484"/>
      <c r="E363" s="411"/>
      <c r="F363" s="411"/>
      <c r="G363" s="484"/>
      <c r="H363" s="411"/>
      <c r="I363" s="712"/>
      <c r="J363" s="411"/>
      <c r="K363" s="411"/>
      <c r="L363" s="411"/>
    </row>
    <row r="364" ht="12.75" customHeight="1">
      <c r="A364" s="411"/>
      <c r="B364" s="411"/>
      <c r="C364" s="411"/>
      <c r="D364" s="484"/>
      <c r="E364" s="411"/>
      <c r="F364" s="411"/>
      <c r="G364" s="484"/>
      <c r="H364" s="411"/>
      <c r="I364" s="712"/>
      <c r="J364" s="411"/>
      <c r="K364" s="411"/>
      <c r="L364" s="411"/>
    </row>
    <row r="365" ht="12.75" customHeight="1">
      <c r="A365" s="411"/>
      <c r="B365" s="411"/>
      <c r="C365" s="411"/>
      <c r="D365" s="484"/>
      <c r="E365" s="411"/>
      <c r="F365" s="411"/>
      <c r="G365" s="484"/>
      <c r="H365" s="411"/>
      <c r="I365" s="712"/>
      <c r="J365" s="411"/>
      <c r="K365" s="411"/>
      <c r="L365" s="411"/>
    </row>
    <row r="366" ht="12.75" customHeight="1">
      <c r="A366" s="411"/>
      <c r="B366" s="411"/>
      <c r="C366" s="411"/>
      <c r="D366" s="484"/>
      <c r="E366" s="411"/>
      <c r="F366" s="411"/>
      <c r="G366" s="484"/>
      <c r="H366" s="411"/>
      <c r="I366" s="712"/>
      <c r="J366" s="411"/>
      <c r="K366" s="411"/>
      <c r="L366" s="411"/>
    </row>
    <row r="367" ht="12.75" customHeight="1">
      <c r="A367" s="411"/>
      <c r="B367" s="411"/>
      <c r="C367" s="411"/>
      <c r="D367" s="484"/>
      <c r="E367" s="411"/>
      <c r="F367" s="411"/>
      <c r="G367" s="484"/>
      <c r="H367" s="411"/>
      <c r="I367" s="712"/>
      <c r="J367" s="411"/>
      <c r="K367" s="411"/>
      <c r="L367" s="411"/>
    </row>
    <row r="368" ht="12.75" customHeight="1">
      <c r="A368" s="411"/>
      <c r="B368" s="411"/>
      <c r="C368" s="411"/>
      <c r="D368" s="484"/>
      <c r="E368" s="411"/>
      <c r="F368" s="411"/>
      <c r="G368" s="484"/>
      <c r="H368" s="411"/>
      <c r="I368" s="712"/>
      <c r="J368" s="411"/>
      <c r="K368" s="411"/>
      <c r="L368" s="411"/>
    </row>
    <row r="369" ht="12.75" customHeight="1">
      <c r="A369" s="411"/>
      <c r="B369" s="411"/>
      <c r="C369" s="411"/>
      <c r="D369" s="484"/>
      <c r="E369" s="411"/>
      <c r="F369" s="411"/>
      <c r="G369" s="484"/>
      <c r="H369" s="411"/>
      <c r="I369" s="712"/>
      <c r="J369" s="411"/>
      <c r="K369" s="411"/>
      <c r="L369" s="411"/>
    </row>
    <row r="370" ht="12.75" customHeight="1">
      <c r="A370" s="411"/>
      <c r="B370" s="411"/>
      <c r="C370" s="411"/>
      <c r="D370" s="484"/>
      <c r="E370" s="411"/>
      <c r="F370" s="411"/>
      <c r="G370" s="484"/>
      <c r="H370" s="411"/>
      <c r="I370" s="712"/>
      <c r="J370" s="411"/>
      <c r="K370" s="411"/>
      <c r="L370" s="411"/>
    </row>
    <row r="371" ht="12.75" customHeight="1">
      <c r="A371" s="411"/>
      <c r="B371" s="411"/>
      <c r="C371" s="411"/>
      <c r="D371" s="484"/>
      <c r="E371" s="411"/>
      <c r="F371" s="411"/>
      <c r="G371" s="484"/>
      <c r="H371" s="411"/>
      <c r="I371" s="712"/>
      <c r="J371" s="411"/>
      <c r="K371" s="411"/>
      <c r="L371" s="411"/>
    </row>
    <row r="372" ht="12.75" customHeight="1">
      <c r="A372" s="411"/>
      <c r="B372" s="411"/>
      <c r="C372" s="411"/>
      <c r="D372" s="484"/>
      <c r="E372" s="411"/>
      <c r="F372" s="411"/>
      <c r="G372" s="484"/>
      <c r="H372" s="411"/>
      <c r="I372" s="712"/>
      <c r="J372" s="411"/>
      <c r="K372" s="411"/>
      <c r="L372" s="411"/>
    </row>
    <row r="373" ht="12.75" customHeight="1">
      <c r="A373" s="411"/>
      <c r="B373" s="411"/>
      <c r="C373" s="411"/>
      <c r="D373" s="484"/>
      <c r="E373" s="411"/>
      <c r="F373" s="411"/>
      <c r="G373" s="484"/>
      <c r="H373" s="411"/>
      <c r="I373" s="712"/>
      <c r="J373" s="411"/>
      <c r="K373" s="411"/>
      <c r="L373" s="411"/>
    </row>
    <row r="374" ht="12.75" customHeight="1">
      <c r="A374" s="411"/>
      <c r="B374" s="411"/>
      <c r="C374" s="411"/>
      <c r="D374" s="484"/>
      <c r="E374" s="411"/>
      <c r="F374" s="411"/>
      <c r="G374" s="484"/>
      <c r="H374" s="411"/>
      <c r="I374" s="712"/>
      <c r="J374" s="411"/>
      <c r="K374" s="411"/>
      <c r="L374" s="411"/>
    </row>
    <row r="375" ht="12.75" customHeight="1">
      <c r="A375" s="411"/>
      <c r="B375" s="411"/>
      <c r="C375" s="411"/>
      <c r="D375" s="484"/>
      <c r="E375" s="411"/>
      <c r="F375" s="411"/>
      <c r="G375" s="484"/>
      <c r="H375" s="411"/>
      <c r="I375" s="712"/>
      <c r="J375" s="411"/>
      <c r="K375" s="411"/>
      <c r="L375" s="411"/>
    </row>
    <row r="376" ht="12.75" customHeight="1">
      <c r="A376" s="411"/>
      <c r="B376" s="411"/>
      <c r="C376" s="411"/>
      <c r="D376" s="484"/>
      <c r="E376" s="411"/>
      <c r="F376" s="411"/>
      <c r="G376" s="484"/>
      <c r="H376" s="411"/>
      <c r="I376" s="712"/>
      <c r="J376" s="411"/>
      <c r="K376" s="411"/>
      <c r="L376" s="411"/>
    </row>
    <row r="377" ht="12.75" customHeight="1">
      <c r="A377" s="411"/>
      <c r="B377" s="411"/>
      <c r="C377" s="411"/>
      <c r="D377" s="484"/>
      <c r="E377" s="411"/>
      <c r="F377" s="411"/>
      <c r="G377" s="484"/>
      <c r="H377" s="411"/>
      <c r="I377" s="712"/>
      <c r="J377" s="411"/>
      <c r="K377" s="411"/>
      <c r="L377" s="411"/>
    </row>
    <row r="378" ht="12.75" customHeight="1">
      <c r="A378" s="411"/>
      <c r="B378" s="411"/>
      <c r="C378" s="411"/>
      <c r="D378" s="484"/>
      <c r="E378" s="411"/>
      <c r="F378" s="411"/>
      <c r="G378" s="484"/>
      <c r="H378" s="411"/>
      <c r="I378" s="712"/>
      <c r="J378" s="411"/>
      <c r="K378" s="411"/>
      <c r="L378" s="411"/>
    </row>
    <row r="379" ht="12.75" customHeight="1">
      <c r="A379" s="411"/>
      <c r="B379" s="411"/>
      <c r="C379" s="411"/>
      <c r="D379" s="484"/>
      <c r="E379" s="411"/>
      <c r="F379" s="411"/>
      <c r="G379" s="484"/>
      <c r="H379" s="411"/>
      <c r="I379" s="712"/>
      <c r="J379" s="411"/>
      <c r="K379" s="411"/>
      <c r="L379" s="411"/>
    </row>
    <row r="380" ht="12.75" customHeight="1">
      <c r="A380" s="411"/>
      <c r="B380" s="411"/>
      <c r="C380" s="411"/>
      <c r="D380" s="484"/>
      <c r="E380" s="411"/>
      <c r="F380" s="411"/>
      <c r="G380" s="484"/>
      <c r="H380" s="411"/>
      <c r="I380" s="712"/>
      <c r="J380" s="411"/>
      <c r="K380" s="411"/>
      <c r="L380" s="411"/>
    </row>
    <row r="381" ht="12.75" customHeight="1">
      <c r="A381" s="411"/>
      <c r="B381" s="411"/>
      <c r="C381" s="411"/>
      <c r="D381" s="484"/>
      <c r="E381" s="411"/>
      <c r="F381" s="411"/>
      <c r="G381" s="484"/>
      <c r="H381" s="411"/>
      <c r="I381" s="712"/>
      <c r="J381" s="411"/>
      <c r="K381" s="411"/>
      <c r="L381" s="411"/>
    </row>
    <row r="382" ht="12.75" customHeight="1">
      <c r="A382" s="411"/>
      <c r="B382" s="411"/>
      <c r="C382" s="411"/>
      <c r="D382" s="484"/>
      <c r="E382" s="411"/>
      <c r="F382" s="411"/>
      <c r="G382" s="484"/>
      <c r="H382" s="411"/>
      <c r="I382" s="712"/>
      <c r="J382" s="411"/>
      <c r="K382" s="411"/>
      <c r="L382" s="411"/>
    </row>
    <row r="383" ht="12.75" customHeight="1">
      <c r="A383" s="411"/>
      <c r="B383" s="411"/>
      <c r="C383" s="411"/>
      <c r="D383" s="484"/>
      <c r="E383" s="411"/>
      <c r="F383" s="411"/>
      <c r="G383" s="484"/>
      <c r="H383" s="411"/>
      <c r="I383" s="712"/>
      <c r="J383" s="411"/>
      <c r="K383" s="411"/>
      <c r="L383" s="411"/>
    </row>
    <row r="384" ht="12.75" customHeight="1">
      <c r="A384" s="411"/>
      <c r="B384" s="411"/>
      <c r="C384" s="411"/>
      <c r="D384" s="484"/>
      <c r="E384" s="411"/>
      <c r="F384" s="411"/>
      <c r="G384" s="484"/>
      <c r="H384" s="411"/>
      <c r="I384" s="712"/>
      <c r="J384" s="411"/>
      <c r="K384" s="411"/>
      <c r="L384" s="411"/>
    </row>
    <row r="385" ht="12.75" customHeight="1">
      <c r="A385" s="411"/>
      <c r="B385" s="411"/>
      <c r="C385" s="411"/>
      <c r="D385" s="484"/>
      <c r="E385" s="411"/>
      <c r="F385" s="411"/>
      <c r="G385" s="484"/>
      <c r="H385" s="411"/>
      <c r="I385" s="712"/>
      <c r="J385" s="411"/>
      <c r="K385" s="411"/>
      <c r="L385" s="411"/>
    </row>
    <row r="386" ht="12.75" customHeight="1">
      <c r="A386" s="411"/>
      <c r="B386" s="411"/>
      <c r="C386" s="411"/>
      <c r="D386" s="484"/>
      <c r="E386" s="411"/>
      <c r="F386" s="411"/>
      <c r="G386" s="484"/>
      <c r="H386" s="411"/>
      <c r="I386" s="712"/>
      <c r="J386" s="411"/>
      <c r="K386" s="411"/>
      <c r="L386" s="411"/>
    </row>
    <row r="387" ht="12.75" customHeight="1">
      <c r="A387" s="411"/>
      <c r="B387" s="411"/>
      <c r="C387" s="411"/>
      <c r="D387" s="484"/>
      <c r="E387" s="411"/>
      <c r="F387" s="411"/>
      <c r="G387" s="484"/>
      <c r="H387" s="411"/>
      <c r="I387" s="712"/>
      <c r="J387" s="411"/>
      <c r="K387" s="411"/>
      <c r="L387" s="411"/>
    </row>
    <row r="388" ht="12.75" customHeight="1">
      <c r="A388" s="411"/>
      <c r="B388" s="411"/>
      <c r="C388" s="411"/>
      <c r="D388" s="484"/>
      <c r="E388" s="411"/>
      <c r="F388" s="411"/>
      <c r="G388" s="484"/>
      <c r="H388" s="411"/>
      <c r="I388" s="712"/>
      <c r="J388" s="411"/>
      <c r="K388" s="411"/>
      <c r="L388" s="411"/>
    </row>
    <row r="389" ht="12.75" customHeight="1">
      <c r="A389" s="411"/>
      <c r="B389" s="411"/>
      <c r="C389" s="411"/>
      <c r="D389" s="484"/>
      <c r="E389" s="411"/>
      <c r="F389" s="411"/>
      <c r="G389" s="484"/>
      <c r="H389" s="411"/>
      <c r="I389" s="712"/>
      <c r="J389" s="411"/>
      <c r="K389" s="411"/>
      <c r="L389" s="411"/>
    </row>
    <row r="390" ht="12.75" customHeight="1">
      <c r="A390" s="411"/>
      <c r="B390" s="411"/>
      <c r="C390" s="411"/>
      <c r="D390" s="484"/>
      <c r="E390" s="411"/>
      <c r="F390" s="411"/>
      <c r="G390" s="484"/>
      <c r="H390" s="411"/>
      <c r="I390" s="712"/>
      <c r="J390" s="411"/>
      <c r="K390" s="411"/>
      <c r="L390" s="411"/>
    </row>
    <row r="391" ht="12.75" customHeight="1">
      <c r="A391" s="411"/>
      <c r="B391" s="411"/>
      <c r="C391" s="411"/>
      <c r="D391" s="484"/>
      <c r="E391" s="411"/>
      <c r="F391" s="411"/>
      <c r="G391" s="484"/>
      <c r="H391" s="411"/>
      <c r="I391" s="712"/>
      <c r="J391" s="411"/>
      <c r="K391" s="411"/>
      <c r="L391" s="411"/>
    </row>
    <row r="392" ht="12.75" customHeight="1">
      <c r="A392" s="411"/>
      <c r="B392" s="411"/>
      <c r="C392" s="411"/>
      <c r="D392" s="484"/>
      <c r="E392" s="411"/>
      <c r="F392" s="411"/>
      <c r="G392" s="484"/>
      <c r="H392" s="411"/>
      <c r="I392" s="712"/>
      <c r="J392" s="411"/>
      <c r="K392" s="411"/>
      <c r="L392" s="411"/>
    </row>
    <row r="393" ht="12.75" customHeight="1">
      <c r="A393" s="411"/>
      <c r="B393" s="411"/>
      <c r="C393" s="411"/>
      <c r="D393" s="484"/>
      <c r="E393" s="411"/>
      <c r="F393" s="411"/>
      <c r="G393" s="484"/>
      <c r="H393" s="411"/>
      <c r="I393" s="712"/>
      <c r="J393" s="411"/>
      <c r="K393" s="411"/>
      <c r="L393" s="411"/>
    </row>
    <row r="394" ht="12.75" customHeight="1">
      <c r="A394" s="411"/>
      <c r="B394" s="411"/>
      <c r="C394" s="411"/>
      <c r="D394" s="484"/>
      <c r="E394" s="411"/>
      <c r="F394" s="411"/>
      <c r="G394" s="484"/>
      <c r="H394" s="411"/>
      <c r="I394" s="712"/>
      <c r="J394" s="411"/>
      <c r="K394" s="411"/>
      <c r="L394" s="411"/>
    </row>
    <row r="395" ht="12.75" customHeight="1">
      <c r="A395" s="411"/>
      <c r="B395" s="411"/>
      <c r="C395" s="411"/>
      <c r="D395" s="484"/>
      <c r="E395" s="411"/>
      <c r="F395" s="411"/>
      <c r="G395" s="484"/>
      <c r="H395" s="411"/>
      <c r="I395" s="712"/>
      <c r="J395" s="411"/>
      <c r="K395" s="411"/>
      <c r="L395" s="411"/>
    </row>
    <row r="396" ht="12.75" customHeight="1">
      <c r="A396" s="411"/>
      <c r="B396" s="411"/>
      <c r="C396" s="411"/>
      <c r="D396" s="484"/>
      <c r="E396" s="411"/>
      <c r="F396" s="411"/>
      <c r="G396" s="484"/>
      <c r="H396" s="411"/>
      <c r="I396" s="712"/>
      <c r="J396" s="411"/>
      <c r="K396" s="411"/>
      <c r="L396" s="411"/>
    </row>
    <row r="397" ht="12.75" customHeight="1">
      <c r="A397" s="411"/>
      <c r="B397" s="411"/>
      <c r="C397" s="411"/>
      <c r="D397" s="484"/>
      <c r="E397" s="411"/>
      <c r="F397" s="411"/>
      <c r="G397" s="484"/>
      <c r="H397" s="411"/>
      <c r="I397" s="712"/>
      <c r="J397" s="411"/>
      <c r="K397" s="411"/>
      <c r="L397" s="411"/>
    </row>
    <row r="398" ht="12.75" customHeight="1">
      <c r="A398" s="411"/>
      <c r="B398" s="411"/>
      <c r="C398" s="411"/>
      <c r="D398" s="484"/>
      <c r="E398" s="411"/>
      <c r="F398" s="411"/>
      <c r="G398" s="484"/>
      <c r="H398" s="411"/>
      <c r="I398" s="712"/>
      <c r="J398" s="411"/>
      <c r="K398" s="411"/>
      <c r="L398" s="411"/>
    </row>
    <row r="399" ht="12.75" customHeight="1">
      <c r="A399" s="411"/>
      <c r="B399" s="411"/>
      <c r="C399" s="411"/>
      <c r="D399" s="484"/>
      <c r="E399" s="411"/>
      <c r="F399" s="411"/>
      <c r="G399" s="484"/>
      <c r="H399" s="411"/>
      <c r="I399" s="712"/>
      <c r="J399" s="411"/>
      <c r="K399" s="411"/>
      <c r="L399" s="411"/>
    </row>
    <row r="400" ht="12.75" customHeight="1">
      <c r="A400" s="411"/>
      <c r="B400" s="411"/>
      <c r="C400" s="411"/>
      <c r="D400" s="484"/>
      <c r="E400" s="411"/>
      <c r="F400" s="411"/>
      <c r="G400" s="484"/>
      <c r="H400" s="411"/>
      <c r="I400" s="712"/>
      <c r="J400" s="411"/>
      <c r="K400" s="411"/>
      <c r="L400" s="411"/>
    </row>
    <row r="401" ht="12.75" customHeight="1">
      <c r="A401" s="411"/>
      <c r="B401" s="411"/>
      <c r="C401" s="411"/>
      <c r="D401" s="484"/>
      <c r="E401" s="411"/>
      <c r="F401" s="411"/>
      <c r="G401" s="484"/>
      <c r="H401" s="411"/>
      <c r="I401" s="712"/>
      <c r="J401" s="411"/>
      <c r="K401" s="411"/>
      <c r="L401" s="411"/>
    </row>
    <row r="402" ht="12.75" customHeight="1">
      <c r="A402" s="411"/>
      <c r="B402" s="411"/>
      <c r="C402" s="411"/>
      <c r="D402" s="484"/>
      <c r="E402" s="411"/>
      <c r="F402" s="411"/>
      <c r="G402" s="484"/>
      <c r="H402" s="411"/>
      <c r="I402" s="712"/>
      <c r="J402" s="411"/>
      <c r="K402" s="411"/>
      <c r="L402" s="411"/>
    </row>
    <row r="403" ht="12.75" customHeight="1">
      <c r="A403" s="411"/>
      <c r="B403" s="411"/>
      <c r="C403" s="411"/>
      <c r="D403" s="484"/>
      <c r="E403" s="411"/>
      <c r="F403" s="411"/>
      <c r="G403" s="484"/>
      <c r="H403" s="411"/>
      <c r="I403" s="712"/>
      <c r="J403" s="411"/>
      <c r="K403" s="411"/>
      <c r="L403" s="411"/>
    </row>
    <row r="404" ht="12.75" customHeight="1">
      <c r="A404" s="411"/>
      <c r="B404" s="411"/>
      <c r="C404" s="411"/>
      <c r="D404" s="484"/>
      <c r="E404" s="411"/>
      <c r="F404" s="411"/>
      <c r="G404" s="484"/>
      <c r="H404" s="411"/>
      <c r="I404" s="712"/>
      <c r="J404" s="411"/>
      <c r="K404" s="411"/>
      <c r="L404" s="411"/>
    </row>
    <row r="405" ht="12.75" customHeight="1">
      <c r="A405" s="411"/>
      <c r="B405" s="411"/>
      <c r="C405" s="411"/>
      <c r="D405" s="484"/>
      <c r="E405" s="411"/>
      <c r="F405" s="411"/>
      <c r="G405" s="484"/>
      <c r="H405" s="411"/>
      <c r="I405" s="712"/>
      <c r="J405" s="411"/>
      <c r="K405" s="411"/>
      <c r="L405" s="411"/>
    </row>
    <row r="406" ht="12.75" customHeight="1">
      <c r="A406" s="411"/>
      <c r="B406" s="411"/>
      <c r="C406" s="411"/>
      <c r="D406" s="484"/>
      <c r="E406" s="411"/>
      <c r="F406" s="411"/>
      <c r="G406" s="484"/>
      <c r="H406" s="411"/>
      <c r="I406" s="712"/>
      <c r="J406" s="411"/>
      <c r="K406" s="411"/>
      <c r="L406" s="411"/>
    </row>
    <row r="407" ht="12.75" customHeight="1">
      <c r="A407" s="411"/>
      <c r="B407" s="411"/>
      <c r="C407" s="411"/>
      <c r="D407" s="484"/>
      <c r="E407" s="411"/>
      <c r="F407" s="411"/>
      <c r="G407" s="484"/>
      <c r="H407" s="411"/>
      <c r="I407" s="712"/>
      <c r="J407" s="411"/>
      <c r="K407" s="411"/>
      <c r="L407" s="411"/>
    </row>
    <row r="408" ht="12.75" customHeight="1">
      <c r="A408" s="411"/>
      <c r="B408" s="411"/>
      <c r="C408" s="411"/>
      <c r="D408" s="484"/>
      <c r="E408" s="411"/>
      <c r="F408" s="411"/>
      <c r="G408" s="484"/>
      <c r="H408" s="411"/>
      <c r="I408" s="712"/>
      <c r="J408" s="411"/>
      <c r="K408" s="411"/>
      <c r="L408" s="411"/>
    </row>
    <row r="409" ht="12.75" customHeight="1">
      <c r="A409" s="411"/>
      <c r="B409" s="411"/>
      <c r="C409" s="411"/>
      <c r="D409" s="484"/>
      <c r="E409" s="411"/>
      <c r="F409" s="411"/>
      <c r="G409" s="484"/>
      <c r="H409" s="411"/>
      <c r="I409" s="712"/>
      <c r="J409" s="411"/>
      <c r="K409" s="411"/>
      <c r="L409" s="411"/>
    </row>
    <row r="410" ht="12.75" customHeight="1">
      <c r="A410" s="411"/>
      <c r="B410" s="411"/>
      <c r="C410" s="411"/>
      <c r="D410" s="484"/>
      <c r="E410" s="411"/>
      <c r="F410" s="411"/>
      <c r="G410" s="484"/>
      <c r="H410" s="411"/>
      <c r="I410" s="712"/>
      <c r="J410" s="411"/>
      <c r="K410" s="411"/>
      <c r="L410" s="411"/>
    </row>
    <row r="411" ht="12.75" customHeight="1">
      <c r="A411" s="411"/>
      <c r="B411" s="411"/>
      <c r="C411" s="411"/>
      <c r="D411" s="484"/>
      <c r="E411" s="411"/>
      <c r="F411" s="411"/>
      <c r="G411" s="484"/>
      <c r="H411" s="411"/>
      <c r="I411" s="712"/>
      <c r="J411" s="411"/>
      <c r="K411" s="411"/>
      <c r="L411" s="411"/>
    </row>
    <row r="412" ht="12.75" customHeight="1">
      <c r="A412" s="411"/>
      <c r="B412" s="411"/>
      <c r="C412" s="411"/>
      <c r="D412" s="484"/>
      <c r="E412" s="411"/>
      <c r="F412" s="411"/>
      <c r="G412" s="484"/>
      <c r="H412" s="411"/>
      <c r="I412" s="712"/>
      <c r="J412" s="411"/>
      <c r="K412" s="411"/>
      <c r="L412" s="411"/>
    </row>
    <row r="413" ht="12.75" customHeight="1">
      <c r="A413" s="411"/>
      <c r="B413" s="411"/>
      <c r="C413" s="411"/>
      <c r="D413" s="484"/>
      <c r="E413" s="411"/>
      <c r="F413" s="411"/>
      <c r="G413" s="484"/>
      <c r="H413" s="411"/>
      <c r="I413" s="712"/>
      <c r="J413" s="411"/>
      <c r="K413" s="411"/>
      <c r="L413" s="411"/>
    </row>
    <row r="414" ht="12.75" customHeight="1">
      <c r="A414" s="411"/>
      <c r="B414" s="411"/>
      <c r="C414" s="411"/>
      <c r="D414" s="484"/>
      <c r="E414" s="411"/>
      <c r="F414" s="411"/>
      <c r="G414" s="484"/>
      <c r="H414" s="411"/>
      <c r="I414" s="712"/>
      <c r="J414" s="411"/>
      <c r="K414" s="411"/>
      <c r="L414" s="411"/>
    </row>
    <row r="415" ht="12.75" customHeight="1">
      <c r="A415" s="411"/>
      <c r="B415" s="411"/>
      <c r="C415" s="411"/>
      <c r="D415" s="484"/>
      <c r="E415" s="411"/>
      <c r="F415" s="411"/>
      <c r="G415" s="484"/>
      <c r="H415" s="411"/>
      <c r="I415" s="712"/>
      <c r="J415" s="411"/>
      <c r="K415" s="411"/>
      <c r="L415" s="411"/>
    </row>
    <row r="416" ht="12.75" customHeight="1">
      <c r="A416" s="411"/>
      <c r="B416" s="411"/>
      <c r="C416" s="411"/>
      <c r="D416" s="484"/>
      <c r="E416" s="411"/>
      <c r="F416" s="411"/>
      <c r="G416" s="484"/>
      <c r="H416" s="411"/>
      <c r="I416" s="712"/>
      <c r="J416" s="411"/>
      <c r="K416" s="411"/>
      <c r="L416" s="411"/>
    </row>
    <row r="417" ht="12.75" customHeight="1">
      <c r="A417" s="411"/>
      <c r="B417" s="411"/>
      <c r="C417" s="411"/>
      <c r="D417" s="484"/>
      <c r="E417" s="411"/>
      <c r="F417" s="411"/>
      <c r="G417" s="484"/>
      <c r="H417" s="411"/>
      <c r="I417" s="712"/>
      <c r="J417" s="411"/>
      <c r="K417" s="411"/>
      <c r="L417" s="411"/>
    </row>
    <row r="418" ht="12.75" customHeight="1">
      <c r="A418" s="411"/>
      <c r="B418" s="411"/>
      <c r="C418" s="411"/>
      <c r="D418" s="484"/>
      <c r="E418" s="411"/>
      <c r="F418" s="411"/>
      <c r="G418" s="484"/>
      <c r="H418" s="411"/>
      <c r="I418" s="712"/>
      <c r="J418" s="411"/>
      <c r="K418" s="411"/>
      <c r="L418" s="411"/>
    </row>
    <row r="419" ht="12.75" customHeight="1">
      <c r="A419" s="411"/>
      <c r="B419" s="411"/>
      <c r="C419" s="411"/>
      <c r="D419" s="484"/>
      <c r="E419" s="411"/>
      <c r="F419" s="411"/>
      <c r="G419" s="484"/>
      <c r="H419" s="411"/>
      <c r="I419" s="712"/>
      <c r="J419" s="411"/>
      <c r="K419" s="411"/>
      <c r="L419" s="411"/>
    </row>
    <row r="420" ht="12.75" customHeight="1">
      <c r="A420" s="411"/>
      <c r="B420" s="411"/>
      <c r="C420" s="411"/>
      <c r="D420" s="484"/>
      <c r="E420" s="411"/>
      <c r="F420" s="411"/>
      <c r="G420" s="484"/>
      <c r="H420" s="411"/>
      <c r="I420" s="712"/>
      <c r="J420" s="411"/>
      <c r="K420" s="411"/>
      <c r="L420" s="411"/>
    </row>
    <row r="421" ht="12.75" customHeight="1">
      <c r="A421" s="411"/>
      <c r="B421" s="411"/>
      <c r="C421" s="411"/>
      <c r="D421" s="484"/>
      <c r="E421" s="411"/>
      <c r="F421" s="411"/>
      <c r="G421" s="484"/>
      <c r="H421" s="411"/>
      <c r="I421" s="712"/>
      <c r="J421" s="411"/>
      <c r="K421" s="411"/>
      <c r="L421" s="411"/>
    </row>
    <row r="422" ht="12.75" customHeight="1">
      <c r="A422" s="411"/>
      <c r="B422" s="411"/>
      <c r="C422" s="411"/>
      <c r="D422" s="484"/>
      <c r="E422" s="411"/>
      <c r="F422" s="411"/>
      <c r="G422" s="484"/>
      <c r="H422" s="411"/>
      <c r="I422" s="712"/>
      <c r="J422" s="411"/>
      <c r="K422" s="411"/>
      <c r="L422" s="411"/>
    </row>
    <row r="423" ht="12.75" customHeight="1">
      <c r="A423" s="411"/>
      <c r="B423" s="411"/>
      <c r="C423" s="411"/>
      <c r="D423" s="484"/>
      <c r="E423" s="411"/>
      <c r="F423" s="411"/>
      <c r="G423" s="484"/>
      <c r="H423" s="411"/>
      <c r="I423" s="712"/>
      <c r="J423" s="411"/>
      <c r="K423" s="411"/>
      <c r="L423" s="411"/>
    </row>
    <row r="424" ht="12.75" customHeight="1">
      <c r="A424" s="411"/>
      <c r="B424" s="411"/>
      <c r="C424" s="411"/>
      <c r="D424" s="484"/>
      <c r="E424" s="411"/>
      <c r="F424" s="411"/>
      <c r="G424" s="484"/>
      <c r="H424" s="411"/>
      <c r="I424" s="712"/>
      <c r="J424" s="411"/>
      <c r="K424" s="411"/>
      <c r="L424" s="411"/>
    </row>
    <row r="425" ht="12.75" customHeight="1">
      <c r="A425" s="411"/>
      <c r="B425" s="411"/>
      <c r="C425" s="411"/>
      <c r="D425" s="484"/>
      <c r="E425" s="411"/>
      <c r="F425" s="411"/>
      <c r="G425" s="484"/>
      <c r="H425" s="411"/>
      <c r="I425" s="712"/>
      <c r="J425" s="411"/>
      <c r="K425" s="411"/>
      <c r="L425" s="411"/>
    </row>
    <row r="426" ht="12.75" customHeight="1">
      <c r="A426" s="411"/>
      <c r="B426" s="411"/>
      <c r="C426" s="411"/>
      <c r="D426" s="484"/>
      <c r="E426" s="411"/>
      <c r="F426" s="411"/>
      <c r="G426" s="484"/>
      <c r="H426" s="411"/>
      <c r="I426" s="712"/>
      <c r="J426" s="411"/>
      <c r="K426" s="411"/>
      <c r="L426" s="411"/>
    </row>
    <row r="427" ht="12.75" customHeight="1">
      <c r="A427" s="411"/>
      <c r="B427" s="411"/>
      <c r="C427" s="411"/>
      <c r="D427" s="484"/>
      <c r="E427" s="411"/>
      <c r="F427" s="411"/>
      <c r="G427" s="484"/>
      <c r="H427" s="411"/>
      <c r="I427" s="712"/>
      <c r="J427" s="411"/>
      <c r="K427" s="411"/>
      <c r="L427" s="411"/>
    </row>
    <row r="428" ht="12.75" customHeight="1">
      <c r="A428" s="411"/>
      <c r="B428" s="411"/>
      <c r="C428" s="411"/>
      <c r="D428" s="484"/>
      <c r="E428" s="411"/>
      <c r="F428" s="411"/>
      <c r="G428" s="484"/>
      <c r="H428" s="411"/>
      <c r="I428" s="712"/>
      <c r="J428" s="411"/>
      <c r="K428" s="411"/>
      <c r="L428" s="411"/>
    </row>
    <row r="429" ht="12.75" customHeight="1">
      <c r="A429" s="411"/>
      <c r="B429" s="411"/>
      <c r="C429" s="411"/>
      <c r="D429" s="484"/>
      <c r="E429" s="411"/>
      <c r="F429" s="411"/>
      <c r="G429" s="484"/>
      <c r="H429" s="411"/>
      <c r="I429" s="712"/>
      <c r="J429" s="411"/>
      <c r="K429" s="411"/>
      <c r="L429" s="411"/>
    </row>
    <row r="430" ht="12.75" customHeight="1">
      <c r="A430" s="411"/>
      <c r="B430" s="411"/>
      <c r="C430" s="411"/>
      <c r="D430" s="484"/>
      <c r="E430" s="411"/>
      <c r="F430" s="411"/>
      <c r="G430" s="484"/>
      <c r="H430" s="411"/>
      <c r="I430" s="712"/>
      <c r="J430" s="411"/>
      <c r="K430" s="411"/>
      <c r="L430" s="411"/>
    </row>
    <row r="431" ht="12.75" customHeight="1">
      <c r="A431" s="411"/>
      <c r="B431" s="411"/>
      <c r="C431" s="411"/>
      <c r="D431" s="484"/>
      <c r="E431" s="411"/>
      <c r="F431" s="411"/>
      <c r="G431" s="484"/>
      <c r="H431" s="411"/>
      <c r="I431" s="712"/>
      <c r="J431" s="411"/>
      <c r="K431" s="411"/>
      <c r="L431" s="411"/>
    </row>
    <row r="432" ht="12.75" customHeight="1">
      <c r="A432" s="411"/>
      <c r="B432" s="411"/>
      <c r="C432" s="411"/>
      <c r="D432" s="484"/>
      <c r="E432" s="411"/>
      <c r="F432" s="411"/>
      <c r="G432" s="484"/>
      <c r="H432" s="411"/>
      <c r="I432" s="712"/>
      <c r="J432" s="411"/>
      <c r="K432" s="411"/>
      <c r="L432" s="411"/>
    </row>
    <row r="433" ht="12.75" customHeight="1">
      <c r="A433" s="411"/>
      <c r="B433" s="411"/>
      <c r="C433" s="411"/>
      <c r="D433" s="484"/>
      <c r="E433" s="411"/>
      <c r="F433" s="411"/>
      <c r="G433" s="484"/>
      <c r="H433" s="411"/>
      <c r="I433" s="712"/>
      <c r="J433" s="411"/>
      <c r="K433" s="411"/>
      <c r="L433" s="411"/>
    </row>
    <row r="434" ht="12.75" customHeight="1">
      <c r="A434" s="411"/>
      <c r="B434" s="411"/>
      <c r="C434" s="411"/>
      <c r="D434" s="484"/>
      <c r="E434" s="411"/>
      <c r="F434" s="411"/>
      <c r="G434" s="484"/>
      <c r="H434" s="411"/>
      <c r="I434" s="712"/>
      <c r="J434" s="411"/>
      <c r="K434" s="411"/>
      <c r="L434" s="411"/>
    </row>
    <row r="435" ht="12.75" customHeight="1">
      <c r="A435" s="411"/>
      <c r="B435" s="411"/>
      <c r="C435" s="411"/>
      <c r="D435" s="484"/>
      <c r="E435" s="411"/>
      <c r="F435" s="411"/>
      <c r="G435" s="484"/>
      <c r="H435" s="411"/>
      <c r="I435" s="712"/>
      <c r="J435" s="411"/>
      <c r="K435" s="411"/>
      <c r="L435" s="411"/>
    </row>
    <row r="436" ht="12.75" customHeight="1">
      <c r="A436" s="411"/>
      <c r="B436" s="411"/>
      <c r="C436" s="411"/>
      <c r="D436" s="484"/>
      <c r="E436" s="411"/>
      <c r="F436" s="411"/>
      <c r="G436" s="484"/>
      <c r="H436" s="411"/>
      <c r="I436" s="712"/>
      <c r="J436" s="411"/>
      <c r="K436" s="411"/>
      <c r="L436" s="411"/>
    </row>
    <row r="437" ht="12.75" customHeight="1">
      <c r="A437" s="411"/>
      <c r="B437" s="411"/>
      <c r="C437" s="411"/>
      <c r="D437" s="484"/>
      <c r="E437" s="411"/>
      <c r="F437" s="411"/>
      <c r="G437" s="484"/>
      <c r="H437" s="411"/>
      <c r="I437" s="712"/>
      <c r="J437" s="411"/>
      <c r="K437" s="411"/>
      <c r="L437" s="411"/>
    </row>
    <row r="438" ht="12.75" customHeight="1">
      <c r="A438" s="411"/>
      <c r="B438" s="411"/>
      <c r="C438" s="411"/>
      <c r="D438" s="484"/>
      <c r="E438" s="411"/>
      <c r="F438" s="411"/>
      <c r="G438" s="484"/>
      <c r="H438" s="411"/>
      <c r="I438" s="712"/>
      <c r="J438" s="411"/>
      <c r="K438" s="411"/>
      <c r="L438" s="411"/>
    </row>
    <row r="439" ht="12.75" customHeight="1">
      <c r="A439" s="411"/>
      <c r="B439" s="411"/>
      <c r="C439" s="411"/>
      <c r="D439" s="484"/>
      <c r="E439" s="411"/>
      <c r="F439" s="411"/>
      <c r="G439" s="484"/>
      <c r="H439" s="411"/>
      <c r="I439" s="712"/>
      <c r="J439" s="411"/>
      <c r="K439" s="411"/>
      <c r="L439" s="411"/>
    </row>
    <row r="440" ht="12.75" customHeight="1">
      <c r="A440" s="411"/>
      <c r="B440" s="411"/>
      <c r="C440" s="411"/>
      <c r="D440" s="484"/>
      <c r="E440" s="411"/>
      <c r="F440" s="411"/>
      <c r="G440" s="484"/>
      <c r="H440" s="411"/>
      <c r="I440" s="712"/>
      <c r="J440" s="411"/>
      <c r="K440" s="411"/>
      <c r="L440" s="411"/>
    </row>
    <row r="441" ht="12.75" customHeight="1">
      <c r="A441" s="411"/>
      <c r="B441" s="411"/>
      <c r="C441" s="411"/>
      <c r="D441" s="484"/>
      <c r="E441" s="411"/>
      <c r="F441" s="411"/>
      <c r="G441" s="484"/>
      <c r="H441" s="411"/>
      <c r="I441" s="712"/>
      <c r="J441" s="411"/>
      <c r="K441" s="411"/>
      <c r="L441" s="411"/>
    </row>
    <row r="442" ht="12.75" customHeight="1">
      <c r="A442" s="411"/>
      <c r="B442" s="411"/>
      <c r="C442" s="411"/>
      <c r="D442" s="484"/>
      <c r="E442" s="411"/>
      <c r="F442" s="411"/>
      <c r="G442" s="484"/>
      <c r="H442" s="411"/>
      <c r="I442" s="712"/>
      <c r="J442" s="411"/>
      <c r="K442" s="411"/>
      <c r="L442" s="411"/>
    </row>
    <row r="443" ht="12.75" customHeight="1">
      <c r="A443" s="411"/>
      <c r="B443" s="411"/>
      <c r="C443" s="411"/>
      <c r="D443" s="484"/>
      <c r="E443" s="411"/>
      <c r="F443" s="411"/>
      <c r="G443" s="484"/>
      <c r="H443" s="411"/>
      <c r="I443" s="712"/>
      <c r="J443" s="411"/>
      <c r="K443" s="411"/>
      <c r="L443" s="411"/>
    </row>
    <row r="444" ht="12.75" customHeight="1">
      <c r="A444" s="411"/>
      <c r="B444" s="411"/>
      <c r="C444" s="411"/>
      <c r="D444" s="484"/>
      <c r="E444" s="411"/>
      <c r="F444" s="411"/>
      <c r="G444" s="484"/>
      <c r="H444" s="411"/>
      <c r="I444" s="712"/>
      <c r="J444" s="411"/>
      <c r="K444" s="411"/>
      <c r="L444" s="411"/>
    </row>
    <row r="445" ht="12.75" customHeight="1">
      <c r="A445" s="411"/>
      <c r="B445" s="411"/>
      <c r="C445" s="411"/>
      <c r="D445" s="484"/>
      <c r="E445" s="411"/>
      <c r="F445" s="411"/>
      <c r="G445" s="484"/>
      <c r="H445" s="411"/>
      <c r="I445" s="712"/>
      <c r="J445" s="411"/>
      <c r="K445" s="411"/>
      <c r="L445" s="411"/>
    </row>
    <row r="446" ht="12.75" customHeight="1">
      <c r="A446" s="411"/>
      <c r="B446" s="411"/>
      <c r="C446" s="411"/>
      <c r="D446" s="484"/>
      <c r="E446" s="411"/>
      <c r="F446" s="411"/>
      <c r="G446" s="484"/>
      <c r="H446" s="411"/>
      <c r="I446" s="712"/>
      <c r="J446" s="411"/>
      <c r="K446" s="411"/>
      <c r="L446" s="411"/>
    </row>
    <row r="447" ht="12.75" customHeight="1">
      <c r="A447" s="411"/>
      <c r="B447" s="411"/>
      <c r="C447" s="411"/>
      <c r="D447" s="484"/>
      <c r="E447" s="411"/>
      <c r="F447" s="411"/>
      <c r="G447" s="484"/>
      <c r="H447" s="411"/>
      <c r="I447" s="712"/>
      <c r="J447" s="411"/>
      <c r="K447" s="411"/>
      <c r="L447" s="411"/>
    </row>
    <row r="448" ht="12.75" customHeight="1">
      <c r="A448" s="411"/>
      <c r="B448" s="411"/>
      <c r="C448" s="411"/>
      <c r="D448" s="484"/>
      <c r="E448" s="411"/>
      <c r="F448" s="411"/>
      <c r="G448" s="484"/>
      <c r="H448" s="411"/>
      <c r="I448" s="712"/>
      <c r="J448" s="411"/>
      <c r="K448" s="411"/>
      <c r="L448" s="411"/>
    </row>
    <row r="449" ht="12.75" customHeight="1">
      <c r="A449" s="411"/>
      <c r="B449" s="411"/>
      <c r="C449" s="411"/>
      <c r="D449" s="484"/>
      <c r="E449" s="411"/>
      <c r="F449" s="411"/>
      <c r="G449" s="484"/>
      <c r="H449" s="411"/>
      <c r="I449" s="712"/>
      <c r="J449" s="411"/>
      <c r="K449" s="411"/>
      <c r="L449" s="411"/>
    </row>
    <row r="450" ht="12.75" customHeight="1">
      <c r="A450" s="411"/>
      <c r="B450" s="411"/>
      <c r="C450" s="411"/>
      <c r="D450" s="484"/>
      <c r="E450" s="411"/>
      <c r="F450" s="411"/>
      <c r="G450" s="484"/>
      <c r="H450" s="411"/>
      <c r="I450" s="712"/>
      <c r="J450" s="411"/>
      <c r="K450" s="411"/>
      <c r="L450" s="411"/>
    </row>
    <row r="451" ht="12.75" customHeight="1">
      <c r="A451" s="411"/>
      <c r="B451" s="411"/>
      <c r="C451" s="411"/>
      <c r="D451" s="484"/>
      <c r="E451" s="411"/>
      <c r="F451" s="411"/>
      <c r="G451" s="484"/>
      <c r="H451" s="411"/>
      <c r="I451" s="712"/>
      <c r="J451" s="411"/>
      <c r="K451" s="411"/>
      <c r="L451" s="411"/>
    </row>
    <row r="452" ht="12.75" customHeight="1">
      <c r="A452" s="411"/>
      <c r="B452" s="411"/>
      <c r="C452" s="411"/>
      <c r="D452" s="484"/>
      <c r="E452" s="411"/>
      <c r="F452" s="411"/>
      <c r="G452" s="484"/>
      <c r="H452" s="411"/>
      <c r="I452" s="712"/>
      <c r="J452" s="411"/>
      <c r="K452" s="411"/>
      <c r="L452" s="411"/>
    </row>
    <row r="453" ht="12.75" customHeight="1">
      <c r="A453" s="411"/>
      <c r="B453" s="411"/>
      <c r="C453" s="411"/>
      <c r="D453" s="484"/>
      <c r="E453" s="411"/>
      <c r="F453" s="411"/>
      <c r="G453" s="484"/>
      <c r="H453" s="411"/>
      <c r="I453" s="712"/>
      <c r="J453" s="411"/>
      <c r="K453" s="411"/>
      <c r="L453" s="411"/>
    </row>
    <row r="454" ht="12.75" customHeight="1">
      <c r="A454" s="411"/>
      <c r="B454" s="411"/>
      <c r="C454" s="411"/>
      <c r="D454" s="484"/>
      <c r="E454" s="411"/>
      <c r="F454" s="411"/>
      <c r="G454" s="484"/>
      <c r="H454" s="411"/>
      <c r="I454" s="712"/>
      <c r="J454" s="411"/>
      <c r="K454" s="411"/>
      <c r="L454" s="411"/>
    </row>
    <row r="455" ht="12.75" customHeight="1">
      <c r="A455" s="411"/>
      <c r="B455" s="411"/>
      <c r="C455" s="411"/>
      <c r="D455" s="484"/>
      <c r="E455" s="411"/>
      <c r="F455" s="411"/>
      <c r="G455" s="484"/>
      <c r="H455" s="411"/>
      <c r="I455" s="712"/>
      <c r="J455" s="411"/>
      <c r="K455" s="411"/>
      <c r="L455" s="411"/>
    </row>
    <row r="456" ht="12.75" customHeight="1">
      <c r="A456" s="411"/>
      <c r="B456" s="411"/>
      <c r="C456" s="411"/>
      <c r="D456" s="484"/>
      <c r="E456" s="411"/>
      <c r="F456" s="411"/>
      <c r="G456" s="484"/>
      <c r="H456" s="411"/>
      <c r="I456" s="712"/>
      <c r="J456" s="411"/>
      <c r="K456" s="411"/>
      <c r="L456" s="411"/>
    </row>
    <row r="457" ht="12.75" customHeight="1">
      <c r="A457" s="411"/>
      <c r="B457" s="411"/>
      <c r="C457" s="411"/>
      <c r="D457" s="484"/>
      <c r="E457" s="411"/>
      <c r="F457" s="411"/>
      <c r="G457" s="484"/>
      <c r="H457" s="411"/>
      <c r="I457" s="712"/>
      <c r="J457" s="411"/>
      <c r="K457" s="411"/>
      <c r="L457" s="411"/>
    </row>
    <row r="458" ht="12.75" customHeight="1">
      <c r="A458" s="411"/>
      <c r="B458" s="411"/>
      <c r="C458" s="411"/>
      <c r="D458" s="484"/>
      <c r="E458" s="411"/>
      <c r="F458" s="411"/>
      <c r="G458" s="484"/>
      <c r="H458" s="411"/>
      <c r="I458" s="712"/>
      <c r="J458" s="411"/>
      <c r="K458" s="411"/>
      <c r="L458" s="411"/>
    </row>
    <row r="459" ht="12.75" customHeight="1">
      <c r="A459" s="411"/>
      <c r="B459" s="411"/>
      <c r="C459" s="411"/>
      <c r="D459" s="484"/>
      <c r="E459" s="411"/>
      <c r="F459" s="411"/>
      <c r="G459" s="484"/>
      <c r="H459" s="411"/>
      <c r="I459" s="712"/>
      <c r="J459" s="411"/>
      <c r="K459" s="411"/>
      <c r="L459" s="411"/>
    </row>
    <row r="460" ht="12.75" customHeight="1">
      <c r="A460" s="411"/>
      <c r="B460" s="411"/>
      <c r="C460" s="411"/>
      <c r="D460" s="484"/>
      <c r="E460" s="411"/>
      <c r="F460" s="411"/>
      <c r="G460" s="484"/>
      <c r="H460" s="411"/>
      <c r="I460" s="712"/>
      <c r="J460" s="411"/>
      <c r="K460" s="411"/>
      <c r="L460" s="411"/>
    </row>
    <row r="461" ht="12.75" customHeight="1">
      <c r="A461" s="411"/>
      <c r="B461" s="411"/>
      <c r="C461" s="411"/>
      <c r="D461" s="484"/>
      <c r="E461" s="411"/>
      <c r="F461" s="411"/>
      <c r="G461" s="484"/>
      <c r="H461" s="411"/>
      <c r="I461" s="712"/>
      <c r="J461" s="411"/>
      <c r="K461" s="411"/>
      <c r="L461" s="411"/>
    </row>
    <row r="462" ht="12.75" customHeight="1">
      <c r="A462" s="411"/>
      <c r="B462" s="411"/>
      <c r="C462" s="411"/>
      <c r="D462" s="484"/>
      <c r="E462" s="411"/>
      <c r="F462" s="411"/>
      <c r="G462" s="484"/>
      <c r="H462" s="411"/>
      <c r="I462" s="712"/>
      <c r="J462" s="411"/>
      <c r="K462" s="411"/>
      <c r="L462" s="411"/>
    </row>
    <row r="463" ht="12.75" customHeight="1">
      <c r="A463" s="411"/>
      <c r="B463" s="411"/>
      <c r="C463" s="411"/>
      <c r="D463" s="484"/>
      <c r="E463" s="411"/>
      <c r="F463" s="411"/>
      <c r="G463" s="484"/>
      <c r="H463" s="411"/>
      <c r="I463" s="712"/>
      <c r="J463" s="411"/>
      <c r="K463" s="411"/>
      <c r="L463" s="411"/>
    </row>
    <row r="464" ht="12.75" customHeight="1">
      <c r="A464" s="411"/>
      <c r="B464" s="411"/>
      <c r="C464" s="411"/>
      <c r="D464" s="484"/>
      <c r="E464" s="411"/>
      <c r="F464" s="411"/>
      <c r="G464" s="484"/>
      <c r="H464" s="411"/>
      <c r="I464" s="712"/>
      <c r="J464" s="411"/>
      <c r="K464" s="411"/>
      <c r="L464" s="411"/>
    </row>
    <row r="465" ht="12.75" customHeight="1">
      <c r="A465" s="411"/>
      <c r="B465" s="411"/>
      <c r="C465" s="411"/>
      <c r="D465" s="484"/>
      <c r="E465" s="411"/>
      <c r="F465" s="411"/>
      <c r="G465" s="484"/>
      <c r="H465" s="411"/>
      <c r="I465" s="712"/>
      <c r="J465" s="411"/>
      <c r="K465" s="411"/>
      <c r="L465" s="411"/>
    </row>
    <row r="466" ht="12.75" customHeight="1">
      <c r="A466" s="411"/>
      <c r="B466" s="411"/>
      <c r="C466" s="411"/>
      <c r="D466" s="484"/>
      <c r="E466" s="411"/>
      <c r="F466" s="411"/>
      <c r="G466" s="484"/>
      <c r="H466" s="411"/>
      <c r="I466" s="712"/>
      <c r="J466" s="411"/>
      <c r="K466" s="411"/>
      <c r="L466" s="411"/>
    </row>
    <row r="467" ht="12.75" customHeight="1">
      <c r="A467" s="411"/>
      <c r="B467" s="411"/>
      <c r="C467" s="411"/>
      <c r="D467" s="484"/>
      <c r="E467" s="411"/>
      <c r="F467" s="411"/>
      <c r="G467" s="484"/>
      <c r="H467" s="411"/>
      <c r="I467" s="712"/>
      <c r="J467" s="411"/>
      <c r="K467" s="411"/>
      <c r="L467" s="411"/>
    </row>
    <row r="468" ht="12.75" customHeight="1">
      <c r="A468" s="411"/>
      <c r="B468" s="411"/>
      <c r="C468" s="411"/>
      <c r="D468" s="484"/>
      <c r="E468" s="411"/>
      <c r="F468" s="411"/>
      <c r="G468" s="484"/>
      <c r="H468" s="411"/>
      <c r="I468" s="712"/>
      <c r="J468" s="411"/>
      <c r="K468" s="411"/>
      <c r="L468" s="411"/>
    </row>
    <row r="469" ht="12.75" customHeight="1">
      <c r="A469" s="411"/>
      <c r="B469" s="411"/>
      <c r="C469" s="411"/>
      <c r="D469" s="484"/>
      <c r="E469" s="411"/>
      <c r="F469" s="411"/>
      <c r="G469" s="484"/>
      <c r="H469" s="411"/>
      <c r="I469" s="712"/>
      <c r="J469" s="411"/>
      <c r="K469" s="411"/>
      <c r="L469" s="411"/>
    </row>
    <row r="470" ht="12.75" customHeight="1">
      <c r="A470" s="411"/>
      <c r="B470" s="411"/>
      <c r="C470" s="411"/>
      <c r="D470" s="484"/>
      <c r="E470" s="411"/>
      <c r="F470" s="411"/>
      <c r="G470" s="484"/>
      <c r="H470" s="411"/>
      <c r="I470" s="712"/>
      <c r="J470" s="411"/>
      <c r="K470" s="411"/>
      <c r="L470" s="411"/>
    </row>
    <row r="471" ht="12.75" customHeight="1">
      <c r="A471" s="411"/>
      <c r="B471" s="411"/>
      <c r="C471" s="411"/>
      <c r="D471" s="484"/>
      <c r="E471" s="411"/>
      <c r="F471" s="411"/>
      <c r="G471" s="484"/>
      <c r="H471" s="411"/>
      <c r="I471" s="712"/>
      <c r="J471" s="411"/>
      <c r="K471" s="411"/>
      <c r="L471" s="411"/>
    </row>
    <row r="472" ht="12.75" customHeight="1">
      <c r="A472" s="411"/>
      <c r="B472" s="411"/>
      <c r="C472" s="411"/>
      <c r="D472" s="484"/>
      <c r="E472" s="411"/>
      <c r="F472" s="411"/>
      <c r="G472" s="484"/>
      <c r="H472" s="411"/>
      <c r="I472" s="712"/>
      <c r="J472" s="411"/>
      <c r="K472" s="411"/>
      <c r="L472" s="411"/>
    </row>
    <row r="473" ht="12.75" customHeight="1">
      <c r="A473" s="411"/>
      <c r="B473" s="411"/>
      <c r="C473" s="411"/>
      <c r="D473" s="484"/>
      <c r="E473" s="411"/>
      <c r="F473" s="411"/>
      <c r="G473" s="484"/>
      <c r="H473" s="411"/>
      <c r="I473" s="712"/>
      <c r="J473" s="411"/>
      <c r="K473" s="411"/>
      <c r="L473" s="411"/>
    </row>
    <row r="474" ht="12.75" customHeight="1">
      <c r="A474" s="411"/>
      <c r="B474" s="411"/>
      <c r="C474" s="411"/>
      <c r="D474" s="484"/>
      <c r="E474" s="411"/>
      <c r="F474" s="411"/>
      <c r="G474" s="484"/>
      <c r="H474" s="411"/>
      <c r="I474" s="712"/>
      <c r="J474" s="411"/>
      <c r="K474" s="411"/>
      <c r="L474" s="411"/>
    </row>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O$274">
    <sortState ref="A3:O274">
      <sortCondition descending="1" ref="F3:F274"/>
      <sortCondition ref="E3:E274"/>
    </sortState>
  </autoFilter>
  <conditionalFormatting sqref="F6">
    <cfRule type="timePeriod" dxfId="1" priority="1" timePeriod="last7Days"/>
  </conditionalFormatting>
  <dataValidations>
    <dataValidation type="date" operator="lessThan" allowBlank="1" showDropDown="1" sqref="F6">
      <formula1>43242.0</formula1>
    </dataValidation>
  </dataValidation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12.14"/>
    <col customWidth="1" min="3" max="3" width="11.29"/>
    <col customWidth="1" min="4" max="4" width="20.71"/>
    <col customWidth="1" min="5" max="5" width="30.0"/>
    <col customWidth="1" min="6" max="6" width="14.43"/>
    <col customWidth="1" min="7" max="7" width="19.57"/>
    <col customWidth="1" min="9" max="9" width="32.71"/>
  </cols>
  <sheetData>
    <row r="1" ht="15.75" customHeight="1">
      <c r="A1" s="3" t="s">
        <v>1672</v>
      </c>
      <c r="B1" s="1"/>
      <c r="C1" s="2"/>
      <c r="D1" s="118"/>
      <c r="E1" s="3" t="s">
        <v>8415</v>
      </c>
      <c r="F1" s="4"/>
      <c r="G1" s="4"/>
      <c r="H1" s="4"/>
      <c r="I1" s="5"/>
    </row>
    <row r="2" ht="48.75" customHeight="1">
      <c r="A2" s="13"/>
      <c r="B2" s="6" t="s">
        <v>2</v>
      </c>
      <c r="C2" s="1"/>
      <c r="D2" s="6"/>
      <c r="E2" s="119" t="s">
        <v>1674</v>
      </c>
      <c r="F2" s="8" t="s">
        <v>4</v>
      </c>
      <c r="G2" s="8" t="s">
        <v>5</v>
      </c>
      <c r="H2" s="8" t="s">
        <v>6</v>
      </c>
      <c r="I2" s="3"/>
    </row>
    <row r="3" ht="12.75" customHeight="1">
      <c r="A3" s="58" t="s">
        <v>1675</v>
      </c>
      <c r="B3" s="58" t="s">
        <v>8</v>
      </c>
      <c r="C3" s="58" t="s">
        <v>9</v>
      </c>
      <c r="D3" s="120" t="s">
        <v>10</v>
      </c>
      <c r="E3" s="120" t="s">
        <v>11</v>
      </c>
      <c r="F3" s="121" t="s">
        <v>12</v>
      </c>
      <c r="G3" s="121" t="s">
        <v>12</v>
      </c>
      <c r="H3" s="121" t="s">
        <v>12</v>
      </c>
      <c r="I3" s="120" t="s">
        <v>13</v>
      </c>
      <c r="J3" s="624"/>
      <c r="K3" s="624"/>
      <c r="L3" s="624"/>
      <c r="M3" s="624"/>
      <c r="N3" s="624"/>
      <c r="O3" s="624"/>
      <c r="P3" s="624"/>
      <c r="Q3" s="624"/>
      <c r="R3" s="624"/>
      <c r="S3" s="624"/>
      <c r="T3" s="624"/>
      <c r="U3" s="624"/>
      <c r="V3" s="624"/>
      <c r="W3" s="624"/>
      <c r="X3" s="624"/>
      <c r="Y3" s="624"/>
      <c r="Z3" s="624"/>
    </row>
    <row r="4" ht="27.75" customHeight="1">
      <c r="A4" s="6">
        <v>7109.0</v>
      </c>
      <c r="B4" s="12" t="s">
        <v>14</v>
      </c>
      <c r="C4" s="12">
        <v>273.0</v>
      </c>
      <c r="D4" s="137" t="s">
        <v>13965</v>
      </c>
      <c r="E4" s="136" t="s">
        <v>1802</v>
      </c>
      <c r="F4" s="21">
        <v>42735.0</v>
      </c>
      <c r="G4" s="125">
        <v>42732.0</v>
      </c>
      <c r="H4" s="16">
        <v>42740.0</v>
      </c>
      <c r="I4" s="126" t="s">
        <v>13966</v>
      </c>
    </row>
    <row r="5" ht="27.75" customHeight="1">
      <c r="A5" s="6">
        <v>7085.0</v>
      </c>
      <c r="B5" s="12" t="s">
        <v>14</v>
      </c>
      <c r="C5" s="12">
        <v>816.0</v>
      </c>
      <c r="D5" s="137" t="s">
        <v>13967</v>
      </c>
      <c r="E5" s="136" t="s">
        <v>13968</v>
      </c>
      <c r="F5" s="21">
        <v>42725.0</v>
      </c>
      <c r="G5" s="125">
        <v>42720.0</v>
      </c>
      <c r="H5" s="16">
        <v>42726.0</v>
      </c>
      <c r="I5" s="126" t="s">
        <v>13969</v>
      </c>
    </row>
    <row r="6" ht="27.75" customHeight="1">
      <c r="A6" s="6">
        <v>7086.0</v>
      </c>
      <c r="B6" s="12" t="s">
        <v>14</v>
      </c>
      <c r="C6" s="12">
        <v>666.0</v>
      </c>
      <c r="D6" s="137" t="s">
        <v>13970</v>
      </c>
      <c r="E6" s="136" t="s">
        <v>1927</v>
      </c>
      <c r="F6" s="21">
        <v>42724.0</v>
      </c>
      <c r="G6" s="125">
        <v>42720.0</v>
      </c>
      <c r="H6" s="16">
        <v>42726.0</v>
      </c>
      <c r="I6" s="126" t="s">
        <v>13971</v>
      </c>
    </row>
    <row r="7" ht="27.75" customHeight="1">
      <c r="A7" s="6">
        <v>7080.0</v>
      </c>
      <c r="B7" s="12" t="s">
        <v>21</v>
      </c>
      <c r="C7" s="12">
        <v>543.0</v>
      </c>
      <c r="D7" s="137" t="s">
        <v>13972</v>
      </c>
      <c r="E7" s="136" t="s">
        <v>13973</v>
      </c>
      <c r="F7" s="21">
        <v>42724.0</v>
      </c>
      <c r="G7" s="125">
        <v>42720.0</v>
      </c>
      <c r="H7" s="16">
        <v>42732.0</v>
      </c>
      <c r="I7" s="126" t="s">
        <v>13974</v>
      </c>
    </row>
    <row r="8" ht="27.75" customHeight="1">
      <c r="A8" s="6">
        <v>7078.0</v>
      </c>
      <c r="B8" s="12" t="s">
        <v>21</v>
      </c>
      <c r="C8" s="12">
        <v>1021.0</v>
      </c>
      <c r="D8" s="137" t="s">
        <v>13975</v>
      </c>
      <c r="E8" s="136" t="s">
        <v>13976</v>
      </c>
      <c r="F8" s="21">
        <v>42723.0</v>
      </c>
      <c r="G8" s="125">
        <v>42720.0</v>
      </c>
      <c r="H8" s="16">
        <v>42732.0</v>
      </c>
      <c r="I8" s="126" t="s">
        <v>13977</v>
      </c>
    </row>
    <row r="9" ht="27.75" customHeight="1">
      <c r="A9" s="6">
        <v>7081.0</v>
      </c>
      <c r="B9" s="12" t="s">
        <v>14</v>
      </c>
      <c r="C9" s="12">
        <v>3016.0</v>
      </c>
      <c r="D9" s="137" t="s">
        <v>13978</v>
      </c>
      <c r="E9" s="713" t="s">
        <v>13979</v>
      </c>
      <c r="F9" s="21">
        <v>42709.0</v>
      </c>
      <c r="G9" s="125">
        <v>42712.0</v>
      </c>
      <c r="H9" s="16">
        <v>42713.0</v>
      </c>
      <c r="I9" s="126" t="s">
        <v>13980</v>
      </c>
    </row>
    <row r="10" ht="27.75" customHeight="1">
      <c r="A10" s="6">
        <v>7061.0</v>
      </c>
      <c r="B10" s="12" t="s">
        <v>14</v>
      </c>
      <c r="C10" s="12">
        <v>658.0</v>
      </c>
      <c r="D10" s="137" t="s">
        <v>13981</v>
      </c>
      <c r="E10" s="713" t="s">
        <v>13982</v>
      </c>
      <c r="F10" s="21">
        <v>42709.0</v>
      </c>
      <c r="G10" s="125">
        <v>42705.0</v>
      </c>
      <c r="H10" s="16">
        <v>42711.0</v>
      </c>
      <c r="I10" s="126" t="s">
        <v>13983</v>
      </c>
    </row>
    <row r="11" ht="27.75" customHeight="1">
      <c r="A11" s="6">
        <v>7065.0</v>
      </c>
      <c r="B11" s="12" t="s">
        <v>14</v>
      </c>
      <c r="C11" s="12">
        <v>541.0</v>
      </c>
      <c r="D11" s="138" t="s">
        <v>13984</v>
      </c>
      <c r="E11" s="713" t="s">
        <v>13985</v>
      </c>
      <c r="F11" s="21">
        <v>42702.0</v>
      </c>
      <c r="G11" s="125">
        <v>42697.0</v>
      </c>
      <c r="H11" s="16">
        <v>42709.0</v>
      </c>
      <c r="I11" s="126" t="s">
        <v>13986</v>
      </c>
    </row>
    <row r="12" ht="27.75" customHeight="1">
      <c r="A12" s="6">
        <v>7048.0</v>
      </c>
      <c r="B12" s="12" t="s">
        <v>21</v>
      </c>
      <c r="C12" s="12">
        <v>1011.0</v>
      </c>
      <c r="D12" s="123" t="s">
        <v>13987</v>
      </c>
      <c r="E12" s="713" t="s">
        <v>13988</v>
      </c>
      <c r="F12" s="21">
        <v>42700.0</v>
      </c>
      <c r="G12" s="125">
        <v>42696.0</v>
      </c>
      <c r="H12" s="16">
        <v>42696.0</v>
      </c>
      <c r="I12" s="126" t="s">
        <v>13989</v>
      </c>
    </row>
    <row r="13" ht="27.75" customHeight="1">
      <c r="A13" s="6">
        <v>7042.0</v>
      </c>
      <c r="B13" s="12" t="s">
        <v>14</v>
      </c>
      <c r="C13" s="12">
        <v>117.0</v>
      </c>
      <c r="D13" s="138" t="s">
        <v>13990</v>
      </c>
      <c r="E13" s="136" t="s">
        <v>1802</v>
      </c>
      <c r="F13" s="21">
        <v>42698.0</v>
      </c>
      <c r="G13" s="125">
        <v>42706.0</v>
      </c>
      <c r="H13" s="16">
        <v>42706.0</v>
      </c>
      <c r="I13" s="714" t="s">
        <v>13991</v>
      </c>
    </row>
    <row r="14" ht="27.75" customHeight="1">
      <c r="A14" s="6">
        <v>7054.0</v>
      </c>
      <c r="B14" s="12" t="s">
        <v>14</v>
      </c>
      <c r="C14" s="12">
        <v>1815.0</v>
      </c>
      <c r="D14" s="123" t="s">
        <v>13992</v>
      </c>
      <c r="E14" s="136" t="s">
        <v>13993</v>
      </c>
      <c r="F14" s="21">
        <v>42697.0</v>
      </c>
      <c r="G14" s="125">
        <v>42691.0</v>
      </c>
      <c r="H14" s="16">
        <v>42702.0</v>
      </c>
      <c r="I14" s="126" t="s">
        <v>13994</v>
      </c>
    </row>
    <row r="15" ht="27.75" customHeight="1">
      <c r="A15" s="6">
        <v>7038.0</v>
      </c>
      <c r="B15" s="12" t="s">
        <v>14</v>
      </c>
      <c r="C15" s="12">
        <v>498.0</v>
      </c>
      <c r="D15" s="123" t="s">
        <v>13995</v>
      </c>
      <c r="E15" s="136" t="s">
        <v>13996</v>
      </c>
      <c r="F15" s="21">
        <v>42697.0</v>
      </c>
      <c r="G15" s="125">
        <v>42706.0</v>
      </c>
      <c r="H15" s="16">
        <v>42697.0</v>
      </c>
      <c r="I15" s="126" t="s">
        <v>13997</v>
      </c>
    </row>
    <row r="16" ht="27.75" customHeight="1">
      <c r="A16" s="6">
        <v>7051.0</v>
      </c>
      <c r="B16" s="12" t="s">
        <v>21</v>
      </c>
      <c r="C16" s="12">
        <v>135.0</v>
      </c>
      <c r="D16" s="123" t="s">
        <v>13998</v>
      </c>
      <c r="E16" s="136" t="s">
        <v>13116</v>
      </c>
      <c r="F16" s="21">
        <v>42696.0</v>
      </c>
      <c r="G16" s="125">
        <v>42691.0</v>
      </c>
      <c r="H16" s="16">
        <v>42703.0</v>
      </c>
      <c r="I16" s="126" t="s">
        <v>13999</v>
      </c>
    </row>
    <row r="17" ht="27.75" customHeight="1">
      <c r="A17" s="6">
        <v>7037.0</v>
      </c>
      <c r="B17" s="12" t="s">
        <v>21</v>
      </c>
      <c r="C17" s="12">
        <v>379.0</v>
      </c>
      <c r="D17" s="123" t="s">
        <v>14000</v>
      </c>
      <c r="E17" s="713" t="s">
        <v>14001</v>
      </c>
      <c r="F17" s="21">
        <v>42696.0</v>
      </c>
      <c r="G17" s="125">
        <v>42691.0</v>
      </c>
      <c r="H17" s="16">
        <v>42703.0</v>
      </c>
      <c r="I17" s="126" t="s">
        <v>14002</v>
      </c>
    </row>
    <row r="18" ht="27.75" customHeight="1">
      <c r="A18" s="6">
        <v>7032.0</v>
      </c>
      <c r="B18" s="12" t="s">
        <v>25</v>
      </c>
      <c r="C18" s="12">
        <v>172.0</v>
      </c>
      <c r="D18" s="123" t="s">
        <v>14003</v>
      </c>
      <c r="E18" s="181" t="s">
        <v>14001</v>
      </c>
      <c r="F18" s="21">
        <v>42694.0</v>
      </c>
      <c r="G18" s="125">
        <v>42691.0</v>
      </c>
      <c r="H18" s="16">
        <v>42695.0</v>
      </c>
      <c r="I18" s="126" t="s">
        <v>14004</v>
      </c>
    </row>
    <row r="19" ht="27.75" customHeight="1">
      <c r="A19" s="6">
        <v>7041.0</v>
      </c>
      <c r="B19" s="12" t="s">
        <v>25</v>
      </c>
      <c r="C19" s="12">
        <v>811.0</v>
      </c>
      <c r="D19" s="128" t="s">
        <v>14005</v>
      </c>
      <c r="E19" s="124" t="s">
        <v>14006</v>
      </c>
      <c r="F19" s="21">
        <v>42691.0</v>
      </c>
      <c r="G19" s="125">
        <v>42691.0</v>
      </c>
      <c r="H19" s="16">
        <v>42695.0</v>
      </c>
      <c r="I19" s="126" t="s">
        <v>14007</v>
      </c>
    </row>
    <row r="20" ht="27.75" customHeight="1">
      <c r="A20" s="6">
        <v>7008.0</v>
      </c>
      <c r="B20" s="12" t="s">
        <v>14</v>
      </c>
      <c r="C20" s="12">
        <v>139.0</v>
      </c>
      <c r="D20" s="6" t="s">
        <v>14008</v>
      </c>
      <c r="E20" s="26" t="s">
        <v>14009</v>
      </c>
      <c r="F20" s="21">
        <v>42679.0</v>
      </c>
      <c r="G20" s="125">
        <v>42675.0</v>
      </c>
      <c r="H20" s="16">
        <v>42681.0</v>
      </c>
      <c r="I20" s="126" t="s">
        <v>14010</v>
      </c>
    </row>
    <row r="21" ht="27.75" customHeight="1">
      <c r="A21" s="6">
        <v>6936.0</v>
      </c>
      <c r="B21" s="12" t="s">
        <v>25</v>
      </c>
      <c r="C21" s="12">
        <v>211.0</v>
      </c>
      <c r="D21" s="6" t="s">
        <v>14011</v>
      </c>
      <c r="E21" s="26" t="s">
        <v>14012</v>
      </c>
      <c r="F21" s="16">
        <v>42677.0</v>
      </c>
      <c r="G21" s="125">
        <v>42683.0</v>
      </c>
      <c r="H21" s="16">
        <v>42682.0</v>
      </c>
      <c r="I21" s="485" t="s">
        <v>14013</v>
      </c>
    </row>
    <row r="22" ht="27.75" customHeight="1">
      <c r="A22" s="6">
        <v>6997.0</v>
      </c>
      <c r="B22" s="12" t="s">
        <v>21</v>
      </c>
      <c r="C22" s="12">
        <v>117.0</v>
      </c>
      <c r="D22" s="6" t="s">
        <v>14014</v>
      </c>
      <c r="E22" s="26" t="s">
        <v>14015</v>
      </c>
      <c r="F22" s="21">
        <v>42675.0</v>
      </c>
      <c r="G22" s="125">
        <v>42675.0</v>
      </c>
      <c r="H22" s="16">
        <v>42675.0</v>
      </c>
      <c r="I22" s="129" t="s">
        <v>14016</v>
      </c>
    </row>
    <row r="23" ht="27.75" customHeight="1">
      <c r="A23" s="6">
        <v>6992.0</v>
      </c>
      <c r="B23" s="12" t="s">
        <v>25</v>
      </c>
      <c r="C23" s="12">
        <v>200.0</v>
      </c>
      <c r="D23" s="715" t="s">
        <v>14017</v>
      </c>
      <c r="E23" s="26" t="s">
        <v>14018</v>
      </c>
      <c r="F23" s="21">
        <v>42673.0</v>
      </c>
      <c r="G23" s="125">
        <v>42678.0</v>
      </c>
      <c r="H23" s="16">
        <v>42678.0</v>
      </c>
      <c r="I23" s="126" t="s">
        <v>14019</v>
      </c>
    </row>
    <row r="24" ht="27.75" customHeight="1">
      <c r="A24" s="6">
        <v>6991.0</v>
      </c>
      <c r="B24" s="12" t="s">
        <v>21</v>
      </c>
      <c r="C24" s="12">
        <v>441.0</v>
      </c>
      <c r="D24" s="154" t="s">
        <v>14020</v>
      </c>
      <c r="E24" s="26" t="s">
        <v>14021</v>
      </c>
      <c r="F24" s="21">
        <v>42668.0</v>
      </c>
      <c r="G24" s="125">
        <v>42664.0</v>
      </c>
      <c r="H24" s="16">
        <v>42675.0</v>
      </c>
      <c r="I24" s="485" t="s">
        <v>14022</v>
      </c>
    </row>
    <row r="25" ht="27.75" customHeight="1">
      <c r="A25" s="6">
        <v>6986.0</v>
      </c>
      <c r="B25" s="12" t="s">
        <v>21</v>
      </c>
      <c r="C25" s="12">
        <v>1919.0</v>
      </c>
      <c r="D25" s="126" t="s">
        <v>14023</v>
      </c>
      <c r="E25" s="26" t="s">
        <v>14024</v>
      </c>
      <c r="F25" s="21">
        <v>42665.0</v>
      </c>
      <c r="G25" s="125">
        <v>42663.0</v>
      </c>
      <c r="H25" s="16">
        <v>42670.0</v>
      </c>
      <c r="I25" s="129" t="s">
        <v>14025</v>
      </c>
    </row>
    <row r="26" ht="27.75" customHeight="1">
      <c r="A26" s="6">
        <v>6977.0</v>
      </c>
      <c r="B26" s="12" t="s">
        <v>14</v>
      </c>
      <c r="C26" s="12">
        <v>813.0</v>
      </c>
      <c r="D26" s="6" t="s">
        <v>14026</v>
      </c>
      <c r="E26" s="26" t="s">
        <v>14018</v>
      </c>
      <c r="F26" s="21">
        <v>42662.0</v>
      </c>
      <c r="G26" s="125">
        <v>42677.0</v>
      </c>
      <c r="H26" s="16">
        <v>42670.0</v>
      </c>
      <c r="I26" s="485" t="s">
        <v>14027</v>
      </c>
    </row>
    <row r="27" ht="27.75" customHeight="1">
      <c r="A27" s="6">
        <v>6923.0</v>
      </c>
      <c r="B27" s="12" t="s">
        <v>25</v>
      </c>
      <c r="C27" s="12">
        <v>704.0</v>
      </c>
      <c r="D27" s="6" t="s">
        <v>14028</v>
      </c>
      <c r="E27" s="26" t="s">
        <v>14029</v>
      </c>
      <c r="F27" s="21">
        <v>42661.0</v>
      </c>
      <c r="G27" s="125">
        <v>42661.0</v>
      </c>
      <c r="H27" s="16">
        <v>42671.0</v>
      </c>
      <c r="I27" s="485" t="s">
        <v>14030</v>
      </c>
    </row>
    <row r="28" ht="27.75" customHeight="1">
      <c r="A28" s="6">
        <v>6990.0</v>
      </c>
      <c r="B28" s="12" t="s">
        <v>14</v>
      </c>
      <c r="C28" s="12">
        <v>2783.0</v>
      </c>
      <c r="D28" s="6" t="s">
        <v>14031</v>
      </c>
      <c r="E28" s="26" t="s">
        <v>14029</v>
      </c>
      <c r="F28" s="21">
        <v>42660.0</v>
      </c>
      <c r="G28" s="125">
        <v>42677.0</v>
      </c>
      <c r="H28" s="16">
        <v>42670.0</v>
      </c>
      <c r="I28" s="107" t="s">
        <v>14032</v>
      </c>
      <c r="J28" s="716"/>
    </row>
    <row r="29" ht="27.75" customHeight="1">
      <c r="A29" s="6">
        <v>6922.0</v>
      </c>
      <c r="B29" s="12" t="s">
        <v>21</v>
      </c>
      <c r="C29" s="12">
        <v>1772.0</v>
      </c>
      <c r="D29" s="6" t="s">
        <v>14033</v>
      </c>
      <c r="E29" s="26" t="s">
        <v>13988</v>
      </c>
      <c r="F29" s="21">
        <v>42659.0</v>
      </c>
      <c r="G29" s="125">
        <v>42660.0</v>
      </c>
      <c r="H29" s="16">
        <v>42664.0</v>
      </c>
      <c r="I29" s="485" t="s">
        <v>14034</v>
      </c>
    </row>
    <row r="30" ht="27.75" customHeight="1">
      <c r="A30" s="6">
        <v>6928.0</v>
      </c>
      <c r="B30" s="12" t="s">
        <v>21</v>
      </c>
      <c r="C30" s="12">
        <v>402.0</v>
      </c>
      <c r="D30" s="6" t="s">
        <v>14035</v>
      </c>
      <c r="E30" s="26" t="s">
        <v>14012</v>
      </c>
      <c r="F30" s="21">
        <v>42640.0</v>
      </c>
      <c r="G30" s="125">
        <v>42639.0</v>
      </c>
      <c r="H30" s="16">
        <v>42643.0</v>
      </c>
      <c r="I30" s="485" t="s">
        <v>14036</v>
      </c>
    </row>
    <row r="31" ht="27.75" customHeight="1">
      <c r="A31" s="6">
        <v>6935.0</v>
      </c>
      <c r="B31" s="12" t="s">
        <v>14</v>
      </c>
      <c r="C31" s="12">
        <v>661.0</v>
      </c>
      <c r="D31" s="6" t="s">
        <v>14037</v>
      </c>
      <c r="E31" s="26" t="s">
        <v>14038</v>
      </c>
      <c r="F31" s="21">
        <v>42639.0</v>
      </c>
      <c r="G31" s="125">
        <v>42636.0</v>
      </c>
      <c r="H31" s="16">
        <v>42642.0</v>
      </c>
      <c r="I31" s="485" t="s">
        <v>14039</v>
      </c>
    </row>
    <row r="32" ht="27.75" customHeight="1">
      <c r="A32" s="6">
        <v>6925.0</v>
      </c>
      <c r="B32" s="12" t="s">
        <v>14</v>
      </c>
      <c r="C32" s="12">
        <v>117.0</v>
      </c>
      <c r="D32" s="6" t="s">
        <v>14040</v>
      </c>
      <c r="E32" s="26" t="s">
        <v>14015</v>
      </c>
      <c r="F32" s="21">
        <v>42637.0</v>
      </c>
      <c r="G32" s="125">
        <v>42633.0</v>
      </c>
      <c r="H32" s="16">
        <v>42639.0</v>
      </c>
      <c r="I32" s="485" t="s">
        <v>14041</v>
      </c>
    </row>
    <row r="33" ht="27.75" customHeight="1">
      <c r="A33" s="20">
        <v>6932.0</v>
      </c>
      <c r="B33" s="12" t="s">
        <v>14</v>
      </c>
      <c r="C33" s="12">
        <v>737.0</v>
      </c>
      <c r="D33" s="6" t="s">
        <v>14042</v>
      </c>
      <c r="E33" s="26" t="s">
        <v>14043</v>
      </c>
      <c r="F33" s="21">
        <v>42635.0</v>
      </c>
      <c r="G33" s="125">
        <v>42633.0</v>
      </c>
      <c r="H33" s="16">
        <v>42640.0</v>
      </c>
      <c r="I33" s="485" t="s">
        <v>14044</v>
      </c>
    </row>
    <row r="34" ht="27.75" customHeight="1">
      <c r="A34" s="6">
        <v>6921.0</v>
      </c>
      <c r="B34" s="12" t="s">
        <v>14</v>
      </c>
      <c r="C34" s="12">
        <v>2196.0</v>
      </c>
      <c r="D34" s="6" t="s">
        <v>14045</v>
      </c>
      <c r="E34" s="26" t="s">
        <v>14046</v>
      </c>
      <c r="F34" s="21">
        <v>42632.0</v>
      </c>
      <c r="G34" s="125">
        <v>42633.0</v>
      </c>
      <c r="H34" s="478">
        <v>42633.0</v>
      </c>
      <c r="I34" s="485" t="s">
        <v>14047</v>
      </c>
    </row>
    <row r="35" ht="27.75" customHeight="1">
      <c r="A35" s="6">
        <v>6924.0</v>
      </c>
      <c r="B35" s="12" t="s">
        <v>21</v>
      </c>
      <c r="C35" s="12">
        <v>156.0</v>
      </c>
      <c r="D35" s="6" t="s">
        <v>14048</v>
      </c>
      <c r="E35" s="26" t="s">
        <v>14015</v>
      </c>
      <c r="F35" s="21">
        <v>42626.0</v>
      </c>
      <c r="G35" s="125">
        <v>42627.0</v>
      </c>
      <c r="H35" s="478">
        <v>42632.0</v>
      </c>
      <c r="I35" s="485" t="s">
        <v>14049</v>
      </c>
    </row>
    <row r="36" ht="27.75" customHeight="1">
      <c r="A36" s="6">
        <v>6934.0</v>
      </c>
      <c r="B36" s="12" t="s">
        <v>21</v>
      </c>
      <c r="C36" s="12">
        <v>667.0</v>
      </c>
      <c r="D36" s="6" t="s">
        <v>14050</v>
      </c>
      <c r="E36" s="26" t="s">
        <v>14038</v>
      </c>
      <c r="F36" s="21">
        <v>42623.0</v>
      </c>
      <c r="G36" s="125">
        <v>42620.0</v>
      </c>
      <c r="H36" s="16">
        <v>42628.0</v>
      </c>
      <c r="I36" s="485" t="s">
        <v>14051</v>
      </c>
    </row>
    <row r="37" ht="27.75" customHeight="1">
      <c r="A37" s="6">
        <v>6892.0</v>
      </c>
      <c r="B37" s="12" t="s">
        <v>21</v>
      </c>
      <c r="C37" s="12">
        <v>533.0</v>
      </c>
      <c r="D37" s="6" t="s">
        <v>14052</v>
      </c>
      <c r="E37" s="26" t="s">
        <v>14021</v>
      </c>
      <c r="F37" s="21">
        <v>42612.0</v>
      </c>
      <c r="G37" s="14">
        <v>42611.0</v>
      </c>
      <c r="H37" s="478">
        <v>42621.0</v>
      </c>
      <c r="I37" s="485" t="s">
        <v>14053</v>
      </c>
    </row>
    <row r="38" ht="27.75" customHeight="1">
      <c r="A38" s="6">
        <v>6896.0</v>
      </c>
      <c r="B38" s="12" t="s">
        <v>21</v>
      </c>
      <c r="C38" s="12">
        <v>1486.0</v>
      </c>
      <c r="D38" s="6" t="s">
        <v>14054</v>
      </c>
      <c r="E38" s="26" t="s">
        <v>14055</v>
      </c>
      <c r="F38" s="21">
        <v>42612.0</v>
      </c>
      <c r="G38" s="14">
        <v>42611.0</v>
      </c>
      <c r="H38" s="478">
        <v>42620.0</v>
      </c>
      <c r="I38" s="485" t="s">
        <v>14056</v>
      </c>
    </row>
    <row r="39" ht="27.75" customHeight="1">
      <c r="A39" s="6">
        <v>6888.0</v>
      </c>
      <c r="B39" s="12" t="s">
        <v>14</v>
      </c>
      <c r="C39" s="12">
        <v>647.0</v>
      </c>
      <c r="D39" s="6" t="s">
        <v>14057</v>
      </c>
      <c r="E39" s="26" t="s">
        <v>14058</v>
      </c>
      <c r="F39" s="21">
        <v>42611.0</v>
      </c>
      <c r="G39" s="65">
        <v>42607.0</v>
      </c>
      <c r="H39" s="67">
        <v>42615.0</v>
      </c>
      <c r="I39" s="485" t="s">
        <v>14059</v>
      </c>
    </row>
    <row r="40" ht="27.75" customHeight="1">
      <c r="A40" s="6">
        <v>6893.0</v>
      </c>
      <c r="B40" s="12" t="s">
        <v>25</v>
      </c>
      <c r="C40" s="12">
        <v>215.0</v>
      </c>
      <c r="D40" s="6" t="s">
        <v>14060</v>
      </c>
      <c r="E40" s="26" t="s">
        <v>14061</v>
      </c>
      <c r="F40" s="21">
        <v>42606.0</v>
      </c>
      <c r="G40" s="125">
        <v>42606.0</v>
      </c>
      <c r="H40" s="67">
        <v>42619.0</v>
      </c>
      <c r="I40" s="717" t="s">
        <v>14062</v>
      </c>
    </row>
    <row r="41" ht="27.75" customHeight="1">
      <c r="A41" s="6">
        <v>6895.0</v>
      </c>
      <c r="B41" s="12" t="s">
        <v>14</v>
      </c>
      <c r="C41" s="12">
        <v>1693.0</v>
      </c>
      <c r="D41" s="6" t="s">
        <v>14063</v>
      </c>
      <c r="E41" s="26" t="s">
        <v>14064</v>
      </c>
      <c r="F41" s="21">
        <v>42604.0</v>
      </c>
      <c r="G41" s="125">
        <v>42605.0</v>
      </c>
      <c r="H41" s="478">
        <v>42606.0</v>
      </c>
      <c r="I41" s="485" t="s">
        <v>14065</v>
      </c>
    </row>
    <row r="42" ht="27.75" customHeight="1">
      <c r="A42" s="6">
        <v>6859.0</v>
      </c>
      <c r="B42" s="12" t="s">
        <v>14</v>
      </c>
      <c r="C42" s="12">
        <v>258.0</v>
      </c>
      <c r="D42" s="6" t="s">
        <v>14066</v>
      </c>
      <c r="E42" s="26" t="s">
        <v>14067</v>
      </c>
      <c r="F42" s="21">
        <v>42590.0</v>
      </c>
      <c r="G42" s="125">
        <v>42587.0</v>
      </c>
      <c r="H42" s="16">
        <v>42592.0</v>
      </c>
      <c r="I42" s="485" t="s">
        <v>14068</v>
      </c>
    </row>
    <row r="43" ht="27.75" customHeight="1">
      <c r="A43" s="6">
        <v>6863.0</v>
      </c>
      <c r="B43" s="12" t="s">
        <v>25</v>
      </c>
      <c r="C43" s="12">
        <v>802.0</v>
      </c>
      <c r="D43" s="6" t="s">
        <v>14069</v>
      </c>
      <c r="E43" s="26" t="s">
        <v>14070</v>
      </c>
      <c r="F43" s="21">
        <v>42583.0</v>
      </c>
      <c r="G43" s="65">
        <v>42583.0</v>
      </c>
      <c r="H43" s="67">
        <v>42591.0</v>
      </c>
      <c r="I43" s="485" t="s">
        <v>14071</v>
      </c>
    </row>
    <row r="44" ht="27.75" customHeight="1">
      <c r="A44" s="6">
        <v>6861.0</v>
      </c>
      <c r="B44" s="12" t="s">
        <v>21</v>
      </c>
      <c r="C44" s="12">
        <v>52.0</v>
      </c>
      <c r="D44" s="6" t="s">
        <v>14072</v>
      </c>
      <c r="E44" s="26" t="s">
        <v>14073</v>
      </c>
      <c r="F44" s="21">
        <v>42579.0</v>
      </c>
      <c r="G44" s="14">
        <v>42583.0</v>
      </c>
      <c r="H44" s="67">
        <v>42583.0</v>
      </c>
      <c r="I44" s="485" t="s">
        <v>14074</v>
      </c>
    </row>
    <row r="45" ht="27.75" customHeight="1">
      <c r="A45" s="6">
        <v>6835.0</v>
      </c>
      <c r="B45" s="12" t="s">
        <v>25</v>
      </c>
      <c r="C45" s="12">
        <v>273.0</v>
      </c>
      <c r="D45" s="6" t="s">
        <v>14075</v>
      </c>
      <c r="E45" s="26" t="s">
        <v>14076</v>
      </c>
      <c r="F45" s="21">
        <v>42578.0</v>
      </c>
      <c r="G45" s="14">
        <v>42576.0</v>
      </c>
      <c r="H45" s="67">
        <v>42586.0</v>
      </c>
      <c r="I45" s="485" t="s">
        <v>14077</v>
      </c>
    </row>
    <row r="46" ht="27.75" customHeight="1">
      <c r="A46" s="6">
        <v>6837.0</v>
      </c>
      <c r="B46" s="12" t="s">
        <v>21</v>
      </c>
      <c r="C46" s="12">
        <v>618.0</v>
      </c>
      <c r="D46" s="6" t="s">
        <v>14078</v>
      </c>
      <c r="E46" s="26" t="s">
        <v>14079</v>
      </c>
      <c r="F46" s="21">
        <v>42577.0</v>
      </c>
      <c r="G46" s="125">
        <v>42584.0</v>
      </c>
      <c r="H46" s="67">
        <v>42585.0</v>
      </c>
      <c r="I46" s="718" t="s">
        <v>14080</v>
      </c>
    </row>
    <row r="47" ht="27.75" customHeight="1">
      <c r="A47" s="6">
        <v>6839.0</v>
      </c>
      <c r="B47" s="12" t="s">
        <v>21</v>
      </c>
      <c r="C47" s="12">
        <v>522.0</v>
      </c>
      <c r="D47" s="6" t="s">
        <v>14081</v>
      </c>
      <c r="E47" s="26" t="s">
        <v>14082</v>
      </c>
      <c r="F47" s="21">
        <v>42577.0</v>
      </c>
      <c r="G47" s="125">
        <v>42584.0</v>
      </c>
      <c r="H47" s="67">
        <v>42585.0</v>
      </c>
      <c r="I47" s="718" t="s">
        <v>14083</v>
      </c>
    </row>
    <row r="48" ht="27.75" customHeight="1">
      <c r="A48" s="6">
        <v>6831.0</v>
      </c>
      <c r="B48" s="12" t="s">
        <v>14</v>
      </c>
      <c r="C48" s="12">
        <v>672.0</v>
      </c>
      <c r="D48" s="6" t="s">
        <v>14084</v>
      </c>
      <c r="E48" s="26" t="s">
        <v>14085</v>
      </c>
      <c r="F48" s="21">
        <v>42576.0</v>
      </c>
      <c r="G48" s="14">
        <v>42573.0</v>
      </c>
      <c r="H48" s="67">
        <v>42580.0</v>
      </c>
      <c r="I48" s="485" t="s">
        <v>14086</v>
      </c>
    </row>
    <row r="49" ht="27.75" customHeight="1">
      <c r="A49" s="6">
        <v>6840.0</v>
      </c>
      <c r="B49" s="12" t="s">
        <v>25</v>
      </c>
      <c r="C49" s="12">
        <v>302.0</v>
      </c>
      <c r="D49" s="6" t="s">
        <v>14087</v>
      </c>
      <c r="E49" s="26" t="s">
        <v>14070</v>
      </c>
      <c r="F49" s="21">
        <v>42575.0</v>
      </c>
      <c r="G49" s="14">
        <v>42571.0</v>
      </c>
      <c r="H49" s="67">
        <v>42583.0</v>
      </c>
      <c r="I49" s="718" t="s">
        <v>14088</v>
      </c>
    </row>
    <row r="50" ht="27.75" customHeight="1">
      <c r="A50" s="6">
        <v>6838.0</v>
      </c>
      <c r="B50" s="12" t="s">
        <v>14</v>
      </c>
      <c r="C50" s="12">
        <v>1176.0</v>
      </c>
      <c r="D50" s="6" t="s">
        <v>14089</v>
      </c>
      <c r="E50" s="26" t="s">
        <v>14090</v>
      </c>
      <c r="F50" s="21">
        <v>42570.0</v>
      </c>
      <c r="G50" s="14">
        <v>42566.0</v>
      </c>
      <c r="H50" s="67">
        <v>42576.0</v>
      </c>
      <c r="I50" s="718" t="s">
        <v>14091</v>
      </c>
    </row>
    <row r="51" ht="27.75" customHeight="1">
      <c r="A51" s="6">
        <v>6803.0</v>
      </c>
      <c r="B51" s="12" t="s">
        <v>21</v>
      </c>
      <c r="C51" s="12">
        <v>69.0</v>
      </c>
      <c r="D51" s="6" t="s">
        <v>14092</v>
      </c>
      <c r="E51" s="26" t="s">
        <v>14093</v>
      </c>
      <c r="F51" s="21">
        <v>42570.0</v>
      </c>
      <c r="G51" s="14">
        <v>42566.0</v>
      </c>
      <c r="H51" s="16">
        <v>42570.0</v>
      </c>
      <c r="I51" s="485" t="s">
        <v>14094</v>
      </c>
    </row>
    <row r="52" ht="27.75" customHeight="1">
      <c r="A52" s="6">
        <v>6834.0</v>
      </c>
      <c r="B52" s="12" t="s">
        <v>14</v>
      </c>
      <c r="C52" s="12">
        <v>944.0</v>
      </c>
      <c r="D52" s="6" t="s">
        <v>14095</v>
      </c>
      <c r="E52" s="26" t="s">
        <v>14096</v>
      </c>
      <c r="F52" s="21">
        <v>42570.0</v>
      </c>
      <c r="G52" s="478">
        <v>42594.0</v>
      </c>
      <c r="H52" s="67">
        <v>42573.0</v>
      </c>
      <c r="I52" s="718" t="s">
        <v>14097</v>
      </c>
    </row>
    <row r="53" ht="27.75" customHeight="1">
      <c r="A53" s="6">
        <v>6790.0</v>
      </c>
      <c r="B53" s="12" t="s">
        <v>14</v>
      </c>
      <c r="C53" s="12">
        <v>600.0</v>
      </c>
      <c r="D53" s="6" t="s">
        <v>14098</v>
      </c>
      <c r="E53" s="26" t="s">
        <v>14099</v>
      </c>
      <c r="F53" s="21">
        <v>42543.0</v>
      </c>
      <c r="G53" s="14">
        <v>42542.0</v>
      </c>
      <c r="H53" s="67">
        <v>42548.0</v>
      </c>
      <c r="I53" s="63" t="s">
        <v>14100</v>
      </c>
    </row>
    <row r="54" ht="27.75" customHeight="1">
      <c r="A54" s="6">
        <v>6795.0</v>
      </c>
      <c r="B54" s="12" t="s">
        <v>21</v>
      </c>
      <c r="C54" s="12">
        <v>499.0</v>
      </c>
      <c r="D54" s="6" t="s">
        <v>14101</v>
      </c>
      <c r="E54" s="26" t="s">
        <v>14102</v>
      </c>
      <c r="F54" s="21">
        <v>42542.0</v>
      </c>
      <c r="G54" s="14">
        <v>42542.0</v>
      </c>
      <c r="H54" s="67">
        <v>42549.0</v>
      </c>
      <c r="I54" s="63" t="s">
        <v>14103</v>
      </c>
    </row>
    <row r="55" ht="27.75" customHeight="1">
      <c r="A55" s="6">
        <v>6787.0</v>
      </c>
      <c r="B55" s="12" t="s">
        <v>25</v>
      </c>
      <c r="C55" s="12">
        <v>323.0</v>
      </c>
      <c r="D55" s="6" t="s">
        <v>14104</v>
      </c>
      <c r="E55" s="26" t="s">
        <v>14105</v>
      </c>
      <c r="F55" s="21">
        <v>42536.0</v>
      </c>
      <c r="G55" s="14">
        <v>42535.0</v>
      </c>
      <c r="H55" s="16">
        <v>42542.0</v>
      </c>
      <c r="I55" s="63" t="s">
        <v>14106</v>
      </c>
    </row>
    <row r="56" ht="27.75" customHeight="1">
      <c r="A56" s="6">
        <v>6774.0</v>
      </c>
      <c r="B56" s="12" t="s">
        <v>14</v>
      </c>
      <c r="C56" s="12">
        <v>2450.0</v>
      </c>
      <c r="D56" s="6" t="s">
        <v>14107</v>
      </c>
      <c r="E56" s="26" t="s">
        <v>14108</v>
      </c>
      <c r="F56" s="21">
        <v>42531.0</v>
      </c>
      <c r="G56" s="14">
        <v>42527.0</v>
      </c>
      <c r="H56" s="16">
        <v>42534.0</v>
      </c>
      <c r="I56" s="63" t="s">
        <v>14109</v>
      </c>
    </row>
    <row r="57" ht="27.75" customHeight="1">
      <c r="A57" s="6">
        <v>6779.0</v>
      </c>
      <c r="B57" s="12" t="s">
        <v>21</v>
      </c>
      <c r="C57" s="12">
        <v>368.0</v>
      </c>
      <c r="D57" s="6" t="s">
        <v>14110</v>
      </c>
      <c r="E57" s="26" t="s">
        <v>14111</v>
      </c>
      <c r="F57" s="21">
        <v>42531.0</v>
      </c>
      <c r="G57" s="14">
        <v>42527.0</v>
      </c>
      <c r="H57" s="16">
        <v>42537.0</v>
      </c>
      <c r="I57" s="63" t="s">
        <v>14112</v>
      </c>
    </row>
    <row r="58" ht="27.75" customHeight="1">
      <c r="A58" s="6">
        <v>6780.0</v>
      </c>
      <c r="B58" s="12" t="s">
        <v>21</v>
      </c>
      <c r="C58" s="12">
        <v>2401.0</v>
      </c>
      <c r="D58" s="6" t="s">
        <v>14113</v>
      </c>
      <c r="E58" s="26" t="s">
        <v>14114</v>
      </c>
      <c r="F58" s="21">
        <v>42531.0</v>
      </c>
      <c r="G58" s="14">
        <v>42527.0</v>
      </c>
      <c r="H58" s="16">
        <v>42537.0</v>
      </c>
      <c r="I58" s="63" t="s">
        <v>14115</v>
      </c>
    </row>
    <row r="59" ht="27.75" customHeight="1">
      <c r="A59" s="6">
        <v>6781.0</v>
      </c>
      <c r="B59" s="12" t="s">
        <v>25</v>
      </c>
      <c r="C59" s="12">
        <v>942.0</v>
      </c>
      <c r="D59" s="6" t="s">
        <v>14116</v>
      </c>
      <c r="E59" s="26" t="s">
        <v>14117</v>
      </c>
      <c r="F59" s="21">
        <v>42529.0</v>
      </c>
      <c r="G59" s="14">
        <v>42528.0</v>
      </c>
      <c r="H59" s="16">
        <v>42534.0</v>
      </c>
      <c r="I59" s="63" t="s">
        <v>14118</v>
      </c>
    </row>
    <row r="60" ht="27.75" customHeight="1">
      <c r="A60" s="6">
        <v>6749.0</v>
      </c>
      <c r="B60" s="12" t="s">
        <v>14</v>
      </c>
      <c r="C60" s="12">
        <v>109.0</v>
      </c>
      <c r="D60" s="6" t="s">
        <v>14119</v>
      </c>
      <c r="E60" s="26" t="s">
        <v>14120</v>
      </c>
      <c r="F60" s="21">
        <v>42526.0</v>
      </c>
      <c r="G60" s="65">
        <v>42521.0</v>
      </c>
      <c r="H60" s="16">
        <v>42534.0</v>
      </c>
      <c r="I60" s="485" t="s">
        <v>14121</v>
      </c>
    </row>
    <row r="61" ht="27.75" customHeight="1">
      <c r="A61" s="6">
        <v>6750.0</v>
      </c>
      <c r="B61" s="12" t="s">
        <v>21</v>
      </c>
      <c r="C61" s="12">
        <v>523.0</v>
      </c>
      <c r="D61" s="6" t="s">
        <v>14122</v>
      </c>
      <c r="E61" s="26" t="s">
        <v>14105</v>
      </c>
      <c r="F61" s="21">
        <v>42521.0</v>
      </c>
      <c r="G61" s="67">
        <v>42524.0</v>
      </c>
      <c r="H61" s="16">
        <v>42530.0</v>
      </c>
      <c r="I61" s="63" t="s">
        <v>14123</v>
      </c>
      <c r="J61" s="411"/>
    </row>
    <row r="62" ht="27.75" customHeight="1">
      <c r="A62" s="6">
        <v>6751.0</v>
      </c>
      <c r="B62" s="12" t="s">
        <v>25</v>
      </c>
      <c r="C62" s="12">
        <v>152.0</v>
      </c>
      <c r="D62" s="6" t="s">
        <v>14124</v>
      </c>
      <c r="E62" s="26" t="s">
        <v>14125</v>
      </c>
      <c r="F62" s="21">
        <v>42517.0</v>
      </c>
      <c r="G62" s="65">
        <v>42514.0</v>
      </c>
      <c r="H62" s="16">
        <v>42522.0</v>
      </c>
      <c r="I62" s="63" t="s">
        <v>14126</v>
      </c>
    </row>
    <row r="63" ht="27.75" customHeight="1">
      <c r="A63" s="6">
        <v>6743.0</v>
      </c>
      <c r="B63" s="12" t="s">
        <v>14</v>
      </c>
      <c r="C63" s="12">
        <v>568.0</v>
      </c>
      <c r="D63" s="6" t="s">
        <v>14127</v>
      </c>
      <c r="E63" s="26" t="s">
        <v>14128</v>
      </c>
      <c r="F63" s="21">
        <v>42515.0</v>
      </c>
      <c r="G63" s="65">
        <v>42509.0</v>
      </c>
      <c r="H63" s="16">
        <v>42516.0</v>
      </c>
      <c r="I63" s="63" t="s">
        <v>14129</v>
      </c>
    </row>
    <row r="64" ht="27.75" customHeight="1">
      <c r="A64" s="6">
        <v>6738.0</v>
      </c>
      <c r="B64" s="12" t="s">
        <v>21</v>
      </c>
      <c r="C64" s="12">
        <v>1446.0</v>
      </c>
      <c r="D64" s="6" t="s">
        <v>14130</v>
      </c>
      <c r="E64" s="26" t="s">
        <v>14131</v>
      </c>
      <c r="F64" s="21">
        <v>42510.0</v>
      </c>
      <c r="G64" s="67">
        <v>42523.0</v>
      </c>
      <c r="H64" s="16">
        <v>42516.0</v>
      </c>
      <c r="I64" s="485" t="s">
        <v>14132</v>
      </c>
    </row>
    <row r="65" ht="27.75" customHeight="1">
      <c r="A65" s="6">
        <v>6737.0</v>
      </c>
      <c r="B65" s="12" t="s">
        <v>14</v>
      </c>
      <c r="C65" s="12">
        <v>1949.0</v>
      </c>
      <c r="D65" s="6" t="s">
        <v>14133</v>
      </c>
      <c r="E65" s="26" t="s">
        <v>14134</v>
      </c>
      <c r="F65" s="21">
        <v>42509.0</v>
      </c>
      <c r="G65" s="67">
        <v>42513.0</v>
      </c>
      <c r="H65" s="16">
        <v>42513.0</v>
      </c>
      <c r="I65" s="485" t="s">
        <v>14135</v>
      </c>
    </row>
    <row r="66" ht="27.75" customHeight="1">
      <c r="A66" s="6">
        <v>6744.0</v>
      </c>
      <c r="B66" s="12" t="s">
        <v>21</v>
      </c>
      <c r="C66" s="12">
        <v>1008.0</v>
      </c>
      <c r="D66" s="6" t="s">
        <v>14136</v>
      </c>
      <c r="E66" s="26" t="s">
        <v>14085</v>
      </c>
      <c r="F66" s="21">
        <v>42504.0</v>
      </c>
      <c r="G66" s="67">
        <v>42513.0</v>
      </c>
      <c r="H66" s="16">
        <v>42509.0</v>
      </c>
      <c r="I66" s="63" t="s">
        <v>14137</v>
      </c>
    </row>
    <row r="67" ht="27.75" customHeight="1">
      <c r="A67" s="6">
        <v>6689.0</v>
      </c>
      <c r="B67" s="12" t="s">
        <v>14</v>
      </c>
      <c r="C67" s="12">
        <v>761.0</v>
      </c>
      <c r="D67" s="6" t="s">
        <v>14138</v>
      </c>
      <c r="E67" s="26" t="s">
        <v>14139</v>
      </c>
      <c r="F67" s="21">
        <v>42490.0</v>
      </c>
      <c r="G67" s="65">
        <v>42481.0</v>
      </c>
      <c r="H67" s="16">
        <v>42486.0</v>
      </c>
      <c r="I67" s="63" t="s">
        <v>14140</v>
      </c>
    </row>
    <row r="68" ht="27.75" customHeight="1">
      <c r="A68" s="6">
        <v>6699.0</v>
      </c>
      <c r="B68" s="12" t="s">
        <v>21</v>
      </c>
      <c r="C68" s="12">
        <v>1323.0</v>
      </c>
      <c r="D68" s="6" t="s">
        <v>14141</v>
      </c>
      <c r="E68" s="26" t="s">
        <v>14108</v>
      </c>
      <c r="F68" s="21">
        <v>42482.0</v>
      </c>
      <c r="G68" s="719">
        <v>42478.0</v>
      </c>
      <c r="H68" s="16">
        <v>42488.0</v>
      </c>
      <c r="I68" s="63" t="s">
        <v>14142</v>
      </c>
    </row>
    <row r="69" ht="27.75" customHeight="1">
      <c r="A69" s="6">
        <v>6700.0</v>
      </c>
      <c r="B69" s="12" t="s">
        <v>14</v>
      </c>
      <c r="C69" s="12">
        <v>2183.0</v>
      </c>
      <c r="D69" s="6" t="s">
        <v>14143</v>
      </c>
      <c r="E69" s="26" t="s">
        <v>14108</v>
      </c>
      <c r="F69" s="21">
        <v>42480.0</v>
      </c>
      <c r="G69" s="65">
        <v>42481.0</v>
      </c>
      <c r="H69" s="16">
        <v>42486.0</v>
      </c>
      <c r="I69" s="63" t="s">
        <v>14144</v>
      </c>
    </row>
    <row r="70" ht="27.75" customHeight="1">
      <c r="A70" s="6">
        <v>6688.0</v>
      </c>
      <c r="B70" s="12" t="s">
        <v>21</v>
      </c>
      <c r="C70" s="12">
        <v>517.0</v>
      </c>
      <c r="D70" s="6" t="s">
        <v>14145</v>
      </c>
      <c r="E70" s="26" t="s">
        <v>14105</v>
      </c>
      <c r="F70" s="21">
        <v>42479.0</v>
      </c>
      <c r="G70" s="65">
        <v>42481.0</v>
      </c>
      <c r="H70" s="16">
        <v>42485.0</v>
      </c>
      <c r="I70" s="63" t="s">
        <v>14146</v>
      </c>
    </row>
    <row r="71" ht="27.75" customHeight="1">
      <c r="A71" s="6">
        <v>6673.0</v>
      </c>
      <c r="B71" s="12" t="s">
        <v>14</v>
      </c>
      <c r="C71" s="12">
        <v>672.0</v>
      </c>
      <c r="D71" s="6" t="s">
        <v>14147</v>
      </c>
      <c r="E71" s="26" t="s">
        <v>14085</v>
      </c>
      <c r="F71" s="21">
        <v>42471.0</v>
      </c>
      <c r="G71" s="719">
        <v>42468.0</v>
      </c>
      <c r="H71" s="16">
        <v>42475.0</v>
      </c>
      <c r="I71" s="63" t="s">
        <v>14148</v>
      </c>
    </row>
    <row r="72" ht="27.75" customHeight="1">
      <c r="A72" s="6">
        <v>6643.0</v>
      </c>
      <c r="B72" s="12" t="s">
        <v>21</v>
      </c>
      <c r="C72" s="12">
        <v>110.0</v>
      </c>
      <c r="D72" s="6" t="s">
        <v>14149</v>
      </c>
      <c r="E72" s="26" t="s">
        <v>14120</v>
      </c>
      <c r="F72" s="21">
        <v>42464.0</v>
      </c>
      <c r="G72" s="67">
        <v>42509.0</v>
      </c>
      <c r="H72" s="16">
        <v>42473.0</v>
      </c>
      <c r="I72" s="64" t="s">
        <v>14150</v>
      </c>
    </row>
    <row r="73" ht="27.75" customHeight="1">
      <c r="A73" s="6">
        <v>6650.0</v>
      </c>
      <c r="B73" s="12" t="s">
        <v>14</v>
      </c>
      <c r="C73" s="12">
        <v>543.0</v>
      </c>
      <c r="D73" s="6" t="s">
        <v>14151</v>
      </c>
      <c r="E73" s="26" t="s">
        <v>14152</v>
      </c>
      <c r="F73" s="21">
        <v>42459.0</v>
      </c>
      <c r="G73" s="65">
        <v>42473.0</v>
      </c>
      <c r="H73" s="16">
        <v>42464.0</v>
      </c>
      <c r="I73" s="64" t="s">
        <v>14153</v>
      </c>
    </row>
    <row r="74" ht="27.75" customHeight="1">
      <c r="A74" s="6">
        <v>6652.0</v>
      </c>
      <c r="B74" s="12" t="s">
        <v>25</v>
      </c>
      <c r="C74" s="12">
        <v>209.0</v>
      </c>
      <c r="D74" s="6" t="s">
        <v>14154</v>
      </c>
      <c r="E74" s="26" t="s">
        <v>14105</v>
      </c>
      <c r="F74" s="21">
        <v>42454.0</v>
      </c>
      <c r="G74" s="719">
        <v>42451.0</v>
      </c>
      <c r="H74" s="16">
        <v>42458.0</v>
      </c>
      <c r="I74" s="64" t="s">
        <v>14155</v>
      </c>
    </row>
    <row r="75" ht="27.75" customHeight="1">
      <c r="A75" s="6">
        <v>6651.0</v>
      </c>
      <c r="B75" s="12" t="s">
        <v>25</v>
      </c>
      <c r="C75" s="12">
        <v>580.0</v>
      </c>
      <c r="D75" s="6" t="s">
        <v>14156</v>
      </c>
      <c r="E75" s="26" t="s">
        <v>14139</v>
      </c>
      <c r="F75" s="21">
        <v>42454.0</v>
      </c>
      <c r="G75" s="719">
        <v>42451.0</v>
      </c>
      <c r="H75" s="16">
        <v>42461.0</v>
      </c>
      <c r="I75" s="64" t="s">
        <v>14157</v>
      </c>
    </row>
    <row r="76" ht="27.75" customHeight="1">
      <c r="A76" s="6">
        <v>6657.0</v>
      </c>
      <c r="B76" s="12" t="s">
        <v>25</v>
      </c>
      <c r="C76" s="12">
        <v>1538.0</v>
      </c>
      <c r="D76" s="6" t="s">
        <v>14063</v>
      </c>
      <c r="E76" s="26" t="s">
        <v>14158</v>
      </c>
      <c r="F76" s="21">
        <v>42454.0</v>
      </c>
      <c r="G76" s="719">
        <v>42451.0</v>
      </c>
      <c r="H76" s="16">
        <v>42459.0</v>
      </c>
      <c r="I76" s="64" t="s">
        <v>14159</v>
      </c>
    </row>
    <row r="77" ht="27.75" customHeight="1">
      <c r="A77" s="6">
        <v>6656.0</v>
      </c>
      <c r="B77" s="12" t="s">
        <v>25</v>
      </c>
      <c r="C77" s="12">
        <v>759.0</v>
      </c>
      <c r="D77" s="6" t="s">
        <v>14160</v>
      </c>
      <c r="E77" s="26" t="s">
        <v>14161</v>
      </c>
      <c r="F77" s="720">
        <v>42454.0</v>
      </c>
      <c r="G77" s="719">
        <v>42451.0</v>
      </c>
      <c r="H77" s="16">
        <v>42460.0</v>
      </c>
      <c r="I77" s="64" t="s">
        <v>14162</v>
      </c>
    </row>
    <row r="78" ht="27.75" customHeight="1">
      <c r="A78" s="6">
        <v>6655.0</v>
      </c>
      <c r="B78" s="12" t="s">
        <v>14</v>
      </c>
      <c r="C78" s="12">
        <v>1428.0</v>
      </c>
      <c r="D78" s="6" t="s">
        <v>14163</v>
      </c>
      <c r="E78" s="26" t="s">
        <v>14164</v>
      </c>
      <c r="F78" s="21">
        <v>42448.0</v>
      </c>
      <c r="G78" s="719">
        <v>42452.0</v>
      </c>
      <c r="H78" s="16">
        <v>42087.0</v>
      </c>
      <c r="I78" s="64" t="s">
        <v>14165</v>
      </c>
    </row>
    <row r="79" ht="27.75" customHeight="1">
      <c r="A79" s="6">
        <v>6603.0</v>
      </c>
      <c r="B79" s="12" t="s">
        <v>14</v>
      </c>
      <c r="C79" s="12">
        <v>853.0</v>
      </c>
      <c r="D79" s="6" t="s">
        <v>14166</v>
      </c>
      <c r="E79" s="26" t="s">
        <v>14167</v>
      </c>
      <c r="F79" s="21">
        <v>42427.0</v>
      </c>
      <c r="G79" s="719">
        <v>42430.0</v>
      </c>
      <c r="H79" s="16">
        <v>42431.0</v>
      </c>
      <c r="I79" s="64" t="s">
        <v>14168</v>
      </c>
    </row>
    <row r="80" ht="27.75" customHeight="1">
      <c r="A80" s="6">
        <v>6618.0</v>
      </c>
      <c r="B80" s="12" t="s">
        <v>25</v>
      </c>
      <c r="C80" s="12">
        <v>6654.0</v>
      </c>
      <c r="D80" s="6" t="s">
        <v>14169</v>
      </c>
      <c r="E80" s="26" t="s">
        <v>14170</v>
      </c>
      <c r="F80" s="21">
        <v>42426.0</v>
      </c>
      <c r="G80" s="719">
        <v>42426.0</v>
      </c>
      <c r="H80" s="16">
        <v>42433.0</v>
      </c>
      <c r="I80" s="63" t="s">
        <v>14171</v>
      </c>
    </row>
    <row r="81" ht="27.75" customHeight="1">
      <c r="A81" s="6">
        <v>6604.0</v>
      </c>
      <c r="B81" s="12" t="s">
        <v>25</v>
      </c>
      <c r="C81" s="12">
        <v>191.0</v>
      </c>
      <c r="D81" s="6" t="s">
        <v>14172</v>
      </c>
      <c r="E81" s="26" t="s">
        <v>14173</v>
      </c>
      <c r="F81" s="21">
        <v>42419.0</v>
      </c>
      <c r="G81" s="719">
        <v>42417.0</v>
      </c>
      <c r="H81" s="16">
        <v>42424.0</v>
      </c>
      <c r="I81" s="63" t="s">
        <v>14174</v>
      </c>
    </row>
    <row r="82" ht="27.75" customHeight="1">
      <c r="A82" s="6">
        <v>6613.0</v>
      </c>
      <c r="B82" s="12" t="s">
        <v>25</v>
      </c>
      <c r="C82" s="12">
        <v>1754.0</v>
      </c>
      <c r="D82" s="6" t="s">
        <v>14175</v>
      </c>
      <c r="E82" s="26" t="s">
        <v>14176</v>
      </c>
      <c r="F82" s="21">
        <v>42419.0</v>
      </c>
      <c r="G82" s="719">
        <v>42417.0</v>
      </c>
      <c r="H82" s="16">
        <v>42426.0</v>
      </c>
      <c r="I82" s="63" t="s">
        <v>14177</v>
      </c>
    </row>
    <row r="83" ht="27.75" customHeight="1">
      <c r="A83" s="6">
        <v>6606.0</v>
      </c>
      <c r="B83" s="12" t="s">
        <v>14</v>
      </c>
      <c r="C83" s="12">
        <v>2268.0</v>
      </c>
      <c r="D83" s="6" t="s">
        <v>14178</v>
      </c>
      <c r="E83" s="26" t="s">
        <v>14179</v>
      </c>
      <c r="F83" s="21">
        <v>42417.0</v>
      </c>
      <c r="G83" s="719">
        <v>42412.0</v>
      </c>
      <c r="H83" s="16">
        <v>42423.0</v>
      </c>
      <c r="I83" s="63" t="s">
        <v>14180</v>
      </c>
    </row>
    <row r="84" ht="27.75" customHeight="1">
      <c r="A84" s="6">
        <v>6620.0</v>
      </c>
      <c r="B84" s="12" t="s">
        <v>25</v>
      </c>
      <c r="C84" s="12">
        <v>672.0</v>
      </c>
      <c r="D84" s="6" t="s">
        <v>14181</v>
      </c>
      <c r="E84" s="26" t="s">
        <v>14085</v>
      </c>
      <c r="F84" s="21">
        <v>42416.0</v>
      </c>
      <c r="G84" s="719">
        <v>42416.0</v>
      </c>
      <c r="H84" s="16">
        <v>42423.0</v>
      </c>
      <c r="I84" s="63" t="s">
        <v>14182</v>
      </c>
    </row>
    <row r="85" ht="27.75" customHeight="1">
      <c r="A85" s="6">
        <v>6575.0</v>
      </c>
      <c r="B85" s="12" t="s">
        <v>21</v>
      </c>
      <c r="C85" s="12">
        <v>280.0</v>
      </c>
      <c r="D85" s="6" t="s">
        <v>14183</v>
      </c>
      <c r="E85" s="26" t="s">
        <v>14114</v>
      </c>
      <c r="F85" s="21">
        <v>42408.0</v>
      </c>
      <c r="G85" s="719">
        <v>42403.0</v>
      </c>
      <c r="H85" s="16">
        <v>42409.0</v>
      </c>
      <c r="I85" s="64" t="s">
        <v>14184</v>
      </c>
    </row>
    <row r="86" ht="27.75" customHeight="1">
      <c r="A86" s="6">
        <v>6560.0</v>
      </c>
      <c r="B86" s="12" t="s">
        <v>21</v>
      </c>
      <c r="C86" s="12">
        <v>1180.0</v>
      </c>
      <c r="D86" s="6" t="s">
        <v>14185</v>
      </c>
      <c r="E86" s="26" t="s">
        <v>14186</v>
      </c>
      <c r="F86" s="21">
        <v>42392.0</v>
      </c>
      <c r="G86" s="65">
        <v>42389.0</v>
      </c>
      <c r="H86" s="16">
        <v>42397.0</v>
      </c>
      <c r="I86" s="64" t="s">
        <v>14187</v>
      </c>
    </row>
    <row r="87" ht="27.75" customHeight="1">
      <c r="A87" s="6">
        <v>6559.0</v>
      </c>
      <c r="B87" s="12" t="s">
        <v>21</v>
      </c>
      <c r="C87" s="12">
        <v>356.0</v>
      </c>
      <c r="D87" s="6" t="s">
        <v>14188</v>
      </c>
      <c r="E87" s="26" t="s">
        <v>14189</v>
      </c>
      <c r="F87" s="21">
        <v>42390.0</v>
      </c>
      <c r="G87" s="719">
        <v>42388.0</v>
      </c>
      <c r="H87" s="16">
        <v>42398.0</v>
      </c>
      <c r="I87" s="64" t="s">
        <v>14190</v>
      </c>
    </row>
    <row r="88" ht="27.75" customHeight="1">
      <c r="A88" s="6">
        <v>6558.0</v>
      </c>
      <c r="B88" s="12" t="s">
        <v>14</v>
      </c>
      <c r="C88" s="12">
        <v>605.0</v>
      </c>
      <c r="D88" s="6" t="s">
        <v>14191</v>
      </c>
      <c r="E88" s="26" t="s">
        <v>14099</v>
      </c>
      <c r="F88" s="21">
        <v>42387.0</v>
      </c>
      <c r="G88" s="719">
        <v>42383.0</v>
      </c>
      <c r="H88" s="16">
        <v>42389.0</v>
      </c>
      <c r="I88" s="9" t="s">
        <v>14192</v>
      </c>
    </row>
    <row r="89" ht="27.75" customHeight="1">
      <c r="A89" s="6">
        <v>6562.0</v>
      </c>
      <c r="B89" s="12" t="s">
        <v>14</v>
      </c>
      <c r="C89" s="12">
        <v>1390.0</v>
      </c>
      <c r="D89" s="6" t="s">
        <v>14193</v>
      </c>
      <c r="E89" s="26" t="s">
        <v>14194</v>
      </c>
      <c r="F89" s="21">
        <v>42387.0</v>
      </c>
      <c r="G89" s="719">
        <v>42383.0</v>
      </c>
      <c r="H89" s="16">
        <v>42390.0</v>
      </c>
      <c r="I89" s="9" t="s">
        <v>14195</v>
      </c>
    </row>
    <row r="90" ht="27.75" customHeight="1">
      <c r="A90" s="6">
        <v>6561.0</v>
      </c>
      <c r="B90" s="12" t="s">
        <v>25</v>
      </c>
      <c r="C90" s="12">
        <v>888.0</v>
      </c>
      <c r="D90" s="6" t="s">
        <v>14196</v>
      </c>
      <c r="E90" s="26" t="s">
        <v>14197</v>
      </c>
      <c r="F90" s="21">
        <v>42387.0</v>
      </c>
      <c r="G90" s="719">
        <v>42384.0</v>
      </c>
      <c r="H90" s="16">
        <v>42390.0</v>
      </c>
      <c r="I90" s="9" t="s">
        <v>14198</v>
      </c>
    </row>
    <row r="91" ht="12.75" customHeight="1">
      <c r="A91" s="6">
        <v>6557.0</v>
      </c>
      <c r="B91" s="12" t="s">
        <v>25</v>
      </c>
      <c r="C91" s="12">
        <v>200.0</v>
      </c>
      <c r="D91" s="6" t="s">
        <v>14199</v>
      </c>
      <c r="E91" s="26" t="s">
        <v>14105</v>
      </c>
      <c r="F91" s="21">
        <v>42384.0</v>
      </c>
      <c r="G91" s="719">
        <v>42382.0</v>
      </c>
      <c r="H91" s="16">
        <v>42389.0</v>
      </c>
      <c r="I91" s="9" t="s">
        <v>14200</v>
      </c>
    </row>
    <row r="92" ht="12.75" customHeight="1">
      <c r="A92" s="6">
        <v>6542.0</v>
      </c>
      <c r="B92" s="12" t="s">
        <v>14</v>
      </c>
      <c r="C92" s="12">
        <v>672.0</v>
      </c>
      <c r="D92" s="6" t="s">
        <v>14201</v>
      </c>
      <c r="E92" s="26" t="s">
        <v>14085</v>
      </c>
      <c r="F92" s="21">
        <v>42380.0</v>
      </c>
      <c r="G92" s="719">
        <v>42377.0</v>
      </c>
      <c r="H92" s="16">
        <v>42383.0</v>
      </c>
      <c r="I92" s="9" t="s">
        <v>14202</v>
      </c>
    </row>
    <row r="93" ht="12.75" customHeight="1">
      <c r="A93" s="6"/>
      <c r="B93" s="12"/>
      <c r="C93" s="12"/>
      <c r="D93" s="6"/>
      <c r="E93" s="26"/>
      <c r="F93" s="21"/>
      <c r="G93" s="719"/>
      <c r="H93" s="74"/>
      <c r="I93" s="9"/>
    </row>
    <row r="94" ht="12.75" customHeight="1">
      <c r="A94" s="6"/>
      <c r="B94" s="12"/>
      <c r="C94" s="12"/>
      <c r="D94" s="6"/>
      <c r="E94" s="26"/>
      <c r="F94" s="21"/>
      <c r="G94" s="719"/>
      <c r="H94" s="84"/>
      <c r="I94" s="9"/>
    </row>
    <row r="95" ht="12.75" customHeight="1">
      <c r="D95" s="484"/>
      <c r="F95" s="484"/>
    </row>
    <row r="96" ht="12.75" customHeight="1">
      <c r="D96" s="484"/>
      <c r="F96" s="484"/>
    </row>
    <row r="97" ht="12.75" customHeight="1">
      <c r="D97" s="484"/>
      <c r="F97" s="484"/>
    </row>
    <row r="98" ht="12.75" customHeight="1">
      <c r="D98" s="484"/>
      <c r="F98" s="484"/>
    </row>
    <row r="99" ht="12.75" customHeight="1">
      <c r="D99" s="484"/>
      <c r="F99" s="484"/>
    </row>
    <row r="100" ht="12.75" customHeight="1">
      <c r="D100" s="484"/>
      <c r="F100" s="484"/>
    </row>
    <row r="101" ht="12.75" customHeight="1">
      <c r="D101" s="484"/>
      <c r="F101" s="484"/>
    </row>
    <row r="102" ht="12.75" customHeight="1">
      <c r="D102" s="484"/>
      <c r="F102" s="484"/>
    </row>
    <row r="103" ht="12.75" customHeight="1">
      <c r="D103" s="484"/>
      <c r="F103" s="484"/>
    </row>
    <row r="104" ht="12.75" customHeight="1">
      <c r="D104" s="484"/>
      <c r="F104" s="484"/>
    </row>
    <row r="105" ht="12.75" customHeight="1">
      <c r="D105" s="484"/>
      <c r="F105" s="484"/>
    </row>
    <row r="106" ht="12.75" customHeight="1">
      <c r="D106" s="484"/>
      <c r="F106" s="484"/>
    </row>
    <row r="107" ht="12.75" customHeight="1">
      <c r="D107" s="484"/>
      <c r="F107" s="484"/>
    </row>
    <row r="108" ht="12.75" customHeight="1">
      <c r="D108" s="484"/>
      <c r="F108" s="484"/>
    </row>
    <row r="109" ht="12.75" customHeight="1">
      <c r="D109" s="484"/>
      <c r="F109" s="484"/>
    </row>
    <row r="110" ht="12.75" customHeight="1">
      <c r="D110" s="484"/>
      <c r="F110" s="484"/>
    </row>
    <row r="111" ht="12.75" customHeight="1">
      <c r="D111" s="484"/>
      <c r="F111" s="484"/>
    </row>
    <row r="112" ht="12.75" customHeight="1">
      <c r="D112" s="484"/>
      <c r="F112" s="484"/>
    </row>
    <row r="113" ht="12.75" customHeight="1">
      <c r="D113" s="484"/>
      <c r="F113" s="484"/>
    </row>
    <row r="114" ht="12.75" customHeight="1">
      <c r="D114" s="484"/>
      <c r="F114" s="484"/>
    </row>
    <row r="115" ht="12.75" customHeight="1">
      <c r="D115" s="484"/>
      <c r="F115" s="484"/>
    </row>
    <row r="116" ht="12.75" customHeight="1">
      <c r="D116" s="484"/>
      <c r="F116" s="484"/>
    </row>
    <row r="117" ht="12.75" customHeight="1">
      <c r="D117" s="484"/>
      <c r="F117" s="484"/>
    </row>
    <row r="118" ht="12.75" customHeight="1">
      <c r="D118" s="484"/>
      <c r="F118" s="484"/>
    </row>
    <row r="119" ht="12.75" customHeight="1">
      <c r="D119" s="484"/>
      <c r="F119" s="484"/>
    </row>
    <row r="120" ht="12.75" customHeight="1">
      <c r="D120" s="484"/>
      <c r="F120" s="484"/>
    </row>
    <row r="121" ht="12.75" customHeight="1">
      <c r="D121" s="484"/>
      <c r="F121" s="484"/>
    </row>
    <row r="122" ht="12.75" customHeight="1">
      <c r="D122" s="484"/>
      <c r="F122" s="484"/>
    </row>
    <row r="123" ht="12.75" customHeight="1">
      <c r="D123" s="484"/>
      <c r="F123" s="484"/>
    </row>
    <row r="124" ht="12.75" customHeight="1">
      <c r="D124" s="484"/>
      <c r="F124" s="484"/>
    </row>
    <row r="125" ht="12.75" customHeight="1">
      <c r="D125" s="484"/>
      <c r="F125" s="484"/>
    </row>
    <row r="126" ht="12.75" customHeight="1">
      <c r="D126" s="484"/>
      <c r="F126" s="484"/>
    </row>
    <row r="127" ht="12.75" customHeight="1">
      <c r="D127" s="484"/>
      <c r="F127" s="484"/>
    </row>
    <row r="128" ht="12.75" customHeight="1">
      <c r="D128" s="484"/>
      <c r="F128" s="484"/>
    </row>
    <row r="129" ht="12.75" customHeight="1">
      <c r="D129" s="484"/>
      <c r="F129" s="484"/>
    </row>
    <row r="130" ht="12.75" customHeight="1">
      <c r="D130" s="484"/>
      <c r="F130" s="484"/>
    </row>
    <row r="131" ht="12.75" customHeight="1">
      <c r="D131" s="484"/>
      <c r="F131" s="484"/>
    </row>
    <row r="132" ht="12.75" customHeight="1">
      <c r="D132" s="484"/>
      <c r="F132" s="484"/>
    </row>
    <row r="133" ht="12.75" customHeight="1">
      <c r="D133" s="484"/>
      <c r="F133" s="484"/>
    </row>
    <row r="134" ht="12.75" customHeight="1">
      <c r="D134" s="484"/>
      <c r="F134" s="484"/>
    </row>
    <row r="135" ht="12.75" customHeight="1">
      <c r="D135" s="484"/>
      <c r="F135" s="484"/>
    </row>
    <row r="136" ht="12.75" customHeight="1">
      <c r="D136" s="484"/>
      <c r="F136" s="484"/>
    </row>
    <row r="137" ht="12.75" customHeight="1">
      <c r="D137" s="484"/>
      <c r="F137" s="484"/>
    </row>
    <row r="138" ht="12.75" customHeight="1">
      <c r="D138" s="484"/>
      <c r="F138" s="484"/>
    </row>
    <row r="139" ht="12.75" customHeight="1">
      <c r="D139" s="484"/>
      <c r="F139" s="484"/>
    </row>
    <row r="140" ht="12.75" customHeight="1">
      <c r="D140" s="484"/>
      <c r="F140" s="484"/>
    </row>
    <row r="141" ht="12.75" customHeight="1">
      <c r="D141" s="484"/>
      <c r="F141" s="484"/>
    </row>
    <row r="142" ht="12.75" customHeight="1">
      <c r="D142" s="484"/>
      <c r="F142" s="484"/>
    </row>
    <row r="143" ht="12.75" customHeight="1">
      <c r="D143" s="484"/>
      <c r="F143" s="484"/>
    </row>
    <row r="144" ht="12.75" customHeight="1">
      <c r="D144" s="484"/>
      <c r="F144" s="484"/>
    </row>
    <row r="145" ht="12.75" customHeight="1">
      <c r="D145" s="484"/>
      <c r="F145" s="484"/>
    </row>
    <row r="146" ht="12.75" customHeight="1">
      <c r="D146" s="484"/>
      <c r="F146" s="484"/>
    </row>
    <row r="147" ht="12.75" customHeight="1">
      <c r="D147" s="484"/>
      <c r="F147" s="484"/>
    </row>
    <row r="148" ht="12.75" customHeight="1">
      <c r="D148" s="484"/>
      <c r="F148" s="484"/>
    </row>
    <row r="149" ht="12.75" customHeight="1">
      <c r="D149" s="484"/>
      <c r="F149" s="484"/>
    </row>
    <row r="150" ht="12.75" customHeight="1">
      <c r="D150" s="484"/>
      <c r="F150" s="484"/>
    </row>
    <row r="151" ht="12.75" customHeight="1">
      <c r="D151" s="484"/>
      <c r="F151" s="484"/>
    </row>
    <row r="152" ht="12.75" customHeight="1">
      <c r="D152" s="484"/>
      <c r="F152" s="484"/>
    </row>
    <row r="153" ht="12.75" customHeight="1">
      <c r="D153" s="484"/>
      <c r="F153" s="484"/>
    </row>
    <row r="154" ht="12.75" customHeight="1">
      <c r="D154" s="484"/>
      <c r="F154" s="484"/>
    </row>
    <row r="155" ht="12.75" customHeight="1">
      <c r="D155" s="484"/>
      <c r="F155" s="484"/>
    </row>
    <row r="156" ht="12.75" customHeight="1">
      <c r="D156" s="484"/>
      <c r="F156" s="484"/>
    </row>
    <row r="157" ht="12.75" customHeight="1">
      <c r="D157" s="484"/>
      <c r="F157" s="484"/>
    </row>
    <row r="158" ht="12.75" customHeight="1">
      <c r="D158" s="484"/>
      <c r="F158" s="484"/>
    </row>
    <row r="159" ht="12.75" customHeight="1">
      <c r="D159" s="484"/>
      <c r="F159" s="484"/>
    </row>
    <row r="160" ht="12.75" customHeight="1">
      <c r="D160" s="484"/>
      <c r="F160" s="484"/>
    </row>
    <row r="161" ht="12.75" customHeight="1">
      <c r="D161" s="484"/>
      <c r="F161" s="484"/>
    </row>
    <row r="162" ht="12.75" customHeight="1">
      <c r="D162" s="484"/>
      <c r="F162" s="484"/>
    </row>
    <row r="163" ht="12.75" customHeight="1">
      <c r="D163" s="484"/>
      <c r="F163" s="484"/>
    </row>
    <row r="164" ht="12.75" customHeight="1">
      <c r="D164" s="484"/>
      <c r="F164" s="484"/>
    </row>
    <row r="165" ht="12.75" customHeight="1">
      <c r="D165" s="484"/>
      <c r="F165" s="484"/>
    </row>
    <row r="166" ht="12.75" customHeight="1">
      <c r="D166" s="484"/>
      <c r="F166" s="484"/>
    </row>
    <row r="167" ht="12.75" customHeight="1">
      <c r="D167" s="484"/>
      <c r="F167" s="484"/>
    </row>
    <row r="168" ht="12.75" customHeight="1">
      <c r="D168" s="484"/>
      <c r="F168" s="484"/>
    </row>
    <row r="169" ht="12.75" customHeight="1">
      <c r="D169" s="484"/>
      <c r="F169" s="484"/>
    </row>
    <row r="170" ht="12.75" customHeight="1">
      <c r="D170" s="484"/>
      <c r="F170" s="484"/>
    </row>
    <row r="171" ht="12.75" customHeight="1">
      <c r="D171" s="484"/>
      <c r="F171" s="484"/>
    </row>
    <row r="172" ht="12.75" customHeight="1">
      <c r="D172" s="484"/>
      <c r="F172" s="484"/>
    </row>
    <row r="173" ht="12.75" customHeight="1">
      <c r="D173" s="484"/>
      <c r="F173" s="484"/>
    </row>
    <row r="174" ht="12.75" customHeight="1">
      <c r="D174" s="484"/>
      <c r="F174" s="484"/>
    </row>
    <row r="175" ht="12.75" customHeight="1">
      <c r="D175" s="484"/>
      <c r="F175" s="484"/>
    </row>
    <row r="176" ht="12.75" customHeight="1">
      <c r="D176" s="484"/>
      <c r="F176" s="484"/>
    </row>
    <row r="177" ht="12.75" customHeight="1">
      <c r="D177" s="484"/>
      <c r="F177" s="484"/>
    </row>
    <row r="178" ht="12.75" customHeight="1">
      <c r="D178" s="484"/>
      <c r="F178" s="484"/>
    </row>
    <row r="179" ht="12.75" customHeight="1">
      <c r="D179" s="484"/>
      <c r="F179" s="484"/>
    </row>
    <row r="180" ht="12.75" customHeight="1">
      <c r="D180" s="484"/>
      <c r="F180" s="484"/>
    </row>
    <row r="181" ht="12.75" customHeight="1">
      <c r="D181" s="484"/>
      <c r="F181" s="484"/>
    </row>
    <row r="182" ht="12.75" customHeight="1">
      <c r="D182" s="484"/>
      <c r="F182" s="484"/>
    </row>
    <row r="183" ht="12.75" customHeight="1">
      <c r="D183" s="484"/>
      <c r="F183" s="484"/>
    </row>
    <row r="184" ht="12.75" customHeight="1">
      <c r="D184" s="484"/>
      <c r="F184" s="484"/>
    </row>
    <row r="185" ht="12.75" customHeight="1">
      <c r="D185" s="484"/>
      <c r="F185" s="484"/>
    </row>
    <row r="186" ht="12.75" customHeight="1">
      <c r="D186" s="484"/>
      <c r="F186" s="484"/>
    </row>
    <row r="187" ht="12.75" customHeight="1">
      <c r="D187" s="484"/>
      <c r="F187" s="484"/>
    </row>
    <row r="188" ht="12.75" customHeight="1">
      <c r="D188" s="484"/>
      <c r="F188" s="484"/>
    </row>
    <row r="189" ht="12.75" customHeight="1">
      <c r="D189" s="484"/>
      <c r="F189" s="484"/>
    </row>
    <row r="190" ht="12.75" customHeight="1">
      <c r="D190" s="484"/>
      <c r="F190" s="484"/>
    </row>
    <row r="191" ht="12.75" customHeight="1">
      <c r="D191" s="484"/>
      <c r="F191" s="484"/>
    </row>
    <row r="192" ht="12.75" customHeight="1">
      <c r="D192" s="484"/>
      <c r="F192" s="484"/>
    </row>
    <row r="193" ht="12.75" customHeight="1">
      <c r="D193" s="484"/>
      <c r="F193" s="484"/>
    </row>
    <row r="194" ht="12.75" customHeight="1">
      <c r="D194" s="484"/>
      <c r="F194" s="484"/>
    </row>
    <row r="195" ht="12.75" customHeight="1">
      <c r="D195" s="484"/>
      <c r="F195" s="484"/>
    </row>
    <row r="196" ht="12.75" customHeight="1">
      <c r="D196" s="484"/>
      <c r="F196" s="484"/>
    </row>
    <row r="197" ht="12.75" customHeight="1">
      <c r="D197" s="484"/>
      <c r="F197" s="484"/>
    </row>
    <row r="198" ht="12.75" customHeight="1">
      <c r="D198" s="484"/>
      <c r="F198" s="484"/>
    </row>
    <row r="199" ht="12.75" customHeight="1">
      <c r="D199" s="484"/>
      <c r="F199" s="484"/>
    </row>
    <row r="200" ht="12.75" customHeight="1">
      <c r="D200" s="484"/>
      <c r="F200" s="484"/>
    </row>
    <row r="201" ht="12.75" customHeight="1">
      <c r="D201" s="484"/>
      <c r="F201" s="484"/>
    </row>
    <row r="202" ht="12.75" customHeight="1">
      <c r="D202" s="484"/>
      <c r="F202" s="484"/>
    </row>
    <row r="203" ht="12.75" customHeight="1">
      <c r="D203" s="484"/>
      <c r="F203" s="484"/>
    </row>
    <row r="204" ht="12.75" customHeight="1">
      <c r="D204" s="484"/>
      <c r="F204" s="484"/>
    </row>
    <row r="205" ht="12.75" customHeight="1">
      <c r="D205" s="484"/>
      <c r="F205" s="484"/>
    </row>
    <row r="206" ht="12.75" customHeight="1">
      <c r="D206" s="484"/>
      <c r="F206" s="484"/>
    </row>
    <row r="207" ht="12.75" customHeight="1">
      <c r="D207" s="484"/>
      <c r="F207" s="484"/>
    </row>
    <row r="208" ht="12.75" customHeight="1">
      <c r="D208" s="484"/>
      <c r="F208" s="484"/>
    </row>
    <row r="209" ht="12.75" customHeight="1">
      <c r="D209" s="484"/>
      <c r="F209" s="484"/>
    </row>
    <row r="210" ht="12.75" customHeight="1">
      <c r="D210" s="484"/>
      <c r="F210" s="484"/>
    </row>
    <row r="211" ht="12.75" customHeight="1">
      <c r="D211" s="484"/>
      <c r="F211" s="484"/>
    </row>
    <row r="212" ht="12.75" customHeight="1">
      <c r="D212" s="484"/>
      <c r="F212" s="484"/>
    </row>
    <row r="213" ht="12.75" customHeight="1">
      <c r="D213" s="484"/>
      <c r="F213" s="484"/>
    </row>
    <row r="214" ht="12.75" customHeight="1">
      <c r="D214" s="484"/>
      <c r="F214" s="484"/>
    </row>
    <row r="215" ht="12.75" customHeight="1">
      <c r="D215" s="484"/>
      <c r="F215" s="484"/>
    </row>
    <row r="216" ht="12.75" customHeight="1">
      <c r="D216" s="484"/>
      <c r="F216" s="484"/>
    </row>
    <row r="217" ht="12.75" customHeight="1">
      <c r="D217" s="484"/>
      <c r="F217" s="484"/>
    </row>
    <row r="218" ht="12.75" customHeight="1">
      <c r="D218" s="484"/>
      <c r="F218" s="484"/>
    </row>
    <row r="219" ht="12.75" customHeight="1">
      <c r="D219" s="484"/>
      <c r="F219" s="484"/>
    </row>
    <row r="220" ht="12.75" customHeight="1">
      <c r="D220" s="484"/>
      <c r="F220" s="484"/>
    </row>
    <row r="221" ht="12.75" customHeight="1">
      <c r="D221" s="484"/>
      <c r="F221" s="484"/>
    </row>
    <row r="222" ht="12.75" customHeight="1">
      <c r="D222" s="484"/>
      <c r="F222" s="484"/>
    </row>
    <row r="223" ht="12.75" customHeight="1">
      <c r="D223" s="484"/>
      <c r="F223" s="484"/>
    </row>
    <row r="224" ht="12.75" customHeight="1">
      <c r="D224" s="484"/>
      <c r="F224" s="484"/>
    </row>
    <row r="225" ht="12.75" customHeight="1">
      <c r="D225" s="484"/>
      <c r="F225" s="484"/>
    </row>
    <row r="226" ht="12.75" customHeight="1">
      <c r="D226" s="484"/>
      <c r="F226" s="484"/>
    </row>
    <row r="227" ht="12.75" customHeight="1">
      <c r="D227" s="484"/>
      <c r="F227" s="484"/>
    </row>
    <row r="228" ht="12.75" customHeight="1">
      <c r="D228" s="484"/>
      <c r="F228" s="484"/>
    </row>
    <row r="229" ht="12.75" customHeight="1">
      <c r="D229" s="484"/>
      <c r="F229" s="484"/>
    </row>
    <row r="230" ht="12.75" customHeight="1">
      <c r="D230" s="484"/>
      <c r="F230" s="484"/>
    </row>
    <row r="231" ht="12.75" customHeight="1">
      <c r="D231" s="484"/>
      <c r="F231" s="484"/>
    </row>
    <row r="232" ht="12.75" customHeight="1">
      <c r="D232" s="484"/>
      <c r="F232" s="484"/>
    </row>
    <row r="233" ht="12.75" customHeight="1">
      <c r="D233" s="484"/>
      <c r="F233" s="484"/>
    </row>
    <row r="234" ht="12.75" customHeight="1">
      <c r="D234" s="484"/>
      <c r="F234" s="484"/>
    </row>
    <row r="235" ht="12.75" customHeight="1">
      <c r="D235" s="484"/>
      <c r="F235" s="484"/>
    </row>
    <row r="236" ht="12.75" customHeight="1">
      <c r="D236" s="484"/>
      <c r="F236" s="484"/>
    </row>
    <row r="237" ht="12.75" customHeight="1">
      <c r="D237" s="484"/>
      <c r="F237" s="484"/>
    </row>
    <row r="238" ht="12.75" customHeight="1">
      <c r="D238" s="484"/>
      <c r="F238" s="484"/>
    </row>
    <row r="239" ht="12.75" customHeight="1">
      <c r="D239" s="484"/>
      <c r="F239" s="484"/>
    </row>
    <row r="240" ht="12.75" customHeight="1">
      <c r="D240" s="484"/>
      <c r="F240" s="484"/>
    </row>
    <row r="241" ht="12.75" customHeight="1">
      <c r="D241" s="484"/>
      <c r="F241" s="484"/>
    </row>
    <row r="242" ht="12.75" customHeight="1">
      <c r="D242" s="484"/>
      <c r="F242" s="484"/>
    </row>
    <row r="243" ht="12.75" customHeight="1">
      <c r="D243" s="484"/>
      <c r="F243" s="484"/>
    </row>
    <row r="244" ht="12.75" customHeight="1">
      <c r="D244" s="484"/>
      <c r="F244" s="484"/>
    </row>
    <row r="245" ht="12.75" customHeight="1">
      <c r="D245" s="484"/>
      <c r="F245" s="484"/>
    </row>
    <row r="246" ht="12.75" customHeight="1">
      <c r="D246" s="484"/>
      <c r="F246" s="484"/>
    </row>
    <row r="247" ht="12.75" customHeight="1">
      <c r="D247" s="484"/>
      <c r="F247" s="484"/>
    </row>
    <row r="248" ht="12.75" customHeight="1">
      <c r="D248" s="484"/>
      <c r="F248" s="484"/>
    </row>
    <row r="249" ht="12.75" customHeight="1">
      <c r="D249" s="484"/>
      <c r="F249" s="484"/>
    </row>
    <row r="250" ht="12.75" customHeight="1">
      <c r="D250" s="484"/>
      <c r="F250" s="484"/>
    </row>
    <row r="251" ht="12.75" customHeight="1">
      <c r="D251" s="484"/>
      <c r="F251" s="484"/>
    </row>
    <row r="252" ht="12.75" customHeight="1">
      <c r="D252" s="484"/>
      <c r="F252" s="484"/>
    </row>
    <row r="253" ht="12.75" customHeight="1">
      <c r="D253" s="484"/>
      <c r="F253" s="484"/>
    </row>
    <row r="254" ht="12.75" customHeight="1">
      <c r="D254" s="484"/>
      <c r="F254" s="484"/>
    </row>
    <row r="255" ht="12.75" customHeight="1">
      <c r="D255" s="484"/>
      <c r="F255" s="484"/>
    </row>
    <row r="256" ht="12.75" customHeight="1">
      <c r="D256" s="484"/>
      <c r="F256" s="484"/>
    </row>
    <row r="257" ht="12.75" customHeight="1">
      <c r="D257" s="484"/>
      <c r="F257" s="484"/>
    </row>
    <row r="258" ht="12.75" customHeight="1">
      <c r="D258" s="484"/>
      <c r="F258" s="484"/>
    </row>
    <row r="259" ht="12.75" customHeight="1">
      <c r="D259" s="484"/>
      <c r="F259" s="484"/>
    </row>
    <row r="260" ht="12.75" customHeight="1">
      <c r="D260" s="484"/>
      <c r="F260" s="484"/>
    </row>
    <row r="261" ht="12.75" customHeight="1">
      <c r="D261" s="484"/>
      <c r="F261" s="484"/>
    </row>
    <row r="262" ht="12.75" customHeight="1">
      <c r="D262" s="484"/>
      <c r="F262" s="484"/>
    </row>
    <row r="263" ht="12.75" customHeight="1">
      <c r="D263" s="484"/>
      <c r="F263" s="484"/>
    </row>
    <row r="264" ht="12.75" customHeight="1">
      <c r="D264" s="484"/>
      <c r="F264" s="484"/>
    </row>
    <row r="265" ht="12.75" customHeight="1">
      <c r="D265" s="484"/>
      <c r="F265" s="484"/>
    </row>
    <row r="266" ht="12.75" customHeight="1">
      <c r="D266" s="484"/>
      <c r="F266" s="484"/>
    </row>
    <row r="267" ht="12.75" customHeight="1">
      <c r="D267" s="484"/>
      <c r="F267" s="484"/>
    </row>
    <row r="268" ht="12.75" customHeight="1">
      <c r="D268" s="484"/>
      <c r="F268" s="484"/>
    </row>
    <row r="269" ht="12.75" customHeight="1">
      <c r="D269" s="484"/>
      <c r="F269" s="484"/>
    </row>
    <row r="270" ht="12.75" customHeight="1">
      <c r="D270" s="484"/>
      <c r="F270" s="484"/>
    </row>
    <row r="271" ht="12.75" customHeight="1">
      <c r="D271" s="484"/>
      <c r="F271" s="484"/>
    </row>
    <row r="272" ht="12.75" customHeight="1">
      <c r="D272" s="484"/>
      <c r="F272" s="484"/>
    </row>
    <row r="273" ht="12.75" customHeight="1">
      <c r="D273" s="484"/>
      <c r="F273" s="484"/>
    </row>
    <row r="274" ht="12.75" customHeight="1">
      <c r="D274" s="484"/>
      <c r="F274" s="484"/>
    </row>
    <row r="275" ht="12.75" customHeight="1">
      <c r="D275" s="484"/>
      <c r="F275" s="484"/>
    </row>
    <row r="276" ht="12.75" customHeight="1">
      <c r="D276" s="484"/>
      <c r="F276" s="484"/>
    </row>
    <row r="277" ht="12.75" customHeight="1">
      <c r="D277" s="484"/>
      <c r="F277" s="484"/>
    </row>
    <row r="278" ht="12.75" customHeight="1">
      <c r="D278" s="484"/>
      <c r="F278" s="484"/>
    </row>
    <row r="279" ht="12.75" customHeight="1">
      <c r="D279" s="484"/>
      <c r="F279" s="484"/>
    </row>
    <row r="280" ht="12.75" customHeight="1">
      <c r="D280" s="484"/>
      <c r="F280" s="484"/>
    </row>
    <row r="281" ht="12.75" customHeight="1">
      <c r="D281" s="484"/>
      <c r="F281" s="484"/>
    </row>
    <row r="282" ht="12.75" customHeight="1">
      <c r="D282" s="484"/>
      <c r="F282" s="484"/>
    </row>
    <row r="283" ht="12.75" customHeight="1">
      <c r="D283" s="484"/>
      <c r="F283" s="484"/>
    </row>
    <row r="284" ht="12.75" customHeight="1">
      <c r="D284" s="484"/>
      <c r="F284" s="484"/>
    </row>
    <row r="285" ht="12.75" customHeight="1">
      <c r="D285" s="484"/>
      <c r="F285" s="484"/>
    </row>
    <row r="286" ht="12.75" customHeight="1">
      <c r="D286" s="484"/>
      <c r="F286" s="484"/>
    </row>
    <row r="287" ht="12.75" customHeight="1">
      <c r="D287" s="484"/>
      <c r="F287" s="484"/>
    </row>
    <row r="288" ht="12.75" customHeight="1">
      <c r="D288" s="484"/>
      <c r="F288" s="484"/>
    </row>
    <row r="289" ht="12.75" customHeight="1">
      <c r="D289" s="484"/>
      <c r="F289" s="484"/>
    </row>
    <row r="290" ht="12.75" customHeight="1">
      <c r="D290" s="484"/>
      <c r="F290" s="484"/>
    </row>
    <row r="291" ht="12.75" customHeight="1">
      <c r="D291" s="484"/>
      <c r="F291" s="484"/>
    </row>
    <row r="292" ht="12.75" customHeight="1">
      <c r="D292" s="484"/>
      <c r="F292" s="484"/>
    </row>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I$92">
    <sortState ref="A3:I92">
      <sortCondition descending="1" ref="F3:F92"/>
      <sortCondition descending="1" ref="D3:D92"/>
    </sortState>
  </autoFilter>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71"/>
    <col customWidth="1" min="2" max="6" width="14.43"/>
  </cols>
  <sheetData>
    <row r="1" ht="12.75" customHeight="1">
      <c r="A1" s="142" t="s">
        <v>1931</v>
      </c>
    </row>
    <row r="2" ht="12.75" customHeight="1">
      <c r="A2" s="484" t="s">
        <v>7</v>
      </c>
      <c r="B2" s="484" t="s">
        <v>10</v>
      </c>
      <c r="C2" s="484" t="s">
        <v>4</v>
      </c>
      <c r="D2" s="484" t="s">
        <v>14203</v>
      </c>
      <c r="E2" s="484" t="s">
        <v>14204</v>
      </c>
      <c r="F2" s="484" t="s">
        <v>14205</v>
      </c>
    </row>
    <row r="3" ht="12.75" customHeight="1">
      <c r="A3" s="42">
        <v>30275.0</v>
      </c>
      <c r="B3" s="12" t="s">
        <v>8854</v>
      </c>
      <c r="C3" s="23">
        <v>42542.0</v>
      </c>
      <c r="D3" s="42">
        <v>94619.0</v>
      </c>
      <c r="E3" s="23">
        <v>42545.0</v>
      </c>
      <c r="F3" s="721" t="str">
        <f t="shared" ref="F3:F9" si="1">CHAR(10004)</f>
        <v>✔</v>
      </c>
    </row>
    <row r="4" ht="12.75" customHeight="1">
      <c r="A4" s="42">
        <v>29859.0</v>
      </c>
      <c r="B4" s="12" t="s">
        <v>8844</v>
      </c>
      <c r="C4" s="23">
        <v>42546.0</v>
      </c>
      <c r="D4" s="42">
        <v>94619.0</v>
      </c>
      <c r="E4" s="23">
        <v>42545.0</v>
      </c>
      <c r="F4" s="721" t="str">
        <f t="shared" si="1"/>
        <v>✔</v>
      </c>
    </row>
    <row r="5" ht="12.75" customHeight="1">
      <c r="A5" s="42">
        <v>30265.0</v>
      </c>
      <c r="B5" s="6" t="s">
        <v>14101</v>
      </c>
      <c r="C5" s="23">
        <v>42542.0</v>
      </c>
      <c r="D5" s="42">
        <v>94619.0</v>
      </c>
      <c r="E5" s="23">
        <v>42545.0</v>
      </c>
      <c r="F5" s="721" t="str">
        <f t="shared" si="1"/>
        <v>✔</v>
      </c>
    </row>
    <row r="6" ht="12.75" customHeight="1">
      <c r="A6" s="42">
        <v>30115.0</v>
      </c>
      <c r="B6" s="12" t="s">
        <v>8823</v>
      </c>
      <c r="C6" s="23">
        <v>42549.0</v>
      </c>
      <c r="D6" s="42">
        <v>94707.0</v>
      </c>
      <c r="E6" s="23">
        <v>42551.0</v>
      </c>
      <c r="F6" s="721" t="str">
        <f t="shared" si="1"/>
        <v>✔</v>
      </c>
    </row>
    <row r="7" ht="12.75" customHeight="1">
      <c r="A7" s="42">
        <v>29845.0</v>
      </c>
      <c r="B7" s="12" t="s">
        <v>8790</v>
      </c>
      <c r="C7" s="23">
        <v>42563.0</v>
      </c>
      <c r="D7" s="42">
        <v>94757.0</v>
      </c>
      <c r="E7" s="23">
        <v>42557.0</v>
      </c>
      <c r="F7" s="721" t="str">
        <f t="shared" si="1"/>
        <v>✔</v>
      </c>
    </row>
    <row r="8" ht="12.75" customHeight="1">
      <c r="A8" s="42">
        <v>30085.0</v>
      </c>
      <c r="B8" s="12" t="s">
        <v>8805</v>
      </c>
      <c r="C8" s="23">
        <v>42560.0</v>
      </c>
      <c r="D8" s="42">
        <v>94757.0</v>
      </c>
      <c r="E8" s="23">
        <v>42557.0</v>
      </c>
      <c r="F8" s="721" t="str">
        <f t="shared" si="1"/>
        <v>✔</v>
      </c>
    </row>
    <row r="9" ht="12.75" customHeight="1">
      <c r="A9" s="42">
        <v>30146.0</v>
      </c>
      <c r="B9" s="12" t="s">
        <v>8807</v>
      </c>
      <c r="C9" s="23">
        <v>42560.0</v>
      </c>
      <c r="D9" s="42">
        <v>94757.0</v>
      </c>
      <c r="E9" s="23">
        <v>42557.0</v>
      </c>
      <c r="F9" s="721" t="str">
        <f t="shared" si="1"/>
        <v>✔</v>
      </c>
    </row>
    <row r="10" ht="12.75" customHeight="1">
      <c r="A10" s="722" t="s">
        <v>14206</v>
      </c>
      <c r="B10" s="144"/>
      <c r="C10" s="144"/>
      <c r="D10" s="144"/>
      <c r="E10" s="144"/>
      <c r="F10" s="144"/>
    </row>
    <row r="11" ht="12.75" customHeight="1">
      <c r="A11" s="145" t="s">
        <v>7</v>
      </c>
      <c r="B11" s="146" t="s">
        <v>10</v>
      </c>
      <c r="C11" s="147"/>
      <c r="D11" s="145" t="s">
        <v>1932</v>
      </c>
      <c r="E11" s="145"/>
      <c r="F11" s="145"/>
    </row>
    <row r="12" ht="12.75" customHeight="1">
      <c r="A12" s="42">
        <v>30170.0</v>
      </c>
      <c r="B12" s="12" t="s">
        <v>8786</v>
      </c>
      <c r="C12" s="149"/>
      <c r="D12" s="48">
        <v>42564.0</v>
      </c>
      <c r="E12" s="42"/>
      <c r="F12" s="42"/>
    </row>
    <row r="13" ht="12.75" customHeight="1">
      <c r="A13" s="42">
        <v>29922.0</v>
      </c>
      <c r="B13" s="128" t="s">
        <v>8768</v>
      </c>
      <c r="C13" s="42"/>
      <c r="D13" s="48">
        <v>42576.0</v>
      </c>
      <c r="E13" s="42"/>
      <c r="F13" s="42"/>
    </row>
    <row r="14" ht="12.75" customHeight="1">
      <c r="A14" s="42">
        <v>30376.0</v>
      </c>
      <c r="B14" s="42" t="s">
        <v>14081</v>
      </c>
      <c r="C14" s="42"/>
      <c r="D14" s="48">
        <v>42578.0</v>
      </c>
      <c r="E14" s="42"/>
      <c r="F14" s="42"/>
    </row>
    <row r="15" ht="12.75" customHeight="1">
      <c r="A15" s="42">
        <v>30375.0</v>
      </c>
      <c r="B15" s="42" t="s">
        <v>14078</v>
      </c>
      <c r="C15" s="42"/>
      <c r="D15" s="48">
        <v>42578.0</v>
      </c>
      <c r="E15" s="42"/>
      <c r="F15" s="42"/>
    </row>
    <row r="16" ht="12.75" customHeight="1">
      <c r="A16" s="42" t="s">
        <v>14207</v>
      </c>
      <c r="B16" s="42" t="s">
        <v>8756</v>
      </c>
      <c r="C16" s="42"/>
      <c r="D16" s="48">
        <v>42578.0</v>
      </c>
      <c r="E16" s="42"/>
      <c r="F16" s="42"/>
    </row>
    <row r="17" ht="12.75" customHeight="1">
      <c r="A17" s="42">
        <v>30183.0</v>
      </c>
      <c r="B17" s="42" t="s">
        <v>8728</v>
      </c>
      <c r="C17" s="42"/>
      <c r="D17" s="48">
        <v>42594.0</v>
      </c>
      <c r="E17" s="42"/>
      <c r="F17" s="42"/>
    </row>
    <row r="18" ht="12.75" customHeight="1">
      <c r="A18" s="42">
        <v>30442.0</v>
      </c>
      <c r="B18" s="42" t="s">
        <v>8722</v>
      </c>
      <c r="C18" s="42"/>
      <c r="D18" s="48">
        <v>42594.0</v>
      </c>
      <c r="E18" s="42"/>
      <c r="F18" s="42"/>
    </row>
    <row r="19" ht="12.75" customHeight="1">
      <c r="A19" s="42">
        <v>30261.0</v>
      </c>
      <c r="B19" s="42" t="s">
        <v>8725</v>
      </c>
      <c r="C19" s="42"/>
      <c r="D19" s="48">
        <v>42594.0</v>
      </c>
      <c r="E19" s="42"/>
      <c r="F19" s="42"/>
    </row>
    <row r="20" ht="12.75" customHeight="1">
      <c r="A20" s="42">
        <v>29923.0</v>
      </c>
      <c r="B20" s="42" t="s">
        <v>8711</v>
      </c>
      <c r="C20" s="42"/>
      <c r="D20" s="48">
        <v>42594.0</v>
      </c>
      <c r="E20" s="42"/>
      <c r="F20" s="42"/>
    </row>
    <row r="21" ht="12.75" customHeight="1">
      <c r="A21" s="42" t="s">
        <v>14208</v>
      </c>
      <c r="B21" s="42" t="s">
        <v>8702</v>
      </c>
      <c r="C21" s="42"/>
      <c r="D21" s="48">
        <v>42605.0</v>
      </c>
      <c r="E21" s="42"/>
      <c r="F21" s="42"/>
    </row>
    <row r="22" ht="12.75" customHeight="1">
      <c r="A22" s="42">
        <v>30509.0</v>
      </c>
      <c r="B22" s="42" t="s">
        <v>8677</v>
      </c>
      <c r="C22" s="42"/>
      <c r="D22" s="48">
        <v>42612.0</v>
      </c>
      <c r="E22" s="42"/>
      <c r="F22" s="42"/>
    </row>
    <row r="23" ht="12.75" customHeight="1">
      <c r="A23" s="42">
        <v>30495.0</v>
      </c>
      <c r="B23" s="6" t="s">
        <v>14054</v>
      </c>
      <c r="C23" s="42"/>
      <c r="D23" s="48">
        <v>42613.0</v>
      </c>
      <c r="E23" s="42"/>
      <c r="F23" s="42"/>
    </row>
    <row r="24" ht="12.75" customHeight="1">
      <c r="A24" s="42">
        <v>30492.0</v>
      </c>
      <c r="B24" s="6" t="s">
        <v>14052</v>
      </c>
      <c r="C24" s="42"/>
      <c r="D24" s="48">
        <v>42613.0</v>
      </c>
      <c r="E24" s="42"/>
      <c r="F24" s="42"/>
    </row>
    <row r="25" ht="12.75" customHeight="1">
      <c r="A25" s="42">
        <v>30166.0</v>
      </c>
      <c r="B25" s="42" t="s">
        <v>8671</v>
      </c>
      <c r="C25" s="42"/>
      <c r="D25" s="48">
        <v>42613.0</v>
      </c>
      <c r="E25" s="42"/>
      <c r="F25" s="42"/>
    </row>
    <row r="26" ht="12.75" customHeight="1">
      <c r="A26" s="42">
        <v>30499.0</v>
      </c>
      <c r="B26" s="455" t="s">
        <v>8660</v>
      </c>
      <c r="C26" s="42"/>
      <c r="D26" s="48">
        <v>42619.0</v>
      </c>
      <c r="E26" s="42"/>
      <c r="F26" s="42"/>
    </row>
    <row r="27" ht="12.75" customHeight="1">
      <c r="A27" s="42">
        <v>30518.0</v>
      </c>
      <c r="B27" s="123" t="s">
        <v>8666</v>
      </c>
      <c r="C27" s="42"/>
      <c r="D27" s="48">
        <v>42619.0</v>
      </c>
      <c r="E27" s="42"/>
      <c r="F27" s="42"/>
    </row>
    <row r="28" ht="12.75" customHeight="1">
      <c r="A28" s="42">
        <v>30207.0</v>
      </c>
      <c r="B28" s="123" t="s">
        <v>8647</v>
      </c>
      <c r="C28" s="42"/>
      <c r="D28" s="48">
        <v>42620.0</v>
      </c>
      <c r="E28" s="42"/>
      <c r="F28" s="42"/>
    </row>
    <row r="29" ht="12.75" customHeight="1">
      <c r="A29" s="42">
        <v>30557.0</v>
      </c>
      <c r="B29" s="6" t="s">
        <v>14050</v>
      </c>
      <c r="C29" s="42"/>
      <c r="D29" s="48">
        <v>42625.0</v>
      </c>
      <c r="E29" s="42"/>
      <c r="F29" s="42"/>
    </row>
    <row r="30" ht="12.75" customHeight="1">
      <c r="A30" s="42">
        <v>30307.0</v>
      </c>
      <c r="B30" s="484" t="s">
        <v>8636</v>
      </c>
      <c r="C30" s="42"/>
      <c r="D30" s="48">
        <v>42625.0</v>
      </c>
      <c r="E30" s="42"/>
      <c r="F30" s="42"/>
    </row>
    <row r="31" ht="12.75" customHeight="1">
      <c r="A31" s="42">
        <v>30367.0</v>
      </c>
      <c r="B31" s="123" t="s">
        <v>8631</v>
      </c>
      <c r="C31" s="42"/>
      <c r="D31" s="48">
        <v>42626.0</v>
      </c>
      <c r="E31" s="42"/>
      <c r="F31" s="42"/>
    </row>
    <row r="32" ht="12.75" customHeight="1">
      <c r="A32" s="42">
        <v>30606.0</v>
      </c>
      <c r="B32" s="128" t="s">
        <v>14048</v>
      </c>
      <c r="C32" s="42"/>
      <c r="D32" s="48">
        <v>42629.0</v>
      </c>
      <c r="E32" s="42"/>
      <c r="F32" s="42"/>
    </row>
    <row r="33" ht="12.75" customHeight="1">
      <c r="A33" s="42">
        <v>30619.0</v>
      </c>
      <c r="B33" s="42" t="s">
        <v>8587</v>
      </c>
      <c r="C33" s="42"/>
      <c r="D33" s="48">
        <v>42640.0</v>
      </c>
      <c r="E33" s="42"/>
      <c r="F33" s="42"/>
    </row>
    <row r="34" ht="12.75" customHeight="1">
      <c r="A34" s="42" t="s">
        <v>14209</v>
      </c>
      <c r="B34" s="128" t="s">
        <v>14035</v>
      </c>
      <c r="C34" s="42"/>
      <c r="D34" s="48">
        <v>42641.0</v>
      </c>
      <c r="E34" s="42"/>
      <c r="F34" s="42"/>
    </row>
    <row r="35" ht="12.75" customHeight="1">
      <c r="A35" s="42">
        <v>30637.0</v>
      </c>
      <c r="B35" s="42" t="s">
        <v>8554</v>
      </c>
      <c r="C35" s="42"/>
      <c r="D35" s="48">
        <v>42656.0</v>
      </c>
      <c r="E35" s="42"/>
      <c r="F35" s="42"/>
    </row>
    <row r="36" ht="12.75" customHeight="1">
      <c r="A36" s="42">
        <v>30379.0</v>
      </c>
      <c r="B36" s="42" t="s">
        <v>8552</v>
      </c>
      <c r="C36" s="42"/>
      <c r="D36" s="48">
        <v>42657.0</v>
      </c>
      <c r="E36" s="42"/>
      <c r="F36" s="42"/>
    </row>
    <row r="37" ht="12.75" customHeight="1">
      <c r="A37" s="42">
        <v>30463.0</v>
      </c>
      <c r="B37" s="42" t="s">
        <v>8541</v>
      </c>
      <c r="C37" s="42"/>
      <c r="D37" s="48">
        <v>42660.0</v>
      </c>
      <c r="E37" s="42"/>
      <c r="F37" s="42"/>
    </row>
    <row r="38" ht="12.75" customHeight="1">
      <c r="A38" s="42">
        <v>30610.0</v>
      </c>
      <c r="B38" s="128" t="s">
        <v>14210</v>
      </c>
      <c r="C38" s="42"/>
      <c r="D38" s="48">
        <v>42663.0</v>
      </c>
      <c r="E38" s="42"/>
      <c r="F38" s="42"/>
    </row>
    <row r="39" ht="12.75" customHeight="1">
      <c r="A39" s="42">
        <v>30610.0</v>
      </c>
      <c r="B39" s="704" t="s">
        <v>14211</v>
      </c>
      <c r="C39" s="42"/>
      <c r="D39" s="48">
        <v>42663.0</v>
      </c>
      <c r="E39" s="42"/>
      <c r="F39" s="42"/>
    </row>
    <row r="40" ht="12.75" customHeight="1">
      <c r="A40" s="42">
        <v>30696.0</v>
      </c>
      <c r="B40" s="471" t="s">
        <v>14212</v>
      </c>
      <c r="C40" s="42"/>
      <c r="D40" s="48">
        <v>42667.0</v>
      </c>
      <c r="E40" s="42"/>
      <c r="F40" s="42"/>
    </row>
    <row r="41" ht="12.75" customHeight="1">
      <c r="A41" s="42">
        <v>30696.0</v>
      </c>
      <c r="B41" s="471" t="s">
        <v>14213</v>
      </c>
      <c r="C41" s="42"/>
      <c r="D41" s="23">
        <v>42667.0</v>
      </c>
      <c r="E41" s="42"/>
      <c r="F41" s="42"/>
    </row>
    <row r="42" ht="12.75" customHeight="1">
      <c r="A42" s="42">
        <v>30478.0</v>
      </c>
      <c r="B42" s="90" t="s">
        <v>8511</v>
      </c>
      <c r="C42" s="42"/>
      <c r="D42" s="23">
        <v>42668.0</v>
      </c>
      <c r="E42" s="42"/>
      <c r="F42" s="42"/>
    </row>
    <row r="43" ht="12.75" customHeight="1">
      <c r="A43" s="42">
        <v>30701.0</v>
      </c>
      <c r="B43" s="654" t="s">
        <v>14020</v>
      </c>
      <c r="C43" s="42"/>
      <c r="D43" s="23">
        <v>42670.0</v>
      </c>
      <c r="E43" s="42"/>
      <c r="F43" s="42"/>
    </row>
    <row r="44" ht="12.75" customHeight="1">
      <c r="A44" s="42">
        <v>30184.0</v>
      </c>
      <c r="B44" s="654" t="s">
        <v>8502</v>
      </c>
      <c r="C44" s="42"/>
      <c r="D44" s="23">
        <v>42674.0</v>
      </c>
      <c r="E44" s="42"/>
      <c r="F44" s="42"/>
    </row>
    <row r="45" ht="12.75" customHeight="1">
      <c r="A45" s="42">
        <v>30519.0</v>
      </c>
      <c r="B45" s="654" t="s">
        <v>8509</v>
      </c>
      <c r="C45" s="42"/>
      <c r="D45" s="23">
        <v>42674.0</v>
      </c>
      <c r="E45" s="42"/>
      <c r="F45" s="42"/>
    </row>
    <row r="46" ht="12.75" customHeight="1">
      <c r="A46" s="42">
        <v>30208.0</v>
      </c>
      <c r="B46" s="654" t="s">
        <v>8490</v>
      </c>
      <c r="C46" s="42"/>
      <c r="D46" s="23">
        <v>42678.0</v>
      </c>
      <c r="E46" s="42"/>
      <c r="F46" s="42"/>
    </row>
    <row r="47" ht="12.75" customHeight="1">
      <c r="A47" s="42">
        <v>30815.0</v>
      </c>
      <c r="B47" s="723" t="s">
        <v>8483</v>
      </c>
      <c r="C47" s="42"/>
      <c r="D47" s="23">
        <v>42688.0</v>
      </c>
      <c r="E47" s="42"/>
      <c r="F47" s="42"/>
    </row>
    <row r="48" ht="12.75" customHeight="1">
      <c r="A48" s="42">
        <v>30428.0</v>
      </c>
      <c r="B48" s="654" t="s">
        <v>8477</v>
      </c>
      <c r="C48" s="42"/>
      <c r="D48" s="23">
        <v>42689.0</v>
      </c>
      <c r="E48" s="42"/>
      <c r="F48" s="42"/>
    </row>
    <row r="49" ht="12.75" customHeight="1">
      <c r="A49" s="42">
        <v>30748.0</v>
      </c>
      <c r="B49" s="654" t="s">
        <v>8480</v>
      </c>
      <c r="C49" s="42"/>
      <c r="D49" s="23">
        <v>42689.0</v>
      </c>
      <c r="E49" s="42"/>
      <c r="F49" s="42"/>
    </row>
    <row r="50" ht="12.75" customHeight="1">
      <c r="A50" s="42">
        <v>30831.0</v>
      </c>
      <c r="B50" s="654" t="s">
        <v>8474</v>
      </c>
      <c r="C50" s="42"/>
      <c r="D50" s="23">
        <v>42690.0</v>
      </c>
      <c r="E50" s="42"/>
      <c r="F50" s="42"/>
    </row>
    <row r="51" ht="12.75" customHeight="1">
      <c r="A51" s="42">
        <v>30487.0</v>
      </c>
      <c r="B51" s="137" t="s">
        <v>14214</v>
      </c>
      <c r="C51" s="42"/>
      <c r="D51" s="149">
        <v>42696.0</v>
      </c>
      <c r="E51" s="42"/>
      <c r="F51" s="42"/>
    </row>
    <row r="52" ht="12.75" customHeight="1">
      <c r="A52" s="42">
        <v>30810.0</v>
      </c>
      <c r="B52" s="128" t="s">
        <v>13998</v>
      </c>
      <c r="C52" s="42"/>
      <c r="D52" s="23">
        <v>42696.0</v>
      </c>
      <c r="E52" s="42"/>
      <c r="F52" s="42"/>
    </row>
    <row r="53" ht="12.75" customHeight="1">
      <c r="A53" s="42">
        <v>30788.0</v>
      </c>
      <c r="B53" s="654" t="s">
        <v>14000</v>
      </c>
      <c r="C53" s="42"/>
      <c r="D53" s="23">
        <v>42696.0</v>
      </c>
      <c r="E53" s="42"/>
      <c r="F53" s="42"/>
    </row>
    <row r="54" ht="12.75" customHeight="1">
      <c r="A54" s="42">
        <v>30583.0</v>
      </c>
      <c r="B54" s="654" t="s">
        <v>8462</v>
      </c>
      <c r="C54" s="42"/>
      <c r="D54" s="23">
        <v>42697.0</v>
      </c>
      <c r="E54" s="42"/>
      <c r="F54" s="42"/>
    </row>
    <row r="55" ht="12.75" customHeight="1">
      <c r="A55" s="42">
        <v>30639.0</v>
      </c>
      <c r="B55" s="150" t="s">
        <v>8454</v>
      </c>
      <c r="C55" s="42"/>
      <c r="D55" s="23">
        <v>42697.0</v>
      </c>
      <c r="E55" s="42"/>
      <c r="F55" s="42"/>
    </row>
    <row r="56" ht="12.75" customHeight="1">
      <c r="A56" s="42">
        <v>30817.0</v>
      </c>
      <c r="B56" s="654" t="s">
        <v>13987</v>
      </c>
      <c r="C56" s="42"/>
      <c r="D56" s="23">
        <v>42702.0</v>
      </c>
      <c r="E56" s="42"/>
      <c r="F56" s="42"/>
    </row>
    <row r="57" ht="12.75" customHeight="1">
      <c r="A57" s="42">
        <v>30859.0</v>
      </c>
      <c r="B57" s="250" t="s">
        <v>13972</v>
      </c>
      <c r="C57" s="42"/>
      <c r="D57" s="23">
        <v>42724.0</v>
      </c>
      <c r="E57" s="42"/>
      <c r="F57" s="42"/>
    </row>
    <row r="58" ht="12.75" customHeight="1">
      <c r="A58" s="42">
        <v>30858.0</v>
      </c>
      <c r="B58" s="455" t="s">
        <v>13975</v>
      </c>
      <c r="C58" s="42"/>
      <c r="D58" s="23">
        <v>42724.0</v>
      </c>
      <c r="E58" s="42"/>
      <c r="F58" s="42"/>
    </row>
    <row r="59" ht="12.75" customHeight="1">
      <c r="A59" s="42">
        <v>30885.0</v>
      </c>
      <c r="B59" s="42" t="s">
        <v>13940</v>
      </c>
      <c r="C59" s="42"/>
      <c r="D59" s="23">
        <v>42733.0</v>
      </c>
      <c r="E59" s="42"/>
      <c r="F59" s="42"/>
      <c r="G59" s="484"/>
      <c r="H59" s="484"/>
      <c r="I59" s="484"/>
      <c r="J59" s="484"/>
      <c r="K59" s="484"/>
      <c r="L59" s="484"/>
      <c r="M59" s="484"/>
      <c r="N59" s="484"/>
      <c r="O59" s="484"/>
      <c r="P59" s="484"/>
      <c r="Q59" s="484"/>
      <c r="R59" s="484"/>
      <c r="S59" s="484"/>
      <c r="T59" s="484"/>
      <c r="U59" s="484"/>
      <c r="V59" s="484"/>
      <c r="W59" s="484"/>
      <c r="X59" s="484"/>
      <c r="Y59" s="484"/>
      <c r="Z59" s="484"/>
    </row>
    <row r="60" ht="12.75" customHeight="1">
      <c r="A60" s="42">
        <v>30482.0</v>
      </c>
      <c r="B60" s="42" t="s">
        <v>13944</v>
      </c>
      <c r="C60" s="42"/>
      <c r="D60" s="23">
        <v>42733.0</v>
      </c>
      <c r="E60" s="42"/>
      <c r="F60" s="42"/>
    </row>
    <row r="61" ht="12.75" customHeight="1">
      <c r="A61" s="484"/>
      <c r="B61" s="484"/>
      <c r="C61" s="484"/>
      <c r="D61" s="484"/>
      <c r="E61" s="484"/>
      <c r="F61" s="484"/>
    </row>
    <row r="62" ht="12.75" customHeight="1">
      <c r="A62" s="484"/>
      <c r="B62" s="484"/>
      <c r="C62" s="484"/>
      <c r="D62" s="484"/>
      <c r="E62" s="484"/>
      <c r="F62" s="484"/>
    </row>
    <row r="63" ht="12.75" customHeight="1">
      <c r="A63" s="484"/>
      <c r="B63" s="484"/>
      <c r="C63" s="484"/>
      <c r="D63" s="484"/>
      <c r="E63" s="484"/>
      <c r="F63" s="484"/>
    </row>
    <row r="64" ht="12.75" customHeight="1">
      <c r="A64" s="484"/>
      <c r="B64" s="484"/>
      <c r="C64" s="484"/>
      <c r="D64" s="484"/>
      <c r="E64" s="484"/>
      <c r="F64" s="484"/>
    </row>
    <row r="65" ht="12.75" customHeight="1">
      <c r="A65" s="484"/>
      <c r="B65" s="484"/>
      <c r="C65" s="484"/>
      <c r="D65" s="484"/>
      <c r="E65" s="484"/>
      <c r="F65" s="484"/>
    </row>
    <row r="66" ht="12.75" customHeight="1">
      <c r="A66" s="484"/>
      <c r="B66" s="484"/>
      <c r="C66" s="484"/>
      <c r="D66" s="484"/>
      <c r="E66" s="484"/>
      <c r="F66" s="484"/>
    </row>
    <row r="67" ht="12.75" customHeight="1">
      <c r="A67" s="484"/>
      <c r="B67" s="484"/>
      <c r="C67" s="484"/>
      <c r="D67" s="484"/>
      <c r="E67" s="484"/>
      <c r="F67" s="484"/>
    </row>
    <row r="68" ht="12.75" customHeight="1">
      <c r="A68" s="484"/>
      <c r="B68" s="484"/>
      <c r="C68" s="484"/>
      <c r="D68" s="484"/>
      <c r="E68" s="484"/>
      <c r="F68" s="484"/>
    </row>
    <row r="69" ht="12.75" customHeight="1">
      <c r="A69" s="484"/>
      <c r="B69" s="484"/>
      <c r="C69" s="484"/>
      <c r="D69" s="484"/>
      <c r="E69" s="484"/>
      <c r="F69" s="484"/>
    </row>
    <row r="70" ht="12.75" customHeight="1">
      <c r="A70" s="484"/>
      <c r="B70" s="484"/>
      <c r="C70" s="484"/>
      <c r="D70" s="484"/>
      <c r="E70" s="484"/>
      <c r="F70" s="484"/>
    </row>
    <row r="71" ht="12.75" customHeight="1">
      <c r="A71" s="484"/>
      <c r="B71" s="484"/>
      <c r="C71" s="484"/>
      <c r="D71" s="484"/>
      <c r="E71" s="484"/>
      <c r="F71" s="484"/>
    </row>
    <row r="72" ht="12.75" customHeight="1">
      <c r="A72" s="484"/>
      <c r="B72" s="484"/>
      <c r="C72" s="484"/>
      <c r="D72" s="484"/>
      <c r="E72" s="484"/>
      <c r="F72" s="484"/>
    </row>
    <row r="73" ht="12.75" customHeight="1">
      <c r="A73" s="484"/>
      <c r="B73" s="484"/>
      <c r="C73" s="484"/>
      <c r="D73" s="484"/>
      <c r="E73" s="484"/>
      <c r="F73" s="484"/>
    </row>
    <row r="74" ht="12.75" customHeight="1">
      <c r="A74" s="484"/>
      <c r="B74" s="484"/>
      <c r="C74" s="484"/>
      <c r="D74" s="484"/>
      <c r="E74" s="484"/>
      <c r="F74" s="484"/>
    </row>
    <row r="75" ht="12.75" customHeight="1">
      <c r="A75" s="484"/>
      <c r="B75" s="484"/>
      <c r="C75" s="484"/>
      <c r="D75" s="484"/>
      <c r="E75" s="484"/>
      <c r="F75" s="484"/>
    </row>
    <row r="76" ht="12.75" customHeight="1">
      <c r="A76" s="484"/>
      <c r="B76" s="484"/>
      <c r="C76" s="484"/>
      <c r="D76" s="484"/>
      <c r="E76" s="484"/>
      <c r="F76" s="484"/>
    </row>
    <row r="77" ht="12.75" customHeight="1">
      <c r="A77" s="484"/>
      <c r="B77" s="484"/>
      <c r="C77" s="484"/>
      <c r="D77" s="484"/>
      <c r="E77" s="484"/>
      <c r="F77" s="484"/>
    </row>
    <row r="78" ht="12.75" customHeight="1">
      <c r="A78" s="484"/>
      <c r="B78" s="484"/>
      <c r="C78" s="484"/>
      <c r="D78" s="484"/>
      <c r="E78" s="484"/>
      <c r="F78" s="484"/>
    </row>
    <row r="79" ht="12.75" customHeight="1">
      <c r="A79" s="484"/>
      <c r="B79" s="484"/>
      <c r="C79" s="484"/>
      <c r="D79" s="484"/>
      <c r="E79" s="484"/>
      <c r="F79" s="484"/>
    </row>
    <row r="80" ht="12.75" customHeight="1">
      <c r="A80" s="484"/>
      <c r="B80" s="484"/>
      <c r="C80" s="484"/>
      <c r="D80" s="484"/>
      <c r="E80" s="484"/>
      <c r="F80" s="484"/>
    </row>
    <row r="81" ht="12.75" customHeight="1">
      <c r="A81" s="484"/>
      <c r="B81" s="484"/>
      <c r="C81" s="484"/>
      <c r="D81" s="484"/>
      <c r="E81" s="484"/>
      <c r="F81" s="484"/>
    </row>
    <row r="82" ht="12.75" customHeight="1">
      <c r="A82" s="484"/>
      <c r="B82" s="484"/>
      <c r="C82" s="484"/>
      <c r="D82" s="484"/>
      <c r="E82" s="484"/>
      <c r="F82" s="484"/>
    </row>
    <row r="83" ht="12.75" customHeight="1">
      <c r="A83" s="484"/>
      <c r="B83" s="484"/>
      <c r="C83" s="484"/>
      <c r="D83" s="484"/>
      <c r="E83" s="484"/>
      <c r="F83" s="484"/>
    </row>
    <row r="84" ht="12.75" customHeight="1">
      <c r="A84" s="484"/>
      <c r="B84" s="484"/>
      <c r="C84" s="484"/>
      <c r="D84" s="484"/>
      <c r="E84" s="484"/>
      <c r="F84" s="484"/>
    </row>
    <row r="85" ht="12.75" customHeight="1">
      <c r="A85" s="484"/>
      <c r="B85" s="484"/>
      <c r="C85" s="484"/>
      <c r="D85" s="484"/>
      <c r="E85" s="484"/>
      <c r="F85" s="484"/>
    </row>
    <row r="86" ht="12.75" customHeight="1">
      <c r="A86" s="484"/>
      <c r="B86" s="484"/>
      <c r="C86" s="484"/>
      <c r="D86" s="484"/>
      <c r="E86" s="484"/>
      <c r="F86" s="484"/>
    </row>
    <row r="87" ht="12.75" customHeight="1">
      <c r="A87" s="484"/>
      <c r="B87" s="484"/>
      <c r="C87" s="484"/>
      <c r="D87" s="484"/>
      <c r="E87" s="484"/>
      <c r="F87" s="484"/>
    </row>
    <row r="88" ht="12.75" customHeight="1">
      <c r="A88" s="484"/>
      <c r="B88" s="484"/>
      <c r="C88" s="484"/>
      <c r="D88" s="484"/>
      <c r="E88" s="484"/>
      <c r="F88" s="484"/>
    </row>
    <row r="89" ht="12.75" customHeight="1">
      <c r="A89" s="484"/>
      <c r="B89" s="484"/>
      <c r="C89" s="484"/>
      <c r="D89" s="484"/>
      <c r="E89" s="484"/>
      <c r="F89" s="484"/>
    </row>
    <row r="90" ht="12.75" customHeight="1">
      <c r="A90" s="484"/>
      <c r="B90" s="484"/>
      <c r="C90" s="484"/>
      <c r="D90" s="484"/>
      <c r="E90" s="484"/>
      <c r="F90" s="484"/>
    </row>
    <row r="91" ht="12.75" customHeight="1">
      <c r="A91" s="484"/>
      <c r="B91" s="484"/>
      <c r="C91" s="484"/>
      <c r="D91" s="484"/>
      <c r="E91" s="484"/>
      <c r="F91" s="484"/>
    </row>
    <row r="92" ht="12.75" customHeight="1">
      <c r="A92" s="484"/>
      <c r="B92" s="484"/>
      <c r="C92" s="484"/>
      <c r="D92" s="484"/>
      <c r="E92" s="484"/>
      <c r="F92" s="484"/>
    </row>
    <row r="93" ht="12.75" customHeight="1">
      <c r="A93" s="484"/>
      <c r="B93" s="484"/>
      <c r="C93" s="484"/>
      <c r="D93" s="484"/>
      <c r="E93" s="484"/>
      <c r="F93" s="484"/>
    </row>
    <row r="94" ht="12.75" customHeight="1">
      <c r="A94" s="484"/>
      <c r="B94" s="484"/>
      <c r="C94" s="484"/>
      <c r="D94" s="484"/>
      <c r="E94" s="484"/>
      <c r="F94" s="484"/>
    </row>
    <row r="95" ht="12.75" customHeight="1">
      <c r="A95" s="484"/>
      <c r="B95" s="484"/>
      <c r="C95" s="484"/>
      <c r="D95" s="484"/>
      <c r="E95" s="484"/>
      <c r="F95" s="484"/>
    </row>
    <row r="96" ht="12.75" customHeight="1">
      <c r="A96" s="484"/>
      <c r="B96" s="484"/>
      <c r="C96" s="484"/>
      <c r="D96" s="484"/>
      <c r="E96" s="484"/>
      <c r="F96" s="484"/>
    </row>
    <row r="97" ht="12.75" customHeight="1">
      <c r="A97" s="484"/>
      <c r="B97" s="484"/>
      <c r="C97" s="484"/>
      <c r="D97" s="484"/>
      <c r="E97" s="484"/>
      <c r="F97" s="484"/>
    </row>
    <row r="98" ht="12.75" customHeight="1">
      <c r="A98" s="484"/>
      <c r="B98" s="484"/>
      <c r="C98" s="484"/>
      <c r="D98" s="484"/>
      <c r="E98" s="484"/>
      <c r="F98" s="484"/>
    </row>
    <row r="99" ht="12.75" customHeight="1">
      <c r="A99" s="484"/>
      <c r="B99" s="484"/>
      <c r="C99" s="484"/>
      <c r="D99" s="484"/>
      <c r="E99" s="484"/>
      <c r="F99" s="484"/>
    </row>
    <row r="100" ht="12.75" customHeight="1">
      <c r="A100" s="484"/>
      <c r="B100" s="484"/>
      <c r="C100" s="484"/>
      <c r="D100" s="484"/>
      <c r="E100" s="484"/>
      <c r="F100" s="484"/>
    </row>
    <row r="101" ht="12.75" customHeight="1">
      <c r="A101" s="484"/>
      <c r="B101" s="484"/>
      <c r="C101" s="484"/>
      <c r="D101" s="484"/>
      <c r="E101" s="484"/>
      <c r="F101" s="484"/>
    </row>
    <row r="102" ht="12.75" customHeight="1">
      <c r="A102" s="484"/>
      <c r="B102" s="484"/>
      <c r="C102" s="484"/>
      <c r="D102" s="484"/>
      <c r="E102" s="484"/>
      <c r="F102" s="484"/>
    </row>
    <row r="103" ht="12.75" customHeight="1">
      <c r="A103" s="484"/>
      <c r="B103" s="484"/>
      <c r="C103" s="484"/>
      <c r="D103" s="484"/>
      <c r="E103" s="484"/>
      <c r="F103" s="484"/>
    </row>
    <row r="104" ht="12.75" customHeight="1">
      <c r="A104" s="484"/>
      <c r="B104" s="484"/>
      <c r="C104" s="484"/>
      <c r="D104" s="484"/>
      <c r="E104" s="484"/>
      <c r="F104" s="484"/>
    </row>
    <row r="105" ht="12.75" customHeight="1">
      <c r="A105" s="484"/>
      <c r="B105" s="484"/>
      <c r="C105" s="484"/>
      <c r="D105" s="484"/>
      <c r="E105" s="484"/>
      <c r="F105" s="484"/>
    </row>
    <row r="106" ht="12.75" customHeight="1">
      <c r="A106" s="484"/>
      <c r="B106" s="484"/>
      <c r="C106" s="484"/>
      <c r="D106" s="484"/>
      <c r="E106" s="484"/>
      <c r="F106" s="484"/>
    </row>
    <row r="107" ht="12.75" customHeight="1">
      <c r="A107" s="484"/>
      <c r="B107" s="484"/>
      <c r="C107" s="484"/>
      <c r="D107" s="484"/>
      <c r="E107" s="484"/>
      <c r="F107" s="484"/>
    </row>
    <row r="108" ht="12.75" customHeight="1">
      <c r="A108" s="484"/>
      <c r="B108" s="484"/>
      <c r="C108" s="484"/>
      <c r="D108" s="484"/>
      <c r="E108" s="484"/>
      <c r="F108" s="484"/>
    </row>
    <row r="109" ht="12.75" customHeight="1">
      <c r="A109" s="484"/>
      <c r="B109" s="484"/>
      <c r="C109" s="484"/>
      <c r="D109" s="484"/>
      <c r="E109" s="484"/>
      <c r="F109" s="484"/>
    </row>
    <row r="110" ht="12.75" customHeight="1">
      <c r="A110" s="484"/>
      <c r="B110" s="484"/>
      <c r="C110" s="484"/>
      <c r="D110" s="484"/>
      <c r="E110" s="484"/>
      <c r="F110" s="484"/>
    </row>
    <row r="111" ht="12.75" customHeight="1">
      <c r="A111" s="484"/>
      <c r="B111" s="484"/>
      <c r="C111" s="484"/>
      <c r="D111" s="484"/>
      <c r="E111" s="484"/>
      <c r="F111" s="484"/>
    </row>
    <row r="112" ht="12.75" customHeight="1">
      <c r="A112" s="484"/>
      <c r="B112" s="484"/>
      <c r="C112" s="484"/>
      <c r="D112" s="484"/>
      <c r="E112" s="484"/>
      <c r="F112" s="484"/>
    </row>
    <row r="113" ht="12.75" customHeight="1">
      <c r="A113" s="484"/>
      <c r="B113" s="484"/>
      <c r="C113" s="484"/>
      <c r="D113" s="484"/>
      <c r="E113" s="484"/>
      <c r="F113" s="484"/>
    </row>
    <row r="114" ht="12.75" customHeight="1">
      <c r="A114" s="484"/>
      <c r="B114" s="484"/>
      <c r="C114" s="484"/>
      <c r="D114" s="484"/>
      <c r="E114" s="484"/>
      <c r="F114" s="484"/>
    </row>
    <row r="115" ht="12.75" customHeight="1">
      <c r="A115" s="484"/>
      <c r="B115" s="484"/>
      <c r="C115" s="484"/>
      <c r="D115" s="484"/>
      <c r="E115" s="484"/>
      <c r="F115" s="484"/>
    </row>
    <row r="116" ht="12.75" customHeight="1">
      <c r="A116" s="484"/>
      <c r="B116" s="484"/>
      <c r="C116" s="484"/>
      <c r="D116" s="484"/>
      <c r="E116" s="484"/>
      <c r="F116" s="484"/>
    </row>
    <row r="117" ht="12.75" customHeight="1">
      <c r="A117" s="484"/>
      <c r="B117" s="484"/>
      <c r="C117" s="484"/>
      <c r="D117" s="484"/>
      <c r="E117" s="484"/>
      <c r="F117" s="484"/>
    </row>
    <row r="118" ht="12.75" customHeight="1">
      <c r="A118" s="484"/>
      <c r="B118" s="484"/>
      <c r="C118" s="484"/>
      <c r="D118" s="484"/>
      <c r="E118" s="484"/>
      <c r="F118" s="484"/>
    </row>
    <row r="119" ht="12.75" customHeight="1">
      <c r="A119" s="484"/>
      <c r="B119" s="484"/>
      <c r="C119" s="484"/>
      <c r="D119" s="484"/>
      <c r="E119" s="484"/>
      <c r="F119" s="484"/>
    </row>
    <row r="120" ht="12.75" customHeight="1">
      <c r="A120" s="484"/>
      <c r="B120" s="484"/>
      <c r="C120" s="484"/>
      <c r="D120" s="484"/>
      <c r="E120" s="484"/>
      <c r="F120" s="484"/>
    </row>
    <row r="121" ht="12.75" customHeight="1">
      <c r="A121" s="484"/>
      <c r="B121" s="484"/>
      <c r="C121" s="484"/>
      <c r="D121" s="484"/>
      <c r="E121" s="484"/>
      <c r="F121" s="484"/>
    </row>
    <row r="122" ht="12.75" customHeight="1">
      <c r="A122" s="484"/>
      <c r="B122" s="484"/>
      <c r="C122" s="484"/>
      <c r="D122" s="484"/>
      <c r="E122" s="484"/>
      <c r="F122" s="484"/>
    </row>
    <row r="123" ht="12.75" customHeight="1">
      <c r="A123" s="484"/>
      <c r="B123" s="484"/>
      <c r="C123" s="484"/>
      <c r="D123" s="484"/>
      <c r="E123" s="484"/>
      <c r="F123" s="484"/>
    </row>
    <row r="124" ht="12.75" customHeight="1">
      <c r="A124" s="484"/>
      <c r="B124" s="484"/>
      <c r="C124" s="484"/>
      <c r="D124" s="484"/>
      <c r="E124" s="484"/>
      <c r="F124" s="484"/>
    </row>
    <row r="125" ht="12.75" customHeight="1">
      <c r="A125" s="484"/>
      <c r="B125" s="484"/>
      <c r="C125" s="484"/>
      <c r="D125" s="484"/>
      <c r="E125" s="484"/>
      <c r="F125" s="484"/>
    </row>
    <row r="126" ht="12.75" customHeight="1">
      <c r="A126" s="484"/>
      <c r="B126" s="484"/>
      <c r="C126" s="484"/>
      <c r="D126" s="484"/>
      <c r="E126" s="484"/>
      <c r="F126" s="484"/>
    </row>
    <row r="127" ht="12.75" customHeight="1">
      <c r="A127" s="484"/>
      <c r="B127" s="484"/>
      <c r="C127" s="484"/>
      <c r="D127" s="484"/>
      <c r="E127" s="484"/>
      <c r="F127" s="484"/>
    </row>
    <row r="128" ht="12.75" customHeight="1">
      <c r="A128" s="484"/>
      <c r="B128" s="484"/>
      <c r="C128" s="484"/>
      <c r="D128" s="484"/>
      <c r="E128" s="484"/>
      <c r="F128" s="484"/>
    </row>
    <row r="129" ht="12.75" customHeight="1">
      <c r="A129" s="484"/>
      <c r="B129" s="484"/>
      <c r="C129" s="484"/>
      <c r="D129" s="484"/>
      <c r="E129" s="484"/>
      <c r="F129" s="484"/>
    </row>
    <row r="130" ht="12.75" customHeight="1">
      <c r="A130" s="484"/>
      <c r="B130" s="484"/>
      <c r="C130" s="484"/>
      <c r="D130" s="484"/>
      <c r="E130" s="484"/>
      <c r="F130" s="484"/>
    </row>
    <row r="131" ht="12.75" customHeight="1">
      <c r="A131" s="484"/>
      <c r="B131" s="484"/>
      <c r="C131" s="484"/>
      <c r="D131" s="484"/>
      <c r="E131" s="484"/>
      <c r="F131" s="484"/>
    </row>
    <row r="132" ht="12.75" customHeight="1">
      <c r="A132" s="484"/>
      <c r="B132" s="484"/>
      <c r="C132" s="484"/>
      <c r="D132" s="484"/>
      <c r="E132" s="484"/>
      <c r="F132" s="484"/>
    </row>
    <row r="133" ht="12.75" customHeight="1">
      <c r="A133" s="484"/>
      <c r="B133" s="484"/>
      <c r="C133" s="484"/>
      <c r="D133" s="484"/>
      <c r="E133" s="484"/>
      <c r="F133" s="484"/>
    </row>
    <row r="134" ht="12.75" customHeight="1">
      <c r="A134" s="484"/>
      <c r="B134" s="484"/>
      <c r="C134" s="484"/>
      <c r="D134" s="484"/>
      <c r="E134" s="484"/>
      <c r="F134" s="484"/>
    </row>
    <row r="135" ht="12.75" customHeight="1">
      <c r="A135" s="484"/>
      <c r="B135" s="484"/>
      <c r="C135" s="484"/>
      <c r="D135" s="484"/>
      <c r="E135" s="484"/>
      <c r="F135" s="484"/>
    </row>
    <row r="136" ht="12.75" customHeight="1">
      <c r="A136" s="484"/>
      <c r="B136" s="484"/>
      <c r="C136" s="484"/>
      <c r="D136" s="484"/>
      <c r="E136" s="484"/>
      <c r="F136" s="484"/>
    </row>
    <row r="137" ht="12.75" customHeight="1">
      <c r="A137" s="484"/>
      <c r="B137" s="484"/>
      <c r="C137" s="484"/>
      <c r="D137" s="484"/>
      <c r="E137" s="484"/>
      <c r="F137" s="484"/>
    </row>
    <row r="138" ht="12.75" customHeight="1">
      <c r="A138" s="484"/>
      <c r="B138" s="484"/>
      <c r="C138" s="484"/>
      <c r="D138" s="484"/>
      <c r="E138" s="484"/>
      <c r="F138" s="484"/>
    </row>
    <row r="139" ht="12.75" customHeight="1">
      <c r="A139" s="484"/>
      <c r="B139" s="484"/>
      <c r="C139" s="484"/>
      <c r="D139" s="484"/>
      <c r="E139" s="484"/>
      <c r="F139" s="484"/>
    </row>
    <row r="140" ht="12.75" customHeight="1">
      <c r="A140" s="484"/>
      <c r="B140" s="484"/>
      <c r="C140" s="484"/>
      <c r="D140" s="484"/>
      <c r="E140" s="484"/>
      <c r="F140" s="484"/>
    </row>
    <row r="141" ht="12.75" customHeight="1">
      <c r="A141" s="484"/>
      <c r="B141" s="484"/>
      <c r="C141" s="484"/>
      <c r="D141" s="484"/>
      <c r="E141" s="484"/>
      <c r="F141" s="484"/>
    </row>
    <row r="142" ht="12.75" customHeight="1">
      <c r="A142" s="484"/>
      <c r="B142" s="484"/>
      <c r="C142" s="484"/>
      <c r="D142" s="484"/>
      <c r="E142" s="484"/>
      <c r="F142" s="484"/>
    </row>
    <row r="143" ht="12.75" customHeight="1">
      <c r="A143" s="484"/>
      <c r="B143" s="484"/>
      <c r="C143" s="484"/>
      <c r="D143" s="484"/>
      <c r="E143" s="484"/>
      <c r="F143" s="484"/>
    </row>
    <row r="144" ht="12.75" customHeight="1">
      <c r="A144" s="484"/>
      <c r="B144" s="484"/>
      <c r="C144" s="484"/>
      <c r="D144" s="484"/>
      <c r="E144" s="484"/>
      <c r="F144" s="484"/>
    </row>
    <row r="145" ht="12.75" customHeight="1">
      <c r="A145" s="484"/>
      <c r="B145" s="484"/>
      <c r="C145" s="484"/>
      <c r="D145" s="484"/>
      <c r="E145" s="484"/>
      <c r="F145" s="484"/>
    </row>
    <row r="146" ht="12.75" customHeight="1">
      <c r="A146" s="484"/>
      <c r="B146" s="484"/>
      <c r="C146" s="484"/>
      <c r="D146" s="484"/>
      <c r="E146" s="484"/>
      <c r="F146" s="484"/>
    </row>
    <row r="147" ht="12.75" customHeight="1">
      <c r="A147" s="484"/>
      <c r="B147" s="484"/>
      <c r="C147" s="484"/>
      <c r="D147" s="484"/>
      <c r="E147" s="484"/>
      <c r="F147" s="484"/>
    </row>
    <row r="148" ht="12.75" customHeight="1">
      <c r="A148" s="484"/>
      <c r="B148" s="484"/>
      <c r="C148" s="484"/>
      <c r="D148" s="484"/>
      <c r="E148" s="484"/>
      <c r="F148" s="484"/>
    </row>
    <row r="149" ht="12.75" customHeight="1">
      <c r="A149" s="484"/>
      <c r="B149" s="484"/>
      <c r="C149" s="484"/>
      <c r="D149" s="484"/>
      <c r="E149" s="484"/>
      <c r="F149" s="484"/>
    </row>
    <row r="150" ht="12.75" customHeight="1">
      <c r="A150" s="484"/>
      <c r="B150" s="484"/>
      <c r="C150" s="484"/>
      <c r="D150" s="484"/>
      <c r="E150" s="484"/>
      <c r="F150" s="484"/>
    </row>
    <row r="151" ht="12.75" customHeight="1">
      <c r="A151" s="484"/>
      <c r="B151" s="484"/>
      <c r="C151" s="484"/>
      <c r="D151" s="484"/>
      <c r="E151" s="484"/>
      <c r="F151" s="484"/>
    </row>
    <row r="152" ht="12.75" customHeight="1">
      <c r="A152" s="484"/>
      <c r="B152" s="484"/>
      <c r="C152" s="484"/>
      <c r="D152" s="484"/>
      <c r="E152" s="484"/>
      <c r="F152" s="484"/>
    </row>
    <row r="153" ht="12.75" customHeight="1">
      <c r="A153" s="484"/>
      <c r="B153" s="484"/>
      <c r="C153" s="484"/>
      <c r="D153" s="484"/>
      <c r="E153" s="484"/>
      <c r="F153" s="484"/>
    </row>
    <row r="154" ht="12.75" customHeight="1">
      <c r="A154" s="484"/>
      <c r="B154" s="484"/>
      <c r="C154" s="484"/>
      <c r="D154" s="484"/>
      <c r="E154" s="484"/>
      <c r="F154" s="484"/>
    </row>
    <row r="155" ht="12.75" customHeight="1">
      <c r="A155" s="484"/>
      <c r="B155" s="484"/>
      <c r="C155" s="484"/>
      <c r="D155" s="484"/>
      <c r="E155" s="484"/>
      <c r="F155" s="484"/>
    </row>
    <row r="156" ht="12.75" customHeight="1">
      <c r="A156" s="484"/>
      <c r="B156" s="484"/>
      <c r="C156" s="484"/>
      <c r="D156" s="484"/>
      <c r="E156" s="484"/>
      <c r="F156" s="484"/>
    </row>
    <row r="157" ht="12.75" customHeight="1">
      <c r="A157" s="484"/>
      <c r="B157" s="484"/>
      <c r="C157" s="484"/>
      <c r="D157" s="484"/>
      <c r="E157" s="484"/>
      <c r="F157" s="484"/>
    </row>
    <row r="158" ht="12.75" customHeight="1">
      <c r="A158" s="484"/>
      <c r="B158" s="484"/>
      <c r="C158" s="484"/>
      <c r="D158" s="484"/>
      <c r="E158" s="484"/>
      <c r="F158" s="484"/>
    </row>
    <row r="159" ht="12.75" customHeight="1">
      <c r="A159" s="484"/>
      <c r="B159" s="484"/>
      <c r="C159" s="484"/>
      <c r="D159" s="484"/>
      <c r="E159" s="484"/>
      <c r="F159" s="484"/>
    </row>
    <row r="160" ht="12.75" customHeight="1">
      <c r="A160" s="484"/>
      <c r="B160" s="484"/>
      <c r="C160" s="484"/>
      <c r="D160" s="484"/>
      <c r="E160" s="484"/>
      <c r="F160" s="484"/>
    </row>
    <row r="161" ht="12.75" customHeight="1">
      <c r="A161" s="484"/>
      <c r="B161" s="484"/>
      <c r="C161" s="484"/>
      <c r="D161" s="484"/>
      <c r="E161" s="484"/>
      <c r="F161" s="484"/>
    </row>
    <row r="162" ht="12.75" customHeight="1">
      <c r="A162" s="484"/>
      <c r="B162" s="484"/>
      <c r="C162" s="484"/>
      <c r="D162" s="484"/>
      <c r="E162" s="484"/>
      <c r="F162" s="484"/>
    </row>
    <row r="163" ht="12.75" customHeight="1">
      <c r="A163" s="484"/>
      <c r="B163" s="484"/>
      <c r="C163" s="484"/>
      <c r="D163" s="484"/>
      <c r="E163" s="484"/>
      <c r="F163" s="484"/>
    </row>
    <row r="164" ht="12.75" customHeight="1">
      <c r="A164" s="484"/>
      <c r="B164" s="484"/>
      <c r="C164" s="484"/>
      <c r="D164" s="484"/>
      <c r="E164" s="484"/>
      <c r="F164" s="484"/>
    </row>
    <row r="165" ht="12.75" customHeight="1">
      <c r="A165" s="484"/>
      <c r="B165" s="484"/>
      <c r="C165" s="484"/>
      <c r="D165" s="484"/>
      <c r="E165" s="484"/>
      <c r="F165" s="484"/>
    </row>
    <row r="166" ht="12.75" customHeight="1">
      <c r="A166" s="484"/>
      <c r="B166" s="484"/>
      <c r="C166" s="484"/>
      <c r="D166" s="484"/>
      <c r="E166" s="484"/>
      <c r="F166" s="484"/>
    </row>
    <row r="167" ht="12.75" customHeight="1">
      <c r="A167" s="484"/>
      <c r="B167" s="484"/>
      <c r="C167" s="484"/>
      <c r="D167" s="484"/>
      <c r="E167" s="484"/>
      <c r="F167" s="484"/>
    </row>
    <row r="168" ht="12.75" customHeight="1">
      <c r="A168" s="484"/>
      <c r="B168" s="484"/>
      <c r="C168" s="484"/>
      <c r="D168" s="484"/>
      <c r="E168" s="484"/>
      <c r="F168" s="484"/>
    </row>
    <row r="169" ht="12.75" customHeight="1">
      <c r="A169" s="484"/>
      <c r="B169" s="484"/>
      <c r="C169" s="484"/>
      <c r="D169" s="484"/>
      <c r="E169" s="484"/>
      <c r="F169" s="484"/>
    </row>
    <row r="170" ht="12.75" customHeight="1">
      <c r="A170" s="484"/>
      <c r="B170" s="484"/>
      <c r="C170" s="484"/>
      <c r="D170" s="484"/>
      <c r="E170" s="484"/>
      <c r="F170" s="484"/>
    </row>
    <row r="171" ht="12.75" customHeight="1">
      <c r="A171" s="484"/>
      <c r="B171" s="484"/>
      <c r="C171" s="484"/>
      <c r="D171" s="484"/>
      <c r="E171" s="484"/>
      <c r="F171" s="484"/>
    </row>
    <row r="172" ht="12.75" customHeight="1">
      <c r="A172" s="484"/>
      <c r="B172" s="484"/>
      <c r="C172" s="484"/>
      <c r="D172" s="484"/>
      <c r="E172" s="484"/>
      <c r="F172" s="484"/>
    </row>
    <row r="173" ht="12.75" customHeight="1">
      <c r="A173" s="484"/>
      <c r="B173" s="484"/>
      <c r="C173" s="484"/>
      <c r="D173" s="484"/>
      <c r="E173" s="484"/>
      <c r="F173" s="484"/>
    </row>
    <row r="174" ht="12.75" customHeight="1">
      <c r="A174" s="484"/>
      <c r="B174" s="484"/>
      <c r="C174" s="484"/>
      <c r="D174" s="484"/>
      <c r="E174" s="484"/>
      <c r="F174" s="484"/>
    </row>
    <row r="175" ht="12.75" customHeight="1">
      <c r="A175" s="484"/>
      <c r="B175" s="484"/>
      <c r="C175" s="484"/>
      <c r="D175" s="484"/>
      <c r="E175" s="484"/>
      <c r="F175" s="484"/>
    </row>
    <row r="176" ht="12.75" customHeight="1">
      <c r="A176" s="484"/>
      <c r="B176" s="484"/>
      <c r="C176" s="484"/>
      <c r="D176" s="484"/>
      <c r="E176" s="484"/>
      <c r="F176" s="484"/>
    </row>
    <row r="177" ht="12.75" customHeight="1">
      <c r="A177" s="484"/>
      <c r="B177" s="484"/>
      <c r="C177" s="484"/>
      <c r="D177" s="484"/>
      <c r="E177" s="484"/>
      <c r="F177" s="484"/>
    </row>
    <row r="178" ht="12.75" customHeight="1">
      <c r="A178" s="484"/>
      <c r="B178" s="484"/>
      <c r="C178" s="484"/>
      <c r="D178" s="484"/>
      <c r="E178" s="484"/>
      <c r="F178" s="484"/>
    </row>
    <row r="179" ht="12.75" customHeight="1">
      <c r="A179" s="484"/>
      <c r="B179" s="484"/>
      <c r="C179" s="484"/>
      <c r="D179" s="484"/>
      <c r="E179" s="484"/>
      <c r="F179" s="484"/>
    </row>
    <row r="180" ht="12.75" customHeight="1">
      <c r="A180" s="484"/>
      <c r="B180" s="484"/>
      <c r="C180" s="484"/>
      <c r="D180" s="484"/>
      <c r="E180" s="484"/>
      <c r="F180" s="484"/>
    </row>
    <row r="181" ht="12.75" customHeight="1">
      <c r="A181" s="484"/>
      <c r="B181" s="484"/>
      <c r="C181" s="484"/>
      <c r="D181" s="484"/>
      <c r="E181" s="484"/>
      <c r="F181" s="484"/>
    </row>
    <row r="182" ht="12.75" customHeight="1">
      <c r="A182" s="484"/>
      <c r="B182" s="484"/>
      <c r="C182" s="484"/>
      <c r="D182" s="484"/>
      <c r="E182" s="484"/>
      <c r="F182" s="484"/>
    </row>
    <row r="183" ht="12.75" customHeight="1">
      <c r="A183" s="484"/>
      <c r="B183" s="484"/>
      <c r="C183" s="484"/>
      <c r="D183" s="484"/>
      <c r="E183" s="484"/>
      <c r="F183" s="484"/>
    </row>
    <row r="184" ht="12.75" customHeight="1">
      <c r="A184" s="484"/>
      <c r="B184" s="484"/>
      <c r="C184" s="484"/>
      <c r="D184" s="484"/>
      <c r="E184" s="484"/>
      <c r="F184" s="484"/>
    </row>
    <row r="185" ht="12.75" customHeight="1">
      <c r="A185" s="484"/>
      <c r="B185" s="484"/>
      <c r="C185" s="484"/>
      <c r="D185" s="484"/>
      <c r="E185" s="484"/>
      <c r="F185" s="484"/>
    </row>
    <row r="186" ht="12.75" customHeight="1">
      <c r="A186" s="484"/>
      <c r="B186" s="484"/>
      <c r="C186" s="484"/>
      <c r="D186" s="484"/>
      <c r="E186" s="484"/>
      <c r="F186" s="484"/>
    </row>
    <row r="187" ht="12.75" customHeight="1">
      <c r="A187" s="484"/>
      <c r="B187" s="484"/>
      <c r="C187" s="484"/>
      <c r="D187" s="484"/>
      <c r="E187" s="484"/>
      <c r="F187" s="484"/>
    </row>
    <row r="188" ht="12.75" customHeight="1">
      <c r="A188" s="484"/>
      <c r="B188" s="484"/>
      <c r="C188" s="484"/>
      <c r="D188" s="484"/>
      <c r="E188" s="484"/>
      <c r="F188" s="484"/>
    </row>
    <row r="189" ht="12.75" customHeight="1">
      <c r="A189" s="484"/>
      <c r="B189" s="484"/>
      <c r="C189" s="484"/>
      <c r="D189" s="484"/>
      <c r="E189" s="484"/>
      <c r="F189" s="484"/>
    </row>
    <row r="190" ht="12.75" customHeight="1">
      <c r="A190" s="484"/>
      <c r="B190" s="484"/>
      <c r="C190" s="484"/>
      <c r="D190" s="484"/>
      <c r="E190" s="484"/>
      <c r="F190" s="484"/>
    </row>
    <row r="191" ht="12.75" customHeight="1">
      <c r="A191" s="484"/>
      <c r="B191" s="484"/>
      <c r="C191" s="484"/>
      <c r="D191" s="484"/>
      <c r="E191" s="484"/>
      <c r="F191" s="484"/>
    </row>
    <row r="192" ht="12.75" customHeight="1">
      <c r="A192" s="484"/>
      <c r="B192" s="484"/>
      <c r="C192" s="484"/>
      <c r="D192" s="484"/>
      <c r="E192" s="484"/>
      <c r="F192" s="484"/>
    </row>
    <row r="193" ht="12.75" customHeight="1">
      <c r="A193" s="484"/>
      <c r="B193" s="484"/>
      <c r="C193" s="484"/>
      <c r="D193" s="484"/>
      <c r="E193" s="484"/>
      <c r="F193" s="484"/>
    </row>
    <row r="194" ht="12.75" customHeight="1">
      <c r="A194" s="484"/>
      <c r="B194" s="484"/>
      <c r="C194" s="484"/>
      <c r="D194" s="484"/>
      <c r="E194" s="484"/>
      <c r="F194" s="484"/>
    </row>
    <row r="195" ht="12.75" customHeight="1">
      <c r="A195" s="484"/>
      <c r="B195" s="484"/>
      <c r="C195" s="484"/>
      <c r="D195" s="484"/>
      <c r="E195" s="484"/>
      <c r="F195" s="484"/>
    </row>
    <row r="196" ht="12.75" customHeight="1">
      <c r="A196" s="484"/>
      <c r="B196" s="484"/>
      <c r="C196" s="484"/>
      <c r="D196" s="484"/>
      <c r="E196" s="484"/>
      <c r="F196" s="484"/>
    </row>
    <row r="197" ht="12.75" customHeight="1">
      <c r="A197" s="484"/>
      <c r="B197" s="484"/>
      <c r="C197" s="484"/>
      <c r="D197" s="484"/>
      <c r="E197" s="484"/>
      <c r="F197" s="484"/>
    </row>
    <row r="198" ht="12.75" customHeight="1">
      <c r="A198" s="484"/>
      <c r="B198" s="484"/>
      <c r="C198" s="484"/>
      <c r="D198" s="484"/>
      <c r="E198" s="484"/>
      <c r="F198" s="484"/>
    </row>
    <row r="199" ht="12.75" customHeight="1">
      <c r="A199" s="484"/>
      <c r="B199" s="484"/>
      <c r="C199" s="484"/>
      <c r="D199" s="484"/>
      <c r="E199" s="484"/>
      <c r="F199" s="484"/>
    </row>
    <row r="200" ht="12.75" customHeight="1">
      <c r="A200" s="484"/>
      <c r="B200" s="484"/>
      <c r="C200" s="484"/>
      <c r="D200" s="484"/>
      <c r="E200" s="484"/>
      <c r="F200" s="484"/>
    </row>
    <row r="201" ht="12.75" customHeight="1">
      <c r="A201" s="484"/>
      <c r="B201" s="484"/>
      <c r="C201" s="484"/>
      <c r="D201" s="484"/>
      <c r="E201" s="484"/>
      <c r="F201" s="484"/>
    </row>
    <row r="202" ht="12.75" customHeight="1">
      <c r="A202" s="484"/>
      <c r="B202" s="484"/>
      <c r="C202" s="484"/>
      <c r="D202" s="484"/>
      <c r="E202" s="484"/>
      <c r="F202" s="484"/>
    </row>
    <row r="203" ht="12.75" customHeight="1">
      <c r="A203" s="484"/>
      <c r="B203" s="484"/>
      <c r="C203" s="484"/>
      <c r="D203" s="484"/>
      <c r="E203" s="484"/>
      <c r="F203" s="484"/>
    </row>
    <row r="204" ht="12.75" customHeight="1">
      <c r="A204" s="484"/>
      <c r="B204" s="484"/>
      <c r="C204" s="484"/>
      <c r="D204" s="484"/>
      <c r="E204" s="484"/>
      <c r="F204" s="484"/>
    </row>
    <row r="205" ht="12.75" customHeight="1">
      <c r="A205" s="484"/>
      <c r="B205" s="484"/>
      <c r="C205" s="484"/>
      <c r="D205" s="484"/>
      <c r="E205" s="484"/>
      <c r="F205" s="484"/>
    </row>
    <row r="206" ht="12.75" customHeight="1">
      <c r="A206" s="484"/>
      <c r="B206" s="484"/>
      <c r="C206" s="484"/>
      <c r="D206" s="484"/>
      <c r="E206" s="484"/>
      <c r="F206" s="484"/>
    </row>
    <row r="207" ht="12.75" customHeight="1">
      <c r="A207" s="484"/>
      <c r="B207" s="484"/>
      <c r="C207" s="484"/>
      <c r="D207" s="484"/>
      <c r="E207" s="484"/>
      <c r="F207" s="484"/>
    </row>
    <row r="208" ht="12.75" customHeight="1">
      <c r="A208" s="484"/>
      <c r="B208" s="484"/>
      <c r="C208" s="484"/>
      <c r="D208" s="484"/>
      <c r="E208" s="484"/>
      <c r="F208" s="484"/>
    </row>
    <row r="209" ht="12.75" customHeight="1">
      <c r="A209" s="484"/>
      <c r="B209" s="484"/>
      <c r="C209" s="484"/>
      <c r="D209" s="484"/>
      <c r="E209" s="484"/>
      <c r="F209" s="484"/>
    </row>
    <row r="210" ht="12.75" customHeight="1">
      <c r="A210" s="484"/>
      <c r="B210" s="484"/>
      <c r="C210" s="484"/>
      <c r="D210" s="484"/>
      <c r="E210" s="484"/>
      <c r="F210" s="484"/>
    </row>
    <row r="211" ht="12.75" customHeight="1">
      <c r="A211" s="484"/>
      <c r="B211" s="484"/>
      <c r="C211" s="484"/>
      <c r="D211" s="484"/>
      <c r="E211" s="484"/>
      <c r="F211" s="484"/>
    </row>
    <row r="212" ht="12.75" customHeight="1">
      <c r="A212" s="484"/>
      <c r="B212" s="484"/>
      <c r="C212" s="484"/>
      <c r="D212" s="484"/>
      <c r="E212" s="484"/>
      <c r="F212" s="484"/>
    </row>
    <row r="213" ht="12.75" customHeight="1">
      <c r="A213" s="484"/>
      <c r="B213" s="484"/>
      <c r="C213" s="484"/>
      <c r="D213" s="484"/>
      <c r="E213" s="484"/>
      <c r="F213" s="484"/>
    </row>
    <row r="214" ht="12.75" customHeight="1">
      <c r="A214" s="484"/>
      <c r="B214" s="484"/>
      <c r="C214" s="484"/>
      <c r="D214" s="484"/>
      <c r="E214" s="484"/>
      <c r="F214" s="484"/>
    </row>
    <row r="215" ht="12.75" customHeight="1">
      <c r="A215" s="484"/>
      <c r="B215" s="484"/>
      <c r="C215" s="484"/>
      <c r="D215" s="484"/>
      <c r="E215" s="484"/>
      <c r="F215" s="484"/>
    </row>
    <row r="216" ht="12.75" customHeight="1">
      <c r="A216" s="484"/>
      <c r="B216" s="484"/>
      <c r="C216" s="484"/>
      <c r="D216" s="484"/>
      <c r="E216" s="484"/>
      <c r="F216" s="484"/>
    </row>
    <row r="217" ht="12.75" customHeight="1">
      <c r="A217" s="484"/>
      <c r="B217" s="484"/>
      <c r="C217" s="484"/>
      <c r="D217" s="484"/>
      <c r="E217" s="484"/>
      <c r="F217" s="484"/>
    </row>
    <row r="218" ht="12.75" customHeight="1">
      <c r="A218" s="484"/>
      <c r="B218" s="484"/>
      <c r="C218" s="484"/>
      <c r="D218" s="484"/>
      <c r="E218" s="484"/>
      <c r="F218" s="484"/>
    </row>
    <row r="219" ht="12.75" customHeight="1">
      <c r="A219" s="484"/>
      <c r="B219" s="484"/>
      <c r="C219" s="484"/>
      <c r="D219" s="484"/>
      <c r="E219" s="484"/>
      <c r="F219" s="484"/>
    </row>
    <row r="220" ht="12.75" customHeight="1">
      <c r="A220" s="484"/>
      <c r="B220" s="484"/>
      <c r="C220" s="484"/>
      <c r="D220" s="484"/>
      <c r="E220" s="484"/>
      <c r="F220" s="484"/>
    </row>
    <row r="221" ht="12.75" customHeight="1">
      <c r="A221" s="484"/>
      <c r="B221" s="484"/>
      <c r="C221" s="484"/>
      <c r="D221" s="484"/>
      <c r="E221" s="484"/>
      <c r="F221" s="484"/>
    </row>
    <row r="222" ht="12.75" customHeight="1">
      <c r="A222" s="484"/>
      <c r="B222" s="484"/>
      <c r="C222" s="484"/>
      <c r="D222" s="484"/>
      <c r="E222" s="484"/>
      <c r="F222" s="484"/>
    </row>
    <row r="223" ht="12.75" customHeight="1">
      <c r="A223" s="484"/>
      <c r="B223" s="484"/>
      <c r="C223" s="484"/>
      <c r="D223" s="484"/>
      <c r="E223" s="484"/>
      <c r="F223" s="484"/>
    </row>
    <row r="224" ht="12.75" customHeight="1">
      <c r="A224" s="484"/>
      <c r="B224" s="484"/>
      <c r="C224" s="484"/>
      <c r="D224" s="484"/>
      <c r="E224" s="484"/>
      <c r="F224" s="484"/>
    </row>
    <row r="225" ht="12.75" customHeight="1">
      <c r="A225" s="484"/>
      <c r="B225" s="484"/>
      <c r="C225" s="484"/>
      <c r="D225" s="484"/>
      <c r="E225" s="484"/>
      <c r="F225" s="484"/>
    </row>
    <row r="226" ht="12.75" customHeight="1">
      <c r="A226" s="484"/>
      <c r="B226" s="484"/>
      <c r="C226" s="484"/>
      <c r="D226" s="484"/>
      <c r="E226" s="484"/>
      <c r="F226" s="484"/>
    </row>
    <row r="227" ht="12.75" customHeight="1">
      <c r="A227" s="484"/>
      <c r="B227" s="484"/>
      <c r="C227" s="484"/>
      <c r="D227" s="484"/>
      <c r="E227" s="484"/>
      <c r="F227" s="484"/>
    </row>
    <row r="228" ht="12.75" customHeight="1">
      <c r="A228" s="484"/>
      <c r="B228" s="484"/>
      <c r="C228" s="484"/>
      <c r="D228" s="484"/>
      <c r="E228" s="484"/>
      <c r="F228" s="484"/>
    </row>
    <row r="229" ht="12.75" customHeight="1">
      <c r="A229" s="484"/>
      <c r="B229" s="484"/>
      <c r="C229" s="484"/>
      <c r="D229" s="484"/>
      <c r="E229" s="484"/>
      <c r="F229" s="484"/>
    </row>
    <row r="230" ht="12.75" customHeight="1">
      <c r="A230" s="484"/>
      <c r="B230" s="484"/>
      <c r="C230" s="484"/>
      <c r="D230" s="484"/>
      <c r="E230" s="484"/>
      <c r="F230" s="484"/>
    </row>
    <row r="231" ht="12.75" customHeight="1">
      <c r="A231" s="484"/>
      <c r="B231" s="484"/>
      <c r="C231" s="484"/>
      <c r="D231" s="484"/>
      <c r="E231" s="484"/>
      <c r="F231" s="484"/>
    </row>
    <row r="232" ht="12.75" customHeight="1">
      <c r="A232" s="484"/>
      <c r="B232" s="484"/>
      <c r="C232" s="484"/>
      <c r="D232" s="484"/>
      <c r="E232" s="484"/>
      <c r="F232" s="484"/>
    </row>
    <row r="233" ht="12.75" customHeight="1">
      <c r="A233" s="484"/>
      <c r="B233" s="484"/>
      <c r="C233" s="484"/>
      <c r="D233" s="484"/>
      <c r="E233" s="484"/>
      <c r="F233" s="484"/>
    </row>
    <row r="234" ht="12.75" customHeight="1">
      <c r="A234" s="484"/>
      <c r="B234" s="484"/>
      <c r="C234" s="484"/>
      <c r="D234" s="484"/>
      <c r="E234" s="484"/>
      <c r="F234" s="484"/>
    </row>
    <row r="235" ht="12.75" customHeight="1">
      <c r="A235" s="484"/>
      <c r="B235" s="484"/>
      <c r="C235" s="484"/>
      <c r="D235" s="484"/>
      <c r="E235" s="484"/>
      <c r="F235" s="484"/>
    </row>
    <row r="236" ht="12.75" customHeight="1">
      <c r="A236" s="484"/>
      <c r="B236" s="484"/>
      <c r="C236" s="484"/>
      <c r="D236" s="484"/>
      <c r="E236" s="484"/>
      <c r="F236" s="484"/>
    </row>
    <row r="237" ht="12.75" customHeight="1">
      <c r="A237" s="484"/>
      <c r="B237" s="484"/>
      <c r="C237" s="484"/>
      <c r="D237" s="484"/>
      <c r="E237" s="484"/>
      <c r="F237" s="484"/>
    </row>
    <row r="238" ht="12.75" customHeight="1">
      <c r="A238" s="484"/>
      <c r="B238" s="484"/>
      <c r="C238" s="484"/>
      <c r="D238" s="484"/>
      <c r="E238" s="484"/>
      <c r="F238" s="484"/>
    </row>
    <row r="239" ht="12.75" customHeight="1">
      <c r="A239" s="484"/>
      <c r="B239" s="484"/>
      <c r="C239" s="484"/>
      <c r="D239" s="484"/>
      <c r="E239" s="484"/>
      <c r="F239" s="484"/>
    </row>
    <row r="240" ht="12.75" customHeight="1">
      <c r="A240" s="484"/>
      <c r="B240" s="484"/>
      <c r="C240" s="484"/>
      <c r="D240" s="484"/>
      <c r="E240" s="484"/>
      <c r="F240" s="484"/>
    </row>
    <row r="241" ht="12.75" customHeight="1">
      <c r="A241" s="484"/>
      <c r="B241" s="484"/>
      <c r="C241" s="484"/>
      <c r="D241" s="484"/>
      <c r="E241" s="484"/>
      <c r="F241" s="484"/>
    </row>
    <row r="242" ht="12.75" customHeight="1">
      <c r="A242" s="484"/>
      <c r="B242" s="484"/>
      <c r="C242" s="484"/>
      <c r="D242" s="484"/>
      <c r="E242" s="484"/>
      <c r="F242" s="484"/>
    </row>
    <row r="243" ht="12.75" customHeight="1">
      <c r="A243" s="484"/>
      <c r="B243" s="484"/>
      <c r="C243" s="484"/>
      <c r="D243" s="484"/>
      <c r="E243" s="484"/>
      <c r="F243" s="484"/>
    </row>
    <row r="244" ht="12.75" customHeight="1">
      <c r="A244" s="484"/>
      <c r="B244" s="484"/>
      <c r="C244" s="484"/>
      <c r="D244" s="484"/>
      <c r="E244" s="484"/>
      <c r="F244" s="484"/>
    </row>
    <row r="245" ht="12.75" customHeight="1">
      <c r="A245" s="484"/>
      <c r="B245" s="484"/>
      <c r="C245" s="484"/>
      <c r="D245" s="484"/>
      <c r="E245" s="484"/>
      <c r="F245" s="484"/>
    </row>
    <row r="246" ht="12.75" customHeight="1">
      <c r="A246" s="484"/>
      <c r="B246" s="484"/>
      <c r="C246" s="484"/>
      <c r="D246" s="484"/>
      <c r="E246" s="484"/>
      <c r="F246" s="484"/>
    </row>
    <row r="247" ht="12.75" customHeight="1">
      <c r="A247" s="484"/>
      <c r="B247" s="484"/>
      <c r="C247" s="484"/>
      <c r="D247" s="484"/>
      <c r="E247" s="484"/>
      <c r="F247" s="484"/>
    </row>
    <row r="248" ht="12.75" customHeight="1">
      <c r="A248" s="484"/>
      <c r="B248" s="484"/>
      <c r="C248" s="484"/>
      <c r="D248" s="484"/>
      <c r="E248" s="484"/>
      <c r="F248" s="484"/>
    </row>
    <row r="249" ht="12.75" customHeight="1">
      <c r="A249" s="484"/>
      <c r="B249" s="484"/>
      <c r="C249" s="484"/>
      <c r="D249" s="484"/>
      <c r="E249" s="484"/>
      <c r="F249" s="484"/>
    </row>
    <row r="250" ht="12.75" customHeight="1">
      <c r="A250" s="484"/>
      <c r="B250" s="484"/>
      <c r="C250" s="484"/>
      <c r="D250" s="484"/>
      <c r="E250" s="484"/>
      <c r="F250" s="484"/>
    </row>
    <row r="251" ht="12.75" customHeight="1">
      <c r="A251" s="484"/>
      <c r="B251" s="484"/>
      <c r="C251" s="484"/>
      <c r="D251" s="484"/>
      <c r="E251" s="484"/>
      <c r="F251" s="484"/>
    </row>
    <row r="252" ht="12.75" customHeight="1">
      <c r="A252" s="484"/>
      <c r="B252" s="484"/>
      <c r="C252" s="484"/>
      <c r="D252" s="484"/>
      <c r="E252" s="484"/>
      <c r="F252" s="484"/>
    </row>
    <row r="253" ht="12.75" customHeight="1">
      <c r="A253" s="484"/>
      <c r="B253" s="484"/>
      <c r="C253" s="484"/>
      <c r="D253" s="484"/>
      <c r="E253" s="484"/>
      <c r="F253" s="484"/>
    </row>
    <row r="254" ht="12.75" customHeight="1">
      <c r="A254" s="484"/>
      <c r="B254" s="484"/>
      <c r="C254" s="484"/>
      <c r="D254" s="484"/>
      <c r="E254" s="484"/>
      <c r="F254" s="484"/>
    </row>
    <row r="255" ht="12.75" customHeight="1">
      <c r="A255" s="484"/>
      <c r="B255" s="484"/>
      <c r="C255" s="484"/>
      <c r="D255" s="484"/>
      <c r="E255" s="484"/>
      <c r="F255" s="484"/>
    </row>
    <row r="256" ht="12.75" customHeight="1">
      <c r="A256" s="484"/>
      <c r="B256" s="484"/>
      <c r="C256" s="484"/>
      <c r="D256" s="484"/>
      <c r="E256" s="484"/>
      <c r="F256" s="484"/>
    </row>
    <row r="257" ht="12.75" customHeight="1">
      <c r="A257" s="484"/>
      <c r="B257" s="484"/>
      <c r="C257" s="484"/>
      <c r="D257" s="484"/>
      <c r="E257" s="484"/>
      <c r="F257" s="484"/>
    </row>
    <row r="258" ht="12.75" customHeight="1">
      <c r="A258" s="484"/>
      <c r="B258" s="484"/>
      <c r="C258" s="484"/>
      <c r="D258" s="484"/>
      <c r="E258" s="484"/>
      <c r="F258" s="484"/>
    </row>
    <row r="259" ht="12.75" customHeight="1">
      <c r="A259" s="484"/>
      <c r="B259" s="484"/>
      <c r="C259" s="484"/>
      <c r="D259" s="484"/>
      <c r="E259" s="484"/>
      <c r="F259" s="484"/>
    </row>
    <row r="260" ht="12.75" customHeight="1">
      <c r="A260" s="484"/>
      <c r="B260" s="484"/>
      <c r="C260" s="484"/>
      <c r="D260" s="484"/>
      <c r="E260" s="484"/>
      <c r="F260" s="484"/>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0:F10"/>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29"/>
    <col customWidth="1" min="2" max="2" width="11.86"/>
    <col customWidth="1" min="3" max="3" width="10.0"/>
    <col customWidth="1" min="4" max="4" width="17.43"/>
    <col customWidth="1" min="5" max="5" width="42.0"/>
    <col customWidth="1" min="6" max="6" width="9.71"/>
    <col customWidth="1" min="7" max="7" width="12.0"/>
    <col customWidth="1" min="8" max="8" width="16.29"/>
    <col customWidth="1" min="9" max="9" width="47.14"/>
  </cols>
  <sheetData>
    <row r="1" ht="15.75" customHeight="1">
      <c r="A1" s="3"/>
      <c r="B1" s="1"/>
      <c r="C1" s="2"/>
      <c r="D1" s="118"/>
      <c r="E1" s="3" t="s">
        <v>14215</v>
      </c>
      <c r="F1" s="52"/>
      <c r="G1" s="4"/>
      <c r="H1" s="4"/>
      <c r="I1" s="5"/>
    </row>
    <row r="2" ht="48.75" customHeight="1">
      <c r="A2" s="13"/>
      <c r="B2" s="6" t="s">
        <v>2</v>
      </c>
      <c r="C2" s="1"/>
      <c r="D2" s="6"/>
      <c r="E2" s="119" t="s">
        <v>1674</v>
      </c>
      <c r="F2" s="8" t="s">
        <v>4</v>
      </c>
      <c r="G2" s="8" t="s">
        <v>5</v>
      </c>
      <c r="H2" s="8" t="s">
        <v>6</v>
      </c>
      <c r="I2" s="3"/>
    </row>
    <row r="3" ht="12.75" customHeight="1">
      <c r="A3" s="10" t="s">
        <v>1675</v>
      </c>
      <c r="B3" s="10" t="s">
        <v>8</v>
      </c>
      <c r="C3" s="10" t="s">
        <v>9</v>
      </c>
      <c r="D3" s="724" t="s">
        <v>10</v>
      </c>
      <c r="E3" s="724" t="s">
        <v>11</v>
      </c>
      <c r="F3" s="11" t="s">
        <v>12</v>
      </c>
      <c r="G3" s="11" t="s">
        <v>12</v>
      </c>
      <c r="H3" s="11" t="s">
        <v>12</v>
      </c>
      <c r="I3" s="724" t="s">
        <v>13</v>
      </c>
    </row>
    <row r="4" ht="30.0" customHeight="1">
      <c r="A4" s="6">
        <v>5516.0</v>
      </c>
      <c r="B4" s="12" t="s">
        <v>14</v>
      </c>
      <c r="C4" s="12">
        <v>1784.0</v>
      </c>
      <c r="D4" s="6" t="s">
        <v>14216</v>
      </c>
      <c r="E4" s="26" t="s">
        <v>14217</v>
      </c>
      <c r="F4" s="725">
        <v>41624.0</v>
      </c>
      <c r="G4" s="14">
        <v>41620.0</v>
      </c>
      <c r="H4" s="16">
        <v>41628.0</v>
      </c>
      <c r="I4" s="9" t="s">
        <v>14218</v>
      </c>
    </row>
    <row r="5" ht="30.0" customHeight="1">
      <c r="A5" s="6">
        <v>5514.0</v>
      </c>
      <c r="B5" s="12" t="s">
        <v>21</v>
      </c>
      <c r="C5" s="12">
        <v>1682.0</v>
      </c>
      <c r="D5" s="6" t="s">
        <v>14219</v>
      </c>
      <c r="E5" s="26" t="s">
        <v>14220</v>
      </c>
      <c r="F5" s="725">
        <v>41624.0</v>
      </c>
      <c r="G5" s="14">
        <v>41624.0</v>
      </c>
      <c r="H5" s="16">
        <v>41632.0</v>
      </c>
      <c r="I5" s="9" t="s">
        <v>14221</v>
      </c>
    </row>
    <row r="6" ht="30.0" customHeight="1">
      <c r="A6" s="6">
        <v>5509.0</v>
      </c>
      <c r="B6" s="12" t="s">
        <v>25</v>
      </c>
      <c r="C6" s="12">
        <v>1419.0</v>
      </c>
      <c r="D6" s="6" t="s">
        <v>14222</v>
      </c>
      <c r="E6" s="26" t="s">
        <v>14223</v>
      </c>
      <c r="F6" s="725">
        <v>41622.0</v>
      </c>
      <c r="G6" s="14">
        <v>41619.0</v>
      </c>
      <c r="H6" s="16">
        <v>41626.0</v>
      </c>
      <c r="I6" s="9" t="s">
        <v>14224</v>
      </c>
    </row>
    <row r="7" ht="30.0" customHeight="1">
      <c r="A7" s="6">
        <v>5477.0</v>
      </c>
      <c r="B7" s="12" t="s">
        <v>21</v>
      </c>
      <c r="C7" s="12">
        <v>110.0</v>
      </c>
      <c r="D7" s="6" t="s">
        <v>14225</v>
      </c>
      <c r="E7" s="26" t="s">
        <v>14226</v>
      </c>
      <c r="F7" s="725">
        <v>41614.0</v>
      </c>
      <c r="G7" s="16">
        <v>41642.0</v>
      </c>
      <c r="H7" s="16">
        <v>41628.0</v>
      </c>
      <c r="I7" s="17" t="s">
        <v>14227</v>
      </c>
    </row>
    <row r="8" ht="36.0" customHeight="1">
      <c r="A8" s="6">
        <v>5499.0</v>
      </c>
      <c r="B8" s="12" t="s">
        <v>21</v>
      </c>
      <c r="C8" s="12">
        <v>672.0</v>
      </c>
      <c r="D8" s="6" t="s">
        <v>14228</v>
      </c>
      <c r="E8" s="26" t="s">
        <v>14229</v>
      </c>
      <c r="F8" s="725">
        <v>41611.0</v>
      </c>
      <c r="G8" s="14">
        <v>41610.0</v>
      </c>
      <c r="H8" s="16">
        <v>41617.0</v>
      </c>
      <c r="I8" s="9" t="s">
        <v>14230</v>
      </c>
    </row>
    <row r="9" ht="36.0" customHeight="1">
      <c r="A9" s="6">
        <v>5484.0</v>
      </c>
      <c r="B9" s="12" t="s">
        <v>21</v>
      </c>
      <c r="C9" s="12">
        <v>1596.0</v>
      </c>
      <c r="D9" s="6" t="s">
        <v>14231</v>
      </c>
      <c r="E9" s="26" t="s">
        <v>14232</v>
      </c>
      <c r="F9" s="725">
        <v>41605.0</v>
      </c>
      <c r="G9" s="14">
        <v>41605.0</v>
      </c>
      <c r="H9" s="16">
        <v>41614.0</v>
      </c>
      <c r="I9" s="9" t="s">
        <v>14233</v>
      </c>
    </row>
    <row r="10" ht="36.0" customHeight="1">
      <c r="A10" s="6">
        <v>5483.0</v>
      </c>
      <c r="B10" s="12" t="s">
        <v>14</v>
      </c>
      <c r="C10" s="12">
        <v>2982.0</v>
      </c>
      <c r="D10" s="6" t="s">
        <v>14234</v>
      </c>
      <c r="E10" s="26" t="s">
        <v>14235</v>
      </c>
      <c r="F10" s="725">
        <v>41603.0</v>
      </c>
      <c r="G10" s="14">
        <v>41614.0</v>
      </c>
      <c r="H10" s="16">
        <v>41610.0</v>
      </c>
      <c r="I10" s="17" t="s">
        <v>14236</v>
      </c>
    </row>
    <row r="11" ht="36.0" customHeight="1">
      <c r="A11" s="6">
        <v>5466.0</v>
      </c>
      <c r="B11" s="12" t="s">
        <v>14</v>
      </c>
      <c r="C11" s="12">
        <v>672.0</v>
      </c>
      <c r="D11" s="6" t="s">
        <v>14237</v>
      </c>
      <c r="E11" s="26" t="s">
        <v>14229</v>
      </c>
      <c r="F11" s="725">
        <v>41599.0</v>
      </c>
      <c r="G11" s="14">
        <v>41598.0</v>
      </c>
      <c r="H11" s="16">
        <v>41607.0</v>
      </c>
      <c r="I11" s="9" t="s">
        <v>14238</v>
      </c>
    </row>
    <row r="12" ht="36.0" customHeight="1">
      <c r="A12" s="6">
        <v>5449.0</v>
      </c>
      <c r="B12" s="12" t="s">
        <v>14</v>
      </c>
      <c r="C12" s="12">
        <v>110.0</v>
      </c>
      <c r="D12" s="6" t="s">
        <v>14239</v>
      </c>
      <c r="E12" s="26" t="s">
        <v>14226</v>
      </c>
      <c r="F12" s="725">
        <v>41578.0</v>
      </c>
      <c r="G12" s="14">
        <v>41575.0</v>
      </c>
      <c r="H12" s="16">
        <v>41584.0</v>
      </c>
      <c r="I12" s="9" t="s">
        <v>14240</v>
      </c>
    </row>
    <row r="13" ht="36.0" customHeight="1">
      <c r="A13" s="6">
        <v>5447.0</v>
      </c>
      <c r="B13" s="12" t="s">
        <v>21</v>
      </c>
      <c r="C13" s="12">
        <v>1733.0</v>
      </c>
      <c r="D13" s="6" t="s">
        <v>14241</v>
      </c>
      <c r="E13" s="26" t="s">
        <v>14242</v>
      </c>
      <c r="F13" s="725">
        <v>41575.0</v>
      </c>
      <c r="G13" s="14">
        <v>41577.0</v>
      </c>
      <c r="H13" s="16">
        <v>41579.0</v>
      </c>
      <c r="I13" s="17" t="s">
        <v>14243</v>
      </c>
    </row>
    <row r="14" ht="36.0" customHeight="1">
      <c r="A14" s="6">
        <v>5446.0</v>
      </c>
      <c r="B14" s="12" t="s">
        <v>14</v>
      </c>
      <c r="C14" s="12">
        <v>2851.0</v>
      </c>
      <c r="D14" s="6" t="s">
        <v>14244</v>
      </c>
      <c r="E14" s="26" t="s">
        <v>14245</v>
      </c>
      <c r="F14" s="725">
        <v>41573.0</v>
      </c>
      <c r="G14" s="14">
        <v>41572.0</v>
      </c>
      <c r="H14" s="16">
        <v>41576.0</v>
      </c>
      <c r="I14" s="9" t="s">
        <v>14246</v>
      </c>
    </row>
    <row r="15" ht="36.0" customHeight="1">
      <c r="A15" s="6">
        <v>5415.0</v>
      </c>
      <c r="B15" s="12" t="s">
        <v>14</v>
      </c>
      <c r="C15" s="12">
        <v>1696.0</v>
      </c>
      <c r="D15" s="6" t="s">
        <v>14247</v>
      </c>
      <c r="E15" s="26" t="s">
        <v>14248</v>
      </c>
      <c r="F15" s="725">
        <v>41545.0</v>
      </c>
      <c r="G15" s="14">
        <v>41547.0</v>
      </c>
      <c r="H15" s="16">
        <v>41548.0</v>
      </c>
      <c r="I15" s="9" t="s">
        <v>14249</v>
      </c>
    </row>
    <row r="16" ht="36.0" customHeight="1">
      <c r="A16" s="6">
        <v>5414.0</v>
      </c>
      <c r="B16" s="12" t="s">
        <v>21</v>
      </c>
      <c r="C16" s="12">
        <v>1608.0</v>
      </c>
      <c r="D16" s="6" t="s">
        <v>14250</v>
      </c>
      <c r="E16" s="26" t="s">
        <v>14251</v>
      </c>
      <c r="F16" s="725">
        <v>41543.0</v>
      </c>
      <c r="G16" s="14">
        <v>41542.0</v>
      </c>
      <c r="H16" s="16">
        <v>41548.0</v>
      </c>
      <c r="I16" s="9" t="s">
        <v>14252</v>
      </c>
    </row>
    <row r="17" ht="36.0" customHeight="1">
      <c r="A17" s="6">
        <v>5419.0</v>
      </c>
      <c r="B17" s="12" t="s">
        <v>21</v>
      </c>
      <c r="C17" s="12">
        <v>672.0</v>
      </c>
      <c r="D17" s="6" t="s">
        <v>14253</v>
      </c>
      <c r="E17" s="26" t="s">
        <v>14229</v>
      </c>
      <c r="F17" s="725">
        <v>41540.0</v>
      </c>
      <c r="G17" s="14">
        <v>41540.0</v>
      </c>
      <c r="H17" s="16">
        <v>41547.0</v>
      </c>
      <c r="I17" s="9" t="s">
        <v>14254</v>
      </c>
    </row>
    <row r="18" ht="36.0" customHeight="1">
      <c r="A18" s="6">
        <v>5413.0</v>
      </c>
      <c r="B18" s="12" t="s">
        <v>25</v>
      </c>
      <c r="C18" s="12">
        <v>1452.0</v>
      </c>
      <c r="D18" s="6" t="s">
        <v>14255</v>
      </c>
      <c r="E18" s="26" t="s">
        <v>14256</v>
      </c>
      <c r="F18" s="725">
        <v>41539.0</v>
      </c>
      <c r="G18" s="14">
        <v>41549.0</v>
      </c>
      <c r="H18" s="16">
        <v>41542.0</v>
      </c>
      <c r="I18" s="17" t="s">
        <v>14257</v>
      </c>
    </row>
    <row r="19" ht="36.0" customHeight="1">
      <c r="A19" s="6">
        <v>5388.0</v>
      </c>
      <c r="B19" s="12" t="s">
        <v>14</v>
      </c>
      <c r="C19" s="12">
        <v>672.0</v>
      </c>
      <c r="D19" s="6" t="s">
        <v>14258</v>
      </c>
      <c r="E19" s="26" t="s">
        <v>14229</v>
      </c>
      <c r="F19" s="725">
        <v>41529.0</v>
      </c>
      <c r="G19" s="14">
        <v>41527.0</v>
      </c>
      <c r="H19" s="16">
        <v>41536.0</v>
      </c>
      <c r="I19" s="9" t="s">
        <v>14259</v>
      </c>
    </row>
    <row r="20" ht="36.0" customHeight="1">
      <c r="A20" s="6">
        <v>5379.0</v>
      </c>
      <c r="B20" s="12" t="s">
        <v>21</v>
      </c>
      <c r="C20" s="12">
        <v>110.0</v>
      </c>
      <c r="D20" s="6" t="s">
        <v>14260</v>
      </c>
      <c r="E20" s="26" t="s">
        <v>14226</v>
      </c>
      <c r="F20" s="725">
        <v>41522.0</v>
      </c>
      <c r="G20" s="14">
        <v>41526.0</v>
      </c>
      <c r="H20" s="16">
        <v>41528.0</v>
      </c>
      <c r="I20" s="9" t="s">
        <v>14261</v>
      </c>
    </row>
    <row r="21" ht="36.0" customHeight="1">
      <c r="A21" s="6">
        <v>5380.0</v>
      </c>
      <c r="B21" s="12" t="s">
        <v>14</v>
      </c>
      <c r="C21" s="12">
        <v>110.0</v>
      </c>
      <c r="D21" s="6" t="s">
        <v>14262</v>
      </c>
      <c r="E21" s="26" t="s">
        <v>14226</v>
      </c>
      <c r="F21" s="725">
        <v>41515.0</v>
      </c>
      <c r="G21" s="14">
        <v>41509.0</v>
      </c>
      <c r="H21" s="16">
        <v>41520.0</v>
      </c>
      <c r="I21" s="9" t="s">
        <v>14263</v>
      </c>
    </row>
    <row r="22" ht="36.0" customHeight="1">
      <c r="A22" s="6">
        <v>5376.0</v>
      </c>
      <c r="B22" s="12" t="s">
        <v>14</v>
      </c>
      <c r="C22" s="12">
        <v>3604.0</v>
      </c>
      <c r="D22" s="6" t="s">
        <v>14264</v>
      </c>
      <c r="E22" s="26" t="s">
        <v>14265</v>
      </c>
      <c r="F22" s="725">
        <v>41512.0</v>
      </c>
      <c r="G22" s="14">
        <v>41509.0</v>
      </c>
      <c r="H22" s="8" t="s">
        <v>14266</v>
      </c>
      <c r="I22" s="9" t="s">
        <v>14267</v>
      </c>
    </row>
    <row r="23" ht="36.0" customHeight="1">
      <c r="A23" s="6">
        <v>5375.0</v>
      </c>
      <c r="B23" s="12" t="s">
        <v>21</v>
      </c>
      <c r="C23" s="12">
        <v>1526.0</v>
      </c>
      <c r="D23" s="6" t="s">
        <v>14268</v>
      </c>
      <c r="E23" s="26" t="s">
        <v>14269</v>
      </c>
      <c r="F23" s="725">
        <v>41510.0</v>
      </c>
      <c r="G23" s="14">
        <v>41507.0</v>
      </c>
      <c r="H23" s="14">
        <v>41515.0</v>
      </c>
      <c r="I23" s="9" t="s">
        <v>14270</v>
      </c>
    </row>
    <row r="24" ht="36.0" customHeight="1">
      <c r="A24" s="6">
        <v>5325.0</v>
      </c>
      <c r="B24" s="12" t="s">
        <v>21</v>
      </c>
      <c r="C24" s="12">
        <v>220.0</v>
      </c>
      <c r="D24" s="6" t="s">
        <v>14271</v>
      </c>
      <c r="E24" s="26" t="s">
        <v>14226</v>
      </c>
      <c r="F24" s="725">
        <v>41485.0</v>
      </c>
      <c r="G24" s="14">
        <v>41484.0</v>
      </c>
      <c r="H24" s="16">
        <v>41492.0</v>
      </c>
      <c r="I24" s="9" t="s">
        <v>14272</v>
      </c>
    </row>
    <row r="25" ht="36.0" customHeight="1">
      <c r="A25" s="6">
        <v>5348.0</v>
      </c>
      <c r="B25" s="12" t="s">
        <v>21</v>
      </c>
      <c r="C25" s="12">
        <v>672.0</v>
      </c>
      <c r="D25" s="6" t="s">
        <v>14273</v>
      </c>
      <c r="E25" s="26" t="s">
        <v>14229</v>
      </c>
      <c r="F25" s="725">
        <v>41485.0</v>
      </c>
      <c r="G25" s="14">
        <v>41484.0</v>
      </c>
      <c r="H25" s="16">
        <v>41491.0</v>
      </c>
      <c r="I25" s="18" t="s">
        <v>14274</v>
      </c>
    </row>
    <row r="26" ht="36.0" customHeight="1">
      <c r="A26" s="6">
        <v>5331.0</v>
      </c>
      <c r="B26" s="12" t="s">
        <v>25</v>
      </c>
      <c r="C26" s="12">
        <v>1546.0</v>
      </c>
      <c r="D26" s="6" t="s">
        <v>14275</v>
      </c>
      <c r="E26" s="26" t="s">
        <v>14276</v>
      </c>
      <c r="F26" s="725">
        <v>41480.0</v>
      </c>
      <c r="G26" s="14">
        <v>41478.0</v>
      </c>
      <c r="H26" s="16">
        <v>41485.0</v>
      </c>
      <c r="I26" s="17" t="s">
        <v>14277</v>
      </c>
    </row>
    <row r="27" ht="36.0" customHeight="1">
      <c r="A27" s="6">
        <v>5329.0</v>
      </c>
      <c r="B27" s="12" t="s">
        <v>21</v>
      </c>
      <c r="C27" s="12">
        <v>272.0</v>
      </c>
      <c r="D27" s="6" t="s">
        <v>14278</v>
      </c>
      <c r="E27" s="26" t="s">
        <v>14279</v>
      </c>
      <c r="F27" s="725">
        <v>41479.0</v>
      </c>
      <c r="G27" s="14">
        <v>41484.0</v>
      </c>
      <c r="H27" s="16">
        <v>41488.0</v>
      </c>
      <c r="I27" s="9" t="s">
        <v>14280</v>
      </c>
    </row>
    <row r="28" ht="36.0" customHeight="1">
      <c r="A28" s="6">
        <v>5330.0</v>
      </c>
      <c r="B28" s="12" t="s">
        <v>14</v>
      </c>
      <c r="C28" s="12">
        <v>3372.0</v>
      </c>
      <c r="D28" s="6" t="s">
        <v>14281</v>
      </c>
      <c r="E28" s="26" t="s">
        <v>14282</v>
      </c>
      <c r="F28" s="725">
        <v>41475.0</v>
      </c>
      <c r="G28" s="14">
        <v>41477.0</v>
      </c>
      <c r="H28" s="16">
        <v>41480.0</v>
      </c>
      <c r="I28" s="9" t="s">
        <v>14283</v>
      </c>
    </row>
    <row r="29" ht="36.0" customHeight="1">
      <c r="A29" s="6">
        <v>5298.0</v>
      </c>
      <c r="B29" s="12" t="s">
        <v>14</v>
      </c>
      <c r="C29" s="12">
        <v>220.0</v>
      </c>
      <c r="D29" s="6" t="s">
        <v>14284</v>
      </c>
      <c r="E29" s="26" t="s">
        <v>14226</v>
      </c>
      <c r="F29" s="725">
        <v>41459.0</v>
      </c>
      <c r="G29" s="14">
        <v>41450.0</v>
      </c>
      <c r="H29" s="16">
        <v>41458.0</v>
      </c>
      <c r="I29" s="9" t="s">
        <v>14285</v>
      </c>
    </row>
    <row r="30" ht="36.0" customHeight="1">
      <c r="A30" s="6">
        <v>5294.0</v>
      </c>
      <c r="B30" s="12" t="s">
        <v>21</v>
      </c>
      <c r="C30" s="12">
        <v>1977.0</v>
      </c>
      <c r="D30" s="6" t="s">
        <v>14286</v>
      </c>
      <c r="E30" s="26" t="s">
        <v>14287</v>
      </c>
      <c r="F30" s="725">
        <v>41451.0</v>
      </c>
      <c r="G30" s="14">
        <v>41449.0</v>
      </c>
      <c r="H30" s="16">
        <v>41457.0</v>
      </c>
      <c r="I30" s="18" t="s">
        <v>14288</v>
      </c>
    </row>
    <row r="31" ht="36.0" customHeight="1">
      <c r="A31" s="6">
        <v>5293.0</v>
      </c>
      <c r="B31" s="12" t="s">
        <v>14</v>
      </c>
      <c r="C31" s="12">
        <v>2350.0</v>
      </c>
      <c r="D31" s="6" t="s">
        <v>14289</v>
      </c>
      <c r="E31" s="26" t="s">
        <v>14290</v>
      </c>
      <c r="F31" s="725">
        <v>41449.0</v>
      </c>
      <c r="G31" s="14">
        <v>41446.0</v>
      </c>
      <c r="H31" s="8" t="s">
        <v>14291</v>
      </c>
      <c r="I31" s="18" t="s">
        <v>14292</v>
      </c>
    </row>
    <row r="32" ht="36.0" customHeight="1">
      <c r="A32" s="6">
        <v>5280.0</v>
      </c>
      <c r="B32" s="12" t="s">
        <v>14</v>
      </c>
      <c r="C32" s="12">
        <v>672.0</v>
      </c>
      <c r="D32" s="6" t="s">
        <v>14293</v>
      </c>
      <c r="E32" s="26" t="s">
        <v>14229</v>
      </c>
      <c r="F32" s="725">
        <v>41445.0</v>
      </c>
      <c r="G32" s="14">
        <v>41443.0</v>
      </c>
      <c r="H32" s="16">
        <v>41450.0</v>
      </c>
      <c r="I32" s="18" t="s">
        <v>14294</v>
      </c>
    </row>
    <row r="33" ht="36.0" customHeight="1">
      <c r="A33" s="6">
        <v>5271.0</v>
      </c>
      <c r="B33" s="12" t="s">
        <v>21</v>
      </c>
      <c r="C33" s="12">
        <v>220.0</v>
      </c>
      <c r="D33" s="6" t="s">
        <v>14295</v>
      </c>
      <c r="E33" s="26" t="s">
        <v>14226</v>
      </c>
      <c r="F33" s="725">
        <v>41436.0</v>
      </c>
      <c r="G33" s="14">
        <v>41435.0</v>
      </c>
      <c r="H33" s="16">
        <v>41443.0</v>
      </c>
      <c r="I33" s="18" t="s">
        <v>14296</v>
      </c>
    </row>
    <row r="34" ht="38.25" customHeight="1">
      <c r="A34" s="6">
        <v>5259.0</v>
      </c>
      <c r="B34" s="12" t="s">
        <v>21</v>
      </c>
      <c r="C34" s="12">
        <v>2180.0</v>
      </c>
      <c r="D34" s="6" t="s">
        <v>14297</v>
      </c>
      <c r="E34" s="26" t="s">
        <v>14298</v>
      </c>
      <c r="F34" s="725">
        <v>41421.0</v>
      </c>
      <c r="G34" s="14">
        <v>41423.0</v>
      </c>
      <c r="H34" s="16">
        <v>41428.0</v>
      </c>
      <c r="I34" s="18" t="s">
        <v>14299</v>
      </c>
    </row>
    <row r="35" ht="18.0" customHeight="1">
      <c r="A35" s="6">
        <v>5251.0</v>
      </c>
      <c r="B35" s="12" t="s">
        <v>14</v>
      </c>
      <c r="C35" s="12">
        <v>539.0</v>
      </c>
      <c r="D35" s="6" t="s">
        <v>14300</v>
      </c>
      <c r="E35" s="26" t="s">
        <v>14301</v>
      </c>
      <c r="F35" s="725">
        <v>41416.0</v>
      </c>
      <c r="G35" s="14">
        <v>41416.0</v>
      </c>
      <c r="H35" s="16">
        <v>41418.0</v>
      </c>
      <c r="I35" s="13" t="s">
        <v>14302</v>
      </c>
    </row>
    <row r="36" ht="34.5" customHeight="1">
      <c r="A36" s="6">
        <v>5207.0</v>
      </c>
      <c r="B36" s="12" t="s">
        <v>14</v>
      </c>
      <c r="C36" s="12">
        <v>110.0</v>
      </c>
      <c r="D36" s="6" t="s">
        <v>14303</v>
      </c>
      <c r="E36" s="26" t="s">
        <v>14226</v>
      </c>
      <c r="F36" s="725">
        <v>41394.0</v>
      </c>
      <c r="G36" s="14">
        <v>41390.0</v>
      </c>
      <c r="H36" s="16">
        <v>41394.0</v>
      </c>
      <c r="I36" s="13" t="s">
        <v>14304</v>
      </c>
    </row>
    <row r="37" ht="31.5" customHeight="1">
      <c r="A37" s="28">
        <v>5220.0</v>
      </c>
      <c r="B37" s="28" t="s">
        <v>25</v>
      </c>
      <c r="C37" s="28">
        <v>986.0</v>
      </c>
      <c r="D37" s="27" t="s">
        <v>14305</v>
      </c>
      <c r="E37" s="35" t="s">
        <v>14306</v>
      </c>
      <c r="F37" s="726">
        <v>41388.0</v>
      </c>
      <c r="G37" s="29">
        <v>41388.0</v>
      </c>
      <c r="H37" s="29">
        <v>41390.0</v>
      </c>
      <c r="I37" s="41" t="s">
        <v>14307</v>
      </c>
    </row>
    <row r="38" ht="18.0" customHeight="1">
      <c r="A38" s="28">
        <v>5221.0</v>
      </c>
      <c r="B38" s="28" t="s">
        <v>21</v>
      </c>
      <c r="C38" s="28">
        <v>1028.0</v>
      </c>
      <c r="D38" s="27" t="s">
        <v>14308</v>
      </c>
      <c r="E38" s="35" t="s">
        <v>14309</v>
      </c>
      <c r="F38" s="726">
        <v>41388.0</v>
      </c>
      <c r="G38" s="29">
        <v>41386.0</v>
      </c>
      <c r="H38" s="29">
        <v>41394.0</v>
      </c>
      <c r="I38" s="36" t="s">
        <v>14310</v>
      </c>
    </row>
    <row r="39" ht="18.0" customHeight="1">
      <c r="A39" s="28">
        <v>5219.0</v>
      </c>
      <c r="B39" s="488" t="s">
        <v>14</v>
      </c>
      <c r="C39" s="488">
        <v>2568.0</v>
      </c>
      <c r="D39" s="42" t="s">
        <v>14311</v>
      </c>
      <c r="E39" s="727" t="s">
        <v>14312</v>
      </c>
      <c r="F39" s="728">
        <v>41387.0</v>
      </c>
      <c r="G39" s="29">
        <v>41388.0</v>
      </c>
      <c r="H39" s="29">
        <v>41389.0</v>
      </c>
      <c r="I39" s="729" t="s">
        <v>14313</v>
      </c>
    </row>
    <row r="40" ht="18.0" customHeight="1">
      <c r="A40" s="6">
        <v>5183.0</v>
      </c>
      <c r="B40" s="12" t="s">
        <v>21</v>
      </c>
      <c r="C40" s="12">
        <v>110.0</v>
      </c>
      <c r="D40" s="6" t="s">
        <v>14314</v>
      </c>
      <c r="E40" s="26" t="s">
        <v>14226</v>
      </c>
      <c r="F40" s="725">
        <v>41374.0</v>
      </c>
      <c r="G40" s="14">
        <v>41380.0</v>
      </c>
      <c r="H40" s="16">
        <v>41381.0</v>
      </c>
      <c r="I40" s="13" t="s">
        <v>14315</v>
      </c>
    </row>
    <row r="41" ht="18.0" customHeight="1">
      <c r="A41" s="6">
        <v>5195.0</v>
      </c>
      <c r="B41" s="12" t="s">
        <v>21</v>
      </c>
      <c r="C41" s="12">
        <v>672.0</v>
      </c>
      <c r="D41" s="6" t="s">
        <v>14316</v>
      </c>
      <c r="E41" s="26" t="s">
        <v>14229</v>
      </c>
      <c r="F41" s="725">
        <v>41366.0</v>
      </c>
      <c r="G41" s="14">
        <v>41365.0</v>
      </c>
      <c r="H41" s="16">
        <v>41372.0</v>
      </c>
      <c r="I41" s="13" t="s">
        <v>14317</v>
      </c>
    </row>
    <row r="42" ht="18.0" customHeight="1">
      <c r="A42" s="27">
        <v>5177.0</v>
      </c>
      <c r="B42" s="28" t="s">
        <v>21</v>
      </c>
      <c r="C42" s="28">
        <v>471.0</v>
      </c>
      <c r="D42" s="27" t="s">
        <v>14318</v>
      </c>
      <c r="E42" s="35" t="s">
        <v>14319</v>
      </c>
      <c r="F42" s="726">
        <v>41360.0</v>
      </c>
      <c r="G42" s="29">
        <v>41361.0</v>
      </c>
      <c r="H42" s="30">
        <v>41369.0</v>
      </c>
      <c r="I42" s="24" t="s">
        <v>14320</v>
      </c>
    </row>
    <row r="43" ht="18.0" customHeight="1">
      <c r="A43" s="27">
        <v>5176.0</v>
      </c>
      <c r="B43" s="28" t="s">
        <v>14</v>
      </c>
      <c r="C43" s="28">
        <v>2552.0</v>
      </c>
      <c r="D43" s="27" t="s">
        <v>14321</v>
      </c>
      <c r="E43" s="35" t="s">
        <v>14322</v>
      </c>
      <c r="F43" s="726">
        <v>41359.0</v>
      </c>
      <c r="G43" s="29">
        <v>41360.0</v>
      </c>
      <c r="H43" s="34" t="s">
        <v>14323</v>
      </c>
      <c r="I43" s="41" t="s">
        <v>14324</v>
      </c>
    </row>
    <row r="44" ht="18.0" customHeight="1">
      <c r="A44" s="27">
        <v>5150.0</v>
      </c>
      <c r="B44" s="28" t="s">
        <v>14</v>
      </c>
      <c r="C44" s="28">
        <v>672.0</v>
      </c>
      <c r="D44" s="27" t="s">
        <v>14325</v>
      </c>
      <c r="E44" s="35" t="s">
        <v>14229</v>
      </c>
      <c r="F44" s="726">
        <v>41338.0</v>
      </c>
      <c r="G44" s="29">
        <v>41339.0</v>
      </c>
      <c r="H44" s="30">
        <v>41341.0</v>
      </c>
      <c r="I44" s="24" t="s">
        <v>14326</v>
      </c>
    </row>
    <row r="45" ht="18.0" customHeight="1">
      <c r="A45" s="27">
        <v>5142.0</v>
      </c>
      <c r="B45" s="28" t="s">
        <v>14</v>
      </c>
      <c r="C45" s="28">
        <v>110.0</v>
      </c>
      <c r="D45" s="27" t="s">
        <v>14327</v>
      </c>
      <c r="E45" s="35" t="s">
        <v>14226</v>
      </c>
      <c r="F45" s="726">
        <v>41336.0</v>
      </c>
      <c r="G45" s="29">
        <v>41340.0</v>
      </c>
      <c r="H45" s="30">
        <v>41338.0</v>
      </c>
      <c r="I45" s="24" t="s">
        <v>14328</v>
      </c>
    </row>
    <row r="46" ht="18.0" customHeight="1">
      <c r="A46" s="27">
        <v>5146.0</v>
      </c>
      <c r="B46" s="28" t="s">
        <v>21</v>
      </c>
      <c r="C46" s="28">
        <v>1366.0</v>
      </c>
      <c r="D46" s="27" t="s">
        <v>14329</v>
      </c>
      <c r="E46" s="35" t="s">
        <v>14330</v>
      </c>
      <c r="F46" s="726">
        <v>41332.0</v>
      </c>
      <c r="G46" s="29">
        <v>41331.0</v>
      </c>
      <c r="H46" s="30">
        <v>41339.0</v>
      </c>
      <c r="I46" s="24" t="s">
        <v>14331</v>
      </c>
    </row>
    <row r="47" ht="18.0" customHeight="1">
      <c r="A47" s="27">
        <v>5147.0</v>
      </c>
      <c r="B47" s="28" t="s">
        <v>14</v>
      </c>
      <c r="C47" s="28">
        <v>465.0</v>
      </c>
      <c r="D47" s="27" t="s">
        <v>14332</v>
      </c>
      <c r="E47" s="35" t="s">
        <v>14333</v>
      </c>
      <c r="F47" s="726">
        <v>41327.0</v>
      </c>
      <c r="G47" s="29">
        <v>41333.0</v>
      </c>
      <c r="H47" s="30">
        <v>41337.0</v>
      </c>
      <c r="I47" s="24" t="s">
        <v>14334</v>
      </c>
    </row>
    <row r="48" ht="18.0" customHeight="1">
      <c r="A48" s="27">
        <v>5110.0</v>
      </c>
      <c r="B48" s="28" t="s">
        <v>21</v>
      </c>
      <c r="C48" s="28">
        <v>110.0</v>
      </c>
      <c r="D48" s="27" t="s">
        <v>14335</v>
      </c>
      <c r="E48" s="35" t="s">
        <v>14226</v>
      </c>
      <c r="F48" s="726">
        <v>41304.0</v>
      </c>
      <c r="G48" s="29">
        <v>41310.0</v>
      </c>
      <c r="H48" s="30">
        <v>41311.0</v>
      </c>
      <c r="I48" s="24" t="s">
        <v>14336</v>
      </c>
    </row>
    <row r="49" ht="18.0" customHeight="1">
      <c r="A49" s="27">
        <v>5111.0</v>
      </c>
      <c r="B49" s="28" t="s">
        <v>14</v>
      </c>
      <c r="C49" s="28">
        <v>2152.0</v>
      </c>
      <c r="D49" s="27" t="s">
        <v>14337</v>
      </c>
      <c r="E49" s="35" t="s">
        <v>14338</v>
      </c>
      <c r="F49" s="726">
        <v>41292.0</v>
      </c>
      <c r="G49" s="29">
        <v>41303.0</v>
      </c>
      <c r="H49" s="30">
        <v>41299.0</v>
      </c>
      <c r="I49" s="24" t="s">
        <v>14339</v>
      </c>
    </row>
    <row r="50" ht="12.75" customHeight="1">
      <c r="A50" s="28"/>
      <c r="B50" s="28"/>
      <c r="C50" s="28"/>
      <c r="D50" s="27"/>
      <c r="E50" s="35"/>
      <c r="F50" s="730"/>
      <c r="G50" s="32"/>
      <c r="H50" s="32"/>
      <c r="I50" s="41"/>
    </row>
    <row r="51" ht="12.75" customHeight="1">
      <c r="A51" s="28"/>
      <c r="B51" s="28"/>
      <c r="C51" s="28"/>
      <c r="D51" s="27"/>
      <c r="E51" s="35"/>
      <c r="F51" s="730"/>
      <c r="G51" s="32"/>
      <c r="H51" s="32"/>
      <c r="I51" s="41"/>
    </row>
    <row r="52" ht="12.75" customHeight="1">
      <c r="A52" s="35"/>
      <c r="B52" s="28"/>
      <c r="C52" s="28"/>
      <c r="D52" s="27"/>
      <c r="E52" s="35"/>
      <c r="F52" s="730"/>
      <c r="G52" s="32"/>
      <c r="H52" s="32"/>
      <c r="I52" s="41"/>
    </row>
    <row r="53" ht="12.75" customHeight="1">
      <c r="A53" s="35"/>
      <c r="B53" s="28"/>
      <c r="C53" s="28"/>
      <c r="D53" s="27"/>
      <c r="E53" s="35"/>
      <c r="F53" s="730"/>
      <c r="G53" s="32"/>
      <c r="H53" s="32"/>
      <c r="I53" s="41"/>
    </row>
    <row r="54" ht="12.75" customHeight="1">
      <c r="A54" s="35"/>
      <c r="B54" s="28"/>
      <c r="C54" s="28"/>
      <c r="D54" s="27"/>
      <c r="E54" s="35"/>
      <c r="F54" s="730"/>
      <c r="G54" s="32"/>
      <c r="H54" s="32"/>
      <c r="I54" s="41"/>
    </row>
    <row r="55" ht="12.75" customHeight="1">
      <c r="A55" s="35"/>
      <c r="B55" s="28"/>
      <c r="C55" s="28"/>
      <c r="D55" s="27"/>
      <c r="E55" s="35"/>
      <c r="F55" s="730"/>
      <c r="G55" s="32"/>
      <c r="H55" s="32"/>
      <c r="I55" s="41"/>
    </row>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I$49"/>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29"/>
    <col customWidth="1" min="2" max="2" width="11.86"/>
    <col customWidth="1" min="3" max="3" width="10.0"/>
    <col customWidth="1" min="4" max="4" width="17.43"/>
    <col customWidth="1" min="5" max="5" width="42.0"/>
    <col customWidth="1" min="6" max="6" width="9.71"/>
    <col customWidth="1" min="7" max="7" width="19.71"/>
    <col customWidth="1" min="8" max="8" width="16.29"/>
    <col customWidth="1" min="9" max="9" width="47.14"/>
  </cols>
  <sheetData>
    <row r="1" ht="15.75" customHeight="1">
      <c r="A1" s="3" t="s">
        <v>14340</v>
      </c>
      <c r="B1" s="1"/>
      <c r="C1" s="2"/>
      <c r="D1" s="118"/>
      <c r="E1" s="13" t="s">
        <v>14341</v>
      </c>
      <c r="F1" s="52"/>
      <c r="G1" s="4"/>
      <c r="H1" s="4"/>
      <c r="I1" s="5"/>
    </row>
    <row r="2" ht="48.75" customHeight="1">
      <c r="A2" s="13"/>
      <c r="B2" s="6" t="s">
        <v>2</v>
      </c>
      <c r="C2" s="1"/>
      <c r="D2" s="6"/>
      <c r="E2" s="119" t="s">
        <v>1674</v>
      </c>
      <c r="F2" s="8" t="s">
        <v>4</v>
      </c>
      <c r="G2" s="8" t="s">
        <v>5</v>
      </c>
      <c r="H2" s="8" t="s">
        <v>6</v>
      </c>
      <c r="I2" s="3"/>
    </row>
    <row r="3" ht="12.75" customHeight="1">
      <c r="A3" s="10" t="s">
        <v>1675</v>
      </c>
      <c r="B3" s="10" t="s">
        <v>8</v>
      </c>
      <c r="C3" s="10" t="s">
        <v>9</v>
      </c>
      <c r="D3" s="724" t="s">
        <v>10</v>
      </c>
      <c r="E3" s="724" t="s">
        <v>11</v>
      </c>
      <c r="F3" s="11" t="s">
        <v>12</v>
      </c>
      <c r="G3" s="11" t="s">
        <v>12</v>
      </c>
      <c r="H3" s="11" t="s">
        <v>12</v>
      </c>
      <c r="I3" s="724" t="s">
        <v>13</v>
      </c>
    </row>
    <row r="4" ht="26.25" customHeight="1">
      <c r="A4" s="6">
        <v>6015.0</v>
      </c>
      <c r="B4" s="12" t="s">
        <v>14</v>
      </c>
      <c r="C4" s="12">
        <v>1153.0</v>
      </c>
      <c r="D4" s="6" t="s">
        <v>14342</v>
      </c>
      <c r="E4" s="26" t="s">
        <v>14343</v>
      </c>
      <c r="F4" s="725">
        <v>41988.0</v>
      </c>
      <c r="G4" s="14">
        <v>41985.0</v>
      </c>
      <c r="H4" s="21">
        <v>41995.0</v>
      </c>
      <c r="I4" s="9" t="s">
        <v>14344</v>
      </c>
    </row>
    <row r="5" ht="26.25" customHeight="1">
      <c r="A5" s="6">
        <v>6024.0</v>
      </c>
      <c r="B5" s="12" t="s">
        <v>14</v>
      </c>
      <c r="C5" s="12">
        <v>2046.0</v>
      </c>
      <c r="D5" s="6" t="s">
        <v>14345</v>
      </c>
      <c r="E5" s="26" t="s">
        <v>14346</v>
      </c>
      <c r="F5" s="725">
        <v>41988.0</v>
      </c>
      <c r="G5" s="14">
        <v>41985.0</v>
      </c>
      <c r="H5" s="21">
        <v>41996.0</v>
      </c>
      <c r="I5" s="9" t="s">
        <v>14347</v>
      </c>
    </row>
    <row r="6" ht="26.25" customHeight="1">
      <c r="A6" s="6">
        <v>5987.0</v>
      </c>
      <c r="B6" s="12" t="s">
        <v>14</v>
      </c>
      <c r="C6" s="12">
        <v>110.0</v>
      </c>
      <c r="D6" s="6" t="s">
        <v>14348</v>
      </c>
      <c r="E6" s="26" t="s">
        <v>14226</v>
      </c>
      <c r="F6" s="725">
        <v>41978.0</v>
      </c>
      <c r="G6" s="14">
        <v>41977.0</v>
      </c>
      <c r="H6" s="21">
        <v>41982.0</v>
      </c>
      <c r="I6" s="9" t="s">
        <v>14349</v>
      </c>
    </row>
    <row r="7" ht="26.25" customHeight="1">
      <c r="A7" s="6">
        <v>5983.0</v>
      </c>
      <c r="B7" s="12" t="s">
        <v>14</v>
      </c>
      <c r="C7" s="12">
        <v>672.0</v>
      </c>
      <c r="D7" s="6" t="s">
        <v>14350</v>
      </c>
      <c r="E7" s="26" t="s">
        <v>14351</v>
      </c>
      <c r="F7" s="725">
        <v>41968.0</v>
      </c>
      <c r="G7" s="14">
        <v>41967.0</v>
      </c>
      <c r="H7" s="21">
        <v>41976.0</v>
      </c>
      <c r="I7" s="9" t="s">
        <v>14352</v>
      </c>
    </row>
    <row r="8" ht="26.25" customHeight="1">
      <c r="A8" s="6">
        <v>5995.0</v>
      </c>
      <c r="B8" s="12" t="s">
        <v>14</v>
      </c>
      <c r="C8" s="12">
        <v>3119.0</v>
      </c>
      <c r="D8" s="6" t="s">
        <v>14353</v>
      </c>
      <c r="E8" s="26" t="s">
        <v>14354</v>
      </c>
      <c r="F8" s="725">
        <v>41967.0</v>
      </c>
      <c r="G8" s="14">
        <v>41978.0</v>
      </c>
      <c r="H8" s="21">
        <v>41974.0</v>
      </c>
      <c r="I8" s="9" t="s">
        <v>14355</v>
      </c>
    </row>
    <row r="9" ht="26.25" customHeight="1">
      <c r="A9" s="6">
        <v>5988.0</v>
      </c>
      <c r="B9" s="12" t="s">
        <v>21</v>
      </c>
      <c r="C9" s="12">
        <v>2033.0</v>
      </c>
      <c r="D9" s="6" t="s">
        <v>14356</v>
      </c>
      <c r="E9" s="26" t="s">
        <v>14354</v>
      </c>
      <c r="F9" s="725">
        <v>41966.0</v>
      </c>
      <c r="G9" s="14">
        <v>41973.0</v>
      </c>
      <c r="H9" s="16">
        <v>41978.0</v>
      </c>
      <c r="I9" s="9" t="s">
        <v>14357</v>
      </c>
    </row>
    <row r="10" ht="26.25" customHeight="1">
      <c r="A10" s="6">
        <v>5942.0</v>
      </c>
      <c r="B10" s="12" t="s">
        <v>21</v>
      </c>
      <c r="C10" s="12">
        <v>110.0</v>
      </c>
      <c r="D10" s="6" t="s">
        <v>14358</v>
      </c>
      <c r="E10" s="26" t="s">
        <v>14226</v>
      </c>
      <c r="F10" s="725">
        <v>41943.0</v>
      </c>
      <c r="G10" s="14">
        <v>41962.0</v>
      </c>
      <c r="H10" s="21">
        <v>41963.0</v>
      </c>
      <c r="I10" s="9" t="s">
        <v>14359</v>
      </c>
    </row>
    <row r="11" ht="26.25" customHeight="1">
      <c r="A11" s="6">
        <v>5948.0</v>
      </c>
      <c r="B11" s="12" t="s">
        <v>14</v>
      </c>
      <c r="C11" s="12">
        <v>2944.0</v>
      </c>
      <c r="D11" s="6" t="s">
        <v>14360</v>
      </c>
      <c r="E11" s="26" t="s">
        <v>14361</v>
      </c>
      <c r="F11" s="725">
        <v>41939.0</v>
      </c>
      <c r="G11" s="14">
        <v>41957.0</v>
      </c>
      <c r="H11" s="44" t="s">
        <v>14362</v>
      </c>
      <c r="I11" s="9" t="s">
        <v>14363</v>
      </c>
    </row>
    <row r="12" ht="26.25" customHeight="1">
      <c r="A12" s="6">
        <v>5950.0</v>
      </c>
      <c r="B12" s="12" t="s">
        <v>21</v>
      </c>
      <c r="C12" s="12">
        <v>1296.0</v>
      </c>
      <c r="D12" s="6" t="s">
        <v>14364</v>
      </c>
      <c r="E12" s="26" t="s">
        <v>14365</v>
      </c>
      <c r="F12" s="725">
        <v>41941.0</v>
      </c>
      <c r="G12" s="14">
        <v>41940.0</v>
      </c>
      <c r="H12" s="21">
        <v>41949.0</v>
      </c>
      <c r="I12" s="9" t="s">
        <v>14366</v>
      </c>
    </row>
    <row r="13" ht="26.25" customHeight="1">
      <c r="A13" s="6">
        <v>5949.0</v>
      </c>
      <c r="B13" s="12" t="s">
        <v>25</v>
      </c>
      <c r="C13" s="12">
        <v>1215.0</v>
      </c>
      <c r="D13" s="6" t="s">
        <v>14367</v>
      </c>
      <c r="E13" s="26" t="s">
        <v>14368</v>
      </c>
      <c r="F13" s="725">
        <v>41938.0</v>
      </c>
      <c r="G13" s="65">
        <v>41956.0</v>
      </c>
      <c r="H13" s="21">
        <v>41947.0</v>
      </c>
      <c r="I13" s="9" t="s">
        <v>14369</v>
      </c>
    </row>
    <row r="14" ht="26.25" customHeight="1">
      <c r="A14" s="6">
        <v>5936.0</v>
      </c>
      <c r="B14" s="12" t="s">
        <v>21</v>
      </c>
      <c r="C14" s="12">
        <v>672.0</v>
      </c>
      <c r="D14" s="6" t="s">
        <v>14370</v>
      </c>
      <c r="E14" s="26" t="s">
        <v>14351</v>
      </c>
      <c r="F14" s="725">
        <v>41925.0</v>
      </c>
      <c r="G14" s="14">
        <v>41925.0</v>
      </c>
      <c r="H14" s="21">
        <v>41933.0</v>
      </c>
      <c r="I14" s="9" t="s">
        <v>14371</v>
      </c>
    </row>
    <row r="15" ht="26.25" customHeight="1">
      <c r="A15" s="6">
        <v>5913.0</v>
      </c>
      <c r="B15" s="12" t="s">
        <v>21</v>
      </c>
      <c r="C15" s="12">
        <v>110.0</v>
      </c>
      <c r="D15" s="6" t="s">
        <v>14372</v>
      </c>
      <c r="E15" s="26" t="s">
        <v>14226</v>
      </c>
      <c r="F15" s="725">
        <v>41924.0</v>
      </c>
      <c r="G15" s="14">
        <v>41932.0</v>
      </c>
      <c r="H15" s="16">
        <v>41936.0</v>
      </c>
      <c r="I15" s="9" t="s">
        <v>14373</v>
      </c>
    </row>
    <row r="16" ht="26.25" customHeight="1">
      <c r="A16" s="6">
        <v>5907.0</v>
      </c>
      <c r="B16" s="12" t="s">
        <v>21</v>
      </c>
      <c r="C16" s="12">
        <v>1013.0</v>
      </c>
      <c r="D16" s="6" t="s">
        <v>14374</v>
      </c>
      <c r="E16" s="26" t="s">
        <v>14375</v>
      </c>
      <c r="F16" s="725">
        <v>41912.0</v>
      </c>
      <c r="G16" s="14">
        <v>41913.0</v>
      </c>
      <c r="H16" s="21">
        <v>41926.0</v>
      </c>
      <c r="I16" s="9" t="s">
        <v>14376</v>
      </c>
    </row>
    <row r="17" ht="26.25" customHeight="1">
      <c r="A17" s="6" t="s">
        <v>14377</v>
      </c>
      <c r="B17" s="12" t="s">
        <v>14</v>
      </c>
      <c r="C17" s="12">
        <v>3876.0</v>
      </c>
      <c r="D17" s="6" t="s">
        <v>14378</v>
      </c>
      <c r="E17" s="26" t="s">
        <v>14379</v>
      </c>
      <c r="F17" s="725">
        <v>41904.0</v>
      </c>
      <c r="G17" s="14">
        <v>41904.0</v>
      </c>
      <c r="H17" s="44" t="s">
        <v>14380</v>
      </c>
      <c r="I17" s="9" t="s">
        <v>14381</v>
      </c>
    </row>
    <row r="18" ht="26.25" customHeight="1">
      <c r="A18" s="6">
        <v>5872.0</v>
      </c>
      <c r="B18" s="12" t="s">
        <v>14</v>
      </c>
      <c r="C18" s="12">
        <v>220.0</v>
      </c>
      <c r="D18" s="6" t="s">
        <v>14382</v>
      </c>
      <c r="E18" s="26" t="s">
        <v>14226</v>
      </c>
      <c r="F18" s="725">
        <v>41884.0</v>
      </c>
      <c r="G18" s="14">
        <v>41890.0</v>
      </c>
      <c r="H18" s="21">
        <v>41893.0</v>
      </c>
      <c r="I18" s="9" t="s">
        <v>14383</v>
      </c>
    </row>
    <row r="19" ht="26.25" customHeight="1">
      <c r="A19" s="6" t="s">
        <v>14384</v>
      </c>
      <c r="B19" s="12" t="s">
        <v>21</v>
      </c>
      <c r="C19" s="12">
        <v>2188.0</v>
      </c>
      <c r="D19" s="6" t="s">
        <v>14385</v>
      </c>
      <c r="E19" s="26" t="s">
        <v>14386</v>
      </c>
      <c r="F19" s="725">
        <v>41881.0</v>
      </c>
      <c r="G19" s="14">
        <v>41877.0</v>
      </c>
      <c r="H19" s="44" t="s">
        <v>14387</v>
      </c>
      <c r="I19" s="9" t="s">
        <v>14388</v>
      </c>
    </row>
    <row r="20" ht="26.25" customHeight="1">
      <c r="A20" s="6" t="s">
        <v>14389</v>
      </c>
      <c r="B20" s="12" t="s">
        <v>25</v>
      </c>
      <c r="C20" s="12">
        <v>1236.0</v>
      </c>
      <c r="D20" s="6" t="s">
        <v>14390</v>
      </c>
      <c r="E20" s="26" t="s">
        <v>14391</v>
      </c>
      <c r="F20" s="725">
        <v>41881.0</v>
      </c>
      <c r="G20" s="14">
        <v>41876.0</v>
      </c>
      <c r="H20" s="21">
        <v>41878.0</v>
      </c>
      <c r="I20" s="9" t="s">
        <v>14392</v>
      </c>
    </row>
    <row r="21" ht="26.25" customHeight="1">
      <c r="A21" s="6" t="s">
        <v>14393</v>
      </c>
      <c r="B21" s="12" t="s">
        <v>14</v>
      </c>
      <c r="C21" s="12">
        <v>2277.0</v>
      </c>
      <c r="D21" s="6" t="s">
        <v>14394</v>
      </c>
      <c r="E21" s="26" t="s">
        <v>14395</v>
      </c>
      <c r="F21" s="725">
        <v>41876.0</v>
      </c>
      <c r="G21" s="14">
        <v>41872.0</v>
      </c>
      <c r="H21" s="44" t="s">
        <v>14396</v>
      </c>
      <c r="I21" s="9" t="s">
        <v>14397</v>
      </c>
    </row>
    <row r="22" ht="26.25" customHeight="1">
      <c r="A22" s="6">
        <v>5826.0</v>
      </c>
      <c r="B22" s="12" t="s">
        <v>14</v>
      </c>
      <c r="C22" s="12">
        <v>672.0</v>
      </c>
      <c r="D22" s="6" t="s">
        <v>14398</v>
      </c>
      <c r="E22" s="26" t="s">
        <v>14399</v>
      </c>
      <c r="F22" s="725">
        <v>41873.0</v>
      </c>
      <c r="G22" s="14">
        <v>41872.0</v>
      </c>
      <c r="H22" s="16">
        <v>41884.0</v>
      </c>
      <c r="I22" s="9" t="s">
        <v>14400</v>
      </c>
    </row>
    <row r="23" ht="26.25" customHeight="1">
      <c r="A23" s="6">
        <v>5811.0</v>
      </c>
      <c r="B23" s="12" t="s">
        <v>21</v>
      </c>
      <c r="C23" s="12">
        <v>1879.0</v>
      </c>
      <c r="D23" s="6" t="s">
        <v>14401</v>
      </c>
      <c r="E23" s="26" t="s">
        <v>14402</v>
      </c>
      <c r="F23" s="725">
        <v>41849.0</v>
      </c>
      <c r="G23" s="14">
        <v>41849.0</v>
      </c>
      <c r="H23" s="21">
        <v>41858.0</v>
      </c>
      <c r="I23" s="9" t="s">
        <v>14403</v>
      </c>
    </row>
    <row r="24" ht="26.25" customHeight="1">
      <c r="A24" s="6">
        <v>5812.0</v>
      </c>
      <c r="B24" s="12" t="s">
        <v>25</v>
      </c>
      <c r="C24" s="12">
        <v>460.0</v>
      </c>
      <c r="D24" s="6" t="s">
        <v>14404</v>
      </c>
      <c r="E24" s="26" t="s">
        <v>14405</v>
      </c>
      <c r="F24" s="725">
        <v>41844.0</v>
      </c>
      <c r="G24" s="14">
        <v>41844.0</v>
      </c>
      <c r="H24" s="21">
        <v>41856.0</v>
      </c>
      <c r="I24" s="9" t="s">
        <v>14406</v>
      </c>
    </row>
    <row r="25" ht="26.25" customHeight="1">
      <c r="A25" s="6">
        <v>5808.0</v>
      </c>
      <c r="B25" s="12" t="s">
        <v>14</v>
      </c>
      <c r="C25" s="12">
        <v>2128.0</v>
      </c>
      <c r="D25" s="6" t="s">
        <v>14407</v>
      </c>
      <c r="E25" s="26" t="s">
        <v>14408</v>
      </c>
      <c r="F25" s="725">
        <v>41841.0</v>
      </c>
      <c r="G25" s="14">
        <v>41841.0</v>
      </c>
      <c r="H25" s="44" t="s">
        <v>14409</v>
      </c>
      <c r="I25" s="9" t="s">
        <v>14410</v>
      </c>
    </row>
    <row r="26" ht="26.25" customHeight="1">
      <c r="A26" s="6">
        <v>5763.0</v>
      </c>
      <c r="B26" s="12" t="s">
        <v>21</v>
      </c>
      <c r="C26" s="12">
        <v>110.0</v>
      </c>
      <c r="D26" s="6" t="s">
        <v>14411</v>
      </c>
      <c r="E26" s="26" t="s">
        <v>14226</v>
      </c>
      <c r="F26" s="725">
        <v>41833.0</v>
      </c>
      <c r="G26" s="14">
        <v>41835.0</v>
      </c>
      <c r="H26" s="21">
        <v>41836.0</v>
      </c>
      <c r="I26" s="9" t="s">
        <v>14412</v>
      </c>
    </row>
    <row r="27" ht="26.25" customHeight="1">
      <c r="A27" s="6">
        <v>5765.0</v>
      </c>
      <c r="B27" s="12" t="s">
        <v>21</v>
      </c>
      <c r="C27" s="12">
        <v>1764.0</v>
      </c>
      <c r="D27" s="6" t="s">
        <v>14413</v>
      </c>
      <c r="E27" s="26" t="s">
        <v>14414</v>
      </c>
      <c r="F27" s="725">
        <v>41817.0</v>
      </c>
      <c r="G27" s="14">
        <v>41821.0</v>
      </c>
      <c r="H27" s="21">
        <v>41829.0</v>
      </c>
      <c r="I27" s="9" t="s">
        <v>14415</v>
      </c>
    </row>
    <row r="28" ht="26.25" customHeight="1">
      <c r="A28" s="6">
        <v>5768.0</v>
      </c>
      <c r="B28" s="12" t="s">
        <v>14</v>
      </c>
      <c r="C28" s="12">
        <v>1740.0</v>
      </c>
      <c r="D28" s="6" t="s">
        <v>14416</v>
      </c>
      <c r="E28" s="26" t="s">
        <v>14417</v>
      </c>
      <c r="F28" s="725">
        <v>41813.0</v>
      </c>
      <c r="G28" s="14">
        <v>41813.0</v>
      </c>
      <c r="H28" s="44" t="s">
        <v>14418</v>
      </c>
      <c r="I28" s="9" t="s">
        <v>14419</v>
      </c>
    </row>
    <row r="29" ht="26.25" customHeight="1">
      <c r="A29" s="6">
        <v>5751.0</v>
      </c>
      <c r="B29" s="12" t="s">
        <v>21</v>
      </c>
      <c r="C29" s="12">
        <v>672.0</v>
      </c>
      <c r="D29" s="6" t="s">
        <v>14420</v>
      </c>
      <c r="E29" s="26" t="s">
        <v>14351</v>
      </c>
      <c r="F29" s="725">
        <v>41806.0</v>
      </c>
      <c r="G29" s="14">
        <v>41810.0</v>
      </c>
      <c r="H29" s="21">
        <v>41810.0</v>
      </c>
      <c r="I29" s="9" t="s">
        <v>14421</v>
      </c>
    </row>
    <row r="30" ht="26.25" customHeight="1">
      <c r="A30" s="6">
        <v>5725.0</v>
      </c>
      <c r="B30" s="12" t="s">
        <v>14</v>
      </c>
      <c r="C30" s="12">
        <v>2944.0</v>
      </c>
      <c r="D30" s="6" t="s">
        <v>14422</v>
      </c>
      <c r="E30" s="26" t="s">
        <v>14423</v>
      </c>
      <c r="F30" s="725">
        <v>41787.0</v>
      </c>
      <c r="G30" s="14">
        <v>41789.0</v>
      </c>
      <c r="H30" s="16">
        <v>41793.0</v>
      </c>
      <c r="I30" s="9" t="s">
        <v>14424</v>
      </c>
    </row>
    <row r="31" ht="26.25" customHeight="1">
      <c r="A31" s="6">
        <v>5726.0</v>
      </c>
      <c r="B31" s="12" t="s">
        <v>21</v>
      </c>
      <c r="C31" s="12">
        <v>1901.0</v>
      </c>
      <c r="D31" s="6" t="s">
        <v>14425</v>
      </c>
      <c r="E31" s="26" t="s">
        <v>14426</v>
      </c>
      <c r="F31" s="725">
        <v>41785.0</v>
      </c>
      <c r="G31" s="14">
        <v>41786.0</v>
      </c>
      <c r="H31" s="16">
        <v>41793.0</v>
      </c>
      <c r="I31" s="9" t="s">
        <v>14427</v>
      </c>
    </row>
    <row r="32" ht="26.25" customHeight="1">
      <c r="A32" s="6">
        <v>5686.0</v>
      </c>
      <c r="B32" s="12" t="s">
        <v>14</v>
      </c>
      <c r="C32" s="12">
        <v>110.0</v>
      </c>
      <c r="D32" s="6" t="s">
        <v>14428</v>
      </c>
      <c r="E32" s="26" t="s">
        <v>14226</v>
      </c>
      <c r="F32" s="725">
        <v>41774.0</v>
      </c>
      <c r="G32" s="14">
        <v>41779.0</v>
      </c>
      <c r="H32" s="16">
        <v>41792.0</v>
      </c>
      <c r="I32" s="9" t="s">
        <v>14429</v>
      </c>
    </row>
    <row r="33" ht="26.25" customHeight="1">
      <c r="A33" s="6">
        <v>5662.0</v>
      </c>
      <c r="B33" s="12" t="s">
        <v>14</v>
      </c>
      <c r="C33" s="12">
        <v>110.0</v>
      </c>
      <c r="D33" s="6" t="s">
        <v>14430</v>
      </c>
      <c r="E33" s="26" t="s">
        <v>14226</v>
      </c>
      <c r="F33" s="725">
        <v>41753.0</v>
      </c>
      <c r="G33" s="14">
        <v>41778.0</v>
      </c>
      <c r="H33" s="16">
        <v>41758.0</v>
      </c>
      <c r="I33" s="18" t="s">
        <v>14431</v>
      </c>
    </row>
    <row r="34" ht="26.25" customHeight="1">
      <c r="A34" s="6">
        <v>5660.0</v>
      </c>
      <c r="B34" s="12" t="s">
        <v>21</v>
      </c>
      <c r="C34" s="12">
        <v>2751.0</v>
      </c>
      <c r="D34" s="6" t="s">
        <v>14432</v>
      </c>
      <c r="E34" s="26" t="s">
        <v>14433</v>
      </c>
      <c r="F34" s="725">
        <v>41746.0</v>
      </c>
      <c r="G34" s="14">
        <v>41744.0</v>
      </c>
      <c r="H34" s="8" t="s">
        <v>14434</v>
      </c>
      <c r="I34" s="46" t="s">
        <v>14435</v>
      </c>
    </row>
    <row r="35" ht="26.25" customHeight="1">
      <c r="A35" s="6">
        <v>5658.0</v>
      </c>
      <c r="B35" s="12" t="s">
        <v>14</v>
      </c>
      <c r="C35" s="12">
        <v>1738.0</v>
      </c>
      <c r="D35" s="6" t="s">
        <v>14436</v>
      </c>
      <c r="E35" s="26" t="s">
        <v>14437</v>
      </c>
      <c r="F35" s="725">
        <v>41745.0</v>
      </c>
      <c r="G35" s="14">
        <v>41750.0</v>
      </c>
      <c r="H35" s="16">
        <v>41750.0</v>
      </c>
      <c r="I35" s="18" t="s">
        <v>14438</v>
      </c>
    </row>
    <row r="36" ht="26.25" customHeight="1">
      <c r="A36" s="6">
        <v>5646.0</v>
      </c>
      <c r="B36" s="12" t="s">
        <v>14</v>
      </c>
      <c r="C36" s="12">
        <v>672.0</v>
      </c>
      <c r="D36" s="6" t="s">
        <v>14439</v>
      </c>
      <c r="E36" s="26" t="s">
        <v>14229</v>
      </c>
      <c r="F36" s="725">
        <v>41743.0</v>
      </c>
      <c r="G36" s="14">
        <v>41751.0</v>
      </c>
      <c r="H36" s="16">
        <v>41745.0</v>
      </c>
      <c r="I36" s="18" t="s">
        <v>14440</v>
      </c>
    </row>
    <row r="37" ht="26.25" customHeight="1">
      <c r="A37" s="6">
        <v>5621.0</v>
      </c>
      <c r="B37" s="12" t="s">
        <v>21</v>
      </c>
      <c r="C37" s="12">
        <v>110.0</v>
      </c>
      <c r="D37" s="6" t="s">
        <v>14441</v>
      </c>
      <c r="E37" s="26" t="s">
        <v>14226</v>
      </c>
      <c r="F37" s="725">
        <v>41735.0</v>
      </c>
      <c r="G37" s="14">
        <v>41740.0</v>
      </c>
      <c r="H37" s="16">
        <v>41744.0</v>
      </c>
      <c r="I37" s="18" t="s">
        <v>14442</v>
      </c>
    </row>
    <row r="38" ht="26.25" customHeight="1">
      <c r="A38" s="6">
        <v>5627.0</v>
      </c>
      <c r="B38" s="12" t="s">
        <v>14</v>
      </c>
      <c r="C38" s="12">
        <v>1951.0</v>
      </c>
      <c r="D38" s="6" t="s">
        <v>14443</v>
      </c>
      <c r="E38" s="26" t="s">
        <v>14444</v>
      </c>
      <c r="F38" s="725">
        <v>41722.0</v>
      </c>
      <c r="G38" s="49">
        <v>41724.0</v>
      </c>
      <c r="H38" s="8" t="s">
        <v>14445</v>
      </c>
      <c r="I38" s="18" t="s">
        <v>14446</v>
      </c>
    </row>
    <row r="39" ht="30.0" customHeight="1">
      <c r="A39" s="6">
        <v>5622.0</v>
      </c>
      <c r="B39" s="12" t="s">
        <v>21</v>
      </c>
      <c r="C39" s="12">
        <v>453.0</v>
      </c>
      <c r="D39" s="6" t="s">
        <v>14447</v>
      </c>
      <c r="E39" s="26" t="s">
        <v>14448</v>
      </c>
      <c r="F39" s="725">
        <v>41722.0</v>
      </c>
      <c r="G39" s="14">
        <v>41718.0</v>
      </c>
      <c r="H39" s="16">
        <v>41725.0</v>
      </c>
      <c r="I39" s="18" t="s">
        <v>14449</v>
      </c>
    </row>
    <row r="40" ht="30.0" customHeight="1">
      <c r="A40" s="6">
        <v>5626.0</v>
      </c>
      <c r="B40" s="12" t="s">
        <v>25</v>
      </c>
      <c r="C40" s="12">
        <v>1581.0</v>
      </c>
      <c r="D40" s="6" t="s">
        <v>14450</v>
      </c>
      <c r="E40" s="26" t="s">
        <v>14451</v>
      </c>
      <c r="F40" s="725">
        <v>41720.0</v>
      </c>
      <c r="G40" s="49">
        <v>41724.0</v>
      </c>
      <c r="H40" s="8" t="s">
        <v>14452</v>
      </c>
      <c r="I40" s="18" t="s">
        <v>14453</v>
      </c>
    </row>
    <row r="41" ht="30.0" customHeight="1">
      <c r="A41" s="6">
        <v>5601.0</v>
      </c>
      <c r="B41" s="12" t="s">
        <v>21</v>
      </c>
      <c r="C41" s="12">
        <v>1784.0</v>
      </c>
      <c r="D41" s="6" t="s">
        <v>14454</v>
      </c>
      <c r="E41" s="26" t="s">
        <v>14455</v>
      </c>
      <c r="F41" s="725">
        <v>41701.0</v>
      </c>
      <c r="G41" s="14">
        <v>41701.0</v>
      </c>
      <c r="H41" s="8" t="s">
        <v>14456</v>
      </c>
      <c r="I41" s="46" t="s">
        <v>14457</v>
      </c>
    </row>
    <row r="42" ht="30.0" customHeight="1">
      <c r="A42" s="6">
        <v>5592.0</v>
      </c>
      <c r="B42" s="12" t="s">
        <v>14</v>
      </c>
      <c r="C42" s="12">
        <v>110.0</v>
      </c>
      <c r="D42" s="6" t="s">
        <v>14458</v>
      </c>
      <c r="E42" s="26" t="s">
        <v>14226</v>
      </c>
      <c r="F42" s="725">
        <v>41697.0</v>
      </c>
      <c r="G42" s="14">
        <v>41694.0</v>
      </c>
      <c r="H42" s="16">
        <v>41702.0</v>
      </c>
      <c r="I42" s="9" t="s">
        <v>14459</v>
      </c>
    </row>
    <row r="43" ht="30.0" customHeight="1">
      <c r="A43" s="6">
        <v>5602.0</v>
      </c>
      <c r="B43" s="12" t="s">
        <v>14</v>
      </c>
      <c r="C43" s="12">
        <v>1890.0</v>
      </c>
      <c r="D43" s="6" t="s">
        <v>14460</v>
      </c>
      <c r="E43" s="26" t="s">
        <v>14461</v>
      </c>
      <c r="F43" s="725">
        <v>41694.0</v>
      </c>
      <c r="G43" s="14">
        <v>41695.0</v>
      </c>
      <c r="H43" s="16">
        <v>41703.0</v>
      </c>
      <c r="I43" s="47" t="s">
        <v>14462</v>
      </c>
    </row>
    <row r="44" ht="30.0" customHeight="1">
      <c r="A44" s="6">
        <v>5566.0</v>
      </c>
      <c r="B44" s="12" t="s">
        <v>14</v>
      </c>
      <c r="C44" s="12">
        <v>672.0</v>
      </c>
      <c r="D44" s="6" t="s">
        <v>14463</v>
      </c>
      <c r="E44" s="26" t="s">
        <v>14229</v>
      </c>
      <c r="F44" s="725">
        <v>41689.0</v>
      </c>
      <c r="G44" s="14">
        <v>41688.0</v>
      </c>
      <c r="H44" s="16">
        <v>41701.0</v>
      </c>
      <c r="I44" s="43" t="s">
        <v>14464</v>
      </c>
    </row>
    <row r="45" ht="30.0" customHeight="1">
      <c r="A45" s="6">
        <v>5549.0</v>
      </c>
      <c r="B45" s="12" t="s">
        <v>25</v>
      </c>
      <c r="C45" s="12">
        <v>1400.0</v>
      </c>
      <c r="D45" s="6" t="s">
        <v>14465</v>
      </c>
      <c r="E45" s="26" t="s">
        <v>14229</v>
      </c>
      <c r="F45" s="725">
        <v>41662.0</v>
      </c>
      <c r="G45" s="14">
        <v>41662.0</v>
      </c>
      <c r="H45" s="16">
        <v>41663.0</v>
      </c>
      <c r="I45" s="9" t="s">
        <v>14466</v>
      </c>
    </row>
    <row r="46" ht="30.0" customHeight="1">
      <c r="A46" s="6">
        <v>5551.0</v>
      </c>
      <c r="B46" s="12" t="s">
        <v>21</v>
      </c>
      <c r="C46" s="12">
        <v>1787.0</v>
      </c>
      <c r="D46" s="6" t="s">
        <v>14467</v>
      </c>
      <c r="E46" s="26" t="s">
        <v>14468</v>
      </c>
      <c r="F46" s="725">
        <v>41661.0</v>
      </c>
      <c r="G46" s="14">
        <v>41659.0</v>
      </c>
      <c r="H46" s="16">
        <v>41668.0</v>
      </c>
      <c r="I46" s="9" t="s">
        <v>14469</v>
      </c>
    </row>
    <row r="47" ht="30.0" customHeight="1">
      <c r="A47" s="6">
        <v>5550.0</v>
      </c>
      <c r="B47" s="12" t="s">
        <v>14</v>
      </c>
      <c r="C47" s="12">
        <v>1662.0</v>
      </c>
      <c r="D47" s="6" t="s">
        <v>14470</v>
      </c>
      <c r="E47" s="26" t="s">
        <v>14468</v>
      </c>
      <c r="F47" s="725">
        <v>41659.0</v>
      </c>
      <c r="G47" s="14">
        <v>41660.0</v>
      </c>
      <c r="H47" s="16">
        <v>41668.0</v>
      </c>
      <c r="I47" s="9" t="s">
        <v>14471</v>
      </c>
    </row>
    <row r="48" ht="30.0" customHeight="1">
      <c r="A48" s="6">
        <v>5526.0</v>
      </c>
      <c r="B48" s="12" t="s">
        <v>14</v>
      </c>
      <c r="C48" s="12">
        <v>106.0</v>
      </c>
      <c r="D48" s="6" t="s">
        <v>14472</v>
      </c>
      <c r="E48" s="26" t="s">
        <v>14226</v>
      </c>
      <c r="F48" s="725">
        <v>41642.0</v>
      </c>
      <c r="G48" s="14">
        <v>42004.0</v>
      </c>
      <c r="H48" s="16">
        <v>41649.0</v>
      </c>
      <c r="I48" s="9" t="s">
        <v>14473</v>
      </c>
    </row>
    <row r="49" ht="30.0" customHeight="1">
      <c r="A49" s="6"/>
      <c r="B49" s="12"/>
      <c r="C49" s="12"/>
      <c r="D49" s="6"/>
      <c r="E49" s="26"/>
      <c r="F49" s="731"/>
      <c r="G49" s="4"/>
      <c r="H49" s="8"/>
      <c r="I49" s="9"/>
    </row>
    <row r="50" ht="30.0" customHeight="1">
      <c r="A50" s="6"/>
      <c r="B50" s="12"/>
      <c r="C50" s="12"/>
      <c r="D50" s="6"/>
      <c r="E50" s="26"/>
      <c r="F50" s="731"/>
      <c r="G50" s="4"/>
      <c r="H50" s="8"/>
      <c r="I50" s="9"/>
    </row>
    <row r="51" ht="30.0" customHeight="1">
      <c r="A51" s="6"/>
      <c r="B51" s="12"/>
      <c r="C51" s="12"/>
      <c r="D51" s="6"/>
      <c r="E51" s="26"/>
      <c r="F51" s="731"/>
      <c r="G51" s="4"/>
      <c r="H51" s="8"/>
      <c r="I51" s="87"/>
    </row>
    <row r="52" ht="36.0" customHeight="1">
      <c r="A52" s="6"/>
      <c r="B52" s="12"/>
      <c r="C52" s="12"/>
      <c r="D52" s="6"/>
      <c r="E52" s="26"/>
      <c r="F52" s="731"/>
      <c r="G52" s="4"/>
      <c r="H52" s="8"/>
      <c r="I52" s="9"/>
    </row>
    <row r="53" ht="36.0" customHeight="1">
      <c r="A53" s="6"/>
      <c r="B53" s="12"/>
      <c r="C53" s="12"/>
      <c r="D53" s="6"/>
      <c r="E53" s="26"/>
      <c r="F53" s="731"/>
      <c r="G53" s="4"/>
      <c r="H53" s="8"/>
      <c r="I53" s="9"/>
    </row>
    <row r="54" ht="36.0" customHeight="1">
      <c r="A54" s="6"/>
      <c r="B54" s="12"/>
      <c r="C54" s="12"/>
      <c r="D54" s="6"/>
      <c r="E54" s="26"/>
      <c r="F54" s="731"/>
      <c r="G54" s="4"/>
      <c r="H54" s="8"/>
      <c r="I54" s="17"/>
    </row>
    <row r="55" ht="36.0" customHeight="1">
      <c r="A55" s="6"/>
      <c r="B55" s="12"/>
      <c r="C55" s="12"/>
      <c r="D55" s="6"/>
      <c r="E55" s="26"/>
      <c r="F55" s="731"/>
      <c r="G55" s="4"/>
      <c r="H55" s="8"/>
      <c r="I55" s="9"/>
    </row>
    <row r="56" ht="36.0" customHeight="1">
      <c r="A56" s="6"/>
      <c r="B56" s="12"/>
      <c r="C56" s="12"/>
      <c r="D56" s="6"/>
      <c r="E56" s="26"/>
      <c r="F56" s="731"/>
      <c r="G56" s="4"/>
      <c r="H56" s="8"/>
      <c r="I56" s="9"/>
    </row>
    <row r="57" ht="36.0" customHeight="1">
      <c r="A57" s="6"/>
      <c r="B57" s="12"/>
      <c r="C57" s="12"/>
      <c r="D57" s="6"/>
      <c r="E57" s="26"/>
      <c r="F57" s="731"/>
      <c r="G57" s="4"/>
      <c r="H57" s="8"/>
      <c r="I57" s="17"/>
    </row>
    <row r="58" ht="36.0" customHeight="1">
      <c r="A58" s="6"/>
      <c r="B58" s="12"/>
      <c r="C58" s="12"/>
      <c r="D58" s="6"/>
      <c r="E58" s="26"/>
      <c r="F58" s="731"/>
      <c r="G58" s="4"/>
      <c r="H58" s="8"/>
      <c r="I58" s="9"/>
    </row>
    <row r="59" ht="36.0" customHeight="1">
      <c r="A59" s="6"/>
      <c r="B59" s="12"/>
      <c r="C59" s="12"/>
      <c r="D59" s="6"/>
      <c r="E59" s="26"/>
      <c r="F59" s="731"/>
      <c r="G59" s="4"/>
      <c r="H59" s="8"/>
      <c r="I59" s="9"/>
    </row>
    <row r="60" ht="36.0" customHeight="1">
      <c r="A60" s="6"/>
      <c r="B60" s="12"/>
      <c r="C60" s="12"/>
      <c r="D60" s="6"/>
      <c r="E60" s="26"/>
      <c r="F60" s="731"/>
      <c r="G60" s="4"/>
      <c r="H60" s="8"/>
      <c r="I60" s="9"/>
    </row>
    <row r="61" ht="36.0" customHeight="1">
      <c r="A61" s="6"/>
      <c r="B61" s="12"/>
      <c r="C61" s="12"/>
      <c r="D61" s="6"/>
      <c r="E61" s="26"/>
      <c r="F61" s="731"/>
      <c r="G61" s="4"/>
      <c r="H61" s="8"/>
      <c r="I61" s="9"/>
    </row>
    <row r="62" ht="36.0" customHeight="1">
      <c r="A62" s="6"/>
      <c r="B62" s="12"/>
      <c r="C62" s="12"/>
      <c r="D62" s="6"/>
      <c r="E62" s="26"/>
      <c r="F62" s="731"/>
      <c r="G62" s="4"/>
      <c r="H62" s="8"/>
      <c r="I62" s="17"/>
    </row>
    <row r="63" ht="36.0" customHeight="1">
      <c r="A63" s="6"/>
      <c r="B63" s="12"/>
      <c r="C63" s="12"/>
      <c r="D63" s="6"/>
      <c r="E63" s="26"/>
      <c r="F63" s="731"/>
      <c r="G63" s="4"/>
      <c r="H63" s="8"/>
      <c r="I63" s="9"/>
    </row>
    <row r="64" ht="36.0" customHeight="1">
      <c r="A64" s="6"/>
      <c r="B64" s="12"/>
      <c r="C64" s="12"/>
      <c r="D64" s="6"/>
      <c r="E64" s="26"/>
      <c r="F64" s="731"/>
      <c r="G64" s="4"/>
      <c r="H64" s="8"/>
      <c r="I64" s="9"/>
    </row>
    <row r="65" ht="36.0" customHeight="1">
      <c r="A65" s="6"/>
      <c r="B65" s="12"/>
      <c r="C65" s="12"/>
      <c r="D65" s="6"/>
      <c r="E65" s="26"/>
      <c r="F65" s="731"/>
      <c r="G65" s="4"/>
      <c r="H65" s="8"/>
      <c r="I65" s="9"/>
    </row>
    <row r="66" ht="36.0" customHeight="1">
      <c r="A66" s="6"/>
      <c r="B66" s="12"/>
      <c r="C66" s="12"/>
      <c r="D66" s="6"/>
      <c r="E66" s="26"/>
      <c r="F66" s="731"/>
      <c r="G66" s="4"/>
      <c r="H66" s="8"/>
      <c r="I66" s="9"/>
    </row>
    <row r="67" ht="36.0" customHeight="1">
      <c r="A67" s="6"/>
      <c r="B67" s="12"/>
      <c r="C67" s="12"/>
      <c r="D67" s="6"/>
      <c r="E67" s="26"/>
      <c r="F67" s="731"/>
      <c r="G67" s="4"/>
      <c r="H67" s="4"/>
      <c r="I67" s="9"/>
    </row>
    <row r="68" ht="36.0" customHeight="1">
      <c r="A68" s="6"/>
      <c r="B68" s="12"/>
      <c r="C68" s="12"/>
      <c r="D68" s="6"/>
      <c r="E68" s="26"/>
      <c r="F68" s="731"/>
      <c r="G68" s="4"/>
      <c r="H68" s="8"/>
      <c r="I68" s="9"/>
    </row>
    <row r="69" ht="36.0" customHeight="1">
      <c r="A69" s="6"/>
      <c r="B69" s="12"/>
      <c r="C69" s="12"/>
      <c r="D69" s="6"/>
      <c r="E69" s="26"/>
      <c r="F69" s="731"/>
      <c r="G69" s="4"/>
      <c r="H69" s="8"/>
      <c r="I69" s="18"/>
    </row>
    <row r="70" ht="36.0" customHeight="1">
      <c r="A70" s="6"/>
      <c r="B70" s="12"/>
      <c r="C70" s="12"/>
      <c r="D70" s="6"/>
      <c r="E70" s="26"/>
      <c r="F70" s="731"/>
      <c r="G70" s="4"/>
      <c r="H70" s="8"/>
      <c r="I70" s="17"/>
    </row>
    <row r="71" ht="36.0" customHeight="1">
      <c r="A71" s="6"/>
      <c r="B71" s="12"/>
      <c r="C71" s="12"/>
      <c r="D71" s="6"/>
      <c r="E71" s="26"/>
      <c r="F71" s="731"/>
      <c r="G71" s="4"/>
      <c r="H71" s="8"/>
      <c r="I71" s="9"/>
    </row>
    <row r="72" ht="36.0" customHeight="1">
      <c r="A72" s="6"/>
      <c r="B72" s="12"/>
      <c r="C72" s="12"/>
      <c r="D72" s="6"/>
      <c r="E72" s="26"/>
      <c r="F72" s="731"/>
      <c r="G72" s="4"/>
      <c r="H72" s="8"/>
      <c r="I72" s="9"/>
    </row>
    <row r="73" ht="36.0" customHeight="1">
      <c r="A73" s="6"/>
      <c r="B73" s="12"/>
      <c r="C73" s="12"/>
      <c r="D73" s="6"/>
      <c r="E73" s="26"/>
      <c r="F73" s="731"/>
      <c r="G73" s="4"/>
      <c r="H73" s="8"/>
      <c r="I73" s="9"/>
    </row>
    <row r="74" ht="36.0" customHeight="1">
      <c r="A74" s="6"/>
      <c r="B74" s="12"/>
      <c r="C74" s="12"/>
      <c r="D74" s="6"/>
      <c r="E74" s="26"/>
      <c r="F74" s="731"/>
      <c r="G74" s="4"/>
      <c r="H74" s="8"/>
      <c r="I74" s="18"/>
    </row>
    <row r="75" ht="36.0" customHeight="1">
      <c r="A75" s="6"/>
      <c r="B75" s="12"/>
      <c r="C75" s="12"/>
      <c r="D75" s="6"/>
      <c r="E75" s="26"/>
      <c r="F75" s="731"/>
      <c r="G75" s="4"/>
      <c r="H75" s="8"/>
      <c r="I75" s="18"/>
    </row>
    <row r="76" ht="36.0" customHeight="1">
      <c r="A76" s="6"/>
      <c r="B76" s="12"/>
      <c r="C76" s="12"/>
      <c r="D76" s="6"/>
      <c r="E76" s="26"/>
      <c r="F76" s="731"/>
      <c r="G76" s="4"/>
      <c r="H76" s="8"/>
      <c r="I76" s="18"/>
    </row>
    <row r="77" ht="36.0" customHeight="1">
      <c r="A77" s="6"/>
      <c r="B77" s="12"/>
      <c r="C77" s="12"/>
      <c r="D77" s="6"/>
      <c r="E77" s="26"/>
      <c r="F77" s="731"/>
      <c r="G77" s="4"/>
      <c r="H77" s="8"/>
      <c r="I77" s="18"/>
    </row>
    <row r="78" ht="38.25" customHeight="1">
      <c r="A78" s="6"/>
      <c r="B78" s="12"/>
      <c r="C78" s="12"/>
      <c r="D78" s="6"/>
      <c r="E78" s="26"/>
      <c r="F78" s="731"/>
      <c r="G78" s="4"/>
      <c r="H78" s="8"/>
      <c r="I78" s="18"/>
    </row>
    <row r="79" ht="18.0" customHeight="1">
      <c r="A79" s="6"/>
      <c r="B79" s="12"/>
      <c r="C79" s="12"/>
      <c r="D79" s="6"/>
      <c r="E79" s="26"/>
      <c r="F79" s="731"/>
      <c r="G79" s="4"/>
      <c r="H79" s="8"/>
      <c r="I79" s="13"/>
    </row>
    <row r="80" ht="34.5" customHeight="1">
      <c r="A80" s="6"/>
      <c r="B80" s="12"/>
      <c r="C80" s="12"/>
      <c r="D80" s="6"/>
      <c r="E80" s="26"/>
      <c r="F80" s="731"/>
      <c r="G80" s="4"/>
      <c r="H80" s="8"/>
      <c r="I80" s="13"/>
    </row>
    <row r="81" ht="31.5" customHeight="1">
      <c r="A81" s="28"/>
      <c r="B81" s="28"/>
      <c r="C81" s="28"/>
      <c r="D81" s="27"/>
      <c r="E81" s="35"/>
      <c r="F81" s="730"/>
      <c r="G81" s="32"/>
      <c r="H81" s="32"/>
      <c r="I81" s="41"/>
    </row>
    <row r="82" ht="18.0" customHeight="1">
      <c r="A82" s="28"/>
      <c r="B82" s="28"/>
      <c r="C82" s="28"/>
      <c r="D82" s="27"/>
      <c r="E82" s="35"/>
      <c r="F82" s="730"/>
      <c r="G82" s="32"/>
      <c r="H82" s="32"/>
      <c r="I82" s="36"/>
    </row>
    <row r="83" ht="18.0" customHeight="1">
      <c r="A83" s="28"/>
      <c r="B83" s="488"/>
      <c r="C83" s="488"/>
      <c r="D83" s="42"/>
      <c r="E83" s="727"/>
      <c r="F83" s="732"/>
      <c r="G83" s="32"/>
      <c r="H83" s="32"/>
      <c r="I83" s="729"/>
    </row>
    <row r="84" ht="18.0" customHeight="1">
      <c r="A84" s="6"/>
      <c r="B84" s="12"/>
      <c r="C84" s="12"/>
      <c r="D84" s="6"/>
      <c r="E84" s="26"/>
      <c r="F84" s="731"/>
      <c r="G84" s="4"/>
      <c r="H84" s="8"/>
      <c r="I84" s="13"/>
    </row>
    <row r="85" ht="18.0" customHeight="1">
      <c r="A85" s="6"/>
      <c r="B85" s="12"/>
      <c r="C85" s="12"/>
      <c r="D85" s="6"/>
      <c r="E85" s="26"/>
      <c r="F85" s="731"/>
      <c r="G85" s="4"/>
      <c r="H85" s="8"/>
      <c r="I85" s="13"/>
    </row>
    <row r="86" ht="18.0" customHeight="1">
      <c r="A86" s="27"/>
      <c r="B86" s="28"/>
      <c r="C86" s="28"/>
      <c r="D86" s="27"/>
      <c r="E86" s="35"/>
      <c r="F86" s="730"/>
      <c r="G86" s="32"/>
      <c r="H86" s="34"/>
      <c r="I86" s="24"/>
    </row>
    <row r="87" ht="18.0" customHeight="1">
      <c r="A87" s="27"/>
      <c r="B87" s="28"/>
      <c r="C87" s="28"/>
      <c r="D87" s="27"/>
      <c r="E87" s="35"/>
      <c r="F87" s="730"/>
      <c r="G87" s="32"/>
      <c r="H87" s="34"/>
      <c r="I87" s="41"/>
    </row>
    <row r="88" ht="18.0" customHeight="1">
      <c r="A88" s="27"/>
      <c r="B88" s="28"/>
      <c r="C88" s="28"/>
      <c r="D88" s="27"/>
      <c r="E88" s="35"/>
      <c r="F88" s="730"/>
      <c r="G88" s="32"/>
      <c r="H88" s="34"/>
      <c r="I88" s="24"/>
    </row>
    <row r="89" ht="18.0" customHeight="1">
      <c r="A89" s="27"/>
      <c r="B89" s="28"/>
      <c r="C89" s="28"/>
      <c r="D89" s="27"/>
      <c r="E89" s="35"/>
      <c r="F89" s="730"/>
      <c r="G89" s="32"/>
      <c r="H89" s="34"/>
      <c r="I89" s="24"/>
    </row>
    <row r="90" ht="18.0" customHeight="1">
      <c r="A90" s="27"/>
      <c r="B90" s="28"/>
      <c r="C90" s="28"/>
      <c r="D90" s="27"/>
      <c r="E90" s="35"/>
      <c r="F90" s="730"/>
      <c r="G90" s="32"/>
      <c r="H90" s="34"/>
      <c r="I90" s="24"/>
    </row>
    <row r="91" ht="18.0" customHeight="1">
      <c r="A91" s="27"/>
      <c r="B91" s="28"/>
      <c r="C91" s="28"/>
      <c r="D91" s="27"/>
      <c r="E91" s="35"/>
      <c r="F91" s="730"/>
      <c r="G91" s="32"/>
      <c r="H91" s="34"/>
      <c r="I91" s="24"/>
    </row>
    <row r="92" ht="18.0" customHeight="1">
      <c r="A92" s="27"/>
      <c r="B92" s="28"/>
      <c r="C92" s="28"/>
      <c r="D92" s="27"/>
      <c r="E92" s="35"/>
      <c r="F92" s="730"/>
      <c r="G92" s="32"/>
      <c r="H92" s="34"/>
      <c r="I92" s="24"/>
    </row>
    <row r="93" ht="18.0" customHeight="1">
      <c r="A93" s="27"/>
      <c r="B93" s="28"/>
      <c r="C93" s="28"/>
      <c r="D93" s="27"/>
      <c r="E93" s="35"/>
      <c r="F93" s="730"/>
      <c r="G93" s="32"/>
      <c r="H93" s="34"/>
      <c r="I93" s="24"/>
    </row>
    <row r="94" ht="12.75" customHeight="1">
      <c r="A94" s="28"/>
      <c r="B94" s="28"/>
      <c r="C94" s="28"/>
      <c r="D94" s="27"/>
      <c r="E94" s="35"/>
      <c r="F94" s="730"/>
      <c r="G94" s="32"/>
      <c r="H94" s="32"/>
      <c r="I94" s="41"/>
    </row>
    <row r="95" ht="12.75" customHeight="1">
      <c r="A95" s="28"/>
      <c r="B95" s="28"/>
      <c r="C95" s="28"/>
      <c r="D95" s="27"/>
      <c r="E95" s="35"/>
      <c r="F95" s="730"/>
      <c r="G95" s="32"/>
      <c r="H95" s="32"/>
      <c r="I95" s="41"/>
    </row>
    <row r="96" ht="12.75" customHeight="1">
      <c r="A96" s="35"/>
      <c r="B96" s="28"/>
      <c r="C96" s="28"/>
      <c r="D96" s="27"/>
      <c r="E96" s="35"/>
      <c r="F96" s="730"/>
      <c r="G96" s="32"/>
      <c r="H96" s="32"/>
      <c r="I96" s="41"/>
    </row>
    <row r="97" ht="12.75" customHeight="1">
      <c r="A97" s="35"/>
      <c r="B97" s="28"/>
      <c r="C97" s="28"/>
      <c r="D97" s="27"/>
      <c r="E97" s="35"/>
      <c r="F97" s="730"/>
      <c r="G97" s="32"/>
      <c r="H97" s="32"/>
      <c r="I97" s="41"/>
    </row>
    <row r="98" ht="12.75" customHeight="1">
      <c r="A98" s="35"/>
      <c r="B98" s="28"/>
      <c r="C98" s="28"/>
      <c r="D98" s="27"/>
      <c r="E98" s="35"/>
      <c r="F98" s="730"/>
      <c r="G98" s="32"/>
      <c r="H98" s="32"/>
      <c r="I98" s="41"/>
    </row>
    <row r="99" ht="12.75" customHeight="1">
      <c r="A99" s="35"/>
      <c r="B99" s="28"/>
      <c r="C99" s="28"/>
      <c r="D99" s="27"/>
      <c r="E99" s="35"/>
      <c r="F99" s="730"/>
      <c r="G99" s="32"/>
      <c r="H99" s="32"/>
      <c r="I99" s="41"/>
    </row>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I$93"/>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43"/>
    <col customWidth="1" min="2" max="2" width="11.86"/>
    <col customWidth="1" min="3" max="3" width="10.0"/>
    <col customWidth="1" min="4" max="4" width="17.43"/>
    <col customWidth="1" min="5" max="5" width="45.71"/>
    <col customWidth="1" min="6" max="6" width="9.71"/>
    <col customWidth="1" min="7" max="7" width="19.71"/>
    <col customWidth="1" min="8" max="8" width="20.14"/>
    <col customWidth="1" min="9" max="9" width="32.0"/>
  </cols>
  <sheetData>
    <row r="1" ht="15.75" customHeight="1">
      <c r="A1" s="3" t="s">
        <v>14474</v>
      </c>
      <c r="B1" s="1"/>
      <c r="C1" s="2"/>
      <c r="D1" s="118"/>
      <c r="E1" s="13" t="s">
        <v>1022</v>
      </c>
      <c r="F1" s="52"/>
      <c r="G1" s="4"/>
      <c r="H1" s="4"/>
      <c r="I1" s="5"/>
    </row>
    <row r="2" ht="48.75" customHeight="1">
      <c r="A2" s="13"/>
      <c r="B2" s="6" t="s">
        <v>2</v>
      </c>
      <c r="C2" s="1"/>
      <c r="D2" s="6"/>
      <c r="E2" s="119" t="s">
        <v>1674</v>
      </c>
      <c r="F2" s="8" t="s">
        <v>4</v>
      </c>
      <c r="G2" s="8" t="s">
        <v>5</v>
      </c>
      <c r="H2" s="8" t="s">
        <v>6</v>
      </c>
      <c r="I2" s="3"/>
    </row>
    <row r="3" ht="12.75" customHeight="1">
      <c r="A3" s="10" t="s">
        <v>1675</v>
      </c>
      <c r="B3" s="10" t="s">
        <v>8</v>
      </c>
      <c r="C3" s="10" t="s">
        <v>9</v>
      </c>
      <c r="D3" s="724" t="s">
        <v>10</v>
      </c>
      <c r="E3" s="724" t="s">
        <v>11</v>
      </c>
      <c r="F3" s="11" t="s">
        <v>12</v>
      </c>
      <c r="G3" s="11" t="s">
        <v>12</v>
      </c>
      <c r="H3" s="11" t="s">
        <v>12</v>
      </c>
      <c r="I3" s="724" t="s">
        <v>13</v>
      </c>
    </row>
    <row r="4" ht="26.25" customHeight="1">
      <c r="A4" s="6">
        <v>6534.0</v>
      </c>
      <c r="B4" s="12" t="s">
        <v>21</v>
      </c>
      <c r="C4" s="12">
        <v>1732.0</v>
      </c>
      <c r="D4" s="6" t="s">
        <v>14475</v>
      </c>
      <c r="E4" s="26" t="s">
        <v>14476</v>
      </c>
      <c r="F4" s="725">
        <v>42366.0</v>
      </c>
      <c r="G4" s="719">
        <v>42362.0</v>
      </c>
      <c r="H4" s="6" t="s">
        <v>14477</v>
      </c>
      <c r="I4" s="64" t="s">
        <v>14478</v>
      </c>
    </row>
    <row r="5" ht="26.25" customHeight="1">
      <c r="A5" s="6">
        <v>6533.0</v>
      </c>
      <c r="B5" s="12" t="s">
        <v>14</v>
      </c>
      <c r="C5" s="12">
        <v>2021.0</v>
      </c>
      <c r="D5" s="6" t="s">
        <v>14479</v>
      </c>
      <c r="E5" s="26" t="s">
        <v>14476</v>
      </c>
      <c r="F5" s="725">
        <v>42359.0</v>
      </c>
      <c r="G5" s="719">
        <v>42355.0</v>
      </c>
      <c r="H5" s="67">
        <v>42366.0</v>
      </c>
      <c r="I5" s="9" t="s">
        <v>14480</v>
      </c>
    </row>
    <row r="6" ht="26.25" customHeight="1">
      <c r="A6" s="6">
        <v>6521.0</v>
      </c>
      <c r="B6" s="12" t="s">
        <v>21</v>
      </c>
      <c r="C6" s="12">
        <v>619.0</v>
      </c>
      <c r="D6" s="6" t="s">
        <v>14481</v>
      </c>
      <c r="E6" s="26" t="s">
        <v>14105</v>
      </c>
      <c r="F6" s="725">
        <v>42359.0</v>
      </c>
      <c r="G6" s="719">
        <v>42355.0</v>
      </c>
      <c r="H6" s="67">
        <v>42369.0</v>
      </c>
      <c r="I6" s="9" t="s">
        <v>14482</v>
      </c>
    </row>
    <row r="7" ht="26.25" customHeight="1">
      <c r="A7" s="6">
        <v>6520.0</v>
      </c>
      <c r="B7" s="12" t="s">
        <v>14</v>
      </c>
      <c r="C7" s="12">
        <v>885.0</v>
      </c>
      <c r="D7" s="6" t="s">
        <v>14483</v>
      </c>
      <c r="E7" s="26" t="s">
        <v>14484</v>
      </c>
      <c r="F7" s="725">
        <v>42359.0</v>
      </c>
      <c r="G7" s="65">
        <v>42375.0</v>
      </c>
      <c r="H7" s="67">
        <v>42367.0</v>
      </c>
      <c r="I7" s="9" t="s">
        <v>14485</v>
      </c>
    </row>
    <row r="8" ht="26.25" customHeight="1">
      <c r="A8" s="6">
        <v>6512.0</v>
      </c>
      <c r="B8" s="12" t="s">
        <v>21</v>
      </c>
      <c r="C8" s="12">
        <v>358.0</v>
      </c>
      <c r="D8" s="6" t="s">
        <v>14486</v>
      </c>
      <c r="E8" s="26" t="s">
        <v>14085</v>
      </c>
      <c r="F8" s="725">
        <v>42359.0</v>
      </c>
      <c r="G8" s="719">
        <v>42355.0</v>
      </c>
      <c r="H8" s="67">
        <v>42362.0</v>
      </c>
      <c r="I8" s="64" t="s">
        <v>14487</v>
      </c>
    </row>
    <row r="9" ht="26.25" customHeight="1">
      <c r="A9" s="6">
        <v>6477.0</v>
      </c>
      <c r="B9" s="12" t="s">
        <v>14</v>
      </c>
      <c r="C9" s="12">
        <v>745.0</v>
      </c>
      <c r="D9" s="6" t="s">
        <v>14488</v>
      </c>
      <c r="E9" s="26" t="s">
        <v>14099</v>
      </c>
      <c r="F9" s="725">
        <v>42341.0</v>
      </c>
      <c r="G9" s="65">
        <v>42352.0</v>
      </c>
      <c r="H9" s="67">
        <v>42349.0</v>
      </c>
      <c r="I9" s="64" t="s">
        <v>14489</v>
      </c>
    </row>
    <row r="10" ht="26.25" customHeight="1">
      <c r="A10" s="6">
        <v>6476.0</v>
      </c>
      <c r="B10" s="12" t="s">
        <v>21</v>
      </c>
      <c r="C10" s="12">
        <v>549.0</v>
      </c>
      <c r="D10" s="6" t="s">
        <v>14490</v>
      </c>
      <c r="E10" s="26" t="s">
        <v>14099</v>
      </c>
      <c r="F10" s="725">
        <v>42338.0</v>
      </c>
      <c r="G10" s="719">
        <v>42340.0</v>
      </c>
      <c r="H10" s="67">
        <v>42346.0</v>
      </c>
      <c r="I10" s="9" t="s">
        <v>14491</v>
      </c>
    </row>
    <row r="11" ht="26.25" customHeight="1">
      <c r="A11" s="6">
        <v>6475.0</v>
      </c>
      <c r="B11" s="12" t="s">
        <v>25</v>
      </c>
      <c r="C11" s="12">
        <v>252.0</v>
      </c>
      <c r="D11" s="6" t="s">
        <v>14492</v>
      </c>
      <c r="E11" s="26" t="s">
        <v>14493</v>
      </c>
      <c r="F11" s="725">
        <v>42336.0</v>
      </c>
      <c r="G11" s="719">
        <v>42332.0</v>
      </c>
      <c r="H11" s="67">
        <v>42339.0</v>
      </c>
      <c r="I11" s="9" t="s">
        <v>14494</v>
      </c>
    </row>
    <row r="12" ht="26.25" customHeight="1">
      <c r="A12" s="6">
        <v>6484.0</v>
      </c>
      <c r="B12" s="12" t="s">
        <v>21</v>
      </c>
      <c r="C12" s="12">
        <v>1511.0</v>
      </c>
      <c r="D12" s="6" t="s">
        <v>14495</v>
      </c>
      <c r="E12" s="26" t="s">
        <v>14496</v>
      </c>
      <c r="F12" s="725">
        <v>42331.0</v>
      </c>
      <c r="G12" s="719">
        <v>42328.0</v>
      </c>
      <c r="H12" s="67">
        <v>42340.0</v>
      </c>
      <c r="I12" s="9" t="s">
        <v>14497</v>
      </c>
    </row>
    <row r="13" ht="26.25" customHeight="1">
      <c r="A13" s="6">
        <v>6485.0</v>
      </c>
      <c r="B13" s="12" t="s">
        <v>14</v>
      </c>
      <c r="C13" s="12">
        <v>2301.0</v>
      </c>
      <c r="D13" s="6" t="s">
        <v>14498</v>
      </c>
      <c r="E13" s="26" t="s">
        <v>14499</v>
      </c>
      <c r="F13" s="725">
        <v>42331.0</v>
      </c>
      <c r="G13" s="65">
        <v>42339.0</v>
      </c>
      <c r="H13" s="67">
        <v>42338.0</v>
      </c>
      <c r="I13" s="63" t="s">
        <v>14500</v>
      </c>
    </row>
    <row r="14" ht="26.25" customHeight="1">
      <c r="A14" s="6">
        <v>6462.0</v>
      </c>
      <c r="B14" s="12" t="s">
        <v>21</v>
      </c>
      <c r="C14" s="12">
        <v>672.0</v>
      </c>
      <c r="D14" s="6" t="s">
        <v>14501</v>
      </c>
      <c r="E14" s="26" t="s">
        <v>14502</v>
      </c>
      <c r="F14" s="725">
        <v>42307.0</v>
      </c>
      <c r="G14" s="719">
        <v>42303.0</v>
      </c>
      <c r="H14" s="67">
        <v>42314.0</v>
      </c>
      <c r="I14" s="9" t="s">
        <v>14503</v>
      </c>
    </row>
    <row r="15" ht="26.25" customHeight="1">
      <c r="A15" s="6">
        <v>6450.0</v>
      </c>
      <c r="B15" s="12" t="s">
        <v>21</v>
      </c>
      <c r="C15" s="12">
        <v>2062.0</v>
      </c>
      <c r="D15" s="6" t="s">
        <v>14504</v>
      </c>
      <c r="E15" s="26" t="s">
        <v>14505</v>
      </c>
      <c r="F15" s="725">
        <v>42303.0</v>
      </c>
      <c r="G15" s="719">
        <v>42298.0</v>
      </c>
      <c r="H15" s="6" t="s">
        <v>14506</v>
      </c>
      <c r="I15" s="9" t="s">
        <v>14507</v>
      </c>
    </row>
    <row r="16" ht="26.25" customHeight="1">
      <c r="A16" s="6">
        <v>6451.0</v>
      </c>
      <c r="B16" s="12" t="s">
        <v>14</v>
      </c>
      <c r="C16" s="12">
        <v>2067.0</v>
      </c>
      <c r="D16" s="6" t="s">
        <v>14508</v>
      </c>
      <c r="E16" s="26" t="s">
        <v>14505</v>
      </c>
      <c r="F16" s="725">
        <v>42303.0</v>
      </c>
      <c r="G16" s="719">
        <v>42299.0</v>
      </c>
      <c r="H16" s="67">
        <v>42305.0</v>
      </c>
      <c r="I16" s="9" t="s">
        <v>14509</v>
      </c>
    </row>
    <row r="17" ht="26.25" customHeight="1">
      <c r="A17" s="6">
        <v>6438.0</v>
      </c>
      <c r="B17" s="12" t="s">
        <v>21</v>
      </c>
      <c r="C17" s="12">
        <v>397.0</v>
      </c>
      <c r="D17" s="6" t="s">
        <v>14510</v>
      </c>
      <c r="E17" s="26" t="s">
        <v>14105</v>
      </c>
      <c r="F17" s="725">
        <v>42303.0</v>
      </c>
      <c r="G17" s="719">
        <v>42299.0</v>
      </c>
      <c r="H17" s="67">
        <v>42312.0</v>
      </c>
      <c r="I17" s="9" t="s">
        <v>14511</v>
      </c>
    </row>
    <row r="18" ht="26.25" customHeight="1">
      <c r="A18" s="6">
        <v>6437.0</v>
      </c>
      <c r="B18" s="12" t="s">
        <v>14</v>
      </c>
      <c r="C18" s="12">
        <v>526.0</v>
      </c>
      <c r="D18" s="6" t="s">
        <v>14512</v>
      </c>
      <c r="E18" s="26" t="s">
        <v>14105</v>
      </c>
      <c r="F18" s="725">
        <v>42303.0</v>
      </c>
      <c r="G18" s="719">
        <v>42299.0</v>
      </c>
      <c r="H18" s="67">
        <v>42305.0</v>
      </c>
      <c r="I18" s="9" t="s">
        <v>14513</v>
      </c>
    </row>
    <row r="19" ht="26.25" customHeight="1">
      <c r="A19" s="6">
        <v>6449.0</v>
      </c>
      <c r="B19" s="12" t="s">
        <v>25</v>
      </c>
      <c r="C19" s="12">
        <v>1204.0</v>
      </c>
      <c r="D19" s="6" t="s">
        <v>14514</v>
      </c>
      <c r="E19" s="26" t="s">
        <v>14515</v>
      </c>
      <c r="F19" s="725">
        <v>42300.0</v>
      </c>
      <c r="G19" s="719">
        <v>42299.0</v>
      </c>
      <c r="H19" s="67">
        <v>42304.0</v>
      </c>
      <c r="I19" s="9" t="s">
        <v>14516</v>
      </c>
    </row>
    <row r="20" ht="26.25" customHeight="1">
      <c r="A20" s="6">
        <v>6439.0</v>
      </c>
      <c r="B20" s="12" t="s">
        <v>25</v>
      </c>
      <c r="C20" s="12">
        <v>239.0</v>
      </c>
      <c r="D20" s="6" t="s">
        <v>14517</v>
      </c>
      <c r="E20" s="26" t="s">
        <v>14105</v>
      </c>
      <c r="F20" s="725">
        <v>42300.0</v>
      </c>
      <c r="G20" s="719">
        <v>42297.0</v>
      </c>
      <c r="H20" s="67">
        <v>42305.0</v>
      </c>
      <c r="I20" s="9" t="s">
        <v>14518</v>
      </c>
    </row>
    <row r="21" ht="26.25" customHeight="1">
      <c r="A21" s="6">
        <v>6408.0</v>
      </c>
      <c r="B21" s="12" t="s">
        <v>21</v>
      </c>
      <c r="C21" s="12">
        <v>1364.0</v>
      </c>
      <c r="D21" s="6" t="s">
        <v>14519</v>
      </c>
      <c r="E21" s="26" t="s">
        <v>14520</v>
      </c>
      <c r="F21" s="725">
        <v>42282.0</v>
      </c>
      <c r="G21" s="719">
        <v>37165.0</v>
      </c>
      <c r="H21" s="67">
        <v>42290.0</v>
      </c>
      <c r="I21" s="64" t="s">
        <v>14521</v>
      </c>
    </row>
    <row r="22" ht="26.25" customHeight="1">
      <c r="A22" s="6">
        <v>6400.0</v>
      </c>
      <c r="B22" s="12" t="s">
        <v>14</v>
      </c>
      <c r="C22" s="12">
        <v>1008.0</v>
      </c>
      <c r="D22" s="6" t="s">
        <v>14522</v>
      </c>
      <c r="E22" s="26" t="s">
        <v>14105</v>
      </c>
      <c r="F22" s="725">
        <v>42275.0</v>
      </c>
      <c r="G22" s="719">
        <v>42272.0</v>
      </c>
      <c r="H22" s="67">
        <v>42278.0</v>
      </c>
      <c r="I22" s="9" t="s">
        <v>14523</v>
      </c>
    </row>
    <row r="23" ht="26.25" customHeight="1">
      <c r="A23" s="6">
        <v>6399.0</v>
      </c>
      <c r="B23" s="12" t="s">
        <v>21</v>
      </c>
      <c r="C23" s="12">
        <v>584.0</v>
      </c>
      <c r="D23" s="6" t="s">
        <v>14524</v>
      </c>
      <c r="E23" s="26" t="s">
        <v>14105</v>
      </c>
      <c r="F23" s="725">
        <v>42275.0</v>
      </c>
      <c r="G23" s="719">
        <v>42271.0</v>
      </c>
      <c r="H23" s="67">
        <v>42282.0</v>
      </c>
      <c r="I23" s="64" t="s">
        <v>14525</v>
      </c>
    </row>
    <row r="24" ht="26.25" customHeight="1">
      <c r="A24" s="6">
        <v>6384.0</v>
      </c>
      <c r="B24" s="12" t="s">
        <v>14</v>
      </c>
      <c r="C24" s="12">
        <v>672.0</v>
      </c>
      <c r="D24" s="6" t="s">
        <v>14526</v>
      </c>
      <c r="E24" s="26" t="s">
        <v>14085</v>
      </c>
      <c r="F24" s="725">
        <v>42274.0</v>
      </c>
      <c r="G24" s="719">
        <v>42265.0</v>
      </c>
      <c r="H24" s="67">
        <v>42269.0</v>
      </c>
      <c r="I24" s="9" t="s">
        <v>14527</v>
      </c>
    </row>
    <row r="25" ht="26.25" customHeight="1">
      <c r="A25" s="6">
        <v>6407.0</v>
      </c>
      <c r="B25" s="12" t="s">
        <v>14</v>
      </c>
      <c r="C25" s="12">
        <v>2227.0</v>
      </c>
      <c r="D25" s="6" t="s">
        <v>14528</v>
      </c>
      <c r="E25" s="26" t="s">
        <v>14529</v>
      </c>
      <c r="F25" s="725">
        <v>42268.0</v>
      </c>
      <c r="G25" s="719">
        <v>42265.0</v>
      </c>
      <c r="H25" s="67">
        <v>42270.0</v>
      </c>
      <c r="I25" s="9" t="s">
        <v>14530</v>
      </c>
    </row>
    <row r="26" ht="26.25" customHeight="1">
      <c r="A26" s="6">
        <v>6364.0</v>
      </c>
      <c r="B26" s="12" t="s">
        <v>25</v>
      </c>
      <c r="C26" s="12">
        <v>362.0</v>
      </c>
      <c r="D26" s="6" t="s">
        <v>14531</v>
      </c>
      <c r="E26" s="26" t="s">
        <v>14105</v>
      </c>
      <c r="F26" s="725">
        <v>42244.0</v>
      </c>
      <c r="G26" s="719">
        <v>42244.0</v>
      </c>
      <c r="H26" s="67">
        <v>42250.0</v>
      </c>
      <c r="I26" s="9" t="s">
        <v>14532</v>
      </c>
    </row>
    <row r="27" ht="26.25" customHeight="1">
      <c r="A27" s="6">
        <v>6363.0</v>
      </c>
      <c r="B27" s="12" t="s">
        <v>14</v>
      </c>
      <c r="C27" s="12">
        <v>776.0</v>
      </c>
      <c r="D27" s="6" t="s">
        <v>14533</v>
      </c>
      <c r="E27" s="26" t="s">
        <v>14105</v>
      </c>
      <c r="F27" s="725">
        <v>42244.0</v>
      </c>
      <c r="G27" s="719">
        <v>42240.0</v>
      </c>
      <c r="H27" s="67">
        <v>42249.0</v>
      </c>
      <c r="I27" s="9" t="s">
        <v>14534</v>
      </c>
    </row>
    <row r="28" ht="26.25" customHeight="1">
      <c r="A28" s="6">
        <v>6361.0</v>
      </c>
      <c r="B28" s="12" t="s">
        <v>14</v>
      </c>
      <c r="C28" s="12">
        <v>1847.0</v>
      </c>
      <c r="D28" s="6" t="s">
        <v>14535</v>
      </c>
      <c r="E28" s="26" t="s">
        <v>14536</v>
      </c>
      <c r="F28" s="725">
        <v>42241.0</v>
      </c>
      <c r="G28" s="719">
        <v>42241.0</v>
      </c>
      <c r="H28" s="67">
        <v>42247.0</v>
      </c>
      <c r="I28" s="411" t="s">
        <v>14537</v>
      </c>
    </row>
    <row r="29" ht="26.25" customHeight="1">
      <c r="A29" s="6">
        <v>6362.0</v>
      </c>
      <c r="B29" s="12" t="s">
        <v>25</v>
      </c>
      <c r="C29" s="12">
        <v>1725.0</v>
      </c>
      <c r="D29" s="6" t="s">
        <v>14538</v>
      </c>
      <c r="E29" s="26" t="s">
        <v>14539</v>
      </c>
      <c r="F29" s="725">
        <v>42240.0</v>
      </c>
      <c r="G29" s="719">
        <v>42237.0</v>
      </c>
      <c r="H29" s="6" t="s">
        <v>14540</v>
      </c>
      <c r="I29" s="9" t="s">
        <v>14541</v>
      </c>
    </row>
    <row r="30" ht="26.25" customHeight="1">
      <c r="A30" s="6">
        <v>6343.0</v>
      </c>
      <c r="B30" s="12" t="s">
        <v>21</v>
      </c>
      <c r="C30" s="12">
        <v>672.0</v>
      </c>
      <c r="D30" s="6" t="s">
        <v>14542</v>
      </c>
      <c r="E30" s="26" t="s">
        <v>14502</v>
      </c>
      <c r="F30" s="725">
        <v>42224.0</v>
      </c>
      <c r="G30" s="719">
        <v>42224.0</v>
      </c>
      <c r="H30" s="67">
        <v>42230.0</v>
      </c>
      <c r="I30" s="9" t="s">
        <v>14543</v>
      </c>
    </row>
    <row r="31" ht="26.25" customHeight="1">
      <c r="A31" s="6">
        <v>6316.0</v>
      </c>
      <c r="B31" s="12" t="s">
        <v>14</v>
      </c>
      <c r="C31" s="12">
        <v>326.0</v>
      </c>
      <c r="D31" s="6" t="s">
        <v>14544</v>
      </c>
      <c r="E31" s="26" t="s">
        <v>14105</v>
      </c>
      <c r="F31" s="725">
        <v>42216.0</v>
      </c>
      <c r="G31" s="65">
        <v>42221.0</v>
      </c>
      <c r="H31" s="67">
        <v>42220.0</v>
      </c>
      <c r="I31" s="9" t="s">
        <v>14545</v>
      </c>
    </row>
    <row r="32" ht="26.25" customHeight="1">
      <c r="A32" s="6">
        <v>6317.0</v>
      </c>
      <c r="B32" s="12" t="s">
        <v>21</v>
      </c>
      <c r="C32" s="12">
        <v>404.0</v>
      </c>
      <c r="D32" s="6" t="s">
        <v>14546</v>
      </c>
      <c r="E32" s="26" t="s">
        <v>14105</v>
      </c>
      <c r="F32" s="725">
        <v>42215.0</v>
      </c>
      <c r="G32" s="65">
        <v>42216.0</v>
      </c>
      <c r="H32" s="67">
        <v>42223.0</v>
      </c>
      <c r="I32" s="64" t="s">
        <v>14547</v>
      </c>
    </row>
    <row r="33" ht="26.25" customHeight="1">
      <c r="A33" s="6">
        <v>6320.0</v>
      </c>
      <c r="B33" s="12" t="s">
        <v>21</v>
      </c>
      <c r="C33" s="12">
        <v>1728.0</v>
      </c>
      <c r="D33" s="6" t="s">
        <v>14548</v>
      </c>
      <c r="E33" s="26" t="s">
        <v>14549</v>
      </c>
      <c r="F33" s="725">
        <v>42214.0</v>
      </c>
      <c r="G33" s="65">
        <v>42213.0</v>
      </c>
      <c r="H33" s="67">
        <v>42222.0</v>
      </c>
      <c r="I33" s="9" t="s">
        <v>14550</v>
      </c>
    </row>
    <row r="34" ht="26.25" customHeight="1">
      <c r="A34" s="6">
        <v>6319.0</v>
      </c>
      <c r="B34" s="12" t="s">
        <v>14</v>
      </c>
      <c r="C34" s="12">
        <v>1890.0</v>
      </c>
      <c r="D34" s="6" t="s">
        <v>14551</v>
      </c>
      <c r="E34" s="26" t="s">
        <v>14549</v>
      </c>
      <c r="F34" s="725">
        <v>42213.0</v>
      </c>
      <c r="G34" s="719">
        <v>42209.0</v>
      </c>
      <c r="H34" s="6" t="s">
        <v>14552</v>
      </c>
      <c r="I34" s="9" t="s">
        <v>14553</v>
      </c>
    </row>
    <row r="35" ht="26.25" customHeight="1">
      <c r="A35" s="6">
        <v>6315.0</v>
      </c>
      <c r="B35" s="12" t="s">
        <v>21</v>
      </c>
      <c r="C35" s="12">
        <v>179.0</v>
      </c>
      <c r="D35" s="6" t="s">
        <v>14554</v>
      </c>
      <c r="E35" s="26" t="s">
        <v>14555</v>
      </c>
      <c r="F35" s="725">
        <v>42205.0</v>
      </c>
      <c r="G35" s="65">
        <v>42205.0</v>
      </c>
      <c r="H35" s="67">
        <v>42214.0</v>
      </c>
      <c r="I35" s="9" t="s">
        <v>14556</v>
      </c>
    </row>
    <row r="36" ht="26.25" customHeight="1">
      <c r="A36" s="6">
        <v>6266.0</v>
      </c>
      <c r="B36" s="12" t="s">
        <v>14</v>
      </c>
      <c r="C36" s="12">
        <v>672.0</v>
      </c>
      <c r="D36" s="6" t="s">
        <v>14557</v>
      </c>
      <c r="E36" s="26" t="s">
        <v>14085</v>
      </c>
      <c r="F36" s="725">
        <v>42180.0</v>
      </c>
      <c r="G36" s="719">
        <v>42177.0</v>
      </c>
      <c r="H36" s="67">
        <v>42185.0</v>
      </c>
      <c r="I36" s="9" t="s">
        <v>14558</v>
      </c>
    </row>
    <row r="37" ht="26.25" customHeight="1">
      <c r="A37" s="6">
        <v>6275.0</v>
      </c>
      <c r="B37" s="12" t="s">
        <v>21</v>
      </c>
      <c r="C37" s="12">
        <v>2514.0</v>
      </c>
      <c r="D37" s="6" t="s">
        <v>14559</v>
      </c>
      <c r="E37" s="26" t="s">
        <v>14560</v>
      </c>
      <c r="F37" s="725">
        <v>42177.0</v>
      </c>
      <c r="G37" s="65">
        <v>42174.0</v>
      </c>
      <c r="H37" s="67">
        <v>42184.0</v>
      </c>
      <c r="I37" s="9" t="s">
        <v>14561</v>
      </c>
    </row>
    <row r="38" ht="26.25" customHeight="1">
      <c r="A38" s="6">
        <v>6271.0</v>
      </c>
      <c r="B38" s="12" t="s">
        <v>14</v>
      </c>
      <c r="C38" s="12">
        <v>865.0</v>
      </c>
      <c r="D38" s="6" t="s">
        <v>14562</v>
      </c>
      <c r="E38" s="26" t="s">
        <v>14105</v>
      </c>
      <c r="F38" s="725">
        <v>42177.0</v>
      </c>
      <c r="G38" s="719">
        <v>42174.0</v>
      </c>
      <c r="H38" s="6" t="s">
        <v>14563</v>
      </c>
      <c r="I38" s="9" t="s">
        <v>14564</v>
      </c>
    </row>
    <row r="39" ht="26.25" customHeight="1">
      <c r="A39" s="6">
        <v>6270.0</v>
      </c>
      <c r="B39" s="12" t="s">
        <v>21</v>
      </c>
      <c r="C39" s="12">
        <v>408.0</v>
      </c>
      <c r="D39" s="6" t="s">
        <v>14565</v>
      </c>
      <c r="E39" s="26" t="s">
        <v>14125</v>
      </c>
      <c r="F39" s="725">
        <v>42177.0</v>
      </c>
      <c r="G39" s="65">
        <v>42174.0</v>
      </c>
      <c r="H39" s="67">
        <v>42185.0</v>
      </c>
      <c r="I39" s="9" t="s">
        <v>14566</v>
      </c>
    </row>
    <row r="40" ht="26.25" customHeight="1">
      <c r="A40" s="6">
        <v>6272.0</v>
      </c>
      <c r="B40" s="12" t="s">
        <v>25</v>
      </c>
      <c r="C40" s="12">
        <v>1136.0</v>
      </c>
      <c r="D40" s="6" t="s">
        <v>14567</v>
      </c>
      <c r="E40" s="26" t="s">
        <v>14568</v>
      </c>
      <c r="F40" s="725">
        <v>42176.0</v>
      </c>
      <c r="G40" s="65">
        <v>42178.0</v>
      </c>
      <c r="H40" s="67">
        <v>42178.0</v>
      </c>
      <c r="I40" s="9" t="s">
        <v>14569</v>
      </c>
    </row>
    <row r="41" ht="26.25" customHeight="1">
      <c r="A41" s="6">
        <v>6269.0</v>
      </c>
      <c r="B41" s="12" t="s">
        <v>25</v>
      </c>
      <c r="C41" s="12">
        <v>338.0</v>
      </c>
      <c r="D41" s="6" t="s">
        <v>14570</v>
      </c>
      <c r="E41" s="26" t="s">
        <v>14105</v>
      </c>
      <c r="F41" s="725">
        <v>42174.0</v>
      </c>
      <c r="G41" s="65">
        <v>42177.0</v>
      </c>
      <c r="H41" s="67">
        <v>42179.0</v>
      </c>
      <c r="I41" s="9" t="s">
        <v>14571</v>
      </c>
    </row>
    <row r="42" ht="26.25" customHeight="1">
      <c r="A42" s="6">
        <v>6224.0</v>
      </c>
      <c r="B42" s="12" t="s">
        <v>21</v>
      </c>
      <c r="C42" s="12">
        <v>1474.0</v>
      </c>
      <c r="D42" s="6" t="s">
        <v>14572</v>
      </c>
      <c r="E42" s="26" t="s">
        <v>14549</v>
      </c>
      <c r="F42" s="725">
        <v>42150.0</v>
      </c>
      <c r="G42" s="14">
        <v>42145.0</v>
      </c>
      <c r="H42" s="67">
        <v>42157.0</v>
      </c>
      <c r="I42" s="9" t="s">
        <v>14573</v>
      </c>
    </row>
    <row r="43" ht="26.25" customHeight="1">
      <c r="A43" s="6">
        <v>6216.0</v>
      </c>
      <c r="B43" s="12" t="s">
        <v>21</v>
      </c>
      <c r="C43" s="12">
        <v>456.0</v>
      </c>
      <c r="D43" s="6" t="s">
        <v>14574</v>
      </c>
      <c r="E43" s="26" t="s">
        <v>14575</v>
      </c>
      <c r="F43" s="725">
        <v>42150.0</v>
      </c>
      <c r="G43" s="14">
        <v>42150.0</v>
      </c>
      <c r="H43" s="67">
        <v>42156.0</v>
      </c>
      <c r="I43" s="9" t="s">
        <v>14576</v>
      </c>
    </row>
    <row r="44" ht="26.25" customHeight="1">
      <c r="A44" s="6">
        <v>6223.0</v>
      </c>
      <c r="B44" s="12" t="s">
        <v>14</v>
      </c>
      <c r="C44" s="12">
        <v>1538.0</v>
      </c>
      <c r="D44" s="6" t="s">
        <v>14577</v>
      </c>
      <c r="E44" s="26" t="s">
        <v>14578</v>
      </c>
      <c r="F44" s="725">
        <v>42149.0</v>
      </c>
      <c r="G44" s="14">
        <v>42150.0</v>
      </c>
      <c r="H44" s="16">
        <v>42152.0</v>
      </c>
      <c r="I44" s="9" t="s">
        <v>14579</v>
      </c>
    </row>
    <row r="45" ht="26.25" customHeight="1">
      <c r="A45" s="6">
        <v>6217.0</v>
      </c>
      <c r="B45" s="12" t="s">
        <v>14</v>
      </c>
      <c r="C45" s="12">
        <v>659.0</v>
      </c>
      <c r="D45" s="6" t="s">
        <v>14580</v>
      </c>
      <c r="E45" s="26" t="s">
        <v>14581</v>
      </c>
      <c r="F45" s="725">
        <v>42149.0</v>
      </c>
      <c r="G45" s="14">
        <v>42145.0</v>
      </c>
      <c r="H45" s="16">
        <v>42152.0</v>
      </c>
      <c r="I45" s="9" t="s">
        <v>14582</v>
      </c>
    </row>
    <row r="46" ht="26.25" customHeight="1">
      <c r="A46" s="6">
        <v>6174.0</v>
      </c>
      <c r="B46" s="12" t="s">
        <v>21</v>
      </c>
      <c r="C46" s="12">
        <v>1087.0</v>
      </c>
      <c r="D46" s="6" t="s">
        <v>14583</v>
      </c>
      <c r="E46" s="26" t="s">
        <v>14584</v>
      </c>
      <c r="F46" s="725">
        <v>42129.0</v>
      </c>
      <c r="G46" s="14">
        <v>42125.0</v>
      </c>
      <c r="H46" s="16">
        <v>42135.0</v>
      </c>
      <c r="I46" s="77" t="s">
        <v>14585</v>
      </c>
    </row>
    <row r="47" ht="26.25" customHeight="1">
      <c r="A47" s="6">
        <v>6189.0</v>
      </c>
      <c r="B47" s="12" t="s">
        <v>21</v>
      </c>
      <c r="C47" s="12">
        <v>672.0</v>
      </c>
      <c r="D47" s="6" t="s">
        <v>14586</v>
      </c>
      <c r="E47" s="26" t="s">
        <v>14502</v>
      </c>
      <c r="F47" s="725">
        <v>42127.0</v>
      </c>
      <c r="G47" s="14">
        <v>42122.0</v>
      </c>
      <c r="H47" s="16">
        <v>42130.0</v>
      </c>
      <c r="I47" s="9" t="s">
        <v>14587</v>
      </c>
    </row>
    <row r="48" ht="26.25" customHeight="1">
      <c r="A48" s="6">
        <v>6176.0</v>
      </c>
      <c r="B48" s="12" t="s">
        <v>21</v>
      </c>
      <c r="C48" s="12">
        <v>1113.0</v>
      </c>
      <c r="D48" s="6" t="s">
        <v>14588</v>
      </c>
      <c r="E48" s="26" t="s">
        <v>14589</v>
      </c>
      <c r="F48" s="725">
        <v>42120.0</v>
      </c>
      <c r="G48" s="14">
        <v>42118.0</v>
      </c>
      <c r="H48" s="16">
        <v>42126.0</v>
      </c>
      <c r="I48" s="9" t="s">
        <v>14590</v>
      </c>
    </row>
    <row r="49" ht="26.25" customHeight="1">
      <c r="A49" s="6">
        <v>6160.0</v>
      </c>
      <c r="B49" s="12" t="s">
        <v>14</v>
      </c>
      <c r="C49" s="12">
        <v>110.0</v>
      </c>
      <c r="D49" s="6" t="s">
        <v>14591</v>
      </c>
      <c r="E49" s="26" t="s">
        <v>14555</v>
      </c>
      <c r="F49" s="725">
        <v>42114.0</v>
      </c>
      <c r="G49" s="14">
        <v>42115.0</v>
      </c>
      <c r="H49" s="21">
        <v>42118.0</v>
      </c>
      <c r="I49" s="9" t="s">
        <v>14592</v>
      </c>
    </row>
    <row r="50" ht="26.25" customHeight="1">
      <c r="A50" s="6">
        <v>6173.0</v>
      </c>
      <c r="B50" s="12" t="s">
        <v>14</v>
      </c>
      <c r="C50" s="12">
        <v>2211.0</v>
      </c>
      <c r="D50" s="6" t="s">
        <v>14593</v>
      </c>
      <c r="E50" s="26" t="s">
        <v>14594</v>
      </c>
      <c r="F50" s="725">
        <v>42114.0</v>
      </c>
      <c r="G50" s="14">
        <v>42129.0</v>
      </c>
      <c r="H50" s="16">
        <v>42121.0</v>
      </c>
      <c r="I50" s="9" t="s">
        <v>14595</v>
      </c>
    </row>
    <row r="51" ht="26.25" customHeight="1">
      <c r="A51" s="6">
        <v>6138.0</v>
      </c>
      <c r="B51" s="12" t="s">
        <v>14</v>
      </c>
      <c r="C51" s="12">
        <v>1570.0</v>
      </c>
      <c r="D51" s="6" t="s">
        <v>14596</v>
      </c>
      <c r="E51" s="26" t="s">
        <v>14597</v>
      </c>
      <c r="F51" s="725">
        <v>42093.0</v>
      </c>
      <c r="G51" s="14">
        <v>42094.0</v>
      </c>
      <c r="H51" s="21">
        <v>42100.0</v>
      </c>
      <c r="I51" s="9" t="s">
        <v>14598</v>
      </c>
    </row>
    <row r="52" ht="26.25" customHeight="1">
      <c r="A52" s="6">
        <v>6123.0</v>
      </c>
      <c r="B52" s="12" t="s">
        <v>14</v>
      </c>
      <c r="C52" s="12">
        <v>672.0</v>
      </c>
      <c r="D52" s="6" t="s">
        <v>14599</v>
      </c>
      <c r="E52" s="26" t="s">
        <v>14502</v>
      </c>
      <c r="F52" s="725">
        <v>42093.0</v>
      </c>
      <c r="G52" s="14">
        <v>42093.0</v>
      </c>
      <c r="H52" s="21">
        <v>42102.0</v>
      </c>
      <c r="I52" s="9" t="s">
        <v>14600</v>
      </c>
    </row>
    <row r="53" ht="26.25" customHeight="1">
      <c r="A53" s="6">
        <v>6137.0</v>
      </c>
      <c r="B53" s="12" t="s">
        <v>14</v>
      </c>
      <c r="C53" s="12">
        <v>4047.0</v>
      </c>
      <c r="D53" s="6" t="s">
        <v>14601</v>
      </c>
      <c r="E53" s="26" t="s">
        <v>14602</v>
      </c>
      <c r="F53" s="725">
        <v>42088.0</v>
      </c>
      <c r="G53" s="14">
        <v>42104.0</v>
      </c>
      <c r="H53" s="21">
        <v>42097.0</v>
      </c>
      <c r="I53" s="9" t="s">
        <v>14603</v>
      </c>
    </row>
    <row r="54" ht="26.25" customHeight="1">
      <c r="A54" s="6">
        <v>6090.0</v>
      </c>
      <c r="B54" s="12" t="s">
        <v>25</v>
      </c>
      <c r="C54" s="12">
        <v>110.0</v>
      </c>
      <c r="D54" s="6" t="s">
        <v>14604</v>
      </c>
      <c r="E54" s="26" t="s">
        <v>14226</v>
      </c>
      <c r="F54" s="725">
        <v>42084.0</v>
      </c>
      <c r="G54" s="14">
        <v>42095.0</v>
      </c>
      <c r="H54" s="21">
        <v>42096.0</v>
      </c>
      <c r="I54" s="9" t="s">
        <v>14605</v>
      </c>
    </row>
    <row r="55" ht="26.25" customHeight="1">
      <c r="A55" s="6">
        <v>6101.0</v>
      </c>
      <c r="B55" s="12" t="s">
        <v>14</v>
      </c>
      <c r="C55" s="12">
        <v>853.0</v>
      </c>
      <c r="D55" s="6" t="s">
        <v>14606</v>
      </c>
      <c r="E55" s="26" t="s">
        <v>14597</v>
      </c>
      <c r="F55" s="725">
        <v>42065.0</v>
      </c>
      <c r="G55" s="14">
        <v>42062.0</v>
      </c>
      <c r="H55" s="21">
        <v>42069.0</v>
      </c>
      <c r="I55" s="9" t="s">
        <v>14607</v>
      </c>
    </row>
    <row r="56" ht="26.25" customHeight="1">
      <c r="A56" s="6">
        <v>6093.0</v>
      </c>
      <c r="B56" s="12" t="s">
        <v>14</v>
      </c>
      <c r="C56" s="12">
        <v>4686.0</v>
      </c>
      <c r="D56" s="6" t="s">
        <v>14608</v>
      </c>
      <c r="E56" s="26" t="s">
        <v>14609</v>
      </c>
      <c r="F56" s="725">
        <v>42058.0</v>
      </c>
      <c r="G56" s="14">
        <v>42055.0</v>
      </c>
      <c r="H56" s="21">
        <v>42065.0</v>
      </c>
      <c r="I56" s="9" t="s">
        <v>14610</v>
      </c>
    </row>
    <row r="57" ht="26.25" customHeight="1">
      <c r="A57" s="6">
        <v>6055.0</v>
      </c>
      <c r="B57" s="12" t="s">
        <v>14</v>
      </c>
      <c r="C57" s="12">
        <v>220.0</v>
      </c>
      <c r="D57" s="6" t="s">
        <v>14611</v>
      </c>
      <c r="E57" s="26" t="s">
        <v>14226</v>
      </c>
      <c r="F57" s="725">
        <v>42023.0</v>
      </c>
      <c r="G57" s="14">
        <v>42020.0</v>
      </c>
      <c r="H57" s="21">
        <v>42030.0</v>
      </c>
      <c r="I57" s="9" t="s">
        <v>14612</v>
      </c>
    </row>
    <row r="58" ht="26.25" customHeight="1">
      <c r="A58" s="6">
        <v>6052.0</v>
      </c>
      <c r="B58" s="12" t="s">
        <v>14</v>
      </c>
      <c r="C58" s="12">
        <v>2592.0</v>
      </c>
      <c r="D58" s="6" t="s">
        <v>14613</v>
      </c>
      <c r="E58" s="26" t="s">
        <v>14614</v>
      </c>
      <c r="F58" s="725">
        <v>42016.0</v>
      </c>
      <c r="G58" s="14">
        <v>42013.0</v>
      </c>
      <c r="H58" s="21">
        <v>42025.0</v>
      </c>
      <c r="I58" s="9" t="s">
        <v>14615</v>
      </c>
    </row>
    <row r="59" ht="26.25" customHeight="1">
      <c r="A59" s="6">
        <v>6035.0</v>
      </c>
      <c r="B59" s="12" t="s">
        <v>14</v>
      </c>
      <c r="C59" s="12">
        <v>672.0</v>
      </c>
      <c r="D59" s="6" t="s">
        <v>14616</v>
      </c>
      <c r="E59" s="26" t="s">
        <v>14229</v>
      </c>
      <c r="F59" s="725">
        <v>42009.0</v>
      </c>
      <c r="G59" s="14">
        <v>42009.0</v>
      </c>
      <c r="H59" s="21">
        <v>42019.0</v>
      </c>
      <c r="I59" s="9" t="s">
        <v>14617</v>
      </c>
    </row>
    <row r="60" ht="26.25" customHeight="1">
      <c r="A60" s="6">
        <v>6011.0</v>
      </c>
      <c r="B60" s="12" t="s">
        <v>14</v>
      </c>
      <c r="C60" s="12">
        <v>110.0</v>
      </c>
      <c r="D60" s="6" t="s">
        <v>14618</v>
      </c>
      <c r="E60" s="26" t="s">
        <v>14226</v>
      </c>
      <c r="F60" s="725">
        <v>41993.0</v>
      </c>
      <c r="G60" s="14">
        <v>42369.0</v>
      </c>
      <c r="H60" s="21">
        <v>42017.0</v>
      </c>
      <c r="I60" s="9" t="s">
        <v>14619</v>
      </c>
    </row>
    <row r="61" ht="36.0" customHeight="1">
      <c r="A61" s="6"/>
      <c r="B61" s="12"/>
      <c r="C61" s="12"/>
      <c r="D61" s="6"/>
      <c r="E61" s="26"/>
      <c r="F61" s="731"/>
      <c r="G61" s="4"/>
      <c r="H61" s="8"/>
      <c r="I61" s="9"/>
    </row>
    <row r="62" ht="36.0" customHeight="1">
      <c r="A62" s="6"/>
      <c r="B62" s="12"/>
      <c r="C62" s="12"/>
      <c r="D62" s="6"/>
      <c r="E62" s="26"/>
      <c r="F62" s="731"/>
      <c r="G62" s="4"/>
      <c r="H62" s="8"/>
      <c r="I62" s="9"/>
    </row>
    <row r="63" ht="36.0" customHeight="1">
      <c r="A63" s="6"/>
      <c r="B63" s="12"/>
      <c r="C63" s="12"/>
      <c r="D63" s="6"/>
      <c r="E63" s="26"/>
      <c r="F63" s="731"/>
      <c r="G63" s="4"/>
      <c r="H63" s="8"/>
      <c r="I63" s="9"/>
    </row>
    <row r="64" ht="36.0" customHeight="1">
      <c r="A64" s="6"/>
      <c r="B64" s="12"/>
      <c r="C64" s="12"/>
      <c r="D64" s="6"/>
      <c r="E64" s="26"/>
      <c r="F64" s="731"/>
      <c r="G64" s="4"/>
      <c r="H64" s="8"/>
      <c r="I64" s="18"/>
    </row>
    <row r="65" ht="36.0" customHeight="1">
      <c r="A65" s="6"/>
      <c r="B65" s="12"/>
      <c r="C65" s="12"/>
      <c r="D65" s="6"/>
      <c r="E65" s="26"/>
      <c r="F65" s="731"/>
      <c r="G65" s="4"/>
      <c r="H65" s="8"/>
      <c r="I65" s="18"/>
    </row>
    <row r="66" ht="36.0" customHeight="1">
      <c r="A66" s="6"/>
      <c r="B66" s="12"/>
      <c r="C66" s="12"/>
      <c r="D66" s="6"/>
      <c r="E66" s="26"/>
      <c r="F66" s="731"/>
      <c r="G66" s="4"/>
      <c r="H66" s="8"/>
      <c r="I66" s="18"/>
    </row>
    <row r="67" ht="36.0" customHeight="1">
      <c r="A67" s="6"/>
      <c r="B67" s="12"/>
      <c r="C67" s="12"/>
      <c r="D67" s="6"/>
      <c r="E67" s="26"/>
      <c r="F67" s="731"/>
      <c r="G67" s="4"/>
      <c r="H67" s="8"/>
      <c r="I67" s="18"/>
    </row>
    <row r="68" ht="38.25" customHeight="1">
      <c r="A68" s="6"/>
      <c r="B68" s="12"/>
      <c r="C68" s="12"/>
      <c r="D68" s="6"/>
      <c r="E68" s="26"/>
      <c r="F68" s="731"/>
      <c r="G68" s="4"/>
      <c r="H68" s="8"/>
      <c r="I68" s="18"/>
    </row>
    <row r="69" ht="18.0" customHeight="1">
      <c r="A69" s="6"/>
      <c r="B69" s="12"/>
      <c r="C69" s="12"/>
      <c r="D69" s="6"/>
      <c r="E69" s="26"/>
      <c r="F69" s="731"/>
      <c r="G69" s="4"/>
      <c r="H69" s="8"/>
      <c r="I69" s="13"/>
    </row>
    <row r="70" ht="34.5" customHeight="1">
      <c r="A70" s="6"/>
      <c r="B70" s="12"/>
      <c r="C70" s="12"/>
      <c r="D70" s="6"/>
      <c r="E70" s="26"/>
      <c r="F70" s="731"/>
      <c r="G70" s="4"/>
      <c r="H70" s="8"/>
      <c r="I70" s="13"/>
    </row>
    <row r="71" ht="31.5" customHeight="1">
      <c r="A71" s="28"/>
      <c r="B71" s="28"/>
      <c r="C71" s="28"/>
      <c r="D71" s="27"/>
      <c r="E71" s="35"/>
      <c r="F71" s="730"/>
      <c r="G71" s="32"/>
      <c r="H71" s="32"/>
      <c r="I71" s="41"/>
    </row>
    <row r="72" ht="18.0" customHeight="1">
      <c r="A72" s="28"/>
      <c r="B72" s="28"/>
      <c r="C72" s="28"/>
      <c r="D72" s="27"/>
      <c r="E72" s="35"/>
      <c r="F72" s="730"/>
      <c r="G72" s="32"/>
      <c r="H72" s="32"/>
      <c r="I72" s="36"/>
    </row>
    <row r="73" ht="18.0" customHeight="1">
      <c r="A73" s="28"/>
      <c r="B73" s="488"/>
      <c r="C73" s="488"/>
      <c r="D73" s="42"/>
      <c r="E73" s="727"/>
      <c r="F73" s="732"/>
      <c r="G73" s="32"/>
      <c r="H73" s="32"/>
      <c r="I73" s="729"/>
    </row>
    <row r="74" ht="18.0" customHeight="1">
      <c r="A74" s="6"/>
      <c r="B74" s="12"/>
      <c r="C74" s="12"/>
      <c r="D74" s="6"/>
      <c r="E74" s="26"/>
      <c r="F74" s="731"/>
      <c r="G74" s="4"/>
      <c r="H74" s="8"/>
      <c r="I74" s="13"/>
    </row>
    <row r="75" ht="18.0" customHeight="1">
      <c r="A75" s="6"/>
      <c r="B75" s="12"/>
      <c r="C75" s="12"/>
      <c r="D75" s="6"/>
      <c r="E75" s="26"/>
      <c r="F75" s="731"/>
      <c r="G75" s="4"/>
      <c r="H75" s="8"/>
      <c r="I75" s="13"/>
    </row>
    <row r="76" ht="18.0" customHeight="1">
      <c r="A76" s="27"/>
      <c r="B76" s="28"/>
      <c r="C76" s="28"/>
      <c r="D76" s="27"/>
      <c r="E76" s="35"/>
      <c r="F76" s="730"/>
      <c r="G76" s="32"/>
      <c r="H76" s="34"/>
      <c r="I76" s="24"/>
    </row>
    <row r="77" ht="18.0" customHeight="1">
      <c r="A77" s="27"/>
      <c r="B77" s="28"/>
      <c r="C77" s="28"/>
      <c r="D77" s="27"/>
      <c r="E77" s="35"/>
      <c r="F77" s="730"/>
      <c r="G77" s="32"/>
      <c r="H77" s="34"/>
      <c r="I77" s="41"/>
    </row>
    <row r="78" ht="18.0" customHeight="1">
      <c r="A78" s="27"/>
      <c r="B78" s="28"/>
      <c r="C78" s="28"/>
      <c r="D78" s="27"/>
      <c r="E78" s="35"/>
      <c r="F78" s="730"/>
      <c r="G78" s="32"/>
      <c r="H78" s="34"/>
      <c r="I78" s="24"/>
    </row>
    <row r="79" ht="18.0" customHeight="1">
      <c r="A79" s="27"/>
      <c r="B79" s="28"/>
      <c r="C79" s="28"/>
      <c r="D79" s="27"/>
      <c r="E79" s="35"/>
      <c r="F79" s="730"/>
      <c r="G79" s="32"/>
      <c r="H79" s="34"/>
      <c r="I79" s="24"/>
    </row>
    <row r="80" ht="18.0" customHeight="1">
      <c r="A80" s="27"/>
      <c r="B80" s="28"/>
      <c r="C80" s="28"/>
      <c r="D80" s="27"/>
      <c r="E80" s="35"/>
      <c r="F80" s="730"/>
      <c r="G80" s="32"/>
      <c r="H80" s="34"/>
      <c r="I80" s="24"/>
    </row>
    <row r="81" ht="18.0" customHeight="1">
      <c r="A81" s="27"/>
      <c r="B81" s="28"/>
      <c r="C81" s="28"/>
      <c r="D81" s="27"/>
      <c r="E81" s="35"/>
      <c r="F81" s="730"/>
      <c r="G81" s="32"/>
      <c r="H81" s="34"/>
      <c r="I81" s="24"/>
    </row>
    <row r="82" ht="18.0" customHeight="1">
      <c r="A82" s="27"/>
      <c r="B82" s="28"/>
      <c r="C82" s="28"/>
      <c r="D82" s="27"/>
      <c r="E82" s="35"/>
      <c r="F82" s="730"/>
      <c r="G82" s="32"/>
      <c r="H82" s="34"/>
      <c r="I82" s="24"/>
    </row>
    <row r="83" ht="18.0" customHeight="1">
      <c r="A83" s="27"/>
      <c r="B83" s="28"/>
      <c r="C83" s="28"/>
      <c r="D83" s="27"/>
      <c r="E83" s="35"/>
      <c r="F83" s="730"/>
      <c r="G83" s="32"/>
      <c r="H83" s="34"/>
      <c r="I83" s="24"/>
    </row>
    <row r="84" ht="12.75" customHeight="1">
      <c r="A84" s="28"/>
      <c r="B84" s="28"/>
      <c r="C84" s="28"/>
      <c r="D84" s="27"/>
      <c r="E84" s="35"/>
      <c r="F84" s="730"/>
      <c r="G84" s="32"/>
      <c r="H84" s="32"/>
      <c r="I84" s="41"/>
    </row>
    <row r="85" ht="12.75" customHeight="1">
      <c r="A85" s="28"/>
      <c r="B85" s="28"/>
      <c r="C85" s="28"/>
      <c r="D85" s="27"/>
      <c r="E85" s="35"/>
      <c r="F85" s="730"/>
      <c r="G85" s="32"/>
      <c r="H85" s="32"/>
      <c r="I85" s="41"/>
    </row>
    <row r="86" ht="12.75" customHeight="1">
      <c r="A86" s="35"/>
      <c r="B86" s="28"/>
      <c r="C86" s="28"/>
      <c r="D86" s="27"/>
      <c r="E86" s="35"/>
      <c r="F86" s="730"/>
      <c r="G86" s="32"/>
      <c r="H86" s="32"/>
      <c r="I86" s="41"/>
    </row>
    <row r="87" ht="12.75" customHeight="1">
      <c r="A87" s="35"/>
      <c r="B87" s="28"/>
      <c r="C87" s="28"/>
      <c r="D87" s="27"/>
      <c r="E87" s="35"/>
      <c r="F87" s="730"/>
      <c r="G87" s="32"/>
      <c r="H87" s="32"/>
      <c r="I87" s="41"/>
    </row>
    <row r="88" ht="12.75" customHeight="1">
      <c r="A88" s="35"/>
      <c r="B88" s="28"/>
      <c r="C88" s="28"/>
      <c r="D88" s="27"/>
      <c r="E88" s="35"/>
      <c r="F88" s="730"/>
      <c r="G88" s="32"/>
      <c r="H88" s="32"/>
      <c r="I88" s="41"/>
    </row>
    <row r="89" ht="12.75" customHeight="1">
      <c r="A89" s="35"/>
      <c r="B89" s="28"/>
      <c r="C89" s="28"/>
      <c r="D89" s="27"/>
      <c r="E89" s="35"/>
      <c r="F89" s="730"/>
      <c r="G89" s="32"/>
      <c r="H89" s="32"/>
      <c r="I89" s="41"/>
    </row>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I$60">
    <sortState ref="A3:I60">
      <sortCondition descending="1" ref="F3:F60"/>
    </sortState>
  </autoFilter>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29"/>
    <col customWidth="1" min="2" max="2" width="11.86"/>
    <col customWidth="1" min="3" max="3" width="10.0"/>
    <col customWidth="1" min="4" max="4" width="17.43"/>
    <col customWidth="1" min="5" max="5" width="42.0"/>
    <col customWidth="1" min="6" max="6" width="9.71"/>
    <col customWidth="1" min="7" max="7" width="12.0"/>
    <col customWidth="1" min="8" max="8" width="10.86"/>
    <col customWidth="1" min="9" max="9" width="48.29"/>
  </cols>
  <sheetData>
    <row r="1" ht="15.75" customHeight="1">
      <c r="A1" s="733" t="s">
        <v>1023</v>
      </c>
      <c r="B1" s="734"/>
      <c r="C1" s="735"/>
      <c r="D1" s="736"/>
      <c r="E1" s="733" t="s">
        <v>14620</v>
      </c>
      <c r="F1" s="737"/>
      <c r="G1" s="738"/>
      <c r="H1" s="738"/>
      <c r="I1" s="733"/>
    </row>
    <row r="2" ht="48.75" customHeight="1">
      <c r="A2" s="739"/>
      <c r="B2" s="715" t="s">
        <v>2</v>
      </c>
      <c r="C2" s="740"/>
      <c r="D2" s="715"/>
      <c r="E2" s="741" t="s">
        <v>1674</v>
      </c>
      <c r="F2" s="742" t="s">
        <v>4</v>
      </c>
      <c r="G2" s="742" t="s">
        <v>5</v>
      </c>
      <c r="H2" s="742" t="s">
        <v>6</v>
      </c>
      <c r="I2" s="743"/>
    </row>
    <row r="3" ht="12.75" customHeight="1">
      <c r="A3" s="744" t="s">
        <v>1675</v>
      </c>
      <c r="B3" s="744" t="s">
        <v>8</v>
      </c>
      <c r="C3" s="744" t="s">
        <v>9</v>
      </c>
      <c r="D3" s="745" t="s">
        <v>10</v>
      </c>
      <c r="E3" s="745" t="s">
        <v>11</v>
      </c>
      <c r="F3" s="746" t="s">
        <v>12</v>
      </c>
      <c r="G3" s="746" t="s">
        <v>12</v>
      </c>
      <c r="H3" s="746" t="s">
        <v>12</v>
      </c>
      <c r="I3" s="745" t="s">
        <v>13</v>
      </c>
    </row>
    <row r="4" ht="18.0" customHeight="1">
      <c r="A4" s="747">
        <v>5067.0</v>
      </c>
      <c r="B4" s="748" t="s">
        <v>14</v>
      </c>
      <c r="C4" s="748">
        <v>110.0</v>
      </c>
      <c r="D4" s="747" t="s">
        <v>14621</v>
      </c>
      <c r="E4" s="749" t="s">
        <v>14226</v>
      </c>
      <c r="F4" s="750">
        <v>41259.0</v>
      </c>
      <c r="G4" s="751">
        <v>41254.0</v>
      </c>
      <c r="H4" s="752">
        <v>41257.0</v>
      </c>
      <c r="I4" s="753" t="s">
        <v>14622</v>
      </c>
    </row>
    <row r="5" ht="18.0" customHeight="1">
      <c r="A5" s="747">
        <v>5076.0</v>
      </c>
      <c r="B5" s="748" t="s">
        <v>21</v>
      </c>
      <c r="C5" s="748">
        <v>3405.0</v>
      </c>
      <c r="D5" s="747" t="s">
        <v>14623</v>
      </c>
      <c r="E5" s="749" t="s">
        <v>14624</v>
      </c>
      <c r="F5" s="750">
        <v>41258.0</v>
      </c>
      <c r="G5" s="751">
        <v>41257.0</v>
      </c>
      <c r="H5" s="752">
        <v>41264.0</v>
      </c>
      <c r="I5" s="753" t="s">
        <v>14625</v>
      </c>
    </row>
    <row r="6" ht="18.0" customHeight="1">
      <c r="A6" s="747">
        <v>5077.0</v>
      </c>
      <c r="B6" s="748" t="s">
        <v>25</v>
      </c>
      <c r="C6" s="748">
        <v>1106.0</v>
      </c>
      <c r="D6" s="747" t="s">
        <v>14626</v>
      </c>
      <c r="E6" s="749" t="s">
        <v>14627</v>
      </c>
      <c r="F6" s="750">
        <v>41256.0</v>
      </c>
      <c r="G6" s="751">
        <v>41255.0</v>
      </c>
      <c r="H6" s="752">
        <v>41261.0</v>
      </c>
      <c r="I6" s="753" t="s">
        <v>14628</v>
      </c>
    </row>
    <row r="7" ht="18.0" customHeight="1">
      <c r="A7" s="747">
        <v>5055.0</v>
      </c>
      <c r="B7" s="748" t="s">
        <v>21</v>
      </c>
      <c r="C7" s="748">
        <v>2181.0</v>
      </c>
      <c r="D7" s="747" t="s">
        <v>14629</v>
      </c>
      <c r="E7" s="749" t="s">
        <v>14630</v>
      </c>
      <c r="F7" s="750">
        <v>41240.0</v>
      </c>
      <c r="G7" s="751">
        <v>41239.0</v>
      </c>
      <c r="H7" s="752">
        <v>41257.0</v>
      </c>
      <c r="I7" s="753" t="s">
        <v>14631</v>
      </c>
    </row>
    <row r="8" ht="18.0" customHeight="1">
      <c r="A8" s="747">
        <v>5056.0</v>
      </c>
      <c r="B8" s="748" t="s">
        <v>14</v>
      </c>
      <c r="C8" s="748">
        <v>2184.0</v>
      </c>
      <c r="D8" s="747" t="s">
        <v>14632</v>
      </c>
      <c r="E8" s="749" t="s">
        <v>14633</v>
      </c>
      <c r="F8" s="750">
        <v>41239.0</v>
      </c>
      <c r="G8" s="751">
        <v>41246.0</v>
      </c>
      <c r="H8" s="752">
        <v>41246.0</v>
      </c>
      <c r="I8" s="753" t="s">
        <v>14634</v>
      </c>
    </row>
    <row r="9" ht="18.0" customHeight="1">
      <c r="A9" s="747">
        <v>5032.0</v>
      </c>
      <c r="B9" s="748" t="s">
        <v>21</v>
      </c>
      <c r="C9" s="748">
        <v>672.0</v>
      </c>
      <c r="D9" s="747" t="s">
        <v>14635</v>
      </c>
      <c r="E9" s="749" t="s">
        <v>14229</v>
      </c>
      <c r="F9" s="750">
        <v>41223.0</v>
      </c>
      <c r="G9" s="751">
        <v>41220.0</v>
      </c>
      <c r="H9" s="752">
        <v>41232.0</v>
      </c>
      <c r="I9" s="753" t="s">
        <v>14636</v>
      </c>
    </row>
    <row r="10" ht="18.0" customHeight="1">
      <c r="A10" s="747">
        <v>5022.0</v>
      </c>
      <c r="B10" s="748" t="s">
        <v>14</v>
      </c>
      <c r="C10" s="748">
        <v>110.0</v>
      </c>
      <c r="D10" s="747" t="s">
        <v>14637</v>
      </c>
      <c r="E10" s="749" t="s">
        <v>14226</v>
      </c>
      <c r="F10" s="750">
        <v>41220.0</v>
      </c>
      <c r="G10" s="751">
        <v>41220.0</v>
      </c>
      <c r="H10" s="752">
        <v>41228.0</v>
      </c>
      <c r="I10" s="753" t="s">
        <v>14638</v>
      </c>
    </row>
    <row r="11" ht="18.0" customHeight="1">
      <c r="A11" s="754">
        <v>5021.0</v>
      </c>
      <c r="B11" s="755" t="s">
        <v>21</v>
      </c>
      <c r="C11" s="755">
        <v>110.0</v>
      </c>
      <c r="D11" s="754" t="s">
        <v>14639</v>
      </c>
      <c r="E11" s="756" t="s">
        <v>14226</v>
      </c>
      <c r="F11" s="757">
        <v>41220.0</v>
      </c>
      <c r="G11" s="758">
        <v>41221.0</v>
      </c>
      <c r="H11" s="759">
        <v>41225.0</v>
      </c>
      <c r="I11" s="760" t="s">
        <v>14640</v>
      </c>
    </row>
    <row r="12" ht="18.0" customHeight="1">
      <c r="A12" s="747">
        <v>5017.0</v>
      </c>
      <c r="B12" s="748" t="s">
        <v>14</v>
      </c>
      <c r="C12" s="748">
        <v>2393.0</v>
      </c>
      <c r="D12" s="747" t="s">
        <v>14641</v>
      </c>
      <c r="E12" s="749" t="s">
        <v>14642</v>
      </c>
      <c r="F12" s="750">
        <v>41218.0</v>
      </c>
      <c r="G12" s="751">
        <v>41220.0</v>
      </c>
      <c r="H12" s="761" t="s">
        <v>14643</v>
      </c>
      <c r="I12" s="753" t="s">
        <v>14644</v>
      </c>
    </row>
    <row r="13" ht="18.0" customHeight="1">
      <c r="A13" s="747">
        <v>5016.0</v>
      </c>
      <c r="B13" s="748" t="s">
        <v>21</v>
      </c>
      <c r="C13" s="748">
        <v>2241.0</v>
      </c>
      <c r="D13" s="747" t="s">
        <v>14645</v>
      </c>
      <c r="E13" s="749" t="s">
        <v>14646</v>
      </c>
      <c r="F13" s="750">
        <v>41206.0</v>
      </c>
      <c r="G13" s="751">
        <v>41207.0</v>
      </c>
      <c r="H13" s="752">
        <v>41214.0</v>
      </c>
      <c r="I13" s="753" t="s">
        <v>14647</v>
      </c>
    </row>
    <row r="14" ht="18.0" customHeight="1">
      <c r="A14" s="747">
        <v>4975.0</v>
      </c>
      <c r="B14" s="748" t="s">
        <v>21</v>
      </c>
      <c r="C14" s="748">
        <v>110.0</v>
      </c>
      <c r="D14" s="747" t="s">
        <v>14648</v>
      </c>
      <c r="E14" s="749" t="s">
        <v>14226</v>
      </c>
      <c r="F14" s="750">
        <v>41193.0</v>
      </c>
      <c r="G14" s="751">
        <v>41207.0</v>
      </c>
      <c r="H14" s="752">
        <v>41204.0</v>
      </c>
      <c r="I14" s="753" t="s">
        <v>14649</v>
      </c>
    </row>
    <row r="15" ht="18.0" customHeight="1">
      <c r="A15" s="754">
        <v>4976.0</v>
      </c>
      <c r="B15" s="755" t="s">
        <v>14</v>
      </c>
      <c r="C15" s="755">
        <v>110.0</v>
      </c>
      <c r="D15" s="754" t="s">
        <v>14650</v>
      </c>
      <c r="E15" s="756" t="s">
        <v>14226</v>
      </c>
      <c r="F15" s="757">
        <v>41184.0</v>
      </c>
      <c r="G15" s="758">
        <v>41185.0</v>
      </c>
      <c r="H15" s="759">
        <v>41192.0</v>
      </c>
      <c r="I15" s="760" t="s">
        <v>14651</v>
      </c>
    </row>
    <row r="16" ht="18.0" customHeight="1">
      <c r="A16" s="747">
        <v>4965.0</v>
      </c>
      <c r="B16" s="748" t="s">
        <v>14</v>
      </c>
      <c r="C16" s="748">
        <v>672.0</v>
      </c>
      <c r="D16" s="747" t="s">
        <v>14652</v>
      </c>
      <c r="E16" s="749" t="s">
        <v>14229</v>
      </c>
      <c r="F16" s="750">
        <v>41181.0</v>
      </c>
      <c r="G16" s="751">
        <v>41179.0</v>
      </c>
      <c r="H16" s="752">
        <v>41184.0</v>
      </c>
      <c r="I16" s="753" t="s">
        <v>14653</v>
      </c>
    </row>
    <row r="17" ht="18.0" customHeight="1">
      <c r="A17" s="747">
        <v>4983.0</v>
      </c>
      <c r="B17" s="748" t="s">
        <v>21</v>
      </c>
      <c r="C17" s="748">
        <v>3189.0</v>
      </c>
      <c r="D17" s="747" t="s">
        <v>14654</v>
      </c>
      <c r="E17" s="749" t="s">
        <v>14655</v>
      </c>
      <c r="F17" s="750">
        <v>41178.0</v>
      </c>
      <c r="G17" s="751">
        <v>41176.0</v>
      </c>
      <c r="H17" s="761" t="s">
        <v>14656</v>
      </c>
      <c r="I17" s="753" t="s">
        <v>14657</v>
      </c>
    </row>
    <row r="18" ht="18.0" customHeight="1">
      <c r="A18" s="747">
        <v>4982.0</v>
      </c>
      <c r="B18" s="748" t="s">
        <v>14</v>
      </c>
      <c r="C18" s="748">
        <v>3805.0</v>
      </c>
      <c r="D18" s="747" t="s">
        <v>14658</v>
      </c>
      <c r="E18" s="749" t="s">
        <v>14659</v>
      </c>
      <c r="F18" s="750">
        <v>41176.0</v>
      </c>
      <c r="G18" s="751">
        <v>41179.0</v>
      </c>
      <c r="H18" s="761" t="s">
        <v>14660</v>
      </c>
      <c r="I18" s="753" t="s">
        <v>14661</v>
      </c>
    </row>
    <row r="19" ht="18.0" customHeight="1">
      <c r="A19" s="762">
        <v>4979.0</v>
      </c>
      <c r="B19" s="763" t="s">
        <v>25</v>
      </c>
      <c r="C19" s="763">
        <v>2773.0</v>
      </c>
      <c r="D19" s="762" t="s">
        <v>14662</v>
      </c>
      <c r="E19" s="764" t="s">
        <v>14663</v>
      </c>
      <c r="F19" s="765">
        <v>41175.0</v>
      </c>
      <c r="G19" s="766">
        <v>41185.0</v>
      </c>
      <c r="H19" s="767">
        <v>41179.0</v>
      </c>
      <c r="I19" s="768" t="s">
        <v>14664</v>
      </c>
    </row>
    <row r="20" ht="18.0" customHeight="1">
      <c r="A20" s="27">
        <v>4936.0</v>
      </c>
      <c r="B20" s="28" t="s">
        <v>21</v>
      </c>
      <c r="C20" s="28">
        <v>2349.0</v>
      </c>
      <c r="D20" s="27" t="s">
        <v>14665</v>
      </c>
      <c r="E20" s="35" t="s">
        <v>14666</v>
      </c>
      <c r="F20" s="726">
        <v>41147.0</v>
      </c>
      <c r="G20" s="29">
        <v>41148.0</v>
      </c>
      <c r="H20" s="34" t="s">
        <v>14667</v>
      </c>
      <c r="I20" s="24" t="s">
        <v>14668</v>
      </c>
    </row>
    <row r="21" ht="35.25" customHeight="1">
      <c r="A21" s="27">
        <v>4937.0</v>
      </c>
      <c r="B21" s="28" t="s">
        <v>14</v>
      </c>
      <c r="C21" s="28">
        <v>1151.0</v>
      </c>
      <c r="D21" s="27" t="s">
        <v>14669</v>
      </c>
      <c r="E21" s="35" t="s">
        <v>14670</v>
      </c>
      <c r="F21" s="726">
        <v>41146.0</v>
      </c>
      <c r="G21" s="29">
        <v>41152.0</v>
      </c>
      <c r="H21" s="30">
        <v>41149.0</v>
      </c>
      <c r="I21" s="24" t="s">
        <v>14671</v>
      </c>
    </row>
    <row r="22" ht="18.0" customHeight="1">
      <c r="A22" s="28">
        <v>4917.0</v>
      </c>
      <c r="B22" s="28" t="s">
        <v>21</v>
      </c>
      <c r="C22" s="28">
        <v>672.0</v>
      </c>
      <c r="D22" s="27" t="s">
        <v>14672</v>
      </c>
      <c r="E22" s="35" t="s">
        <v>14229</v>
      </c>
      <c r="F22" s="726">
        <v>41128.0</v>
      </c>
      <c r="G22" s="29">
        <v>41124.0</v>
      </c>
      <c r="H22" s="30">
        <v>41136.0</v>
      </c>
      <c r="I22" s="24" t="s">
        <v>14673</v>
      </c>
    </row>
    <row r="23" ht="18.0" customHeight="1">
      <c r="A23" s="28">
        <v>4902.0</v>
      </c>
      <c r="B23" s="28" t="s">
        <v>14</v>
      </c>
      <c r="C23" s="28">
        <v>4031.0</v>
      </c>
      <c r="D23" s="27" t="s">
        <v>14674</v>
      </c>
      <c r="E23" s="35" t="s">
        <v>14675</v>
      </c>
      <c r="F23" s="726">
        <v>41114.0</v>
      </c>
      <c r="G23" s="29">
        <v>41115.0</v>
      </c>
      <c r="H23" s="34" t="s">
        <v>14676</v>
      </c>
      <c r="I23" s="24" t="s">
        <v>14677</v>
      </c>
    </row>
    <row r="24" ht="18.0" customHeight="1">
      <c r="A24" s="28">
        <v>4898.0</v>
      </c>
      <c r="B24" s="28" t="s">
        <v>21</v>
      </c>
      <c r="C24" s="28">
        <v>527.0</v>
      </c>
      <c r="D24" s="27" t="s">
        <v>14678</v>
      </c>
      <c r="E24" s="35" t="s">
        <v>14679</v>
      </c>
      <c r="F24" s="726">
        <v>41112.0</v>
      </c>
      <c r="G24" s="29">
        <v>41114.0</v>
      </c>
      <c r="H24" s="30">
        <v>8.0</v>
      </c>
      <c r="I24" s="24" t="s">
        <v>14680</v>
      </c>
    </row>
    <row r="25" ht="18.0" customHeight="1">
      <c r="A25" s="28">
        <v>4897.0</v>
      </c>
      <c r="B25" s="28" t="s">
        <v>21</v>
      </c>
      <c r="C25" s="28">
        <v>223.0</v>
      </c>
      <c r="D25" s="27" t="s">
        <v>14681</v>
      </c>
      <c r="E25" s="35" t="s">
        <v>14682</v>
      </c>
      <c r="F25" s="726">
        <v>41112.0</v>
      </c>
      <c r="G25" s="29">
        <v>41109.0</v>
      </c>
      <c r="H25" s="30">
        <v>41117.0</v>
      </c>
      <c r="I25" s="24" t="s">
        <v>14683</v>
      </c>
    </row>
    <row r="26" ht="18.0" customHeight="1">
      <c r="A26" s="28">
        <v>4901.0</v>
      </c>
      <c r="B26" s="28" t="s">
        <v>25</v>
      </c>
      <c r="C26" s="28">
        <v>545.0</v>
      </c>
      <c r="D26" s="27" t="s">
        <v>14684</v>
      </c>
      <c r="E26" s="35" t="s">
        <v>14685</v>
      </c>
      <c r="F26" s="726">
        <v>41109.0</v>
      </c>
      <c r="G26" s="29">
        <v>41114.0</v>
      </c>
      <c r="H26" s="30">
        <v>41114.0</v>
      </c>
      <c r="I26" s="24" t="s">
        <v>14686</v>
      </c>
    </row>
    <row r="27" ht="18.0" customHeight="1">
      <c r="A27" s="28">
        <v>4859.0</v>
      </c>
      <c r="B27" s="28" t="s">
        <v>21</v>
      </c>
      <c r="C27" s="28">
        <v>641.0</v>
      </c>
      <c r="D27" s="27" t="s">
        <v>14687</v>
      </c>
      <c r="E27" s="35" t="s">
        <v>14688</v>
      </c>
      <c r="F27" s="726">
        <v>41084.0</v>
      </c>
      <c r="G27" s="29">
        <v>41086.0</v>
      </c>
      <c r="H27" s="30">
        <v>41092.0</v>
      </c>
      <c r="I27" s="24" t="s">
        <v>14689</v>
      </c>
    </row>
    <row r="28" ht="18.0" customHeight="1">
      <c r="A28" s="28">
        <v>4860.0</v>
      </c>
      <c r="B28" s="28" t="s">
        <v>14</v>
      </c>
      <c r="C28" s="28">
        <v>1995.0</v>
      </c>
      <c r="D28" s="27" t="s">
        <v>14690</v>
      </c>
      <c r="E28" s="35" t="s">
        <v>14691</v>
      </c>
      <c r="F28" s="726">
        <v>41082.0</v>
      </c>
      <c r="G28" s="30">
        <v>41114.0</v>
      </c>
      <c r="H28" s="30">
        <v>41087.0</v>
      </c>
      <c r="I28" s="24" t="s">
        <v>14692</v>
      </c>
    </row>
    <row r="29" ht="18.0" customHeight="1">
      <c r="A29" s="28">
        <v>4868.0</v>
      </c>
      <c r="B29" s="28" t="s">
        <v>14</v>
      </c>
      <c r="C29" s="28">
        <v>672.0</v>
      </c>
      <c r="D29" s="27" t="s">
        <v>14693</v>
      </c>
      <c r="E29" s="35" t="s">
        <v>14229</v>
      </c>
      <c r="F29" s="726">
        <v>41081.0</v>
      </c>
      <c r="G29" s="29">
        <v>41101.0</v>
      </c>
      <c r="H29" s="30">
        <v>41088.0</v>
      </c>
      <c r="I29" s="24" t="s">
        <v>14694</v>
      </c>
    </row>
    <row r="30" ht="18.0" customHeight="1">
      <c r="A30" s="28">
        <v>4823.0</v>
      </c>
      <c r="B30" s="28" t="s">
        <v>21</v>
      </c>
      <c r="C30" s="28">
        <v>608.0</v>
      </c>
      <c r="D30" s="27" t="s">
        <v>14695</v>
      </c>
      <c r="E30" s="35" t="s">
        <v>14696</v>
      </c>
      <c r="F30" s="726">
        <v>41056.0</v>
      </c>
      <c r="G30" s="29">
        <v>41054.0</v>
      </c>
      <c r="H30" s="30">
        <v>41064.0</v>
      </c>
      <c r="I30" s="24" t="s">
        <v>14697</v>
      </c>
    </row>
    <row r="31" ht="18.0" customHeight="1">
      <c r="A31" s="28">
        <v>4819.0</v>
      </c>
      <c r="B31" s="28" t="s">
        <v>14</v>
      </c>
      <c r="C31" s="28">
        <v>453.0</v>
      </c>
      <c r="D31" s="27" t="s">
        <v>14698</v>
      </c>
      <c r="E31" s="35" t="s">
        <v>14699</v>
      </c>
      <c r="F31" s="726">
        <v>41051.0</v>
      </c>
      <c r="G31" s="29">
        <v>41053.0</v>
      </c>
      <c r="H31" s="30">
        <v>41059.0</v>
      </c>
      <c r="I31" s="24"/>
    </row>
    <row r="32" ht="18.0" customHeight="1">
      <c r="A32" s="28">
        <v>4787.0</v>
      </c>
      <c r="B32" s="28" t="s">
        <v>14</v>
      </c>
      <c r="C32" s="28">
        <v>1549.0</v>
      </c>
      <c r="D32" s="27" t="s">
        <v>14700</v>
      </c>
      <c r="E32" s="35" t="s">
        <v>14701</v>
      </c>
      <c r="F32" s="726">
        <v>41023.0</v>
      </c>
      <c r="G32" s="29">
        <v>41025.0</v>
      </c>
      <c r="H32" s="30">
        <v>41032.0</v>
      </c>
      <c r="I32" s="24"/>
    </row>
    <row r="33" ht="18.0" customHeight="1">
      <c r="A33" s="28">
        <v>4783.0</v>
      </c>
      <c r="B33" s="28" t="s">
        <v>21</v>
      </c>
      <c r="C33" s="28">
        <v>913.0</v>
      </c>
      <c r="D33" s="27" t="s">
        <v>14702</v>
      </c>
      <c r="E33" s="35" t="s">
        <v>14703</v>
      </c>
      <c r="F33" s="726">
        <v>41022.0</v>
      </c>
      <c r="G33" s="29">
        <v>41024.0</v>
      </c>
      <c r="H33" s="30">
        <v>41032.0</v>
      </c>
      <c r="I33" s="24" t="s">
        <v>14704</v>
      </c>
    </row>
    <row r="34" ht="18.0" customHeight="1">
      <c r="A34" s="28">
        <v>4794.0</v>
      </c>
      <c r="B34" s="28" t="s">
        <v>21</v>
      </c>
      <c r="C34" s="28">
        <v>672.0</v>
      </c>
      <c r="D34" s="27" t="s">
        <v>14705</v>
      </c>
      <c r="E34" s="35" t="s">
        <v>14229</v>
      </c>
      <c r="F34" s="726">
        <v>41015.0</v>
      </c>
      <c r="G34" s="29">
        <v>41018.0</v>
      </c>
      <c r="H34" s="30">
        <v>41023.0</v>
      </c>
      <c r="I34" s="24"/>
    </row>
    <row r="35" ht="18.0" customHeight="1">
      <c r="A35" s="28">
        <v>4752.0</v>
      </c>
      <c r="B35" s="28" t="s">
        <v>21</v>
      </c>
      <c r="C35" s="28">
        <v>362.0</v>
      </c>
      <c r="D35" s="27" t="s">
        <v>14706</v>
      </c>
      <c r="E35" s="35" t="s">
        <v>14707</v>
      </c>
      <c r="F35" s="726">
        <v>40995.0</v>
      </c>
      <c r="G35" s="29">
        <v>41004.0</v>
      </c>
      <c r="H35" s="30">
        <v>41004.0</v>
      </c>
      <c r="I35" s="24" t="s">
        <v>14708</v>
      </c>
    </row>
    <row r="36" ht="18.0" customHeight="1">
      <c r="A36" s="28">
        <v>4753.0</v>
      </c>
      <c r="B36" s="28" t="s">
        <v>14</v>
      </c>
      <c r="C36" s="28">
        <v>786.0</v>
      </c>
      <c r="D36" s="27" t="s">
        <v>14709</v>
      </c>
      <c r="E36" s="35" t="s">
        <v>14710</v>
      </c>
      <c r="F36" s="726">
        <v>40995.0</v>
      </c>
      <c r="G36" s="29">
        <v>40994.0</v>
      </c>
      <c r="H36" s="30">
        <v>40997.0</v>
      </c>
      <c r="I36" s="24"/>
    </row>
    <row r="37" ht="12.75" customHeight="1">
      <c r="A37" s="28">
        <v>4751.0</v>
      </c>
      <c r="B37" s="28" t="s">
        <v>25</v>
      </c>
      <c r="C37" s="28">
        <v>2509.0</v>
      </c>
      <c r="D37" s="27" t="s">
        <v>14711</v>
      </c>
      <c r="E37" s="35" t="s">
        <v>14712</v>
      </c>
      <c r="F37" s="726">
        <v>40989.0</v>
      </c>
      <c r="G37" s="29">
        <v>40994.0</v>
      </c>
      <c r="H37" s="30">
        <v>40995.0</v>
      </c>
      <c r="I37" s="24"/>
    </row>
    <row r="38" ht="12.75" customHeight="1">
      <c r="A38" s="28">
        <v>4738.0</v>
      </c>
      <c r="B38" s="28" t="s">
        <v>14</v>
      </c>
      <c r="C38" s="28">
        <v>672.0</v>
      </c>
      <c r="D38" s="27" t="s">
        <v>14713</v>
      </c>
      <c r="E38" s="35" t="s">
        <v>14229</v>
      </c>
      <c r="F38" s="726">
        <v>40983.0</v>
      </c>
      <c r="G38" s="29">
        <v>40984.0</v>
      </c>
      <c r="H38" s="30">
        <v>40988.0</v>
      </c>
      <c r="I38" s="24"/>
    </row>
    <row r="39" ht="12.75" customHeight="1">
      <c r="A39" s="28">
        <v>4727.0</v>
      </c>
      <c r="B39" s="28" t="s">
        <v>14</v>
      </c>
      <c r="C39" s="28">
        <v>596.0</v>
      </c>
      <c r="D39" s="27" t="s">
        <v>14714</v>
      </c>
      <c r="E39" s="35" t="s">
        <v>14715</v>
      </c>
      <c r="F39" s="726">
        <v>40960.0</v>
      </c>
      <c r="G39" s="29">
        <v>40977.0</v>
      </c>
      <c r="H39" s="30">
        <v>40966.0</v>
      </c>
      <c r="I39" s="24" t="s">
        <v>14716</v>
      </c>
    </row>
    <row r="40" ht="12.75" customHeight="1">
      <c r="A40" s="28">
        <v>4726.0</v>
      </c>
      <c r="B40" s="28" t="s">
        <v>21</v>
      </c>
      <c r="C40" s="28">
        <v>272.0</v>
      </c>
      <c r="D40" s="27" t="s">
        <v>14717</v>
      </c>
      <c r="E40" s="35" t="s">
        <v>14718</v>
      </c>
      <c r="F40" s="726">
        <v>40960.0</v>
      </c>
      <c r="G40" s="29">
        <v>40962.0</v>
      </c>
      <c r="H40" s="30">
        <v>40968.0</v>
      </c>
      <c r="I40" s="24" t="s">
        <v>14719</v>
      </c>
    </row>
    <row r="41" ht="12.75" customHeight="1">
      <c r="A41" s="28">
        <v>4725.0</v>
      </c>
      <c r="B41" s="28" t="s">
        <v>25</v>
      </c>
      <c r="C41" s="28">
        <v>393.0</v>
      </c>
      <c r="D41" s="27" t="s">
        <v>14720</v>
      </c>
      <c r="E41" s="35" t="s">
        <v>14721</v>
      </c>
      <c r="F41" s="726">
        <v>40954.0</v>
      </c>
      <c r="G41" s="29">
        <v>40956.0</v>
      </c>
      <c r="H41" s="30">
        <v>40961.0</v>
      </c>
      <c r="I41" s="24"/>
    </row>
    <row r="42" ht="12.75" customHeight="1">
      <c r="A42" s="28">
        <v>4707.0</v>
      </c>
      <c r="B42" s="28" t="s">
        <v>14</v>
      </c>
      <c r="C42" s="28">
        <v>607.0</v>
      </c>
      <c r="D42" s="27" t="s">
        <v>14722</v>
      </c>
      <c r="E42" s="35" t="s">
        <v>14229</v>
      </c>
      <c r="F42" s="726">
        <v>40952.0</v>
      </c>
      <c r="G42" s="29">
        <v>40949.0</v>
      </c>
      <c r="H42" s="30">
        <v>40956.0</v>
      </c>
      <c r="I42" s="24"/>
    </row>
    <row r="43" ht="12.75" customHeight="1">
      <c r="A43" s="28">
        <v>4689.0</v>
      </c>
      <c r="B43" s="28" t="s">
        <v>21</v>
      </c>
      <c r="C43" s="28">
        <v>2277.0</v>
      </c>
      <c r="D43" s="27" t="s">
        <v>14723</v>
      </c>
      <c r="E43" s="35" t="s">
        <v>14724</v>
      </c>
      <c r="F43" s="726">
        <v>40931.0</v>
      </c>
      <c r="G43" s="29">
        <v>40934.0</v>
      </c>
      <c r="H43" s="30">
        <v>40939.0</v>
      </c>
      <c r="I43" s="24" t="s">
        <v>14725</v>
      </c>
    </row>
    <row r="44" ht="12.75" customHeight="1">
      <c r="A44" s="28">
        <v>4697.0</v>
      </c>
      <c r="B44" s="28" t="s">
        <v>14</v>
      </c>
      <c r="C44" s="28">
        <v>1884.0</v>
      </c>
      <c r="D44" s="27" t="s">
        <v>14726</v>
      </c>
      <c r="E44" s="35" t="s">
        <v>14727</v>
      </c>
      <c r="F44" s="726">
        <v>40931.0</v>
      </c>
      <c r="G44" s="29">
        <v>40952.0</v>
      </c>
      <c r="H44" s="30">
        <v>40938.0</v>
      </c>
      <c r="I44" s="24" t="s">
        <v>14728</v>
      </c>
    </row>
    <row r="45" ht="12.75" customHeight="1">
      <c r="A45" s="28">
        <v>4690.0</v>
      </c>
      <c r="B45" s="28" t="s">
        <v>25</v>
      </c>
      <c r="C45" s="28">
        <v>486.0</v>
      </c>
      <c r="D45" s="27" t="s">
        <v>14729</v>
      </c>
      <c r="E45" s="35" t="s">
        <v>14730</v>
      </c>
      <c r="F45" s="726">
        <v>40929.0</v>
      </c>
      <c r="G45" s="29">
        <v>40928.0</v>
      </c>
      <c r="H45" s="30">
        <v>40931.0</v>
      </c>
      <c r="I45" s="24"/>
    </row>
    <row r="46" ht="21.0" customHeight="1">
      <c r="A46" s="28"/>
      <c r="B46" s="28"/>
      <c r="C46" s="28"/>
      <c r="D46" s="27"/>
      <c r="E46" s="35"/>
      <c r="F46" s="730"/>
      <c r="G46" s="32"/>
      <c r="H46" s="32"/>
      <c r="I46" s="41"/>
    </row>
    <row r="47" ht="12.75" customHeight="1">
      <c r="A47" s="28"/>
      <c r="B47" s="28"/>
      <c r="C47" s="28"/>
      <c r="D47" s="27"/>
      <c r="E47" s="35"/>
      <c r="F47" s="730"/>
      <c r="G47" s="32"/>
      <c r="H47" s="32"/>
      <c r="I47" s="41"/>
    </row>
    <row r="48" ht="12.75" customHeight="1">
      <c r="A48" s="28"/>
      <c r="B48" s="28"/>
      <c r="C48" s="28"/>
      <c r="D48" s="27"/>
      <c r="E48" s="35"/>
      <c r="F48" s="730"/>
      <c r="G48" s="32"/>
      <c r="H48" s="32"/>
      <c r="I48" s="41"/>
    </row>
    <row r="49" ht="12.75" customHeight="1">
      <c r="A49" s="28"/>
      <c r="B49" s="28"/>
      <c r="C49" s="28"/>
      <c r="D49" s="27"/>
      <c r="E49" s="35"/>
      <c r="F49" s="730"/>
      <c r="G49" s="32"/>
      <c r="H49" s="32"/>
      <c r="I49" s="41"/>
    </row>
    <row r="50" ht="12.75" customHeight="1">
      <c r="A50" s="28"/>
      <c r="B50" s="28"/>
      <c r="C50" s="28"/>
      <c r="D50" s="27"/>
      <c r="E50" s="35"/>
      <c r="F50" s="730"/>
      <c r="G50" s="32"/>
      <c r="H50" s="32"/>
      <c r="I50" s="41"/>
    </row>
    <row r="51" ht="12.75" customHeight="1">
      <c r="A51" s="35"/>
      <c r="B51" s="28"/>
      <c r="C51" s="28"/>
      <c r="D51" s="27"/>
      <c r="E51" s="35"/>
      <c r="F51" s="730"/>
      <c r="G51" s="32"/>
      <c r="H51" s="32"/>
      <c r="I51" s="41"/>
    </row>
    <row r="52" ht="12.75" customHeight="1">
      <c r="A52" s="35"/>
      <c r="B52" s="28"/>
      <c r="C52" s="28"/>
      <c r="D52" s="27"/>
      <c r="E52" s="35"/>
      <c r="F52" s="730"/>
      <c r="G52" s="32"/>
      <c r="H52" s="32"/>
      <c r="I52" s="41"/>
    </row>
    <row r="53" ht="12.75" customHeight="1">
      <c r="A53" s="35"/>
      <c r="B53" s="28"/>
      <c r="C53" s="28"/>
      <c r="D53" s="27"/>
      <c r="E53" s="35"/>
      <c r="F53" s="730"/>
      <c r="G53" s="32"/>
      <c r="H53" s="32"/>
      <c r="I53" s="41"/>
    </row>
    <row r="54" ht="12.75" customHeight="1">
      <c r="A54" s="35"/>
      <c r="B54" s="28"/>
      <c r="C54" s="28"/>
      <c r="D54" s="27"/>
      <c r="E54" s="35"/>
      <c r="F54" s="730"/>
      <c r="G54" s="32"/>
      <c r="H54" s="32"/>
      <c r="I54" s="41"/>
    </row>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8.86"/>
    <col customWidth="1" min="2" max="2" width="12.14"/>
    <col customWidth="1" min="3" max="3" width="8.71"/>
    <col customWidth="1" min="4" max="4" width="17.0"/>
    <col customWidth="1" min="5" max="5" width="41.43"/>
    <col customWidth="1" min="6" max="6" width="9.57"/>
    <col customWidth="1" min="7" max="7" width="11.0"/>
    <col customWidth="1" min="8" max="8" width="11.57"/>
    <col customWidth="1" min="9" max="9" width="50.71"/>
  </cols>
  <sheetData>
    <row r="1" ht="15.75" customHeight="1">
      <c r="A1" s="734"/>
      <c r="B1" s="734"/>
      <c r="C1" s="735"/>
      <c r="D1" s="735"/>
      <c r="E1" s="733" t="s">
        <v>14731</v>
      </c>
      <c r="F1" s="738"/>
      <c r="G1" s="738"/>
      <c r="H1" s="738"/>
      <c r="I1" s="733"/>
    </row>
    <row r="2" ht="48.75" customHeight="1">
      <c r="A2" s="740"/>
      <c r="B2" s="715" t="s">
        <v>2</v>
      </c>
      <c r="C2" s="740"/>
      <c r="D2" s="740"/>
      <c r="E2" s="769" t="s">
        <v>3</v>
      </c>
      <c r="F2" s="742" t="s">
        <v>4</v>
      </c>
      <c r="G2" s="742" t="s">
        <v>5</v>
      </c>
      <c r="H2" s="742" t="s">
        <v>6</v>
      </c>
      <c r="I2" s="743"/>
    </row>
    <row r="3" ht="1.5" customHeight="1">
      <c r="A3" s="10" t="s">
        <v>7</v>
      </c>
      <c r="B3" s="10" t="s">
        <v>8</v>
      </c>
      <c r="C3" s="10" t="s">
        <v>9</v>
      </c>
      <c r="D3" s="10" t="s">
        <v>10</v>
      </c>
      <c r="E3" s="10" t="s">
        <v>11</v>
      </c>
      <c r="F3" s="11" t="s">
        <v>12</v>
      </c>
      <c r="G3" s="11" t="s">
        <v>12</v>
      </c>
      <c r="H3" s="11" t="s">
        <v>12</v>
      </c>
      <c r="I3" s="10" t="s">
        <v>13</v>
      </c>
    </row>
    <row r="4" ht="12.75" customHeight="1">
      <c r="A4" s="27" t="s">
        <v>33</v>
      </c>
      <c r="B4" s="33" t="s">
        <v>21</v>
      </c>
      <c r="C4" s="33">
        <v>83.0</v>
      </c>
      <c r="D4" s="33" t="s">
        <v>14732</v>
      </c>
      <c r="E4" s="24" t="s">
        <v>14733</v>
      </c>
      <c r="F4" s="29">
        <v>41262.0</v>
      </c>
      <c r="G4" s="32" t="s">
        <v>210</v>
      </c>
      <c r="H4" s="29">
        <v>41264.0</v>
      </c>
      <c r="I4" s="24" t="s">
        <v>14734</v>
      </c>
    </row>
    <row r="5" ht="12.75" customHeight="1">
      <c r="A5" s="33">
        <v>26693.0</v>
      </c>
      <c r="B5" s="33" t="s">
        <v>21</v>
      </c>
      <c r="C5" s="33">
        <v>25.0</v>
      </c>
      <c r="D5" s="33" t="s">
        <v>14735</v>
      </c>
      <c r="E5" s="24" t="s">
        <v>14736</v>
      </c>
      <c r="F5" s="29">
        <v>41262.0</v>
      </c>
      <c r="G5" s="29">
        <v>41270.0</v>
      </c>
      <c r="H5" s="29">
        <v>41270.0</v>
      </c>
      <c r="I5" s="24" t="s">
        <v>14737</v>
      </c>
    </row>
    <row r="6" ht="12.75" customHeight="1">
      <c r="A6" s="33">
        <v>26716.0</v>
      </c>
      <c r="B6" s="33" t="s">
        <v>14</v>
      </c>
      <c r="C6" s="33">
        <v>596.0</v>
      </c>
      <c r="D6" s="33" t="s">
        <v>14738</v>
      </c>
      <c r="E6" s="24" t="s">
        <v>14739</v>
      </c>
      <c r="F6" s="29">
        <v>41260.0</v>
      </c>
      <c r="G6" s="30">
        <v>41639.0</v>
      </c>
      <c r="H6" s="29">
        <v>41267.0</v>
      </c>
      <c r="I6" s="24" t="s">
        <v>14740</v>
      </c>
    </row>
    <row r="7" ht="12.75" customHeight="1">
      <c r="A7" s="33">
        <v>26763.0</v>
      </c>
      <c r="B7" s="33" t="s">
        <v>21</v>
      </c>
      <c r="C7" s="33">
        <v>1041.0</v>
      </c>
      <c r="D7" s="33" t="s">
        <v>14741</v>
      </c>
      <c r="E7" s="24" t="s">
        <v>14742</v>
      </c>
      <c r="F7" s="29">
        <v>41259.0</v>
      </c>
      <c r="G7" s="29">
        <v>41256.0</v>
      </c>
      <c r="H7" s="29">
        <v>41270.0</v>
      </c>
      <c r="I7" s="35" t="s">
        <v>14743</v>
      </c>
    </row>
    <row r="8" ht="12.75" customHeight="1">
      <c r="A8" s="1">
        <v>26167.0</v>
      </c>
      <c r="B8" s="1" t="s">
        <v>21</v>
      </c>
      <c r="C8" s="1">
        <v>1592.0</v>
      </c>
      <c r="D8" s="1" t="s">
        <v>14744</v>
      </c>
      <c r="E8" s="13" t="s">
        <v>74</v>
      </c>
      <c r="F8" s="14">
        <v>41257.0</v>
      </c>
      <c r="G8" s="14">
        <v>41255.0</v>
      </c>
      <c r="H8" s="14">
        <v>41263.0</v>
      </c>
      <c r="I8" s="13" t="s">
        <v>14745</v>
      </c>
    </row>
    <row r="9" ht="12.75" customHeight="1">
      <c r="A9" s="33">
        <v>26732.0</v>
      </c>
      <c r="B9" s="33" t="s">
        <v>21</v>
      </c>
      <c r="C9" s="33">
        <v>901.0</v>
      </c>
      <c r="D9" s="33" t="s">
        <v>14746</v>
      </c>
      <c r="E9" s="24" t="s">
        <v>14747</v>
      </c>
      <c r="F9" s="29">
        <v>41254.0</v>
      </c>
      <c r="G9" s="29">
        <v>41254.0</v>
      </c>
      <c r="H9" s="29">
        <v>41261.0</v>
      </c>
      <c r="I9" s="24" t="s">
        <v>14748</v>
      </c>
    </row>
    <row r="10" ht="12.75" customHeight="1">
      <c r="A10" s="33">
        <v>26698.0</v>
      </c>
      <c r="B10" s="33" t="s">
        <v>25</v>
      </c>
      <c r="C10" s="33">
        <v>142.0</v>
      </c>
      <c r="D10" s="33" t="s">
        <v>14749</v>
      </c>
      <c r="E10" s="24" t="s">
        <v>14750</v>
      </c>
      <c r="F10" s="29">
        <v>41253.0</v>
      </c>
      <c r="G10" s="32" t="s">
        <v>210</v>
      </c>
      <c r="H10" s="29">
        <v>41263.0</v>
      </c>
      <c r="I10" s="35" t="s">
        <v>14751</v>
      </c>
    </row>
    <row r="11" ht="12.75" customHeight="1">
      <c r="A11" s="33">
        <v>26348.0</v>
      </c>
      <c r="B11" s="33" t="s">
        <v>21</v>
      </c>
      <c r="C11" s="33">
        <v>294.0</v>
      </c>
      <c r="D11" s="33" t="s">
        <v>14752</v>
      </c>
      <c r="E11" s="24" t="s">
        <v>14753</v>
      </c>
      <c r="F11" s="29">
        <v>41249.0</v>
      </c>
      <c r="G11" s="29">
        <v>41263.0</v>
      </c>
      <c r="H11" s="29">
        <v>41264.0</v>
      </c>
      <c r="I11" s="24" t="s">
        <v>14754</v>
      </c>
    </row>
    <row r="12" ht="12.75" customHeight="1">
      <c r="A12" s="1">
        <v>26700.0</v>
      </c>
      <c r="B12" s="1" t="s">
        <v>14</v>
      </c>
      <c r="C12" s="1">
        <v>2500.0</v>
      </c>
      <c r="D12" s="1" t="s">
        <v>14755</v>
      </c>
      <c r="E12" s="13" t="s">
        <v>14756</v>
      </c>
      <c r="F12" s="14">
        <v>41247.0</v>
      </c>
      <c r="G12" s="14">
        <v>41247.0</v>
      </c>
      <c r="H12" s="14">
        <v>41254.0</v>
      </c>
      <c r="I12" s="13" t="s">
        <v>14757</v>
      </c>
    </row>
    <row r="13" ht="12.75" customHeight="1">
      <c r="A13" s="33">
        <v>26701.0</v>
      </c>
      <c r="B13" s="33" t="s">
        <v>14</v>
      </c>
      <c r="C13" s="33">
        <v>1060.0</v>
      </c>
      <c r="D13" s="33" t="s">
        <v>14758</v>
      </c>
      <c r="E13" s="24" t="s">
        <v>14759</v>
      </c>
      <c r="F13" s="29">
        <v>41246.0</v>
      </c>
      <c r="G13" s="29">
        <v>41247.0</v>
      </c>
      <c r="H13" s="29">
        <v>41253.0</v>
      </c>
      <c r="I13" s="24" t="s">
        <v>14760</v>
      </c>
    </row>
    <row r="14" ht="12.75" customHeight="1">
      <c r="A14" s="33">
        <v>26174.0</v>
      </c>
      <c r="B14" s="33" t="s">
        <v>14</v>
      </c>
      <c r="C14" s="33">
        <v>1508.0</v>
      </c>
      <c r="D14" s="33" t="s">
        <v>14761</v>
      </c>
      <c r="E14" s="24" t="s">
        <v>74</v>
      </c>
      <c r="F14" s="29">
        <v>41246.0</v>
      </c>
      <c r="G14" s="29">
        <v>41247.0</v>
      </c>
      <c r="H14" s="29">
        <v>41253.0</v>
      </c>
      <c r="I14" s="24" t="s">
        <v>14762</v>
      </c>
    </row>
    <row r="15" ht="12.75" customHeight="1">
      <c r="A15" s="33">
        <v>26669.0</v>
      </c>
      <c r="B15" s="33" t="s">
        <v>14</v>
      </c>
      <c r="C15" s="33">
        <v>1043.0</v>
      </c>
      <c r="D15" s="33" t="s">
        <v>14763</v>
      </c>
      <c r="E15" s="24" t="s">
        <v>14764</v>
      </c>
      <c r="F15" s="29">
        <v>41244.0</v>
      </c>
      <c r="G15" s="29">
        <v>41247.0</v>
      </c>
      <c r="H15" s="29">
        <v>41254.0</v>
      </c>
      <c r="I15" s="24" t="s">
        <v>14765</v>
      </c>
    </row>
    <row r="16" ht="12.75" customHeight="1">
      <c r="A16" s="33">
        <v>26722.0</v>
      </c>
      <c r="B16" s="33" t="s">
        <v>21</v>
      </c>
      <c r="C16" s="33">
        <v>1248.0</v>
      </c>
      <c r="D16" s="33" t="s">
        <v>14766</v>
      </c>
      <c r="E16" s="24" t="s">
        <v>14767</v>
      </c>
      <c r="F16" s="29">
        <v>41243.0</v>
      </c>
      <c r="G16" s="29">
        <v>41242.0</v>
      </c>
      <c r="H16" s="29">
        <v>41257.0</v>
      </c>
      <c r="I16" s="24" t="s">
        <v>14768</v>
      </c>
    </row>
    <row r="17" ht="12.75" customHeight="1">
      <c r="A17" s="33">
        <v>26699.0</v>
      </c>
      <c r="B17" s="33" t="s">
        <v>14</v>
      </c>
      <c r="C17" s="33">
        <v>1280.0</v>
      </c>
      <c r="D17" s="33" t="s">
        <v>14769</v>
      </c>
      <c r="E17" s="24" t="s">
        <v>331</v>
      </c>
      <c r="F17" s="29">
        <v>41243.0</v>
      </c>
      <c r="G17" s="29">
        <v>41247.0</v>
      </c>
      <c r="H17" s="29">
        <v>41248.0</v>
      </c>
      <c r="I17" s="24" t="s">
        <v>14770</v>
      </c>
    </row>
    <row r="18" ht="12.75" customHeight="1">
      <c r="A18" s="1">
        <v>26715.0</v>
      </c>
      <c r="B18" s="1" t="s">
        <v>21</v>
      </c>
      <c r="C18" s="1">
        <v>796.0</v>
      </c>
      <c r="D18" s="1" t="s">
        <v>14771</v>
      </c>
      <c r="E18" s="13" t="s">
        <v>14772</v>
      </c>
      <c r="F18" s="14">
        <v>41242.0</v>
      </c>
      <c r="G18" s="14">
        <v>41241.0</v>
      </c>
      <c r="H18" s="14">
        <v>41249.0</v>
      </c>
      <c r="I18" s="13" t="s">
        <v>14773</v>
      </c>
    </row>
    <row r="19" ht="12.75" customHeight="1">
      <c r="A19" s="33">
        <v>26685.0</v>
      </c>
      <c r="B19" s="33" t="s">
        <v>21</v>
      </c>
      <c r="C19" s="33">
        <v>45.0</v>
      </c>
      <c r="D19" s="33" t="s">
        <v>14774</v>
      </c>
      <c r="E19" s="24" t="s">
        <v>14775</v>
      </c>
      <c r="F19" s="29">
        <v>41241.0</v>
      </c>
      <c r="G19" s="29">
        <v>41243.0</v>
      </c>
      <c r="H19" s="29">
        <v>41243.0</v>
      </c>
      <c r="I19" s="24" t="s">
        <v>14776</v>
      </c>
    </row>
    <row r="20" ht="12.75" customHeight="1">
      <c r="A20" s="27" t="s">
        <v>14777</v>
      </c>
      <c r="B20" s="33" t="s">
        <v>21</v>
      </c>
      <c r="C20" s="33">
        <v>118.0</v>
      </c>
      <c r="D20" s="33" t="s">
        <v>14778</v>
      </c>
      <c r="E20" s="24" t="s">
        <v>14779</v>
      </c>
      <c r="F20" s="29">
        <v>41239.0</v>
      </c>
      <c r="G20" s="32" t="s">
        <v>210</v>
      </c>
      <c r="H20" s="29">
        <v>41243.0</v>
      </c>
      <c r="I20" s="24" t="s">
        <v>14780</v>
      </c>
    </row>
    <row r="21" ht="12.75" customHeight="1">
      <c r="A21" s="33">
        <v>26262.0</v>
      </c>
      <c r="B21" s="33" t="s">
        <v>21</v>
      </c>
      <c r="C21" s="33">
        <v>2227.0</v>
      </c>
      <c r="D21" s="33" t="s">
        <v>14781</v>
      </c>
      <c r="E21" s="24" t="s">
        <v>294</v>
      </c>
      <c r="F21" s="29">
        <v>41239.0</v>
      </c>
      <c r="G21" s="29">
        <v>41239.0</v>
      </c>
      <c r="H21" s="29">
        <v>41247.0</v>
      </c>
      <c r="I21" s="24" t="s">
        <v>14782</v>
      </c>
    </row>
    <row r="22" ht="12.75" customHeight="1">
      <c r="A22" s="33">
        <v>26717.0</v>
      </c>
      <c r="B22" s="33" t="s">
        <v>21</v>
      </c>
      <c r="C22" s="33">
        <v>1250.0</v>
      </c>
      <c r="D22" s="33" t="s">
        <v>14783</v>
      </c>
      <c r="E22" s="24" t="s">
        <v>14784</v>
      </c>
      <c r="F22" s="29">
        <v>41236.0</v>
      </c>
      <c r="G22" s="29">
        <v>41256.0</v>
      </c>
      <c r="H22" s="29">
        <v>41243.0</v>
      </c>
      <c r="I22" s="24" t="s">
        <v>14785</v>
      </c>
    </row>
    <row r="23" ht="12.75" customHeight="1">
      <c r="A23" s="33">
        <v>26499.0</v>
      </c>
      <c r="B23" s="33" t="s">
        <v>14</v>
      </c>
      <c r="C23" s="33">
        <v>174.0</v>
      </c>
      <c r="D23" s="33" t="s">
        <v>14786</v>
      </c>
      <c r="E23" s="24" t="s">
        <v>12622</v>
      </c>
      <c r="F23" s="29">
        <v>41236.0</v>
      </c>
      <c r="G23" s="29">
        <v>41250.0</v>
      </c>
      <c r="H23" s="29">
        <v>41246.0</v>
      </c>
      <c r="I23" s="24" t="s">
        <v>14787</v>
      </c>
    </row>
    <row r="24" ht="12.75" customHeight="1">
      <c r="A24" s="33">
        <v>26166.0</v>
      </c>
      <c r="B24" s="33" t="s">
        <v>21</v>
      </c>
      <c r="C24" s="33">
        <v>1568.0</v>
      </c>
      <c r="D24" s="33" t="s">
        <v>14788</v>
      </c>
      <c r="E24" s="24" t="s">
        <v>74</v>
      </c>
      <c r="F24" s="29">
        <v>41236.0</v>
      </c>
      <c r="G24" s="29">
        <v>41234.0</v>
      </c>
      <c r="H24" s="29">
        <v>41243.0</v>
      </c>
      <c r="I24" s="24" t="s">
        <v>14789</v>
      </c>
    </row>
    <row r="25" ht="12.75" customHeight="1">
      <c r="A25" s="33">
        <v>26171.0</v>
      </c>
      <c r="B25" s="33" t="s">
        <v>25</v>
      </c>
      <c r="C25" s="33">
        <v>1610.0</v>
      </c>
      <c r="D25" s="33" t="s">
        <v>14790</v>
      </c>
      <c r="E25" s="24" t="s">
        <v>74</v>
      </c>
      <c r="F25" s="29">
        <v>41234.0</v>
      </c>
      <c r="G25" s="29">
        <v>41239.0</v>
      </c>
      <c r="H25" s="29">
        <v>41239.0</v>
      </c>
      <c r="I25" s="24"/>
    </row>
    <row r="26" ht="12.75" customHeight="1">
      <c r="A26" s="33">
        <v>26471.0</v>
      </c>
      <c r="B26" s="33" t="s">
        <v>21</v>
      </c>
      <c r="C26" s="33">
        <v>810.0</v>
      </c>
      <c r="D26" s="33" t="s">
        <v>14791</v>
      </c>
      <c r="E26" s="24" t="s">
        <v>12677</v>
      </c>
      <c r="F26" s="29">
        <v>41233.0</v>
      </c>
      <c r="G26" s="29">
        <v>41232.0</v>
      </c>
      <c r="H26" s="29">
        <v>41242.0</v>
      </c>
      <c r="I26" s="24" t="s">
        <v>14792</v>
      </c>
    </row>
    <row r="27" ht="12.75" customHeight="1">
      <c r="A27" s="33">
        <v>26596.0</v>
      </c>
      <c r="B27" s="33" t="s">
        <v>14</v>
      </c>
      <c r="C27" s="33">
        <v>619.0</v>
      </c>
      <c r="D27" s="33" t="s">
        <v>14793</v>
      </c>
      <c r="E27" s="24" t="s">
        <v>14794</v>
      </c>
      <c r="F27" s="29">
        <v>41232.0</v>
      </c>
      <c r="G27" s="29">
        <v>41234.0</v>
      </c>
      <c r="H27" s="29">
        <v>41248.0</v>
      </c>
      <c r="I27" s="24" t="s">
        <v>14795</v>
      </c>
    </row>
    <row r="28" ht="12.75" customHeight="1">
      <c r="A28" s="33">
        <v>26668.0</v>
      </c>
      <c r="B28" s="33" t="s">
        <v>21</v>
      </c>
      <c r="C28" s="33">
        <v>680.0</v>
      </c>
      <c r="D28" s="33" t="s">
        <v>14796</v>
      </c>
      <c r="E28" s="24" t="s">
        <v>14797</v>
      </c>
      <c r="F28" s="29">
        <v>41230.0</v>
      </c>
      <c r="G28" s="29">
        <v>41226.0</v>
      </c>
      <c r="H28" s="29">
        <v>41239.0</v>
      </c>
      <c r="I28" s="24" t="s">
        <v>14798</v>
      </c>
    </row>
    <row r="29" ht="12.75" customHeight="1">
      <c r="A29" s="33">
        <v>26556.0</v>
      </c>
      <c r="B29" s="33" t="s">
        <v>14</v>
      </c>
      <c r="C29" s="33">
        <v>2500.0</v>
      </c>
      <c r="D29" s="33" t="s">
        <v>14799</v>
      </c>
      <c r="E29" s="24" t="s">
        <v>14800</v>
      </c>
      <c r="F29" s="29">
        <v>41228.0</v>
      </c>
      <c r="G29" s="29">
        <v>41239.0</v>
      </c>
      <c r="H29" s="29">
        <v>41234.0</v>
      </c>
      <c r="I29" s="24" t="s">
        <v>14801</v>
      </c>
    </row>
    <row r="30" ht="12.75" customHeight="1">
      <c r="A30" s="33">
        <v>26595.0</v>
      </c>
      <c r="B30" s="33" t="s">
        <v>21</v>
      </c>
      <c r="C30" s="33">
        <v>1150.0</v>
      </c>
      <c r="D30" s="33" t="s">
        <v>14802</v>
      </c>
      <c r="E30" s="24" t="s">
        <v>14803</v>
      </c>
      <c r="F30" s="29">
        <v>41225.0</v>
      </c>
      <c r="G30" s="29">
        <v>41221.0</v>
      </c>
      <c r="H30" s="29">
        <v>41229.0</v>
      </c>
      <c r="I30" s="24" t="s">
        <v>14804</v>
      </c>
    </row>
    <row r="31" ht="12.75" customHeight="1">
      <c r="A31" s="33">
        <v>26594.0</v>
      </c>
      <c r="B31" s="33" t="s">
        <v>14</v>
      </c>
      <c r="C31" s="33">
        <v>1280.0</v>
      </c>
      <c r="D31" s="33" t="s">
        <v>14805</v>
      </c>
      <c r="E31" s="24" t="s">
        <v>331</v>
      </c>
      <c r="F31" s="29">
        <v>41224.0</v>
      </c>
      <c r="G31" s="29">
        <v>41229.0</v>
      </c>
      <c r="H31" s="29">
        <v>41229.0</v>
      </c>
      <c r="I31" s="24" t="s">
        <v>14806</v>
      </c>
    </row>
    <row r="32" ht="12.75" customHeight="1">
      <c r="A32" s="33">
        <v>26634.0</v>
      </c>
      <c r="B32" s="33" t="s">
        <v>21</v>
      </c>
      <c r="C32" s="33">
        <v>475.0</v>
      </c>
      <c r="D32" s="33" t="s">
        <v>14807</v>
      </c>
      <c r="E32" s="24" t="s">
        <v>429</v>
      </c>
      <c r="F32" s="29">
        <v>41223.0</v>
      </c>
      <c r="G32" s="29">
        <v>41221.0</v>
      </c>
      <c r="H32" s="29">
        <v>41232.0</v>
      </c>
      <c r="I32" s="24" t="s">
        <v>14808</v>
      </c>
    </row>
    <row r="33" ht="12.75" customHeight="1">
      <c r="A33" s="33">
        <v>26633.0</v>
      </c>
      <c r="B33" s="33" t="s">
        <v>21</v>
      </c>
      <c r="C33" s="27" t="s">
        <v>14809</v>
      </c>
      <c r="D33" s="33" t="s">
        <v>14810</v>
      </c>
      <c r="E33" s="24" t="s">
        <v>14811</v>
      </c>
      <c r="F33" s="29">
        <v>41219.0</v>
      </c>
      <c r="G33" s="29">
        <v>41218.0</v>
      </c>
      <c r="H33" s="29">
        <v>41228.0</v>
      </c>
      <c r="I33" s="24" t="s">
        <v>14812</v>
      </c>
    </row>
    <row r="34" ht="12.75" customHeight="1">
      <c r="A34" s="33">
        <v>26635.0</v>
      </c>
      <c r="B34" s="33" t="s">
        <v>21</v>
      </c>
      <c r="C34" s="33">
        <v>1074.0</v>
      </c>
      <c r="D34" s="33" t="s">
        <v>14813</v>
      </c>
      <c r="E34" s="24" t="s">
        <v>14814</v>
      </c>
      <c r="F34" s="29">
        <v>41216.0</v>
      </c>
      <c r="G34" s="29">
        <v>41213.0</v>
      </c>
      <c r="H34" s="29">
        <v>41222.0</v>
      </c>
      <c r="I34" s="24" t="s">
        <v>14815</v>
      </c>
    </row>
    <row r="35" ht="12.75" customHeight="1">
      <c r="A35" s="33" t="s">
        <v>33</v>
      </c>
      <c r="B35" s="33" t="s">
        <v>21</v>
      </c>
      <c r="C35" s="33">
        <v>285.0</v>
      </c>
      <c r="D35" s="33" t="s">
        <v>14816</v>
      </c>
      <c r="E35" s="24" t="s">
        <v>14817</v>
      </c>
      <c r="F35" s="29">
        <v>41215.0</v>
      </c>
      <c r="G35" s="29">
        <v>41214.0</v>
      </c>
      <c r="H35" s="29">
        <v>41222.0</v>
      </c>
      <c r="I35" s="24" t="s">
        <v>14818</v>
      </c>
    </row>
    <row r="36" ht="12.75" customHeight="1">
      <c r="A36" s="1">
        <v>25879.0</v>
      </c>
      <c r="B36" s="1" t="s">
        <v>21</v>
      </c>
      <c r="C36" s="1">
        <v>1134.0</v>
      </c>
      <c r="D36" s="1" t="s">
        <v>14819</v>
      </c>
      <c r="E36" s="13" t="s">
        <v>319</v>
      </c>
      <c r="F36" s="14">
        <v>41213.0</v>
      </c>
      <c r="G36" s="14">
        <v>41211.0</v>
      </c>
      <c r="H36" s="14">
        <v>41219.0</v>
      </c>
      <c r="I36" s="13" t="s">
        <v>14820</v>
      </c>
    </row>
    <row r="37" ht="12.75" customHeight="1">
      <c r="A37" s="33">
        <v>26579.0</v>
      </c>
      <c r="B37" s="33" t="s">
        <v>14</v>
      </c>
      <c r="C37" s="33">
        <v>900.0</v>
      </c>
      <c r="D37" s="33" t="s">
        <v>14821</v>
      </c>
      <c r="E37" s="24" t="s">
        <v>14822</v>
      </c>
      <c r="F37" s="29">
        <v>41211.0</v>
      </c>
      <c r="G37" s="29">
        <v>41228.0</v>
      </c>
      <c r="H37" s="29">
        <v>41225.0</v>
      </c>
      <c r="I37" s="24" t="s">
        <v>14823</v>
      </c>
    </row>
    <row r="38" ht="12.75" customHeight="1">
      <c r="A38" s="33">
        <v>26550.0</v>
      </c>
      <c r="B38" s="33" t="s">
        <v>14</v>
      </c>
      <c r="C38" s="33">
        <v>1280.0</v>
      </c>
      <c r="D38" s="33" t="s">
        <v>14824</v>
      </c>
      <c r="E38" s="24" t="s">
        <v>331</v>
      </c>
      <c r="F38" s="29">
        <v>41207.0</v>
      </c>
      <c r="G38" s="29">
        <v>41207.0</v>
      </c>
      <c r="H38" s="29">
        <v>41226.0</v>
      </c>
      <c r="I38" s="24" t="s">
        <v>14825</v>
      </c>
    </row>
    <row r="39" ht="12.75" customHeight="1">
      <c r="A39" s="33">
        <v>26442.0</v>
      </c>
      <c r="B39" s="33" t="s">
        <v>14</v>
      </c>
      <c r="C39" s="33">
        <v>1700.0</v>
      </c>
      <c r="D39" s="33" t="s">
        <v>14826</v>
      </c>
      <c r="E39" s="24" t="s">
        <v>675</v>
      </c>
      <c r="F39" s="29">
        <v>41206.0</v>
      </c>
      <c r="G39" s="29">
        <v>41204.0</v>
      </c>
      <c r="H39" s="29">
        <v>41208.0</v>
      </c>
      <c r="I39" s="24"/>
    </row>
    <row r="40" ht="12.75" customHeight="1">
      <c r="A40" s="33">
        <v>26553.0</v>
      </c>
      <c r="B40" s="33" t="s">
        <v>21</v>
      </c>
      <c r="C40" s="33">
        <v>706.0</v>
      </c>
      <c r="D40" s="33" t="s">
        <v>14827</v>
      </c>
      <c r="E40" s="24" t="s">
        <v>14828</v>
      </c>
      <c r="F40" s="29">
        <v>41205.0</v>
      </c>
      <c r="G40" s="29">
        <v>41204.0</v>
      </c>
      <c r="H40" s="29">
        <v>41214.0</v>
      </c>
      <c r="I40" s="24" t="s">
        <v>14829</v>
      </c>
    </row>
    <row r="41" ht="12.75" customHeight="1">
      <c r="A41" s="33">
        <v>26551.0</v>
      </c>
      <c r="B41" s="33" t="s">
        <v>21</v>
      </c>
      <c r="C41" s="33">
        <v>875.0</v>
      </c>
      <c r="D41" s="33" t="s">
        <v>14830</v>
      </c>
      <c r="E41" s="24" t="s">
        <v>14831</v>
      </c>
      <c r="F41" s="29">
        <v>41204.0</v>
      </c>
      <c r="G41" s="29">
        <v>41206.0</v>
      </c>
      <c r="H41" s="29">
        <v>41211.0</v>
      </c>
      <c r="I41" s="24" t="s">
        <v>14832</v>
      </c>
    </row>
    <row r="42" ht="12.75" customHeight="1">
      <c r="A42" s="33">
        <v>26496.0</v>
      </c>
      <c r="B42" s="33" t="s">
        <v>14</v>
      </c>
      <c r="C42" s="33">
        <v>1250.0</v>
      </c>
      <c r="D42" s="33" t="s">
        <v>14833</v>
      </c>
      <c r="E42" s="24" t="s">
        <v>14784</v>
      </c>
      <c r="F42" s="29">
        <v>41201.0</v>
      </c>
      <c r="G42" s="29">
        <v>41220.0</v>
      </c>
      <c r="H42" s="29">
        <v>41207.0</v>
      </c>
      <c r="I42" s="24" t="s">
        <v>14834</v>
      </c>
    </row>
    <row r="43" ht="12.75" customHeight="1">
      <c r="A43" s="33">
        <v>26505.0</v>
      </c>
      <c r="B43" s="33" t="s">
        <v>14</v>
      </c>
      <c r="C43" s="33">
        <v>1225.0</v>
      </c>
      <c r="D43" s="33" t="s">
        <v>14835</v>
      </c>
      <c r="E43" s="24" t="s">
        <v>14836</v>
      </c>
      <c r="F43" s="29">
        <v>41199.0</v>
      </c>
      <c r="G43" s="29">
        <v>41201.0</v>
      </c>
      <c r="H43" s="29">
        <v>41204.0</v>
      </c>
      <c r="I43" s="24" t="s">
        <v>14837</v>
      </c>
    </row>
    <row r="44" ht="12.75" customHeight="1">
      <c r="A44" s="33">
        <v>26552.0</v>
      </c>
      <c r="B44" s="33" t="s">
        <v>25</v>
      </c>
      <c r="C44" s="33">
        <v>596.0</v>
      </c>
      <c r="D44" s="33" t="s">
        <v>14838</v>
      </c>
      <c r="E44" s="24" t="s">
        <v>14839</v>
      </c>
      <c r="F44" s="29">
        <v>41199.0</v>
      </c>
      <c r="G44" s="29">
        <v>41219.0</v>
      </c>
      <c r="H44" s="29">
        <v>41205.0</v>
      </c>
      <c r="I44" s="24" t="s">
        <v>14840</v>
      </c>
    </row>
    <row r="45" ht="12.75" customHeight="1">
      <c r="A45" s="33" t="s">
        <v>33</v>
      </c>
      <c r="B45" s="33" t="s">
        <v>21</v>
      </c>
      <c r="C45" s="33">
        <v>70.0</v>
      </c>
      <c r="D45" s="33" t="s">
        <v>14841</v>
      </c>
      <c r="E45" s="24" t="s">
        <v>14842</v>
      </c>
      <c r="F45" s="29">
        <v>41197.0</v>
      </c>
      <c r="G45" s="32" t="s">
        <v>210</v>
      </c>
      <c r="H45" s="29">
        <v>41208.0</v>
      </c>
      <c r="I45" s="24" t="s">
        <v>14843</v>
      </c>
    </row>
    <row r="46" ht="12.75" customHeight="1">
      <c r="A46" s="1">
        <v>25880.0</v>
      </c>
      <c r="B46" s="1" t="s">
        <v>14</v>
      </c>
      <c r="C46" s="1">
        <v>1134.0</v>
      </c>
      <c r="D46" s="1" t="s">
        <v>14844</v>
      </c>
      <c r="E46" s="13" t="s">
        <v>319</v>
      </c>
      <c r="F46" s="15">
        <v>41196.0</v>
      </c>
      <c r="G46" s="14">
        <v>41198.0</v>
      </c>
      <c r="H46" s="14">
        <v>41198.0</v>
      </c>
      <c r="I46" s="13" t="s">
        <v>14845</v>
      </c>
    </row>
    <row r="47" ht="12.75" customHeight="1">
      <c r="A47" s="1">
        <v>26170.0</v>
      </c>
      <c r="B47" s="1" t="s">
        <v>25</v>
      </c>
      <c r="C47" s="1">
        <v>1602.0</v>
      </c>
      <c r="D47" s="1" t="s">
        <v>14846</v>
      </c>
      <c r="E47" s="13" t="s">
        <v>74</v>
      </c>
      <c r="F47" s="14">
        <v>41196.0</v>
      </c>
      <c r="G47" s="14">
        <v>41197.0</v>
      </c>
      <c r="H47" s="14">
        <v>41199.0</v>
      </c>
      <c r="I47" s="13" t="s">
        <v>14847</v>
      </c>
    </row>
    <row r="48" ht="12.75" customHeight="1">
      <c r="A48" s="1">
        <v>26373.0</v>
      </c>
      <c r="B48" s="1" t="s">
        <v>21</v>
      </c>
      <c r="C48" s="1">
        <v>525.0</v>
      </c>
      <c r="D48" s="1" t="s">
        <v>14848</v>
      </c>
      <c r="E48" s="13" t="s">
        <v>14849</v>
      </c>
      <c r="F48" s="14">
        <v>41195.0</v>
      </c>
      <c r="G48" s="14">
        <v>41197.0</v>
      </c>
      <c r="H48" s="14">
        <v>41201.0</v>
      </c>
      <c r="I48" s="13" t="s">
        <v>14850</v>
      </c>
    </row>
    <row r="49" ht="12.75" customHeight="1">
      <c r="A49" s="1">
        <v>26497.0</v>
      </c>
      <c r="B49" s="1" t="s">
        <v>21</v>
      </c>
      <c r="C49" s="1">
        <v>523.0</v>
      </c>
      <c r="D49" s="1" t="s">
        <v>14851</v>
      </c>
      <c r="E49" s="13" t="s">
        <v>14852</v>
      </c>
      <c r="F49" s="14">
        <v>41195.0</v>
      </c>
      <c r="G49" s="14">
        <v>41191.0</v>
      </c>
      <c r="H49" s="14">
        <v>41200.0</v>
      </c>
      <c r="I49" s="13" t="s">
        <v>14853</v>
      </c>
    </row>
    <row r="50" ht="12.75" customHeight="1">
      <c r="A50" s="1">
        <v>26527.0</v>
      </c>
      <c r="B50" s="1" t="s">
        <v>21</v>
      </c>
      <c r="C50" s="1">
        <v>1280.0</v>
      </c>
      <c r="D50" s="1" t="s">
        <v>14854</v>
      </c>
      <c r="E50" s="13" t="s">
        <v>331</v>
      </c>
      <c r="F50" s="14">
        <v>41195.0</v>
      </c>
      <c r="G50" s="14">
        <v>41193.0</v>
      </c>
      <c r="H50" s="14">
        <v>41201.0</v>
      </c>
      <c r="I50" s="13" t="s">
        <v>14855</v>
      </c>
    </row>
    <row r="51" ht="12.75" customHeight="1">
      <c r="A51" s="1">
        <v>26157.0</v>
      </c>
      <c r="B51" s="1" t="s">
        <v>14</v>
      </c>
      <c r="C51" s="1">
        <v>540.0</v>
      </c>
      <c r="D51" s="1" t="s">
        <v>14856</v>
      </c>
      <c r="E51" s="13" t="s">
        <v>14857</v>
      </c>
      <c r="F51" s="14">
        <v>41190.0</v>
      </c>
      <c r="G51" s="14">
        <v>41191.0</v>
      </c>
      <c r="H51" s="14">
        <v>41197.0</v>
      </c>
      <c r="I51" s="13" t="s">
        <v>14858</v>
      </c>
    </row>
    <row r="52" ht="12.75" customHeight="1">
      <c r="A52" s="1">
        <v>26386.0</v>
      </c>
      <c r="B52" s="1" t="s">
        <v>21</v>
      </c>
      <c r="C52" s="1">
        <v>320.0</v>
      </c>
      <c r="D52" s="1" t="s">
        <v>14859</v>
      </c>
      <c r="E52" s="13" t="s">
        <v>419</v>
      </c>
      <c r="F52" s="14">
        <v>41186.0</v>
      </c>
      <c r="G52" s="14">
        <v>41185.0</v>
      </c>
      <c r="H52" s="14">
        <v>41193.0</v>
      </c>
      <c r="I52" s="13" t="s">
        <v>14860</v>
      </c>
    </row>
    <row r="53" ht="12.75" customHeight="1">
      <c r="A53" s="33">
        <v>26503.0</v>
      </c>
      <c r="B53" s="33" t="s">
        <v>21</v>
      </c>
      <c r="C53" s="33">
        <v>1122.0</v>
      </c>
      <c r="D53" s="33" t="s">
        <v>14861</v>
      </c>
      <c r="E53" s="24" t="s">
        <v>14862</v>
      </c>
      <c r="F53" s="29">
        <v>41186.0</v>
      </c>
      <c r="G53" s="29">
        <v>41185.0</v>
      </c>
      <c r="H53" s="29">
        <v>41194.0</v>
      </c>
      <c r="I53" s="24" t="s">
        <v>14863</v>
      </c>
    </row>
    <row r="54" ht="12.75" customHeight="1">
      <c r="A54" s="33" t="s">
        <v>33</v>
      </c>
      <c r="B54" s="33" t="s">
        <v>21</v>
      </c>
      <c r="C54" s="33">
        <v>834.0</v>
      </c>
      <c r="D54" s="33" t="s">
        <v>14864</v>
      </c>
      <c r="E54" s="24" t="s">
        <v>14865</v>
      </c>
      <c r="F54" s="29">
        <v>41184.0</v>
      </c>
      <c r="G54" s="32" t="s">
        <v>210</v>
      </c>
      <c r="H54" s="29">
        <v>41198.0</v>
      </c>
      <c r="I54" s="24" t="s">
        <v>14866</v>
      </c>
    </row>
    <row r="55" ht="12.75" customHeight="1">
      <c r="A55" s="1">
        <v>26502.0</v>
      </c>
      <c r="B55" s="1" t="s">
        <v>21</v>
      </c>
      <c r="C55" s="1">
        <v>750.0</v>
      </c>
      <c r="D55" s="1" t="s">
        <v>14867</v>
      </c>
      <c r="E55" s="13" t="s">
        <v>14868</v>
      </c>
      <c r="F55" s="14">
        <v>41184.0</v>
      </c>
      <c r="G55" s="14">
        <v>41180.0</v>
      </c>
      <c r="H55" s="14">
        <v>41191.0</v>
      </c>
      <c r="I55" s="19" t="s">
        <v>14869</v>
      </c>
    </row>
    <row r="56" ht="12.75" customHeight="1">
      <c r="A56" s="33">
        <v>26097.0</v>
      </c>
      <c r="B56" s="33" t="s">
        <v>21</v>
      </c>
      <c r="C56" s="33">
        <v>2228.0</v>
      </c>
      <c r="D56" s="33" t="s">
        <v>14870</v>
      </c>
      <c r="E56" s="24" t="s">
        <v>294</v>
      </c>
      <c r="F56" s="29">
        <v>41183.0</v>
      </c>
      <c r="G56" s="29">
        <v>41179.0</v>
      </c>
      <c r="H56" s="29">
        <v>41190.0</v>
      </c>
      <c r="I56" s="24" t="s">
        <v>14871</v>
      </c>
    </row>
    <row r="57" ht="12.75" customHeight="1">
      <c r="A57" s="33">
        <v>25536.0</v>
      </c>
      <c r="B57" s="33" t="s">
        <v>14</v>
      </c>
      <c r="C57" s="33">
        <v>72.0</v>
      </c>
      <c r="D57" s="27">
        <v>2.0129027E7</v>
      </c>
      <c r="E57" s="24" t="s">
        <v>14872</v>
      </c>
      <c r="F57" s="29">
        <v>41183.0</v>
      </c>
      <c r="G57" s="29">
        <v>41190.0</v>
      </c>
      <c r="H57" s="29">
        <v>41186.0</v>
      </c>
      <c r="I57" s="24" t="s">
        <v>14873</v>
      </c>
    </row>
    <row r="58" ht="12.75" customHeight="1">
      <c r="A58" s="1">
        <v>26459.0</v>
      </c>
      <c r="B58" s="1" t="s">
        <v>14</v>
      </c>
      <c r="C58" s="1">
        <v>1280.0</v>
      </c>
      <c r="D58" s="1" t="s">
        <v>14874</v>
      </c>
      <c r="E58" s="13" t="s">
        <v>331</v>
      </c>
      <c r="F58" s="14">
        <v>41183.0</v>
      </c>
      <c r="G58" s="14">
        <v>41185.0</v>
      </c>
      <c r="H58" s="14">
        <v>41187.0</v>
      </c>
      <c r="I58" s="13" t="s">
        <v>14875</v>
      </c>
    </row>
    <row r="59" ht="12.75" customHeight="1">
      <c r="A59" s="1">
        <v>26464.0</v>
      </c>
      <c r="B59" s="1" t="s">
        <v>14</v>
      </c>
      <c r="C59" s="1">
        <v>2500.0</v>
      </c>
      <c r="D59" s="1" t="s">
        <v>14876</v>
      </c>
      <c r="E59" s="13" t="s">
        <v>14800</v>
      </c>
      <c r="F59" s="14">
        <v>41180.0</v>
      </c>
      <c r="G59" s="14">
        <v>41186.0</v>
      </c>
      <c r="H59" s="14">
        <v>41184.0</v>
      </c>
      <c r="I59" s="13" t="s">
        <v>14877</v>
      </c>
    </row>
    <row r="60" ht="12.75" customHeight="1">
      <c r="A60" s="33">
        <v>26165.0</v>
      </c>
      <c r="B60" s="33" t="s">
        <v>21</v>
      </c>
      <c r="C60" s="33">
        <v>1844.0</v>
      </c>
      <c r="D60" s="33" t="s">
        <v>14878</v>
      </c>
      <c r="E60" s="24" t="s">
        <v>74</v>
      </c>
      <c r="F60" s="29">
        <v>41179.0</v>
      </c>
      <c r="G60" s="29">
        <v>41173.0</v>
      </c>
      <c r="H60" s="29">
        <v>41178.0</v>
      </c>
      <c r="I60" s="24" t="s">
        <v>14879</v>
      </c>
    </row>
    <row r="61" ht="12.75" customHeight="1">
      <c r="A61" s="1">
        <v>26449.0</v>
      </c>
      <c r="B61" s="1" t="s">
        <v>14</v>
      </c>
      <c r="C61" s="1">
        <v>1400.0</v>
      </c>
      <c r="D61" s="1" t="s">
        <v>14880</v>
      </c>
      <c r="E61" s="13" t="s">
        <v>14881</v>
      </c>
      <c r="F61" s="14">
        <v>41176.0</v>
      </c>
      <c r="G61" s="14">
        <v>41176.0</v>
      </c>
      <c r="H61" s="14">
        <v>41180.0</v>
      </c>
      <c r="I61" s="13" t="s">
        <v>14882</v>
      </c>
    </row>
    <row r="62" ht="12.75" customHeight="1">
      <c r="A62" s="33">
        <v>26470.0</v>
      </c>
      <c r="B62" s="33" t="s">
        <v>21</v>
      </c>
      <c r="C62" s="33">
        <v>1252.0</v>
      </c>
      <c r="D62" s="33" t="s">
        <v>14883</v>
      </c>
      <c r="E62" s="24" t="s">
        <v>14884</v>
      </c>
      <c r="F62" s="29">
        <v>41176.0</v>
      </c>
      <c r="G62" s="29">
        <v>41173.0</v>
      </c>
      <c r="H62" s="29">
        <v>41183.0</v>
      </c>
      <c r="I62" s="24" t="s">
        <v>14885</v>
      </c>
    </row>
    <row r="63" ht="12.75" customHeight="1">
      <c r="A63" s="1">
        <v>26450.0</v>
      </c>
      <c r="B63" s="1" t="s">
        <v>14</v>
      </c>
      <c r="C63" s="1">
        <v>2500.0</v>
      </c>
      <c r="D63" s="1" t="s">
        <v>14886</v>
      </c>
      <c r="E63" s="13" t="s">
        <v>14800</v>
      </c>
      <c r="F63" s="14">
        <v>41174.0</v>
      </c>
      <c r="G63" s="14">
        <v>41176.0</v>
      </c>
      <c r="H63" s="14">
        <v>41177.0</v>
      </c>
      <c r="I63" s="13" t="s">
        <v>14887</v>
      </c>
    </row>
    <row r="64" ht="12.75" customHeight="1">
      <c r="A64" s="33">
        <v>26468.0</v>
      </c>
      <c r="B64" s="33" t="s">
        <v>21</v>
      </c>
      <c r="C64" s="33">
        <v>1250.0</v>
      </c>
      <c r="D64" s="33" t="s">
        <v>14888</v>
      </c>
      <c r="E64" s="24" t="s">
        <v>14784</v>
      </c>
      <c r="F64" s="29">
        <v>41170.0</v>
      </c>
      <c r="G64" s="29">
        <v>41192.0</v>
      </c>
      <c r="H64" s="29">
        <v>41184.0</v>
      </c>
      <c r="I64" s="24" t="s">
        <v>14889</v>
      </c>
    </row>
    <row r="65" ht="12.75" customHeight="1">
      <c r="A65" s="1">
        <v>26412.0</v>
      </c>
      <c r="B65" s="1" t="s">
        <v>25</v>
      </c>
      <c r="C65" s="1">
        <v>71.0</v>
      </c>
      <c r="D65" s="1" t="s">
        <v>14890</v>
      </c>
      <c r="E65" s="13" t="s">
        <v>14891</v>
      </c>
      <c r="F65" s="14">
        <v>41170.0</v>
      </c>
      <c r="G65" s="4" t="s">
        <v>210</v>
      </c>
      <c r="H65" s="8" t="s">
        <v>14892</v>
      </c>
      <c r="I65" s="13" t="s">
        <v>14893</v>
      </c>
    </row>
    <row r="66" ht="12.75" customHeight="1">
      <c r="A66" s="33" t="s">
        <v>33</v>
      </c>
      <c r="B66" s="33" t="s">
        <v>21</v>
      </c>
      <c r="C66" s="33">
        <v>47.0</v>
      </c>
      <c r="D66" s="33" t="s">
        <v>14894</v>
      </c>
      <c r="E66" s="24" t="s">
        <v>14895</v>
      </c>
      <c r="F66" s="29">
        <v>41169.0</v>
      </c>
      <c r="G66" s="32" t="s">
        <v>210</v>
      </c>
      <c r="H66" s="29">
        <v>41176.0</v>
      </c>
      <c r="I66" s="24" t="s">
        <v>14896</v>
      </c>
    </row>
    <row r="67" ht="12.75" customHeight="1">
      <c r="A67" s="33">
        <v>26453.0</v>
      </c>
      <c r="B67" s="33" t="s">
        <v>14</v>
      </c>
      <c r="C67" s="33">
        <v>900.0</v>
      </c>
      <c r="D67" s="33" t="s">
        <v>14897</v>
      </c>
      <c r="E67" s="24" t="s">
        <v>14898</v>
      </c>
      <c r="F67" s="29">
        <v>41169.0</v>
      </c>
      <c r="G67" s="29">
        <v>41166.0</v>
      </c>
      <c r="H67" s="29">
        <v>41173.0</v>
      </c>
      <c r="I67" s="24" t="s">
        <v>14899</v>
      </c>
    </row>
    <row r="68" ht="12.75" customHeight="1">
      <c r="A68" s="33">
        <v>26195.0</v>
      </c>
      <c r="B68" s="33" t="s">
        <v>21</v>
      </c>
      <c r="C68" s="33">
        <v>776.0</v>
      </c>
      <c r="D68" s="33" t="s">
        <v>14900</v>
      </c>
      <c r="E68" s="24" t="s">
        <v>376</v>
      </c>
      <c r="F68" s="29">
        <v>41169.0</v>
      </c>
      <c r="G68" s="29">
        <v>41170.0</v>
      </c>
      <c r="H68" s="29">
        <v>41172.0</v>
      </c>
      <c r="I68" s="24" t="s">
        <v>14901</v>
      </c>
    </row>
    <row r="69" ht="12.75" customHeight="1">
      <c r="A69" s="33">
        <v>26173.0</v>
      </c>
      <c r="B69" s="33" t="s">
        <v>14</v>
      </c>
      <c r="C69" s="33">
        <v>1614.0</v>
      </c>
      <c r="D69" s="33" t="s">
        <v>14902</v>
      </c>
      <c r="E69" s="24" t="s">
        <v>74</v>
      </c>
      <c r="F69" s="29">
        <v>41167.0</v>
      </c>
      <c r="G69" s="29">
        <v>41164.0</v>
      </c>
      <c r="H69" s="29">
        <v>41176.0</v>
      </c>
      <c r="I69" s="24" t="s">
        <v>14903</v>
      </c>
    </row>
    <row r="70" ht="12.75" customHeight="1">
      <c r="A70" s="33">
        <v>26452.0</v>
      </c>
      <c r="B70" s="33" t="s">
        <v>21</v>
      </c>
      <c r="C70" s="33">
        <v>880.0</v>
      </c>
      <c r="D70" s="33" t="s">
        <v>14904</v>
      </c>
      <c r="E70" s="24" t="s">
        <v>14905</v>
      </c>
      <c r="F70" s="29">
        <v>41166.0</v>
      </c>
      <c r="G70" s="29">
        <v>41166.0</v>
      </c>
      <c r="H70" s="29">
        <v>41170.0</v>
      </c>
      <c r="I70" s="24" t="s">
        <v>14906</v>
      </c>
    </row>
    <row r="71" ht="12.75" customHeight="1">
      <c r="A71" s="33">
        <v>26426.0</v>
      </c>
      <c r="B71" s="33" t="s">
        <v>14</v>
      </c>
      <c r="C71" s="33">
        <v>1318.0</v>
      </c>
      <c r="D71" s="33" t="s">
        <v>14907</v>
      </c>
      <c r="E71" s="24" t="s">
        <v>14908</v>
      </c>
      <c r="F71" s="29">
        <v>41164.0</v>
      </c>
      <c r="G71" s="29">
        <v>41164.0</v>
      </c>
      <c r="H71" s="29">
        <v>41169.0</v>
      </c>
      <c r="I71" s="24" t="s">
        <v>14909</v>
      </c>
    </row>
    <row r="72" ht="12.75" customHeight="1">
      <c r="A72" s="33">
        <v>26289.0</v>
      </c>
      <c r="B72" s="33" t="s">
        <v>21</v>
      </c>
      <c r="C72" s="33">
        <v>495.0</v>
      </c>
      <c r="D72" s="33" t="s">
        <v>14910</v>
      </c>
      <c r="E72" s="24" t="s">
        <v>14911</v>
      </c>
      <c r="F72" s="29">
        <v>41164.0</v>
      </c>
      <c r="G72" s="29">
        <v>41165.0</v>
      </c>
      <c r="H72" s="29">
        <v>41171.0</v>
      </c>
      <c r="I72" s="24" t="s">
        <v>14912</v>
      </c>
    </row>
    <row r="73" ht="12.75" customHeight="1">
      <c r="A73" s="33">
        <v>26427.0</v>
      </c>
      <c r="B73" s="33" t="s">
        <v>21</v>
      </c>
      <c r="C73" s="33">
        <v>470.0</v>
      </c>
      <c r="D73" s="33" t="s">
        <v>14913</v>
      </c>
      <c r="E73" s="24" t="s">
        <v>429</v>
      </c>
      <c r="F73" s="29">
        <v>41160.0</v>
      </c>
      <c r="G73" s="29">
        <v>41157.0</v>
      </c>
      <c r="H73" s="29">
        <v>41165.0</v>
      </c>
      <c r="I73" s="24" t="s">
        <v>14914</v>
      </c>
    </row>
    <row r="74" ht="12.75" customHeight="1">
      <c r="A74" s="1">
        <v>26443.0</v>
      </c>
      <c r="B74" s="1" t="s">
        <v>21</v>
      </c>
      <c r="C74" s="1">
        <v>1400.0</v>
      </c>
      <c r="D74" s="1" t="s">
        <v>14915</v>
      </c>
      <c r="E74" s="13" t="s">
        <v>8667</v>
      </c>
      <c r="F74" s="14">
        <v>41157.0</v>
      </c>
      <c r="G74" s="14">
        <v>41157.0</v>
      </c>
      <c r="H74" s="14">
        <v>41163.0</v>
      </c>
      <c r="I74" s="13" t="s">
        <v>14916</v>
      </c>
    </row>
    <row r="75" ht="12.75" customHeight="1">
      <c r="A75" s="33">
        <v>26398.0</v>
      </c>
      <c r="B75" s="33" t="s">
        <v>14</v>
      </c>
      <c r="C75" s="33">
        <v>1250.0</v>
      </c>
      <c r="D75" s="33" t="s">
        <v>14917</v>
      </c>
      <c r="E75" s="24" t="s">
        <v>14918</v>
      </c>
      <c r="F75" s="29">
        <v>41156.0</v>
      </c>
      <c r="G75" s="30">
        <v>41164.0</v>
      </c>
      <c r="H75" s="29">
        <v>41163.0</v>
      </c>
      <c r="I75" s="24" t="s">
        <v>14919</v>
      </c>
    </row>
    <row r="76" ht="12.75" customHeight="1">
      <c r="A76" s="33">
        <v>26169.0</v>
      </c>
      <c r="B76" s="33" t="s">
        <v>25</v>
      </c>
      <c r="C76" s="33">
        <v>1634.0</v>
      </c>
      <c r="D76" s="33" t="s">
        <v>14920</v>
      </c>
      <c r="E76" s="24" t="s">
        <v>14921</v>
      </c>
      <c r="F76" s="29">
        <v>41153.0</v>
      </c>
      <c r="G76" s="29">
        <v>41162.0</v>
      </c>
      <c r="H76" s="29">
        <v>41158.0</v>
      </c>
      <c r="I76" s="24" t="s">
        <v>14922</v>
      </c>
    </row>
    <row r="77" ht="12.75" customHeight="1">
      <c r="A77" s="33">
        <v>26168.0</v>
      </c>
      <c r="B77" s="33" t="s">
        <v>25</v>
      </c>
      <c r="C77" s="33">
        <v>2097.0</v>
      </c>
      <c r="D77" s="33" t="s">
        <v>14923</v>
      </c>
      <c r="E77" s="24" t="s">
        <v>74</v>
      </c>
      <c r="F77" s="29">
        <v>41153.0</v>
      </c>
      <c r="G77" s="29">
        <v>41152.0</v>
      </c>
      <c r="H77" s="29">
        <v>41157.0</v>
      </c>
      <c r="I77" s="24" t="s">
        <v>14924</v>
      </c>
    </row>
    <row r="78" ht="12.75" customHeight="1">
      <c r="A78" s="33">
        <v>26430.0</v>
      </c>
      <c r="B78" s="33" t="s">
        <v>21</v>
      </c>
      <c r="C78" s="33">
        <v>612.0</v>
      </c>
      <c r="D78" s="33" t="s">
        <v>14925</v>
      </c>
      <c r="E78" s="24" t="s">
        <v>14926</v>
      </c>
      <c r="F78" s="29">
        <v>41151.0</v>
      </c>
      <c r="G78" s="29">
        <v>41149.0</v>
      </c>
      <c r="H78" s="29">
        <v>41162.0</v>
      </c>
      <c r="I78" s="24" t="s">
        <v>14927</v>
      </c>
    </row>
    <row r="79" ht="12.75" customHeight="1">
      <c r="A79" s="33">
        <v>26251.0</v>
      </c>
      <c r="B79" s="33" t="s">
        <v>21</v>
      </c>
      <c r="C79" s="33">
        <v>194.0</v>
      </c>
      <c r="D79" s="33" t="s">
        <v>14928</v>
      </c>
      <c r="E79" s="24" t="s">
        <v>14929</v>
      </c>
      <c r="F79" s="29">
        <v>41151.0</v>
      </c>
      <c r="G79" s="29">
        <v>41149.0</v>
      </c>
      <c r="H79" s="29">
        <v>41158.0</v>
      </c>
      <c r="I79" s="24" t="s">
        <v>14930</v>
      </c>
    </row>
    <row r="80" ht="12.75" customHeight="1">
      <c r="A80" s="33">
        <v>26384.0</v>
      </c>
      <c r="B80" s="33" t="s">
        <v>14</v>
      </c>
      <c r="C80" s="33">
        <v>1280.0</v>
      </c>
      <c r="D80" s="33" t="s">
        <v>14931</v>
      </c>
      <c r="E80" s="24" t="s">
        <v>331</v>
      </c>
      <c r="F80" s="29">
        <v>41150.0</v>
      </c>
      <c r="G80" s="29">
        <v>41152.0</v>
      </c>
      <c r="H80" s="29">
        <v>41157.0</v>
      </c>
      <c r="I80" s="24" t="s">
        <v>14932</v>
      </c>
    </row>
    <row r="81" ht="12.75" customHeight="1">
      <c r="A81" s="33">
        <v>26402.0</v>
      </c>
      <c r="B81" s="33" t="s">
        <v>14</v>
      </c>
      <c r="C81" s="33">
        <v>1805.0</v>
      </c>
      <c r="D81" s="33" t="s">
        <v>14933</v>
      </c>
      <c r="E81" s="24" t="s">
        <v>14934</v>
      </c>
      <c r="F81" s="29">
        <v>41149.0</v>
      </c>
      <c r="G81" s="29">
        <v>41152.0</v>
      </c>
      <c r="H81" s="29">
        <v>41157.0</v>
      </c>
      <c r="I81" s="24"/>
    </row>
    <row r="82" ht="12.75" customHeight="1">
      <c r="A82" s="33">
        <v>26299.0</v>
      </c>
      <c r="B82" s="33" t="s">
        <v>21</v>
      </c>
      <c r="C82" s="33">
        <v>190.0</v>
      </c>
      <c r="D82" s="33" t="s">
        <v>14935</v>
      </c>
      <c r="E82" s="24" t="s">
        <v>14936</v>
      </c>
      <c r="F82" s="29">
        <v>41146.0</v>
      </c>
      <c r="G82" s="29">
        <v>41149.0</v>
      </c>
      <c r="H82" s="29">
        <v>41152.0</v>
      </c>
      <c r="I82" s="24" t="s">
        <v>14937</v>
      </c>
    </row>
    <row r="83" ht="12.75" customHeight="1">
      <c r="A83" s="33">
        <v>26338.0</v>
      </c>
      <c r="B83" s="33" t="s">
        <v>14</v>
      </c>
      <c r="C83" s="33">
        <v>2031.0</v>
      </c>
      <c r="D83" s="33" t="s">
        <v>14938</v>
      </c>
      <c r="E83" s="24" t="s">
        <v>14939</v>
      </c>
      <c r="F83" s="29">
        <v>41141.0</v>
      </c>
      <c r="G83" s="29">
        <v>41144.0</v>
      </c>
      <c r="H83" s="29">
        <v>41145.0</v>
      </c>
      <c r="I83" s="24" t="s">
        <v>14940</v>
      </c>
    </row>
    <row r="84" ht="12.75" customHeight="1">
      <c r="A84" s="33" t="s">
        <v>192</v>
      </c>
      <c r="B84" s="33" t="s">
        <v>21</v>
      </c>
      <c r="C84" s="33">
        <v>1181.0</v>
      </c>
      <c r="D84" s="33" t="s">
        <v>14941</v>
      </c>
      <c r="E84" s="24" t="s">
        <v>14942</v>
      </c>
      <c r="F84" s="29">
        <v>41141.0</v>
      </c>
      <c r="G84" s="29">
        <v>41141.0</v>
      </c>
      <c r="H84" s="29">
        <v>41148.0</v>
      </c>
      <c r="I84" s="24" t="s">
        <v>14943</v>
      </c>
    </row>
    <row r="85" ht="12.75" customHeight="1">
      <c r="A85" s="33" t="s">
        <v>28</v>
      </c>
      <c r="B85" s="33" t="s">
        <v>21</v>
      </c>
      <c r="C85" s="33">
        <v>60.0</v>
      </c>
      <c r="D85" s="33" t="s">
        <v>14944</v>
      </c>
      <c r="E85" s="24" t="s">
        <v>14945</v>
      </c>
      <c r="F85" s="29">
        <v>41140.0</v>
      </c>
      <c r="G85" s="29">
        <v>41152.0</v>
      </c>
      <c r="H85" s="29">
        <v>41145.0</v>
      </c>
      <c r="I85" s="24" t="s">
        <v>14946</v>
      </c>
    </row>
    <row r="86" ht="12.75" customHeight="1">
      <c r="A86" s="33">
        <v>26385.0</v>
      </c>
      <c r="B86" s="33" t="s">
        <v>21</v>
      </c>
      <c r="C86" s="33">
        <v>1052.0</v>
      </c>
      <c r="D86" s="33" t="s">
        <v>14947</v>
      </c>
      <c r="E86" s="24" t="s">
        <v>14948</v>
      </c>
      <c r="F86" s="29">
        <v>41135.0</v>
      </c>
      <c r="G86" s="29">
        <v>41131.0</v>
      </c>
      <c r="H86" s="29">
        <v>41142.0</v>
      </c>
      <c r="I86" s="24" t="s">
        <v>14949</v>
      </c>
    </row>
    <row r="87" ht="12.75" customHeight="1">
      <c r="A87" s="33">
        <v>26399.0</v>
      </c>
      <c r="B87" s="33" t="s">
        <v>21</v>
      </c>
      <c r="C87" s="33">
        <v>954.0</v>
      </c>
      <c r="D87" s="33" t="s">
        <v>14950</v>
      </c>
      <c r="E87" s="24" t="s">
        <v>14951</v>
      </c>
      <c r="F87" s="29">
        <v>41131.0</v>
      </c>
      <c r="G87" s="29">
        <v>41127.0</v>
      </c>
      <c r="H87" s="29">
        <v>41135.0</v>
      </c>
      <c r="I87" s="24" t="s">
        <v>14952</v>
      </c>
    </row>
    <row r="88" ht="12.75" customHeight="1">
      <c r="A88" s="33">
        <v>26355.0</v>
      </c>
      <c r="B88" s="33" t="s">
        <v>14</v>
      </c>
      <c r="C88" s="33">
        <v>2198.0</v>
      </c>
      <c r="D88" s="33" t="s">
        <v>14953</v>
      </c>
      <c r="E88" s="24" t="s">
        <v>14954</v>
      </c>
      <c r="F88" s="29">
        <v>41130.0</v>
      </c>
      <c r="G88" s="29">
        <v>41128.0</v>
      </c>
      <c r="H88" s="29">
        <v>41134.0</v>
      </c>
      <c r="I88" s="24" t="s">
        <v>14955</v>
      </c>
    </row>
    <row r="89" ht="12.75" customHeight="1">
      <c r="A89" s="33">
        <v>26360.0</v>
      </c>
      <c r="B89" s="33" t="s">
        <v>14</v>
      </c>
      <c r="C89" s="33">
        <v>900.0</v>
      </c>
      <c r="D89" s="33" t="s">
        <v>14956</v>
      </c>
      <c r="E89" s="24" t="s">
        <v>396</v>
      </c>
      <c r="F89" s="29">
        <v>41127.0</v>
      </c>
      <c r="G89" s="29">
        <v>41128.0</v>
      </c>
      <c r="H89" s="29">
        <v>41130.0</v>
      </c>
      <c r="I89" s="24" t="s">
        <v>14957</v>
      </c>
    </row>
    <row r="90" ht="12.75" customHeight="1">
      <c r="A90" s="33">
        <v>26121.0</v>
      </c>
      <c r="B90" s="33" t="s">
        <v>14</v>
      </c>
      <c r="C90" s="33">
        <v>1700.0</v>
      </c>
      <c r="D90" s="33" t="s">
        <v>14958</v>
      </c>
      <c r="E90" s="24" t="s">
        <v>675</v>
      </c>
      <c r="F90" s="29">
        <v>41126.0</v>
      </c>
      <c r="G90" s="29">
        <v>41128.0</v>
      </c>
      <c r="H90" s="29">
        <v>41130.0</v>
      </c>
      <c r="I90" s="24"/>
    </row>
    <row r="91" ht="12.75" customHeight="1">
      <c r="A91" s="33">
        <v>26156.0</v>
      </c>
      <c r="B91" s="33" t="s">
        <v>21</v>
      </c>
      <c r="C91" s="33">
        <v>540.0</v>
      </c>
      <c r="D91" s="33" t="s">
        <v>14959</v>
      </c>
      <c r="E91" s="24" t="s">
        <v>434</v>
      </c>
      <c r="F91" s="29">
        <v>41125.0</v>
      </c>
      <c r="G91" s="29">
        <v>41121.0</v>
      </c>
      <c r="H91" s="29">
        <v>41131.0</v>
      </c>
      <c r="I91" s="24" t="s">
        <v>14960</v>
      </c>
    </row>
    <row r="92" ht="12.75" customHeight="1">
      <c r="A92" s="33">
        <v>26358.0</v>
      </c>
      <c r="B92" s="33" t="s">
        <v>21</v>
      </c>
      <c r="C92" s="33">
        <v>465.0</v>
      </c>
      <c r="D92" s="33" t="s">
        <v>14961</v>
      </c>
      <c r="E92" s="24" t="s">
        <v>14962</v>
      </c>
      <c r="F92" s="29">
        <v>41121.0</v>
      </c>
      <c r="G92" s="29">
        <v>41127.0</v>
      </c>
      <c r="H92" s="29">
        <v>41128.0</v>
      </c>
      <c r="I92" s="24" t="s">
        <v>14963</v>
      </c>
    </row>
    <row r="93" ht="12.75" customHeight="1">
      <c r="A93" s="33">
        <v>26359.0</v>
      </c>
      <c r="B93" s="33" t="s">
        <v>21</v>
      </c>
      <c r="C93" s="33">
        <v>700.0</v>
      </c>
      <c r="D93" s="33" t="s">
        <v>14964</v>
      </c>
      <c r="E93" s="24" t="s">
        <v>14965</v>
      </c>
      <c r="F93" s="29">
        <v>41121.0</v>
      </c>
      <c r="G93" s="29">
        <v>41120.0</v>
      </c>
      <c r="H93" s="29">
        <v>41127.0</v>
      </c>
      <c r="I93" s="24" t="s">
        <v>14966</v>
      </c>
    </row>
    <row r="94" ht="12.75" customHeight="1">
      <c r="A94" s="33" t="s">
        <v>192</v>
      </c>
      <c r="B94" s="33" t="s">
        <v>21</v>
      </c>
      <c r="C94" s="33">
        <v>183.0</v>
      </c>
      <c r="D94" s="33" t="s">
        <v>14967</v>
      </c>
      <c r="E94" s="24" t="s">
        <v>14968</v>
      </c>
      <c r="F94" s="29">
        <v>41120.0</v>
      </c>
      <c r="G94" s="32" t="s">
        <v>210</v>
      </c>
      <c r="H94" s="29">
        <v>41122.0</v>
      </c>
      <c r="I94" s="24" t="s">
        <v>14969</v>
      </c>
    </row>
    <row r="95" ht="12.75" customHeight="1">
      <c r="A95" s="33">
        <v>26271.0</v>
      </c>
      <c r="B95" s="33" t="s">
        <v>14</v>
      </c>
      <c r="C95" s="33">
        <v>421.0</v>
      </c>
      <c r="D95" s="33" t="s">
        <v>14970</v>
      </c>
      <c r="E95" s="24" t="s">
        <v>14971</v>
      </c>
      <c r="F95" s="29">
        <v>41120.0</v>
      </c>
      <c r="G95" s="34" t="s">
        <v>14972</v>
      </c>
      <c r="H95" s="29">
        <v>41122.0</v>
      </c>
      <c r="I95" s="24" t="s">
        <v>14973</v>
      </c>
    </row>
    <row r="96" ht="12.75" customHeight="1">
      <c r="A96" s="33">
        <v>26326.0</v>
      </c>
      <c r="B96" s="33" t="s">
        <v>14</v>
      </c>
      <c r="C96" s="33">
        <v>2195.0</v>
      </c>
      <c r="D96" s="33" t="s">
        <v>14974</v>
      </c>
      <c r="E96" s="24" t="s">
        <v>14954</v>
      </c>
      <c r="F96" s="29">
        <v>41115.0</v>
      </c>
      <c r="G96" s="29">
        <v>41120.0</v>
      </c>
      <c r="H96" s="29">
        <v>41117.0</v>
      </c>
      <c r="I96" s="24"/>
    </row>
    <row r="97" ht="12.75" customHeight="1">
      <c r="A97" s="33">
        <v>26031.0</v>
      </c>
      <c r="B97" s="33" t="s">
        <v>14</v>
      </c>
      <c r="C97" s="33">
        <v>2219.0</v>
      </c>
      <c r="D97" s="33" t="s">
        <v>14975</v>
      </c>
      <c r="E97" s="24" t="s">
        <v>14976</v>
      </c>
      <c r="F97" s="29">
        <v>41113.0</v>
      </c>
      <c r="G97" s="29">
        <v>41114.0</v>
      </c>
      <c r="H97" s="29">
        <v>41115.0</v>
      </c>
      <c r="I97" s="24" t="s">
        <v>14977</v>
      </c>
    </row>
    <row r="98" ht="12.75" customHeight="1">
      <c r="A98" s="33">
        <v>26272.0</v>
      </c>
      <c r="B98" s="33" t="s">
        <v>21</v>
      </c>
      <c r="C98" s="33">
        <v>837.0</v>
      </c>
      <c r="D98" s="33" t="s">
        <v>14978</v>
      </c>
      <c r="E98" s="24" t="s">
        <v>14971</v>
      </c>
      <c r="F98" s="29">
        <v>41113.0</v>
      </c>
      <c r="G98" s="29">
        <v>41128.0</v>
      </c>
      <c r="H98" s="29">
        <v>41116.0</v>
      </c>
      <c r="I98" s="24" t="s">
        <v>14979</v>
      </c>
    </row>
    <row r="99" ht="12.75" customHeight="1">
      <c r="A99" s="33">
        <v>26311.0</v>
      </c>
      <c r="B99" s="33" t="s">
        <v>14</v>
      </c>
      <c r="C99" s="33">
        <v>1400.0</v>
      </c>
      <c r="D99" s="33" t="s">
        <v>14980</v>
      </c>
      <c r="E99" s="24" t="s">
        <v>14797</v>
      </c>
      <c r="F99" s="29">
        <v>41113.0</v>
      </c>
      <c r="G99" s="34" t="s">
        <v>14981</v>
      </c>
      <c r="H99" s="29">
        <v>41115.0</v>
      </c>
      <c r="I99" s="24" t="s">
        <v>14982</v>
      </c>
    </row>
    <row r="100" ht="12.75" customHeight="1">
      <c r="A100" s="33">
        <v>26346.0</v>
      </c>
      <c r="B100" s="33" t="s">
        <v>21</v>
      </c>
      <c r="C100" s="33">
        <v>1400.0</v>
      </c>
      <c r="D100" s="33" t="s">
        <v>14983</v>
      </c>
      <c r="E100" s="24" t="s">
        <v>14797</v>
      </c>
      <c r="F100" s="29">
        <v>41109.0</v>
      </c>
      <c r="G100" s="30">
        <v>41128.0</v>
      </c>
      <c r="H100" s="30">
        <v>41116.0</v>
      </c>
      <c r="I100" s="24" t="s">
        <v>14984</v>
      </c>
    </row>
    <row r="101" ht="12.75" customHeight="1">
      <c r="A101" s="33" t="s">
        <v>192</v>
      </c>
      <c r="B101" s="33" t="s">
        <v>21</v>
      </c>
      <c r="C101" s="33">
        <v>94.0</v>
      </c>
      <c r="D101" s="33" t="s">
        <v>14985</v>
      </c>
      <c r="E101" s="24" t="s">
        <v>14986</v>
      </c>
      <c r="F101" s="29">
        <v>41106.0</v>
      </c>
      <c r="G101" s="32" t="s">
        <v>210</v>
      </c>
      <c r="H101" s="29">
        <v>41110.0</v>
      </c>
      <c r="I101" s="24" t="s">
        <v>14987</v>
      </c>
    </row>
    <row r="102" ht="12.75" customHeight="1">
      <c r="A102" s="33">
        <v>26172.0</v>
      </c>
      <c r="B102" s="33" t="s">
        <v>14</v>
      </c>
      <c r="C102" s="33">
        <v>1630.0</v>
      </c>
      <c r="D102" s="33" t="s">
        <v>14988</v>
      </c>
      <c r="E102" s="24" t="s">
        <v>74</v>
      </c>
      <c r="F102" s="29">
        <v>41106.0</v>
      </c>
      <c r="G102" s="29">
        <v>41102.0</v>
      </c>
      <c r="H102" s="29">
        <v>41109.0</v>
      </c>
      <c r="I102" s="24" t="s">
        <v>14989</v>
      </c>
    </row>
    <row r="103" ht="12.75" customHeight="1">
      <c r="A103" s="33">
        <v>26335.0</v>
      </c>
      <c r="B103" s="33" t="s">
        <v>25</v>
      </c>
      <c r="C103" s="33">
        <v>577.0</v>
      </c>
      <c r="D103" s="33" t="s">
        <v>14990</v>
      </c>
      <c r="E103" s="24" t="s">
        <v>14991</v>
      </c>
      <c r="F103" s="29">
        <v>41105.0</v>
      </c>
      <c r="G103" s="30">
        <v>41116.0</v>
      </c>
      <c r="H103" s="29">
        <v>41110.0</v>
      </c>
      <c r="I103" s="24" t="s">
        <v>14992</v>
      </c>
    </row>
    <row r="104" ht="12.75" customHeight="1">
      <c r="A104" s="33">
        <v>26327.0</v>
      </c>
      <c r="B104" s="33" t="s">
        <v>21</v>
      </c>
      <c r="C104" s="27" t="s">
        <v>14993</v>
      </c>
      <c r="D104" s="33" t="s">
        <v>14994</v>
      </c>
      <c r="E104" s="24" t="s">
        <v>14995</v>
      </c>
      <c r="F104" s="29">
        <v>41105.0</v>
      </c>
      <c r="G104" s="29">
        <v>41101.0</v>
      </c>
      <c r="H104" s="29">
        <v>41110.0</v>
      </c>
      <c r="I104" s="24"/>
    </row>
    <row r="105" ht="12.75" customHeight="1">
      <c r="A105" s="33">
        <v>26276.0</v>
      </c>
      <c r="B105" s="33" t="s">
        <v>21</v>
      </c>
      <c r="C105" s="27">
        <v>9.0</v>
      </c>
      <c r="D105" s="33" t="s">
        <v>14996</v>
      </c>
      <c r="E105" s="24" t="s">
        <v>14997</v>
      </c>
      <c r="F105" s="29">
        <v>41104.0</v>
      </c>
      <c r="G105" s="29">
        <v>41103.0</v>
      </c>
      <c r="H105" s="29">
        <v>41108.0</v>
      </c>
      <c r="I105" s="112"/>
    </row>
    <row r="106" ht="12.75" customHeight="1">
      <c r="A106" s="33">
        <v>26164.0</v>
      </c>
      <c r="B106" s="33" t="s">
        <v>21</v>
      </c>
      <c r="C106" s="33">
        <v>1912.0</v>
      </c>
      <c r="D106" s="33" t="s">
        <v>14998</v>
      </c>
      <c r="E106" s="24" t="s">
        <v>74</v>
      </c>
      <c r="F106" s="29">
        <v>41104.0</v>
      </c>
      <c r="G106" s="29">
        <v>41101.0</v>
      </c>
      <c r="H106" s="29">
        <v>41107.0</v>
      </c>
      <c r="I106" s="24" t="s">
        <v>14999</v>
      </c>
    </row>
    <row r="107" ht="12.75" customHeight="1">
      <c r="A107" s="33">
        <v>26300.0</v>
      </c>
      <c r="B107" s="33" t="s">
        <v>14</v>
      </c>
      <c r="C107" s="33">
        <v>914.0</v>
      </c>
      <c r="D107" s="33" t="s">
        <v>15000</v>
      </c>
      <c r="E107" s="24" t="s">
        <v>15001</v>
      </c>
      <c r="F107" s="29">
        <v>41102.0</v>
      </c>
      <c r="G107" s="29">
        <v>41102.0</v>
      </c>
      <c r="H107" s="29">
        <v>41106.0</v>
      </c>
      <c r="I107" s="24"/>
    </row>
    <row r="108" ht="12.75" customHeight="1">
      <c r="A108" s="33">
        <v>26013.0</v>
      </c>
      <c r="B108" s="33" t="s">
        <v>21</v>
      </c>
      <c r="C108" s="33">
        <v>500.0</v>
      </c>
      <c r="D108" s="33" t="s">
        <v>15002</v>
      </c>
      <c r="E108" s="24" t="s">
        <v>15003</v>
      </c>
      <c r="F108" s="29">
        <v>41102.0</v>
      </c>
      <c r="G108" s="29">
        <v>41109.0</v>
      </c>
      <c r="H108" s="29">
        <v>41109.0</v>
      </c>
      <c r="I108" s="24"/>
    </row>
    <row r="109" ht="12.75" customHeight="1">
      <c r="A109" s="33">
        <v>25953.0</v>
      </c>
      <c r="B109" s="33" t="s">
        <v>21</v>
      </c>
      <c r="C109" s="33">
        <v>564.0</v>
      </c>
      <c r="D109" s="33" t="s">
        <v>15004</v>
      </c>
      <c r="E109" s="24" t="s">
        <v>15005</v>
      </c>
      <c r="F109" s="29">
        <v>41096.0</v>
      </c>
      <c r="G109" s="29">
        <v>41100.0</v>
      </c>
      <c r="H109" s="29">
        <v>41103.0</v>
      </c>
      <c r="I109" s="24"/>
    </row>
    <row r="110" ht="12.75" customHeight="1">
      <c r="A110" s="33">
        <v>26029.0</v>
      </c>
      <c r="B110" s="33" t="s">
        <v>25</v>
      </c>
      <c r="C110" s="33">
        <v>2227.0</v>
      </c>
      <c r="D110" s="33" t="s">
        <v>15006</v>
      </c>
      <c r="E110" s="24" t="s">
        <v>14976</v>
      </c>
      <c r="F110" s="29">
        <v>41094.0</v>
      </c>
      <c r="G110" s="29">
        <v>41095.0</v>
      </c>
      <c r="H110" s="29">
        <v>41103.0</v>
      </c>
      <c r="I110" s="24"/>
    </row>
    <row r="111" ht="12.75" customHeight="1">
      <c r="A111" s="33">
        <v>26293.0</v>
      </c>
      <c r="B111" s="33" t="s">
        <v>21</v>
      </c>
      <c r="C111" s="33">
        <v>465.0</v>
      </c>
      <c r="D111" s="33" t="s">
        <v>15007</v>
      </c>
      <c r="E111" s="24" t="s">
        <v>14962</v>
      </c>
      <c r="F111" s="29">
        <v>41093.0</v>
      </c>
      <c r="G111" s="29">
        <v>41089.0</v>
      </c>
      <c r="H111" s="29">
        <v>41102.0</v>
      </c>
      <c r="I111" s="24" t="s">
        <v>15008</v>
      </c>
    </row>
    <row r="112" ht="12.75" customHeight="1">
      <c r="A112" s="33" t="s">
        <v>192</v>
      </c>
      <c r="B112" s="33" t="s">
        <v>21</v>
      </c>
      <c r="C112" s="33">
        <v>161.0</v>
      </c>
      <c r="D112" s="33" t="s">
        <v>15009</v>
      </c>
      <c r="E112" s="24" t="s">
        <v>15010</v>
      </c>
      <c r="F112" s="29">
        <v>41092.0</v>
      </c>
      <c r="G112" s="29">
        <v>41108.0</v>
      </c>
      <c r="H112" s="29">
        <v>41096.0</v>
      </c>
      <c r="I112" s="24" t="s">
        <v>15011</v>
      </c>
    </row>
    <row r="113" ht="12.75" customHeight="1">
      <c r="A113" s="33" t="s">
        <v>15012</v>
      </c>
      <c r="B113" s="33" t="s">
        <v>21</v>
      </c>
      <c r="C113" s="33">
        <v>250.0</v>
      </c>
      <c r="D113" s="33" t="s">
        <v>15013</v>
      </c>
      <c r="E113" s="24" t="s">
        <v>15014</v>
      </c>
      <c r="F113" s="29">
        <v>41092.0</v>
      </c>
      <c r="G113" s="32" t="s">
        <v>210</v>
      </c>
      <c r="H113" s="29">
        <v>41099.0</v>
      </c>
      <c r="I113" s="24" t="s">
        <v>15008</v>
      </c>
    </row>
    <row r="114" ht="12.75" customHeight="1">
      <c r="A114" s="33">
        <v>26274.0</v>
      </c>
      <c r="B114" s="33" t="s">
        <v>14</v>
      </c>
      <c r="C114" s="33">
        <v>600.0</v>
      </c>
      <c r="D114" s="33" t="s">
        <v>15015</v>
      </c>
      <c r="E114" s="24" t="s">
        <v>15016</v>
      </c>
      <c r="F114" s="29">
        <v>41091.0</v>
      </c>
      <c r="G114" s="29">
        <v>41093.0</v>
      </c>
      <c r="H114" s="29">
        <v>41099.0</v>
      </c>
      <c r="I114" s="24"/>
    </row>
    <row r="115" ht="12.75" customHeight="1">
      <c r="A115" s="33">
        <v>26155.0</v>
      </c>
      <c r="B115" s="33" t="s">
        <v>21</v>
      </c>
      <c r="C115" s="33">
        <v>1000.0</v>
      </c>
      <c r="D115" s="33" t="s">
        <v>15017</v>
      </c>
      <c r="E115" s="24" t="s">
        <v>15018</v>
      </c>
      <c r="F115" s="29">
        <v>41090.0</v>
      </c>
      <c r="G115" s="29">
        <v>41087.0</v>
      </c>
      <c r="H115" s="29">
        <v>41100.0</v>
      </c>
      <c r="I115" s="24" t="s">
        <v>15019</v>
      </c>
    </row>
    <row r="116" ht="12.75" customHeight="1">
      <c r="A116" s="33">
        <v>26255.0</v>
      </c>
      <c r="B116" s="33" t="s">
        <v>14</v>
      </c>
      <c r="C116" s="33">
        <v>1280.0</v>
      </c>
      <c r="D116" s="33" t="s">
        <v>15020</v>
      </c>
      <c r="E116" s="24" t="s">
        <v>331</v>
      </c>
      <c r="F116" s="29">
        <v>41086.0</v>
      </c>
      <c r="G116" s="29">
        <v>41092.0</v>
      </c>
      <c r="H116" s="29">
        <v>41092.0</v>
      </c>
      <c r="I116" s="24"/>
    </row>
    <row r="117" ht="12.75" customHeight="1">
      <c r="A117" s="33">
        <v>25878.0</v>
      </c>
      <c r="B117" s="33" t="s">
        <v>21</v>
      </c>
      <c r="C117" s="33">
        <v>1944.0</v>
      </c>
      <c r="D117" s="33" t="s">
        <v>15021</v>
      </c>
      <c r="E117" s="24" t="s">
        <v>15022</v>
      </c>
      <c r="F117" s="29">
        <v>41084.0</v>
      </c>
      <c r="G117" s="29">
        <v>41080.0</v>
      </c>
      <c r="H117" s="29">
        <v>41089.0</v>
      </c>
      <c r="I117" s="24" t="s">
        <v>15023</v>
      </c>
    </row>
    <row r="118" ht="12.75" customHeight="1">
      <c r="A118" s="33">
        <v>26267.0</v>
      </c>
      <c r="B118" s="33" t="s">
        <v>14</v>
      </c>
      <c r="C118" s="33">
        <v>900.0</v>
      </c>
      <c r="D118" s="33" t="s">
        <v>15024</v>
      </c>
      <c r="E118" s="24" t="s">
        <v>12677</v>
      </c>
      <c r="F118" s="29">
        <v>41084.0</v>
      </c>
      <c r="G118" s="30">
        <v>41117.0</v>
      </c>
      <c r="H118" s="29">
        <v>41086.0</v>
      </c>
      <c r="I118" s="24" t="s">
        <v>15025</v>
      </c>
    </row>
    <row r="119" ht="12.75" customHeight="1">
      <c r="A119" s="33">
        <v>26279.0</v>
      </c>
      <c r="B119" s="33" t="s">
        <v>21</v>
      </c>
      <c r="C119" s="33">
        <v>1250.0</v>
      </c>
      <c r="D119" s="33" t="s">
        <v>15026</v>
      </c>
      <c r="E119" s="24" t="s">
        <v>15027</v>
      </c>
      <c r="F119" s="29">
        <v>41083.0</v>
      </c>
      <c r="G119" s="29">
        <v>41080.0</v>
      </c>
      <c r="H119" s="29">
        <v>41089.0</v>
      </c>
      <c r="I119" s="24"/>
    </row>
    <row r="120" ht="12.75" customHeight="1">
      <c r="A120" s="33">
        <v>26282.0</v>
      </c>
      <c r="B120" s="33" t="s">
        <v>21</v>
      </c>
      <c r="C120" s="33">
        <v>836.0</v>
      </c>
      <c r="D120" s="33" t="s">
        <v>15028</v>
      </c>
      <c r="E120" s="24" t="s">
        <v>15029</v>
      </c>
      <c r="F120" s="29">
        <v>41082.0</v>
      </c>
      <c r="G120" s="29">
        <v>41079.0</v>
      </c>
      <c r="H120" s="29">
        <v>41088.0</v>
      </c>
      <c r="I120" s="24" t="s">
        <v>15030</v>
      </c>
    </row>
    <row r="121" ht="12.75" customHeight="1">
      <c r="A121" s="33">
        <v>26037.0</v>
      </c>
      <c r="B121" s="33" t="s">
        <v>14</v>
      </c>
      <c r="C121" s="33">
        <v>719.0</v>
      </c>
      <c r="D121" s="33" t="s">
        <v>15031</v>
      </c>
      <c r="E121" s="24" t="s">
        <v>15032</v>
      </c>
      <c r="F121" s="29">
        <v>41082.0</v>
      </c>
      <c r="G121" s="29">
        <v>41101.0</v>
      </c>
      <c r="H121" s="29">
        <v>41087.0</v>
      </c>
      <c r="I121" s="24" t="s">
        <v>15033</v>
      </c>
    </row>
    <row r="122" ht="12.75" customHeight="1">
      <c r="A122" s="33">
        <v>26268.0</v>
      </c>
      <c r="B122" s="33" t="s">
        <v>21</v>
      </c>
      <c r="C122" s="33">
        <v>1006.0</v>
      </c>
      <c r="D122" s="33" t="s">
        <v>15034</v>
      </c>
      <c r="E122" s="24" t="s">
        <v>396</v>
      </c>
      <c r="F122" s="29">
        <v>41073.0</v>
      </c>
      <c r="G122" s="29">
        <v>41072.0</v>
      </c>
      <c r="H122" s="29">
        <v>41078.0</v>
      </c>
      <c r="I122" s="770" t="s">
        <v>15035</v>
      </c>
    </row>
    <row r="123" ht="12.75" customHeight="1">
      <c r="A123" s="6">
        <v>26273.0</v>
      </c>
      <c r="B123" s="1" t="s">
        <v>21</v>
      </c>
      <c r="C123" s="1">
        <v>836.0</v>
      </c>
      <c r="D123" s="1" t="s">
        <v>15036</v>
      </c>
      <c r="E123" s="13" t="s">
        <v>15037</v>
      </c>
      <c r="F123" s="14">
        <v>41073.0</v>
      </c>
      <c r="G123" s="14">
        <v>41072.0</v>
      </c>
      <c r="H123" s="14">
        <v>41078.0</v>
      </c>
      <c r="I123" s="13" t="s">
        <v>15038</v>
      </c>
    </row>
    <row r="124" ht="12.75" customHeight="1">
      <c r="A124" s="1">
        <v>26004.0</v>
      </c>
      <c r="B124" s="1" t="s">
        <v>21</v>
      </c>
      <c r="C124" s="1">
        <v>1000.0</v>
      </c>
      <c r="D124" s="1" t="s">
        <v>15039</v>
      </c>
      <c r="E124" s="13" t="s">
        <v>15018</v>
      </c>
      <c r="F124" s="14">
        <v>41072.0</v>
      </c>
      <c r="G124" s="14">
        <v>41072.0</v>
      </c>
      <c r="H124" s="14">
        <v>41079.0</v>
      </c>
      <c r="I124" s="13" t="s">
        <v>15035</v>
      </c>
    </row>
    <row r="125" ht="12.75" customHeight="1">
      <c r="A125" s="1">
        <v>26152.0</v>
      </c>
      <c r="B125" s="1" t="s">
        <v>21</v>
      </c>
      <c r="C125" s="1">
        <v>525.0</v>
      </c>
      <c r="D125" s="1" t="s">
        <v>15040</v>
      </c>
      <c r="E125" s="13" t="s">
        <v>384</v>
      </c>
      <c r="F125" s="14">
        <v>41069.0</v>
      </c>
      <c r="G125" s="14">
        <v>41071.0</v>
      </c>
      <c r="H125" s="14">
        <v>41074.0</v>
      </c>
      <c r="I125" s="13"/>
    </row>
    <row r="126" ht="12.75" customHeight="1">
      <c r="A126" s="6">
        <v>25851.0</v>
      </c>
      <c r="B126" s="1" t="s">
        <v>21</v>
      </c>
      <c r="C126" s="1">
        <v>900.0</v>
      </c>
      <c r="D126" s="1" t="s">
        <v>15041</v>
      </c>
      <c r="E126" s="13" t="s">
        <v>15042</v>
      </c>
      <c r="F126" s="14">
        <v>41067.0</v>
      </c>
      <c r="G126" s="14">
        <v>41066.0</v>
      </c>
      <c r="H126" s="14">
        <v>41085.0</v>
      </c>
      <c r="I126" s="13" t="s">
        <v>15043</v>
      </c>
    </row>
    <row r="127" ht="12.75" customHeight="1">
      <c r="A127" s="1">
        <v>26252.0</v>
      </c>
      <c r="B127" s="1" t="s">
        <v>21</v>
      </c>
      <c r="C127" s="1">
        <v>1280.0</v>
      </c>
      <c r="D127" s="1" t="s">
        <v>15044</v>
      </c>
      <c r="E127" s="13" t="s">
        <v>331</v>
      </c>
      <c r="F127" s="14">
        <v>41067.0</v>
      </c>
      <c r="G127" s="14">
        <v>41066.0</v>
      </c>
      <c r="H127" s="14">
        <v>41073.0</v>
      </c>
      <c r="I127" s="13" t="s">
        <v>15045</v>
      </c>
    </row>
    <row r="128" ht="12.75" customHeight="1">
      <c r="A128" s="1">
        <v>26236.0</v>
      </c>
      <c r="B128" s="1" t="s">
        <v>21</v>
      </c>
      <c r="C128" s="1">
        <v>765.0</v>
      </c>
      <c r="D128" s="1" t="s">
        <v>15046</v>
      </c>
      <c r="E128" s="13" t="s">
        <v>15047</v>
      </c>
      <c r="F128" s="14">
        <v>41066.0</v>
      </c>
      <c r="G128" s="14">
        <v>41073.0</v>
      </c>
      <c r="H128" s="14">
        <v>41073.0</v>
      </c>
      <c r="I128" s="13" t="s">
        <v>15048</v>
      </c>
    </row>
    <row r="129" ht="12.75" customHeight="1">
      <c r="A129" s="1">
        <v>26253.0</v>
      </c>
      <c r="B129" s="1" t="s">
        <v>21</v>
      </c>
      <c r="C129" s="1">
        <v>2195.0</v>
      </c>
      <c r="D129" s="1" t="s">
        <v>15049</v>
      </c>
      <c r="E129" s="13" t="s">
        <v>15050</v>
      </c>
      <c r="F129" s="14">
        <v>41066.0</v>
      </c>
      <c r="G129" s="14">
        <v>41066.0</v>
      </c>
      <c r="H129" s="14">
        <v>41072.0</v>
      </c>
      <c r="I129" s="13" t="s">
        <v>14999</v>
      </c>
    </row>
    <row r="130" ht="12.75" customHeight="1">
      <c r="A130" s="1">
        <v>26027.0</v>
      </c>
      <c r="B130" s="1" t="s">
        <v>21</v>
      </c>
      <c r="C130" s="1">
        <v>1615.0</v>
      </c>
      <c r="D130" s="1" t="s">
        <v>15051</v>
      </c>
      <c r="E130" s="13" t="s">
        <v>15052</v>
      </c>
      <c r="F130" s="14">
        <v>41064.0</v>
      </c>
      <c r="G130" s="14">
        <v>41064.0</v>
      </c>
      <c r="H130" s="14">
        <v>41071.0</v>
      </c>
      <c r="I130" s="13" t="s">
        <v>15053</v>
      </c>
    </row>
    <row r="131" ht="12.75" customHeight="1">
      <c r="A131" s="1">
        <v>26175.0</v>
      </c>
      <c r="B131" s="1" t="s">
        <v>14</v>
      </c>
      <c r="C131" s="1">
        <v>1250.0</v>
      </c>
      <c r="D131" s="1" t="s">
        <v>15054</v>
      </c>
      <c r="E131" s="13" t="s">
        <v>15055</v>
      </c>
      <c r="F131" s="14">
        <v>41061.0</v>
      </c>
      <c r="G131" s="14">
        <v>41078.0</v>
      </c>
      <c r="H131" s="14">
        <v>41072.0</v>
      </c>
      <c r="I131" s="13" t="s">
        <v>15056</v>
      </c>
    </row>
    <row r="132" ht="12.75" customHeight="1">
      <c r="A132" s="1">
        <v>25785.0</v>
      </c>
      <c r="B132" s="1" t="s">
        <v>21</v>
      </c>
      <c r="C132" s="1">
        <v>1940.0</v>
      </c>
      <c r="D132" s="1" t="s">
        <v>15057</v>
      </c>
      <c r="E132" s="13" t="s">
        <v>294</v>
      </c>
      <c r="F132" s="14">
        <v>41061.0</v>
      </c>
      <c r="G132" s="14">
        <v>41060.0</v>
      </c>
      <c r="H132" s="14">
        <v>41067.0</v>
      </c>
      <c r="I132" s="13" t="s">
        <v>15058</v>
      </c>
    </row>
    <row r="133" ht="12.75" customHeight="1">
      <c r="A133" s="33">
        <v>26009.0</v>
      </c>
      <c r="B133" s="33" t="s">
        <v>21</v>
      </c>
      <c r="C133" s="33">
        <v>588.0</v>
      </c>
      <c r="D133" s="33" t="s">
        <v>15059</v>
      </c>
      <c r="E133" s="24" t="s">
        <v>15060</v>
      </c>
      <c r="F133" s="29">
        <v>41060.0</v>
      </c>
      <c r="G133" s="29">
        <v>41058.0</v>
      </c>
      <c r="H133" s="29">
        <v>41059.0</v>
      </c>
      <c r="I133" s="24"/>
    </row>
    <row r="134" ht="6.75" customHeight="1">
      <c r="A134" s="27">
        <v>26257.0</v>
      </c>
      <c r="B134" s="33" t="s">
        <v>21</v>
      </c>
      <c r="C134" s="33">
        <v>230.0</v>
      </c>
      <c r="D134" s="33" t="s">
        <v>15061</v>
      </c>
      <c r="E134" s="24" t="s">
        <v>15062</v>
      </c>
      <c r="F134" s="29">
        <v>41060.0</v>
      </c>
      <c r="G134" s="29">
        <v>41072.0</v>
      </c>
      <c r="H134" s="29">
        <v>41072.0</v>
      </c>
      <c r="I134" s="24" t="s">
        <v>15063</v>
      </c>
    </row>
    <row r="135" ht="12.75" customHeight="1">
      <c r="A135" s="27">
        <v>26235.0</v>
      </c>
      <c r="B135" s="33" t="s">
        <v>21</v>
      </c>
      <c r="C135" s="33">
        <v>836.0</v>
      </c>
      <c r="D135" s="33" t="s">
        <v>15064</v>
      </c>
      <c r="E135" s="24" t="s">
        <v>15065</v>
      </c>
      <c r="F135" s="29">
        <v>41060.0</v>
      </c>
      <c r="G135" s="29">
        <v>41064.0</v>
      </c>
      <c r="H135" s="29">
        <v>41065.0</v>
      </c>
      <c r="I135" s="24" t="s">
        <v>15066</v>
      </c>
    </row>
    <row r="136" ht="12.75" customHeight="1">
      <c r="A136" s="33">
        <v>26192.0</v>
      </c>
      <c r="B136" s="33" t="s">
        <v>14</v>
      </c>
      <c r="C136" s="33">
        <v>836.0</v>
      </c>
      <c r="D136" s="33" t="s">
        <v>15067</v>
      </c>
      <c r="E136" s="24" t="s">
        <v>15068</v>
      </c>
      <c r="F136" s="29">
        <v>41052.0</v>
      </c>
      <c r="G136" s="29">
        <v>41053.0</v>
      </c>
      <c r="H136" s="29">
        <v>41059.0</v>
      </c>
      <c r="I136" s="24"/>
    </row>
    <row r="137" ht="12.75" customHeight="1">
      <c r="A137" s="33" t="s">
        <v>192</v>
      </c>
      <c r="B137" s="33" t="s">
        <v>21</v>
      </c>
      <c r="C137" s="33">
        <v>181.0</v>
      </c>
      <c r="D137" s="33" t="s">
        <v>15069</v>
      </c>
      <c r="E137" s="24" t="s">
        <v>15070</v>
      </c>
      <c r="F137" s="29">
        <v>41050.0</v>
      </c>
      <c r="G137" s="32" t="s">
        <v>210</v>
      </c>
      <c r="H137" s="29">
        <v>41053.0</v>
      </c>
      <c r="I137" s="24" t="s">
        <v>15071</v>
      </c>
    </row>
    <row r="138" ht="12.75" customHeight="1">
      <c r="A138" s="33">
        <v>26182.0</v>
      </c>
      <c r="B138" s="33" t="s">
        <v>14</v>
      </c>
      <c r="C138" s="33">
        <v>1275.0</v>
      </c>
      <c r="D138" s="33" t="s">
        <v>15072</v>
      </c>
      <c r="E138" s="24" t="s">
        <v>331</v>
      </c>
      <c r="F138" s="29">
        <v>41049.0</v>
      </c>
      <c r="G138" s="29">
        <v>41053.0</v>
      </c>
      <c r="H138" s="29">
        <v>41067.0</v>
      </c>
      <c r="I138" s="24" t="s">
        <v>15073</v>
      </c>
    </row>
    <row r="139" ht="12.75" customHeight="1">
      <c r="A139" s="27">
        <v>26232.0</v>
      </c>
      <c r="B139" s="33" t="s">
        <v>21</v>
      </c>
      <c r="C139" s="33">
        <v>100.0</v>
      </c>
      <c r="D139" s="33" t="s">
        <v>15074</v>
      </c>
      <c r="E139" s="24" t="s">
        <v>15075</v>
      </c>
      <c r="F139" s="29">
        <v>41044.0</v>
      </c>
      <c r="G139" s="29">
        <v>41060.0</v>
      </c>
      <c r="H139" s="29">
        <v>41044.0</v>
      </c>
      <c r="I139" s="24" t="s">
        <v>15076</v>
      </c>
    </row>
    <row r="140" ht="12.75" customHeight="1">
      <c r="A140" s="33">
        <v>26203.0</v>
      </c>
      <c r="B140" s="33" t="s">
        <v>21</v>
      </c>
      <c r="C140" s="33">
        <v>956.0</v>
      </c>
      <c r="D140" s="33" t="s">
        <v>15077</v>
      </c>
      <c r="E140" s="24" t="s">
        <v>15078</v>
      </c>
      <c r="F140" s="29">
        <v>41044.0</v>
      </c>
      <c r="G140" s="29">
        <v>41044.0</v>
      </c>
      <c r="H140" s="29">
        <v>41051.0</v>
      </c>
      <c r="I140" s="24" t="s">
        <v>15079</v>
      </c>
    </row>
    <row r="141" ht="12.75" customHeight="1">
      <c r="A141" s="33">
        <v>26132.0</v>
      </c>
      <c r="B141" s="33" t="s">
        <v>14</v>
      </c>
      <c r="C141" s="33">
        <v>587.0</v>
      </c>
      <c r="D141" s="33" t="s">
        <v>15080</v>
      </c>
      <c r="E141" s="24" t="s">
        <v>15081</v>
      </c>
      <c r="F141" s="29">
        <v>41043.0</v>
      </c>
      <c r="G141" s="29">
        <v>41059.0</v>
      </c>
      <c r="H141" s="29">
        <v>41053.0</v>
      </c>
      <c r="I141" s="24" t="s">
        <v>15082</v>
      </c>
    </row>
    <row r="142" ht="12.75" customHeight="1">
      <c r="A142" s="33">
        <v>25784.0</v>
      </c>
      <c r="B142" s="33" t="s">
        <v>14</v>
      </c>
      <c r="C142" s="33">
        <v>940.0</v>
      </c>
      <c r="D142" s="33" t="s">
        <v>15083</v>
      </c>
      <c r="E142" s="24" t="s">
        <v>294</v>
      </c>
      <c r="F142" s="29">
        <v>41036.0</v>
      </c>
      <c r="G142" s="29">
        <v>41043.0</v>
      </c>
      <c r="H142" s="29">
        <v>41040.0</v>
      </c>
      <c r="I142" s="24"/>
    </row>
    <row r="143" ht="12.75" customHeight="1">
      <c r="A143" s="33">
        <v>26130.0</v>
      </c>
      <c r="B143" s="33" t="s">
        <v>21</v>
      </c>
      <c r="C143" s="33">
        <v>1250.0</v>
      </c>
      <c r="D143" s="33" t="s">
        <v>15084</v>
      </c>
      <c r="E143" s="24" t="s">
        <v>15085</v>
      </c>
      <c r="F143" s="29">
        <v>41032.0</v>
      </c>
      <c r="G143" s="29">
        <v>41030.0</v>
      </c>
      <c r="H143" s="29">
        <v>40673.0</v>
      </c>
      <c r="I143" s="24" t="s">
        <v>15086</v>
      </c>
    </row>
    <row r="144" ht="12.75" customHeight="1">
      <c r="A144" s="33">
        <v>26147.0</v>
      </c>
      <c r="B144" s="33" t="s">
        <v>21</v>
      </c>
      <c r="C144" s="33">
        <v>716.0</v>
      </c>
      <c r="D144" s="33" t="s">
        <v>15087</v>
      </c>
      <c r="E144" s="24" t="s">
        <v>14965</v>
      </c>
      <c r="F144" s="29">
        <v>41031.0</v>
      </c>
      <c r="G144" s="29">
        <v>41030.0</v>
      </c>
      <c r="H144" s="29">
        <v>40672.0</v>
      </c>
      <c r="I144" s="24" t="s">
        <v>15088</v>
      </c>
    </row>
    <row r="145" ht="12.75" customHeight="1">
      <c r="A145" s="33">
        <v>25871.0</v>
      </c>
      <c r="B145" s="33" t="s">
        <v>21</v>
      </c>
      <c r="C145" s="33">
        <v>555.0</v>
      </c>
      <c r="D145" s="33" t="s">
        <v>15089</v>
      </c>
      <c r="E145" s="24" t="s">
        <v>434</v>
      </c>
      <c r="F145" s="29">
        <v>41030.0</v>
      </c>
      <c r="G145" s="29">
        <v>41030.0</v>
      </c>
      <c r="H145" s="29">
        <v>41038.0</v>
      </c>
      <c r="I145" s="24" t="s">
        <v>15090</v>
      </c>
    </row>
    <row r="146" ht="12.75" customHeight="1">
      <c r="A146" s="33">
        <v>26133.0</v>
      </c>
      <c r="B146" s="33" t="s">
        <v>14</v>
      </c>
      <c r="C146" s="33">
        <v>1050.0</v>
      </c>
      <c r="D146" s="33" t="s">
        <v>15091</v>
      </c>
      <c r="E146" s="24" t="s">
        <v>14948</v>
      </c>
      <c r="F146" s="29">
        <v>41029.0</v>
      </c>
      <c r="G146" s="29">
        <v>41033.0</v>
      </c>
      <c r="H146" s="29">
        <v>41037.0</v>
      </c>
      <c r="I146" s="24"/>
    </row>
    <row r="147" ht="12.75" customHeight="1">
      <c r="A147" s="33" t="s">
        <v>192</v>
      </c>
      <c r="B147" s="33" t="s">
        <v>21</v>
      </c>
      <c r="C147" s="33">
        <v>619.0</v>
      </c>
      <c r="D147" s="33" t="s">
        <v>15092</v>
      </c>
      <c r="E147" s="24" t="s">
        <v>15093</v>
      </c>
      <c r="F147" s="29">
        <v>41029.0</v>
      </c>
      <c r="G147" s="32" t="s">
        <v>210</v>
      </c>
      <c r="H147" s="29">
        <v>41033.0</v>
      </c>
      <c r="I147" s="24" t="s">
        <v>15094</v>
      </c>
    </row>
    <row r="148" ht="12.75" customHeight="1">
      <c r="A148" s="33">
        <v>25916.0</v>
      </c>
      <c r="B148" s="33" t="s">
        <v>21</v>
      </c>
      <c r="C148" s="33">
        <v>962.0</v>
      </c>
      <c r="D148" s="33" t="s">
        <v>15095</v>
      </c>
      <c r="E148" s="24" t="s">
        <v>279</v>
      </c>
      <c r="F148" s="29">
        <v>41027.0</v>
      </c>
      <c r="G148" s="29">
        <v>41024.0</v>
      </c>
      <c r="H148" s="29">
        <v>41036.0</v>
      </c>
      <c r="I148" s="24" t="s">
        <v>15096</v>
      </c>
    </row>
    <row r="149" ht="12.75" customHeight="1">
      <c r="A149" s="33">
        <v>26149.0</v>
      </c>
      <c r="B149" s="33" t="s">
        <v>21</v>
      </c>
      <c r="C149" s="33">
        <v>975.0</v>
      </c>
      <c r="D149" s="27" t="s">
        <v>15097</v>
      </c>
      <c r="E149" s="24" t="s">
        <v>15098</v>
      </c>
      <c r="F149" s="29">
        <v>41023.0</v>
      </c>
      <c r="G149" s="29">
        <v>41022.0</v>
      </c>
      <c r="H149" s="29">
        <v>41031.0</v>
      </c>
      <c r="I149" s="24" t="s">
        <v>15099</v>
      </c>
    </row>
    <row r="150" ht="12.75" customHeight="1">
      <c r="A150" s="33">
        <v>26085.0</v>
      </c>
      <c r="B150" s="33" t="s">
        <v>14</v>
      </c>
      <c r="C150" s="33">
        <v>2195.0</v>
      </c>
      <c r="D150" s="27" t="s">
        <v>15100</v>
      </c>
      <c r="E150" s="24" t="s">
        <v>15101</v>
      </c>
      <c r="F150" s="29">
        <v>41017.0</v>
      </c>
      <c r="G150" s="29">
        <v>41018.0</v>
      </c>
      <c r="H150" s="29">
        <v>41022.0</v>
      </c>
      <c r="I150" s="24"/>
    </row>
    <row r="151" ht="12.75" customHeight="1">
      <c r="A151" s="33">
        <v>26084.0</v>
      </c>
      <c r="B151" s="33" t="s">
        <v>14</v>
      </c>
      <c r="C151" s="33">
        <v>1280.0</v>
      </c>
      <c r="D151" s="33" t="s">
        <v>15102</v>
      </c>
      <c r="E151" s="24" t="s">
        <v>331</v>
      </c>
      <c r="F151" s="29">
        <v>41017.0</v>
      </c>
      <c r="G151" s="29">
        <v>41018.0</v>
      </c>
      <c r="H151" s="29">
        <v>41022.0</v>
      </c>
      <c r="I151" s="24"/>
    </row>
    <row r="152" ht="12.75" customHeight="1">
      <c r="A152" s="33">
        <v>26107.0</v>
      </c>
      <c r="B152" s="33" t="s">
        <v>21</v>
      </c>
      <c r="C152" s="33">
        <v>465.0</v>
      </c>
      <c r="D152" s="33" t="s">
        <v>15103</v>
      </c>
      <c r="E152" s="24" t="s">
        <v>14962</v>
      </c>
      <c r="F152" s="29">
        <v>41016.0</v>
      </c>
      <c r="G152" s="29">
        <v>41017.0</v>
      </c>
      <c r="H152" s="29">
        <v>41026.0</v>
      </c>
      <c r="I152" s="24"/>
    </row>
    <row r="153" ht="12.75" customHeight="1">
      <c r="A153" s="33">
        <v>25949.0</v>
      </c>
      <c r="B153" s="33" t="s">
        <v>21</v>
      </c>
      <c r="C153" s="33">
        <v>780.0</v>
      </c>
      <c r="D153" s="27" t="s">
        <v>15104</v>
      </c>
      <c r="E153" s="24" t="s">
        <v>376</v>
      </c>
      <c r="F153" s="29">
        <v>41016.0</v>
      </c>
      <c r="G153" s="29">
        <v>41017.0</v>
      </c>
      <c r="H153" s="29">
        <v>41018.0</v>
      </c>
      <c r="I153" s="24"/>
    </row>
    <row r="154" ht="12.75" customHeight="1">
      <c r="A154" s="33">
        <v>26018.0</v>
      </c>
      <c r="B154" s="33" t="s">
        <v>21</v>
      </c>
      <c r="C154" s="33">
        <v>9.0</v>
      </c>
      <c r="D154" s="27" t="s">
        <v>15105</v>
      </c>
      <c r="E154" s="24" t="s">
        <v>15106</v>
      </c>
      <c r="F154" s="29">
        <v>41016.0</v>
      </c>
      <c r="G154" s="29">
        <v>41017.0</v>
      </c>
      <c r="H154" s="29">
        <v>41018.0</v>
      </c>
      <c r="I154" s="24"/>
    </row>
    <row r="155" ht="12.75" customHeight="1">
      <c r="A155" s="33">
        <v>26083.0</v>
      </c>
      <c r="B155" s="33" t="s">
        <v>21</v>
      </c>
      <c r="C155" s="33">
        <v>1275.0</v>
      </c>
      <c r="D155" s="33" t="s">
        <v>15107</v>
      </c>
      <c r="E155" s="24" t="s">
        <v>331</v>
      </c>
      <c r="F155" s="29">
        <v>41010.0</v>
      </c>
      <c r="G155" s="29">
        <v>41010.0</v>
      </c>
      <c r="H155" s="29">
        <v>41017.0</v>
      </c>
      <c r="I155" s="24" t="s">
        <v>15108</v>
      </c>
    </row>
    <row r="156" ht="12.75" customHeight="1">
      <c r="A156" s="33">
        <v>1307.0</v>
      </c>
      <c r="B156" s="33" t="s">
        <v>21</v>
      </c>
      <c r="C156" s="33">
        <v>673.0</v>
      </c>
      <c r="D156" s="27" t="s">
        <v>15109</v>
      </c>
      <c r="E156" s="24" t="s">
        <v>15110</v>
      </c>
      <c r="F156" s="29">
        <v>41009.0</v>
      </c>
      <c r="G156" s="29">
        <v>41008.0</v>
      </c>
      <c r="H156" s="29">
        <v>41016.0</v>
      </c>
      <c r="I156" s="24" t="s">
        <v>15111</v>
      </c>
    </row>
    <row r="157" ht="12.75" customHeight="1">
      <c r="A157" s="33">
        <v>25504.0</v>
      </c>
      <c r="B157" s="33" t="s">
        <v>21</v>
      </c>
      <c r="C157" s="33">
        <v>500.0</v>
      </c>
      <c r="D157" s="33" t="s">
        <v>15112</v>
      </c>
      <c r="E157" s="24" t="s">
        <v>15113</v>
      </c>
      <c r="F157" s="29">
        <v>41007.0</v>
      </c>
      <c r="G157" s="29">
        <v>41010.0</v>
      </c>
      <c r="H157" s="29">
        <v>41012.0</v>
      </c>
      <c r="I157" s="24" t="s">
        <v>15114</v>
      </c>
    </row>
    <row r="158" ht="12.75" customHeight="1">
      <c r="A158" s="33">
        <v>25988.0</v>
      </c>
      <c r="B158" s="33" t="s">
        <v>21</v>
      </c>
      <c r="C158" s="27" t="s">
        <v>15115</v>
      </c>
      <c r="D158" s="27" t="s">
        <v>15116</v>
      </c>
      <c r="E158" s="24" t="s">
        <v>15117</v>
      </c>
      <c r="F158" s="29">
        <v>41005.0</v>
      </c>
      <c r="G158" s="29">
        <v>41010.0</v>
      </c>
      <c r="H158" s="29">
        <v>41010.0</v>
      </c>
      <c r="I158" s="24"/>
    </row>
    <row r="159" ht="12.75" customHeight="1">
      <c r="A159" s="33">
        <v>25651.0</v>
      </c>
      <c r="B159" s="33" t="s">
        <v>21</v>
      </c>
      <c r="C159" s="33">
        <v>555.0</v>
      </c>
      <c r="D159" s="33" t="s">
        <v>15118</v>
      </c>
      <c r="E159" s="24" t="s">
        <v>434</v>
      </c>
      <c r="F159" s="29">
        <v>41005.0</v>
      </c>
      <c r="G159" s="29">
        <v>41005.0</v>
      </c>
      <c r="H159" s="29">
        <v>41011.0</v>
      </c>
      <c r="I159" s="24"/>
    </row>
    <row r="160" ht="12.75" customHeight="1">
      <c r="A160" s="33" t="s">
        <v>192</v>
      </c>
      <c r="B160" s="33" t="s">
        <v>21</v>
      </c>
      <c r="C160" s="33">
        <v>160.0</v>
      </c>
      <c r="D160" s="27" t="s">
        <v>15119</v>
      </c>
      <c r="E160" s="24" t="s">
        <v>15120</v>
      </c>
      <c r="F160" s="29">
        <v>41001.0</v>
      </c>
      <c r="G160" s="32" t="s">
        <v>210</v>
      </c>
      <c r="H160" s="29">
        <v>41003.0</v>
      </c>
      <c r="I160" s="24" t="s">
        <v>15121</v>
      </c>
    </row>
    <row r="161" ht="12.75" customHeight="1">
      <c r="A161" s="33">
        <v>26086.0</v>
      </c>
      <c r="B161" s="33" t="s">
        <v>25</v>
      </c>
      <c r="C161" s="33">
        <v>2051.0</v>
      </c>
      <c r="D161" s="27" t="s">
        <v>15122</v>
      </c>
      <c r="E161" s="24" t="s">
        <v>15123</v>
      </c>
      <c r="F161" s="29">
        <v>41001.0</v>
      </c>
      <c r="G161" s="29">
        <v>40998.0</v>
      </c>
      <c r="H161" s="29">
        <v>41003.0</v>
      </c>
      <c r="I161" s="24"/>
    </row>
    <row r="162" ht="12.75" customHeight="1">
      <c r="A162" s="33">
        <v>25783.0</v>
      </c>
      <c r="B162" s="33" t="s">
        <v>21</v>
      </c>
      <c r="C162" s="33">
        <v>940.0</v>
      </c>
      <c r="D162" s="33" t="s">
        <v>15124</v>
      </c>
      <c r="E162" s="24" t="s">
        <v>15125</v>
      </c>
      <c r="F162" s="29">
        <v>41001.0</v>
      </c>
      <c r="G162" s="29">
        <v>40998.0</v>
      </c>
      <c r="H162" s="29">
        <v>41009.0</v>
      </c>
      <c r="I162" s="24" t="s">
        <v>15126</v>
      </c>
    </row>
    <row r="163" ht="12.75" customHeight="1">
      <c r="A163" s="33">
        <v>25914.0</v>
      </c>
      <c r="B163" s="33" t="s">
        <v>21</v>
      </c>
      <c r="C163" s="33">
        <v>525.0</v>
      </c>
      <c r="D163" s="33" t="s">
        <v>15127</v>
      </c>
      <c r="E163" s="24" t="s">
        <v>384</v>
      </c>
      <c r="F163" s="29">
        <v>40997.0</v>
      </c>
      <c r="G163" s="29">
        <v>41002.0</v>
      </c>
      <c r="H163" s="29">
        <v>41005.0</v>
      </c>
      <c r="I163" s="24" t="s">
        <v>15128</v>
      </c>
    </row>
    <row r="164" ht="12.75" customHeight="1">
      <c r="A164" s="33">
        <v>25672.0</v>
      </c>
      <c r="B164" s="33" t="s">
        <v>14</v>
      </c>
      <c r="C164" s="33">
        <v>1748.0</v>
      </c>
      <c r="D164" s="27" t="s">
        <v>15129</v>
      </c>
      <c r="E164" s="24" t="s">
        <v>675</v>
      </c>
      <c r="F164" s="29">
        <v>40996.0</v>
      </c>
      <c r="G164" s="29">
        <v>40997.0</v>
      </c>
      <c r="H164" s="29">
        <v>40998.0</v>
      </c>
      <c r="I164" s="24"/>
    </row>
    <row r="165" ht="12.75" customHeight="1">
      <c r="A165" s="33">
        <v>26030.0</v>
      </c>
      <c r="B165" s="33" t="s">
        <v>14</v>
      </c>
      <c r="C165" s="33">
        <v>1280.0</v>
      </c>
      <c r="D165" s="33" t="s">
        <v>15130</v>
      </c>
      <c r="E165" s="24" t="s">
        <v>331</v>
      </c>
      <c r="F165" s="29">
        <v>40996.0</v>
      </c>
      <c r="G165" s="29">
        <v>41001.0</v>
      </c>
      <c r="H165" s="29">
        <v>41004.0</v>
      </c>
      <c r="I165" s="24"/>
    </row>
    <row r="166" ht="12.75" customHeight="1">
      <c r="A166" s="33">
        <v>26005.0</v>
      </c>
      <c r="B166" s="33" t="s">
        <v>14</v>
      </c>
      <c r="C166" s="33">
        <v>1250.0</v>
      </c>
      <c r="D166" s="33" t="s">
        <v>15131</v>
      </c>
      <c r="E166" s="24" t="s">
        <v>15132</v>
      </c>
      <c r="F166" s="29">
        <v>40995.0</v>
      </c>
      <c r="G166" s="29">
        <v>41012.0</v>
      </c>
      <c r="H166" s="29">
        <v>41004.0</v>
      </c>
      <c r="I166" s="24" t="s">
        <v>15133</v>
      </c>
    </row>
    <row r="167" ht="12.75" customHeight="1">
      <c r="A167" s="33">
        <v>25938.0</v>
      </c>
      <c r="B167" s="33" t="s">
        <v>21</v>
      </c>
      <c r="C167" s="33">
        <v>495.0</v>
      </c>
      <c r="D167" s="33" t="s">
        <v>15134</v>
      </c>
      <c r="E167" s="24" t="s">
        <v>347</v>
      </c>
      <c r="F167" s="29">
        <v>40994.0</v>
      </c>
      <c r="G167" s="29">
        <v>40994.0</v>
      </c>
      <c r="H167" s="29">
        <v>41002.0</v>
      </c>
      <c r="I167" s="24" t="s">
        <v>15135</v>
      </c>
    </row>
    <row r="168" ht="12.75" customHeight="1">
      <c r="A168" s="33">
        <v>26062.0</v>
      </c>
      <c r="B168" s="33" t="s">
        <v>21</v>
      </c>
      <c r="C168" s="33">
        <v>1025.0</v>
      </c>
      <c r="D168" s="33" t="s">
        <v>15136</v>
      </c>
      <c r="E168" s="24" t="s">
        <v>14948</v>
      </c>
      <c r="F168" s="29">
        <v>40991.0</v>
      </c>
      <c r="G168" s="29">
        <v>40990.0</v>
      </c>
      <c r="H168" s="29">
        <v>40998.0</v>
      </c>
      <c r="I168" s="24" t="s">
        <v>15137</v>
      </c>
    </row>
    <row r="169" ht="12.75" customHeight="1">
      <c r="A169" s="33">
        <v>26020.0</v>
      </c>
      <c r="B169" s="33" t="s">
        <v>14</v>
      </c>
      <c r="C169" s="33">
        <v>1848.0</v>
      </c>
      <c r="D169" s="33" t="s">
        <v>15138</v>
      </c>
      <c r="E169" s="24" t="s">
        <v>15068</v>
      </c>
      <c r="F169" s="29">
        <v>40988.0</v>
      </c>
      <c r="G169" s="29">
        <v>40988.0</v>
      </c>
      <c r="H169" s="29">
        <v>40994.0</v>
      </c>
      <c r="I169" s="24"/>
    </row>
    <row r="170" ht="12.75" customHeight="1">
      <c r="A170" s="33">
        <v>25759.0</v>
      </c>
      <c r="B170" s="33" t="s">
        <v>21</v>
      </c>
      <c r="C170" s="33">
        <v>1134.0</v>
      </c>
      <c r="D170" s="33" t="s">
        <v>15139</v>
      </c>
      <c r="E170" s="24" t="s">
        <v>12555</v>
      </c>
      <c r="F170" s="29">
        <v>40985.0</v>
      </c>
      <c r="G170" s="29">
        <v>40987.0</v>
      </c>
      <c r="H170" s="29">
        <v>40994.0</v>
      </c>
      <c r="I170" s="24" t="s">
        <v>15140</v>
      </c>
    </row>
    <row r="171" ht="12.75" customHeight="1">
      <c r="A171" s="33">
        <v>25870.0</v>
      </c>
      <c r="B171" s="33" t="s">
        <v>21</v>
      </c>
      <c r="C171" s="33">
        <v>971.0</v>
      </c>
      <c r="D171" s="33" t="s">
        <v>15141</v>
      </c>
      <c r="E171" s="24" t="s">
        <v>15142</v>
      </c>
      <c r="F171" s="29">
        <v>40984.0</v>
      </c>
      <c r="G171" s="29">
        <v>40983.0</v>
      </c>
      <c r="H171" s="29">
        <v>40990.0</v>
      </c>
      <c r="I171" s="24" t="s">
        <v>15143</v>
      </c>
    </row>
    <row r="172" ht="12.75" customHeight="1">
      <c r="A172" s="33">
        <v>26054.0</v>
      </c>
      <c r="B172" s="33" t="s">
        <v>21</v>
      </c>
      <c r="C172" s="33">
        <v>836.0</v>
      </c>
      <c r="D172" s="33" t="s">
        <v>15144</v>
      </c>
      <c r="E172" s="24" t="s">
        <v>15145</v>
      </c>
      <c r="F172" s="29">
        <v>40984.0</v>
      </c>
      <c r="G172" s="29">
        <v>41001.0</v>
      </c>
      <c r="H172" s="29">
        <v>40991.0</v>
      </c>
      <c r="I172" s="24" t="s">
        <v>15146</v>
      </c>
    </row>
    <row r="173" ht="12.75" customHeight="1">
      <c r="A173" s="33">
        <v>25993.0</v>
      </c>
      <c r="B173" s="33" t="s">
        <v>21</v>
      </c>
      <c r="C173" s="33">
        <v>25.0</v>
      </c>
      <c r="D173" s="33" t="s">
        <v>15147</v>
      </c>
      <c r="E173" s="24" t="s">
        <v>15148</v>
      </c>
      <c r="F173" s="29">
        <v>40980.0</v>
      </c>
      <c r="G173" s="32" t="s">
        <v>210</v>
      </c>
      <c r="H173" s="29">
        <v>40983.0</v>
      </c>
      <c r="I173" s="24"/>
    </row>
    <row r="174" ht="12.75" customHeight="1">
      <c r="A174" s="33">
        <v>25854.0</v>
      </c>
      <c r="B174" s="33" t="s">
        <v>14</v>
      </c>
      <c r="C174" s="33">
        <v>810.0</v>
      </c>
      <c r="D174" s="33" t="s">
        <v>15149</v>
      </c>
      <c r="E174" s="24" t="s">
        <v>12677</v>
      </c>
      <c r="F174" s="29">
        <v>40980.0</v>
      </c>
      <c r="G174" s="29">
        <v>40981.0</v>
      </c>
      <c r="H174" s="29">
        <v>40983.0</v>
      </c>
      <c r="I174" s="24"/>
    </row>
    <row r="175" ht="12.75" customHeight="1">
      <c r="A175" s="33">
        <v>25760.0</v>
      </c>
      <c r="B175" s="33" t="s">
        <v>14</v>
      </c>
      <c r="C175" s="33">
        <v>1134.0</v>
      </c>
      <c r="D175" s="33" t="s">
        <v>15150</v>
      </c>
      <c r="E175" s="24" t="s">
        <v>12555</v>
      </c>
      <c r="F175" s="29">
        <v>40978.0</v>
      </c>
      <c r="G175" s="29">
        <v>40976.0</v>
      </c>
      <c r="H175" s="29">
        <v>40983.0</v>
      </c>
      <c r="I175" s="24"/>
    </row>
    <row r="176" ht="12.75" customHeight="1">
      <c r="A176" s="33">
        <v>26053.0</v>
      </c>
      <c r="B176" s="33" t="s">
        <v>21</v>
      </c>
      <c r="C176" s="33">
        <v>10.0</v>
      </c>
      <c r="D176" s="33" t="s">
        <v>15151</v>
      </c>
      <c r="E176" s="24" t="s">
        <v>15152</v>
      </c>
      <c r="F176" s="29">
        <v>40975.0</v>
      </c>
      <c r="G176" s="32"/>
      <c r="H176" s="29">
        <v>40977.0</v>
      </c>
      <c r="I176" s="24" t="s">
        <v>15153</v>
      </c>
    </row>
    <row r="177" ht="12.75" customHeight="1">
      <c r="A177" s="33">
        <v>26008.0</v>
      </c>
      <c r="B177" s="33" t="s">
        <v>21</v>
      </c>
      <c r="C177" s="33">
        <v>230.0</v>
      </c>
      <c r="D177" s="33" t="s">
        <v>15154</v>
      </c>
      <c r="E177" s="24" t="s">
        <v>14962</v>
      </c>
      <c r="F177" s="29">
        <v>40974.0</v>
      </c>
      <c r="G177" s="29">
        <v>40970.0</v>
      </c>
      <c r="H177" s="29">
        <v>40982.0</v>
      </c>
      <c r="I177" s="24" t="s">
        <v>15155</v>
      </c>
    </row>
    <row r="178" ht="12.75" customHeight="1">
      <c r="A178" s="33">
        <v>25864.0</v>
      </c>
      <c r="B178" s="33" t="s">
        <v>21</v>
      </c>
      <c r="C178" s="33">
        <v>680.0</v>
      </c>
      <c r="D178" s="33" t="s">
        <v>15156</v>
      </c>
      <c r="E178" s="24" t="s">
        <v>419</v>
      </c>
      <c r="F178" s="29">
        <v>40970.0</v>
      </c>
      <c r="G178" s="29">
        <v>40969.0</v>
      </c>
      <c r="H178" s="29">
        <v>40977.0</v>
      </c>
      <c r="I178" s="24" t="s">
        <v>15157</v>
      </c>
    </row>
    <row r="179" ht="12.75" customHeight="1">
      <c r="A179" s="33" t="s">
        <v>192</v>
      </c>
      <c r="B179" s="33" t="s">
        <v>21</v>
      </c>
      <c r="C179" s="33">
        <v>191.0</v>
      </c>
      <c r="D179" s="33" t="s">
        <v>15158</v>
      </c>
      <c r="E179" s="24" t="s">
        <v>15159</v>
      </c>
      <c r="F179" s="29">
        <v>40966.0</v>
      </c>
      <c r="G179" s="32" t="s">
        <v>210</v>
      </c>
      <c r="H179" s="29">
        <v>40970.0</v>
      </c>
      <c r="I179" s="24" t="s">
        <v>15160</v>
      </c>
    </row>
    <row r="180" ht="12.75" customHeight="1">
      <c r="A180" s="33">
        <v>25663.0</v>
      </c>
      <c r="B180" s="33" t="s">
        <v>14</v>
      </c>
      <c r="C180" s="33">
        <v>940.0</v>
      </c>
      <c r="D180" s="33" t="s">
        <v>15161</v>
      </c>
      <c r="E180" s="24" t="s">
        <v>15125</v>
      </c>
      <c r="F180" s="29">
        <v>40966.0</v>
      </c>
      <c r="G180" s="29">
        <v>40969.0</v>
      </c>
      <c r="H180" s="29">
        <v>40970.0</v>
      </c>
      <c r="I180" s="24"/>
    </row>
    <row r="181" ht="12.75" customHeight="1">
      <c r="A181" s="33">
        <v>25664.0</v>
      </c>
      <c r="B181" s="33" t="s">
        <v>21</v>
      </c>
      <c r="C181" s="33">
        <v>1940.0</v>
      </c>
      <c r="D181" s="33" t="s">
        <v>15162</v>
      </c>
      <c r="E181" s="24" t="s">
        <v>15125</v>
      </c>
      <c r="F181" s="29">
        <v>40966.0</v>
      </c>
      <c r="G181" s="29">
        <v>40966.0</v>
      </c>
      <c r="H181" s="29">
        <v>40973.0</v>
      </c>
      <c r="I181" s="24"/>
    </row>
    <row r="182" ht="12.75" customHeight="1">
      <c r="A182" s="33">
        <v>25652.0</v>
      </c>
      <c r="B182" s="33" t="s">
        <v>14</v>
      </c>
      <c r="C182" s="33">
        <v>530.0</v>
      </c>
      <c r="D182" s="33" t="s">
        <v>15163</v>
      </c>
      <c r="E182" s="24" t="s">
        <v>434</v>
      </c>
      <c r="F182" s="29">
        <v>40962.0</v>
      </c>
      <c r="G182" s="29">
        <v>40982.0</v>
      </c>
      <c r="H182" s="29">
        <v>40973.0</v>
      </c>
      <c r="I182" s="24" t="s">
        <v>15164</v>
      </c>
    </row>
    <row r="183" ht="12.75" customHeight="1">
      <c r="A183" s="33">
        <v>25965.0</v>
      </c>
      <c r="B183" s="33" t="s">
        <v>14</v>
      </c>
      <c r="C183" s="33">
        <v>400.0</v>
      </c>
      <c r="D183" s="33" t="s">
        <v>15165</v>
      </c>
      <c r="E183" s="24" t="s">
        <v>15166</v>
      </c>
      <c r="F183" s="29">
        <v>40959.0</v>
      </c>
      <c r="G183" s="29">
        <v>40962.0</v>
      </c>
      <c r="H183" s="29">
        <v>40963.0</v>
      </c>
      <c r="I183" s="24" t="s">
        <v>15167</v>
      </c>
    </row>
    <row r="184" ht="12.75" customHeight="1">
      <c r="A184" s="27">
        <v>25966.0</v>
      </c>
      <c r="B184" s="33" t="s">
        <v>21</v>
      </c>
      <c r="C184" s="33">
        <v>836.0</v>
      </c>
      <c r="D184" s="33" t="s">
        <v>15168</v>
      </c>
      <c r="E184" s="24" t="s">
        <v>15169</v>
      </c>
      <c r="F184" s="29">
        <v>40958.0</v>
      </c>
      <c r="G184" s="29">
        <v>40960.0</v>
      </c>
      <c r="H184" s="29">
        <v>40966.0</v>
      </c>
      <c r="I184" s="24" t="s">
        <v>15170</v>
      </c>
    </row>
    <row r="185" ht="12.75" customHeight="1">
      <c r="A185" s="33">
        <v>25978.0</v>
      </c>
      <c r="B185" s="33" t="s">
        <v>21</v>
      </c>
      <c r="C185" s="33">
        <v>794.0</v>
      </c>
      <c r="D185" s="33" t="s">
        <v>15171</v>
      </c>
      <c r="E185" s="24" t="s">
        <v>14772</v>
      </c>
      <c r="F185" s="29">
        <v>40955.0</v>
      </c>
      <c r="G185" s="29">
        <v>40952.0</v>
      </c>
      <c r="H185" s="29">
        <v>40962.0</v>
      </c>
      <c r="I185" s="24" t="s">
        <v>15172</v>
      </c>
    </row>
    <row r="186" ht="12.75" customHeight="1">
      <c r="A186" s="33">
        <v>25521.0</v>
      </c>
      <c r="B186" s="33" t="s">
        <v>21</v>
      </c>
      <c r="C186" s="33">
        <v>1950.0</v>
      </c>
      <c r="D186" s="33" t="s">
        <v>15173</v>
      </c>
      <c r="E186" s="24" t="s">
        <v>14976</v>
      </c>
      <c r="F186" s="29">
        <v>40955.0</v>
      </c>
      <c r="G186" s="29">
        <v>40960.0</v>
      </c>
      <c r="H186" s="29">
        <v>40963.0</v>
      </c>
      <c r="I186" s="24" t="s">
        <v>15174</v>
      </c>
    </row>
    <row r="187" ht="12.75" customHeight="1">
      <c r="A187" s="27">
        <v>25960.0</v>
      </c>
      <c r="B187" s="33" t="s">
        <v>21</v>
      </c>
      <c r="C187" s="33">
        <v>466.0</v>
      </c>
      <c r="D187" s="33" t="s">
        <v>15175</v>
      </c>
      <c r="E187" s="24" t="s">
        <v>14962</v>
      </c>
      <c r="F187" s="29">
        <v>40950.0</v>
      </c>
      <c r="G187" s="29">
        <v>40952.0</v>
      </c>
      <c r="H187" s="29">
        <v>40956.0</v>
      </c>
      <c r="I187" s="24" t="s">
        <v>15176</v>
      </c>
    </row>
    <row r="188" ht="12.75" customHeight="1">
      <c r="A188" s="27">
        <v>25882.0</v>
      </c>
      <c r="B188" s="33" t="s">
        <v>21</v>
      </c>
      <c r="C188" s="33">
        <v>4.0</v>
      </c>
      <c r="D188" s="33" t="s">
        <v>15177</v>
      </c>
      <c r="E188" s="24" t="s">
        <v>15106</v>
      </c>
      <c r="F188" s="29">
        <v>40949.0</v>
      </c>
      <c r="G188" s="29">
        <v>40952.0</v>
      </c>
      <c r="H188" s="29">
        <v>40956.0</v>
      </c>
      <c r="I188" s="24" t="s">
        <v>15178</v>
      </c>
    </row>
    <row r="189" ht="12.75" customHeight="1">
      <c r="A189" s="27">
        <v>25968.0</v>
      </c>
      <c r="B189" s="33" t="s">
        <v>21</v>
      </c>
      <c r="C189" s="33">
        <v>830.0</v>
      </c>
      <c r="D189" s="33" t="s">
        <v>15179</v>
      </c>
      <c r="E189" s="24" t="s">
        <v>14948</v>
      </c>
      <c r="F189" s="29">
        <v>40947.0</v>
      </c>
      <c r="G189" s="29">
        <v>40949.0</v>
      </c>
      <c r="H189" s="29">
        <v>40954.0</v>
      </c>
      <c r="I189" s="24" t="s">
        <v>15180</v>
      </c>
    </row>
    <row r="190" ht="12.75" customHeight="1">
      <c r="A190" s="27">
        <v>25934.0</v>
      </c>
      <c r="B190" s="33" t="s">
        <v>14</v>
      </c>
      <c r="C190" s="33">
        <v>2042.0</v>
      </c>
      <c r="D190" s="33" t="s">
        <v>15181</v>
      </c>
      <c r="E190" s="24" t="s">
        <v>15182</v>
      </c>
      <c r="F190" s="29">
        <v>40947.0</v>
      </c>
      <c r="G190" s="29">
        <v>40947.0</v>
      </c>
      <c r="H190" s="29">
        <v>40954.0</v>
      </c>
      <c r="I190" s="24"/>
    </row>
    <row r="191" ht="12.75" customHeight="1">
      <c r="A191" s="27">
        <v>25964.0</v>
      </c>
      <c r="B191" s="33" t="s">
        <v>21</v>
      </c>
      <c r="C191" s="33">
        <v>1250.0</v>
      </c>
      <c r="D191" s="33" t="s">
        <v>15183</v>
      </c>
      <c r="E191" s="24" t="s">
        <v>15132</v>
      </c>
      <c r="F191" s="29">
        <v>40946.0</v>
      </c>
      <c r="G191" s="29">
        <v>40949.0</v>
      </c>
      <c r="H191" s="29">
        <v>40955.0</v>
      </c>
      <c r="I191" s="24" t="s">
        <v>15184</v>
      </c>
    </row>
    <row r="192" ht="12.75" customHeight="1">
      <c r="A192" s="33">
        <v>25920.0</v>
      </c>
      <c r="B192" s="33" t="s">
        <v>14</v>
      </c>
      <c r="C192" s="33">
        <v>641.0</v>
      </c>
      <c r="D192" s="33" t="s">
        <v>15185</v>
      </c>
      <c r="E192" s="24" t="s">
        <v>15186</v>
      </c>
      <c r="F192" s="29">
        <v>40945.0</v>
      </c>
      <c r="G192" s="29">
        <v>40961.0</v>
      </c>
      <c r="H192" s="29">
        <v>40953.0</v>
      </c>
      <c r="I192" s="24" t="s">
        <v>15187</v>
      </c>
    </row>
    <row r="193" ht="12.75" customHeight="1">
      <c r="A193" s="27">
        <v>25436.0</v>
      </c>
      <c r="B193" s="33" t="s">
        <v>21</v>
      </c>
      <c r="C193" s="33">
        <v>714.0</v>
      </c>
      <c r="D193" s="27" t="s">
        <v>15188</v>
      </c>
      <c r="E193" s="24" t="s">
        <v>15005</v>
      </c>
      <c r="F193" s="29">
        <v>40941.0</v>
      </c>
      <c r="G193" s="30">
        <v>40969.0</v>
      </c>
      <c r="H193" s="29">
        <v>40955.0</v>
      </c>
      <c r="I193" s="24" t="s">
        <v>15189</v>
      </c>
    </row>
    <row r="194" ht="12.75" customHeight="1">
      <c r="A194" s="27">
        <v>25743.0</v>
      </c>
      <c r="B194" s="33" t="s">
        <v>14</v>
      </c>
      <c r="C194" s="33">
        <v>184.0</v>
      </c>
      <c r="D194" s="33" t="s">
        <v>15190</v>
      </c>
      <c r="E194" s="24" t="s">
        <v>13411</v>
      </c>
      <c r="F194" s="29">
        <v>40940.0</v>
      </c>
      <c r="G194" s="29">
        <v>40963.0</v>
      </c>
      <c r="H194" s="29">
        <v>40952.0</v>
      </c>
      <c r="I194" s="24" t="s">
        <v>15191</v>
      </c>
    </row>
    <row r="195" ht="12.75" customHeight="1">
      <c r="A195" s="27">
        <v>25948.0</v>
      </c>
      <c r="B195" s="33" t="s">
        <v>21</v>
      </c>
      <c r="C195" s="33">
        <v>643.0</v>
      </c>
      <c r="D195" s="27" t="s">
        <v>15192</v>
      </c>
      <c r="E195" s="24" t="s">
        <v>15186</v>
      </c>
      <c r="F195" s="29">
        <v>40939.0</v>
      </c>
      <c r="G195" s="29">
        <v>40938.0</v>
      </c>
      <c r="H195" s="29">
        <v>40945.0</v>
      </c>
      <c r="I195" s="24" t="s">
        <v>15193</v>
      </c>
    </row>
    <row r="196" ht="12.75" customHeight="1">
      <c r="A196" s="27" t="s">
        <v>15194</v>
      </c>
      <c r="B196" s="33" t="s">
        <v>21</v>
      </c>
      <c r="C196" s="33" t="s">
        <v>15195</v>
      </c>
      <c r="D196" s="27" t="s">
        <v>15196</v>
      </c>
      <c r="E196" s="24" t="s">
        <v>14976</v>
      </c>
      <c r="F196" s="29">
        <v>40938.0</v>
      </c>
      <c r="G196" s="29">
        <v>40935.0</v>
      </c>
      <c r="H196" s="29">
        <v>40945.0</v>
      </c>
      <c r="I196" s="24" t="s">
        <v>14999</v>
      </c>
    </row>
    <row r="197" ht="12.75" customHeight="1">
      <c r="A197" s="27">
        <v>1306.0</v>
      </c>
      <c r="B197" s="33" t="s">
        <v>21</v>
      </c>
      <c r="C197" s="33">
        <v>321.0</v>
      </c>
      <c r="D197" s="27" t="s">
        <v>15197</v>
      </c>
      <c r="E197" s="24" t="s">
        <v>15110</v>
      </c>
      <c r="F197" s="29">
        <v>40936.0</v>
      </c>
      <c r="G197" s="29">
        <v>40938.0</v>
      </c>
      <c r="H197" s="29">
        <v>40941.0</v>
      </c>
      <c r="I197" s="24" t="s">
        <v>15198</v>
      </c>
    </row>
    <row r="198" ht="12.75" customHeight="1">
      <c r="A198" s="27">
        <v>25650.0</v>
      </c>
      <c r="B198" s="33" t="s">
        <v>21</v>
      </c>
      <c r="C198" s="33">
        <v>530.0</v>
      </c>
      <c r="D198" s="33" t="s">
        <v>15199</v>
      </c>
      <c r="E198" s="24" t="s">
        <v>15200</v>
      </c>
      <c r="F198" s="29">
        <v>40935.0</v>
      </c>
      <c r="G198" s="29">
        <v>40933.0</v>
      </c>
      <c r="H198" s="29">
        <v>40942.0</v>
      </c>
      <c r="I198" s="24"/>
    </row>
    <row r="199" ht="12.75" customHeight="1">
      <c r="A199" s="33">
        <v>25952.0</v>
      </c>
      <c r="B199" s="33" t="s">
        <v>21</v>
      </c>
      <c r="C199" s="33">
        <v>10.0</v>
      </c>
      <c r="D199" s="27">
        <v>8.73023915999E11</v>
      </c>
      <c r="E199" s="24" t="s">
        <v>15152</v>
      </c>
      <c r="F199" s="29">
        <v>40934.0</v>
      </c>
      <c r="G199" s="29">
        <v>40961.0</v>
      </c>
      <c r="H199" s="29">
        <v>40963.0</v>
      </c>
      <c r="I199" s="24" t="s">
        <v>15201</v>
      </c>
    </row>
    <row r="200" ht="12.75" customHeight="1">
      <c r="A200" s="33">
        <v>25918.0</v>
      </c>
      <c r="B200" s="33" t="s">
        <v>14</v>
      </c>
      <c r="C200" s="33">
        <v>1013.0</v>
      </c>
      <c r="D200" s="33" t="s">
        <v>15202</v>
      </c>
      <c r="E200" s="24" t="s">
        <v>14948</v>
      </c>
      <c r="F200" s="29">
        <v>40931.0</v>
      </c>
      <c r="G200" s="29">
        <v>40928.0</v>
      </c>
      <c r="H200" s="29">
        <v>40934.0</v>
      </c>
      <c r="I200" s="24"/>
    </row>
    <row r="201" ht="12.75" customHeight="1">
      <c r="A201" s="33">
        <v>25898.0</v>
      </c>
      <c r="B201" s="33" t="s">
        <v>21</v>
      </c>
      <c r="C201" s="33">
        <v>911.0</v>
      </c>
      <c r="D201" s="27" t="s">
        <v>15203</v>
      </c>
      <c r="E201" s="24" t="s">
        <v>15204</v>
      </c>
      <c r="F201" s="29">
        <v>40924.0</v>
      </c>
      <c r="G201" s="29">
        <v>40924.0</v>
      </c>
      <c r="H201" s="29">
        <v>40931.0</v>
      </c>
      <c r="I201" s="24"/>
    </row>
    <row r="202" ht="12.75" customHeight="1">
      <c r="A202" s="33">
        <v>25649.0</v>
      </c>
      <c r="B202" s="33" t="s">
        <v>21</v>
      </c>
      <c r="C202" s="33">
        <v>988.0</v>
      </c>
      <c r="D202" s="33" t="s">
        <v>15205</v>
      </c>
      <c r="E202" s="24" t="s">
        <v>15206</v>
      </c>
      <c r="F202" s="29">
        <v>40921.0</v>
      </c>
      <c r="G202" s="29">
        <v>40919.0</v>
      </c>
      <c r="H202" s="29">
        <v>40928.0</v>
      </c>
      <c r="I202" s="24"/>
    </row>
    <row r="203" ht="12.75" customHeight="1">
      <c r="A203" s="33">
        <v>25867.0</v>
      </c>
      <c r="B203" s="33" t="s">
        <v>14</v>
      </c>
      <c r="C203" s="33">
        <v>1933.0</v>
      </c>
      <c r="D203" s="33" t="s">
        <v>15207</v>
      </c>
      <c r="E203" s="24" t="s">
        <v>15101</v>
      </c>
      <c r="F203" s="29">
        <v>40919.0</v>
      </c>
      <c r="G203" s="29">
        <v>40920.0</v>
      </c>
      <c r="H203" s="29">
        <v>40919.0</v>
      </c>
      <c r="I203" s="24"/>
    </row>
    <row r="204" ht="12.75" customHeight="1">
      <c r="A204" s="33" t="s">
        <v>192</v>
      </c>
      <c r="B204" s="33" t="s">
        <v>21</v>
      </c>
      <c r="C204" s="33">
        <v>151.0</v>
      </c>
      <c r="D204" s="27" t="s">
        <v>15208</v>
      </c>
      <c r="E204" s="24" t="s">
        <v>15209</v>
      </c>
      <c r="F204" s="29">
        <v>40917.0</v>
      </c>
      <c r="G204" s="29">
        <v>40932.0</v>
      </c>
      <c r="H204" s="29">
        <v>40920.0</v>
      </c>
      <c r="I204" s="24" t="s">
        <v>15210</v>
      </c>
    </row>
    <row r="205" ht="12.75" customHeight="1">
      <c r="A205" s="33">
        <v>25892.0</v>
      </c>
      <c r="B205" s="33" t="s">
        <v>21</v>
      </c>
      <c r="C205" s="33">
        <v>235.0</v>
      </c>
      <c r="D205" s="27" t="s">
        <v>15211</v>
      </c>
      <c r="E205" s="24" t="s">
        <v>14962</v>
      </c>
      <c r="F205" s="29">
        <v>40914.0</v>
      </c>
      <c r="G205" s="29">
        <v>40913.0</v>
      </c>
      <c r="H205" s="29">
        <v>40920.0</v>
      </c>
      <c r="I205" s="24"/>
    </row>
    <row r="206" ht="12.75" customHeight="1">
      <c r="A206" s="33">
        <v>25705.0</v>
      </c>
      <c r="B206" s="33" t="s">
        <v>21</v>
      </c>
      <c r="C206" s="33" t="s">
        <v>15212</v>
      </c>
      <c r="D206" s="27" t="s">
        <v>15213</v>
      </c>
      <c r="E206" s="24" t="s">
        <v>15214</v>
      </c>
      <c r="F206" s="29">
        <v>40912.0</v>
      </c>
      <c r="G206" s="29">
        <v>40920.0</v>
      </c>
      <c r="H206" s="29">
        <v>40920.0</v>
      </c>
      <c r="I206" s="24"/>
    </row>
    <row r="207" ht="12.75" customHeight="1">
      <c r="A207" s="33">
        <v>25810.0</v>
      </c>
      <c r="B207" s="33" t="s">
        <v>21</v>
      </c>
      <c r="C207" s="33">
        <v>121.0</v>
      </c>
      <c r="D207" s="33" t="s">
        <v>15215</v>
      </c>
      <c r="E207" s="24" t="s">
        <v>15216</v>
      </c>
      <c r="F207" s="29">
        <v>40912.0</v>
      </c>
      <c r="G207" s="29">
        <v>40912.0</v>
      </c>
      <c r="H207" s="29">
        <v>40918.0</v>
      </c>
      <c r="I207" s="24" t="s">
        <v>15217</v>
      </c>
    </row>
    <row r="208" ht="12.75" customHeight="1">
      <c r="A208" s="27" t="s">
        <v>15218</v>
      </c>
      <c r="B208" s="33" t="s">
        <v>21</v>
      </c>
      <c r="C208" s="33">
        <v>370.0</v>
      </c>
      <c r="D208" s="33" t="s">
        <v>15219</v>
      </c>
      <c r="E208" s="24" t="s">
        <v>15220</v>
      </c>
      <c r="F208" s="29">
        <v>40912.0</v>
      </c>
      <c r="G208" s="32"/>
      <c r="H208" s="29">
        <v>40924.0</v>
      </c>
      <c r="I208" s="24" t="s">
        <v>15221</v>
      </c>
    </row>
    <row r="209" ht="12.75" customHeight="1">
      <c r="A209" s="33">
        <v>25827.0</v>
      </c>
      <c r="B209" s="33" t="s">
        <v>14</v>
      </c>
      <c r="C209" s="33">
        <v>600.0</v>
      </c>
      <c r="D209" s="33" t="s">
        <v>15222</v>
      </c>
      <c r="E209" s="24" t="s">
        <v>15223</v>
      </c>
      <c r="F209" s="29">
        <v>40910.0</v>
      </c>
      <c r="G209" s="29">
        <v>40949.0</v>
      </c>
      <c r="H209" s="29">
        <v>40932.0</v>
      </c>
      <c r="I209" s="24" t="s">
        <v>15224</v>
      </c>
    </row>
    <row r="210" ht="12.75" customHeight="1">
      <c r="A210" s="6"/>
      <c r="B210" s="1"/>
      <c r="C210" s="1"/>
      <c r="D210" s="1"/>
      <c r="E210" s="13"/>
      <c r="F210" s="4"/>
      <c r="G210" s="4"/>
      <c r="H210" s="4"/>
      <c r="I210" s="13"/>
    </row>
    <row r="211" ht="12.75" customHeight="1">
      <c r="A211" s="1"/>
      <c r="B211" s="1"/>
      <c r="C211" s="1"/>
      <c r="D211" s="1"/>
      <c r="E211" s="13"/>
      <c r="F211" s="4"/>
      <c r="G211" s="4"/>
      <c r="H211" s="4"/>
      <c r="I211" s="13"/>
    </row>
    <row r="212" ht="12.75" customHeight="1">
      <c r="A212" s="33"/>
      <c r="B212" s="33"/>
      <c r="C212" s="33"/>
      <c r="D212" s="33"/>
      <c r="E212" s="24"/>
      <c r="F212" s="32"/>
      <c r="G212" s="32"/>
      <c r="H212" s="32"/>
      <c r="I212" s="24"/>
    </row>
    <row r="213" ht="12.75" customHeight="1">
      <c r="A213" s="33"/>
      <c r="B213" s="33"/>
      <c r="C213" s="33"/>
      <c r="D213" s="33"/>
      <c r="E213" s="24"/>
      <c r="F213" s="32"/>
      <c r="G213" s="32"/>
      <c r="H213" s="32"/>
      <c r="I213" s="24"/>
    </row>
    <row r="214" ht="12.75" customHeight="1">
      <c r="A214" s="33"/>
      <c r="B214" s="33"/>
      <c r="C214" s="33"/>
      <c r="D214" s="33"/>
      <c r="E214" s="24"/>
      <c r="F214" s="32"/>
      <c r="G214" s="32"/>
      <c r="H214" s="32"/>
      <c r="I214" s="24"/>
    </row>
    <row r="215" ht="12.75" customHeight="1">
      <c r="A215" s="33"/>
      <c r="B215" s="33"/>
      <c r="C215" s="33"/>
      <c r="D215" s="33"/>
      <c r="E215" s="24"/>
      <c r="F215" s="32"/>
      <c r="G215" s="32"/>
      <c r="H215" s="32"/>
      <c r="I215" s="41"/>
    </row>
    <row r="216" ht="12.75" customHeight="1">
      <c r="A216" s="33"/>
      <c r="B216" s="33"/>
      <c r="C216" s="33"/>
      <c r="D216" s="33"/>
      <c r="E216" s="24"/>
      <c r="F216" s="32"/>
      <c r="G216" s="32"/>
      <c r="H216" s="32"/>
      <c r="I216" s="41"/>
    </row>
    <row r="217" ht="12.75" customHeight="1">
      <c r="A217" s="33"/>
      <c r="B217" s="33"/>
      <c r="C217" s="33"/>
      <c r="D217" s="33"/>
      <c r="E217" s="24"/>
      <c r="F217" s="32"/>
      <c r="G217" s="32"/>
      <c r="H217" s="32"/>
      <c r="I217" s="41"/>
    </row>
    <row r="218" ht="12.75" customHeight="1">
      <c r="A218" s="33"/>
      <c r="B218" s="33"/>
      <c r="C218" s="33"/>
      <c r="D218" s="33"/>
      <c r="E218" s="24"/>
      <c r="F218" s="32"/>
      <c r="G218" s="32"/>
      <c r="H218" s="32"/>
      <c r="I218" s="41"/>
    </row>
    <row r="219" ht="12.75" customHeight="1">
      <c r="A219" s="33"/>
      <c r="B219" s="33"/>
      <c r="C219" s="33"/>
      <c r="D219" s="33"/>
      <c r="E219" s="24"/>
      <c r="F219" s="32"/>
      <c r="G219" s="32"/>
      <c r="H219" s="32"/>
      <c r="I219" s="41"/>
    </row>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0B2829D-B7E0-4616-9A59-3B9A6276FFD8}" filter="1" showAutoFilter="1">
      <autoFilter ref="$A$3:$I$209">
        <filterColumn colId="4">
          <filters>
            <filter val="POP Pu-Eh Tea 100's"/>
            <filter val="Organic Green 100's, Oolong 20's/100's, White 100's, Peony White Tea"/>
            <filter val="Korean Red Ginseng Powder"/>
            <filter val="Seirogan (air shipment, testing small qty)"/>
            <filter val="Digestive"/>
            <filter val="Seirogan (air shipment) - this is the one previously detained and exported out of US"/>
            <filter val="POP Organic Green/Oolong Tea 20's/100's, Organice White 100's"/>
            <filter val="Seirogan"/>
            <filter val="Korean Red Ginseng Powder (LCL)"/>
          </filters>
        </filterColumn>
        <sortState ref="A3:I209">
          <sortCondition ref="F3:F209"/>
        </sortState>
      </autoFilter>
      <extLst>
        <ext uri="GoogleSheetsCustomDataVersion1">
          <go:sheetsCustomData xmlns:go="http://customooxmlschemas.google.com/" filterViewId="711189753"/>
        </ext>
      </extLst>
    </customSheetView>
  </customSheetView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29"/>
    <col customWidth="1" min="2" max="2" width="12.71"/>
    <col customWidth="1" min="3" max="3" width="8.71"/>
    <col customWidth="1" min="4" max="4" width="17.43"/>
    <col customWidth="1" min="5" max="5" width="40.14"/>
    <col customWidth="1" min="6" max="6" width="9.71"/>
    <col customWidth="1" min="7" max="7" width="12.0"/>
    <col customWidth="1" min="8" max="8" width="10.86"/>
    <col customWidth="1" min="9" max="9" width="48.29"/>
  </cols>
  <sheetData>
    <row r="1" ht="15.75" customHeight="1">
      <c r="A1" s="733"/>
      <c r="B1" s="734"/>
      <c r="C1" s="735"/>
      <c r="D1" s="736"/>
      <c r="E1" s="733" t="s">
        <v>15225</v>
      </c>
      <c r="F1" s="737"/>
      <c r="G1" s="738"/>
      <c r="H1" s="738"/>
      <c r="I1" s="733"/>
    </row>
    <row r="2" ht="48.75" customHeight="1">
      <c r="A2" s="739"/>
      <c r="B2" s="715" t="s">
        <v>2</v>
      </c>
      <c r="C2" s="740"/>
      <c r="D2" s="715"/>
      <c r="E2" s="741" t="s">
        <v>1674</v>
      </c>
      <c r="F2" s="742" t="s">
        <v>4</v>
      </c>
      <c r="G2" s="742" t="s">
        <v>5</v>
      </c>
      <c r="H2" s="742" t="s">
        <v>6</v>
      </c>
      <c r="I2" s="743"/>
    </row>
    <row r="3" ht="12.75" customHeight="1">
      <c r="A3" s="744" t="s">
        <v>1675</v>
      </c>
      <c r="B3" s="744" t="s">
        <v>8</v>
      </c>
      <c r="C3" s="744" t="s">
        <v>9</v>
      </c>
      <c r="D3" s="745" t="s">
        <v>10</v>
      </c>
      <c r="E3" s="745" t="s">
        <v>11</v>
      </c>
      <c r="F3" s="746" t="s">
        <v>12</v>
      </c>
      <c r="G3" s="746" t="s">
        <v>12</v>
      </c>
      <c r="H3" s="746" t="s">
        <v>12</v>
      </c>
      <c r="I3" s="745" t="s">
        <v>13</v>
      </c>
    </row>
    <row r="4" ht="12.75" customHeight="1">
      <c r="A4" s="756">
        <v>4657.0</v>
      </c>
      <c r="B4" s="755" t="s">
        <v>14</v>
      </c>
      <c r="C4" s="755">
        <v>3685.0</v>
      </c>
      <c r="D4" s="754" t="s">
        <v>15226</v>
      </c>
      <c r="E4" s="756" t="s">
        <v>15227</v>
      </c>
      <c r="F4" s="757">
        <v>40903.0</v>
      </c>
      <c r="G4" s="758">
        <v>40906.0</v>
      </c>
      <c r="H4" s="771" t="s">
        <v>15228</v>
      </c>
      <c r="I4" s="760"/>
    </row>
    <row r="5" ht="12.75" customHeight="1">
      <c r="A5" s="756">
        <v>4661.0</v>
      </c>
      <c r="B5" s="755" t="s">
        <v>21</v>
      </c>
      <c r="C5" s="755">
        <v>2432.0</v>
      </c>
      <c r="D5" s="754" t="s">
        <v>15229</v>
      </c>
      <c r="E5" s="756" t="s">
        <v>15227</v>
      </c>
      <c r="F5" s="757">
        <v>40903.0</v>
      </c>
      <c r="G5" s="758">
        <v>40919.0</v>
      </c>
      <c r="H5" s="759">
        <v>40917.0</v>
      </c>
      <c r="I5" s="760" t="s">
        <v>14999</v>
      </c>
    </row>
    <row r="6" ht="12.75" customHeight="1">
      <c r="A6" s="756">
        <v>4660.0</v>
      </c>
      <c r="B6" s="755" t="s">
        <v>25</v>
      </c>
      <c r="C6" s="755">
        <v>2361.0</v>
      </c>
      <c r="D6" s="754" t="s">
        <v>15230</v>
      </c>
      <c r="E6" s="756" t="s">
        <v>15231</v>
      </c>
      <c r="F6" s="757">
        <v>40901.0</v>
      </c>
      <c r="G6" s="758">
        <v>40904.0</v>
      </c>
      <c r="H6" s="771" t="s">
        <v>15232</v>
      </c>
      <c r="I6" s="760"/>
    </row>
    <row r="7" ht="12.75" customHeight="1">
      <c r="A7" s="756">
        <v>4650.0</v>
      </c>
      <c r="B7" s="755" t="s">
        <v>21</v>
      </c>
      <c r="C7" s="755">
        <v>672.0</v>
      </c>
      <c r="D7" s="754" t="s">
        <v>15233</v>
      </c>
      <c r="E7" s="756" t="s">
        <v>14229</v>
      </c>
      <c r="F7" s="757">
        <v>40900.0</v>
      </c>
      <c r="G7" s="758">
        <v>40892.0</v>
      </c>
      <c r="H7" s="759">
        <v>40911.0</v>
      </c>
      <c r="I7" s="760"/>
    </row>
    <row r="8" ht="12.75" customHeight="1">
      <c r="A8" s="756">
        <v>4615.0</v>
      </c>
      <c r="B8" s="755" t="s">
        <v>14</v>
      </c>
      <c r="C8" s="755">
        <v>656.0</v>
      </c>
      <c r="D8" s="754" t="s">
        <v>15234</v>
      </c>
      <c r="E8" s="756" t="s">
        <v>15235</v>
      </c>
      <c r="F8" s="757">
        <v>40868.0</v>
      </c>
      <c r="G8" s="758">
        <v>40869.0</v>
      </c>
      <c r="H8" s="759">
        <v>40877.0</v>
      </c>
      <c r="I8" s="760"/>
    </row>
    <row r="9" ht="12.75" customHeight="1">
      <c r="A9" s="756">
        <v>4616.0</v>
      </c>
      <c r="B9" s="755" t="s">
        <v>25</v>
      </c>
      <c r="C9" s="755">
        <v>1380.0</v>
      </c>
      <c r="D9" s="754" t="s">
        <v>15236</v>
      </c>
      <c r="E9" s="756" t="s">
        <v>15237</v>
      </c>
      <c r="F9" s="757">
        <v>40863.0</v>
      </c>
      <c r="G9" s="758">
        <v>40869.0</v>
      </c>
      <c r="H9" s="759">
        <v>40872.0</v>
      </c>
      <c r="I9" s="760"/>
    </row>
    <row r="10" ht="12.75" customHeight="1">
      <c r="A10" s="756">
        <v>4591.0</v>
      </c>
      <c r="B10" s="755" t="s">
        <v>14</v>
      </c>
      <c r="C10" s="755">
        <v>672.0</v>
      </c>
      <c r="D10" s="754" t="s">
        <v>15238</v>
      </c>
      <c r="E10" s="756" t="s">
        <v>14229</v>
      </c>
      <c r="F10" s="757">
        <v>40848.0</v>
      </c>
      <c r="G10" s="758">
        <v>40854.0</v>
      </c>
      <c r="H10" s="759">
        <v>40855.0</v>
      </c>
      <c r="I10" s="760"/>
    </row>
    <row r="11" ht="12.75" customHeight="1">
      <c r="A11" s="756">
        <v>4593.0</v>
      </c>
      <c r="B11" s="755" t="s">
        <v>14</v>
      </c>
      <c r="C11" s="755">
        <v>1703.0</v>
      </c>
      <c r="D11" s="754" t="s">
        <v>15239</v>
      </c>
      <c r="E11" s="756" t="s">
        <v>15240</v>
      </c>
      <c r="F11" s="757">
        <v>40847.0</v>
      </c>
      <c r="G11" s="758">
        <v>40847.0</v>
      </c>
      <c r="H11" s="759">
        <v>40854.0</v>
      </c>
      <c r="I11" s="760" t="s">
        <v>15241</v>
      </c>
    </row>
    <row r="12" ht="12.75" customHeight="1">
      <c r="A12" s="756">
        <v>4592.0</v>
      </c>
      <c r="B12" s="755" t="s">
        <v>21</v>
      </c>
      <c r="C12" s="755">
        <v>2043.0</v>
      </c>
      <c r="D12" s="754" t="s">
        <v>15242</v>
      </c>
      <c r="E12" s="756" t="s">
        <v>15240</v>
      </c>
      <c r="F12" s="757">
        <v>40841.0</v>
      </c>
      <c r="G12" s="758">
        <v>40840.0</v>
      </c>
      <c r="H12" s="759">
        <v>40848.0</v>
      </c>
      <c r="I12" s="760"/>
    </row>
    <row r="13" ht="12.75" customHeight="1">
      <c r="A13" s="756">
        <v>4568.0</v>
      </c>
      <c r="B13" s="755" t="s">
        <v>21</v>
      </c>
      <c r="C13" s="755">
        <v>68.0</v>
      </c>
      <c r="D13" s="754" t="s">
        <v>15243</v>
      </c>
      <c r="E13" s="756" t="s">
        <v>15244</v>
      </c>
      <c r="F13" s="757">
        <v>40828.0</v>
      </c>
      <c r="G13" s="758">
        <v>40840.0</v>
      </c>
      <c r="H13" s="759">
        <v>40830.0</v>
      </c>
      <c r="I13" s="760"/>
    </row>
    <row r="14" ht="12.75" customHeight="1">
      <c r="A14" s="756">
        <v>4567.0</v>
      </c>
      <c r="B14" s="755" t="s">
        <v>14</v>
      </c>
      <c r="C14" s="755">
        <v>68.0</v>
      </c>
      <c r="D14" s="754" t="s">
        <v>15245</v>
      </c>
      <c r="E14" s="756" t="s">
        <v>15244</v>
      </c>
      <c r="F14" s="757">
        <v>40819.0</v>
      </c>
      <c r="G14" s="758">
        <v>40821.0</v>
      </c>
      <c r="H14" s="759">
        <v>40826.0</v>
      </c>
      <c r="I14" s="760"/>
    </row>
    <row r="15" ht="12.75" customHeight="1">
      <c r="A15" s="756">
        <v>4554.0</v>
      </c>
      <c r="B15" s="755" t="s">
        <v>14</v>
      </c>
      <c r="C15" s="755">
        <v>1591.0</v>
      </c>
      <c r="D15" s="754" t="s">
        <v>15246</v>
      </c>
      <c r="E15" s="756" t="s">
        <v>15247</v>
      </c>
      <c r="F15" s="757">
        <v>40812.0</v>
      </c>
      <c r="G15" s="758">
        <v>40813.0</v>
      </c>
      <c r="H15" s="759">
        <v>40815.0</v>
      </c>
      <c r="I15" s="760" t="s">
        <v>15248</v>
      </c>
    </row>
    <row r="16" ht="12.75" customHeight="1">
      <c r="A16" s="756">
        <v>4553.0</v>
      </c>
      <c r="B16" s="755" t="s">
        <v>21</v>
      </c>
      <c r="C16" s="755">
        <v>2380.0</v>
      </c>
      <c r="D16" s="754" t="s">
        <v>15249</v>
      </c>
      <c r="E16" s="756" t="s">
        <v>15250</v>
      </c>
      <c r="F16" s="757">
        <v>40810.0</v>
      </c>
      <c r="G16" s="758">
        <v>40822.0</v>
      </c>
      <c r="H16" s="759">
        <v>40815.0</v>
      </c>
      <c r="I16" s="760" t="s">
        <v>15251</v>
      </c>
    </row>
    <row r="17" ht="12.75" customHeight="1">
      <c r="A17" s="756">
        <v>4518.0</v>
      </c>
      <c r="B17" s="755" t="s">
        <v>14</v>
      </c>
      <c r="C17" s="755">
        <v>1501.0</v>
      </c>
      <c r="D17" s="754" t="s">
        <v>15252</v>
      </c>
      <c r="E17" s="756" t="s">
        <v>14229</v>
      </c>
      <c r="F17" s="757">
        <v>40778.0</v>
      </c>
      <c r="G17" s="758">
        <v>40779.0</v>
      </c>
      <c r="H17" s="759">
        <v>40780.0</v>
      </c>
      <c r="I17" s="760"/>
    </row>
    <row r="18" ht="12.75" customHeight="1">
      <c r="A18" s="756">
        <v>4517.0</v>
      </c>
      <c r="B18" s="755" t="s">
        <v>14</v>
      </c>
      <c r="C18" s="755">
        <v>734.0</v>
      </c>
      <c r="D18" s="754" t="s">
        <v>15253</v>
      </c>
      <c r="E18" s="756" t="s">
        <v>15254</v>
      </c>
      <c r="F18" s="757">
        <v>40776.0</v>
      </c>
      <c r="G18" s="758">
        <v>40777.0</v>
      </c>
      <c r="H18" s="759">
        <v>40781.0</v>
      </c>
      <c r="I18" s="760"/>
    </row>
    <row r="19" ht="12.75" customHeight="1">
      <c r="A19" s="756">
        <v>4512.0</v>
      </c>
      <c r="B19" s="755" t="s">
        <v>21</v>
      </c>
      <c r="C19" s="755">
        <v>618.0</v>
      </c>
      <c r="D19" s="754" t="s">
        <v>15255</v>
      </c>
      <c r="E19" s="756" t="s">
        <v>15256</v>
      </c>
      <c r="F19" s="757">
        <v>40775.0</v>
      </c>
      <c r="G19" s="758">
        <v>40774.0</v>
      </c>
      <c r="H19" s="759">
        <v>40779.0</v>
      </c>
      <c r="I19" s="760"/>
    </row>
    <row r="20" ht="12.75" customHeight="1">
      <c r="A20" s="756">
        <v>4511.0</v>
      </c>
      <c r="B20" s="755" t="s">
        <v>21</v>
      </c>
      <c r="C20" s="755">
        <v>672.0</v>
      </c>
      <c r="D20" s="754" t="s">
        <v>15257</v>
      </c>
      <c r="E20" s="756" t="s">
        <v>14229</v>
      </c>
      <c r="F20" s="757">
        <v>40770.0</v>
      </c>
      <c r="G20" s="758">
        <v>40777.0</v>
      </c>
      <c r="H20" s="759">
        <v>40773.0</v>
      </c>
      <c r="I20" s="760"/>
    </row>
    <row r="21" ht="12.75" customHeight="1">
      <c r="A21" s="756">
        <v>4479.0</v>
      </c>
      <c r="B21" s="755" t="s">
        <v>14</v>
      </c>
      <c r="C21" s="755">
        <v>2474.0</v>
      </c>
      <c r="D21" s="754" t="s">
        <v>15258</v>
      </c>
      <c r="E21" s="756" t="s">
        <v>15259</v>
      </c>
      <c r="F21" s="757">
        <v>40749.0</v>
      </c>
      <c r="G21" s="758">
        <v>40757.0</v>
      </c>
      <c r="H21" s="759">
        <v>40757.0</v>
      </c>
      <c r="I21" s="760"/>
    </row>
    <row r="22" ht="12.75" customHeight="1">
      <c r="A22" s="756">
        <v>4478.0</v>
      </c>
      <c r="B22" s="755" t="s">
        <v>21</v>
      </c>
      <c r="C22" s="755">
        <v>2631.0</v>
      </c>
      <c r="D22" s="754" t="s">
        <v>15260</v>
      </c>
      <c r="E22" s="756" t="s">
        <v>15261</v>
      </c>
      <c r="F22" s="757">
        <v>40747.0</v>
      </c>
      <c r="G22" s="758">
        <v>40758.0</v>
      </c>
      <c r="H22" s="771" t="s">
        <v>15262</v>
      </c>
      <c r="I22" s="760" t="s">
        <v>15263</v>
      </c>
    </row>
    <row r="23" ht="12.75" customHeight="1">
      <c r="A23" s="756">
        <v>4469.0</v>
      </c>
      <c r="B23" s="755" t="s">
        <v>14</v>
      </c>
      <c r="C23" s="755">
        <v>672.0</v>
      </c>
      <c r="D23" s="754" t="s">
        <v>15264</v>
      </c>
      <c r="E23" s="756" t="s">
        <v>14229</v>
      </c>
      <c r="F23" s="757">
        <v>40747.0</v>
      </c>
      <c r="G23" s="758">
        <v>40750.0</v>
      </c>
      <c r="H23" s="759">
        <v>40751.0</v>
      </c>
      <c r="I23" s="760" t="s">
        <v>15265</v>
      </c>
    </row>
    <row r="24" ht="12.75" customHeight="1">
      <c r="A24" s="756">
        <v>4441.0</v>
      </c>
      <c r="B24" s="755" t="s">
        <v>21</v>
      </c>
      <c r="C24" s="755">
        <v>3060.0</v>
      </c>
      <c r="D24" s="754" t="s">
        <v>15266</v>
      </c>
      <c r="E24" s="756" t="s">
        <v>15267</v>
      </c>
      <c r="F24" s="757">
        <v>40719.0</v>
      </c>
      <c r="G24" s="758">
        <v>40723.0</v>
      </c>
      <c r="H24" s="759">
        <v>40725.0</v>
      </c>
      <c r="I24" s="760"/>
    </row>
    <row r="25" ht="12.75" customHeight="1">
      <c r="A25" s="756">
        <v>4442.0</v>
      </c>
      <c r="B25" s="755" t="s">
        <v>14</v>
      </c>
      <c r="C25" s="755">
        <v>3465.0</v>
      </c>
      <c r="D25" s="754" t="s">
        <v>15268</v>
      </c>
      <c r="E25" s="756" t="s">
        <v>15269</v>
      </c>
      <c r="F25" s="757">
        <v>40713.0</v>
      </c>
      <c r="G25" s="758">
        <v>40714.0</v>
      </c>
      <c r="H25" s="759">
        <v>40722.0</v>
      </c>
      <c r="I25" s="760"/>
    </row>
    <row r="26" ht="12.75" customHeight="1">
      <c r="A26" s="756">
        <v>4415.0</v>
      </c>
      <c r="B26" s="755" t="s">
        <v>21</v>
      </c>
      <c r="C26" s="755">
        <v>3460.0</v>
      </c>
      <c r="D26" s="754" t="s">
        <v>15270</v>
      </c>
      <c r="E26" s="756" t="s">
        <v>15271</v>
      </c>
      <c r="F26" s="757">
        <v>40686.0</v>
      </c>
      <c r="G26" s="758">
        <v>40687.0</v>
      </c>
      <c r="H26" s="771" t="s">
        <v>15272</v>
      </c>
      <c r="I26" s="760"/>
    </row>
    <row r="27" ht="12.75" customHeight="1">
      <c r="A27" s="756">
        <v>4417.0</v>
      </c>
      <c r="B27" s="755" t="s">
        <v>14</v>
      </c>
      <c r="C27" s="755">
        <v>3581.0</v>
      </c>
      <c r="D27" s="754" t="s">
        <v>15273</v>
      </c>
      <c r="E27" s="756" t="s">
        <v>15274</v>
      </c>
      <c r="F27" s="757">
        <v>40685.0</v>
      </c>
      <c r="G27" s="758">
        <v>40687.0</v>
      </c>
      <c r="H27" s="771" t="s">
        <v>15275</v>
      </c>
      <c r="I27" s="760" t="s">
        <v>15276</v>
      </c>
    </row>
    <row r="28" ht="12.75" customHeight="1">
      <c r="A28" s="756">
        <v>4416.0</v>
      </c>
      <c r="B28" s="755" t="s">
        <v>25</v>
      </c>
      <c r="C28" s="755">
        <v>1791.0</v>
      </c>
      <c r="D28" s="754" t="s">
        <v>15277</v>
      </c>
      <c r="E28" s="756" t="s">
        <v>15278</v>
      </c>
      <c r="F28" s="757">
        <v>40683.0</v>
      </c>
      <c r="G28" s="758">
        <v>40686.0</v>
      </c>
      <c r="H28" s="758">
        <v>40687.0</v>
      </c>
      <c r="I28" s="760"/>
    </row>
    <row r="29" ht="12.75" customHeight="1">
      <c r="A29" s="772">
        <v>4408.0</v>
      </c>
      <c r="B29" s="773" t="s">
        <v>21</v>
      </c>
      <c r="C29" s="773">
        <v>672.0</v>
      </c>
      <c r="D29" s="774" t="s">
        <v>15279</v>
      </c>
      <c r="E29" s="772" t="s">
        <v>14229</v>
      </c>
      <c r="F29" s="775">
        <v>40672.0</v>
      </c>
      <c r="G29" s="776">
        <v>40679.0</v>
      </c>
      <c r="H29" s="777" t="s">
        <v>15232</v>
      </c>
      <c r="I29" s="476"/>
    </row>
    <row r="30" ht="12.75" customHeight="1">
      <c r="A30" s="26">
        <v>4374.0</v>
      </c>
      <c r="B30" s="12" t="s">
        <v>21</v>
      </c>
      <c r="C30" s="12">
        <v>1433.0</v>
      </c>
      <c r="D30" s="6" t="s">
        <v>15280</v>
      </c>
      <c r="E30" s="26" t="s">
        <v>15281</v>
      </c>
      <c r="F30" s="725">
        <v>40658.0</v>
      </c>
      <c r="G30" s="14">
        <v>40675.0</v>
      </c>
      <c r="H30" s="14">
        <v>40665.0</v>
      </c>
      <c r="I30" s="13" t="s">
        <v>15282</v>
      </c>
    </row>
    <row r="31" ht="12.75" customHeight="1">
      <c r="A31" s="26">
        <v>4373.0</v>
      </c>
      <c r="B31" s="12" t="s">
        <v>14</v>
      </c>
      <c r="C31" s="12">
        <v>2455.0</v>
      </c>
      <c r="D31" s="6" t="s">
        <v>15283</v>
      </c>
      <c r="E31" s="26" t="s">
        <v>15284</v>
      </c>
      <c r="F31" s="725">
        <v>40654.0</v>
      </c>
      <c r="G31" s="14">
        <v>40704.0</v>
      </c>
      <c r="H31" s="14">
        <v>40661.0</v>
      </c>
      <c r="I31" s="13" t="s">
        <v>15285</v>
      </c>
    </row>
    <row r="32" ht="12.75" customHeight="1">
      <c r="A32" s="26">
        <v>4342.0</v>
      </c>
      <c r="B32" s="12" t="s">
        <v>14</v>
      </c>
      <c r="C32" s="12">
        <v>672.0</v>
      </c>
      <c r="D32" s="6" t="s">
        <v>15286</v>
      </c>
      <c r="E32" s="26" t="s">
        <v>14229</v>
      </c>
      <c r="F32" s="725">
        <v>40642.0</v>
      </c>
      <c r="G32" s="14">
        <v>40645.0</v>
      </c>
      <c r="H32" s="14">
        <v>40645.0</v>
      </c>
      <c r="I32" s="13"/>
    </row>
    <row r="33" ht="12.75" customHeight="1">
      <c r="A33" s="26">
        <v>4324.0</v>
      </c>
      <c r="B33" s="12" t="s">
        <v>21</v>
      </c>
      <c r="C33" s="12">
        <v>2065.0</v>
      </c>
      <c r="D33" s="6" t="s">
        <v>15287</v>
      </c>
      <c r="E33" s="26" t="s">
        <v>15288</v>
      </c>
      <c r="F33" s="725">
        <v>40630.0</v>
      </c>
      <c r="G33" s="14">
        <v>40633.0</v>
      </c>
      <c r="H33" s="8" t="s">
        <v>15289</v>
      </c>
      <c r="I33" s="13"/>
    </row>
    <row r="34" ht="12.75" customHeight="1">
      <c r="A34" s="26">
        <v>4325.0</v>
      </c>
      <c r="B34" s="12" t="s">
        <v>14</v>
      </c>
      <c r="C34" s="12">
        <v>336.0</v>
      </c>
      <c r="D34" s="6" t="s">
        <v>15290</v>
      </c>
      <c r="E34" s="26" t="s">
        <v>14229</v>
      </c>
      <c r="F34" s="725">
        <v>40629.0</v>
      </c>
      <c r="G34" s="14">
        <v>40626.0</v>
      </c>
      <c r="H34" s="14">
        <v>40633.0</v>
      </c>
      <c r="I34" s="13"/>
    </row>
    <row r="35" ht="12.75" customHeight="1">
      <c r="A35" s="26">
        <v>4323.0</v>
      </c>
      <c r="B35" s="12" t="s">
        <v>14</v>
      </c>
      <c r="C35" s="12">
        <v>2454.0</v>
      </c>
      <c r="D35" s="6" t="s">
        <v>15291</v>
      </c>
      <c r="E35" s="26" t="s">
        <v>15292</v>
      </c>
      <c r="F35" s="725">
        <v>40626.0</v>
      </c>
      <c r="G35" s="14">
        <v>40639.0</v>
      </c>
      <c r="H35" s="8" t="s">
        <v>15293</v>
      </c>
      <c r="I35" s="13" t="s">
        <v>15294</v>
      </c>
    </row>
    <row r="36" ht="12.75" customHeight="1">
      <c r="A36" s="26" t="s">
        <v>15295</v>
      </c>
      <c r="B36" s="12" t="s">
        <v>21</v>
      </c>
      <c r="C36" s="12">
        <v>336.0</v>
      </c>
      <c r="D36" s="6" t="s">
        <v>15296</v>
      </c>
      <c r="E36" s="26" t="s">
        <v>14229</v>
      </c>
      <c r="F36" s="725">
        <v>40609.0</v>
      </c>
      <c r="G36" s="14">
        <v>40609.0</v>
      </c>
      <c r="H36" s="14">
        <v>40617.0</v>
      </c>
      <c r="I36" s="13" t="s">
        <v>15297</v>
      </c>
    </row>
    <row r="37" ht="12.75" customHeight="1">
      <c r="A37" s="26">
        <v>4294.0</v>
      </c>
      <c r="B37" s="12" t="s">
        <v>21</v>
      </c>
      <c r="C37" s="12">
        <v>2357.0</v>
      </c>
      <c r="D37" s="6" t="s">
        <v>15298</v>
      </c>
      <c r="E37" s="26" t="s">
        <v>15299</v>
      </c>
      <c r="F37" s="725">
        <v>40602.0</v>
      </c>
      <c r="G37" s="14">
        <v>40599.0</v>
      </c>
      <c r="H37" s="8" t="s">
        <v>15300</v>
      </c>
      <c r="I37" s="13"/>
    </row>
    <row r="38" ht="12.75" customHeight="1">
      <c r="A38" s="26">
        <v>4293.0</v>
      </c>
      <c r="B38" s="12" t="s">
        <v>14</v>
      </c>
      <c r="C38" s="12">
        <v>2227.0</v>
      </c>
      <c r="D38" s="6" t="s">
        <v>15301</v>
      </c>
      <c r="E38" s="26" t="s">
        <v>15302</v>
      </c>
      <c r="F38" s="725">
        <v>40602.0</v>
      </c>
      <c r="G38" s="14">
        <v>40602.0</v>
      </c>
      <c r="H38" s="8" t="s">
        <v>15303</v>
      </c>
      <c r="I38" s="13"/>
    </row>
    <row r="39" ht="12.75" customHeight="1">
      <c r="A39" s="26">
        <v>4268.0</v>
      </c>
      <c r="B39" s="12" t="s">
        <v>14</v>
      </c>
      <c r="C39" s="12">
        <v>3668.0</v>
      </c>
      <c r="D39" s="6" t="s">
        <v>15304</v>
      </c>
      <c r="E39" s="26" t="s">
        <v>15305</v>
      </c>
      <c r="F39" s="725">
        <v>40567.0</v>
      </c>
      <c r="G39" s="14">
        <v>40574.0</v>
      </c>
      <c r="H39" s="14">
        <v>40574.0</v>
      </c>
      <c r="I39" s="778" t="s">
        <v>15306</v>
      </c>
    </row>
    <row r="40" ht="12.75" customHeight="1">
      <c r="A40" s="26">
        <v>4266.0</v>
      </c>
      <c r="B40" s="12" t="s">
        <v>21</v>
      </c>
      <c r="C40" s="12">
        <v>1692.0</v>
      </c>
      <c r="D40" s="6" t="s">
        <v>15307</v>
      </c>
      <c r="E40" s="26" t="s">
        <v>15308</v>
      </c>
      <c r="F40" s="725">
        <v>40567.0</v>
      </c>
      <c r="G40" s="14">
        <v>40563.0</v>
      </c>
      <c r="H40" s="14">
        <v>40574.0</v>
      </c>
      <c r="I40" s="13"/>
    </row>
    <row r="41" ht="12.75" customHeight="1">
      <c r="A41" s="26">
        <v>4243.0</v>
      </c>
      <c r="B41" s="12" t="s">
        <v>21</v>
      </c>
      <c r="C41" s="12">
        <v>1301.0</v>
      </c>
      <c r="D41" s="6" t="s">
        <v>15309</v>
      </c>
      <c r="E41" s="26" t="s">
        <v>15310</v>
      </c>
      <c r="F41" s="725">
        <v>40547.0</v>
      </c>
      <c r="G41" s="14">
        <v>40542.0</v>
      </c>
      <c r="H41" s="14">
        <v>40555.0</v>
      </c>
      <c r="I41" s="13"/>
    </row>
    <row r="42" ht="12.75" customHeight="1">
      <c r="A42" s="26"/>
      <c r="B42" s="12"/>
      <c r="C42" s="12"/>
      <c r="D42" s="6"/>
      <c r="E42" s="26"/>
      <c r="F42" s="731"/>
      <c r="G42" s="4"/>
      <c r="H42" s="4"/>
      <c r="I42" s="3"/>
    </row>
    <row r="43" ht="12.75" customHeight="1">
      <c r="A43" s="26"/>
      <c r="B43" s="12"/>
      <c r="C43" s="12"/>
      <c r="D43" s="6"/>
      <c r="E43" s="26"/>
      <c r="F43" s="731"/>
      <c r="G43" s="4"/>
      <c r="H43" s="4"/>
      <c r="I43" s="3"/>
    </row>
    <row r="44" ht="12.75" customHeight="1">
      <c r="A44" s="26"/>
      <c r="B44" s="12"/>
      <c r="C44" s="12"/>
      <c r="D44" s="6"/>
      <c r="E44" s="26"/>
      <c r="F44" s="731"/>
      <c r="G44" s="4"/>
      <c r="H44" s="4"/>
      <c r="I44" s="3"/>
    </row>
    <row r="45" ht="12.75" customHeight="1">
      <c r="A45" s="26"/>
      <c r="B45" s="12"/>
      <c r="C45" s="12"/>
      <c r="D45" s="6"/>
      <c r="E45" s="26"/>
      <c r="F45" s="731"/>
      <c r="G45" s="4"/>
      <c r="H45" s="4"/>
      <c r="I45" s="3"/>
    </row>
    <row r="46" ht="12.75" customHeight="1">
      <c r="A46" s="26"/>
      <c r="B46" s="12"/>
      <c r="C46" s="12"/>
      <c r="D46" s="6"/>
      <c r="E46" s="26"/>
      <c r="F46" s="731"/>
      <c r="G46" s="4"/>
      <c r="H46" s="4"/>
      <c r="I46" s="3"/>
    </row>
    <row r="47" ht="12.75" customHeight="1">
      <c r="A47" s="26"/>
      <c r="B47" s="12"/>
      <c r="C47" s="12"/>
      <c r="D47" s="6"/>
      <c r="E47" s="26"/>
      <c r="F47" s="731"/>
      <c r="G47" s="4"/>
      <c r="H47" s="4"/>
      <c r="I47" s="3"/>
    </row>
    <row r="48" ht="12.75" customHeight="1">
      <c r="A48" s="26"/>
      <c r="B48" s="12"/>
      <c r="C48" s="12"/>
      <c r="D48" s="6"/>
      <c r="E48" s="26"/>
      <c r="F48" s="731"/>
      <c r="G48" s="4"/>
      <c r="H48" s="4"/>
      <c r="I48" s="3"/>
    </row>
    <row r="49" ht="12.75" customHeight="1">
      <c r="A49" s="26"/>
      <c r="B49" s="12"/>
      <c r="C49" s="12"/>
      <c r="D49" s="6"/>
      <c r="E49" s="26"/>
      <c r="F49" s="731"/>
      <c r="G49" s="4"/>
      <c r="H49" s="4"/>
      <c r="I49" s="3"/>
    </row>
    <row r="50" ht="12.75" customHeight="1">
      <c r="A50" s="26"/>
      <c r="B50" s="12"/>
      <c r="C50" s="12"/>
      <c r="D50" s="6"/>
      <c r="E50" s="26"/>
      <c r="F50" s="731"/>
      <c r="G50" s="4"/>
      <c r="H50" s="4"/>
      <c r="I50" s="3"/>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86"/>
    <col customWidth="1" min="2" max="2" width="13.14"/>
    <col customWidth="1" min="3" max="3" width="8.71"/>
    <col customWidth="1" min="4" max="4" width="17.0"/>
    <col customWidth="1" min="5" max="5" width="41.43"/>
    <col customWidth="1" min="6" max="6" width="11.71"/>
    <col customWidth="1" min="7" max="7" width="11.0"/>
    <col customWidth="1" min="8" max="8" width="13.43"/>
    <col customWidth="1" min="9" max="9" width="50.71"/>
  </cols>
  <sheetData>
    <row r="1" ht="15.75" customHeight="1">
      <c r="A1" s="734"/>
      <c r="B1" s="734"/>
      <c r="C1" s="735"/>
      <c r="D1" s="735"/>
      <c r="E1" s="733" t="s">
        <v>15311</v>
      </c>
      <c r="F1" s="738"/>
      <c r="G1" s="738"/>
      <c r="H1" s="738"/>
      <c r="I1" s="733"/>
    </row>
    <row r="2" ht="48.75" customHeight="1">
      <c r="A2" s="740"/>
      <c r="B2" s="715" t="s">
        <v>2</v>
      </c>
      <c r="C2" s="740"/>
      <c r="D2" s="740"/>
      <c r="E2" s="769" t="s">
        <v>3</v>
      </c>
      <c r="F2" s="742" t="s">
        <v>4</v>
      </c>
      <c r="G2" s="742" t="s">
        <v>5</v>
      </c>
      <c r="H2" s="742" t="s">
        <v>6</v>
      </c>
      <c r="I2" s="743"/>
    </row>
    <row r="3" ht="1.5" customHeight="1">
      <c r="A3" s="10" t="s">
        <v>7</v>
      </c>
      <c r="B3" s="10" t="s">
        <v>8</v>
      </c>
      <c r="C3" s="10" t="s">
        <v>9</v>
      </c>
      <c r="D3" s="10" t="s">
        <v>10</v>
      </c>
      <c r="E3" s="10" t="s">
        <v>11</v>
      </c>
      <c r="F3" s="11" t="s">
        <v>12</v>
      </c>
      <c r="G3" s="11" t="s">
        <v>12</v>
      </c>
      <c r="H3" s="11" t="s">
        <v>12</v>
      </c>
      <c r="I3" s="10" t="s">
        <v>13</v>
      </c>
    </row>
    <row r="4" ht="12.75" customHeight="1">
      <c r="A4" s="1">
        <v>25831.0</v>
      </c>
      <c r="B4" s="1" t="s">
        <v>21</v>
      </c>
      <c r="C4" s="1">
        <v>1145.0</v>
      </c>
      <c r="D4" s="1" t="s">
        <v>15312</v>
      </c>
      <c r="E4" s="13" t="s">
        <v>15313</v>
      </c>
      <c r="F4" s="14">
        <v>40900.0</v>
      </c>
      <c r="G4" s="14">
        <v>40891.0</v>
      </c>
      <c r="H4" s="14">
        <v>40911.0</v>
      </c>
      <c r="I4" s="13"/>
    </row>
    <row r="5" ht="12.75" customHeight="1">
      <c r="A5" s="6" t="s">
        <v>15314</v>
      </c>
      <c r="B5" s="1" t="s">
        <v>21</v>
      </c>
      <c r="C5" s="1">
        <v>50.0</v>
      </c>
      <c r="D5" s="1" t="s">
        <v>15315</v>
      </c>
      <c r="E5" s="13" t="s">
        <v>15316</v>
      </c>
      <c r="F5" s="14">
        <v>40898.0</v>
      </c>
      <c r="G5" s="14">
        <v>40913.0</v>
      </c>
      <c r="H5" s="14">
        <v>40898.0</v>
      </c>
      <c r="I5" s="13"/>
    </row>
    <row r="6" ht="12.75" customHeight="1">
      <c r="A6" s="1">
        <v>25808.0</v>
      </c>
      <c r="B6" s="1" t="s">
        <v>14</v>
      </c>
      <c r="C6" s="1">
        <v>935.0</v>
      </c>
      <c r="D6" s="1" t="s">
        <v>15317</v>
      </c>
      <c r="E6" s="13" t="s">
        <v>15318</v>
      </c>
      <c r="F6" s="14">
        <v>40897.0</v>
      </c>
      <c r="G6" s="14">
        <v>40899.0</v>
      </c>
      <c r="H6" s="14">
        <v>40904.0</v>
      </c>
      <c r="I6" s="13"/>
    </row>
    <row r="7" ht="12.75" customHeight="1">
      <c r="A7" s="1">
        <v>25796.0</v>
      </c>
      <c r="B7" s="1" t="s">
        <v>14</v>
      </c>
      <c r="C7" s="1">
        <v>603.0</v>
      </c>
      <c r="D7" s="1" t="s">
        <v>15319</v>
      </c>
      <c r="E7" s="13" t="s">
        <v>3209</v>
      </c>
      <c r="F7" s="14">
        <v>40897.0</v>
      </c>
      <c r="G7" s="14">
        <v>40912.0</v>
      </c>
      <c r="H7" s="14">
        <v>40914.0</v>
      </c>
      <c r="I7" s="13" t="s">
        <v>15320</v>
      </c>
    </row>
    <row r="8" ht="12.75" customHeight="1">
      <c r="A8" s="1">
        <v>25660.0</v>
      </c>
      <c r="B8" s="1" t="s">
        <v>21</v>
      </c>
      <c r="C8" s="1">
        <v>924.0</v>
      </c>
      <c r="D8" s="1" t="s">
        <v>15321</v>
      </c>
      <c r="E8" s="13" t="s">
        <v>15052</v>
      </c>
      <c r="F8" s="14">
        <v>40896.0</v>
      </c>
      <c r="G8" s="14">
        <v>40892.0</v>
      </c>
      <c r="H8" s="14">
        <v>40904.0</v>
      </c>
      <c r="I8" s="13" t="s">
        <v>15322</v>
      </c>
    </row>
    <row r="9" ht="12.75" customHeight="1">
      <c r="A9" s="1">
        <v>25178.0</v>
      </c>
      <c r="B9" s="1" t="s">
        <v>25</v>
      </c>
      <c r="C9" s="1">
        <v>1622.0</v>
      </c>
      <c r="D9" s="1" t="s">
        <v>15323</v>
      </c>
      <c r="E9" s="13" t="s">
        <v>74</v>
      </c>
      <c r="F9" s="14">
        <v>40895.0</v>
      </c>
      <c r="G9" s="14">
        <v>40896.0</v>
      </c>
      <c r="H9" s="14">
        <v>40898.0</v>
      </c>
      <c r="I9" s="13"/>
    </row>
    <row r="10" ht="12.75" customHeight="1">
      <c r="A10" s="1">
        <v>25571.0</v>
      </c>
      <c r="B10" s="1" t="s">
        <v>21</v>
      </c>
      <c r="C10" s="1">
        <v>530.0</v>
      </c>
      <c r="D10" s="1" t="s">
        <v>15324</v>
      </c>
      <c r="E10" s="13" t="s">
        <v>434</v>
      </c>
      <c r="F10" s="14">
        <v>40893.0</v>
      </c>
      <c r="G10" s="14">
        <v>40891.0</v>
      </c>
      <c r="H10" s="14">
        <v>40899.0</v>
      </c>
      <c r="I10" s="13" t="s">
        <v>15325</v>
      </c>
    </row>
    <row r="11" ht="12.75" customHeight="1">
      <c r="A11" s="1">
        <v>25828.0</v>
      </c>
      <c r="B11" s="1" t="s">
        <v>21</v>
      </c>
      <c r="C11" s="1">
        <v>600.0</v>
      </c>
      <c r="D11" s="1" t="s">
        <v>15326</v>
      </c>
      <c r="E11" s="13" t="s">
        <v>15327</v>
      </c>
      <c r="F11" s="14">
        <v>40893.0</v>
      </c>
      <c r="G11" s="14">
        <v>40906.0</v>
      </c>
      <c r="H11" s="14">
        <v>40898.0</v>
      </c>
      <c r="I11" s="13" t="s">
        <v>15328</v>
      </c>
    </row>
    <row r="12" ht="12.75" customHeight="1">
      <c r="A12" s="1">
        <v>25779.0</v>
      </c>
      <c r="B12" s="1" t="s">
        <v>14</v>
      </c>
      <c r="C12" s="1">
        <v>1862.0</v>
      </c>
      <c r="D12" s="1" t="s">
        <v>15329</v>
      </c>
      <c r="E12" s="13" t="s">
        <v>15330</v>
      </c>
      <c r="F12" s="14">
        <v>40890.0</v>
      </c>
      <c r="G12" s="14">
        <v>40898.0</v>
      </c>
      <c r="H12" s="14">
        <v>40896.0</v>
      </c>
      <c r="I12" s="13" t="s">
        <v>15331</v>
      </c>
    </row>
    <row r="13" ht="12.75" customHeight="1">
      <c r="A13" s="1">
        <v>25771.0</v>
      </c>
      <c r="B13" s="1" t="s">
        <v>14</v>
      </c>
      <c r="C13" s="1">
        <v>1275.0</v>
      </c>
      <c r="D13" s="1" t="s">
        <v>15332</v>
      </c>
      <c r="E13" s="13" t="s">
        <v>331</v>
      </c>
      <c r="F13" s="14">
        <v>40889.0</v>
      </c>
      <c r="G13" s="14">
        <v>40897.0</v>
      </c>
      <c r="H13" s="14">
        <v>40896.0</v>
      </c>
      <c r="I13" s="13"/>
    </row>
    <row r="14" ht="12.75" customHeight="1">
      <c r="A14" s="1">
        <v>25036.0</v>
      </c>
      <c r="B14" s="1" t="s">
        <v>21</v>
      </c>
      <c r="C14" s="1">
        <v>1080.0</v>
      </c>
      <c r="D14" s="1" t="s">
        <v>15333</v>
      </c>
      <c r="E14" s="13" t="s">
        <v>12555</v>
      </c>
      <c r="F14" s="14">
        <v>40887.0</v>
      </c>
      <c r="G14" s="14">
        <v>40885.0</v>
      </c>
      <c r="H14" s="14">
        <v>40893.0</v>
      </c>
      <c r="I14" s="13" t="s">
        <v>14999</v>
      </c>
    </row>
    <row r="15" ht="12.75" customHeight="1">
      <c r="A15" s="1">
        <v>25829.0</v>
      </c>
      <c r="B15" s="1" t="s">
        <v>21</v>
      </c>
      <c r="C15" s="1">
        <v>450.0</v>
      </c>
      <c r="D15" s="1" t="s">
        <v>15334</v>
      </c>
      <c r="E15" s="13" t="s">
        <v>14962</v>
      </c>
      <c r="F15" s="14">
        <v>40886.0</v>
      </c>
      <c r="G15" s="14">
        <v>40889.0</v>
      </c>
      <c r="H15" s="14">
        <v>40897.0</v>
      </c>
      <c r="I15" s="13"/>
    </row>
    <row r="16" ht="12.75" customHeight="1">
      <c r="A16" s="1">
        <v>25841.0</v>
      </c>
      <c r="B16" s="1" t="s">
        <v>21</v>
      </c>
      <c r="C16" s="1">
        <v>803.0</v>
      </c>
      <c r="D16" s="1" t="s">
        <v>15335</v>
      </c>
      <c r="E16" s="13" t="s">
        <v>14772</v>
      </c>
      <c r="F16" s="14">
        <v>40885.0</v>
      </c>
      <c r="G16" s="14">
        <v>40885.0</v>
      </c>
      <c r="H16" s="14">
        <v>40892.0</v>
      </c>
      <c r="I16" s="13" t="s">
        <v>15336</v>
      </c>
    </row>
    <row r="17" ht="12.75" customHeight="1">
      <c r="A17" s="1">
        <v>25592.0</v>
      </c>
      <c r="B17" s="1" t="s">
        <v>21</v>
      </c>
      <c r="C17" s="1">
        <v>529.0</v>
      </c>
      <c r="D17" s="1" t="s">
        <v>15337</v>
      </c>
      <c r="E17" s="13" t="s">
        <v>15338</v>
      </c>
      <c r="F17" s="14">
        <v>40885.0</v>
      </c>
      <c r="G17" s="14">
        <v>40889.0</v>
      </c>
      <c r="H17" s="14">
        <v>40891.0</v>
      </c>
      <c r="I17" s="13"/>
    </row>
    <row r="18" ht="12.75" customHeight="1">
      <c r="A18" s="1">
        <v>25835.0</v>
      </c>
      <c r="B18" s="1" t="s">
        <v>21</v>
      </c>
      <c r="C18" s="1">
        <v>312.0</v>
      </c>
      <c r="D18" s="1" t="s">
        <v>15339</v>
      </c>
      <c r="E18" s="13" t="s">
        <v>15340</v>
      </c>
      <c r="F18" s="14">
        <v>40885.0</v>
      </c>
      <c r="G18" s="14">
        <v>40906.0</v>
      </c>
      <c r="H18" s="14">
        <v>40897.0</v>
      </c>
      <c r="I18" s="13"/>
    </row>
    <row r="19" ht="12.75" customHeight="1">
      <c r="A19" s="1" t="s">
        <v>192</v>
      </c>
      <c r="B19" s="1" t="s">
        <v>21</v>
      </c>
      <c r="C19" s="1">
        <v>830.0</v>
      </c>
      <c r="D19" s="1" t="s">
        <v>15341</v>
      </c>
      <c r="E19" s="13" t="s">
        <v>15342</v>
      </c>
      <c r="F19" s="14">
        <v>40882.0</v>
      </c>
      <c r="G19" s="4" t="s">
        <v>210</v>
      </c>
      <c r="H19" s="14">
        <v>40886.0</v>
      </c>
      <c r="I19" s="13" t="s">
        <v>15343</v>
      </c>
    </row>
    <row r="20" ht="12.75" customHeight="1">
      <c r="A20" s="1">
        <v>25830.0</v>
      </c>
      <c r="B20" s="1" t="s">
        <v>25</v>
      </c>
      <c r="C20" s="1">
        <v>2194.0</v>
      </c>
      <c r="D20" s="1" t="s">
        <v>15344</v>
      </c>
      <c r="E20" s="13" t="s">
        <v>472</v>
      </c>
      <c r="F20" s="14">
        <v>40881.0</v>
      </c>
      <c r="G20" s="14">
        <v>40878.0</v>
      </c>
      <c r="H20" s="14">
        <v>40886.0</v>
      </c>
      <c r="I20" s="13"/>
    </row>
    <row r="21" ht="12.75" customHeight="1">
      <c r="A21" s="1">
        <v>25115.0</v>
      </c>
      <c r="B21" s="1" t="s">
        <v>21</v>
      </c>
      <c r="C21" s="1">
        <v>530.0</v>
      </c>
      <c r="D21" s="1" t="s">
        <v>15345</v>
      </c>
      <c r="E21" s="13" t="s">
        <v>434</v>
      </c>
      <c r="F21" s="14">
        <v>40879.0</v>
      </c>
      <c r="G21" s="14">
        <v>40878.0</v>
      </c>
      <c r="H21" s="14">
        <v>40886.0</v>
      </c>
      <c r="I21" s="13"/>
    </row>
    <row r="22" ht="12.75" customHeight="1">
      <c r="A22" s="6" t="s">
        <v>15346</v>
      </c>
      <c r="B22" s="1" t="s">
        <v>21</v>
      </c>
      <c r="C22" s="1">
        <v>359.0</v>
      </c>
      <c r="D22" s="1" t="s">
        <v>15347</v>
      </c>
      <c r="E22" s="13" t="s">
        <v>15348</v>
      </c>
      <c r="F22" s="14">
        <v>40879.0</v>
      </c>
      <c r="G22" s="4"/>
      <c r="H22" s="14">
        <v>40892.0</v>
      </c>
      <c r="I22" s="13" t="s">
        <v>15349</v>
      </c>
    </row>
    <row r="23" ht="12.75" customHeight="1">
      <c r="A23" s="1">
        <v>25181.0</v>
      </c>
      <c r="B23" s="1" t="s">
        <v>14</v>
      </c>
      <c r="C23" s="1">
        <v>1805.0</v>
      </c>
      <c r="D23" s="1" t="s">
        <v>15350</v>
      </c>
      <c r="E23" s="13" t="s">
        <v>74</v>
      </c>
      <c r="F23" s="14">
        <v>40879.0</v>
      </c>
      <c r="G23" s="14">
        <v>40896.0</v>
      </c>
      <c r="H23" s="14">
        <v>40883.0</v>
      </c>
      <c r="I23" s="13" t="s">
        <v>15351</v>
      </c>
    </row>
    <row r="24" ht="12.75" customHeight="1">
      <c r="A24" s="1">
        <v>25173.0</v>
      </c>
      <c r="B24" s="1" t="s">
        <v>21</v>
      </c>
      <c r="C24" s="1">
        <v>1829.0</v>
      </c>
      <c r="D24" s="1" t="s">
        <v>15352</v>
      </c>
      <c r="E24" s="13" t="s">
        <v>74</v>
      </c>
      <c r="F24" s="14">
        <v>40877.0</v>
      </c>
      <c r="G24" s="14">
        <v>40878.0</v>
      </c>
      <c r="H24" s="14">
        <v>40883.0</v>
      </c>
      <c r="I24" s="13"/>
    </row>
    <row r="25" ht="12.75" customHeight="1">
      <c r="A25" s="1">
        <v>25707.0</v>
      </c>
      <c r="B25" s="1" t="s">
        <v>14</v>
      </c>
      <c r="C25" s="1">
        <v>836.0</v>
      </c>
      <c r="D25" s="1" t="s">
        <v>15353</v>
      </c>
      <c r="E25" s="13" t="s">
        <v>15354</v>
      </c>
      <c r="F25" s="14">
        <v>40876.0</v>
      </c>
      <c r="G25" s="14">
        <v>40878.0</v>
      </c>
      <c r="H25" s="14">
        <v>40879.0</v>
      </c>
      <c r="I25" s="13" t="s">
        <v>15355</v>
      </c>
    </row>
    <row r="26" ht="12.75" customHeight="1">
      <c r="A26" s="6" t="s">
        <v>15356</v>
      </c>
      <c r="B26" s="1" t="s">
        <v>14</v>
      </c>
      <c r="C26" s="1">
        <v>432.0</v>
      </c>
      <c r="D26" s="1" t="s">
        <v>15357</v>
      </c>
      <c r="E26" s="13" t="s">
        <v>15358</v>
      </c>
      <c r="F26" s="14">
        <v>40875.0</v>
      </c>
      <c r="G26" s="14">
        <v>40875.0</v>
      </c>
      <c r="H26" s="14">
        <v>40875.0</v>
      </c>
      <c r="I26" s="13" t="s">
        <v>15359</v>
      </c>
    </row>
    <row r="27" ht="12.75" customHeight="1">
      <c r="A27" s="1">
        <v>25715.0</v>
      </c>
      <c r="B27" s="1" t="s">
        <v>21</v>
      </c>
      <c r="C27" s="1">
        <v>605.0</v>
      </c>
      <c r="D27" s="1" t="s">
        <v>15360</v>
      </c>
      <c r="E27" s="13" t="s">
        <v>15361</v>
      </c>
      <c r="F27" s="14">
        <v>40872.0</v>
      </c>
      <c r="G27" s="14">
        <v>40889.0</v>
      </c>
      <c r="H27" s="14">
        <v>40882.0</v>
      </c>
      <c r="I27" s="13" t="s">
        <v>15362</v>
      </c>
    </row>
    <row r="28" ht="12.75" customHeight="1">
      <c r="A28" s="1">
        <v>25739.0</v>
      </c>
      <c r="B28" s="1" t="s">
        <v>21</v>
      </c>
      <c r="C28" s="1">
        <v>1280.0</v>
      </c>
      <c r="D28" s="1" t="s">
        <v>15363</v>
      </c>
      <c r="E28" s="13" t="s">
        <v>331</v>
      </c>
      <c r="F28" s="14">
        <v>40870.0</v>
      </c>
      <c r="G28" s="14">
        <v>40870.0</v>
      </c>
      <c r="H28" s="14">
        <v>40877.0</v>
      </c>
      <c r="I28" s="13" t="s">
        <v>15364</v>
      </c>
    </row>
    <row r="29" ht="12.75" customHeight="1">
      <c r="A29" s="1">
        <v>25172.0</v>
      </c>
      <c r="B29" s="1" t="s">
        <v>21</v>
      </c>
      <c r="C29" s="1">
        <v>1805.0</v>
      </c>
      <c r="D29" s="1" t="s">
        <v>15365</v>
      </c>
      <c r="E29" s="13" t="s">
        <v>74</v>
      </c>
      <c r="F29" s="14">
        <v>40870.0</v>
      </c>
      <c r="G29" s="14">
        <v>40870.0</v>
      </c>
      <c r="H29" s="14">
        <v>40878.0</v>
      </c>
      <c r="I29" s="13"/>
    </row>
    <row r="30" ht="12.75" customHeight="1">
      <c r="A30" s="1">
        <v>25507.0</v>
      </c>
      <c r="B30" s="1" t="s">
        <v>14</v>
      </c>
      <c r="C30" s="1">
        <v>427.0</v>
      </c>
      <c r="D30" s="1" t="s">
        <v>15366</v>
      </c>
      <c r="E30" s="13" t="s">
        <v>15113</v>
      </c>
      <c r="F30" s="14">
        <v>40869.0</v>
      </c>
      <c r="G30" s="14">
        <v>40891.0</v>
      </c>
      <c r="H30" s="14">
        <v>40877.0</v>
      </c>
      <c r="I30" s="13" t="s">
        <v>15367</v>
      </c>
    </row>
    <row r="31" ht="12.75" customHeight="1">
      <c r="A31" s="1">
        <v>25177.0</v>
      </c>
      <c r="B31" s="1" t="s">
        <v>25</v>
      </c>
      <c r="C31" s="1">
        <v>1648.0</v>
      </c>
      <c r="D31" s="1" t="s">
        <v>15368</v>
      </c>
      <c r="E31" s="13" t="s">
        <v>74</v>
      </c>
      <c r="F31" s="14">
        <v>40868.0</v>
      </c>
      <c r="G31" s="14">
        <v>40869.0</v>
      </c>
      <c r="H31" s="14">
        <v>40870.0</v>
      </c>
      <c r="I31" s="13"/>
    </row>
    <row r="32" ht="12.75" customHeight="1">
      <c r="A32" s="1">
        <v>25693.0</v>
      </c>
      <c r="B32" s="1" t="s">
        <v>14</v>
      </c>
      <c r="C32" s="1">
        <v>989.0</v>
      </c>
      <c r="D32" s="1" t="s">
        <v>15369</v>
      </c>
      <c r="E32" s="13" t="s">
        <v>15370</v>
      </c>
      <c r="F32" s="14">
        <v>40868.0</v>
      </c>
      <c r="G32" s="14">
        <v>40868.0</v>
      </c>
      <c r="H32" s="14">
        <v>40870.0</v>
      </c>
      <c r="I32" s="13"/>
    </row>
    <row r="33" ht="12.75" customHeight="1">
      <c r="A33" s="1">
        <v>25708.0</v>
      </c>
      <c r="B33" s="1" t="s">
        <v>21</v>
      </c>
      <c r="C33" s="1">
        <v>935.0</v>
      </c>
      <c r="D33" s="1" t="s">
        <v>15371</v>
      </c>
      <c r="E33" s="13" t="s">
        <v>15372</v>
      </c>
      <c r="F33" s="14">
        <v>40866.0</v>
      </c>
      <c r="G33" s="14">
        <v>40863.0</v>
      </c>
      <c r="H33" s="14">
        <v>40872.0</v>
      </c>
      <c r="I33" s="13" t="s">
        <v>15373</v>
      </c>
    </row>
    <row r="34" ht="12.75" customHeight="1">
      <c r="A34" s="1">
        <v>25714.0</v>
      </c>
      <c r="B34" s="1" t="s">
        <v>21</v>
      </c>
      <c r="C34" s="1">
        <v>1200.0</v>
      </c>
      <c r="D34" s="6" t="s">
        <v>15374</v>
      </c>
      <c r="E34" s="13" t="s">
        <v>15375</v>
      </c>
      <c r="F34" s="14">
        <v>40865.0</v>
      </c>
      <c r="G34" s="14">
        <v>40877.0</v>
      </c>
      <c r="H34" s="14">
        <v>40875.0</v>
      </c>
      <c r="I34" s="13" t="s">
        <v>15376</v>
      </c>
    </row>
    <row r="35" ht="12.75" customHeight="1">
      <c r="A35" s="1">
        <v>25323.0</v>
      </c>
      <c r="B35" s="1" t="s">
        <v>14</v>
      </c>
      <c r="C35" s="1">
        <v>2035.0</v>
      </c>
      <c r="D35" s="1" t="s">
        <v>15377</v>
      </c>
      <c r="E35" s="13" t="s">
        <v>13378</v>
      </c>
      <c r="F35" s="14">
        <v>40861.0</v>
      </c>
      <c r="G35" s="14">
        <v>40862.0</v>
      </c>
      <c r="H35" s="14">
        <v>40864.0</v>
      </c>
      <c r="I35" s="13" t="s">
        <v>15378</v>
      </c>
    </row>
    <row r="36" ht="12.75" customHeight="1">
      <c r="A36" s="1">
        <v>25695.0</v>
      </c>
      <c r="B36" s="1" t="s">
        <v>21</v>
      </c>
      <c r="C36" s="1">
        <v>925.0</v>
      </c>
      <c r="D36" s="1" t="s">
        <v>15379</v>
      </c>
      <c r="E36" s="13" t="s">
        <v>15380</v>
      </c>
      <c r="F36" s="14">
        <v>40861.0</v>
      </c>
      <c r="G36" s="14">
        <v>40863.0</v>
      </c>
      <c r="H36" s="14">
        <v>40870.0</v>
      </c>
      <c r="I36" s="13"/>
    </row>
    <row r="37" ht="12.75" customHeight="1">
      <c r="A37" s="1">
        <v>25269.0</v>
      </c>
      <c r="B37" s="1" t="s">
        <v>21</v>
      </c>
      <c r="C37" s="1">
        <v>800.0</v>
      </c>
      <c r="D37" s="1" t="s">
        <v>15381</v>
      </c>
      <c r="E37" s="13" t="s">
        <v>15382</v>
      </c>
      <c r="F37" s="14">
        <v>40857.0</v>
      </c>
      <c r="G37" s="14">
        <v>40858.0</v>
      </c>
      <c r="H37" s="14">
        <v>40868.0</v>
      </c>
      <c r="I37" s="13"/>
    </row>
    <row r="38" ht="12.75" customHeight="1">
      <c r="A38" s="1" t="s">
        <v>192</v>
      </c>
      <c r="B38" s="1" t="s">
        <v>21</v>
      </c>
      <c r="C38" s="1">
        <v>747.0</v>
      </c>
      <c r="D38" s="1" t="s">
        <v>15383</v>
      </c>
      <c r="E38" s="13" t="s">
        <v>15384</v>
      </c>
      <c r="F38" s="14">
        <v>40857.0</v>
      </c>
      <c r="G38" s="4" t="s">
        <v>210</v>
      </c>
      <c r="H38" s="14">
        <v>40861.0</v>
      </c>
      <c r="I38" s="13" t="s">
        <v>15385</v>
      </c>
    </row>
    <row r="39" ht="12.75" customHeight="1">
      <c r="A39" s="1" t="s">
        <v>210</v>
      </c>
      <c r="B39" s="1" t="s">
        <v>21</v>
      </c>
      <c r="C39" s="1">
        <v>42.0</v>
      </c>
      <c r="D39" s="1" t="s">
        <v>15386</v>
      </c>
      <c r="E39" s="13" t="s">
        <v>15387</v>
      </c>
      <c r="F39" s="14">
        <v>40855.0</v>
      </c>
      <c r="G39" s="4" t="s">
        <v>210</v>
      </c>
      <c r="H39" s="14">
        <v>40863.0</v>
      </c>
      <c r="I39" s="13" t="s">
        <v>15388</v>
      </c>
    </row>
    <row r="40" ht="12.75" customHeight="1">
      <c r="A40" s="1">
        <v>25285.0</v>
      </c>
      <c r="B40" s="1" t="s">
        <v>14</v>
      </c>
      <c r="C40" s="1">
        <v>940.0</v>
      </c>
      <c r="D40" s="1" t="s">
        <v>15389</v>
      </c>
      <c r="E40" s="13" t="s">
        <v>294</v>
      </c>
      <c r="F40" s="14">
        <v>40855.0</v>
      </c>
      <c r="G40" s="14">
        <v>40855.0</v>
      </c>
      <c r="H40" s="14">
        <v>40858.0</v>
      </c>
      <c r="I40" s="13"/>
    </row>
    <row r="41" ht="12.75" customHeight="1">
      <c r="A41" s="1">
        <v>25602.0</v>
      </c>
      <c r="B41" s="1" t="s">
        <v>14</v>
      </c>
      <c r="C41" s="1">
        <v>647.0</v>
      </c>
      <c r="D41" s="1" t="s">
        <v>15390</v>
      </c>
      <c r="E41" s="13" t="s">
        <v>15391</v>
      </c>
      <c r="F41" s="14">
        <v>40854.0</v>
      </c>
      <c r="G41" s="14">
        <v>40875.0</v>
      </c>
      <c r="H41" s="16">
        <v>40862.0</v>
      </c>
      <c r="I41" s="13" t="s">
        <v>15392</v>
      </c>
    </row>
    <row r="42" ht="12.75" customHeight="1">
      <c r="A42" s="1">
        <v>24985.0</v>
      </c>
      <c r="B42" s="1" t="s">
        <v>21</v>
      </c>
      <c r="C42" s="1">
        <v>918.0</v>
      </c>
      <c r="D42" s="1" t="s">
        <v>15393</v>
      </c>
      <c r="E42" s="13" t="s">
        <v>12555</v>
      </c>
      <c r="F42" s="14">
        <v>40852.0</v>
      </c>
      <c r="G42" s="14">
        <v>40848.0</v>
      </c>
      <c r="H42" s="14">
        <v>40856.0</v>
      </c>
      <c r="I42" s="13" t="s">
        <v>14999</v>
      </c>
    </row>
    <row r="43" ht="12.75" customHeight="1">
      <c r="A43" s="1">
        <v>25668.0</v>
      </c>
      <c r="B43" s="1" t="s">
        <v>21</v>
      </c>
      <c r="C43" s="1">
        <v>701.0</v>
      </c>
      <c r="D43" s="1" t="s">
        <v>15394</v>
      </c>
      <c r="E43" s="13" t="s">
        <v>15395</v>
      </c>
      <c r="F43" s="14">
        <v>40852.0</v>
      </c>
      <c r="G43" s="14">
        <v>40863.0</v>
      </c>
      <c r="H43" s="14">
        <v>40862.0</v>
      </c>
      <c r="I43" s="13" t="s">
        <v>15396</v>
      </c>
    </row>
    <row r="44" ht="12.75" customHeight="1">
      <c r="A44" s="1">
        <v>25114.0</v>
      </c>
      <c r="B44" s="1" t="s">
        <v>21</v>
      </c>
      <c r="C44" s="1">
        <v>941.0</v>
      </c>
      <c r="D44" s="1" t="s">
        <v>15397</v>
      </c>
      <c r="E44" s="13" t="s">
        <v>15398</v>
      </c>
      <c r="F44" s="14">
        <v>40852.0</v>
      </c>
      <c r="G44" s="14">
        <v>40848.0</v>
      </c>
      <c r="H44" s="14">
        <v>40857.0</v>
      </c>
      <c r="I44" s="13" t="s">
        <v>15399</v>
      </c>
    </row>
    <row r="45" ht="12.75" customHeight="1">
      <c r="A45" s="1">
        <v>25319.0</v>
      </c>
      <c r="B45" s="1" t="s">
        <v>21</v>
      </c>
      <c r="C45" s="1">
        <v>165.0</v>
      </c>
      <c r="D45" s="1" t="s">
        <v>15400</v>
      </c>
      <c r="E45" s="13" t="s">
        <v>15401</v>
      </c>
      <c r="F45" s="14">
        <v>40850.0</v>
      </c>
      <c r="G45" s="14">
        <v>40877.0</v>
      </c>
      <c r="H45" s="14">
        <v>40861.0</v>
      </c>
      <c r="I45" s="13" t="s">
        <v>15402</v>
      </c>
    </row>
    <row r="46" ht="12.75" customHeight="1">
      <c r="A46" s="1">
        <v>25286.0</v>
      </c>
      <c r="B46" s="1" t="s">
        <v>25</v>
      </c>
      <c r="C46" s="1">
        <v>940.0</v>
      </c>
      <c r="D46" s="1" t="s">
        <v>15403</v>
      </c>
      <c r="E46" s="13" t="s">
        <v>294</v>
      </c>
      <c r="F46" s="14">
        <v>40848.0</v>
      </c>
      <c r="G46" s="14">
        <v>40851.0</v>
      </c>
      <c r="H46" s="14">
        <v>40851.0</v>
      </c>
      <c r="I46" s="13"/>
    </row>
    <row r="47" ht="12.75" customHeight="1">
      <c r="A47" s="1">
        <v>25433.0</v>
      </c>
      <c r="B47" s="1" t="s">
        <v>21</v>
      </c>
      <c r="C47" s="1">
        <v>900.0</v>
      </c>
      <c r="D47" s="1" t="s">
        <v>15404</v>
      </c>
      <c r="E47" s="13" t="s">
        <v>495</v>
      </c>
      <c r="F47" s="14">
        <v>40845.0</v>
      </c>
      <c r="G47" s="14">
        <v>40843.0</v>
      </c>
      <c r="H47" s="14">
        <v>40854.0</v>
      </c>
      <c r="I47" s="13" t="s">
        <v>14999</v>
      </c>
    </row>
    <row r="48" ht="12.75" customHeight="1">
      <c r="A48" s="33">
        <v>25536.0</v>
      </c>
      <c r="B48" s="33" t="s">
        <v>14</v>
      </c>
      <c r="C48" s="33">
        <v>72.0</v>
      </c>
      <c r="D48" s="33" t="s">
        <v>15405</v>
      </c>
      <c r="E48" s="24" t="s">
        <v>12622</v>
      </c>
      <c r="F48" s="29">
        <v>40844.0</v>
      </c>
      <c r="G48" s="32"/>
      <c r="H48" s="29">
        <v>40857.0</v>
      </c>
      <c r="I48" s="24" t="s">
        <v>15406</v>
      </c>
    </row>
    <row r="49" ht="12.75" customHeight="1">
      <c r="A49" s="1">
        <v>25594.0</v>
      </c>
      <c r="B49" s="1" t="s">
        <v>14</v>
      </c>
      <c r="C49" s="1">
        <v>1637.0</v>
      </c>
      <c r="D49" s="1" t="s">
        <v>15407</v>
      </c>
      <c r="E49" s="13" t="s">
        <v>15408</v>
      </c>
      <c r="F49" s="14">
        <v>40843.0</v>
      </c>
      <c r="G49" s="14">
        <v>40843.0</v>
      </c>
      <c r="H49" s="14">
        <v>40849.0</v>
      </c>
      <c r="I49" s="13" t="s">
        <v>15409</v>
      </c>
    </row>
    <row r="50" ht="12.75" customHeight="1">
      <c r="A50" s="1" t="s">
        <v>192</v>
      </c>
      <c r="B50" s="1" t="s">
        <v>21</v>
      </c>
      <c r="C50" s="1">
        <v>152.0</v>
      </c>
      <c r="D50" s="1" t="s">
        <v>15410</v>
      </c>
      <c r="E50" s="13" t="s">
        <v>15411</v>
      </c>
      <c r="F50" s="14">
        <v>40840.0</v>
      </c>
      <c r="G50" s="4" t="s">
        <v>210</v>
      </c>
      <c r="H50" s="14">
        <v>40847.0</v>
      </c>
      <c r="I50" s="13" t="s">
        <v>15412</v>
      </c>
    </row>
    <row r="51" ht="12.75" customHeight="1">
      <c r="A51" s="1">
        <v>25582.0</v>
      </c>
      <c r="B51" s="1" t="s">
        <v>14</v>
      </c>
      <c r="C51" s="1">
        <v>1280.0</v>
      </c>
      <c r="D51" s="1" t="s">
        <v>15413</v>
      </c>
      <c r="E51" s="13" t="s">
        <v>344</v>
      </c>
      <c r="F51" s="14">
        <v>40840.0</v>
      </c>
      <c r="G51" s="14">
        <v>40843.0</v>
      </c>
      <c r="H51" s="14">
        <v>40847.0</v>
      </c>
      <c r="I51" s="13" t="s">
        <v>15414</v>
      </c>
    </row>
    <row r="52" ht="12.75" customHeight="1">
      <c r="A52" s="1">
        <v>25680.0</v>
      </c>
      <c r="B52" s="1" t="s">
        <v>14</v>
      </c>
      <c r="C52" s="1">
        <v>4.0</v>
      </c>
      <c r="D52" s="1" t="s">
        <v>15415</v>
      </c>
      <c r="E52" s="13" t="s">
        <v>15416</v>
      </c>
      <c r="F52" s="14">
        <v>40839.0</v>
      </c>
      <c r="G52" s="14">
        <v>40847.0</v>
      </c>
      <c r="H52" s="14">
        <v>40850.0</v>
      </c>
      <c r="I52" s="13" t="s">
        <v>15417</v>
      </c>
    </row>
    <row r="53" ht="12.75" customHeight="1">
      <c r="A53" s="1">
        <v>25681.0</v>
      </c>
      <c r="B53" s="1" t="s">
        <v>21</v>
      </c>
      <c r="C53" s="1">
        <v>4.0</v>
      </c>
      <c r="D53" s="1" t="s">
        <v>15418</v>
      </c>
      <c r="E53" s="13" t="s">
        <v>15416</v>
      </c>
      <c r="F53" s="14">
        <v>40839.0</v>
      </c>
      <c r="G53" s="14">
        <v>40900.0</v>
      </c>
      <c r="H53" s="14">
        <v>40837.0</v>
      </c>
      <c r="I53" s="13" t="s">
        <v>15419</v>
      </c>
    </row>
    <row r="54" ht="12.75" customHeight="1">
      <c r="A54" s="1">
        <v>25530.0</v>
      </c>
      <c r="B54" s="1" t="s">
        <v>21</v>
      </c>
      <c r="C54" s="1">
        <v>4.0</v>
      </c>
      <c r="D54" s="1" t="s">
        <v>15420</v>
      </c>
      <c r="E54" s="13" t="s">
        <v>15421</v>
      </c>
      <c r="F54" s="14">
        <v>40836.0</v>
      </c>
      <c r="G54" s="14">
        <v>40837.0</v>
      </c>
      <c r="H54" s="14">
        <v>40848.0</v>
      </c>
      <c r="I54" s="13" t="s">
        <v>15422</v>
      </c>
    </row>
    <row r="55" ht="12.75" customHeight="1">
      <c r="A55" s="1">
        <v>24440.0</v>
      </c>
      <c r="B55" s="1" t="s">
        <v>21</v>
      </c>
      <c r="C55" s="1">
        <v>71.0</v>
      </c>
      <c r="D55" s="1" t="s">
        <v>15423</v>
      </c>
      <c r="E55" s="13" t="s">
        <v>12622</v>
      </c>
      <c r="F55" s="14">
        <v>40834.0</v>
      </c>
      <c r="G55" s="14">
        <v>40840.0</v>
      </c>
      <c r="H55" s="14">
        <v>40841.0</v>
      </c>
      <c r="I55" s="13"/>
    </row>
    <row r="56" ht="12.75" customHeight="1">
      <c r="A56" s="1" t="s">
        <v>192</v>
      </c>
      <c r="B56" s="1" t="s">
        <v>21</v>
      </c>
      <c r="C56" s="1">
        <v>402.0</v>
      </c>
      <c r="D56" s="1" t="s">
        <v>15424</v>
      </c>
      <c r="E56" s="13" t="s">
        <v>15425</v>
      </c>
      <c r="F56" s="14">
        <v>40833.0</v>
      </c>
      <c r="G56" s="4" t="s">
        <v>210</v>
      </c>
      <c r="H56" s="14">
        <v>40840.0</v>
      </c>
      <c r="I56" s="13" t="s">
        <v>15426</v>
      </c>
    </row>
    <row r="57" ht="12.75" customHeight="1">
      <c r="A57" s="1">
        <v>25603.0</v>
      </c>
      <c r="B57" s="1" t="s">
        <v>21</v>
      </c>
      <c r="C57" s="1">
        <v>1300.0</v>
      </c>
      <c r="D57" s="1" t="s">
        <v>15427</v>
      </c>
      <c r="E57" s="13" t="s">
        <v>15428</v>
      </c>
      <c r="F57" s="14">
        <v>40833.0</v>
      </c>
      <c r="G57" s="14">
        <v>40834.0</v>
      </c>
      <c r="H57" s="14">
        <v>40841.0</v>
      </c>
      <c r="I57" s="13"/>
    </row>
    <row r="58" ht="12.75" customHeight="1">
      <c r="A58" s="1">
        <v>25176.0</v>
      </c>
      <c r="B58" s="1" t="s">
        <v>25</v>
      </c>
      <c r="C58" s="1">
        <v>1506.0</v>
      </c>
      <c r="D58" s="1" t="s">
        <v>15429</v>
      </c>
      <c r="E58" s="13" t="s">
        <v>74</v>
      </c>
      <c r="F58" s="14">
        <v>40832.0</v>
      </c>
      <c r="G58" s="14">
        <v>40830.0</v>
      </c>
      <c r="H58" s="14">
        <v>40834.0</v>
      </c>
      <c r="I58" s="13"/>
    </row>
    <row r="59" ht="12.75" customHeight="1">
      <c r="A59" s="1">
        <v>24984.0</v>
      </c>
      <c r="B59" s="1" t="s">
        <v>21</v>
      </c>
      <c r="C59" s="1">
        <v>908.0</v>
      </c>
      <c r="D59" s="1" t="s">
        <v>15430</v>
      </c>
      <c r="E59" s="13" t="s">
        <v>14976</v>
      </c>
      <c r="F59" s="14">
        <v>40831.0</v>
      </c>
      <c r="G59" s="14">
        <v>40828.0</v>
      </c>
      <c r="H59" s="14">
        <v>40835.0</v>
      </c>
      <c r="I59" s="13" t="s">
        <v>14999</v>
      </c>
    </row>
    <row r="60" ht="12.75" customHeight="1">
      <c r="A60" s="1">
        <v>25450.0</v>
      </c>
      <c r="B60" s="1" t="s">
        <v>21</v>
      </c>
      <c r="C60" s="1" t="s">
        <v>15431</v>
      </c>
      <c r="D60" s="1" t="s">
        <v>15432</v>
      </c>
      <c r="E60" s="13" t="s">
        <v>15433</v>
      </c>
      <c r="F60" s="14">
        <v>40830.0</v>
      </c>
      <c r="G60" s="14">
        <v>40837.0</v>
      </c>
      <c r="H60" s="14">
        <v>40837.0</v>
      </c>
      <c r="I60" s="13" t="s">
        <v>15434</v>
      </c>
    </row>
    <row r="61" ht="12.75" customHeight="1">
      <c r="A61" s="1">
        <v>25588.0</v>
      </c>
      <c r="B61" s="1" t="s">
        <v>21</v>
      </c>
      <c r="C61" s="1">
        <v>721.0</v>
      </c>
      <c r="D61" s="1" t="s">
        <v>15435</v>
      </c>
      <c r="E61" s="13" t="s">
        <v>15436</v>
      </c>
      <c r="F61" s="14">
        <v>40830.0</v>
      </c>
      <c r="G61" s="14">
        <v>40831.0</v>
      </c>
      <c r="H61" s="14">
        <v>40836.0</v>
      </c>
      <c r="I61" s="779">
        <v>121535.44</v>
      </c>
    </row>
    <row r="62" ht="12.75" customHeight="1">
      <c r="A62" s="1" t="s">
        <v>192</v>
      </c>
      <c r="B62" s="1" t="s">
        <v>21</v>
      </c>
      <c r="C62" s="1">
        <v>477.0</v>
      </c>
      <c r="D62" s="1" t="s">
        <v>15437</v>
      </c>
      <c r="E62" s="13" t="s">
        <v>15438</v>
      </c>
      <c r="F62" s="14">
        <v>40829.0</v>
      </c>
      <c r="G62" s="4" t="s">
        <v>210</v>
      </c>
      <c r="H62" s="14">
        <v>40834.0</v>
      </c>
      <c r="I62" s="13" t="s">
        <v>15439</v>
      </c>
    </row>
    <row r="63" ht="12.75" customHeight="1">
      <c r="A63" s="1">
        <v>25113.0</v>
      </c>
      <c r="B63" s="1" t="s">
        <v>21</v>
      </c>
      <c r="C63" s="1">
        <v>522.0</v>
      </c>
      <c r="D63" s="1" t="s">
        <v>15440</v>
      </c>
      <c r="E63" s="13" t="s">
        <v>434</v>
      </c>
      <c r="F63" s="14">
        <v>40827.0</v>
      </c>
      <c r="G63" s="14">
        <v>40829.0</v>
      </c>
      <c r="H63" s="14">
        <v>40833.0</v>
      </c>
      <c r="I63" s="13"/>
    </row>
    <row r="64" ht="12.75" customHeight="1">
      <c r="A64" s="1">
        <v>25604.0</v>
      </c>
      <c r="B64" s="1" t="s">
        <v>21</v>
      </c>
      <c r="C64" s="1">
        <v>870.0</v>
      </c>
      <c r="D64" s="1" t="s">
        <v>15441</v>
      </c>
      <c r="E64" s="13" t="s">
        <v>15442</v>
      </c>
      <c r="F64" s="14">
        <v>40827.0</v>
      </c>
      <c r="G64" s="14">
        <v>40827.0</v>
      </c>
      <c r="H64" s="14">
        <v>40829.0</v>
      </c>
      <c r="I64" s="13"/>
    </row>
    <row r="65" ht="12.75" customHeight="1">
      <c r="A65" s="1">
        <v>25570.0</v>
      </c>
      <c r="B65" s="1" t="s">
        <v>21</v>
      </c>
      <c r="C65" s="1">
        <v>170.0</v>
      </c>
      <c r="D65" s="1" t="s">
        <v>15443</v>
      </c>
      <c r="E65" s="13" t="s">
        <v>15340</v>
      </c>
      <c r="F65" s="14">
        <v>40823.0</v>
      </c>
      <c r="G65" s="14">
        <v>40837.0</v>
      </c>
      <c r="H65" s="14">
        <v>40829.0</v>
      </c>
      <c r="I65" s="13" t="s">
        <v>15444</v>
      </c>
    </row>
    <row r="66" ht="12.75" customHeight="1">
      <c r="A66" s="1">
        <v>25171.0</v>
      </c>
      <c r="B66" s="1" t="s">
        <v>21</v>
      </c>
      <c r="C66" s="1">
        <v>1914.0</v>
      </c>
      <c r="D66" s="1" t="s">
        <v>15445</v>
      </c>
      <c r="E66" s="13" t="s">
        <v>74</v>
      </c>
      <c r="F66" s="14">
        <v>40818.0</v>
      </c>
      <c r="G66" s="14">
        <v>40819.0</v>
      </c>
      <c r="H66" s="14">
        <v>40821.0</v>
      </c>
      <c r="I66" s="13" t="s">
        <v>15446</v>
      </c>
    </row>
    <row r="67" ht="12.75" customHeight="1">
      <c r="A67" s="1">
        <v>25396.0</v>
      </c>
      <c r="B67" s="1" t="s">
        <v>21</v>
      </c>
      <c r="C67" s="1">
        <v>494.0</v>
      </c>
      <c r="D67" s="1" t="s">
        <v>15447</v>
      </c>
      <c r="E67" s="13" t="s">
        <v>15448</v>
      </c>
      <c r="F67" s="14">
        <v>40817.0</v>
      </c>
      <c r="G67" s="14">
        <v>40821.0</v>
      </c>
      <c r="H67" s="14">
        <v>40822.0</v>
      </c>
      <c r="I67" s="13"/>
    </row>
    <row r="68" ht="12.75" customHeight="1">
      <c r="A68" s="1">
        <v>25180.0</v>
      </c>
      <c r="B68" s="1" t="s">
        <v>14</v>
      </c>
      <c r="C68" s="1">
        <v>2245.0</v>
      </c>
      <c r="D68" s="1" t="s">
        <v>15449</v>
      </c>
      <c r="E68" s="13" t="s">
        <v>74</v>
      </c>
      <c r="F68" s="14">
        <v>40815.0</v>
      </c>
      <c r="G68" s="14">
        <v>40819.0</v>
      </c>
      <c r="H68" s="14">
        <v>40819.0</v>
      </c>
      <c r="I68" s="13" t="s">
        <v>15450</v>
      </c>
    </row>
    <row r="69" ht="12.75" customHeight="1">
      <c r="A69" s="1">
        <v>25589.0</v>
      </c>
      <c r="B69" s="1" t="s">
        <v>25</v>
      </c>
      <c r="C69" s="1">
        <v>1178.0</v>
      </c>
      <c r="D69" s="1" t="s">
        <v>15451</v>
      </c>
      <c r="E69" s="13" t="s">
        <v>15452</v>
      </c>
      <c r="F69" s="14">
        <v>40815.0</v>
      </c>
      <c r="G69" s="14">
        <v>40814.0</v>
      </c>
      <c r="H69" s="14">
        <v>40820.0</v>
      </c>
      <c r="I69" s="13"/>
    </row>
    <row r="70" ht="12.75" customHeight="1">
      <c r="A70" s="1">
        <v>25099.0</v>
      </c>
      <c r="B70" s="1" t="s">
        <v>14</v>
      </c>
      <c r="C70" s="1">
        <v>1700.0</v>
      </c>
      <c r="D70" s="1" t="s">
        <v>15453</v>
      </c>
      <c r="E70" s="13" t="s">
        <v>15454</v>
      </c>
      <c r="F70" s="14">
        <v>40812.0</v>
      </c>
      <c r="G70" s="14">
        <v>40819.0</v>
      </c>
      <c r="H70" s="14">
        <v>40820.0</v>
      </c>
      <c r="I70" s="13" t="s">
        <v>15455</v>
      </c>
    </row>
    <row r="71" ht="12.75" customHeight="1">
      <c r="A71" s="1">
        <v>25081.0</v>
      </c>
      <c r="B71" s="1" t="s">
        <v>21</v>
      </c>
      <c r="C71" s="1">
        <v>600.0</v>
      </c>
      <c r="D71" s="1" t="s">
        <v>15456</v>
      </c>
      <c r="E71" s="13" t="s">
        <v>15382</v>
      </c>
      <c r="F71" s="14">
        <v>40808.0</v>
      </c>
      <c r="G71" s="14">
        <v>40813.0</v>
      </c>
      <c r="H71" s="14">
        <v>40813.0</v>
      </c>
      <c r="I71" s="13"/>
    </row>
    <row r="72" ht="12.75" customHeight="1">
      <c r="A72" s="1">
        <v>25270.0</v>
      </c>
      <c r="B72" s="1" t="s">
        <v>21</v>
      </c>
      <c r="C72" s="1">
        <v>100.0</v>
      </c>
      <c r="D72" s="1" t="s">
        <v>15456</v>
      </c>
      <c r="E72" s="13" t="s">
        <v>15457</v>
      </c>
      <c r="F72" s="14">
        <v>40808.0</v>
      </c>
      <c r="G72" s="14">
        <v>40813.0</v>
      </c>
      <c r="H72" s="14">
        <v>40813.0</v>
      </c>
      <c r="I72" s="13"/>
    </row>
    <row r="73" ht="12.75" customHeight="1">
      <c r="A73" s="1">
        <v>25381.0</v>
      </c>
      <c r="B73" s="1" t="s">
        <v>21</v>
      </c>
      <c r="C73" s="1">
        <v>67.0</v>
      </c>
      <c r="D73" s="1" t="s">
        <v>15458</v>
      </c>
      <c r="E73" s="13" t="s">
        <v>15459</v>
      </c>
      <c r="F73" s="14">
        <v>40805.0</v>
      </c>
      <c r="G73" s="4" t="s">
        <v>210</v>
      </c>
      <c r="H73" s="14">
        <v>40809.0</v>
      </c>
      <c r="I73" s="13" t="s">
        <v>15460</v>
      </c>
    </row>
    <row r="74" ht="12.75" customHeight="1">
      <c r="A74" s="1">
        <v>25390.0</v>
      </c>
      <c r="B74" s="1" t="s">
        <v>21</v>
      </c>
      <c r="C74" s="1">
        <v>88.0</v>
      </c>
      <c r="D74" s="1" t="s">
        <v>15461</v>
      </c>
      <c r="E74" s="13" t="s">
        <v>15462</v>
      </c>
      <c r="F74" s="14">
        <v>40805.0</v>
      </c>
      <c r="G74" s="4" t="s">
        <v>210</v>
      </c>
      <c r="H74" s="14">
        <v>40807.0</v>
      </c>
      <c r="I74" s="13"/>
    </row>
    <row r="75" ht="12.75" customHeight="1">
      <c r="A75" s="1">
        <v>24983.0</v>
      </c>
      <c r="B75" s="1" t="s">
        <v>21</v>
      </c>
      <c r="C75" s="1">
        <v>909.0</v>
      </c>
      <c r="D75" s="1" t="s">
        <v>15463</v>
      </c>
      <c r="E75" s="13" t="s">
        <v>14976</v>
      </c>
      <c r="F75" s="14">
        <v>40804.0</v>
      </c>
      <c r="G75" s="14">
        <v>40807.0</v>
      </c>
      <c r="H75" s="14">
        <v>40809.0</v>
      </c>
      <c r="I75" s="13" t="s">
        <v>15464</v>
      </c>
    </row>
    <row r="76" ht="12.75" customHeight="1">
      <c r="A76" s="1">
        <v>25200.0</v>
      </c>
      <c r="B76" s="1" t="s">
        <v>21</v>
      </c>
      <c r="C76" s="1">
        <v>2162.0</v>
      </c>
      <c r="D76" s="1" t="s">
        <v>15465</v>
      </c>
      <c r="E76" s="13" t="s">
        <v>15466</v>
      </c>
      <c r="F76" s="14">
        <v>40803.0</v>
      </c>
      <c r="G76" s="14">
        <v>40801.0</v>
      </c>
      <c r="H76" s="14">
        <v>40805.0</v>
      </c>
      <c r="I76" s="13" t="s">
        <v>15464</v>
      </c>
    </row>
    <row r="77" ht="12.75" customHeight="1">
      <c r="A77" s="1">
        <v>25112.0</v>
      </c>
      <c r="B77" s="1" t="s">
        <v>14</v>
      </c>
      <c r="C77" s="1">
        <v>530.0</v>
      </c>
      <c r="D77" s="1" t="s">
        <v>15467</v>
      </c>
      <c r="E77" s="13" t="s">
        <v>434</v>
      </c>
      <c r="F77" s="14">
        <v>40803.0</v>
      </c>
      <c r="G77" s="14">
        <v>40806.0</v>
      </c>
      <c r="H77" s="14">
        <v>40806.0</v>
      </c>
      <c r="I77" s="13"/>
    </row>
    <row r="78" ht="12.75" customHeight="1">
      <c r="A78" s="1">
        <v>25175.0</v>
      </c>
      <c r="B78" s="1" t="s">
        <v>25</v>
      </c>
      <c r="C78" s="1">
        <v>1786.0</v>
      </c>
      <c r="D78" s="1" t="s">
        <v>15468</v>
      </c>
      <c r="E78" s="13" t="s">
        <v>74</v>
      </c>
      <c r="F78" s="14">
        <v>40801.0</v>
      </c>
      <c r="G78" s="14">
        <v>40801.0</v>
      </c>
      <c r="H78" s="14">
        <v>40806.0</v>
      </c>
      <c r="I78" s="13"/>
    </row>
    <row r="79" ht="12.75" customHeight="1">
      <c r="A79" s="1">
        <v>25549.0</v>
      </c>
      <c r="B79" s="1" t="s">
        <v>14</v>
      </c>
      <c r="C79" s="1">
        <v>50.0</v>
      </c>
      <c r="D79" s="6" t="s">
        <v>15469</v>
      </c>
      <c r="E79" s="13" t="s">
        <v>15470</v>
      </c>
      <c r="F79" s="14">
        <v>40801.0</v>
      </c>
      <c r="G79" s="14">
        <v>40813.0</v>
      </c>
      <c r="H79" s="14">
        <v>40805.0</v>
      </c>
      <c r="I79" s="13" t="s">
        <v>15471</v>
      </c>
    </row>
    <row r="80" ht="12.75" customHeight="1">
      <c r="A80" s="1">
        <v>25418.0</v>
      </c>
      <c r="B80" s="1" t="s">
        <v>14</v>
      </c>
      <c r="C80" s="1">
        <v>1280.0</v>
      </c>
      <c r="D80" s="1" t="s">
        <v>15472</v>
      </c>
      <c r="E80" s="13" t="s">
        <v>331</v>
      </c>
      <c r="F80" s="14">
        <v>40799.0</v>
      </c>
      <c r="G80" s="14">
        <v>40801.0</v>
      </c>
      <c r="H80" s="14">
        <v>40808.0</v>
      </c>
      <c r="I80" s="13" t="s">
        <v>15473</v>
      </c>
    </row>
    <row r="81" ht="12.75" customHeight="1">
      <c r="A81" s="1" t="s">
        <v>192</v>
      </c>
      <c r="B81" s="1" t="s">
        <v>21</v>
      </c>
      <c r="C81" s="1">
        <v>207.0</v>
      </c>
      <c r="D81" s="1" t="s">
        <v>15474</v>
      </c>
      <c r="E81" s="13" t="s">
        <v>15475</v>
      </c>
      <c r="F81" s="14">
        <v>40791.0</v>
      </c>
      <c r="G81" s="4" t="s">
        <v>210</v>
      </c>
      <c r="H81" s="14">
        <v>40794.0</v>
      </c>
      <c r="I81" s="13" t="s">
        <v>15476</v>
      </c>
    </row>
    <row r="82" ht="12.75" customHeight="1">
      <c r="A82" s="1">
        <v>25268.0</v>
      </c>
      <c r="B82" s="1" t="s">
        <v>21</v>
      </c>
      <c r="C82" s="1">
        <v>772.0</v>
      </c>
      <c r="D82" s="1" t="s">
        <v>15477</v>
      </c>
      <c r="E82" s="13" t="s">
        <v>376</v>
      </c>
      <c r="F82" s="14">
        <v>40791.0</v>
      </c>
      <c r="G82" s="14">
        <v>40793.0</v>
      </c>
      <c r="H82" s="14">
        <v>40794.0</v>
      </c>
      <c r="I82" s="13"/>
    </row>
    <row r="83" ht="12.75" customHeight="1">
      <c r="A83" s="1">
        <v>25497.0</v>
      </c>
      <c r="B83" s="1" t="s">
        <v>21</v>
      </c>
      <c r="C83" s="1">
        <v>986.0</v>
      </c>
      <c r="D83" s="1" t="s">
        <v>15478</v>
      </c>
      <c r="E83" s="13" t="s">
        <v>15479</v>
      </c>
      <c r="F83" s="14">
        <v>40789.0</v>
      </c>
      <c r="G83" s="14">
        <v>40786.0</v>
      </c>
      <c r="H83" s="14">
        <v>40798.0</v>
      </c>
      <c r="I83" s="779">
        <v>78801.81</v>
      </c>
    </row>
    <row r="84" ht="12.75" customHeight="1">
      <c r="A84" s="1">
        <v>25430.0</v>
      </c>
      <c r="B84" s="1" t="s">
        <v>21</v>
      </c>
      <c r="C84" s="1">
        <v>440.0</v>
      </c>
      <c r="D84" s="1" t="s">
        <v>15480</v>
      </c>
      <c r="E84" s="13" t="s">
        <v>14962</v>
      </c>
      <c r="F84" s="14">
        <v>40783.0</v>
      </c>
      <c r="G84" s="14">
        <v>40781.0</v>
      </c>
      <c r="H84" s="14">
        <v>40793.0</v>
      </c>
      <c r="I84" s="13"/>
    </row>
    <row r="85" ht="12.75" customHeight="1">
      <c r="A85" s="33">
        <v>25343.0</v>
      </c>
      <c r="B85" s="33" t="s">
        <v>14</v>
      </c>
      <c r="C85" s="33">
        <v>641.0</v>
      </c>
      <c r="D85" s="33" t="s">
        <v>15481</v>
      </c>
      <c r="E85" s="24" t="s">
        <v>15482</v>
      </c>
      <c r="F85" s="29">
        <v>40775.0</v>
      </c>
      <c r="G85" s="29">
        <v>40777.0</v>
      </c>
      <c r="H85" s="29">
        <v>40798.0</v>
      </c>
      <c r="I85" s="24" t="s">
        <v>15483</v>
      </c>
    </row>
    <row r="86" ht="12.75" customHeight="1">
      <c r="A86" s="1">
        <v>25170.0</v>
      </c>
      <c r="B86" s="1" t="s">
        <v>21</v>
      </c>
      <c r="C86" s="1">
        <v>2254.0</v>
      </c>
      <c r="D86" s="1" t="s">
        <v>15484</v>
      </c>
      <c r="E86" s="13" t="s">
        <v>74</v>
      </c>
      <c r="F86" s="14">
        <v>40772.0</v>
      </c>
      <c r="G86" s="14">
        <v>40773.0</v>
      </c>
      <c r="H86" s="14">
        <v>40777.0</v>
      </c>
      <c r="I86" s="13" t="s">
        <v>15485</v>
      </c>
    </row>
    <row r="87" ht="12.75" customHeight="1">
      <c r="A87" s="1">
        <v>25387.0</v>
      </c>
      <c r="B87" s="1" t="s">
        <v>14</v>
      </c>
      <c r="C87" s="1">
        <v>949.0</v>
      </c>
      <c r="D87" s="1" t="s">
        <v>15486</v>
      </c>
      <c r="E87" s="13" t="s">
        <v>15487</v>
      </c>
      <c r="F87" s="14">
        <v>40771.0</v>
      </c>
      <c r="G87" s="14">
        <v>40777.0</v>
      </c>
      <c r="H87" s="14">
        <v>40781.0</v>
      </c>
      <c r="I87" s="13"/>
    </row>
    <row r="88" ht="12.75" customHeight="1">
      <c r="A88" s="1">
        <v>25410.0</v>
      </c>
      <c r="B88" s="1" t="s">
        <v>21</v>
      </c>
      <c r="C88" s="1">
        <v>1280.0</v>
      </c>
      <c r="D88" s="1" t="s">
        <v>15488</v>
      </c>
      <c r="E88" s="13" t="s">
        <v>331</v>
      </c>
      <c r="F88" s="14">
        <v>40770.0</v>
      </c>
      <c r="G88" s="14">
        <v>40770.0</v>
      </c>
      <c r="H88" s="14">
        <v>40774.0</v>
      </c>
      <c r="I88" s="13"/>
    </row>
    <row r="89" ht="12.75" customHeight="1">
      <c r="A89" s="1" t="s">
        <v>192</v>
      </c>
      <c r="B89" s="1" t="s">
        <v>21</v>
      </c>
      <c r="C89" s="1">
        <v>198.0</v>
      </c>
      <c r="D89" s="1" t="s">
        <v>15489</v>
      </c>
      <c r="E89" s="13" t="s">
        <v>15490</v>
      </c>
      <c r="F89" s="14">
        <v>40767.0</v>
      </c>
      <c r="G89" s="4" t="s">
        <v>210</v>
      </c>
      <c r="H89" s="14">
        <v>40771.0</v>
      </c>
      <c r="I89" s="13" t="s">
        <v>15491</v>
      </c>
    </row>
    <row r="90" ht="12.75" customHeight="1">
      <c r="A90" s="1">
        <v>25179.0</v>
      </c>
      <c r="B90" s="1" t="s">
        <v>14</v>
      </c>
      <c r="C90" s="1">
        <v>1652.0</v>
      </c>
      <c r="D90" s="1" t="s">
        <v>15492</v>
      </c>
      <c r="E90" s="13" t="s">
        <v>74</v>
      </c>
      <c r="F90" s="14">
        <v>40766.0</v>
      </c>
      <c r="G90" s="14">
        <v>40771.0</v>
      </c>
      <c r="H90" s="14">
        <v>40773.0</v>
      </c>
      <c r="I90" s="13" t="s">
        <v>15493</v>
      </c>
    </row>
    <row r="91" ht="12.75" customHeight="1">
      <c r="A91" s="1">
        <v>25352.0</v>
      </c>
      <c r="B91" s="1" t="s">
        <v>14</v>
      </c>
      <c r="C91" s="1">
        <v>836.0</v>
      </c>
      <c r="D91" s="1" t="s">
        <v>15494</v>
      </c>
      <c r="E91" s="13" t="s">
        <v>15495</v>
      </c>
      <c r="F91" s="14">
        <v>40764.0</v>
      </c>
      <c r="G91" s="14">
        <v>40764.0</v>
      </c>
      <c r="H91" s="14">
        <v>40770.0</v>
      </c>
      <c r="I91" s="780">
        <v>34359.6</v>
      </c>
    </row>
    <row r="92" ht="12.75" customHeight="1">
      <c r="A92" s="1">
        <v>25174.0</v>
      </c>
      <c r="B92" s="1" t="s">
        <v>25</v>
      </c>
      <c r="C92" s="1">
        <v>1682.0</v>
      </c>
      <c r="D92" s="1" t="s">
        <v>15496</v>
      </c>
      <c r="E92" s="13" t="s">
        <v>74</v>
      </c>
      <c r="F92" s="14">
        <v>40764.0</v>
      </c>
      <c r="G92" s="14">
        <v>40764.0</v>
      </c>
      <c r="H92" s="14">
        <v>40766.0</v>
      </c>
      <c r="I92" s="13"/>
    </row>
    <row r="93" ht="12.75" customHeight="1">
      <c r="A93" s="1">
        <v>25332.0</v>
      </c>
      <c r="B93" s="1" t="s">
        <v>14</v>
      </c>
      <c r="C93" s="1">
        <v>1300.0</v>
      </c>
      <c r="D93" s="1" t="s">
        <v>15497</v>
      </c>
      <c r="E93" s="13" t="s">
        <v>331</v>
      </c>
      <c r="F93" s="14">
        <v>40764.0</v>
      </c>
      <c r="G93" s="14">
        <v>40764.0</v>
      </c>
      <c r="H93" s="14">
        <v>40772.0</v>
      </c>
      <c r="I93" s="13" t="s">
        <v>15498</v>
      </c>
    </row>
    <row r="94" ht="12.75" customHeight="1">
      <c r="A94" s="1">
        <v>25359.0</v>
      </c>
      <c r="B94" s="1" t="s">
        <v>14</v>
      </c>
      <c r="C94" s="1">
        <v>450.0</v>
      </c>
      <c r="D94" s="1" t="s">
        <v>15499</v>
      </c>
      <c r="E94" s="13" t="s">
        <v>15500</v>
      </c>
      <c r="F94" s="14">
        <v>40763.0</v>
      </c>
      <c r="G94" s="14">
        <v>40764.0</v>
      </c>
      <c r="H94" s="14">
        <v>40770.0</v>
      </c>
      <c r="I94" s="13"/>
    </row>
    <row r="95" ht="12.75" customHeight="1">
      <c r="A95" s="1">
        <v>25380.0</v>
      </c>
      <c r="B95" s="1" t="s">
        <v>21</v>
      </c>
      <c r="C95" s="1">
        <v>913.0</v>
      </c>
      <c r="D95" s="1" t="s">
        <v>15501</v>
      </c>
      <c r="E95" s="13" t="s">
        <v>15502</v>
      </c>
      <c r="F95" s="14">
        <v>40761.0</v>
      </c>
      <c r="G95" s="14">
        <v>40758.0</v>
      </c>
      <c r="H95" s="14">
        <v>40767.0</v>
      </c>
      <c r="I95" s="13"/>
    </row>
    <row r="96" ht="12.75" customHeight="1">
      <c r="A96" s="1">
        <v>25335.0</v>
      </c>
      <c r="B96" s="1" t="s">
        <v>14</v>
      </c>
      <c r="C96" s="1">
        <v>2186.0</v>
      </c>
      <c r="D96" s="1" t="s">
        <v>15503</v>
      </c>
      <c r="E96" s="13" t="s">
        <v>15504</v>
      </c>
      <c r="F96" s="14">
        <v>40761.0</v>
      </c>
      <c r="G96" s="14">
        <v>40764.0</v>
      </c>
      <c r="H96" s="14">
        <v>40766.0</v>
      </c>
      <c r="I96" s="779">
        <v>31930.08</v>
      </c>
    </row>
    <row r="97" ht="12.75" customHeight="1">
      <c r="A97" s="6" t="s">
        <v>15505</v>
      </c>
      <c r="B97" s="1" t="s">
        <v>21</v>
      </c>
      <c r="C97" s="1">
        <v>75.0</v>
      </c>
      <c r="D97" s="1" t="s">
        <v>15506</v>
      </c>
      <c r="E97" s="13" t="s">
        <v>15507</v>
      </c>
      <c r="F97" s="14">
        <v>40756.0</v>
      </c>
      <c r="G97" s="14">
        <v>40764.0</v>
      </c>
      <c r="H97" s="14">
        <v>40760.0</v>
      </c>
      <c r="I97" s="13" t="s">
        <v>15508</v>
      </c>
    </row>
    <row r="98" ht="12.75" customHeight="1">
      <c r="A98" s="33">
        <v>24965.0</v>
      </c>
      <c r="B98" s="33" t="s">
        <v>14</v>
      </c>
      <c r="C98" s="33">
        <v>265.0</v>
      </c>
      <c r="D98" s="33" t="s">
        <v>15509</v>
      </c>
      <c r="E98" s="24" t="s">
        <v>13411</v>
      </c>
      <c r="F98" s="29">
        <v>40755.0</v>
      </c>
      <c r="G98" s="29">
        <v>40770.0</v>
      </c>
      <c r="H98" s="29">
        <v>40770.0</v>
      </c>
      <c r="I98" s="24" t="s">
        <v>15510</v>
      </c>
    </row>
    <row r="99" ht="12.75" customHeight="1">
      <c r="A99" s="1">
        <v>25338.0</v>
      </c>
      <c r="B99" s="1" t="s">
        <v>21</v>
      </c>
      <c r="C99" s="1">
        <v>441.0</v>
      </c>
      <c r="D99" s="1" t="s">
        <v>15511</v>
      </c>
      <c r="E99" s="13" t="s">
        <v>14962</v>
      </c>
      <c r="F99" s="14">
        <v>40754.0</v>
      </c>
      <c r="G99" s="14">
        <v>40753.0</v>
      </c>
      <c r="H99" s="14">
        <v>40758.0</v>
      </c>
      <c r="I99" s="13"/>
    </row>
    <row r="100" ht="12.75" customHeight="1">
      <c r="A100" s="1">
        <v>25339.0</v>
      </c>
      <c r="B100" s="1" t="s">
        <v>21</v>
      </c>
      <c r="C100" s="1">
        <v>800.0</v>
      </c>
      <c r="D100" s="1" t="s">
        <v>15512</v>
      </c>
      <c r="E100" s="13" t="s">
        <v>14772</v>
      </c>
      <c r="F100" s="14">
        <v>40754.0</v>
      </c>
      <c r="G100" s="14">
        <v>40753.0</v>
      </c>
      <c r="H100" s="14">
        <v>40760.0</v>
      </c>
      <c r="I100" s="781">
        <v>43728.0</v>
      </c>
    </row>
    <row r="101" ht="12.75" customHeight="1">
      <c r="A101" s="1">
        <v>25344.0</v>
      </c>
      <c r="B101" s="1" t="s">
        <v>21</v>
      </c>
      <c r="C101" s="1">
        <v>650.0</v>
      </c>
      <c r="D101" s="1" t="s">
        <v>15513</v>
      </c>
      <c r="E101" s="13" t="s">
        <v>15482</v>
      </c>
      <c r="F101" s="14">
        <v>40753.0</v>
      </c>
      <c r="G101" s="14">
        <v>40757.0</v>
      </c>
      <c r="H101" s="14">
        <v>40759.0</v>
      </c>
      <c r="I101" s="781">
        <v>44505.0</v>
      </c>
    </row>
    <row r="102" ht="12.75" customHeight="1">
      <c r="A102" s="1">
        <v>25336.0</v>
      </c>
      <c r="B102" s="1" t="s">
        <v>21</v>
      </c>
      <c r="C102" s="1">
        <v>600.0</v>
      </c>
      <c r="D102" s="1" t="s">
        <v>15514</v>
      </c>
      <c r="E102" s="13" t="s">
        <v>15515</v>
      </c>
      <c r="F102" s="14">
        <v>40750.0</v>
      </c>
      <c r="G102" s="14">
        <v>40746.0</v>
      </c>
      <c r="H102" s="14">
        <v>40760.0</v>
      </c>
      <c r="I102" s="13" t="s">
        <v>15516</v>
      </c>
    </row>
    <row r="103" ht="12.75" customHeight="1">
      <c r="A103" s="1">
        <v>25195.0</v>
      </c>
      <c r="B103" s="1" t="s">
        <v>21</v>
      </c>
      <c r="C103" s="1">
        <v>755.0</v>
      </c>
      <c r="D103" s="1" t="s">
        <v>15517</v>
      </c>
      <c r="E103" s="13" t="s">
        <v>15518</v>
      </c>
      <c r="F103" s="14">
        <v>40747.0</v>
      </c>
      <c r="G103" s="14">
        <v>40749.0</v>
      </c>
      <c r="H103" s="14">
        <v>40756.0</v>
      </c>
      <c r="I103" s="13"/>
    </row>
    <row r="104" ht="12.75" customHeight="1">
      <c r="A104" s="1">
        <v>25273.0</v>
      </c>
      <c r="B104" s="1" t="s">
        <v>14</v>
      </c>
      <c r="C104" s="1">
        <v>600.0</v>
      </c>
      <c r="D104" s="1" t="s">
        <v>15519</v>
      </c>
      <c r="E104" s="13" t="s">
        <v>15520</v>
      </c>
      <c r="F104" s="14">
        <v>40746.0</v>
      </c>
      <c r="G104" s="14">
        <v>40749.0</v>
      </c>
      <c r="H104" s="14">
        <v>40753.0</v>
      </c>
      <c r="I104" s="13" t="s">
        <v>15521</v>
      </c>
    </row>
    <row r="105" ht="12.75" customHeight="1">
      <c r="A105" s="1">
        <v>25337.0</v>
      </c>
      <c r="B105" s="1" t="s">
        <v>21</v>
      </c>
      <c r="C105" s="1" t="s">
        <v>15522</v>
      </c>
      <c r="D105" s="6" t="s">
        <v>15523</v>
      </c>
      <c r="E105" s="13" t="s">
        <v>15524</v>
      </c>
      <c r="F105" s="14">
        <v>40744.0</v>
      </c>
      <c r="G105" s="14">
        <v>40749.0</v>
      </c>
      <c r="H105" s="14">
        <v>40746.0</v>
      </c>
      <c r="I105" s="13"/>
    </row>
    <row r="106" ht="12.75" customHeight="1">
      <c r="A106" s="1">
        <v>25334.0</v>
      </c>
      <c r="B106" s="1" t="s">
        <v>21</v>
      </c>
      <c r="C106" s="1">
        <v>700.0</v>
      </c>
      <c r="D106" s="1" t="s">
        <v>15525</v>
      </c>
      <c r="E106" s="13" t="s">
        <v>331</v>
      </c>
      <c r="F106" s="14">
        <v>40741.0</v>
      </c>
      <c r="G106" s="14">
        <v>40738.0</v>
      </c>
      <c r="H106" s="14">
        <v>40746.0</v>
      </c>
      <c r="I106" s="781">
        <v>25350.0</v>
      </c>
    </row>
    <row r="107" ht="12.75" customHeight="1">
      <c r="A107" s="1">
        <v>24986.0</v>
      </c>
      <c r="B107" s="1" t="s">
        <v>14</v>
      </c>
      <c r="C107" s="1">
        <v>1134.0</v>
      </c>
      <c r="D107" s="1" t="s">
        <v>15526</v>
      </c>
      <c r="E107" s="13" t="s">
        <v>15527</v>
      </c>
      <c r="F107" s="14">
        <v>40740.0</v>
      </c>
      <c r="G107" s="14">
        <v>40749.0</v>
      </c>
      <c r="H107" s="14">
        <v>40745.0</v>
      </c>
      <c r="I107" s="13"/>
    </row>
    <row r="108" ht="12.75" customHeight="1">
      <c r="A108" s="1">
        <v>25291.0</v>
      </c>
      <c r="B108" s="1" t="s">
        <v>14</v>
      </c>
      <c r="C108" s="1">
        <v>600.0</v>
      </c>
      <c r="D108" s="1" t="s">
        <v>15528</v>
      </c>
      <c r="E108" s="13" t="s">
        <v>15529</v>
      </c>
      <c r="F108" s="14">
        <v>40739.0</v>
      </c>
      <c r="G108" s="14">
        <v>40743.0</v>
      </c>
      <c r="H108" s="14">
        <v>40742.0</v>
      </c>
      <c r="I108" s="13" t="s">
        <v>15530</v>
      </c>
    </row>
    <row r="109" ht="12.75" customHeight="1">
      <c r="A109" s="6" t="s">
        <v>15531</v>
      </c>
      <c r="B109" s="1" t="s">
        <v>21</v>
      </c>
      <c r="C109" s="6" t="s">
        <v>15532</v>
      </c>
      <c r="D109" s="1" t="s">
        <v>15533</v>
      </c>
      <c r="E109" s="13" t="s">
        <v>15534</v>
      </c>
      <c r="F109" s="14">
        <v>40739.0</v>
      </c>
      <c r="G109" s="14">
        <v>40743.0</v>
      </c>
      <c r="H109" s="14">
        <v>40742.0</v>
      </c>
      <c r="I109" s="13"/>
    </row>
    <row r="110" ht="12.75" customHeight="1">
      <c r="A110" s="1">
        <v>25087.0</v>
      </c>
      <c r="B110" s="1" t="s">
        <v>14</v>
      </c>
      <c r="C110" s="1">
        <v>835.0</v>
      </c>
      <c r="D110" s="1" t="s">
        <v>15535</v>
      </c>
      <c r="E110" s="13" t="s">
        <v>13637</v>
      </c>
      <c r="F110" s="14">
        <v>40738.0</v>
      </c>
      <c r="G110" s="14">
        <v>40760.0</v>
      </c>
      <c r="H110" s="14">
        <v>40751.0</v>
      </c>
      <c r="I110" s="13" t="s">
        <v>15536</v>
      </c>
    </row>
    <row r="111" ht="12.75" customHeight="1">
      <c r="A111" s="6">
        <v>25194.0</v>
      </c>
      <c r="B111" s="1" t="s">
        <v>21</v>
      </c>
      <c r="C111" s="1">
        <v>532.0</v>
      </c>
      <c r="D111" s="1" t="s">
        <v>15537</v>
      </c>
      <c r="E111" s="13" t="s">
        <v>15538</v>
      </c>
      <c r="F111" s="14">
        <v>40737.0</v>
      </c>
      <c r="G111" s="14">
        <v>40738.0</v>
      </c>
      <c r="H111" s="14">
        <v>40745.0</v>
      </c>
      <c r="I111" s="780">
        <v>29145.6</v>
      </c>
    </row>
    <row r="112" ht="12.75" customHeight="1">
      <c r="A112" s="1">
        <v>25278.0</v>
      </c>
      <c r="B112" s="1" t="s">
        <v>14</v>
      </c>
      <c r="C112" s="1">
        <v>1500.0</v>
      </c>
      <c r="D112" s="1" t="s">
        <v>15539</v>
      </c>
      <c r="E112" s="13" t="s">
        <v>331</v>
      </c>
      <c r="F112" s="14">
        <v>40735.0</v>
      </c>
      <c r="G112" s="14">
        <v>40743.0</v>
      </c>
      <c r="H112" s="14">
        <v>40743.0</v>
      </c>
      <c r="I112" s="781">
        <v>52125.0</v>
      </c>
    </row>
    <row r="113" ht="12.75" customHeight="1">
      <c r="A113" s="1">
        <v>25083.0</v>
      </c>
      <c r="B113" s="1" t="s">
        <v>21</v>
      </c>
      <c r="C113" s="1">
        <v>846.0</v>
      </c>
      <c r="D113" s="1" t="s">
        <v>15540</v>
      </c>
      <c r="E113" s="13" t="s">
        <v>13637</v>
      </c>
      <c r="F113" s="14">
        <v>40733.0</v>
      </c>
      <c r="G113" s="14">
        <v>40749.0</v>
      </c>
      <c r="H113" s="14">
        <v>40737.0</v>
      </c>
      <c r="I113" s="13" t="s">
        <v>15541</v>
      </c>
    </row>
    <row r="114" ht="5.25" customHeight="1">
      <c r="A114" s="1">
        <v>25086.0</v>
      </c>
      <c r="B114" s="1" t="s">
        <v>21</v>
      </c>
      <c r="C114" s="1">
        <v>846.0</v>
      </c>
      <c r="D114" s="1" t="s">
        <v>15542</v>
      </c>
      <c r="E114" s="13" t="s">
        <v>13637</v>
      </c>
      <c r="F114" s="14">
        <v>40733.0</v>
      </c>
      <c r="G114" s="14">
        <v>40749.0</v>
      </c>
      <c r="H114" s="14">
        <v>40737.0</v>
      </c>
      <c r="I114" s="13" t="s">
        <v>15543</v>
      </c>
    </row>
    <row r="115" ht="12.75" customHeight="1">
      <c r="A115" s="1">
        <v>25056.0</v>
      </c>
      <c r="B115" s="1" t="s">
        <v>21</v>
      </c>
      <c r="C115" s="1">
        <v>227.0</v>
      </c>
      <c r="D115" s="1" t="s">
        <v>15544</v>
      </c>
      <c r="E115" s="13" t="s">
        <v>15545</v>
      </c>
      <c r="F115" s="14">
        <v>40732.0</v>
      </c>
      <c r="G115" s="14">
        <v>40844.0</v>
      </c>
      <c r="H115" s="14">
        <v>40744.0</v>
      </c>
      <c r="I115" s="13" t="s">
        <v>15546</v>
      </c>
    </row>
    <row r="116" ht="12.75" customHeight="1">
      <c r="A116" s="1">
        <v>25328.0</v>
      </c>
      <c r="B116" s="1" t="s">
        <v>25</v>
      </c>
      <c r="C116" s="1">
        <v>1405.0</v>
      </c>
      <c r="D116" s="1" t="s">
        <v>15547</v>
      </c>
      <c r="E116" s="13" t="s">
        <v>15548</v>
      </c>
      <c r="F116" s="14">
        <v>40731.0</v>
      </c>
      <c r="G116" s="14">
        <v>40743.0</v>
      </c>
      <c r="H116" s="14">
        <v>40738.0</v>
      </c>
      <c r="I116" s="13" t="s">
        <v>15549</v>
      </c>
    </row>
    <row r="117" ht="12.75" customHeight="1">
      <c r="A117" s="1">
        <v>25274.0</v>
      </c>
      <c r="B117" s="1" t="s">
        <v>14</v>
      </c>
      <c r="C117" s="1">
        <v>1025.0</v>
      </c>
      <c r="D117" s="1" t="s">
        <v>15550</v>
      </c>
      <c r="E117" s="13" t="s">
        <v>14948</v>
      </c>
      <c r="F117" s="14">
        <v>40728.0</v>
      </c>
      <c r="G117" s="14">
        <v>40743.0</v>
      </c>
      <c r="H117" s="14">
        <v>40737.0</v>
      </c>
      <c r="I117" s="779">
        <v>41350.46</v>
      </c>
    </row>
    <row r="118" ht="12.75" customHeight="1">
      <c r="A118" s="1">
        <v>24917.0</v>
      </c>
      <c r="B118" s="1" t="s">
        <v>21</v>
      </c>
      <c r="C118" s="1">
        <v>940.0</v>
      </c>
      <c r="D118" s="1" t="s">
        <v>15551</v>
      </c>
      <c r="E118" s="13" t="s">
        <v>15125</v>
      </c>
      <c r="F118" s="14">
        <v>40727.0</v>
      </c>
      <c r="G118" s="14">
        <v>40743.0</v>
      </c>
      <c r="H118" s="14">
        <v>40732.0</v>
      </c>
      <c r="I118" s="13"/>
    </row>
    <row r="119" ht="12.75" customHeight="1">
      <c r="A119" s="1">
        <v>25297.0</v>
      </c>
      <c r="B119" s="1" t="s">
        <v>21</v>
      </c>
      <c r="C119" s="1">
        <v>836.0</v>
      </c>
      <c r="D119" s="1" t="s">
        <v>15552</v>
      </c>
      <c r="E119" s="13" t="s">
        <v>15495</v>
      </c>
      <c r="F119" s="14">
        <v>40726.0</v>
      </c>
      <c r="G119" s="14">
        <v>40743.0</v>
      </c>
      <c r="H119" s="14">
        <v>40736.0</v>
      </c>
      <c r="I119" s="780">
        <v>32854.8</v>
      </c>
    </row>
    <row r="120" ht="12.75" customHeight="1">
      <c r="A120" s="1">
        <v>25100.0</v>
      </c>
      <c r="B120" s="1" t="s">
        <v>21</v>
      </c>
      <c r="C120" s="1">
        <v>680.0</v>
      </c>
      <c r="D120" s="1" t="s">
        <v>15553</v>
      </c>
      <c r="E120" s="13" t="s">
        <v>419</v>
      </c>
      <c r="F120" s="14">
        <v>40725.0</v>
      </c>
      <c r="G120" s="14">
        <v>40724.0</v>
      </c>
      <c r="H120" s="14">
        <v>40735.0</v>
      </c>
      <c r="I120" s="13"/>
    </row>
    <row r="121" ht="12.75" customHeight="1">
      <c r="A121" s="1">
        <v>25257.0</v>
      </c>
      <c r="B121" s="1" t="s">
        <v>14</v>
      </c>
      <c r="C121" s="1">
        <v>2194.0</v>
      </c>
      <c r="D121" s="1" t="s">
        <v>15554</v>
      </c>
      <c r="E121" s="13" t="s">
        <v>15555</v>
      </c>
      <c r="F121" s="14">
        <v>40722.0</v>
      </c>
      <c r="G121" s="14">
        <v>40721.0</v>
      </c>
      <c r="H121" s="14">
        <v>40729.0</v>
      </c>
      <c r="I121" s="779">
        <v>31823.04</v>
      </c>
    </row>
    <row r="122" ht="12.75" customHeight="1">
      <c r="A122" s="1" t="s">
        <v>192</v>
      </c>
      <c r="B122" s="1" t="s">
        <v>21</v>
      </c>
      <c r="C122" s="1">
        <v>267.0</v>
      </c>
      <c r="D122" s="1" t="s">
        <v>15556</v>
      </c>
      <c r="E122" s="13" t="s">
        <v>15557</v>
      </c>
      <c r="F122" s="14">
        <v>40721.0</v>
      </c>
      <c r="G122" s="14">
        <v>40723.0</v>
      </c>
      <c r="H122" s="14">
        <v>40723.0</v>
      </c>
      <c r="I122" s="13" t="s">
        <v>15558</v>
      </c>
    </row>
    <row r="123" ht="12.75" customHeight="1">
      <c r="A123" s="1">
        <v>25075.0</v>
      </c>
      <c r="B123" s="1" t="s">
        <v>21</v>
      </c>
      <c r="C123" s="1">
        <v>936.0</v>
      </c>
      <c r="D123" s="1" t="s">
        <v>15559</v>
      </c>
      <c r="E123" s="13" t="s">
        <v>15052</v>
      </c>
      <c r="F123" s="14">
        <v>40721.0</v>
      </c>
      <c r="G123" s="14">
        <v>40718.0</v>
      </c>
      <c r="H123" s="14">
        <v>40725.0</v>
      </c>
      <c r="I123" s="13" t="s">
        <v>15560</v>
      </c>
    </row>
    <row r="124" ht="12.75" customHeight="1">
      <c r="A124" s="1">
        <v>25277.0</v>
      </c>
      <c r="B124" s="1" t="s">
        <v>21</v>
      </c>
      <c r="C124" s="1">
        <v>620.0</v>
      </c>
      <c r="D124" s="1" t="s">
        <v>15561</v>
      </c>
      <c r="E124" s="13" t="s">
        <v>15562</v>
      </c>
      <c r="F124" s="14">
        <v>40718.0</v>
      </c>
      <c r="G124" s="14">
        <v>40716.0</v>
      </c>
      <c r="H124" s="14">
        <v>40724.0</v>
      </c>
      <c r="I124" s="781">
        <v>22429.0</v>
      </c>
    </row>
    <row r="125" ht="12.75" customHeight="1">
      <c r="A125" s="1">
        <v>25258.0</v>
      </c>
      <c r="B125" s="1" t="s">
        <v>21</v>
      </c>
      <c r="C125" s="1">
        <v>420.0</v>
      </c>
      <c r="D125" s="1" t="s">
        <v>15563</v>
      </c>
      <c r="E125" s="13" t="s">
        <v>15564</v>
      </c>
      <c r="F125" s="14">
        <v>40715.0</v>
      </c>
      <c r="G125" s="14">
        <v>40721.0</v>
      </c>
      <c r="H125" s="14">
        <v>40721.0</v>
      </c>
      <c r="I125" s="13" t="s">
        <v>15565</v>
      </c>
    </row>
    <row r="126" ht="12.75" customHeight="1">
      <c r="A126" s="1">
        <v>24980.0</v>
      </c>
      <c r="B126" s="1" t="s">
        <v>25</v>
      </c>
      <c r="C126" s="1">
        <v>2310.0</v>
      </c>
      <c r="D126" s="1" t="s">
        <v>15566</v>
      </c>
      <c r="E126" s="13" t="s">
        <v>15567</v>
      </c>
      <c r="F126" s="14">
        <v>40714.0</v>
      </c>
      <c r="G126" s="14">
        <v>40717.0</v>
      </c>
      <c r="H126" s="14">
        <v>40717.0</v>
      </c>
      <c r="I126" s="779">
        <v>25711.71</v>
      </c>
    </row>
    <row r="127" ht="12.75" customHeight="1">
      <c r="A127" s="1">
        <v>25226.0</v>
      </c>
      <c r="B127" s="1" t="s">
        <v>14</v>
      </c>
      <c r="C127" s="1">
        <v>595.0</v>
      </c>
      <c r="D127" s="1" t="s">
        <v>15568</v>
      </c>
      <c r="E127" s="13" t="s">
        <v>15515</v>
      </c>
      <c r="F127" s="14">
        <v>40711.0</v>
      </c>
      <c r="G127" s="14">
        <v>40716.0</v>
      </c>
      <c r="H127" s="14">
        <v>40717.0</v>
      </c>
      <c r="I127" s="779">
        <v>32784.92</v>
      </c>
    </row>
    <row r="128" ht="12.75" customHeight="1">
      <c r="A128" s="1">
        <v>24814.0</v>
      </c>
      <c r="B128" s="1" t="s">
        <v>21</v>
      </c>
      <c r="C128" s="1">
        <v>530.0</v>
      </c>
      <c r="D128" s="1" t="s">
        <v>15569</v>
      </c>
      <c r="E128" s="13" t="s">
        <v>434</v>
      </c>
      <c r="F128" s="14">
        <v>40710.0</v>
      </c>
      <c r="G128" s="14">
        <v>40714.0</v>
      </c>
      <c r="H128" s="14">
        <v>40716.0</v>
      </c>
      <c r="I128" s="13"/>
    </row>
    <row r="129" ht="12.75" customHeight="1">
      <c r="A129" s="1">
        <v>25225.0</v>
      </c>
      <c r="B129" s="1" t="s">
        <v>21</v>
      </c>
      <c r="C129" s="1">
        <v>800.0</v>
      </c>
      <c r="D129" s="1" t="s">
        <v>15570</v>
      </c>
      <c r="E129" s="13" t="s">
        <v>14772</v>
      </c>
      <c r="F129" s="14">
        <v>40704.0</v>
      </c>
      <c r="G129" s="14">
        <v>40702.0</v>
      </c>
      <c r="H129" s="14">
        <v>40709.0</v>
      </c>
      <c r="I129" s="13" t="s">
        <v>15571</v>
      </c>
    </row>
    <row r="130" ht="12.75" customHeight="1">
      <c r="A130" s="1">
        <v>25239.0</v>
      </c>
      <c r="B130" s="1" t="s">
        <v>21</v>
      </c>
      <c r="C130" s="1">
        <v>1000.0</v>
      </c>
      <c r="D130" s="1" t="s">
        <v>15572</v>
      </c>
      <c r="E130" s="13" t="s">
        <v>331</v>
      </c>
      <c r="F130" s="14">
        <v>40704.0</v>
      </c>
      <c r="G130" s="14">
        <v>40714.0</v>
      </c>
      <c r="H130" s="14">
        <v>40710.0</v>
      </c>
      <c r="I130" s="781">
        <v>55650.0</v>
      </c>
    </row>
    <row r="131" ht="12.75" customHeight="1">
      <c r="A131" s="1" t="s">
        <v>192</v>
      </c>
      <c r="B131" s="1" t="s">
        <v>21</v>
      </c>
      <c r="C131" s="1">
        <v>701.0</v>
      </c>
      <c r="D131" s="1" t="s">
        <v>15573</v>
      </c>
      <c r="E131" s="13" t="s">
        <v>15574</v>
      </c>
      <c r="F131" s="14">
        <v>40703.0</v>
      </c>
      <c r="G131" s="14">
        <v>40704.0</v>
      </c>
      <c r="H131" s="14">
        <v>40708.0</v>
      </c>
      <c r="I131" s="13" t="s">
        <v>15575</v>
      </c>
    </row>
    <row r="132" ht="12.75" customHeight="1">
      <c r="A132" s="1">
        <v>25236.0</v>
      </c>
      <c r="B132" s="1" t="s">
        <v>21</v>
      </c>
      <c r="C132" s="1">
        <v>1086.0</v>
      </c>
      <c r="D132" s="1" t="s">
        <v>15576</v>
      </c>
      <c r="E132" s="13" t="s">
        <v>15577</v>
      </c>
      <c r="F132" s="14">
        <v>40703.0</v>
      </c>
      <c r="G132" s="14">
        <v>40704.0</v>
      </c>
      <c r="H132" s="14">
        <v>40711.0</v>
      </c>
      <c r="I132" s="779">
        <v>47070.94</v>
      </c>
    </row>
    <row r="133" ht="12.75" customHeight="1">
      <c r="A133" s="1">
        <v>25139.0</v>
      </c>
      <c r="B133" s="1" t="s">
        <v>14</v>
      </c>
      <c r="C133" s="1">
        <v>600.0</v>
      </c>
      <c r="D133" s="1" t="s">
        <v>15578</v>
      </c>
      <c r="E133" s="13" t="s">
        <v>15579</v>
      </c>
      <c r="F133" s="14">
        <v>40697.0</v>
      </c>
      <c r="G133" s="14">
        <v>40700.0</v>
      </c>
      <c r="H133" s="14">
        <v>40703.0</v>
      </c>
      <c r="I133" s="781">
        <v>48130.0</v>
      </c>
    </row>
    <row r="134" ht="12.75" customHeight="1">
      <c r="A134" s="1">
        <v>25193.0</v>
      </c>
      <c r="B134" s="1" t="s">
        <v>21</v>
      </c>
      <c r="C134" s="1">
        <v>221.0</v>
      </c>
      <c r="D134" s="1" t="s">
        <v>15580</v>
      </c>
      <c r="E134" s="13" t="s">
        <v>15581</v>
      </c>
      <c r="F134" s="14">
        <v>40697.0</v>
      </c>
      <c r="G134" s="14">
        <v>40695.0</v>
      </c>
      <c r="H134" s="14">
        <v>40702.0</v>
      </c>
      <c r="I134" s="780">
        <v>42820.1</v>
      </c>
    </row>
    <row r="135" ht="12.75" customHeight="1">
      <c r="A135" s="1">
        <v>24916.0</v>
      </c>
      <c r="B135" s="1" t="s">
        <v>21</v>
      </c>
      <c r="C135" s="1">
        <v>940.0</v>
      </c>
      <c r="D135" s="1" t="s">
        <v>15582</v>
      </c>
      <c r="E135" s="13" t="s">
        <v>15125</v>
      </c>
      <c r="F135" s="14">
        <v>40694.0</v>
      </c>
      <c r="G135" s="14">
        <v>40700.0</v>
      </c>
      <c r="H135" s="14">
        <v>40701.0</v>
      </c>
      <c r="I135" s="781">
        <v>10340.0</v>
      </c>
    </row>
    <row r="136" ht="12.75" customHeight="1">
      <c r="A136" s="1">
        <v>25148.0</v>
      </c>
      <c r="B136" s="1" t="s">
        <v>21</v>
      </c>
      <c r="C136" s="1">
        <v>610.0</v>
      </c>
      <c r="D136" s="1" t="s">
        <v>15583</v>
      </c>
      <c r="E136" s="13" t="s">
        <v>15584</v>
      </c>
      <c r="F136" s="14">
        <v>40689.0</v>
      </c>
      <c r="G136" s="14">
        <v>40696.0</v>
      </c>
      <c r="H136" s="14">
        <v>40697.0</v>
      </c>
      <c r="I136" s="13" t="s">
        <v>15585</v>
      </c>
    </row>
    <row r="137" ht="12.75" customHeight="1">
      <c r="A137" s="1">
        <v>25150.0</v>
      </c>
      <c r="B137" s="1" t="s">
        <v>21</v>
      </c>
      <c r="C137" s="1">
        <v>1137.0</v>
      </c>
      <c r="D137" s="1" t="s">
        <v>15586</v>
      </c>
      <c r="E137" s="13" t="s">
        <v>15587</v>
      </c>
      <c r="F137" s="14">
        <v>40687.0</v>
      </c>
      <c r="G137" s="14">
        <v>40688.0</v>
      </c>
      <c r="H137" s="14">
        <v>40695.0</v>
      </c>
      <c r="I137" s="779">
        <v>51937.68</v>
      </c>
    </row>
    <row r="138" ht="12.75" customHeight="1">
      <c r="A138" s="1">
        <v>25089.0</v>
      </c>
      <c r="B138" s="1" t="s">
        <v>14</v>
      </c>
      <c r="C138" s="1">
        <v>588.0</v>
      </c>
      <c r="D138" s="1" t="s">
        <v>15588</v>
      </c>
      <c r="E138" s="13" t="s">
        <v>15589</v>
      </c>
      <c r="F138" s="14">
        <v>40686.0</v>
      </c>
      <c r="G138" s="14">
        <v>40682.0</v>
      </c>
      <c r="H138" s="14">
        <v>40688.0</v>
      </c>
      <c r="I138" s="779">
        <v>32309.48</v>
      </c>
    </row>
    <row r="139" ht="12.75" customHeight="1">
      <c r="A139" s="1">
        <v>24935.0</v>
      </c>
      <c r="B139" s="1" t="s">
        <v>21</v>
      </c>
      <c r="C139" s="1">
        <v>811.0</v>
      </c>
      <c r="D139" s="1" t="s">
        <v>15590</v>
      </c>
      <c r="E139" s="13" t="s">
        <v>376</v>
      </c>
      <c r="F139" s="14">
        <v>40686.0</v>
      </c>
      <c r="G139" s="14">
        <v>40687.0</v>
      </c>
      <c r="H139" s="14">
        <v>40689.0</v>
      </c>
      <c r="I139" s="782">
        <v>78109.92</v>
      </c>
    </row>
    <row r="140" ht="12.75" customHeight="1">
      <c r="A140" s="1">
        <v>25043.0</v>
      </c>
      <c r="B140" s="1" t="s">
        <v>14</v>
      </c>
      <c r="C140" s="1">
        <v>1085.0</v>
      </c>
      <c r="D140" s="1" t="s">
        <v>15591</v>
      </c>
      <c r="E140" s="13" t="s">
        <v>15592</v>
      </c>
      <c r="F140" s="14">
        <v>40684.0</v>
      </c>
      <c r="G140" s="14">
        <v>40686.0</v>
      </c>
      <c r="H140" s="14">
        <v>40689.0</v>
      </c>
      <c r="I140" s="13" t="s">
        <v>15593</v>
      </c>
    </row>
    <row r="141" ht="12.75" customHeight="1">
      <c r="A141" s="1">
        <v>25143.0</v>
      </c>
      <c r="B141" s="1" t="s">
        <v>21</v>
      </c>
      <c r="C141" s="1">
        <v>625.0</v>
      </c>
      <c r="D141" s="1" t="s">
        <v>15594</v>
      </c>
      <c r="E141" s="13" t="s">
        <v>15520</v>
      </c>
      <c r="F141" s="14">
        <v>40684.0</v>
      </c>
      <c r="G141" s="14">
        <v>40686.0</v>
      </c>
      <c r="H141" s="14">
        <v>40690.0</v>
      </c>
      <c r="I141" s="13" t="s">
        <v>15595</v>
      </c>
    </row>
    <row r="142" ht="12.75" customHeight="1">
      <c r="A142" s="1">
        <v>25109.0</v>
      </c>
      <c r="B142" s="1" t="s">
        <v>14</v>
      </c>
      <c r="C142" s="1">
        <v>1500.0</v>
      </c>
      <c r="D142" s="1" t="s">
        <v>15596</v>
      </c>
      <c r="E142" s="13" t="s">
        <v>331</v>
      </c>
      <c r="F142" s="14">
        <v>40683.0</v>
      </c>
      <c r="G142" s="14">
        <v>40704.0</v>
      </c>
      <c r="H142" s="14">
        <v>40696.0</v>
      </c>
      <c r="I142" s="13" t="s">
        <v>15597</v>
      </c>
    </row>
    <row r="143" ht="12.75" customHeight="1">
      <c r="A143" s="1">
        <v>25110.0</v>
      </c>
      <c r="B143" s="1" t="s">
        <v>14</v>
      </c>
      <c r="C143" s="1">
        <v>1275.0</v>
      </c>
      <c r="D143" s="1" t="s">
        <v>15598</v>
      </c>
      <c r="E143" s="13" t="s">
        <v>331</v>
      </c>
      <c r="F143" s="14">
        <v>40683.0</v>
      </c>
      <c r="G143" s="14">
        <v>40704.0</v>
      </c>
      <c r="H143" s="14">
        <v>40696.0</v>
      </c>
      <c r="I143" s="13" t="s">
        <v>15599</v>
      </c>
    </row>
    <row r="144" ht="12.75" customHeight="1">
      <c r="A144" s="1">
        <v>25149.0</v>
      </c>
      <c r="B144" s="1" t="s">
        <v>25</v>
      </c>
      <c r="C144" s="1">
        <v>1825.0</v>
      </c>
      <c r="D144" s="1" t="s">
        <v>15600</v>
      </c>
      <c r="E144" s="13" t="s">
        <v>15555</v>
      </c>
      <c r="F144" s="14">
        <v>40674.0</v>
      </c>
      <c r="G144" s="14">
        <v>40679.0</v>
      </c>
      <c r="H144" s="14">
        <v>40680.0</v>
      </c>
      <c r="I144" s="13"/>
    </row>
    <row r="145" ht="12.75" customHeight="1">
      <c r="A145" s="1">
        <v>25062.0</v>
      </c>
      <c r="B145" s="1" t="s">
        <v>14</v>
      </c>
      <c r="C145" s="1">
        <v>986.0</v>
      </c>
      <c r="D145" s="1" t="s">
        <v>15601</v>
      </c>
      <c r="E145" s="13" t="s">
        <v>14948</v>
      </c>
      <c r="F145" s="14">
        <v>40672.0</v>
      </c>
      <c r="G145" s="4" t="s">
        <v>15602</v>
      </c>
      <c r="H145" s="14">
        <v>40681.0</v>
      </c>
      <c r="I145" s="779">
        <v>42163.36</v>
      </c>
    </row>
    <row r="146" ht="12.75" customHeight="1">
      <c r="A146" s="1">
        <v>25040.0</v>
      </c>
      <c r="B146" s="1" t="s">
        <v>14</v>
      </c>
      <c r="C146" s="1">
        <v>625.0</v>
      </c>
      <c r="D146" s="1" t="s">
        <v>15603</v>
      </c>
      <c r="E146" s="13" t="s">
        <v>15604</v>
      </c>
      <c r="F146" s="14">
        <v>40669.0</v>
      </c>
      <c r="G146" s="14">
        <v>40687.0</v>
      </c>
      <c r="H146" s="14">
        <v>40681.0</v>
      </c>
      <c r="I146" s="13" t="s">
        <v>15605</v>
      </c>
    </row>
    <row r="147" ht="12.75" customHeight="1">
      <c r="A147" s="1">
        <v>24934.0</v>
      </c>
      <c r="B147" s="1" t="s">
        <v>21</v>
      </c>
      <c r="C147" s="1">
        <v>1980.0</v>
      </c>
      <c r="D147" s="1" t="s">
        <v>15606</v>
      </c>
      <c r="E147" s="13" t="s">
        <v>12555</v>
      </c>
      <c r="F147" s="14">
        <v>40667.0</v>
      </c>
      <c r="G147" s="14">
        <v>40666.0</v>
      </c>
      <c r="H147" s="14">
        <v>40673.0</v>
      </c>
      <c r="I147" s="13"/>
    </row>
    <row r="148" ht="12.75" customHeight="1">
      <c r="A148" s="1">
        <v>25035.0</v>
      </c>
      <c r="B148" s="1" t="s">
        <v>14</v>
      </c>
      <c r="C148" s="1">
        <v>1250.0</v>
      </c>
      <c r="D148" s="1" t="s">
        <v>15607</v>
      </c>
      <c r="E148" s="13" t="s">
        <v>331</v>
      </c>
      <c r="F148" s="14">
        <v>40666.0</v>
      </c>
      <c r="G148" s="14">
        <v>40687.0</v>
      </c>
      <c r="H148" s="14">
        <v>40679.0</v>
      </c>
      <c r="I148" s="13" t="s">
        <v>15608</v>
      </c>
    </row>
    <row r="149" ht="12.75" customHeight="1">
      <c r="A149" s="1">
        <v>24774.0</v>
      </c>
      <c r="B149" s="1" t="s">
        <v>21</v>
      </c>
      <c r="C149" s="1">
        <v>755.0</v>
      </c>
      <c r="D149" s="1" t="s">
        <v>15609</v>
      </c>
      <c r="E149" s="13" t="s">
        <v>15610</v>
      </c>
      <c r="F149" s="14">
        <v>40665.0</v>
      </c>
      <c r="G149" s="14">
        <v>40665.0</v>
      </c>
      <c r="H149" s="14">
        <v>40669.0</v>
      </c>
      <c r="I149" s="13" t="s">
        <v>15611</v>
      </c>
    </row>
    <row r="150" ht="12.75" customHeight="1">
      <c r="A150" s="1">
        <v>24776.0</v>
      </c>
      <c r="B150" s="1" t="s">
        <v>21</v>
      </c>
      <c r="C150" s="1">
        <v>496.0</v>
      </c>
      <c r="D150" s="1" t="s">
        <v>15612</v>
      </c>
      <c r="E150" s="13" t="s">
        <v>15448</v>
      </c>
      <c r="F150" s="14">
        <v>40665.0</v>
      </c>
      <c r="G150" s="14">
        <v>40666.0</v>
      </c>
      <c r="H150" s="14">
        <v>40672.0</v>
      </c>
      <c r="I150" s="13"/>
    </row>
    <row r="151" ht="12.75" customHeight="1">
      <c r="A151" s="1">
        <v>24813.0</v>
      </c>
      <c r="B151" s="1" t="s">
        <v>21</v>
      </c>
      <c r="C151" s="1">
        <v>923.0</v>
      </c>
      <c r="D151" s="1" t="s">
        <v>15613</v>
      </c>
      <c r="E151" s="13" t="s">
        <v>15398</v>
      </c>
      <c r="F151" s="14">
        <v>40665.0</v>
      </c>
      <c r="G151" s="14">
        <v>40662.0</v>
      </c>
      <c r="H151" s="14">
        <v>40668.0</v>
      </c>
      <c r="I151" s="13"/>
    </row>
    <row r="152" ht="12.75" customHeight="1">
      <c r="A152" s="1">
        <v>24888.0</v>
      </c>
      <c r="B152" s="1" t="s">
        <v>14</v>
      </c>
      <c r="C152" s="1">
        <v>552.0</v>
      </c>
      <c r="D152" s="1" t="s">
        <v>15614</v>
      </c>
      <c r="E152" s="13" t="s">
        <v>15615</v>
      </c>
      <c r="F152" s="14">
        <v>40664.0</v>
      </c>
      <c r="G152" s="4" t="s">
        <v>15602</v>
      </c>
      <c r="H152" s="14">
        <v>40669.0</v>
      </c>
      <c r="I152" s="13" t="s">
        <v>15616</v>
      </c>
    </row>
    <row r="153" ht="12.75" customHeight="1">
      <c r="A153" s="1">
        <v>25067.0</v>
      </c>
      <c r="B153" s="1" t="s">
        <v>14</v>
      </c>
      <c r="C153" s="1">
        <v>2194.0</v>
      </c>
      <c r="D153" s="1" t="s">
        <v>15617</v>
      </c>
      <c r="E153" s="13" t="s">
        <v>15618</v>
      </c>
      <c r="F153" s="14">
        <v>40663.0</v>
      </c>
      <c r="G153" s="14">
        <v>40673.0</v>
      </c>
      <c r="H153" s="14">
        <v>40680.0</v>
      </c>
      <c r="I153" s="780">
        <v>32044.8</v>
      </c>
    </row>
    <row r="154" ht="12.75" customHeight="1">
      <c r="A154" s="6" t="s">
        <v>15619</v>
      </c>
      <c r="B154" s="1" t="s">
        <v>21</v>
      </c>
      <c r="C154" s="1">
        <v>689.0</v>
      </c>
      <c r="D154" s="1" t="s">
        <v>15620</v>
      </c>
      <c r="E154" s="13" t="s">
        <v>15621</v>
      </c>
      <c r="F154" s="14">
        <v>40662.0</v>
      </c>
      <c r="G154" s="14">
        <v>40660.0</v>
      </c>
      <c r="H154" s="14">
        <v>40667.0</v>
      </c>
      <c r="I154" s="779">
        <v>132270.34</v>
      </c>
    </row>
    <row r="155" ht="12.75" customHeight="1">
      <c r="A155" s="6">
        <v>24571.0</v>
      </c>
      <c r="B155" s="1" t="s">
        <v>21</v>
      </c>
      <c r="C155" s="1">
        <v>700.0</v>
      </c>
      <c r="D155" s="1" t="s">
        <v>15622</v>
      </c>
      <c r="E155" s="13" t="s">
        <v>15382</v>
      </c>
      <c r="F155" s="14">
        <v>40661.0</v>
      </c>
      <c r="G155" s="14">
        <v>40660.0</v>
      </c>
      <c r="H155" s="14">
        <v>40676.0</v>
      </c>
      <c r="I155" s="13" t="s">
        <v>15623</v>
      </c>
    </row>
    <row r="156" ht="12.75" customHeight="1">
      <c r="A156" s="1">
        <v>24815.0</v>
      </c>
      <c r="B156" s="1" t="s">
        <v>21</v>
      </c>
      <c r="C156" s="1">
        <v>1100.0</v>
      </c>
      <c r="D156" s="1" t="s">
        <v>15624</v>
      </c>
      <c r="E156" s="13" t="s">
        <v>15625</v>
      </c>
      <c r="F156" s="14">
        <v>40660.0</v>
      </c>
      <c r="G156" s="14">
        <v>40659.0</v>
      </c>
      <c r="H156" s="14">
        <v>40666.0</v>
      </c>
      <c r="I156" s="13"/>
    </row>
    <row r="157" ht="12.75" customHeight="1">
      <c r="A157" s="1">
        <v>25014.0</v>
      </c>
      <c r="B157" s="1" t="s">
        <v>14</v>
      </c>
      <c r="C157" s="1">
        <v>1545.0</v>
      </c>
      <c r="D157" s="1" t="s">
        <v>15626</v>
      </c>
      <c r="E157" s="13" t="s">
        <v>15627</v>
      </c>
      <c r="F157" s="14">
        <v>40659.0</v>
      </c>
      <c r="G157" s="14">
        <v>40661.0</v>
      </c>
      <c r="H157" s="14">
        <v>40669.0</v>
      </c>
      <c r="I157" s="13" t="s">
        <v>15628</v>
      </c>
    </row>
    <row r="158" ht="12.75" customHeight="1">
      <c r="A158" s="1" t="s">
        <v>192</v>
      </c>
      <c r="B158" s="1" t="s">
        <v>21</v>
      </c>
      <c r="C158" s="1">
        <v>107.0</v>
      </c>
      <c r="D158" s="1" t="s">
        <v>15629</v>
      </c>
      <c r="E158" s="13" t="s">
        <v>15630</v>
      </c>
      <c r="F158" s="14">
        <v>40658.0</v>
      </c>
      <c r="G158" s="4" t="s">
        <v>210</v>
      </c>
      <c r="H158" s="14">
        <v>40662.0</v>
      </c>
      <c r="I158" s="13" t="s">
        <v>15631</v>
      </c>
    </row>
    <row r="159" ht="12.75" customHeight="1">
      <c r="A159" s="1">
        <v>25057.0</v>
      </c>
      <c r="B159" s="1" t="s">
        <v>21</v>
      </c>
      <c r="C159" s="1">
        <v>969.0</v>
      </c>
      <c r="D159" s="1" t="s">
        <v>15632</v>
      </c>
      <c r="E159" s="13" t="s">
        <v>15633</v>
      </c>
      <c r="F159" s="14">
        <v>40656.0</v>
      </c>
      <c r="G159" s="14">
        <v>40655.0</v>
      </c>
      <c r="H159" s="14">
        <v>40662.0</v>
      </c>
      <c r="I159" s="780">
        <v>29956.8</v>
      </c>
    </row>
    <row r="160" ht="12.75" customHeight="1">
      <c r="A160" s="1">
        <v>25065.0</v>
      </c>
      <c r="B160" s="1" t="s">
        <v>21</v>
      </c>
      <c r="C160" s="1">
        <v>708.0</v>
      </c>
      <c r="D160" s="1" t="s">
        <v>15634</v>
      </c>
      <c r="E160" s="13" t="s">
        <v>15395</v>
      </c>
      <c r="F160" s="14">
        <v>40655.0</v>
      </c>
      <c r="G160" s="14">
        <v>40654.0</v>
      </c>
      <c r="H160" s="14">
        <v>40661.0</v>
      </c>
      <c r="I160" s="779">
        <v>40477.68</v>
      </c>
    </row>
    <row r="161" ht="12.75" customHeight="1">
      <c r="A161" s="1">
        <v>25039.0</v>
      </c>
      <c r="B161" s="1" t="s">
        <v>21</v>
      </c>
      <c r="C161" s="1">
        <v>600.0</v>
      </c>
      <c r="D161" s="1" t="s">
        <v>15635</v>
      </c>
      <c r="E161" s="13" t="s">
        <v>15636</v>
      </c>
      <c r="F161" s="14">
        <v>40655.0</v>
      </c>
      <c r="G161" s="14">
        <v>40662.0</v>
      </c>
      <c r="H161" s="14">
        <v>40665.0</v>
      </c>
      <c r="I161" s="13" t="s">
        <v>15637</v>
      </c>
    </row>
    <row r="162" ht="12.75" customHeight="1">
      <c r="A162" s="1">
        <v>24926.0</v>
      </c>
      <c r="B162" s="1" t="s">
        <v>21</v>
      </c>
      <c r="C162" s="1" t="s">
        <v>15638</v>
      </c>
      <c r="D162" s="1" t="s">
        <v>15639</v>
      </c>
      <c r="E162" s="13" t="s">
        <v>15433</v>
      </c>
      <c r="F162" s="14">
        <v>40654.0</v>
      </c>
      <c r="G162" s="14">
        <v>40651.0</v>
      </c>
      <c r="H162" s="14">
        <v>40652.0</v>
      </c>
      <c r="I162" s="13"/>
    </row>
    <row r="163" ht="12.75" customHeight="1">
      <c r="A163" s="1">
        <v>25136.0</v>
      </c>
      <c r="B163" s="1" t="s">
        <v>21</v>
      </c>
      <c r="C163" s="1">
        <v>2.0</v>
      </c>
      <c r="D163" s="1" t="s">
        <v>15640</v>
      </c>
      <c r="E163" s="13" t="s">
        <v>15641</v>
      </c>
      <c r="F163" s="14">
        <v>40652.0</v>
      </c>
      <c r="G163" s="4" t="s">
        <v>210</v>
      </c>
      <c r="H163" s="14">
        <v>40653.0</v>
      </c>
      <c r="I163" s="13"/>
    </row>
    <row r="164" ht="12.75" customHeight="1">
      <c r="A164" s="1">
        <v>24727.0</v>
      </c>
      <c r="B164" s="1" t="s">
        <v>14</v>
      </c>
      <c r="C164" s="1">
        <v>530.0</v>
      </c>
      <c r="D164" s="1" t="s">
        <v>15642</v>
      </c>
      <c r="E164" s="13" t="s">
        <v>434</v>
      </c>
      <c r="F164" s="14">
        <v>40645.0</v>
      </c>
      <c r="G164" s="14">
        <v>40645.0</v>
      </c>
      <c r="H164" s="14">
        <v>40651.0</v>
      </c>
      <c r="I164" s="13"/>
    </row>
    <row r="165" ht="12.75" customHeight="1">
      <c r="A165" s="1" t="s">
        <v>192</v>
      </c>
      <c r="B165" s="1" t="s">
        <v>21</v>
      </c>
      <c r="C165" s="1">
        <v>58.0</v>
      </c>
      <c r="D165" s="1" t="s">
        <v>15643</v>
      </c>
      <c r="E165" s="13" t="s">
        <v>15644</v>
      </c>
      <c r="F165" s="14">
        <v>40644.0</v>
      </c>
      <c r="G165" s="4" t="s">
        <v>210</v>
      </c>
      <c r="H165" s="14">
        <v>40646.0</v>
      </c>
      <c r="I165" s="13" t="s">
        <v>15645</v>
      </c>
    </row>
    <row r="166" ht="12.75" customHeight="1">
      <c r="A166" s="1">
        <v>25013.0</v>
      </c>
      <c r="B166" s="1" t="s">
        <v>21</v>
      </c>
      <c r="C166" s="1">
        <v>390.0</v>
      </c>
      <c r="D166" s="1" t="s">
        <v>15646</v>
      </c>
      <c r="E166" s="13" t="s">
        <v>15647</v>
      </c>
      <c r="F166" s="14">
        <v>40643.0</v>
      </c>
      <c r="G166" s="14">
        <v>40640.0</v>
      </c>
      <c r="H166" s="14">
        <v>40651.0</v>
      </c>
      <c r="I166" s="780">
        <v>21715.2</v>
      </c>
    </row>
    <row r="167" ht="12.75" customHeight="1">
      <c r="A167" s="1">
        <v>25034.0</v>
      </c>
      <c r="B167" s="1" t="s">
        <v>21</v>
      </c>
      <c r="C167" s="1">
        <v>1050.0</v>
      </c>
      <c r="D167" s="1" t="s">
        <v>15648</v>
      </c>
      <c r="E167" s="13" t="s">
        <v>14797</v>
      </c>
      <c r="F167" s="14">
        <v>40643.0</v>
      </c>
      <c r="G167" s="14">
        <v>40640.0</v>
      </c>
      <c r="H167" s="14">
        <v>40647.0</v>
      </c>
      <c r="I167" s="780">
        <v>56057.5</v>
      </c>
    </row>
    <row r="168" ht="12.75" customHeight="1">
      <c r="A168" s="1">
        <v>24509.0</v>
      </c>
      <c r="B168" s="1" t="s">
        <v>14</v>
      </c>
      <c r="C168" s="1">
        <v>200.0</v>
      </c>
      <c r="D168" s="1" t="s">
        <v>15640</v>
      </c>
      <c r="E168" s="13" t="s">
        <v>15382</v>
      </c>
      <c r="F168" s="14">
        <v>40640.0</v>
      </c>
      <c r="G168" s="14">
        <v>40640.0</v>
      </c>
      <c r="H168" s="14">
        <v>40640.0</v>
      </c>
      <c r="I168" s="13" t="s">
        <v>1354</v>
      </c>
    </row>
    <row r="169" ht="12.75" customHeight="1">
      <c r="A169" s="1">
        <v>24959.0</v>
      </c>
      <c r="B169" s="1" t="s">
        <v>14</v>
      </c>
      <c r="C169" s="1">
        <v>1537.0</v>
      </c>
      <c r="D169" s="1" t="s">
        <v>15649</v>
      </c>
      <c r="E169" s="13" t="s">
        <v>15650</v>
      </c>
      <c r="F169" s="14">
        <v>40638.0</v>
      </c>
      <c r="G169" s="14">
        <v>40638.0</v>
      </c>
      <c r="H169" s="14">
        <v>40644.0</v>
      </c>
      <c r="I169" s="13" t="s">
        <v>15651</v>
      </c>
    </row>
    <row r="170" ht="12.75" customHeight="1">
      <c r="A170" s="1">
        <v>24938.0</v>
      </c>
      <c r="B170" s="1" t="s">
        <v>14</v>
      </c>
      <c r="C170" s="1">
        <v>625.0</v>
      </c>
      <c r="D170" s="1" t="s">
        <v>15652</v>
      </c>
      <c r="E170" s="13" t="s">
        <v>14918</v>
      </c>
      <c r="F170" s="14">
        <v>40634.0</v>
      </c>
      <c r="G170" s="14">
        <v>40633.0</v>
      </c>
      <c r="H170" s="14">
        <v>40641.0</v>
      </c>
      <c r="I170" s="13" t="s">
        <v>15653</v>
      </c>
    </row>
    <row r="171" ht="12.75" customHeight="1">
      <c r="A171" s="1">
        <v>24998.0</v>
      </c>
      <c r="B171" s="1" t="s">
        <v>21</v>
      </c>
      <c r="C171" s="1">
        <v>1244.0</v>
      </c>
      <c r="D171" s="1" t="s">
        <v>15654</v>
      </c>
      <c r="E171" s="13" t="s">
        <v>15655</v>
      </c>
      <c r="F171" s="14">
        <v>40633.0</v>
      </c>
      <c r="G171" s="14">
        <v>40630.0</v>
      </c>
      <c r="H171" s="14">
        <v>40638.0</v>
      </c>
      <c r="I171" s="13" t="s">
        <v>15656</v>
      </c>
    </row>
    <row r="172" ht="12.75" customHeight="1">
      <c r="A172" s="1">
        <v>24752.0</v>
      </c>
      <c r="B172" s="1" t="s">
        <v>21</v>
      </c>
      <c r="C172" s="1">
        <v>940.0</v>
      </c>
      <c r="D172" s="1" t="s">
        <v>15657</v>
      </c>
      <c r="E172" s="13" t="s">
        <v>14976</v>
      </c>
      <c r="F172" s="14">
        <v>40631.0</v>
      </c>
      <c r="G172" s="14">
        <v>40627.0</v>
      </c>
      <c r="H172" s="14">
        <v>40639.0</v>
      </c>
      <c r="I172" s="13"/>
    </row>
    <row r="173" ht="12.75" customHeight="1">
      <c r="A173" s="1">
        <v>24939.0</v>
      </c>
      <c r="B173" s="1" t="s">
        <v>14</v>
      </c>
      <c r="C173" s="1">
        <v>1000.0</v>
      </c>
      <c r="D173" s="1" t="s">
        <v>15658</v>
      </c>
      <c r="E173" s="13" t="s">
        <v>331</v>
      </c>
      <c r="F173" s="14">
        <v>40631.0</v>
      </c>
      <c r="G173" s="14">
        <v>40634.0</v>
      </c>
      <c r="H173" s="14">
        <v>40637.0</v>
      </c>
      <c r="I173" s="13" t="s">
        <v>15659</v>
      </c>
    </row>
    <row r="174" ht="12.75" customHeight="1">
      <c r="A174" s="1" t="s">
        <v>192</v>
      </c>
      <c r="B174" s="1" t="s">
        <v>21</v>
      </c>
      <c r="C174" s="6" t="s">
        <v>15660</v>
      </c>
      <c r="D174" s="1" t="s">
        <v>15661</v>
      </c>
      <c r="E174" s="13" t="s">
        <v>15662</v>
      </c>
      <c r="F174" s="14">
        <v>40630.0</v>
      </c>
      <c r="G174" s="14">
        <v>40630.0</v>
      </c>
      <c r="H174" s="14">
        <v>40637.0</v>
      </c>
      <c r="I174" s="13" t="s">
        <v>15663</v>
      </c>
    </row>
    <row r="175" ht="12.75" customHeight="1">
      <c r="A175" s="1">
        <v>24941.0</v>
      </c>
      <c r="B175" s="1" t="s">
        <v>21</v>
      </c>
      <c r="C175" s="1">
        <v>605.0</v>
      </c>
      <c r="D175" s="1" t="s">
        <v>15664</v>
      </c>
      <c r="E175" s="13" t="s">
        <v>15665</v>
      </c>
      <c r="F175" s="14">
        <v>40630.0</v>
      </c>
      <c r="G175" s="14">
        <v>40627.0</v>
      </c>
      <c r="H175" s="14">
        <v>40634.0</v>
      </c>
      <c r="I175" s="780">
        <v>32084.3</v>
      </c>
    </row>
    <row r="176" ht="12.75" customHeight="1">
      <c r="A176" s="1">
        <v>24956.0</v>
      </c>
      <c r="B176" s="1" t="s">
        <v>21</v>
      </c>
      <c r="C176" s="1">
        <v>430.0</v>
      </c>
      <c r="D176" s="1" t="s">
        <v>15666</v>
      </c>
      <c r="E176" s="13" t="s">
        <v>15667</v>
      </c>
      <c r="F176" s="14">
        <v>40627.0</v>
      </c>
      <c r="G176" s="14">
        <v>40625.0</v>
      </c>
      <c r="H176" s="14">
        <v>40637.0</v>
      </c>
      <c r="I176" s="13" t="s">
        <v>15668</v>
      </c>
    </row>
    <row r="177" ht="12.75" customHeight="1">
      <c r="A177" s="1">
        <v>24832.0</v>
      </c>
      <c r="B177" s="1" t="s">
        <v>21</v>
      </c>
      <c r="C177" s="1">
        <v>320.0</v>
      </c>
      <c r="D177" s="1" t="s">
        <v>15669</v>
      </c>
      <c r="E177" s="13" t="s">
        <v>419</v>
      </c>
      <c r="F177" s="14">
        <v>40626.0</v>
      </c>
      <c r="G177" s="14">
        <v>40623.0</v>
      </c>
      <c r="H177" s="14">
        <v>40634.0</v>
      </c>
      <c r="I177" s="13"/>
    </row>
    <row r="178" ht="12.75" customHeight="1">
      <c r="A178" s="1">
        <v>24890.0</v>
      </c>
      <c r="B178" s="1" t="s">
        <v>14</v>
      </c>
      <c r="C178" s="1">
        <v>2172.0</v>
      </c>
      <c r="D178" s="1" t="s">
        <v>15670</v>
      </c>
      <c r="E178" s="13" t="s">
        <v>15671</v>
      </c>
      <c r="F178" s="14">
        <v>40625.0</v>
      </c>
      <c r="G178" s="14">
        <v>40624.0</v>
      </c>
      <c r="H178" s="14">
        <v>40634.0</v>
      </c>
      <c r="I178" s="779">
        <v>30798.24</v>
      </c>
    </row>
    <row r="179" ht="12.75" customHeight="1">
      <c r="A179" s="1">
        <v>24409.0</v>
      </c>
      <c r="B179" s="1" t="s">
        <v>21</v>
      </c>
      <c r="C179" s="1">
        <v>1134.0</v>
      </c>
      <c r="D179" s="1" t="s">
        <v>15672</v>
      </c>
      <c r="E179" s="13" t="s">
        <v>15673</v>
      </c>
      <c r="F179" s="14">
        <v>40612.0</v>
      </c>
      <c r="G179" s="14">
        <v>40616.0</v>
      </c>
      <c r="H179" s="14">
        <v>40618.0</v>
      </c>
      <c r="I179" s="13"/>
    </row>
    <row r="180" ht="12.75" customHeight="1">
      <c r="A180" s="1">
        <v>24900.0</v>
      </c>
      <c r="B180" s="1" t="s">
        <v>14</v>
      </c>
      <c r="C180" s="1">
        <v>1000.0</v>
      </c>
      <c r="D180" s="1" t="s">
        <v>15674</v>
      </c>
      <c r="E180" s="13" t="s">
        <v>331</v>
      </c>
      <c r="F180" s="14">
        <v>40610.0</v>
      </c>
      <c r="G180" s="14">
        <v>40609.0</v>
      </c>
      <c r="H180" s="14">
        <v>40620.0</v>
      </c>
      <c r="I180" s="781">
        <v>55650.0</v>
      </c>
    </row>
    <row r="181" ht="12.75" customHeight="1">
      <c r="A181" s="1">
        <v>24751.0</v>
      </c>
      <c r="B181" s="1" t="s">
        <v>21</v>
      </c>
      <c r="C181" s="1">
        <v>940.0</v>
      </c>
      <c r="D181" s="1" t="s">
        <v>15675</v>
      </c>
      <c r="E181" s="13" t="s">
        <v>15125</v>
      </c>
      <c r="F181" s="14">
        <v>40603.0</v>
      </c>
      <c r="G181" s="14">
        <v>40609.0</v>
      </c>
      <c r="H181" s="14">
        <v>40609.0</v>
      </c>
      <c r="I181" s="13"/>
    </row>
    <row r="182" ht="12.75" customHeight="1">
      <c r="A182" s="1">
        <v>24897.0</v>
      </c>
      <c r="B182" s="1" t="s">
        <v>21</v>
      </c>
      <c r="C182" s="1">
        <v>1300.0</v>
      </c>
      <c r="D182" s="1" t="s">
        <v>15676</v>
      </c>
      <c r="E182" s="13" t="s">
        <v>15677</v>
      </c>
      <c r="F182" s="14">
        <v>40599.0</v>
      </c>
      <c r="G182" s="14">
        <v>40599.0</v>
      </c>
      <c r="H182" s="14">
        <v>40606.0</v>
      </c>
      <c r="I182" s="778" t="s">
        <v>15678</v>
      </c>
    </row>
    <row r="183" ht="12.75" customHeight="1">
      <c r="A183" s="1">
        <v>24410.0</v>
      </c>
      <c r="B183" s="1" t="s">
        <v>14</v>
      </c>
      <c r="C183" s="1">
        <v>1124.0</v>
      </c>
      <c r="D183" s="1" t="s">
        <v>15679</v>
      </c>
      <c r="E183" s="13" t="s">
        <v>15673</v>
      </c>
      <c r="F183" s="14">
        <v>40599.0</v>
      </c>
      <c r="G183" s="14">
        <v>40589.0</v>
      </c>
      <c r="H183" s="14">
        <v>40604.0</v>
      </c>
      <c r="I183" s="13"/>
    </row>
    <row r="184" ht="12.75" customHeight="1">
      <c r="A184" s="1">
        <v>24746.0</v>
      </c>
      <c r="B184" s="1" t="s">
        <v>21</v>
      </c>
      <c r="C184" s="1">
        <v>532.0</v>
      </c>
      <c r="D184" s="1" t="s">
        <v>15680</v>
      </c>
      <c r="E184" s="13" t="s">
        <v>15538</v>
      </c>
      <c r="F184" s="14">
        <v>40597.0</v>
      </c>
      <c r="G184" s="14">
        <v>40602.0</v>
      </c>
      <c r="H184" s="14">
        <v>40604.0</v>
      </c>
      <c r="I184" s="778" t="s">
        <v>15681</v>
      </c>
    </row>
    <row r="185" ht="12.75" customHeight="1">
      <c r="A185" s="1">
        <v>24841.0</v>
      </c>
      <c r="B185" s="1" t="s">
        <v>14</v>
      </c>
      <c r="C185" s="1">
        <v>1105.0</v>
      </c>
      <c r="D185" s="1" t="s">
        <v>15682</v>
      </c>
      <c r="E185" s="13" t="s">
        <v>331</v>
      </c>
      <c r="F185" s="14">
        <v>40596.0</v>
      </c>
      <c r="G185" s="14">
        <v>40602.0</v>
      </c>
      <c r="H185" s="14">
        <v>40606.0</v>
      </c>
      <c r="I185" s="778" t="s">
        <v>15683</v>
      </c>
    </row>
    <row r="186" ht="12.75" customHeight="1">
      <c r="A186" s="1">
        <v>24884.0</v>
      </c>
      <c r="B186" s="1" t="s">
        <v>21</v>
      </c>
      <c r="C186" s="1">
        <v>594.0</v>
      </c>
      <c r="D186" s="1" t="s">
        <v>15684</v>
      </c>
      <c r="E186" s="13" t="s">
        <v>15685</v>
      </c>
      <c r="F186" s="14">
        <v>40594.0</v>
      </c>
      <c r="G186" s="14">
        <v>40602.0</v>
      </c>
      <c r="H186" s="14">
        <v>40602.0</v>
      </c>
      <c r="I186" s="778" t="s">
        <v>15686</v>
      </c>
    </row>
    <row r="187" ht="12.75" customHeight="1">
      <c r="A187" s="1">
        <v>24892.0</v>
      </c>
      <c r="B187" s="1" t="s">
        <v>21</v>
      </c>
      <c r="C187" s="1">
        <v>593.0</v>
      </c>
      <c r="D187" s="1" t="s">
        <v>15687</v>
      </c>
      <c r="E187" s="13" t="s">
        <v>14948</v>
      </c>
      <c r="F187" s="14">
        <v>40593.0</v>
      </c>
      <c r="G187" s="14">
        <v>40592.0</v>
      </c>
      <c r="H187" s="14">
        <v>40599.0</v>
      </c>
      <c r="I187" s="13"/>
    </row>
    <row r="188" ht="12.75" customHeight="1">
      <c r="A188" s="1" t="s">
        <v>192</v>
      </c>
      <c r="B188" s="1" t="s">
        <v>21</v>
      </c>
      <c r="C188" s="1">
        <v>288.0</v>
      </c>
      <c r="D188" s="1" t="s">
        <v>15688</v>
      </c>
      <c r="E188" s="13" t="s">
        <v>15689</v>
      </c>
      <c r="F188" s="14">
        <v>40593.0</v>
      </c>
      <c r="G188" s="14">
        <v>40616.0</v>
      </c>
      <c r="H188" s="14">
        <v>40599.0</v>
      </c>
      <c r="I188" s="778" t="s">
        <v>15690</v>
      </c>
    </row>
    <row r="189" ht="12.75" customHeight="1">
      <c r="A189" s="1">
        <v>24880.0</v>
      </c>
      <c r="B189" s="1" t="s">
        <v>21</v>
      </c>
      <c r="C189" s="1">
        <v>225.0</v>
      </c>
      <c r="D189" s="1" t="s">
        <v>15691</v>
      </c>
      <c r="E189" s="13" t="s">
        <v>15692</v>
      </c>
      <c r="F189" s="14">
        <v>40592.0</v>
      </c>
      <c r="G189" s="14">
        <v>40590.0</v>
      </c>
      <c r="H189" s="14">
        <v>40598.0</v>
      </c>
      <c r="I189" s="783">
        <v>50531.5</v>
      </c>
    </row>
    <row r="190" ht="12.75" customHeight="1">
      <c r="A190" s="1">
        <v>24886.0</v>
      </c>
      <c r="B190" s="1" t="s">
        <v>21</v>
      </c>
      <c r="C190" s="1">
        <v>1145.0</v>
      </c>
      <c r="D190" s="1" t="s">
        <v>15693</v>
      </c>
      <c r="E190" s="13" t="s">
        <v>331</v>
      </c>
      <c r="F190" s="14">
        <v>40592.0</v>
      </c>
      <c r="G190" s="14">
        <v>40596.0</v>
      </c>
      <c r="H190" s="14">
        <v>40602.0</v>
      </c>
      <c r="I190" s="784">
        <v>54209.75</v>
      </c>
    </row>
    <row r="191" ht="12.75" customHeight="1">
      <c r="A191" s="1">
        <v>24885.0</v>
      </c>
      <c r="B191" s="1" t="s">
        <v>21</v>
      </c>
      <c r="C191" s="1">
        <v>590.0</v>
      </c>
      <c r="D191" s="1" t="s">
        <v>15694</v>
      </c>
      <c r="E191" s="13" t="s">
        <v>15695</v>
      </c>
      <c r="F191" s="14">
        <v>40592.0</v>
      </c>
      <c r="G191" s="14">
        <v>40596.0</v>
      </c>
      <c r="H191" s="14">
        <v>40602.0</v>
      </c>
      <c r="I191" s="783">
        <v>21441.2</v>
      </c>
    </row>
    <row r="192" ht="12.75" customHeight="1">
      <c r="A192" s="1">
        <v>24401.0</v>
      </c>
      <c r="B192" s="1" t="s">
        <v>21</v>
      </c>
      <c r="C192" s="1">
        <v>530.0</v>
      </c>
      <c r="D192" s="1" t="s">
        <v>15696</v>
      </c>
      <c r="E192" s="13" t="s">
        <v>15697</v>
      </c>
      <c r="F192" s="14">
        <v>40589.0</v>
      </c>
      <c r="G192" s="14">
        <v>40597.0</v>
      </c>
      <c r="H192" s="14">
        <v>40592.0</v>
      </c>
      <c r="I192" s="13"/>
    </row>
    <row r="193" ht="12.75" customHeight="1">
      <c r="A193" s="1">
        <v>24675.0</v>
      </c>
      <c r="B193" s="1" t="s">
        <v>21</v>
      </c>
      <c r="C193" s="1">
        <v>1700.0</v>
      </c>
      <c r="D193" s="1" t="s">
        <v>15698</v>
      </c>
      <c r="E193" s="13" t="s">
        <v>15454</v>
      </c>
      <c r="F193" s="14">
        <v>40589.0</v>
      </c>
      <c r="G193" s="14">
        <v>40589.0</v>
      </c>
      <c r="H193" s="14">
        <v>40604.0</v>
      </c>
      <c r="I193" s="778" t="s">
        <v>15699</v>
      </c>
    </row>
    <row r="194" ht="12.75" customHeight="1">
      <c r="A194" s="6" t="s">
        <v>15700</v>
      </c>
      <c r="B194" s="1" t="s">
        <v>21</v>
      </c>
      <c r="C194" s="1">
        <v>165.0</v>
      </c>
      <c r="D194" s="1" t="s">
        <v>15701</v>
      </c>
      <c r="E194" s="13" t="s">
        <v>15340</v>
      </c>
      <c r="F194" s="14">
        <v>40588.0</v>
      </c>
      <c r="G194" s="14">
        <v>40609.0</v>
      </c>
      <c r="H194" s="14">
        <v>40596.0</v>
      </c>
      <c r="I194" s="778" t="s">
        <v>15702</v>
      </c>
    </row>
    <row r="195" ht="12.75" customHeight="1">
      <c r="A195" s="1">
        <v>24868.0</v>
      </c>
      <c r="B195" s="1" t="s">
        <v>21</v>
      </c>
      <c r="C195" s="1">
        <v>800.0</v>
      </c>
      <c r="D195" s="1" t="s">
        <v>15703</v>
      </c>
      <c r="E195" s="13" t="s">
        <v>14772</v>
      </c>
      <c r="F195" s="14">
        <v>40587.0</v>
      </c>
      <c r="G195" s="14">
        <v>40589.0</v>
      </c>
      <c r="H195" s="14">
        <v>40598.0</v>
      </c>
      <c r="I195" s="778" t="s">
        <v>15704</v>
      </c>
    </row>
    <row r="196" ht="12.75" customHeight="1">
      <c r="A196" s="1">
        <v>24645.0</v>
      </c>
      <c r="B196" s="1" t="s">
        <v>14</v>
      </c>
      <c r="C196" s="1">
        <v>940.0</v>
      </c>
      <c r="D196" s="1" t="s">
        <v>15705</v>
      </c>
      <c r="E196" s="13" t="s">
        <v>14976</v>
      </c>
      <c r="F196" s="14">
        <v>40581.0</v>
      </c>
      <c r="G196" s="14">
        <v>40581.0</v>
      </c>
      <c r="H196" s="14">
        <v>40588.0</v>
      </c>
      <c r="I196" s="778" t="s">
        <v>15706</v>
      </c>
    </row>
    <row r="197" ht="12.75" customHeight="1">
      <c r="A197" s="1">
        <v>24612.0</v>
      </c>
      <c r="B197" s="1" t="s">
        <v>21</v>
      </c>
      <c r="C197" s="1">
        <v>940.0</v>
      </c>
      <c r="D197" s="1" t="s">
        <v>15707</v>
      </c>
      <c r="E197" s="13" t="s">
        <v>14976</v>
      </c>
      <c r="F197" s="14">
        <v>40581.0</v>
      </c>
      <c r="G197" s="14">
        <v>40582.0</v>
      </c>
      <c r="H197" s="14">
        <v>40584.0</v>
      </c>
      <c r="I197" s="3"/>
    </row>
    <row r="198" ht="12.75" customHeight="1">
      <c r="A198" s="1">
        <v>24843.0</v>
      </c>
      <c r="B198" s="1" t="s">
        <v>21</v>
      </c>
      <c r="C198" s="1">
        <v>1101.0</v>
      </c>
      <c r="D198" s="1" t="s">
        <v>15708</v>
      </c>
      <c r="E198" s="13" t="s">
        <v>15709</v>
      </c>
      <c r="F198" s="14">
        <v>40579.0</v>
      </c>
      <c r="G198" s="14">
        <v>40577.0</v>
      </c>
      <c r="H198" s="14">
        <v>40584.0</v>
      </c>
      <c r="I198" s="3"/>
    </row>
    <row r="199" ht="12.75" customHeight="1">
      <c r="A199" s="1">
        <v>24794.0</v>
      </c>
      <c r="B199" s="1" t="s">
        <v>14</v>
      </c>
      <c r="C199" s="1">
        <v>600.0</v>
      </c>
      <c r="D199" s="1" t="s">
        <v>15710</v>
      </c>
      <c r="E199" s="13" t="s">
        <v>15711</v>
      </c>
      <c r="F199" s="14">
        <v>40576.0</v>
      </c>
      <c r="G199" s="14">
        <v>40581.0</v>
      </c>
      <c r="H199" s="14">
        <v>40584.0</v>
      </c>
      <c r="I199" s="785" t="s">
        <v>15712</v>
      </c>
    </row>
    <row r="200" ht="12.75" customHeight="1">
      <c r="A200" s="1">
        <v>24795.0</v>
      </c>
      <c r="B200" s="1" t="s">
        <v>21</v>
      </c>
      <c r="C200" s="1">
        <v>1163.0</v>
      </c>
      <c r="D200" s="1" t="s">
        <v>15713</v>
      </c>
      <c r="E200" s="13" t="s">
        <v>15714</v>
      </c>
      <c r="F200" s="14">
        <v>40572.0</v>
      </c>
      <c r="G200" s="14">
        <v>40569.0</v>
      </c>
      <c r="H200" s="14">
        <v>40577.0</v>
      </c>
      <c r="I200" s="786">
        <v>31566.66</v>
      </c>
    </row>
    <row r="201" ht="12.75" customHeight="1">
      <c r="A201" s="1">
        <v>24812.0</v>
      </c>
      <c r="B201" s="1" t="s">
        <v>21</v>
      </c>
      <c r="C201" s="1">
        <v>1145.0</v>
      </c>
      <c r="D201" s="1" t="s">
        <v>15715</v>
      </c>
      <c r="E201" s="13" t="s">
        <v>14797</v>
      </c>
      <c r="F201" s="14">
        <v>40570.0</v>
      </c>
      <c r="G201" s="14">
        <v>40568.0</v>
      </c>
      <c r="H201" s="14">
        <v>40577.0</v>
      </c>
      <c r="I201" s="786">
        <v>54589.75</v>
      </c>
    </row>
    <row r="202" ht="12.75" customHeight="1">
      <c r="A202" s="1" t="s">
        <v>192</v>
      </c>
      <c r="B202" s="1" t="s">
        <v>21</v>
      </c>
      <c r="C202" s="1">
        <v>746.0</v>
      </c>
      <c r="D202" s="1" t="s">
        <v>15716</v>
      </c>
      <c r="E202" s="13" t="s">
        <v>15717</v>
      </c>
      <c r="F202" s="14">
        <v>40569.0</v>
      </c>
      <c r="G202" s="14">
        <v>40563.0</v>
      </c>
      <c r="H202" s="14">
        <v>40571.0</v>
      </c>
      <c r="I202" s="778" t="s">
        <v>15718</v>
      </c>
    </row>
    <row r="203" ht="12.75" customHeight="1">
      <c r="A203" s="1">
        <v>24763.0</v>
      </c>
      <c r="B203" s="1" t="s">
        <v>14</v>
      </c>
      <c r="C203" s="1">
        <v>1125.0</v>
      </c>
      <c r="D203" s="1" t="s">
        <v>15719</v>
      </c>
      <c r="E203" s="13" t="s">
        <v>331</v>
      </c>
      <c r="F203" s="14">
        <v>40568.0</v>
      </c>
      <c r="G203" s="14">
        <v>40567.0</v>
      </c>
      <c r="H203" s="14">
        <v>40581.0</v>
      </c>
      <c r="I203" s="785" t="s">
        <v>15720</v>
      </c>
    </row>
    <row r="204" ht="12.75" customHeight="1">
      <c r="A204" s="1">
        <v>24801.0</v>
      </c>
      <c r="B204" s="1" t="s">
        <v>21</v>
      </c>
      <c r="C204" s="1">
        <v>1030.0</v>
      </c>
      <c r="D204" s="1" t="s">
        <v>15721</v>
      </c>
      <c r="E204" s="13" t="s">
        <v>15722</v>
      </c>
      <c r="F204" s="14">
        <v>40567.0</v>
      </c>
      <c r="G204" s="14">
        <v>40563.0</v>
      </c>
      <c r="H204" s="14">
        <v>40575.0</v>
      </c>
      <c r="I204" s="787">
        <v>42502.9</v>
      </c>
    </row>
    <row r="205" ht="12.75" customHeight="1">
      <c r="A205" s="1">
        <v>24531.0</v>
      </c>
      <c r="B205" s="1" t="s">
        <v>14</v>
      </c>
      <c r="C205" s="1">
        <v>938.0</v>
      </c>
      <c r="D205" s="1" t="s">
        <v>15723</v>
      </c>
      <c r="E205" s="13" t="s">
        <v>14976</v>
      </c>
      <c r="F205" s="14">
        <v>40566.0</v>
      </c>
      <c r="G205" s="14">
        <v>40567.0</v>
      </c>
      <c r="H205" s="14">
        <v>40576.0</v>
      </c>
      <c r="I205" s="785"/>
    </row>
    <row r="206" ht="12.75" customHeight="1">
      <c r="A206" s="1">
        <v>24724.0</v>
      </c>
      <c r="B206" s="1" t="s">
        <v>14</v>
      </c>
      <c r="C206" s="1">
        <v>1539.0</v>
      </c>
      <c r="D206" s="1" t="s">
        <v>15724</v>
      </c>
      <c r="E206" s="13" t="s">
        <v>15725</v>
      </c>
      <c r="F206" s="14">
        <v>40566.0</v>
      </c>
      <c r="G206" s="14">
        <v>40563.0</v>
      </c>
      <c r="H206" s="14">
        <v>40574.0</v>
      </c>
      <c r="I206" s="785" t="s">
        <v>15726</v>
      </c>
    </row>
    <row r="207" ht="12.75" customHeight="1">
      <c r="A207" s="1">
        <v>24793.0</v>
      </c>
      <c r="B207" s="1" t="s">
        <v>21</v>
      </c>
      <c r="C207" s="1">
        <v>600.0</v>
      </c>
      <c r="D207" s="1" t="s">
        <v>15727</v>
      </c>
      <c r="E207" s="13" t="s">
        <v>15711</v>
      </c>
      <c r="F207" s="14">
        <v>40565.0</v>
      </c>
      <c r="G207" s="14">
        <v>40563.0</v>
      </c>
      <c r="H207" s="14">
        <v>40570.0</v>
      </c>
      <c r="I207" s="787">
        <v>39976.5</v>
      </c>
    </row>
    <row r="208" ht="12.75" customHeight="1">
      <c r="A208" s="1">
        <v>24642.0</v>
      </c>
      <c r="B208" s="1" t="s">
        <v>21</v>
      </c>
      <c r="C208" s="1" t="s">
        <v>15728</v>
      </c>
      <c r="D208" s="1" t="s">
        <v>15729</v>
      </c>
      <c r="E208" s="13" t="s">
        <v>15730</v>
      </c>
      <c r="F208" s="14">
        <v>40564.0</v>
      </c>
      <c r="G208" s="14">
        <v>40567.0</v>
      </c>
      <c r="H208" s="14">
        <v>40568.0</v>
      </c>
      <c r="I208" s="785"/>
    </row>
    <row r="209" ht="12.75" customHeight="1">
      <c r="A209" s="1">
        <v>24535.0</v>
      </c>
      <c r="B209" s="1" t="s">
        <v>14</v>
      </c>
      <c r="C209" s="1">
        <v>79.0</v>
      </c>
      <c r="D209" s="1" t="s">
        <v>15731</v>
      </c>
      <c r="E209" s="13" t="s">
        <v>15411</v>
      </c>
      <c r="F209" s="14">
        <v>40563.0</v>
      </c>
      <c r="G209" s="4" t="s">
        <v>210</v>
      </c>
      <c r="H209" s="14">
        <v>40575.0</v>
      </c>
      <c r="I209" s="778" t="s">
        <v>15732</v>
      </c>
    </row>
    <row r="210" ht="12.75" customHeight="1">
      <c r="A210" s="1">
        <v>1206.0</v>
      </c>
      <c r="B210" s="1" t="s">
        <v>14</v>
      </c>
      <c r="C210" s="1">
        <v>32.0</v>
      </c>
      <c r="D210" s="1" t="s">
        <v>15731</v>
      </c>
      <c r="E210" s="13" t="s">
        <v>15733</v>
      </c>
      <c r="F210" s="14">
        <v>40563.0</v>
      </c>
      <c r="G210" s="14">
        <v>40571.0</v>
      </c>
      <c r="H210" s="14">
        <v>40575.0</v>
      </c>
      <c r="I210" s="778" t="s">
        <v>15734</v>
      </c>
    </row>
    <row r="211" ht="12.75" customHeight="1">
      <c r="A211" s="6" t="s">
        <v>210</v>
      </c>
      <c r="B211" s="1" t="s">
        <v>21</v>
      </c>
      <c r="C211" s="1">
        <v>5.0</v>
      </c>
      <c r="D211" s="1" t="s">
        <v>15735</v>
      </c>
      <c r="E211" s="13" t="s">
        <v>15736</v>
      </c>
      <c r="F211" s="14">
        <v>40559.0</v>
      </c>
      <c r="G211" s="4" t="s">
        <v>210</v>
      </c>
      <c r="H211" s="14">
        <v>40569.0</v>
      </c>
      <c r="I211" s="778" t="s">
        <v>15737</v>
      </c>
    </row>
    <row r="212" ht="12.75" customHeight="1">
      <c r="A212" s="1">
        <v>24709.0</v>
      </c>
      <c r="B212" s="1" t="s">
        <v>14</v>
      </c>
      <c r="C212" s="1">
        <v>1100.0</v>
      </c>
      <c r="D212" s="1" t="s">
        <v>15738</v>
      </c>
      <c r="E212" s="13" t="s">
        <v>344</v>
      </c>
      <c r="F212" s="14">
        <v>40558.0</v>
      </c>
      <c r="G212" s="14">
        <v>40563.0</v>
      </c>
      <c r="H212" s="4" t="s">
        <v>15739</v>
      </c>
      <c r="I212" s="785" t="s">
        <v>15740</v>
      </c>
    </row>
    <row r="213" ht="12.75" customHeight="1">
      <c r="A213" s="1">
        <v>24762.0</v>
      </c>
      <c r="B213" s="1" t="s">
        <v>21</v>
      </c>
      <c r="C213" s="1">
        <v>1260.0</v>
      </c>
      <c r="D213" s="1" t="s">
        <v>15741</v>
      </c>
      <c r="E213" s="13" t="s">
        <v>15742</v>
      </c>
      <c r="F213" s="14">
        <v>40557.0</v>
      </c>
      <c r="G213" s="14">
        <v>40568.0</v>
      </c>
      <c r="H213" s="14">
        <v>40567.0</v>
      </c>
      <c r="I213" s="778" t="s">
        <v>15743</v>
      </c>
    </row>
    <row r="214" ht="12.75" customHeight="1">
      <c r="A214" s="1">
        <v>24728.0</v>
      </c>
      <c r="B214" s="1" t="s">
        <v>14</v>
      </c>
      <c r="C214" s="1">
        <v>500.0</v>
      </c>
      <c r="D214" s="1" t="s">
        <v>15744</v>
      </c>
      <c r="E214" s="13" t="s">
        <v>15745</v>
      </c>
      <c r="F214" s="14">
        <v>40552.0</v>
      </c>
      <c r="G214" s="14">
        <v>40554.0</v>
      </c>
      <c r="H214" s="14">
        <v>40556.0</v>
      </c>
      <c r="I214" s="785" t="s">
        <v>15746</v>
      </c>
    </row>
    <row r="215" ht="12.75" customHeight="1">
      <c r="A215" s="1">
        <v>23978.0</v>
      </c>
      <c r="B215" s="1" t="s">
        <v>25</v>
      </c>
      <c r="C215" s="1">
        <v>1845.0</v>
      </c>
      <c r="D215" s="1" t="s">
        <v>15747</v>
      </c>
      <c r="E215" s="13" t="s">
        <v>74</v>
      </c>
      <c r="F215" s="14">
        <v>40551.0</v>
      </c>
      <c r="G215" s="14">
        <v>40553.0</v>
      </c>
      <c r="H215" s="14">
        <v>40562.0</v>
      </c>
      <c r="I215" s="785"/>
    </row>
    <row r="216" ht="12.75" customHeight="1">
      <c r="A216" s="1">
        <v>24527.0</v>
      </c>
      <c r="B216" s="1" t="s">
        <v>21</v>
      </c>
      <c r="C216" s="1" t="s">
        <v>15728</v>
      </c>
      <c r="D216" s="1" t="s">
        <v>15748</v>
      </c>
      <c r="E216" s="13" t="s">
        <v>15749</v>
      </c>
      <c r="F216" s="14">
        <v>40549.0</v>
      </c>
      <c r="G216" s="14">
        <v>40539.0</v>
      </c>
      <c r="H216" s="14">
        <v>40541.0</v>
      </c>
      <c r="I216" s="3"/>
    </row>
    <row r="217" ht="12.75" customHeight="1">
      <c r="A217" s="6">
        <v>24440.0</v>
      </c>
      <c r="B217" s="1" t="s">
        <v>21</v>
      </c>
      <c r="C217" s="1">
        <v>143.0</v>
      </c>
      <c r="D217" s="1" t="s">
        <v>15750</v>
      </c>
      <c r="E217" s="13" t="s">
        <v>12622</v>
      </c>
      <c r="F217" s="14">
        <v>40548.0</v>
      </c>
      <c r="G217" s="4"/>
      <c r="H217" s="14">
        <v>40560.0</v>
      </c>
      <c r="I217" s="13" t="s">
        <v>15751</v>
      </c>
    </row>
    <row r="218" ht="12.75" customHeight="1">
      <c r="A218" s="1">
        <v>24695.0</v>
      </c>
      <c r="B218" s="1" t="s">
        <v>14</v>
      </c>
      <c r="C218" s="1">
        <v>591.0</v>
      </c>
      <c r="D218" s="1" t="s">
        <v>15752</v>
      </c>
      <c r="E218" s="13" t="s">
        <v>15753</v>
      </c>
      <c r="F218" s="14">
        <v>40547.0</v>
      </c>
      <c r="G218" s="14">
        <v>40553.0</v>
      </c>
      <c r="H218" s="14">
        <v>40554.0</v>
      </c>
      <c r="I218" s="778" t="s">
        <v>15754</v>
      </c>
    </row>
    <row r="219" ht="12.75" customHeight="1">
      <c r="A219" s="6" t="s">
        <v>15755</v>
      </c>
      <c r="B219" s="1" t="s">
        <v>21</v>
      </c>
      <c r="C219" s="1">
        <v>930.0</v>
      </c>
      <c r="D219" s="1" t="s">
        <v>15756</v>
      </c>
      <c r="E219" s="13" t="s">
        <v>15757</v>
      </c>
      <c r="F219" s="14">
        <v>40544.0</v>
      </c>
      <c r="G219" s="14">
        <v>40542.0</v>
      </c>
      <c r="H219" s="14">
        <v>40549.0</v>
      </c>
      <c r="I219" s="785" t="s">
        <v>15758</v>
      </c>
    </row>
    <row r="220" ht="12.75" customHeight="1">
      <c r="A220" s="1"/>
      <c r="B220" s="1"/>
      <c r="C220" s="1"/>
      <c r="D220" s="1"/>
      <c r="E220" s="13"/>
      <c r="F220" s="4"/>
      <c r="G220" s="4"/>
      <c r="H220" s="4"/>
      <c r="I220" s="3"/>
    </row>
    <row r="221" ht="12.75" customHeight="1">
      <c r="A221" s="1"/>
      <c r="B221" s="1"/>
      <c r="C221" s="1"/>
      <c r="D221" s="1"/>
      <c r="E221" s="13"/>
      <c r="F221" s="4"/>
      <c r="G221" s="4"/>
      <c r="H221" s="4"/>
      <c r="I221" s="3"/>
    </row>
    <row r="222" ht="12.75" customHeight="1">
      <c r="A222" s="1"/>
      <c r="B222" s="1"/>
      <c r="C222" s="1"/>
      <c r="D222" s="1"/>
      <c r="E222" s="13"/>
      <c r="F222" s="4"/>
      <c r="G222" s="4"/>
      <c r="H222" s="4"/>
      <c r="I222" s="3"/>
    </row>
    <row r="223" ht="12.75" customHeight="1">
      <c r="A223" s="1"/>
      <c r="B223" s="1"/>
      <c r="C223" s="1"/>
      <c r="D223" s="1"/>
      <c r="E223" s="13"/>
      <c r="F223" s="4"/>
      <c r="G223" s="4"/>
      <c r="H223" s="4"/>
      <c r="I223" s="3"/>
    </row>
    <row r="224" ht="12.75" customHeight="1">
      <c r="A224" s="1"/>
      <c r="B224" s="1"/>
      <c r="C224" s="1"/>
      <c r="D224" s="1"/>
      <c r="E224" s="13"/>
      <c r="F224" s="4"/>
      <c r="G224" s="4"/>
      <c r="H224" s="4"/>
      <c r="I224" s="3"/>
    </row>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29"/>
    <col customWidth="1" min="2" max="2" width="12.71"/>
    <col customWidth="1" min="3" max="3" width="8.71"/>
    <col customWidth="1" min="4" max="4" width="17.43"/>
    <col customWidth="1" min="5" max="5" width="40.14"/>
    <col customWidth="1" min="6" max="6" width="9.71"/>
    <col customWidth="1" min="7" max="7" width="12.0"/>
    <col customWidth="1" min="8" max="8" width="10.86"/>
    <col customWidth="1" min="9" max="9" width="48.29"/>
    <col customWidth="1" min="10" max="16" width="8.71"/>
    <col customWidth="1" min="17" max="17" width="9.29"/>
  </cols>
  <sheetData>
    <row r="1" ht="15.75" customHeight="1">
      <c r="A1" s="733"/>
      <c r="B1" s="734"/>
      <c r="C1" s="735"/>
      <c r="D1" s="736"/>
      <c r="E1" s="733" t="s">
        <v>15759</v>
      </c>
      <c r="F1" s="737"/>
      <c r="G1" s="738"/>
      <c r="H1" s="738"/>
      <c r="I1" s="733"/>
      <c r="J1" s="733"/>
      <c r="K1" s="733"/>
      <c r="L1" s="733"/>
      <c r="M1" s="733"/>
      <c r="N1" s="733"/>
      <c r="O1" s="733"/>
      <c r="P1" s="733"/>
      <c r="Q1" s="733"/>
    </row>
    <row r="2" ht="48.75" customHeight="1">
      <c r="A2" s="739"/>
      <c r="B2" s="715" t="s">
        <v>2</v>
      </c>
      <c r="C2" s="740"/>
      <c r="D2" s="715"/>
      <c r="E2" s="741" t="s">
        <v>1674</v>
      </c>
      <c r="F2" s="742" t="s">
        <v>4</v>
      </c>
      <c r="G2" s="742" t="s">
        <v>5</v>
      </c>
      <c r="H2" s="742" t="s">
        <v>6</v>
      </c>
      <c r="I2" s="743"/>
      <c r="J2" s="733"/>
      <c r="K2" s="733"/>
      <c r="L2" s="733"/>
      <c r="M2" s="733"/>
      <c r="N2" s="733"/>
      <c r="O2" s="733"/>
      <c r="P2" s="733"/>
      <c r="Q2" s="733"/>
    </row>
    <row r="3" ht="12.75" customHeight="1">
      <c r="A3" s="744" t="s">
        <v>1675</v>
      </c>
      <c r="B3" s="744" t="s">
        <v>8</v>
      </c>
      <c r="C3" s="744" t="s">
        <v>9</v>
      </c>
      <c r="D3" s="745" t="s">
        <v>10</v>
      </c>
      <c r="E3" s="745" t="s">
        <v>11</v>
      </c>
      <c r="F3" s="746" t="s">
        <v>12</v>
      </c>
      <c r="G3" s="746" t="s">
        <v>12</v>
      </c>
      <c r="H3" s="746" t="s">
        <v>12</v>
      </c>
      <c r="I3" s="745" t="s">
        <v>13</v>
      </c>
      <c r="J3" s="788"/>
      <c r="K3" s="734"/>
      <c r="L3" s="734"/>
      <c r="M3" s="734"/>
      <c r="N3" s="734"/>
      <c r="O3" s="734"/>
      <c r="P3" s="734"/>
      <c r="Q3" s="734"/>
    </row>
    <row r="4" ht="12.75" customHeight="1">
      <c r="A4" s="756">
        <v>4234.0</v>
      </c>
      <c r="B4" s="755" t="s">
        <v>21</v>
      </c>
      <c r="C4" s="755">
        <v>2033.0</v>
      </c>
      <c r="D4" s="754" t="s">
        <v>15760</v>
      </c>
      <c r="E4" s="756" t="s">
        <v>15761</v>
      </c>
      <c r="F4" s="757">
        <v>40539.0</v>
      </c>
      <c r="G4" s="758">
        <v>40541.0</v>
      </c>
      <c r="H4" s="758">
        <v>40548.0</v>
      </c>
      <c r="I4" s="760"/>
      <c r="J4" s="789"/>
      <c r="K4" s="181"/>
      <c r="L4" s="181"/>
      <c r="M4" s="181"/>
      <c r="N4" s="181"/>
      <c r="O4" s="181"/>
      <c r="P4" s="181"/>
      <c r="Q4" s="181"/>
    </row>
    <row r="5" ht="12.75" customHeight="1">
      <c r="A5" s="756">
        <v>4235.0</v>
      </c>
      <c r="B5" s="755" t="s">
        <v>14</v>
      </c>
      <c r="C5" s="755">
        <v>3374.0</v>
      </c>
      <c r="D5" s="754" t="s">
        <v>15762</v>
      </c>
      <c r="E5" s="756" t="s">
        <v>15763</v>
      </c>
      <c r="F5" s="757">
        <v>40535.0</v>
      </c>
      <c r="G5" s="758">
        <v>40535.0</v>
      </c>
      <c r="H5" s="771" t="s">
        <v>15764</v>
      </c>
      <c r="I5" s="760" t="s">
        <v>15765</v>
      </c>
      <c r="J5" s="789"/>
      <c r="K5" s="181"/>
      <c r="L5" s="181"/>
      <c r="M5" s="181"/>
      <c r="N5" s="181"/>
      <c r="O5" s="181"/>
      <c r="P5" s="181"/>
      <c r="Q5" s="181"/>
    </row>
    <row r="6" ht="12.75" customHeight="1">
      <c r="A6" s="756">
        <v>4203.0</v>
      </c>
      <c r="B6" s="755" t="s">
        <v>21</v>
      </c>
      <c r="C6" s="755">
        <v>2890.0</v>
      </c>
      <c r="D6" s="754" t="s">
        <v>15766</v>
      </c>
      <c r="E6" s="756" t="s">
        <v>15767</v>
      </c>
      <c r="F6" s="757">
        <v>40512.0</v>
      </c>
      <c r="G6" s="758">
        <v>40514.0</v>
      </c>
      <c r="H6" s="758">
        <v>40520.0</v>
      </c>
      <c r="I6" s="760"/>
      <c r="J6" s="789"/>
      <c r="K6" s="181"/>
      <c r="L6" s="181"/>
      <c r="M6" s="181"/>
      <c r="N6" s="181"/>
      <c r="O6" s="181"/>
      <c r="P6" s="181"/>
      <c r="Q6" s="181"/>
    </row>
    <row r="7" ht="12.75" customHeight="1">
      <c r="A7" s="756">
        <v>4202.0</v>
      </c>
      <c r="B7" s="755" t="s">
        <v>14</v>
      </c>
      <c r="C7" s="755">
        <v>1755.0</v>
      </c>
      <c r="D7" s="754" t="s">
        <v>15768</v>
      </c>
      <c r="E7" s="756" t="s">
        <v>15769</v>
      </c>
      <c r="F7" s="757">
        <v>40507.0</v>
      </c>
      <c r="G7" s="758">
        <v>40506.0</v>
      </c>
      <c r="H7" s="771" t="s">
        <v>15770</v>
      </c>
      <c r="I7" s="760"/>
      <c r="J7" s="789"/>
      <c r="K7" s="181"/>
      <c r="L7" s="181"/>
      <c r="M7" s="181"/>
      <c r="N7" s="181"/>
      <c r="O7" s="181"/>
      <c r="P7" s="181"/>
      <c r="Q7" s="181"/>
    </row>
    <row r="8" ht="12.75" customHeight="1">
      <c r="A8" s="756">
        <v>4211.0</v>
      </c>
      <c r="B8" s="755" t="s">
        <v>14</v>
      </c>
      <c r="C8" s="755">
        <v>952.0</v>
      </c>
      <c r="D8" s="754" t="s">
        <v>15771</v>
      </c>
      <c r="E8" s="756" t="s">
        <v>14229</v>
      </c>
      <c r="F8" s="757">
        <v>40507.0</v>
      </c>
      <c r="G8" s="758">
        <v>40506.0</v>
      </c>
      <c r="H8" s="758">
        <v>40514.0</v>
      </c>
      <c r="I8" s="790" t="s">
        <v>15772</v>
      </c>
      <c r="J8" s="789"/>
      <c r="K8" s="181"/>
      <c r="L8" s="181"/>
      <c r="M8" s="181"/>
      <c r="N8" s="181"/>
      <c r="O8" s="181"/>
      <c r="P8" s="181"/>
      <c r="Q8" s="181"/>
    </row>
    <row r="9" ht="12.75" customHeight="1">
      <c r="A9" s="756">
        <v>4170.0</v>
      </c>
      <c r="B9" s="755" t="s">
        <v>21</v>
      </c>
      <c r="C9" s="755">
        <v>3590.0</v>
      </c>
      <c r="D9" s="754" t="s">
        <v>15773</v>
      </c>
      <c r="E9" s="756" t="s">
        <v>15774</v>
      </c>
      <c r="F9" s="757">
        <v>40476.0</v>
      </c>
      <c r="G9" s="758">
        <v>40485.0</v>
      </c>
      <c r="H9" s="771" t="s">
        <v>15775</v>
      </c>
      <c r="I9" s="790" t="s">
        <v>15776</v>
      </c>
      <c r="J9" s="789"/>
      <c r="K9" s="181"/>
      <c r="L9" s="181"/>
      <c r="M9" s="181"/>
      <c r="N9" s="181"/>
      <c r="O9" s="181"/>
      <c r="P9" s="181"/>
      <c r="Q9" s="181"/>
    </row>
    <row r="10" ht="12.75" customHeight="1">
      <c r="A10" s="756">
        <v>4171.0</v>
      </c>
      <c r="B10" s="755" t="s">
        <v>14</v>
      </c>
      <c r="C10" s="755">
        <v>2470.0</v>
      </c>
      <c r="D10" s="754" t="s">
        <v>15777</v>
      </c>
      <c r="E10" s="756" t="s">
        <v>15778</v>
      </c>
      <c r="F10" s="757">
        <v>40472.0</v>
      </c>
      <c r="G10" s="758">
        <v>40486.0</v>
      </c>
      <c r="H10" s="758">
        <v>40479.0</v>
      </c>
      <c r="I10" s="790" t="s">
        <v>15779</v>
      </c>
      <c r="J10" s="789"/>
      <c r="K10" s="181"/>
      <c r="L10" s="181"/>
      <c r="M10" s="181"/>
      <c r="N10" s="181"/>
      <c r="O10" s="181"/>
      <c r="P10" s="181"/>
      <c r="Q10" s="181"/>
    </row>
    <row r="11" ht="12.75" customHeight="1">
      <c r="A11" s="756">
        <v>4135.0</v>
      </c>
      <c r="B11" s="755" t="s">
        <v>14</v>
      </c>
      <c r="C11" s="755">
        <v>2929.0</v>
      </c>
      <c r="D11" s="754" t="s">
        <v>15780</v>
      </c>
      <c r="E11" s="756" t="s">
        <v>15781</v>
      </c>
      <c r="F11" s="757">
        <v>40448.0</v>
      </c>
      <c r="G11" s="758">
        <v>40449.0</v>
      </c>
      <c r="H11" s="758">
        <v>40456.0</v>
      </c>
      <c r="I11" s="790" t="s">
        <v>15782</v>
      </c>
      <c r="J11" s="789"/>
      <c r="K11" s="181"/>
      <c r="L11" s="181"/>
      <c r="M11" s="181"/>
      <c r="N11" s="181"/>
      <c r="O11" s="181"/>
      <c r="P11" s="181"/>
      <c r="Q11" s="181"/>
    </row>
    <row r="12" ht="12.75" customHeight="1">
      <c r="A12" s="756">
        <v>4134.0</v>
      </c>
      <c r="B12" s="755" t="s">
        <v>21</v>
      </c>
      <c r="C12" s="755">
        <v>2682.0</v>
      </c>
      <c r="D12" s="754" t="s">
        <v>15783</v>
      </c>
      <c r="E12" s="756" t="s">
        <v>15784</v>
      </c>
      <c r="F12" s="757">
        <v>40448.0</v>
      </c>
      <c r="G12" s="758">
        <v>40449.0</v>
      </c>
      <c r="H12" s="758">
        <v>40455.0</v>
      </c>
      <c r="I12" s="760"/>
      <c r="J12" s="789"/>
      <c r="K12" s="181"/>
      <c r="L12" s="181"/>
      <c r="M12" s="181"/>
      <c r="N12" s="181"/>
      <c r="O12" s="181"/>
      <c r="P12" s="181"/>
      <c r="Q12" s="181"/>
    </row>
    <row r="13" ht="12.75" customHeight="1">
      <c r="A13" s="756">
        <v>4152.0</v>
      </c>
      <c r="B13" s="755" t="s">
        <v>21</v>
      </c>
      <c r="C13" s="755">
        <v>672.0</v>
      </c>
      <c r="D13" s="754" t="s">
        <v>15785</v>
      </c>
      <c r="E13" s="756" t="s">
        <v>14229</v>
      </c>
      <c r="F13" s="757">
        <v>40448.0</v>
      </c>
      <c r="G13" s="758">
        <v>40466.0</v>
      </c>
      <c r="H13" s="758">
        <v>40456.0</v>
      </c>
      <c r="I13" s="790" t="s">
        <v>15786</v>
      </c>
      <c r="J13" s="789"/>
      <c r="K13" s="181"/>
      <c r="L13" s="181"/>
      <c r="M13" s="181"/>
      <c r="N13" s="181"/>
      <c r="O13" s="181"/>
      <c r="P13" s="181"/>
      <c r="Q13" s="181"/>
    </row>
    <row r="14" ht="12.75" customHeight="1">
      <c r="A14" s="756">
        <v>4106.0</v>
      </c>
      <c r="B14" s="755" t="s">
        <v>14</v>
      </c>
      <c r="C14" s="755">
        <v>672.0</v>
      </c>
      <c r="D14" s="754" t="s">
        <v>15787</v>
      </c>
      <c r="E14" s="756" t="s">
        <v>14229</v>
      </c>
      <c r="F14" s="757">
        <v>40424.0</v>
      </c>
      <c r="G14" s="758">
        <v>40428.0</v>
      </c>
      <c r="H14" s="791" t="s">
        <v>15788</v>
      </c>
      <c r="I14" s="790" t="s">
        <v>15789</v>
      </c>
      <c r="J14" s="789"/>
      <c r="K14" s="181"/>
      <c r="L14" s="181"/>
      <c r="M14" s="181"/>
      <c r="N14" s="181"/>
      <c r="O14" s="181"/>
      <c r="P14" s="181"/>
      <c r="Q14" s="181"/>
    </row>
    <row r="15" ht="12.75" customHeight="1">
      <c r="A15" s="756" t="s">
        <v>15790</v>
      </c>
      <c r="B15" s="755" t="s">
        <v>21</v>
      </c>
      <c r="C15" s="755">
        <v>2657.0</v>
      </c>
      <c r="D15" s="754" t="s">
        <v>15791</v>
      </c>
      <c r="E15" s="756" t="s">
        <v>15792</v>
      </c>
      <c r="F15" s="757">
        <v>40420.0</v>
      </c>
      <c r="G15" s="758">
        <v>40421.0</v>
      </c>
      <c r="H15" s="771" t="s">
        <v>15793</v>
      </c>
      <c r="I15" s="760"/>
      <c r="J15" s="789"/>
      <c r="K15" s="181"/>
      <c r="L15" s="181"/>
      <c r="M15" s="181"/>
      <c r="N15" s="181"/>
      <c r="O15" s="181"/>
      <c r="P15" s="181"/>
      <c r="Q15" s="181"/>
    </row>
    <row r="16" ht="12.75" customHeight="1">
      <c r="A16" s="756">
        <v>4101.0</v>
      </c>
      <c r="B16" s="755" t="s">
        <v>14</v>
      </c>
      <c r="C16" s="755">
        <v>2387.0</v>
      </c>
      <c r="D16" s="754" t="s">
        <v>15794</v>
      </c>
      <c r="E16" s="756" t="s">
        <v>15795</v>
      </c>
      <c r="F16" s="757">
        <v>40413.0</v>
      </c>
      <c r="G16" s="758">
        <v>40416.0</v>
      </c>
      <c r="H16" s="758">
        <v>40417.0</v>
      </c>
      <c r="I16" s="760"/>
      <c r="J16" s="789"/>
      <c r="K16" s="181"/>
      <c r="L16" s="181"/>
      <c r="M16" s="181"/>
      <c r="N16" s="181"/>
      <c r="O16" s="181"/>
      <c r="P16" s="181"/>
      <c r="Q16" s="181"/>
    </row>
    <row r="17" ht="12.75" customHeight="1">
      <c r="A17" s="756">
        <v>4061.0</v>
      </c>
      <c r="B17" s="755" t="s">
        <v>21</v>
      </c>
      <c r="C17" s="755">
        <v>1900.0</v>
      </c>
      <c r="D17" s="754" t="s">
        <v>15796</v>
      </c>
      <c r="E17" s="756" t="s">
        <v>15797</v>
      </c>
      <c r="F17" s="757">
        <v>40385.0</v>
      </c>
      <c r="G17" s="758">
        <v>40386.0</v>
      </c>
      <c r="H17" s="771" t="s">
        <v>15798</v>
      </c>
      <c r="I17" s="760"/>
      <c r="J17" s="789"/>
      <c r="K17" s="181"/>
      <c r="L17" s="181"/>
      <c r="M17" s="181"/>
      <c r="N17" s="181"/>
      <c r="O17" s="181"/>
      <c r="P17" s="181"/>
      <c r="Q17" s="181"/>
    </row>
    <row r="18" ht="12.75" customHeight="1">
      <c r="A18" s="756">
        <v>4060.0</v>
      </c>
      <c r="B18" s="755" t="s">
        <v>14</v>
      </c>
      <c r="C18" s="755">
        <v>2766.0</v>
      </c>
      <c r="D18" s="754" t="s">
        <v>15799</v>
      </c>
      <c r="E18" s="756" t="s">
        <v>15800</v>
      </c>
      <c r="F18" s="757">
        <v>40385.0</v>
      </c>
      <c r="G18" s="758">
        <v>40396.0</v>
      </c>
      <c r="H18" s="758">
        <v>40389.0</v>
      </c>
      <c r="I18" s="790" t="s">
        <v>15801</v>
      </c>
      <c r="J18" s="789"/>
      <c r="K18" s="181"/>
      <c r="L18" s="181"/>
      <c r="M18" s="181"/>
      <c r="N18" s="181"/>
      <c r="O18" s="181"/>
      <c r="P18" s="181"/>
      <c r="Q18" s="181"/>
    </row>
    <row r="19" ht="12.75" customHeight="1">
      <c r="A19" s="756">
        <v>4025.0</v>
      </c>
      <c r="B19" s="755" t="s">
        <v>21</v>
      </c>
      <c r="C19" s="755">
        <v>1764.0</v>
      </c>
      <c r="D19" s="754" t="s">
        <v>15802</v>
      </c>
      <c r="E19" s="756" t="s">
        <v>15803</v>
      </c>
      <c r="F19" s="757">
        <v>40352.0</v>
      </c>
      <c r="G19" s="758">
        <v>40352.0</v>
      </c>
      <c r="H19" s="758">
        <v>40358.0</v>
      </c>
      <c r="I19" s="790" t="s">
        <v>15804</v>
      </c>
      <c r="J19" s="789"/>
      <c r="K19" s="181"/>
      <c r="L19" s="181"/>
      <c r="M19" s="181"/>
      <c r="N19" s="181"/>
      <c r="O19" s="181"/>
      <c r="P19" s="181"/>
      <c r="Q19" s="181"/>
    </row>
    <row r="20" ht="12.75" customHeight="1">
      <c r="A20" s="772">
        <v>4024.0</v>
      </c>
      <c r="B20" s="773" t="s">
        <v>14</v>
      </c>
      <c r="C20" s="773">
        <v>2155.0</v>
      </c>
      <c r="D20" s="774" t="s">
        <v>15805</v>
      </c>
      <c r="E20" s="772" t="s">
        <v>15806</v>
      </c>
      <c r="F20" s="775">
        <v>40352.0</v>
      </c>
      <c r="G20" s="776">
        <v>40352.0</v>
      </c>
      <c r="H20" s="776">
        <v>40354.0</v>
      </c>
      <c r="I20" s="792"/>
      <c r="J20" s="789"/>
      <c r="K20" s="181"/>
      <c r="L20" s="181"/>
      <c r="M20" s="181"/>
      <c r="N20" s="181"/>
      <c r="O20" s="181"/>
      <c r="P20" s="181"/>
      <c r="Q20" s="181"/>
    </row>
    <row r="21" ht="12.75" customHeight="1">
      <c r="A21" s="26">
        <v>3982.0</v>
      </c>
      <c r="B21" s="12" t="s">
        <v>14</v>
      </c>
      <c r="C21" s="12">
        <v>2750.0</v>
      </c>
      <c r="D21" s="6" t="s">
        <v>15807</v>
      </c>
      <c r="E21" s="26" t="s">
        <v>15808</v>
      </c>
      <c r="F21" s="725">
        <v>40324.0</v>
      </c>
      <c r="G21" s="14">
        <v>40337.0</v>
      </c>
      <c r="H21" s="14">
        <v>40331.0</v>
      </c>
      <c r="I21" s="793" t="s">
        <v>15809</v>
      </c>
      <c r="J21" s="789"/>
      <c r="K21" s="181"/>
      <c r="L21" s="181"/>
      <c r="M21" s="181"/>
      <c r="N21" s="181"/>
      <c r="O21" s="181"/>
      <c r="P21" s="181"/>
      <c r="Q21" s="181"/>
    </row>
    <row r="22" ht="12.75" customHeight="1">
      <c r="A22" s="26">
        <v>3983.0</v>
      </c>
      <c r="B22" s="12" t="s">
        <v>21</v>
      </c>
      <c r="C22" s="12">
        <v>1905.0</v>
      </c>
      <c r="D22" s="6" t="s">
        <v>15810</v>
      </c>
      <c r="E22" s="26" t="s">
        <v>15811</v>
      </c>
      <c r="F22" s="725">
        <v>40322.0</v>
      </c>
      <c r="G22" s="14">
        <v>40325.0</v>
      </c>
      <c r="H22" s="14">
        <v>40331.0</v>
      </c>
      <c r="I22" s="3"/>
      <c r="J22" s="789"/>
      <c r="K22" s="181"/>
      <c r="L22" s="181"/>
      <c r="M22" s="181"/>
      <c r="N22" s="181"/>
      <c r="O22" s="181"/>
      <c r="P22" s="181"/>
      <c r="Q22" s="181"/>
    </row>
    <row r="23" ht="12.75" customHeight="1">
      <c r="A23" s="26">
        <v>3969.0</v>
      </c>
      <c r="B23" s="12" t="s">
        <v>21</v>
      </c>
      <c r="C23" s="12">
        <v>672.0</v>
      </c>
      <c r="D23" s="6" t="s">
        <v>15812</v>
      </c>
      <c r="E23" s="26" t="s">
        <v>14229</v>
      </c>
      <c r="F23" s="725">
        <v>40308.0</v>
      </c>
      <c r="G23" s="14">
        <v>40309.0</v>
      </c>
      <c r="H23" s="14">
        <v>40317.0</v>
      </c>
      <c r="I23" s="3"/>
      <c r="J23" s="789"/>
      <c r="K23" s="181"/>
      <c r="L23" s="181"/>
      <c r="M23" s="181"/>
      <c r="N23" s="181"/>
      <c r="O23" s="181"/>
      <c r="P23" s="181"/>
      <c r="Q23" s="181"/>
    </row>
    <row r="24" ht="12.75" customHeight="1">
      <c r="A24" s="26">
        <v>3944.0</v>
      </c>
      <c r="B24" s="12" t="s">
        <v>14</v>
      </c>
      <c r="C24" s="12">
        <v>2086.0</v>
      </c>
      <c r="D24" s="6" t="s">
        <v>15813</v>
      </c>
      <c r="E24" s="26" t="s">
        <v>15814</v>
      </c>
      <c r="F24" s="725">
        <v>40294.0</v>
      </c>
      <c r="G24" s="14">
        <v>40296.0</v>
      </c>
      <c r="H24" s="14">
        <v>40297.0</v>
      </c>
      <c r="I24" s="3"/>
      <c r="J24" s="789"/>
      <c r="K24" s="181"/>
      <c r="L24" s="181"/>
      <c r="M24" s="181"/>
      <c r="N24" s="181"/>
      <c r="O24" s="181"/>
      <c r="P24" s="181"/>
      <c r="Q24" s="181"/>
    </row>
    <row r="25" ht="12.75" customHeight="1">
      <c r="A25" s="26">
        <v>3945.0</v>
      </c>
      <c r="B25" s="12" t="s">
        <v>21</v>
      </c>
      <c r="C25" s="12">
        <v>1642.0</v>
      </c>
      <c r="D25" s="6" t="s">
        <v>15815</v>
      </c>
      <c r="E25" s="26" t="s">
        <v>15816</v>
      </c>
      <c r="F25" s="725">
        <v>40292.0</v>
      </c>
      <c r="G25" s="14">
        <v>40291.0</v>
      </c>
      <c r="H25" s="14">
        <v>40296.0</v>
      </c>
      <c r="I25" s="3"/>
      <c r="J25" s="789"/>
      <c r="K25" s="181"/>
      <c r="L25" s="181"/>
      <c r="M25" s="181"/>
      <c r="N25" s="181"/>
      <c r="O25" s="181"/>
      <c r="P25" s="181"/>
      <c r="Q25" s="181"/>
    </row>
    <row r="26" ht="12.75" customHeight="1">
      <c r="A26" s="26">
        <v>3946.0</v>
      </c>
      <c r="B26" s="12" t="s">
        <v>25</v>
      </c>
      <c r="C26" s="12">
        <v>1281.0</v>
      </c>
      <c r="D26" s="6" t="s">
        <v>15817</v>
      </c>
      <c r="E26" s="26" t="s">
        <v>15818</v>
      </c>
      <c r="F26" s="725">
        <v>40288.0</v>
      </c>
      <c r="G26" s="14">
        <v>40301.0</v>
      </c>
      <c r="H26" s="14">
        <v>40294.0</v>
      </c>
      <c r="I26" s="3"/>
      <c r="J26" s="789"/>
      <c r="K26" s="181"/>
      <c r="L26" s="181"/>
      <c r="M26" s="181"/>
      <c r="N26" s="181"/>
      <c r="O26" s="181"/>
      <c r="P26" s="181"/>
      <c r="Q26" s="181"/>
    </row>
    <row r="27" ht="12.75" customHeight="1">
      <c r="A27" s="26">
        <v>3920.0</v>
      </c>
      <c r="B27" s="12" t="s">
        <v>21</v>
      </c>
      <c r="C27" s="12">
        <v>672.0</v>
      </c>
      <c r="D27" s="6" t="s">
        <v>15819</v>
      </c>
      <c r="E27" s="26" t="s">
        <v>14229</v>
      </c>
      <c r="F27" s="725">
        <v>40273.0</v>
      </c>
      <c r="G27" s="14">
        <v>40287.0</v>
      </c>
      <c r="H27" s="14">
        <v>40280.0</v>
      </c>
      <c r="I27" s="3"/>
      <c r="J27" s="789"/>
      <c r="K27" s="181"/>
      <c r="L27" s="181"/>
      <c r="M27" s="181"/>
      <c r="N27" s="181"/>
      <c r="O27" s="181"/>
      <c r="P27" s="181"/>
      <c r="Q27" s="181"/>
    </row>
    <row r="28" ht="12.75" customHeight="1">
      <c r="A28" s="26">
        <v>3902.0</v>
      </c>
      <c r="B28" s="12" t="s">
        <v>14</v>
      </c>
      <c r="C28" s="12">
        <v>576.0</v>
      </c>
      <c r="D28" s="6" t="s">
        <v>15820</v>
      </c>
      <c r="E28" s="26" t="s">
        <v>15821</v>
      </c>
      <c r="F28" s="725">
        <v>40260.0</v>
      </c>
      <c r="G28" s="14">
        <v>40261.0</v>
      </c>
      <c r="H28" s="14">
        <v>40262.0</v>
      </c>
      <c r="I28" s="3"/>
      <c r="J28" s="789"/>
      <c r="K28" s="181"/>
      <c r="L28" s="181"/>
      <c r="M28" s="181"/>
      <c r="N28" s="181"/>
      <c r="O28" s="181"/>
      <c r="P28" s="181"/>
      <c r="Q28" s="181"/>
    </row>
    <row r="29" ht="12.75" customHeight="1">
      <c r="A29" s="26">
        <v>3903.0</v>
      </c>
      <c r="B29" s="12" t="s">
        <v>21</v>
      </c>
      <c r="C29" s="12">
        <v>1502.0</v>
      </c>
      <c r="D29" s="6" t="s">
        <v>15822</v>
      </c>
      <c r="E29" s="26" t="s">
        <v>15823</v>
      </c>
      <c r="F29" s="725">
        <v>40259.0</v>
      </c>
      <c r="G29" s="14">
        <v>40259.0</v>
      </c>
      <c r="H29" s="8" t="s">
        <v>15824</v>
      </c>
      <c r="I29" s="3"/>
      <c r="J29" s="789"/>
      <c r="K29" s="181"/>
      <c r="L29" s="181"/>
      <c r="M29" s="181"/>
      <c r="N29" s="181"/>
      <c r="O29" s="181"/>
      <c r="P29" s="181"/>
      <c r="Q29" s="181"/>
    </row>
    <row r="30" ht="12.75" customHeight="1">
      <c r="A30" s="26">
        <v>3874.0</v>
      </c>
      <c r="B30" s="12" t="s">
        <v>14</v>
      </c>
      <c r="C30" s="12">
        <v>1566.0</v>
      </c>
      <c r="D30" s="6" t="s">
        <v>15825</v>
      </c>
      <c r="E30" s="26" t="s">
        <v>15826</v>
      </c>
      <c r="F30" s="725">
        <v>40232.0</v>
      </c>
      <c r="G30" s="14">
        <v>40241.0</v>
      </c>
      <c r="H30" s="14">
        <v>40239.0</v>
      </c>
      <c r="I30" s="793" t="s">
        <v>15827</v>
      </c>
      <c r="J30" s="789"/>
      <c r="K30" s="181"/>
      <c r="L30" s="181"/>
      <c r="M30" s="181"/>
      <c r="N30" s="181"/>
      <c r="O30" s="181"/>
      <c r="P30" s="181"/>
      <c r="Q30" s="181"/>
    </row>
    <row r="31" ht="12.75" customHeight="1">
      <c r="A31" s="26">
        <v>3873.0</v>
      </c>
      <c r="B31" s="12" t="s">
        <v>21</v>
      </c>
      <c r="C31" s="12">
        <v>258.0</v>
      </c>
      <c r="D31" s="6" t="s">
        <v>15828</v>
      </c>
      <c r="E31" s="26" t="s">
        <v>15829</v>
      </c>
      <c r="F31" s="725">
        <v>40231.0</v>
      </c>
      <c r="G31" s="14">
        <v>40232.0</v>
      </c>
      <c r="H31" s="14">
        <v>40239.0</v>
      </c>
      <c r="I31" s="3"/>
      <c r="J31" s="789"/>
      <c r="K31" s="181"/>
      <c r="L31" s="181"/>
      <c r="M31" s="181"/>
      <c r="N31" s="181"/>
      <c r="O31" s="181"/>
      <c r="P31" s="181"/>
      <c r="Q31" s="181"/>
    </row>
    <row r="32" ht="19.5" customHeight="1">
      <c r="A32" s="3">
        <v>3850.0</v>
      </c>
      <c r="B32" s="1" t="s">
        <v>14</v>
      </c>
      <c r="C32" s="1">
        <v>672.0</v>
      </c>
      <c r="D32" s="6" t="s">
        <v>15830</v>
      </c>
      <c r="E32" s="13" t="s">
        <v>15831</v>
      </c>
      <c r="F32" s="794">
        <v>40224.0</v>
      </c>
      <c r="G32" s="14">
        <v>40239.0</v>
      </c>
      <c r="H32" s="14">
        <v>40226.0</v>
      </c>
      <c r="I32" s="795" t="s">
        <v>15832</v>
      </c>
      <c r="J32" s="796"/>
      <c r="K32" s="733"/>
      <c r="L32" s="733"/>
      <c r="M32" s="733"/>
      <c r="N32" s="733"/>
      <c r="O32" s="733"/>
      <c r="P32" s="733"/>
      <c r="Q32" s="733"/>
    </row>
    <row r="33" ht="19.5" customHeight="1">
      <c r="A33" s="3">
        <v>3836.0</v>
      </c>
      <c r="B33" s="1" t="s">
        <v>14</v>
      </c>
      <c r="C33" s="1">
        <v>2270.0</v>
      </c>
      <c r="D33" s="6" t="s">
        <v>15833</v>
      </c>
      <c r="E33" s="13" t="s">
        <v>15834</v>
      </c>
      <c r="F33" s="794">
        <v>40199.0</v>
      </c>
      <c r="G33" s="14">
        <v>40221.0</v>
      </c>
      <c r="H33" s="14">
        <v>40205.0</v>
      </c>
      <c r="I33" s="793" t="s">
        <v>15835</v>
      </c>
      <c r="J33" s="796"/>
      <c r="K33" s="733"/>
      <c r="L33" s="733"/>
      <c r="M33" s="733"/>
      <c r="N33" s="733"/>
      <c r="O33" s="733"/>
      <c r="P33" s="733"/>
      <c r="Q33" s="733"/>
    </row>
    <row r="34" ht="19.5" customHeight="1">
      <c r="A34" s="3">
        <v>3834.0</v>
      </c>
      <c r="B34" s="1" t="s">
        <v>21</v>
      </c>
      <c r="C34" s="1">
        <v>2000.0</v>
      </c>
      <c r="D34" s="6" t="s">
        <v>15836</v>
      </c>
      <c r="E34" s="13" t="s">
        <v>14229</v>
      </c>
      <c r="F34" s="794">
        <v>40196.0</v>
      </c>
      <c r="G34" s="14">
        <v>40198.0</v>
      </c>
      <c r="H34" s="14">
        <v>40204.0</v>
      </c>
      <c r="I34" s="3"/>
      <c r="J34" s="796"/>
      <c r="K34" s="733"/>
      <c r="L34" s="733"/>
      <c r="M34" s="733"/>
      <c r="N34" s="733"/>
      <c r="O34" s="733"/>
      <c r="P34" s="733"/>
      <c r="Q34" s="733"/>
    </row>
    <row r="35" ht="19.5" customHeight="1">
      <c r="A35" s="3">
        <v>3835.0</v>
      </c>
      <c r="B35" s="1" t="s">
        <v>25</v>
      </c>
      <c r="C35" s="1">
        <v>1587.0</v>
      </c>
      <c r="D35" s="6" t="s">
        <v>15837</v>
      </c>
      <c r="E35" s="13" t="s">
        <v>15838</v>
      </c>
      <c r="F35" s="794">
        <v>40193.0</v>
      </c>
      <c r="G35" s="14">
        <v>40204.0</v>
      </c>
      <c r="H35" s="14">
        <v>40200.0</v>
      </c>
      <c r="I35" s="3"/>
      <c r="J35" s="796"/>
      <c r="K35" s="733"/>
      <c r="L35" s="733"/>
      <c r="M35" s="733"/>
      <c r="N35" s="733"/>
      <c r="O35" s="733"/>
      <c r="P35" s="733"/>
      <c r="Q35" s="733"/>
    </row>
    <row r="36" ht="12.75" customHeight="1">
      <c r="A36" s="26"/>
      <c r="B36" s="12"/>
      <c r="C36" s="12"/>
      <c r="D36" s="6"/>
      <c r="E36" s="26"/>
      <c r="F36" s="731"/>
      <c r="G36" s="4"/>
      <c r="H36" s="4"/>
      <c r="I36" s="3"/>
      <c r="J36" s="789"/>
      <c r="K36" s="181"/>
      <c r="L36" s="181"/>
      <c r="M36" s="181"/>
      <c r="N36" s="181"/>
      <c r="O36" s="181"/>
      <c r="P36" s="181"/>
      <c r="Q36" s="181"/>
    </row>
    <row r="37" ht="12.75" customHeight="1">
      <c r="A37" s="26"/>
      <c r="B37" s="12"/>
      <c r="C37" s="12"/>
      <c r="D37" s="6"/>
      <c r="E37" s="26"/>
      <c r="F37" s="731"/>
      <c r="G37" s="4"/>
      <c r="H37" s="4"/>
      <c r="I37" s="3"/>
      <c r="J37" s="789"/>
      <c r="K37" s="181"/>
      <c r="L37" s="181"/>
      <c r="M37" s="181"/>
      <c r="N37" s="181"/>
      <c r="O37" s="181"/>
      <c r="P37" s="181"/>
      <c r="Q37" s="181"/>
    </row>
    <row r="38" ht="12.75" customHeight="1">
      <c r="A38" s="26"/>
      <c r="B38" s="12"/>
      <c r="C38" s="12"/>
      <c r="D38" s="6"/>
      <c r="E38" s="26"/>
      <c r="F38" s="731"/>
      <c r="G38" s="4"/>
      <c r="H38" s="4"/>
      <c r="I38" s="3"/>
      <c r="J38" s="789"/>
      <c r="K38" s="181"/>
      <c r="L38" s="181"/>
      <c r="M38" s="181"/>
      <c r="N38" s="181"/>
      <c r="O38" s="181"/>
      <c r="P38" s="181"/>
      <c r="Q38" s="181"/>
    </row>
    <row r="39" ht="12.75" customHeight="1">
      <c r="A39" s="26"/>
      <c r="B39" s="12"/>
      <c r="C39" s="12"/>
      <c r="D39" s="6"/>
      <c r="E39" s="26"/>
      <c r="F39" s="731"/>
      <c r="G39" s="4"/>
      <c r="H39" s="4"/>
      <c r="I39" s="3"/>
      <c r="J39" s="789"/>
      <c r="K39" s="181"/>
      <c r="L39" s="181"/>
      <c r="M39" s="181"/>
      <c r="N39" s="181"/>
      <c r="O39" s="181"/>
      <c r="P39" s="181"/>
      <c r="Q39" s="181"/>
    </row>
    <row r="40" ht="12.75" customHeight="1">
      <c r="A40" s="26"/>
      <c r="B40" s="12"/>
      <c r="C40" s="12"/>
      <c r="D40" s="6"/>
      <c r="E40" s="26"/>
      <c r="F40" s="731"/>
      <c r="G40" s="4"/>
      <c r="H40" s="4"/>
      <c r="I40" s="3"/>
      <c r="J40" s="789"/>
      <c r="K40" s="181"/>
      <c r="L40" s="181"/>
      <c r="M40" s="181"/>
      <c r="N40" s="181"/>
      <c r="O40" s="181"/>
      <c r="P40" s="181"/>
      <c r="Q40" s="181"/>
    </row>
    <row r="41" ht="12.75" customHeight="1">
      <c r="A41" s="26"/>
      <c r="B41" s="12"/>
      <c r="C41" s="12"/>
      <c r="D41" s="6"/>
      <c r="E41" s="26"/>
      <c r="F41" s="731"/>
      <c r="G41" s="4"/>
      <c r="H41" s="4"/>
      <c r="I41" s="3"/>
      <c r="J41" s="789"/>
      <c r="K41" s="181"/>
      <c r="L41" s="181"/>
      <c r="M41" s="181"/>
      <c r="N41" s="181"/>
      <c r="O41" s="181"/>
      <c r="P41" s="181"/>
      <c r="Q41" s="181"/>
    </row>
    <row r="42" ht="12.75" customHeight="1">
      <c r="A42" s="797"/>
      <c r="B42" s="798"/>
      <c r="C42" s="798"/>
      <c r="D42" s="799"/>
      <c r="E42" s="797"/>
      <c r="F42" s="800"/>
      <c r="G42" s="801"/>
      <c r="H42" s="801"/>
      <c r="I42" s="802"/>
      <c r="J42" s="181"/>
      <c r="K42" s="181"/>
      <c r="L42" s="181"/>
      <c r="M42" s="181"/>
      <c r="N42" s="181"/>
      <c r="O42" s="181"/>
      <c r="P42" s="181"/>
      <c r="Q42" s="181"/>
    </row>
    <row r="43" ht="12.75" customHeight="1">
      <c r="A43" s="181"/>
      <c r="B43" s="78"/>
      <c r="C43" s="78"/>
      <c r="D43" s="716"/>
      <c r="E43" s="181"/>
      <c r="F43" s="803"/>
      <c r="G43" s="738"/>
      <c r="H43" s="738"/>
      <c r="I43" s="733"/>
      <c r="J43" s="181"/>
      <c r="K43" s="181"/>
      <c r="L43" s="181"/>
      <c r="M43" s="181"/>
      <c r="N43" s="181"/>
      <c r="O43" s="181"/>
      <c r="P43" s="181"/>
      <c r="Q43" s="181"/>
    </row>
    <row r="44" ht="12.75" customHeight="1">
      <c r="A44" s="181"/>
      <c r="B44" s="78"/>
      <c r="C44" s="78"/>
      <c r="D44" s="716"/>
      <c r="E44" s="181"/>
      <c r="F44" s="803"/>
      <c r="G44" s="738"/>
      <c r="H44" s="738"/>
      <c r="I44" s="733"/>
      <c r="J44" s="181"/>
      <c r="K44" s="181"/>
      <c r="L44" s="181"/>
      <c r="M44" s="181"/>
      <c r="N44" s="181"/>
      <c r="O44" s="181"/>
      <c r="P44" s="181"/>
      <c r="Q44" s="181"/>
    </row>
    <row r="45" ht="12.75" customHeight="1">
      <c r="A45" s="181"/>
      <c r="B45" s="78"/>
      <c r="C45" s="78"/>
      <c r="D45" s="716"/>
      <c r="E45" s="181"/>
      <c r="F45" s="803"/>
      <c r="G45" s="738"/>
      <c r="H45" s="738"/>
      <c r="I45" s="733"/>
      <c r="J45" s="181"/>
      <c r="K45" s="181"/>
      <c r="L45" s="181"/>
      <c r="M45" s="181"/>
      <c r="N45" s="181"/>
      <c r="O45" s="181"/>
      <c r="P45" s="181"/>
      <c r="Q45" s="181"/>
    </row>
    <row r="46" ht="12.75" customHeight="1">
      <c r="A46" s="181"/>
      <c r="B46" s="78"/>
      <c r="C46" s="78"/>
      <c r="D46" s="716"/>
      <c r="E46" s="181"/>
      <c r="F46" s="803"/>
      <c r="G46" s="738"/>
      <c r="H46" s="738"/>
      <c r="I46" s="733"/>
      <c r="J46" s="181"/>
      <c r="K46" s="181"/>
      <c r="L46" s="181"/>
      <c r="M46" s="181"/>
      <c r="N46" s="181"/>
      <c r="O46" s="181"/>
      <c r="P46" s="181"/>
      <c r="Q46" s="181"/>
    </row>
    <row r="47" ht="12.75" customHeight="1">
      <c r="A47" s="181"/>
      <c r="B47" s="78"/>
      <c r="C47" s="78"/>
      <c r="D47" s="716"/>
      <c r="E47" s="181"/>
      <c r="F47" s="803"/>
      <c r="G47" s="738"/>
      <c r="H47" s="738"/>
      <c r="I47" s="733"/>
      <c r="J47" s="181"/>
      <c r="K47" s="181"/>
      <c r="L47" s="181"/>
      <c r="M47" s="181"/>
      <c r="N47" s="181"/>
      <c r="O47" s="181"/>
      <c r="P47" s="181"/>
      <c r="Q47" s="181"/>
    </row>
    <row r="48" ht="12.75" customHeight="1">
      <c r="A48" s="181"/>
      <c r="B48" s="78"/>
      <c r="C48" s="78"/>
      <c r="D48" s="716"/>
      <c r="E48" s="181"/>
      <c r="F48" s="803"/>
      <c r="G48" s="738"/>
      <c r="H48" s="738"/>
      <c r="I48" s="733"/>
      <c r="J48" s="181"/>
      <c r="K48" s="181"/>
      <c r="L48" s="181"/>
      <c r="M48" s="181"/>
      <c r="N48" s="181"/>
      <c r="O48" s="181"/>
      <c r="P48" s="181"/>
      <c r="Q48" s="181"/>
    </row>
    <row r="49" ht="12.75" customHeight="1">
      <c r="A49" s="181"/>
      <c r="B49" s="78"/>
      <c r="C49" s="78"/>
      <c r="D49" s="716"/>
      <c r="E49" s="181"/>
      <c r="F49" s="803"/>
      <c r="G49" s="738"/>
      <c r="H49" s="738"/>
      <c r="I49" s="733"/>
      <c r="J49" s="181"/>
      <c r="K49" s="181"/>
      <c r="L49" s="181"/>
      <c r="M49" s="181"/>
      <c r="N49" s="181"/>
      <c r="O49" s="181"/>
      <c r="P49" s="181"/>
      <c r="Q49" s="181"/>
    </row>
    <row r="50" ht="12.75" customHeight="1">
      <c r="A50" s="181"/>
      <c r="B50" s="78"/>
      <c r="C50" s="78"/>
      <c r="D50" s="716"/>
      <c r="E50" s="181"/>
      <c r="F50" s="803"/>
      <c r="G50" s="738"/>
      <c r="H50" s="738"/>
      <c r="I50" s="733"/>
      <c r="J50" s="181"/>
      <c r="K50" s="181"/>
      <c r="L50" s="181"/>
      <c r="M50" s="181"/>
      <c r="N50" s="181"/>
      <c r="O50" s="181"/>
      <c r="P50" s="181"/>
      <c r="Q50" s="181"/>
    </row>
    <row r="51" ht="12.75" customHeight="1">
      <c r="A51" s="181"/>
      <c r="B51" s="78"/>
      <c r="C51" s="78"/>
      <c r="D51" s="716"/>
      <c r="E51" s="181"/>
      <c r="F51" s="803"/>
      <c r="G51" s="738"/>
      <c r="H51" s="738"/>
      <c r="I51" s="733"/>
      <c r="J51" s="181"/>
      <c r="K51" s="181"/>
      <c r="L51" s="181"/>
      <c r="M51" s="181"/>
      <c r="N51" s="181"/>
      <c r="O51" s="181"/>
      <c r="P51" s="181"/>
      <c r="Q51" s="181"/>
    </row>
    <row r="52" ht="12.75" customHeight="1">
      <c r="A52" s="181"/>
      <c r="B52" s="78"/>
      <c r="C52" s="78"/>
      <c r="D52" s="716"/>
      <c r="E52" s="181"/>
      <c r="F52" s="803"/>
      <c r="G52" s="738"/>
      <c r="H52" s="738"/>
      <c r="I52" s="733"/>
      <c r="J52" s="181"/>
      <c r="K52" s="181"/>
      <c r="L52" s="181"/>
      <c r="M52" s="181"/>
      <c r="N52" s="181"/>
      <c r="O52" s="181"/>
      <c r="P52" s="181"/>
      <c r="Q52" s="181"/>
    </row>
    <row r="53" ht="12.75" customHeight="1">
      <c r="A53" s="181"/>
      <c r="B53" s="78"/>
      <c r="C53" s="78"/>
      <c r="D53" s="716"/>
      <c r="E53" s="181"/>
      <c r="F53" s="803"/>
      <c r="G53" s="738"/>
      <c r="H53" s="738"/>
      <c r="I53" s="733"/>
      <c r="J53" s="181"/>
      <c r="K53" s="181"/>
      <c r="L53" s="181"/>
      <c r="M53" s="181"/>
      <c r="N53" s="181"/>
      <c r="O53" s="181"/>
      <c r="P53" s="181"/>
      <c r="Q53" s="181"/>
    </row>
    <row r="54" ht="12.75" customHeight="1">
      <c r="A54" s="181"/>
      <c r="B54" s="78"/>
      <c r="C54" s="78"/>
      <c r="D54" s="716"/>
      <c r="E54" s="181"/>
      <c r="F54" s="803"/>
      <c r="G54" s="738"/>
      <c r="H54" s="738"/>
      <c r="I54" s="733"/>
      <c r="J54" s="181"/>
      <c r="K54" s="181"/>
      <c r="L54" s="181"/>
      <c r="M54" s="181"/>
      <c r="N54" s="181"/>
      <c r="O54" s="181"/>
      <c r="P54" s="181"/>
      <c r="Q54" s="181"/>
    </row>
    <row r="55" ht="12.75" customHeight="1">
      <c r="A55" s="181"/>
      <c r="B55" s="78"/>
      <c r="C55" s="78"/>
      <c r="D55" s="716"/>
      <c r="E55" s="181"/>
      <c r="F55" s="803"/>
      <c r="G55" s="738"/>
      <c r="H55" s="738"/>
      <c r="I55" s="733"/>
      <c r="J55" s="181"/>
      <c r="K55" s="181"/>
      <c r="L55" s="181"/>
      <c r="M55" s="181"/>
      <c r="N55" s="181"/>
      <c r="O55" s="181"/>
      <c r="P55" s="181"/>
      <c r="Q55" s="181"/>
    </row>
    <row r="56" ht="12.75" customHeight="1">
      <c r="A56" s="181"/>
      <c r="B56" s="78"/>
      <c r="C56" s="78"/>
      <c r="D56" s="716"/>
      <c r="E56" s="181"/>
      <c r="F56" s="803"/>
      <c r="G56" s="738"/>
      <c r="H56" s="738"/>
      <c r="I56" s="733"/>
      <c r="J56" s="181"/>
      <c r="K56" s="181"/>
      <c r="L56" s="181"/>
      <c r="M56" s="181"/>
      <c r="N56" s="181"/>
      <c r="O56" s="181"/>
      <c r="P56" s="181"/>
      <c r="Q56" s="181"/>
    </row>
    <row r="57" ht="12.75" customHeight="1">
      <c r="A57" s="181"/>
      <c r="B57" s="78"/>
      <c r="C57" s="78"/>
      <c r="D57" s="716"/>
      <c r="E57" s="181"/>
      <c r="F57" s="803"/>
      <c r="G57" s="738"/>
      <c r="H57" s="738"/>
      <c r="I57" s="733"/>
      <c r="J57" s="181"/>
      <c r="K57" s="181"/>
      <c r="L57" s="181"/>
      <c r="M57" s="181"/>
      <c r="N57" s="181"/>
      <c r="O57" s="181"/>
      <c r="P57" s="181"/>
      <c r="Q57" s="181"/>
    </row>
    <row r="58" ht="12.75" customHeight="1">
      <c r="A58" s="181"/>
      <c r="B58" s="78"/>
      <c r="C58" s="78"/>
      <c r="D58" s="716"/>
      <c r="E58" s="181"/>
      <c r="F58" s="803"/>
      <c r="G58" s="738"/>
      <c r="H58" s="738"/>
      <c r="I58" s="733"/>
      <c r="J58" s="181"/>
      <c r="K58" s="181"/>
      <c r="L58" s="181"/>
      <c r="M58" s="181"/>
      <c r="N58" s="181"/>
      <c r="O58" s="181"/>
      <c r="P58" s="181"/>
      <c r="Q58" s="181"/>
    </row>
    <row r="59" ht="12.75" customHeight="1">
      <c r="A59" s="181"/>
      <c r="B59" s="78"/>
      <c r="C59" s="78"/>
      <c r="D59" s="716"/>
      <c r="E59" s="181"/>
      <c r="F59" s="803"/>
      <c r="G59" s="738"/>
      <c r="H59" s="738"/>
      <c r="I59" s="733"/>
      <c r="J59" s="181"/>
      <c r="K59" s="181"/>
      <c r="L59" s="181"/>
      <c r="M59" s="181"/>
      <c r="N59" s="181"/>
      <c r="O59" s="181"/>
      <c r="P59" s="181"/>
      <c r="Q59" s="181"/>
    </row>
    <row r="60" ht="12.75" customHeight="1">
      <c r="A60" s="181"/>
      <c r="B60" s="78"/>
      <c r="C60" s="78"/>
      <c r="D60" s="716"/>
      <c r="E60" s="181"/>
      <c r="F60" s="803"/>
      <c r="G60" s="738"/>
      <c r="H60" s="738"/>
      <c r="I60" s="733"/>
      <c r="J60" s="181"/>
      <c r="K60" s="181"/>
      <c r="L60" s="181"/>
      <c r="M60" s="181"/>
      <c r="N60" s="181"/>
      <c r="O60" s="181"/>
      <c r="P60" s="181"/>
      <c r="Q60" s="181"/>
    </row>
    <row r="61" ht="12.75" customHeight="1">
      <c r="A61" s="181"/>
      <c r="B61" s="78"/>
      <c r="C61" s="78"/>
      <c r="D61" s="716"/>
      <c r="E61" s="181"/>
      <c r="F61" s="803"/>
      <c r="G61" s="738"/>
      <c r="H61" s="738"/>
      <c r="I61" s="733"/>
      <c r="J61" s="181"/>
      <c r="K61" s="181"/>
      <c r="L61" s="181"/>
      <c r="M61" s="181"/>
      <c r="N61" s="181"/>
      <c r="O61" s="181"/>
      <c r="P61" s="181"/>
      <c r="Q61" s="181"/>
    </row>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43"/>
    <col customWidth="1" min="2" max="2" width="13.14"/>
    <col customWidth="1" min="3" max="3" width="8.71"/>
    <col customWidth="1" min="4" max="4" width="17.0"/>
    <col customWidth="1" min="5" max="5" width="41.43"/>
    <col customWidth="1" min="6" max="6" width="11.71"/>
    <col customWidth="1" min="7" max="7" width="11.0"/>
    <col customWidth="1" min="8" max="8" width="13.43"/>
    <col customWidth="1" min="9" max="9" width="50.71"/>
    <col customWidth="1" min="10" max="16" width="8.71"/>
    <col customWidth="1" min="17" max="17" width="9.29"/>
  </cols>
  <sheetData>
    <row r="1" ht="15.75" customHeight="1">
      <c r="A1" s="734"/>
      <c r="B1" s="734"/>
      <c r="C1" s="735"/>
      <c r="D1" s="735"/>
      <c r="E1" s="733" t="s">
        <v>15839</v>
      </c>
      <c r="F1" s="738"/>
      <c r="G1" s="738"/>
      <c r="H1" s="738"/>
      <c r="I1" s="733"/>
      <c r="J1" s="733"/>
      <c r="K1" s="733"/>
      <c r="L1" s="733"/>
      <c r="M1" s="733"/>
      <c r="N1" s="733"/>
      <c r="O1" s="733"/>
      <c r="P1" s="733"/>
      <c r="Q1" s="733"/>
    </row>
    <row r="2" ht="48.75" customHeight="1">
      <c r="A2" s="740"/>
      <c r="B2" s="715" t="s">
        <v>2</v>
      </c>
      <c r="C2" s="740"/>
      <c r="D2" s="740"/>
      <c r="E2" s="769" t="s">
        <v>3</v>
      </c>
      <c r="F2" s="742" t="s">
        <v>4</v>
      </c>
      <c r="G2" s="742" t="s">
        <v>5</v>
      </c>
      <c r="H2" s="742" t="s">
        <v>6</v>
      </c>
      <c r="I2" s="743"/>
      <c r="J2" s="733"/>
      <c r="K2" s="733"/>
      <c r="L2" s="733"/>
      <c r="M2" s="733"/>
      <c r="N2" s="733"/>
      <c r="O2" s="733"/>
      <c r="P2" s="733"/>
      <c r="Q2" s="733"/>
    </row>
    <row r="3" ht="12.75" customHeight="1">
      <c r="A3" s="10" t="s">
        <v>7</v>
      </c>
      <c r="B3" s="10" t="s">
        <v>8</v>
      </c>
      <c r="C3" s="10" t="s">
        <v>9</v>
      </c>
      <c r="D3" s="10" t="s">
        <v>10</v>
      </c>
      <c r="E3" s="10" t="s">
        <v>11</v>
      </c>
      <c r="F3" s="11" t="s">
        <v>12</v>
      </c>
      <c r="G3" s="11" t="s">
        <v>12</v>
      </c>
      <c r="H3" s="11" t="s">
        <v>12</v>
      </c>
      <c r="I3" s="10" t="s">
        <v>13</v>
      </c>
      <c r="J3" s="788"/>
      <c r="K3" s="734"/>
      <c r="L3" s="734"/>
      <c r="M3" s="734"/>
      <c r="N3" s="734"/>
      <c r="O3" s="734"/>
      <c r="P3" s="734"/>
      <c r="Q3" s="734"/>
    </row>
    <row r="4" ht="12.75" customHeight="1">
      <c r="A4" s="1">
        <v>24710.0</v>
      </c>
      <c r="B4" s="1" t="s">
        <v>21</v>
      </c>
      <c r="C4" s="1">
        <v>600.0</v>
      </c>
      <c r="D4" s="1" t="s">
        <v>15840</v>
      </c>
      <c r="E4" s="13" t="s">
        <v>15841</v>
      </c>
      <c r="F4" s="14">
        <v>40540.0</v>
      </c>
      <c r="G4" s="14">
        <v>40542.0</v>
      </c>
      <c r="H4" s="14">
        <v>40550.0</v>
      </c>
      <c r="I4" s="3" t="s">
        <v>15842</v>
      </c>
      <c r="J4" s="789"/>
      <c r="K4" s="181"/>
      <c r="L4" s="181"/>
      <c r="M4" s="181"/>
      <c r="N4" s="181"/>
      <c r="O4" s="181"/>
      <c r="P4" s="181"/>
      <c r="Q4" s="181"/>
    </row>
    <row r="5" ht="12.75" customHeight="1">
      <c r="A5" s="1">
        <v>24685.0</v>
      </c>
      <c r="B5" s="1" t="s">
        <v>21</v>
      </c>
      <c r="C5" s="1">
        <v>1138.0</v>
      </c>
      <c r="D5" s="1" t="s">
        <v>15843</v>
      </c>
      <c r="E5" s="13" t="s">
        <v>15844</v>
      </c>
      <c r="F5" s="14">
        <v>40538.0</v>
      </c>
      <c r="G5" s="14">
        <v>40534.0</v>
      </c>
      <c r="H5" s="14">
        <v>40542.0</v>
      </c>
      <c r="I5" s="804">
        <v>31139.4</v>
      </c>
      <c r="J5" s="789"/>
      <c r="K5" s="181"/>
      <c r="L5" s="181"/>
      <c r="M5" s="181"/>
      <c r="N5" s="181"/>
      <c r="O5" s="181"/>
      <c r="P5" s="181"/>
      <c r="Q5" s="181"/>
    </row>
    <row r="6" ht="12.75" customHeight="1">
      <c r="A6" s="1">
        <v>24694.0</v>
      </c>
      <c r="B6" s="1" t="s">
        <v>21</v>
      </c>
      <c r="C6" s="1">
        <v>768.0</v>
      </c>
      <c r="D6" s="1" t="s">
        <v>15845</v>
      </c>
      <c r="E6" s="13" t="s">
        <v>15846</v>
      </c>
      <c r="F6" s="14">
        <v>40535.0</v>
      </c>
      <c r="G6" s="14">
        <v>40534.0</v>
      </c>
      <c r="H6" s="14">
        <v>40542.0</v>
      </c>
      <c r="I6" s="13" t="s">
        <v>15847</v>
      </c>
      <c r="J6" s="789"/>
      <c r="K6" s="181"/>
      <c r="L6" s="181"/>
      <c r="M6" s="181"/>
      <c r="N6" s="181"/>
      <c r="O6" s="181"/>
      <c r="P6" s="181"/>
      <c r="Q6" s="181"/>
    </row>
    <row r="7" ht="12.75" customHeight="1">
      <c r="A7" s="1">
        <v>24703.0</v>
      </c>
      <c r="B7" s="1" t="s">
        <v>21</v>
      </c>
      <c r="C7" s="1">
        <v>960.0</v>
      </c>
      <c r="D7" s="1" t="s">
        <v>15848</v>
      </c>
      <c r="E7" s="13" t="s">
        <v>15849</v>
      </c>
      <c r="F7" s="14">
        <v>40533.0</v>
      </c>
      <c r="G7" s="14">
        <v>40532.0</v>
      </c>
      <c r="H7" s="14">
        <v>40540.0</v>
      </c>
      <c r="I7" s="3" t="s">
        <v>15850</v>
      </c>
      <c r="J7" s="789"/>
      <c r="K7" s="181"/>
      <c r="L7" s="181"/>
      <c r="M7" s="181"/>
      <c r="N7" s="181"/>
      <c r="O7" s="181"/>
      <c r="P7" s="181"/>
      <c r="Q7" s="181"/>
    </row>
    <row r="8" ht="12.75" customHeight="1">
      <c r="A8" s="1">
        <v>24449.0</v>
      </c>
      <c r="B8" s="1" t="s">
        <v>21</v>
      </c>
      <c r="C8" s="1">
        <v>940.0</v>
      </c>
      <c r="D8" s="1" t="s">
        <v>15851</v>
      </c>
      <c r="E8" s="13" t="s">
        <v>15125</v>
      </c>
      <c r="F8" s="14">
        <v>40533.0</v>
      </c>
      <c r="G8" s="14">
        <v>40532.0</v>
      </c>
      <c r="H8" s="14">
        <v>40540.0</v>
      </c>
      <c r="I8" s="3" t="s">
        <v>15852</v>
      </c>
      <c r="J8" s="789"/>
      <c r="K8" s="181"/>
      <c r="L8" s="181"/>
      <c r="M8" s="181"/>
      <c r="N8" s="181"/>
      <c r="O8" s="181"/>
      <c r="P8" s="181"/>
      <c r="Q8" s="181"/>
    </row>
    <row r="9" ht="12.75" customHeight="1">
      <c r="A9" s="1">
        <v>24674.0</v>
      </c>
      <c r="B9" s="1" t="s">
        <v>21</v>
      </c>
      <c r="C9" s="1">
        <v>220.0</v>
      </c>
      <c r="D9" s="1" t="s">
        <v>15853</v>
      </c>
      <c r="E9" s="13" t="s">
        <v>15854</v>
      </c>
      <c r="F9" s="14">
        <v>40529.0</v>
      </c>
      <c r="G9" s="14">
        <v>40527.0</v>
      </c>
      <c r="H9" s="14">
        <v>40535.0</v>
      </c>
      <c r="I9" s="13" t="s">
        <v>15855</v>
      </c>
      <c r="J9" s="789"/>
      <c r="K9" s="181"/>
      <c r="L9" s="181"/>
      <c r="M9" s="181"/>
      <c r="N9" s="181"/>
      <c r="O9" s="181"/>
      <c r="P9" s="181"/>
      <c r="Q9" s="181"/>
    </row>
    <row r="10" ht="12.75" customHeight="1">
      <c r="A10" s="1">
        <v>24588.0</v>
      </c>
      <c r="B10" s="1" t="s">
        <v>14</v>
      </c>
      <c r="C10" s="1">
        <v>1100.0</v>
      </c>
      <c r="D10" s="1" t="s">
        <v>15856</v>
      </c>
      <c r="E10" s="13" t="s">
        <v>331</v>
      </c>
      <c r="F10" s="14">
        <v>40526.0</v>
      </c>
      <c r="G10" s="14">
        <v>40529.0</v>
      </c>
      <c r="H10" s="14">
        <v>40533.0</v>
      </c>
      <c r="I10" s="3" t="s">
        <v>15857</v>
      </c>
      <c r="J10" s="789"/>
      <c r="K10" s="181"/>
      <c r="L10" s="181"/>
      <c r="M10" s="181"/>
      <c r="N10" s="181"/>
      <c r="O10" s="181"/>
      <c r="P10" s="181"/>
      <c r="Q10" s="181"/>
    </row>
    <row r="11" ht="12.75" customHeight="1">
      <c r="A11" s="1">
        <v>24629.0</v>
      </c>
      <c r="B11" s="1" t="s">
        <v>21</v>
      </c>
      <c r="C11" s="1">
        <v>935.0</v>
      </c>
      <c r="D11" s="1" t="s">
        <v>15858</v>
      </c>
      <c r="E11" s="13" t="s">
        <v>15859</v>
      </c>
      <c r="F11" s="14">
        <v>40526.0</v>
      </c>
      <c r="G11" s="14">
        <v>40527.0</v>
      </c>
      <c r="H11" s="14">
        <v>40533.0</v>
      </c>
      <c r="I11" s="805">
        <v>31137.0</v>
      </c>
      <c r="J11" s="789"/>
      <c r="K11" s="181"/>
      <c r="L11" s="181"/>
      <c r="M11" s="181"/>
      <c r="N11" s="181"/>
      <c r="O11" s="181"/>
      <c r="P11" s="181"/>
      <c r="Q11" s="181"/>
    </row>
    <row r="12" ht="12.75" customHeight="1">
      <c r="A12" s="1" t="s">
        <v>192</v>
      </c>
      <c r="B12" s="1" t="s">
        <v>21</v>
      </c>
      <c r="C12" s="1">
        <v>304.0</v>
      </c>
      <c r="D12" s="1" t="s">
        <v>15860</v>
      </c>
      <c r="E12" s="19" t="s">
        <v>15861</v>
      </c>
      <c r="F12" s="14">
        <v>40526.0</v>
      </c>
      <c r="G12" s="4" t="s">
        <v>210</v>
      </c>
      <c r="H12" s="14">
        <v>40532.0</v>
      </c>
      <c r="I12" s="13" t="s">
        <v>15862</v>
      </c>
      <c r="J12" s="789"/>
      <c r="K12" s="181"/>
      <c r="L12" s="181"/>
      <c r="M12" s="181"/>
      <c r="N12" s="181"/>
      <c r="O12" s="181"/>
      <c r="P12" s="181"/>
      <c r="Q12" s="181"/>
    </row>
    <row r="13" ht="12.75" customHeight="1">
      <c r="A13" s="1">
        <v>23981.0</v>
      </c>
      <c r="B13" s="1" t="s">
        <v>715</v>
      </c>
      <c r="C13" s="1">
        <v>1650.0</v>
      </c>
      <c r="D13" s="1" t="s">
        <v>15863</v>
      </c>
      <c r="E13" s="13" t="s">
        <v>74</v>
      </c>
      <c r="F13" s="14">
        <v>40525.0</v>
      </c>
      <c r="G13" s="14">
        <v>40533.0</v>
      </c>
      <c r="H13" s="14">
        <v>40529.0</v>
      </c>
      <c r="I13" s="3" t="s">
        <v>15864</v>
      </c>
      <c r="J13" s="789"/>
      <c r="K13" s="181"/>
      <c r="L13" s="181"/>
      <c r="M13" s="181"/>
      <c r="N13" s="181"/>
      <c r="O13" s="181"/>
      <c r="P13" s="181"/>
      <c r="Q13" s="181"/>
    </row>
    <row r="14" ht="12.75" customHeight="1">
      <c r="A14" s="1">
        <v>23973.0</v>
      </c>
      <c r="B14" s="1" t="s">
        <v>21</v>
      </c>
      <c r="C14" s="1">
        <v>1672.0</v>
      </c>
      <c r="D14" s="1" t="s">
        <v>15865</v>
      </c>
      <c r="E14" s="13" t="s">
        <v>74</v>
      </c>
      <c r="F14" s="14">
        <v>40524.0</v>
      </c>
      <c r="G14" s="14">
        <v>40527.0</v>
      </c>
      <c r="H14" s="14">
        <v>40532.0</v>
      </c>
      <c r="I14" s="3" t="s">
        <v>15866</v>
      </c>
      <c r="J14" s="789"/>
      <c r="K14" s="181"/>
      <c r="L14" s="181"/>
      <c r="M14" s="181"/>
      <c r="N14" s="181"/>
      <c r="O14" s="181"/>
      <c r="P14" s="181"/>
      <c r="Q14" s="181"/>
    </row>
    <row r="15" ht="12.75" customHeight="1">
      <c r="A15" s="1">
        <v>24123.0</v>
      </c>
      <c r="B15" s="1" t="s">
        <v>21</v>
      </c>
      <c r="C15" s="1">
        <v>825.0</v>
      </c>
      <c r="D15" s="1" t="s">
        <v>15867</v>
      </c>
      <c r="E15" s="13" t="s">
        <v>15868</v>
      </c>
      <c r="F15" s="14">
        <v>40521.0</v>
      </c>
      <c r="G15" s="14">
        <v>40522.0</v>
      </c>
      <c r="H15" s="14">
        <v>40528.0</v>
      </c>
      <c r="I15" s="3" t="s">
        <v>15869</v>
      </c>
      <c r="J15" s="789"/>
      <c r="K15" s="181"/>
      <c r="L15" s="181"/>
      <c r="M15" s="181"/>
      <c r="N15" s="181"/>
      <c r="O15" s="181"/>
      <c r="P15" s="181"/>
      <c r="Q15" s="181"/>
    </row>
    <row r="16" ht="12.75" customHeight="1">
      <c r="A16" s="1">
        <v>24616.0</v>
      </c>
      <c r="B16" s="1" t="s">
        <v>21</v>
      </c>
      <c r="C16" s="1">
        <v>1070.0</v>
      </c>
      <c r="D16" s="1" t="s">
        <v>15870</v>
      </c>
      <c r="E16" s="13" t="s">
        <v>331</v>
      </c>
      <c r="F16" s="14">
        <v>40521.0</v>
      </c>
      <c r="G16" s="14">
        <v>40520.0</v>
      </c>
      <c r="H16" s="14">
        <v>40529.0</v>
      </c>
      <c r="I16" s="3" t="s">
        <v>15871</v>
      </c>
      <c r="J16" s="789"/>
      <c r="K16" s="181"/>
      <c r="L16" s="181"/>
      <c r="M16" s="181"/>
      <c r="N16" s="181"/>
      <c r="O16" s="181"/>
      <c r="P16" s="181"/>
      <c r="Q16" s="181"/>
    </row>
    <row r="17" ht="12.75" customHeight="1">
      <c r="A17" s="1">
        <v>24511.0</v>
      </c>
      <c r="B17" s="1" t="s">
        <v>21</v>
      </c>
      <c r="C17" s="1">
        <v>320.0</v>
      </c>
      <c r="D17" s="1" t="s">
        <v>15872</v>
      </c>
      <c r="E17" s="13" t="s">
        <v>15873</v>
      </c>
      <c r="F17" s="14">
        <v>40521.0</v>
      </c>
      <c r="G17" s="14">
        <v>40520.0</v>
      </c>
      <c r="H17" s="14">
        <v>40527.0</v>
      </c>
      <c r="I17" s="3"/>
      <c r="J17" s="789"/>
      <c r="K17" s="181"/>
      <c r="L17" s="181"/>
      <c r="M17" s="181"/>
      <c r="N17" s="181"/>
      <c r="O17" s="181"/>
      <c r="P17" s="181"/>
      <c r="Q17" s="181"/>
    </row>
    <row r="18" ht="12.75" customHeight="1">
      <c r="A18" s="1">
        <v>24567.0</v>
      </c>
      <c r="B18" s="1" t="s">
        <v>14</v>
      </c>
      <c r="C18" s="1">
        <v>600.0</v>
      </c>
      <c r="D18" s="1" t="s">
        <v>15874</v>
      </c>
      <c r="E18" s="13" t="s">
        <v>15875</v>
      </c>
      <c r="F18" s="14">
        <v>40520.0</v>
      </c>
      <c r="G18" s="14">
        <v>40525.0</v>
      </c>
      <c r="H18" s="14">
        <v>40526.0</v>
      </c>
      <c r="I18" s="3" t="s">
        <v>15876</v>
      </c>
      <c r="J18" s="789"/>
      <c r="K18" s="181"/>
      <c r="L18" s="181"/>
      <c r="M18" s="181"/>
      <c r="N18" s="181"/>
      <c r="O18" s="181"/>
      <c r="P18" s="181"/>
      <c r="Q18" s="181"/>
    </row>
    <row r="19" ht="12.75" customHeight="1">
      <c r="A19" s="1">
        <v>24325.0</v>
      </c>
      <c r="B19" s="1" t="s">
        <v>21</v>
      </c>
      <c r="C19" s="1">
        <v>705.0</v>
      </c>
      <c r="D19" s="1" t="s">
        <v>15877</v>
      </c>
      <c r="E19" s="13" t="s">
        <v>376</v>
      </c>
      <c r="F19" s="14">
        <v>40520.0</v>
      </c>
      <c r="G19" s="14">
        <v>40520.0</v>
      </c>
      <c r="H19" s="14">
        <v>40534.0</v>
      </c>
      <c r="I19" s="13" t="s">
        <v>15878</v>
      </c>
      <c r="J19" s="789"/>
      <c r="K19" s="181"/>
      <c r="L19" s="181"/>
      <c r="M19" s="181"/>
      <c r="N19" s="181"/>
      <c r="O19" s="181"/>
      <c r="P19" s="181"/>
      <c r="Q19" s="181"/>
    </row>
    <row r="20" ht="12.75" customHeight="1">
      <c r="A20" s="1">
        <v>23977.0</v>
      </c>
      <c r="B20" s="1" t="s">
        <v>25</v>
      </c>
      <c r="C20" s="1">
        <v>1582.0</v>
      </c>
      <c r="D20" s="1" t="s">
        <v>15879</v>
      </c>
      <c r="E20" s="13" t="s">
        <v>74</v>
      </c>
      <c r="F20" s="14">
        <v>40517.0</v>
      </c>
      <c r="G20" s="14">
        <v>40520.0</v>
      </c>
      <c r="H20" s="14">
        <v>40525.0</v>
      </c>
      <c r="I20" s="13" t="s">
        <v>15880</v>
      </c>
      <c r="J20" s="789"/>
      <c r="K20" s="181"/>
      <c r="L20" s="181"/>
      <c r="M20" s="181"/>
      <c r="N20" s="181"/>
      <c r="O20" s="181"/>
      <c r="P20" s="181"/>
      <c r="Q20" s="181"/>
    </row>
    <row r="21" ht="12.75" customHeight="1">
      <c r="A21" s="1">
        <v>24569.0</v>
      </c>
      <c r="B21" s="1" t="s">
        <v>14</v>
      </c>
      <c r="C21" s="1">
        <v>460.0</v>
      </c>
      <c r="D21" s="1" t="s">
        <v>15881</v>
      </c>
      <c r="E21" s="13" t="s">
        <v>15882</v>
      </c>
      <c r="F21" s="14">
        <v>40517.0</v>
      </c>
      <c r="G21" s="14">
        <v>40518.0</v>
      </c>
      <c r="H21" s="14">
        <v>40522.0</v>
      </c>
      <c r="I21" s="13" t="s">
        <v>15883</v>
      </c>
      <c r="J21" s="789"/>
      <c r="K21" s="181"/>
      <c r="L21" s="181"/>
      <c r="M21" s="181"/>
      <c r="N21" s="181"/>
      <c r="O21" s="181"/>
      <c r="P21" s="181"/>
      <c r="Q21" s="181"/>
    </row>
    <row r="22" ht="12.75" customHeight="1">
      <c r="A22" s="1">
        <v>24408.0</v>
      </c>
      <c r="B22" s="1" t="s">
        <v>21</v>
      </c>
      <c r="C22" s="1">
        <v>500.0</v>
      </c>
      <c r="D22" s="1" t="s">
        <v>15884</v>
      </c>
      <c r="E22" s="13" t="s">
        <v>15885</v>
      </c>
      <c r="F22" s="14">
        <v>40516.0</v>
      </c>
      <c r="G22" s="14">
        <v>40514.0</v>
      </c>
      <c r="H22" s="14">
        <v>40522.0</v>
      </c>
      <c r="I22" s="804">
        <v>30177.6</v>
      </c>
      <c r="J22" s="789"/>
      <c r="K22" s="181"/>
      <c r="L22" s="181"/>
      <c r="M22" s="181"/>
      <c r="N22" s="181"/>
      <c r="O22" s="181"/>
      <c r="P22" s="181"/>
      <c r="Q22" s="181"/>
    </row>
    <row r="23" ht="12.75" customHeight="1">
      <c r="A23" s="1">
        <v>24559.0</v>
      </c>
      <c r="B23" s="1" t="s">
        <v>21</v>
      </c>
      <c r="C23" s="1">
        <v>600.0</v>
      </c>
      <c r="D23" s="1" t="s">
        <v>15886</v>
      </c>
      <c r="E23" s="13" t="s">
        <v>15875</v>
      </c>
      <c r="F23" s="14">
        <v>40513.0</v>
      </c>
      <c r="G23" s="14">
        <v>40518.0</v>
      </c>
      <c r="H23" s="14">
        <v>40526.0</v>
      </c>
      <c r="I23" s="804">
        <v>43299.5</v>
      </c>
      <c r="J23" s="789"/>
      <c r="K23" s="181"/>
      <c r="L23" s="181"/>
      <c r="M23" s="181"/>
      <c r="N23" s="181"/>
      <c r="O23" s="181"/>
      <c r="P23" s="181"/>
      <c r="Q23" s="181"/>
    </row>
    <row r="24" ht="12.75" customHeight="1">
      <c r="A24" s="1">
        <v>24607.0</v>
      </c>
      <c r="B24" s="1" t="s">
        <v>21</v>
      </c>
      <c r="C24" s="1">
        <v>910.0</v>
      </c>
      <c r="D24" s="1" t="s">
        <v>15887</v>
      </c>
      <c r="E24" s="13" t="s">
        <v>15888</v>
      </c>
      <c r="F24" s="14">
        <v>40512.0</v>
      </c>
      <c r="G24" s="14">
        <v>40514.0</v>
      </c>
      <c r="H24" s="14">
        <v>40518.0</v>
      </c>
      <c r="I24" s="804">
        <v>39571.3</v>
      </c>
      <c r="J24" s="789"/>
      <c r="K24" s="181"/>
      <c r="L24" s="181"/>
      <c r="M24" s="181"/>
      <c r="N24" s="181"/>
      <c r="O24" s="181"/>
      <c r="P24" s="181"/>
      <c r="Q24" s="181"/>
    </row>
    <row r="25" ht="12.75" customHeight="1">
      <c r="A25" s="1">
        <v>24544.0</v>
      </c>
      <c r="B25" s="1" t="s">
        <v>21</v>
      </c>
      <c r="C25" s="6">
        <v>680.0</v>
      </c>
      <c r="D25" s="1" t="s">
        <v>15889</v>
      </c>
      <c r="E25" s="13" t="s">
        <v>15890</v>
      </c>
      <c r="F25" s="14">
        <v>40508.0</v>
      </c>
      <c r="G25" s="14">
        <v>40506.0</v>
      </c>
      <c r="H25" s="14">
        <v>40514.0</v>
      </c>
      <c r="I25" s="805">
        <v>34806.0</v>
      </c>
      <c r="J25" s="789"/>
      <c r="K25" s="181"/>
      <c r="L25" s="181"/>
      <c r="M25" s="181"/>
      <c r="N25" s="181"/>
      <c r="O25" s="181"/>
      <c r="P25" s="181"/>
      <c r="Q25" s="181"/>
    </row>
    <row r="26" ht="12.75" customHeight="1">
      <c r="A26" s="1">
        <v>24538.0</v>
      </c>
      <c r="B26" s="1" t="s">
        <v>14</v>
      </c>
      <c r="C26" s="1">
        <v>1070.0</v>
      </c>
      <c r="D26" s="1" t="s">
        <v>15891</v>
      </c>
      <c r="E26" s="13" t="s">
        <v>331</v>
      </c>
      <c r="F26" s="14">
        <v>40506.0</v>
      </c>
      <c r="G26" s="14">
        <v>40506.0</v>
      </c>
      <c r="H26" s="14">
        <v>40515.0</v>
      </c>
      <c r="I26" s="3" t="s">
        <v>15892</v>
      </c>
      <c r="J26" s="789"/>
      <c r="K26" s="181"/>
      <c r="L26" s="181"/>
      <c r="M26" s="181"/>
      <c r="N26" s="181"/>
      <c r="O26" s="181"/>
      <c r="P26" s="181"/>
      <c r="Q26" s="181"/>
    </row>
    <row r="27" ht="12.75" customHeight="1">
      <c r="A27" s="1" t="s">
        <v>192</v>
      </c>
      <c r="B27" s="1" t="s">
        <v>21</v>
      </c>
      <c r="C27" s="6" t="s">
        <v>15893</v>
      </c>
      <c r="D27" s="1" t="s">
        <v>15894</v>
      </c>
      <c r="E27" s="13" t="s">
        <v>15895</v>
      </c>
      <c r="F27" s="14">
        <v>40504.0</v>
      </c>
      <c r="G27" s="14">
        <v>40505.0</v>
      </c>
      <c r="H27" s="14">
        <v>40508.0</v>
      </c>
      <c r="I27" s="3" t="s">
        <v>15896</v>
      </c>
      <c r="J27" s="789"/>
      <c r="K27" s="181"/>
      <c r="L27" s="181"/>
      <c r="M27" s="181"/>
      <c r="N27" s="181"/>
      <c r="O27" s="181"/>
      <c r="P27" s="181"/>
      <c r="Q27" s="181"/>
    </row>
    <row r="28" ht="12.75" customHeight="1">
      <c r="A28" s="1">
        <v>23972.0</v>
      </c>
      <c r="B28" s="1" t="s">
        <v>21</v>
      </c>
      <c r="C28" s="1">
        <v>1612.0</v>
      </c>
      <c r="D28" s="1" t="s">
        <v>15897</v>
      </c>
      <c r="E28" s="13" t="s">
        <v>74</v>
      </c>
      <c r="F28" s="14">
        <v>40503.0</v>
      </c>
      <c r="G28" s="14">
        <v>40505.0</v>
      </c>
      <c r="H28" s="14">
        <v>40511.0</v>
      </c>
      <c r="I28" s="3"/>
      <c r="J28" s="789"/>
      <c r="K28" s="181"/>
      <c r="L28" s="181"/>
      <c r="M28" s="181"/>
      <c r="N28" s="181"/>
      <c r="O28" s="181"/>
      <c r="P28" s="181"/>
      <c r="Q28" s="181"/>
    </row>
    <row r="29" ht="12.75" customHeight="1">
      <c r="A29" s="1">
        <v>24562.0</v>
      </c>
      <c r="B29" s="1" t="s">
        <v>21</v>
      </c>
      <c r="C29" s="1">
        <v>320.0</v>
      </c>
      <c r="D29" s="1" t="s">
        <v>15898</v>
      </c>
      <c r="E29" s="13" t="s">
        <v>15047</v>
      </c>
      <c r="F29" s="14">
        <v>40503.0</v>
      </c>
      <c r="G29" s="14">
        <v>40505.0</v>
      </c>
      <c r="H29" s="14">
        <v>40512.0</v>
      </c>
      <c r="I29" s="804">
        <v>49108.8</v>
      </c>
      <c r="J29" s="789"/>
      <c r="K29" s="181"/>
      <c r="L29" s="181"/>
      <c r="M29" s="181"/>
      <c r="N29" s="181"/>
      <c r="O29" s="181"/>
      <c r="P29" s="181"/>
      <c r="Q29" s="181"/>
    </row>
    <row r="30" ht="12.75" customHeight="1">
      <c r="A30" s="1">
        <v>24404.0</v>
      </c>
      <c r="B30" s="1" t="s">
        <v>14</v>
      </c>
      <c r="C30" s="1">
        <v>1700.0</v>
      </c>
      <c r="D30" s="1" t="s">
        <v>15899</v>
      </c>
      <c r="E30" s="13" t="s">
        <v>15900</v>
      </c>
      <c r="F30" s="14">
        <v>40502.0</v>
      </c>
      <c r="G30" s="14">
        <v>40506.0</v>
      </c>
      <c r="H30" s="14">
        <v>40505.0</v>
      </c>
      <c r="I30" s="3"/>
      <c r="J30" s="789"/>
      <c r="K30" s="181"/>
      <c r="L30" s="181"/>
      <c r="M30" s="181"/>
      <c r="N30" s="181"/>
      <c r="O30" s="181"/>
      <c r="P30" s="181"/>
      <c r="Q30" s="181"/>
    </row>
    <row r="31" ht="12.75" customHeight="1">
      <c r="A31" s="1">
        <v>24513.0</v>
      </c>
      <c r="B31" s="1" t="s">
        <v>14</v>
      </c>
      <c r="C31" s="1">
        <v>1692.0</v>
      </c>
      <c r="D31" s="1" t="s">
        <v>15901</v>
      </c>
      <c r="E31" s="13" t="s">
        <v>15902</v>
      </c>
      <c r="F31" s="14">
        <v>40501.0</v>
      </c>
      <c r="G31" s="14">
        <v>40506.0</v>
      </c>
      <c r="H31" s="14">
        <v>40511.0</v>
      </c>
      <c r="I31" s="806">
        <v>33095.04</v>
      </c>
      <c r="J31" s="789"/>
      <c r="K31" s="181"/>
      <c r="L31" s="181"/>
      <c r="M31" s="181"/>
      <c r="N31" s="181"/>
      <c r="O31" s="181"/>
      <c r="P31" s="181"/>
      <c r="Q31" s="181"/>
    </row>
    <row r="32" ht="12.75" customHeight="1">
      <c r="A32" s="1">
        <v>24515.0</v>
      </c>
      <c r="B32" s="1" t="s">
        <v>21</v>
      </c>
      <c r="C32" s="1">
        <v>454.0</v>
      </c>
      <c r="D32" s="1" t="s">
        <v>15903</v>
      </c>
      <c r="E32" s="13" t="s">
        <v>15904</v>
      </c>
      <c r="F32" s="14">
        <v>40501.0</v>
      </c>
      <c r="G32" s="14">
        <v>40499.0</v>
      </c>
      <c r="H32" s="14">
        <v>40511.0</v>
      </c>
      <c r="I32" s="3" t="s">
        <v>15905</v>
      </c>
      <c r="J32" s="789"/>
      <c r="K32" s="181"/>
      <c r="L32" s="181"/>
      <c r="M32" s="181"/>
      <c r="N32" s="181"/>
      <c r="O32" s="181"/>
      <c r="P32" s="181"/>
      <c r="Q32" s="181"/>
    </row>
    <row r="33" ht="12.75" customHeight="1">
      <c r="A33" s="1">
        <v>23976.0</v>
      </c>
      <c r="B33" s="1" t="s">
        <v>25</v>
      </c>
      <c r="C33" s="1">
        <v>1604.0</v>
      </c>
      <c r="D33" s="1" t="s">
        <v>15906</v>
      </c>
      <c r="E33" s="13" t="s">
        <v>74</v>
      </c>
      <c r="F33" s="14">
        <v>40501.0</v>
      </c>
      <c r="G33" s="14">
        <v>40499.0</v>
      </c>
      <c r="H33" s="14">
        <v>40505.0</v>
      </c>
      <c r="I33" s="3"/>
      <c r="J33" s="789"/>
      <c r="K33" s="181"/>
      <c r="L33" s="181"/>
      <c r="M33" s="181"/>
      <c r="N33" s="181"/>
      <c r="O33" s="181"/>
      <c r="P33" s="181"/>
      <c r="Q33" s="181"/>
    </row>
    <row r="34" ht="12.75" customHeight="1">
      <c r="A34" s="1">
        <v>1301.0</v>
      </c>
      <c r="B34" s="1" t="s">
        <v>21</v>
      </c>
      <c r="C34" s="1">
        <v>680.0</v>
      </c>
      <c r="D34" s="1" t="s">
        <v>15907</v>
      </c>
      <c r="E34" s="13" t="s">
        <v>15908</v>
      </c>
      <c r="F34" s="14">
        <v>40501.0</v>
      </c>
      <c r="G34" s="14">
        <v>40499.0</v>
      </c>
      <c r="H34" s="14">
        <v>40506.0</v>
      </c>
      <c r="I34" s="805">
        <v>29376.0</v>
      </c>
      <c r="J34" s="789"/>
      <c r="K34" s="181"/>
      <c r="L34" s="181"/>
      <c r="M34" s="181"/>
      <c r="N34" s="181"/>
      <c r="O34" s="181"/>
      <c r="P34" s="181"/>
      <c r="Q34" s="181"/>
    </row>
    <row r="35" ht="12.75" customHeight="1">
      <c r="A35" s="1">
        <v>24512.0</v>
      </c>
      <c r="B35" s="1" t="s">
        <v>14</v>
      </c>
      <c r="C35" s="1">
        <v>280.0</v>
      </c>
      <c r="D35" s="1" t="s">
        <v>15909</v>
      </c>
      <c r="E35" s="13" t="s">
        <v>15910</v>
      </c>
      <c r="F35" s="14">
        <v>40499.0</v>
      </c>
      <c r="G35" s="14">
        <v>40500.0</v>
      </c>
      <c r="H35" s="14">
        <v>40511.0</v>
      </c>
      <c r="I35" s="804">
        <v>43263.5</v>
      </c>
      <c r="J35" s="789"/>
      <c r="K35" s="181"/>
      <c r="L35" s="181"/>
      <c r="M35" s="181"/>
      <c r="N35" s="181"/>
      <c r="O35" s="181"/>
      <c r="P35" s="181"/>
      <c r="Q35" s="181"/>
    </row>
    <row r="36" ht="12.75" customHeight="1">
      <c r="A36" s="1">
        <v>24321.0</v>
      </c>
      <c r="B36" s="1" t="s">
        <v>21</v>
      </c>
      <c r="C36" s="1">
        <v>530.0</v>
      </c>
      <c r="D36" s="1" t="s">
        <v>15911</v>
      </c>
      <c r="E36" s="13" t="s">
        <v>15885</v>
      </c>
      <c r="F36" s="14">
        <v>40498.0</v>
      </c>
      <c r="G36" s="14">
        <v>40497.0</v>
      </c>
      <c r="H36" s="14">
        <v>40505.0</v>
      </c>
      <c r="I36" s="13"/>
      <c r="J36" s="789"/>
      <c r="K36" s="181"/>
      <c r="L36" s="181"/>
      <c r="M36" s="181"/>
      <c r="N36" s="181"/>
      <c r="O36" s="181"/>
      <c r="P36" s="181"/>
      <c r="Q36" s="181"/>
    </row>
    <row r="37" ht="12.75" customHeight="1">
      <c r="A37" s="1">
        <v>23980.0</v>
      </c>
      <c r="B37" s="1" t="s">
        <v>14</v>
      </c>
      <c r="C37" s="1">
        <v>1692.0</v>
      </c>
      <c r="D37" s="1" t="s">
        <v>15912</v>
      </c>
      <c r="E37" s="13" t="s">
        <v>74</v>
      </c>
      <c r="F37" s="14">
        <v>40497.0</v>
      </c>
      <c r="G37" s="14">
        <v>40499.0</v>
      </c>
      <c r="H37" s="14">
        <v>40501.0</v>
      </c>
      <c r="I37" s="3"/>
      <c r="J37" s="789"/>
      <c r="K37" s="181"/>
      <c r="L37" s="181"/>
      <c r="M37" s="181"/>
      <c r="N37" s="181"/>
      <c r="O37" s="181"/>
      <c r="P37" s="181"/>
      <c r="Q37" s="181"/>
    </row>
    <row r="38" ht="12.75" customHeight="1">
      <c r="A38" s="1">
        <v>24539.0</v>
      </c>
      <c r="B38" s="1" t="s">
        <v>21</v>
      </c>
      <c r="C38" s="1">
        <v>1070.0</v>
      </c>
      <c r="D38" s="1" t="s">
        <v>15913</v>
      </c>
      <c r="E38" s="13" t="s">
        <v>331</v>
      </c>
      <c r="F38" s="14">
        <v>40493.0</v>
      </c>
      <c r="G38" s="14">
        <v>40494.0</v>
      </c>
      <c r="H38" s="14">
        <v>40499.0</v>
      </c>
      <c r="I38" s="13" t="s">
        <v>15914</v>
      </c>
      <c r="J38" s="789"/>
      <c r="K38" s="181"/>
      <c r="L38" s="181"/>
      <c r="M38" s="181"/>
      <c r="N38" s="181"/>
      <c r="O38" s="181"/>
      <c r="P38" s="181"/>
      <c r="Q38" s="181"/>
    </row>
    <row r="39" ht="12.75" customHeight="1">
      <c r="A39" s="1">
        <v>24234.0</v>
      </c>
      <c r="B39" s="1" t="s">
        <v>21</v>
      </c>
      <c r="C39" s="1">
        <v>532.0</v>
      </c>
      <c r="D39" s="1" t="s">
        <v>15915</v>
      </c>
      <c r="E39" s="13" t="s">
        <v>15916</v>
      </c>
      <c r="F39" s="14">
        <v>40485.0</v>
      </c>
      <c r="G39" s="14">
        <v>40486.0</v>
      </c>
      <c r="H39" s="14">
        <v>40492.0</v>
      </c>
      <c r="I39" s="13" t="s">
        <v>15917</v>
      </c>
      <c r="J39" s="789"/>
      <c r="K39" s="181"/>
      <c r="L39" s="181"/>
      <c r="M39" s="181"/>
      <c r="N39" s="181"/>
      <c r="O39" s="181"/>
      <c r="P39" s="181"/>
      <c r="Q39" s="181"/>
    </row>
    <row r="40" ht="12.75" customHeight="1">
      <c r="A40" s="1">
        <v>24219.0</v>
      </c>
      <c r="B40" s="1" t="s">
        <v>21</v>
      </c>
      <c r="C40" s="1">
        <v>940.0</v>
      </c>
      <c r="D40" s="1" t="s">
        <v>15918</v>
      </c>
      <c r="E40" s="13" t="s">
        <v>15919</v>
      </c>
      <c r="F40" s="14">
        <v>40484.0</v>
      </c>
      <c r="G40" s="14">
        <v>40486.0</v>
      </c>
      <c r="H40" s="14">
        <v>40490.0</v>
      </c>
      <c r="I40" s="13" t="s">
        <v>15920</v>
      </c>
      <c r="J40" s="789"/>
      <c r="K40" s="181"/>
      <c r="L40" s="181"/>
      <c r="M40" s="181"/>
      <c r="N40" s="181"/>
      <c r="O40" s="181"/>
      <c r="P40" s="181"/>
      <c r="Q40" s="181"/>
    </row>
    <row r="41" ht="12.75" customHeight="1">
      <c r="A41" s="1" t="s">
        <v>192</v>
      </c>
      <c r="B41" s="1" t="s">
        <v>21</v>
      </c>
      <c r="C41" s="1">
        <v>182.0</v>
      </c>
      <c r="D41" s="1" t="s">
        <v>15921</v>
      </c>
      <c r="E41" s="13" t="s">
        <v>15922</v>
      </c>
      <c r="F41" s="14">
        <v>40483.0</v>
      </c>
      <c r="G41" s="4" t="s">
        <v>210</v>
      </c>
      <c r="H41" s="14">
        <v>40493.0</v>
      </c>
      <c r="I41" s="793" t="s">
        <v>15923</v>
      </c>
      <c r="J41" s="789"/>
      <c r="K41" s="181"/>
      <c r="L41" s="181"/>
      <c r="M41" s="181"/>
      <c r="N41" s="181"/>
      <c r="O41" s="181"/>
      <c r="P41" s="181"/>
      <c r="Q41" s="181"/>
    </row>
    <row r="42" ht="12.75" customHeight="1">
      <c r="A42" s="1">
        <v>24015.0</v>
      </c>
      <c r="B42" s="1" t="s">
        <v>14</v>
      </c>
      <c r="C42" s="1">
        <v>350.0</v>
      </c>
      <c r="D42" s="1" t="s">
        <v>15924</v>
      </c>
      <c r="E42" s="13" t="s">
        <v>15925</v>
      </c>
      <c r="F42" s="14">
        <v>40483.0</v>
      </c>
      <c r="G42" s="14">
        <v>40492.0</v>
      </c>
      <c r="H42" s="14">
        <v>40485.0</v>
      </c>
      <c r="I42" s="793" t="s">
        <v>15926</v>
      </c>
      <c r="J42" s="789"/>
      <c r="K42" s="181"/>
      <c r="L42" s="181"/>
      <c r="M42" s="181"/>
      <c r="N42" s="181"/>
      <c r="O42" s="181"/>
      <c r="P42" s="181"/>
      <c r="Q42" s="181"/>
    </row>
    <row r="43" ht="12.75" customHeight="1">
      <c r="A43" s="1">
        <v>24283.0</v>
      </c>
      <c r="B43" s="1" t="s">
        <v>21</v>
      </c>
      <c r="C43" s="1">
        <v>496.0</v>
      </c>
      <c r="D43" s="1" t="s">
        <v>15927</v>
      </c>
      <c r="E43" s="13" t="s">
        <v>347</v>
      </c>
      <c r="F43" s="14">
        <v>40479.0</v>
      </c>
      <c r="G43" s="14">
        <v>40478.0</v>
      </c>
      <c r="H43" s="14">
        <v>40487.0</v>
      </c>
      <c r="I43" s="3" t="s">
        <v>15928</v>
      </c>
      <c r="J43" s="789"/>
      <c r="K43" s="181"/>
      <c r="L43" s="181"/>
      <c r="M43" s="181"/>
      <c r="N43" s="181"/>
      <c r="O43" s="181"/>
      <c r="P43" s="181"/>
      <c r="Q43" s="181"/>
    </row>
    <row r="44" ht="12.0" customHeight="1">
      <c r="A44" s="1">
        <v>24158.0</v>
      </c>
      <c r="B44" s="1" t="s">
        <v>715</v>
      </c>
      <c r="C44" s="1">
        <v>167.0</v>
      </c>
      <c r="D44" s="1" t="s">
        <v>15929</v>
      </c>
      <c r="E44" s="13" t="s">
        <v>12622</v>
      </c>
      <c r="F44" s="14">
        <v>40478.0</v>
      </c>
      <c r="G44" s="14">
        <v>40486.0</v>
      </c>
      <c r="H44" s="14">
        <v>40480.0</v>
      </c>
      <c r="I44" s="793" t="s">
        <v>15930</v>
      </c>
      <c r="J44" s="789"/>
      <c r="K44" s="181"/>
      <c r="L44" s="181"/>
      <c r="M44" s="181"/>
      <c r="N44" s="181"/>
      <c r="O44" s="181"/>
      <c r="P44" s="181"/>
      <c r="Q44" s="181"/>
    </row>
    <row r="45" ht="12.75" customHeight="1">
      <c r="A45" s="1">
        <v>23902.0</v>
      </c>
      <c r="B45" s="1" t="s">
        <v>21</v>
      </c>
      <c r="C45" s="1">
        <v>144.0</v>
      </c>
      <c r="D45" s="1" t="s">
        <v>15931</v>
      </c>
      <c r="E45" s="13" t="s">
        <v>15932</v>
      </c>
      <c r="F45" s="14">
        <v>40477.0</v>
      </c>
      <c r="G45" s="14">
        <v>40479.0</v>
      </c>
      <c r="H45" s="14">
        <v>40487.0</v>
      </c>
      <c r="I45" s="793" t="s">
        <v>15933</v>
      </c>
      <c r="J45" s="789"/>
      <c r="K45" s="181"/>
      <c r="L45" s="181"/>
      <c r="M45" s="181"/>
      <c r="N45" s="181"/>
      <c r="O45" s="181"/>
      <c r="P45" s="181"/>
      <c r="Q45" s="181"/>
    </row>
    <row r="46" ht="12.75" customHeight="1">
      <c r="A46" s="1">
        <v>23902.0</v>
      </c>
      <c r="B46" s="1" t="s">
        <v>21</v>
      </c>
      <c r="C46" s="1">
        <v>150.0</v>
      </c>
      <c r="D46" s="1" t="s">
        <v>15931</v>
      </c>
      <c r="E46" s="13" t="s">
        <v>15934</v>
      </c>
      <c r="F46" s="14">
        <v>40477.0</v>
      </c>
      <c r="G46" s="14">
        <v>40479.0</v>
      </c>
      <c r="H46" s="14">
        <v>40487.0</v>
      </c>
      <c r="I46" s="807" t="s">
        <v>15935</v>
      </c>
      <c r="J46" s="789"/>
      <c r="K46" s="181"/>
      <c r="L46" s="181"/>
      <c r="M46" s="181"/>
      <c r="N46" s="181"/>
      <c r="O46" s="181"/>
      <c r="P46" s="181"/>
      <c r="Q46" s="181"/>
    </row>
    <row r="47" ht="12.75" customHeight="1">
      <c r="A47" s="1" t="s">
        <v>192</v>
      </c>
      <c r="B47" s="1" t="s">
        <v>21</v>
      </c>
      <c r="C47" s="1">
        <v>1082.0</v>
      </c>
      <c r="D47" s="1" t="s">
        <v>15936</v>
      </c>
      <c r="E47" s="13" t="s">
        <v>15937</v>
      </c>
      <c r="F47" s="14">
        <v>40476.0</v>
      </c>
      <c r="G47" s="14">
        <v>40479.0</v>
      </c>
      <c r="H47" s="14">
        <v>40483.0</v>
      </c>
      <c r="I47" s="793" t="s">
        <v>15938</v>
      </c>
      <c r="J47" s="789"/>
      <c r="K47" s="181"/>
      <c r="L47" s="181"/>
      <c r="M47" s="181"/>
      <c r="N47" s="181"/>
      <c r="O47" s="181"/>
      <c r="P47" s="181"/>
      <c r="Q47" s="181"/>
    </row>
    <row r="48" ht="12.75" customHeight="1">
      <c r="A48" s="1">
        <v>24281.0</v>
      </c>
      <c r="B48" s="1" t="s">
        <v>21</v>
      </c>
      <c r="C48" s="1">
        <v>300.0</v>
      </c>
      <c r="D48" s="1" t="s">
        <v>15939</v>
      </c>
      <c r="E48" s="13" t="s">
        <v>15940</v>
      </c>
      <c r="F48" s="14">
        <v>40476.0</v>
      </c>
      <c r="G48" s="14">
        <v>40476.0</v>
      </c>
      <c r="H48" s="14">
        <v>40479.0</v>
      </c>
      <c r="I48" s="3"/>
      <c r="J48" s="789"/>
      <c r="K48" s="181"/>
      <c r="L48" s="181"/>
      <c r="M48" s="181"/>
      <c r="N48" s="181"/>
      <c r="O48" s="181"/>
      <c r="P48" s="181"/>
      <c r="Q48" s="181"/>
    </row>
    <row r="49" ht="12.75" customHeight="1">
      <c r="A49" s="1">
        <v>24395.0</v>
      </c>
      <c r="B49" s="1" t="s">
        <v>14</v>
      </c>
      <c r="C49" s="1">
        <v>1820.0</v>
      </c>
      <c r="D49" s="1" t="s">
        <v>15941</v>
      </c>
      <c r="E49" s="13" t="s">
        <v>15942</v>
      </c>
      <c r="F49" s="14">
        <v>40475.0</v>
      </c>
      <c r="G49" s="14">
        <v>40486.0</v>
      </c>
      <c r="H49" s="14">
        <v>40484.0</v>
      </c>
      <c r="I49" s="793" t="s">
        <v>15943</v>
      </c>
      <c r="J49" s="789"/>
      <c r="K49" s="181"/>
      <c r="L49" s="181"/>
      <c r="M49" s="181"/>
      <c r="N49" s="181"/>
      <c r="O49" s="181"/>
      <c r="P49" s="181"/>
      <c r="Q49" s="181"/>
    </row>
    <row r="50" ht="14.25" customHeight="1">
      <c r="A50" s="1">
        <v>24174.0</v>
      </c>
      <c r="B50" s="1" t="s">
        <v>21</v>
      </c>
      <c r="C50" s="1">
        <v>500.0</v>
      </c>
      <c r="D50" s="1" t="s">
        <v>15944</v>
      </c>
      <c r="E50" s="13" t="s">
        <v>15945</v>
      </c>
      <c r="F50" s="14">
        <v>40470.0</v>
      </c>
      <c r="G50" s="14">
        <v>40472.0</v>
      </c>
      <c r="H50" s="14">
        <v>40478.0</v>
      </c>
      <c r="I50" s="13"/>
      <c r="J50" s="789"/>
      <c r="K50" s="181"/>
      <c r="L50" s="181"/>
      <c r="M50" s="181"/>
      <c r="N50" s="181"/>
      <c r="O50" s="181"/>
      <c r="P50" s="181"/>
      <c r="Q50" s="181"/>
    </row>
    <row r="51" ht="12.75" customHeight="1">
      <c r="A51" s="1">
        <v>24399.0</v>
      </c>
      <c r="B51" s="1" t="s">
        <v>21</v>
      </c>
      <c r="C51" s="1">
        <v>1070.0</v>
      </c>
      <c r="D51" s="1" t="s">
        <v>15946</v>
      </c>
      <c r="E51" s="13" t="s">
        <v>331</v>
      </c>
      <c r="F51" s="14">
        <v>40467.0</v>
      </c>
      <c r="G51" s="14">
        <v>40466.0</v>
      </c>
      <c r="H51" s="14">
        <v>40472.0</v>
      </c>
      <c r="I51" s="807" t="s">
        <v>15947</v>
      </c>
      <c r="J51" s="789"/>
      <c r="K51" s="181"/>
      <c r="L51" s="181"/>
      <c r="M51" s="181"/>
      <c r="N51" s="181"/>
      <c r="O51" s="181"/>
      <c r="P51" s="181"/>
      <c r="Q51" s="181"/>
    </row>
    <row r="52" ht="12.75" customHeight="1">
      <c r="A52" s="1">
        <v>24350.0</v>
      </c>
      <c r="B52" s="1" t="s">
        <v>14</v>
      </c>
      <c r="C52" s="1">
        <v>1080.0</v>
      </c>
      <c r="D52" s="1" t="s">
        <v>15948</v>
      </c>
      <c r="E52" s="13" t="s">
        <v>331</v>
      </c>
      <c r="F52" s="14">
        <v>40464.0</v>
      </c>
      <c r="G52" s="16">
        <v>40527.0</v>
      </c>
      <c r="H52" s="14">
        <v>40471.0</v>
      </c>
      <c r="I52" s="13" t="s">
        <v>15949</v>
      </c>
      <c r="J52" s="789"/>
      <c r="K52" s="181"/>
      <c r="L52" s="181"/>
      <c r="M52" s="181"/>
      <c r="N52" s="181"/>
      <c r="O52" s="181"/>
      <c r="P52" s="181"/>
      <c r="Q52" s="181"/>
    </row>
    <row r="53" ht="12.75" customHeight="1">
      <c r="A53" s="1">
        <v>23971.0</v>
      </c>
      <c r="B53" s="1" t="s">
        <v>21</v>
      </c>
      <c r="C53" s="1">
        <v>1872.0</v>
      </c>
      <c r="D53" s="1" t="s">
        <v>15950</v>
      </c>
      <c r="E53" s="13" t="s">
        <v>74</v>
      </c>
      <c r="F53" s="14">
        <v>40463.0</v>
      </c>
      <c r="G53" s="14">
        <v>40466.0</v>
      </c>
      <c r="H53" s="14">
        <v>40465.0</v>
      </c>
      <c r="I53" s="3"/>
      <c r="J53" s="789"/>
      <c r="K53" s="181"/>
      <c r="L53" s="181"/>
      <c r="M53" s="181"/>
      <c r="N53" s="181"/>
      <c r="O53" s="181"/>
      <c r="P53" s="181"/>
      <c r="Q53" s="181"/>
    </row>
    <row r="54" ht="12.75" customHeight="1">
      <c r="A54" s="1">
        <v>23979.0</v>
      </c>
      <c r="B54" s="1" t="s">
        <v>14</v>
      </c>
      <c r="C54" s="1">
        <v>2057.0</v>
      </c>
      <c r="D54" s="1" t="s">
        <v>15951</v>
      </c>
      <c r="E54" s="13" t="s">
        <v>74</v>
      </c>
      <c r="F54" s="14">
        <v>40462.0</v>
      </c>
      <c r="G54" s="14">
        <v>40464.0</v>
      </c>
      <c r="H54" s="14">
        <v>40464.0</v>
      </c>
      <c r="I54" s="13"/>
      <c r="J54" s="789"/>
      <c r="K54" s="181"/>
      <c r="L54" s="181"/>
      <c r="M54" s="181"/>
      <c r="N54" s="181"/>
      <c r="O54" s="181"/>
      <c r="P54" s="181"/>
      <c r="Q54" s="181"/>
    </row>
    <row r="55" ht="12.75" customHeight="1">
      <c r="A55" s="1" t="s">
        <v>192</v>
      </c>
      <c r="B55" s="1" t="s">
        <v>21</v>
      </c>
      <c r="C55" s="1">
        <v>312.0</v>
      </c>
      <c r="D55" s="1" t="s">
        <v>15952</v>
      </c>
      <c r="E55" s="13" t="s">
        <v>15953</v>
      </c>
      <c r="F55" s="14">
        <v>40462.0</v>
      </c>
      <c r="G55" s="4" t="s">
        <v>210</v>
      </c>
      <c r="H55" s="16">
        <v>40469.0</v>
      </c>
      <c r="I55" s="793" t="s">
        <v>15954</v>
      </c>
      <c r="J55" s="789"/>
      <c r="K55" s="181"/>
      <c r="L55" s="181"/>
      <c r="M55" s="181"/>
      <c r="N55" s="181"/>
      <c r="O55" s="181"/>
      <c r="P55" s="181"/>
      <c r="Q55" s="181"/>
    </row>
    <row r="56" ht="12.75" customHeight="1">
      <c r="A56" s="1">
        <v>24305.0</v>
      </c>
      <c r="B56" s="1" t="s">
        <v>21</v>
      </c>
      <c r="C56" s="1">
        <v>755.0</v>
      </c>
      <c r="D56" s="1" t="s">
        <v>15955</v>
      </c>
      <c r="E56" s="13" t="s">
        <v>15956</v>
      </c>
      <c r="F56" s="14">
        <v>40457.0</v>
      </c>
      <c r="G56" s="14">
        <v>40459.0</v>
      </c>
      <c r="H56" s="14">
        <v>40465.0</v>
      </c>
      <c r="I56" s="3"/>
      <c r="J56" s="789"/>
      <c r="K56" s="181"/>
      <c r="L56" s="181"/>
      <c r="M56" s="181"/>
      <c r="N56" s="181"/>
      <c r="O56" s="181"/>
      <c r="P56" s="181"/>
      <c r="Q56" s="181"/>
    </row>
    <row r="57" ht="12.75" customHeight="1">
      <c r="A57" s="1">
        <v>24108.0</v>
      </c>
      <c r="B57" s="1" t="s">
        <v>21</v>
      </c>
      <c r="C57" s="1">
        <v>1700.0</v>
      </c>
      <c r="D57" s="1" t="s">
        <v>15957</v>
      </c>
      <c r="E57" s="13" t="s">
        <v>9041</v>
      </c>
      <c r="F57" s="14">
        <v>40455.0</v>
      </c>
      <c r="G57" s="14">
        <v>40464.0</v>
      </c>
      <c r="H57" s="14">
        <v>40464.0</v>
      </c>
      <c r="I57" s="3"/>
      <c r="J57" s="789"/>
      <c r="K57" s="181"/>
      <c r="L57" s="181"/>
      <c r="M57" s="181"/>
      <c r="N57" s="181"/>
      <c r="O57" s="181"/>
      <c r="P57" s="181"/>
      <c r="Q57" s="181"/>
    </row>
    <row r="58" ht="12.75" customHeight="1">
      <c r="A58" s="1">
        <v>23975.0</v>
      </c>
      <c r="B58" s="1" t="s">
        <v>25</v>
      </c>
      <c r="C58" s="1">
        <v>1622.0</v>
      </c>
      <c r="D58" s="1" t="s">
        <v>15958</v>
      </c>
      <c r="E58" s="13" t="s">
        <v>74</v>
      </c>
      <c r="F58" s="14">
        <v>40449.0</v>
      </c>
      <c r="G58" s="14">
        <v>40449.0</v>
      </c>
      <c r="H58" s="14">
        <v>40450.0</v>
      </c>
      <c r="I58" s="3"/>
      <c r="J58" s="789"/>
      <c r="K58" s="181"/>
      <c r="L58" s="181"/>
      <c r="M58" s="181"/>
      <c r="N58" s="181"/>
      <c r="O58" s="181"/>
      <c r="P58" s="181"/>
      <c r="Q58" s="181"/>
    </row>
    <row r="59" ht="12.75" customHeight="1">
      <c r="A59" s="1">
        <v>24349.0</v>
      </c>
      <c r="B59" s="1" t="s">
        <v>25</v>
      </c>
      <c r="C59" s="1">
        <v>1677.0</v>
      </c>
      <c r="D59" s="1" t="s">
        <v>15959</v>
      </c>
      <c r="E59" s="13" t="s">
        <v>15942</v>
      </c>
      <c r="F59" s="14">
        <v>40448.0</v>
      </c>
      <c r="G59" s="14">
        <v>40449.0</v>
      </c>
      <c r="H59" s="14">
        <v>40452.0</v>
      </c>
      <c r="I59" s="3"/>
      <c r="J59" s="789"/>
      <c r="K59" s="181"/>
      <c r="L59" s="181"/>
      <c r="M59" s="181"/>
      <c r="N59" s="181"/>
      <c r="O59" s="181"/>
      <c r="P59" s="181"/>
      <c r="Q59" s="181"/>
    </row>
    <row r="60" ht="12.75" customHeight="1">
      <c r="A60" s="1">
        <v>24309.0</v>
      </c>
      <c r="B60" s="1" t="s">
        <v>14</v>
      </c>
      <c r="C60" s="1">
        <v>767.0</v>
      </c>
      <c r="D60" s="1" t="s">
        <v>15960</v>
      </c>
      <c r="E60" s="13" t="s">
        <v>15961</v>
      </c>
      <c r="F60" s="14">
        <v>40447.0</v>
      </c>
      <c r="G60" s="14">
        <v>40449.0</v>
      </c>
      <c r="H60" s="14">
        <v>40452.0</v>
      </c>
      <c r="I60" s="793"/>
      <c r="J60" s="789"/>
      <c r="K60" s="181"/>
      <c r="L60" s="181"/>
      <c r="M60" s="181"/>
      <c r="N60" s="181"/>
      <c r="O60" s="181"/>
      <c r="P60" s="181"/>
      <c r="Q60" s="181"/>
    </row>
    <row r="61" ht="12.75" customHeight="1">
      <c r="A61" s="1">
        <v>24288.0</v>
      </c>
      <c r="B61" s="1" t="s">
        <v>14</v>
      </c>
      <c r="C61" s="1">
        <v>2182.0</v>
      </c>
      <c r="D61" s="1" t="s">
        <v>15962</v>
      </c>
      <c r="E61" s="13" t="s">
        <v>15963</v>
      </c>
      <c r="F61" s="14">
        <v>40447.0</v>
      </c>
      <c r="G61" s="14">
        <v>40465.0</v>
      </c>
      <c r="H61" s="14">
        <v>40451.0</v>
      </c>
      <c r="I61" s="793" t="s">
        <v>15964</v>
      </c>
      <c r="J61" s="789"/>
      <c r="K61" s="181"/>
      <c r="L61" s="181"/>
      <c r="M61" s="181"/>
      <c r="N61" s="181"/>
      <c r="O61" s="181"/>
      <c r="P61" s="181"/>
      <c r="Q61" s="181"/>
    </row>
    <row r="62" ht="12.75" customHeight="1">
      <c r="A62" s="1">
        <v>24314.0</v>
      </c>
      <c r="B62" s="1" t="s">
        <v>21</v>
      </c>
      <c r="C62" s="1">
        <v>600.0</v>
      </c>
      <c r="D62" s="1" t="s">
        <v>15965</v>
      </c>
      <c r="E62" s="13" t="s">
        <v>15966</v>
      </c>
      <c r="F62" s="14">
        <v>40445.0</v>
      </c>
      <c r="G62" s="14">
        <v>40476.0</v>
      </c>
      <c r="H62" s="14">
        <v>40451.0</v>
      </c>
      <c r="I62" s="793" t="s">
        <v>15967</v>
      </c>
      <c r="J62" s="789"/>
      <c r="K62" s="181"/>
      <c r="L62" s="181"/>
      <c r="M62" s="181"/>
      <c r="N62" s="181"/>
      <c r="O62" s="181"/>
      <c r="P62" s="181"/>
      <c r="Q62" s="181"/>
    </row>
    <row r="63" ht="12.75" customHeight="1">
      <c r="A63" s="1">
        <v>24036.0</v>
      </c>
      <c r="B63" s="1" t="s">
        <v>715</v>
      </c>
      <c r="C63" s="1">
        <v>1045.0</v>
      </c>
      <c r="D63" s="1" t="s">
        <v>15968</v>
      </c>
      <c r="E63" s="13" t="s">
        <v>13378</v>
      </c>
      <c r="F63" s="14">
        <v>40444.0</v>
      </c>
      <c r="G63" s="14">
        <v>40444.0</v>
      </c>
      <c r="H63" s="14">
        <v>40455.0</v>
      </c>
      <c r="I63" s="793" t="s">
        <v>15969</v>
      </c>
      <c r="J63" s="789"/>
      <c r="K63" s="181"/>
      <c r="L63" s="181"/>
      <c r="M63" s="181"/>
      <c r="N63" s="181"/>
      <c r="O63" s="181"/>
      <c r="P63" s="181"/>
      <c r="Q63" s="181"/>
    </row>
    <row r="64" ht="12.75" customHeight="1">
      <c r="A64" s="1">
        <v>24286.0</v>
      </c>
      <c r="B64" s="1" t="s">
        <v>14</v>
      </c>
      <c r="C64" s="1">
        <v>1005.0</v>
      </c>
      <c r="D64" s="1" t="s">
        <v>15970</v>
      </c>
      <c r="E64" s="13" t="s">
        <v>331</v>
      </c>
      <c r="F64" s="14">
        <v>40441.0</v>
      </c>
      <c r="G64" s="14">
        <v>40457.0</v>
      </c>
      <c r="H64" s="14">
        <v>40445.0</v>
      </c>
      <c r="I64" s="793" t="s">
        <v>15971</v>
      </c>
      <c r="J64" s="789"/>
      <c r="K64" s="181"/>
      <c r="L64" s="181"/>
      <c r="M64" s="181"/>
      <c r="N64" s="181"/>
      <c r="O64" s="181"/>
      <c r="P64" s="181"/>
      <c r="Q64" s="181"/>
    </row>
    <row r="65" ht="12.75" customHeight="1">
      <c r="A65" s="1">
        <v>24303.0</v>
      </c>
      <c r="B65" s="1" t="s">
        <v>21</v>
      </c>
      <c r="C65" s="1">
        <v>477.0</v>
      </c>
      <c r="D65" s="1" t="s">
        <v>15972</v>
      </c>
      <c r="E65" s="13" t="s">
        <v>15973</v>
      </c>
      <c r="F65" s="14">
        <v>40438.0</v>
      </c>
      <c r="G65" s="14">
        <v>40436.0</v>
      </c>
      <c r="H65" s="14">
        <v>40444.0</v>
      </c>
      <c r="I65" s="3"/>
      <c r="J65" s="789"/>
      <c r="K65" s="181"/>
      <c r="L65" s="181"/>
      <c r="M65" s="181"/>
      <c r="N65" s="181"/>
      <c r="O65" s="181"/>
      <c r="P65" s="181"/>
      <c r="Q65" s="181"/>
    </row>
    <row r="66" ht="12.75" customHeight="1">
      <c r="A66" s="1">
        <v>24037.0</v>
      </c>
      <c r="B66" s="1" t="s">
        <v>21</v>
      </c>
      <c r="C66" s="1">
        <v>1040.0</v>
      </c>
      <c r="D66" s="1" t="s">
        <v>15974</v>
      </c>
      <c r="E66" s="13" t="s">
        <v>13378</v>
      </c>
      <c r="F66" s="14">
        <v>40433.0</v>
      </c>
      <c r="G66" s="14">
        <v>40435.0</v>
      </c>
      <c r="H66" s="14">
        <v>40435.0</v>
      </c>
      <c r="I66" s="3"/>
      <c r="J66" s="789"/>
      <c r="K66" s="181"/>
      <c r="L66" s="181"/>
      <c r="M66" s="181"/>
      <c r="N66" s="181"/>
      <c r="O66" s="181"/>
      <c r="P66" s="181"/>
      <c r="Q66" s="181"/>
    </row>
    <row r="67" ht="12.75" customHeight="1">
      <c r="A67" s="1">
        <v>24099.0</v>
      </c>
      <c r="B67" s="1" t="s">
        <v>21</v>
      </c>
      <c r="C67" s="1">
        <v>460.0</v>
      </c>
      <c r="D67" s="1" t="s">
        <v>15975</v>
      </c>
      <c r="E67" s="13" t="s">
        <v>15976</v>
      </c>
      <c r="F67" s="14">
        <v>40430.0</v>
      </c>
      <c r="G67" s="14">
        <v>40429.0</v>
      </c>
      <c r="H67" s="14">
        <v>40436.0</v>
      </c>
      <c r="I67" s="3"/>
      <c r="J67" s="789"/>
      <c r="K67" s="181"/>
      <c r="L67" s="181"/>
      <c r="M67" s="181"/>
      <c r="N67" s="181"/>
      <c r="O67" s="181"/>
      <c r="P67" s="181"/>
      <c r="Q67" s="181"/>
    </row>
    <row r="68" ht="12.75" customHeight="1">
      <c r="A68" s="1">
        <v>24287.0</v>
      </c>
      <c r="B68" s="1" t="s">
        <v>21</v>
      </c>
      <c r="C68" s="1">
        <v>809.0</v>
      </c>
      <c r="D68" s="1" t="s">
        <v>15977</v>
      </c>
      <c r="E68" s="13" t="s">
        <v>15978</v>
      </c>
      <c r="F68" s="14">
        <v>40428.0</v>
      </c>
      <c r="G68" s="14">
        <v>40424.0</v>
      </c>
      <c r="H68" s="14">
        <v>40434.0</v>
      </c>
      <c r="I68" s="3"/>
      <c r="J68" s="789"/>
      <c r="K68" s="181"/>
      <c r="L68" s="181"/>
      <c r="M68" s="181"/>
      <c r="N68" s="181"/>
      <c r="O68" s="181"/>
      <c r="P68" s="181"/>
      <c r="Q68" s="181"/>
    </row>
    <row r="69" ht="12.75" customHeight="1">
      <c r="A69" s="1">
        <v>24068.0</v>
      </c>
      <c r="B69" s="1" t="s">
        <v>21</v>
      </c>
      <c r="C69" s="1">
        <v>500.0</v>
      </c>
      <c r="D69" s="1" t="s">
        <v>15979</v>
      </c>
      <c r="E69" s="13" t="s">
        <v>15980</v>
      </c>
      <c r="F69" s="14">
        <v>40426.0</v>
      </c>
      <c r="G69" s="4" t="s">
        <v>210</v>
      </c>
      <c r="H69" s="14">
        <v>40435.0</v>
      </c>
      <c r="I69" s="3"/>
      <c r="J69" s="789"/>
      <c r="K69" s="181"/>
      <c r="L69" s="181"/>
      <c r="M69" s="181"/>
      <c r="N69" s="181"/>
      <c r="O69" s="181"/>
      <c r="P69" s="181"/>
      <c r="Q69" s="181"/>
    </row>
    <row r="70" ht="12.75" customHeight="1">
      <c r="A70" s="1">
        <v>24235.0</v>
      </c>
      <c r="B70" s="1" t="s">
        <v>21</v>
      </c>
      <c r="C70" s="1">
        <v>1450.0</v>
      </c>
      <c r="D70" s="1" t="s">
        <v>15981</v>
      </c>
      <c r="E70" s="13" t="s">
        <v>331</v>
      </c>
      <c r="F70" s="14">
        <v>40423.0</v>
      </c>
      <c r="G70" s="14">
        <v>40424.0</v>
      </c>
      <c r="H70" s="14">
        <v>40431.0</v>
      </c>
      <c r="I70" s="807" t="s">
        <v>15982</v>
      </c>
      <c r="J70" s="789"/>
      <c r="K70" s="181"/>
      <c r="L70" s="181"/>
      <c r="M70" s="181"/>
      <c r="N70" s="181"/>
      <c r="O70" s="181"/>
      <c r="P70" s="181"/>
      <c r="Q70" s="181"/>
    </row>
    <row r="71" ht="12.75" customHeight="1">
      <c r="A71" s="1">
        <v>24125.0</v>
      </c>
      <c r="B71" s="1" t="s">
        <v>21</v>
      </c>
      <c r="C71" s="1" t="s">
        <v>15431</v>
      </c>
      <c r="D71" s="1" t="s">
        <v>15983</v>
      </c>
      <c r="E71" s="13" t="s">
        <v>660</v>
      </c>
      <c r="F71" s="14">
        <v>40422.0</v>
      </c>
      <c r="G71" s="14">
        <v>40423.0</v>
      </c>
      <c r="H71" s="14">
        <v>40424.0</v>
      </c>
      <c r="I71" s="807"/>
      <c r="J71" s="789"/>
      <c r="K71" s="181"/>
      <c r="L71" s="181"/>
      <c r="M71" s="181"/>
      <c r="N71" s="181"/>
      <c r="O71" s="181"/>
      <c r="P71" s="181"/>
      <c r="Q71" s="181"/>
    </row>
    <row r="72" ht="12.75" customHeight="1">
      <c r="A72" s="1">
        <v>24194.0</v>
      </c>
      <c r="B72" s="1" t="s">
        <v>14</v>
      </c>
      <c r="C72" s="1">
        <v>600.0</v>
      </c>
      <c r="D72" s="1" t="s">
        <v>15984</v>
      </c>
      <c r="E72" s="13" t="s">
        <v>15985</v>
      </c>
      <c r="F72" s="14">
        <v>40422.0</v>
      </c>
      <c r="G72" s="16">
        <v>40451.0</v>
      </c>
      <c r="H72" s="14">
        <v>40430.0</v>
      </c>
      <c r="I72" s="793" t="s">
        <v>15986</v>
      </c>
      <c r="J72" s="789"/>
      <c r="K72" s="181"/>
      <c r="L72" s="181"/>
      <c r="M72" s="181"/>
      <c r="N72" s="181"/>
      <c r="O72" s="181"/>
      <c r="P72" s="181"/>
      <c r="Q72" s="181"/>
    </row>
    <row r="73" ht="12.75" customHeight="1">
      <c r="A73" s="1">
        <v>24177.0</v>
      </c>
      <c r="B73" s="1" t="s">
        <v>14</v>
      </c>
      <c r="C73" s="1">
        <v>2190.0</v>
      </c>
      <c r="D73" s="1" t="s">
        <v>15987</v>
      </c>
      <c r="E73" s="13" t="s">
        <v>15988</v>
      </c>
      <c r="F73" s="14">
        <v>40422.0</v>
      </c>
      <c r="G73" s="14">
        <v>40423.0</v>
      </c>
      <c r="H73" s="14">
        <v>40429.0</v>
      </c>
      <c r="I73" s="3"/>
      <c r="J73" s="789"/>
      <c r="K73" s="181"/>
      <c r="L73" s="181"/>
      <c r="M73" s="181"/>
      <c r="N73" s="181"/>
      <c r="O73" s="181"/>
      <c r="P73" s="181"/>
      <c r="Q73" s="181"/>
    </row>
    <row r="74" ht="12.75" customHeight="1">
      <c r="A74" s="1" t="s">
        <v>192</v>
      </c>
      <c r="B74" s="1" t="s">
        <v>21</v>
      </c>
      <c r="C74" s="1" t="s">
        <v>15989</v>
      </c>
      <c r="D74" s="1" t="s">
        <v>15990</v>
      </c>
      <c r="E74" s="13" t="s">
        <v>15991</v>
      </c>
      <c r="F74" s="14">
        <v>40421.0</v>
      </c>
      <c r="G74" s="4" t="s">
        <v>210</v>
      </c>
      <c r="H74" s="14">
        <v>40424.0</v>
      </c>
      <c r="I74" s="3" t="s">
        <v>15992</v>
      </c>
      <c r="J74" s="789"/>
      <c r="K74" s="181"/>
      <c r="L74" s="181"/>
      <c r="M74" s="181"/>
      <c r="N74" s="181"/>
      <c r="O74" s="181"/>
      <c r="P74" s="181"/>
      <c r="Q74" s="181"/>
    </row>
    <row r="75" ht="12.75" customHeight="1">
      <c r="A75" s="1">
        <v>23906.0</v>
      </c>
      <c r="B75" s="1" t="s">
        <v>21</v>
      </c>
      <c r="C75" s="1">
        <v>60.0</v>
      </c>
      <c r="D75" s="1" t="s">
        <v>15993</v>
      </c>
      <c r="E75" s="13" t="s">
        <v>15994</v>
      </c>
      <c r="F75" s="14">
        <v>40420.0</v>
      </c>
      <c r="G75" s="4" t="s">
        <v>210</v>
      </c>
      <c r="H75" s="14">
        <v>40424.0</v>
      </c>
      <c r="I75" s="3"/>
      <c r="J75" s="789"/>
      <c r="K75" s="181"/>
      <c r="L75" s="181"/>
      <c r="M75" s="181"/>
      <c r="N75" s="181"/>
      <c r="O75" s="181"/>
      <c r="P75" s="181"/>
      <c r="Q75" s="181"/>
    </row>
    <row r="76" ht="12.75" customHeight="1">
      <c r="A76" s="1">
        <v>24193.0</v>
      </c>
      <c r="B76" s="1" t="s">
        <v>14</v>
      </c>
      <c r="C76" s="1">
        <v>1070.0</v>
      </c>
      <c r="D76" s="1" t="s">
        <v>15995</v>
      </c>
      <c r="E76" s="13" t="s">
        <v>331</v>
      </c>
      <c r="F76" s="14">
        <v>40417.0</v>
      </c>
      <c r="G76" s="14">
        <v>40421.0</v>
      </c>
      <c r="H76" s="16">
        <v>40424.0</v>
      </c>
      <c r="I76" s="793" t="s">
        <v>15996</v>
      </c>
      <c r="J76" s="789"/>
      <c r="K76" s="181"/>
      <c r="L76" s="181"/>
      <c r="M76" s="181"/>
      <c r="N76" s="181"/>
      <c r="O76" s="181"/>
      <c r="P76" s="181"/>
      <c r="Q76" s="181"/>
    </row>
    <row r="77" ht="12.75" customHeight="1">
      <c r="A77" s="1">
        <v>23970.0</v>
      </c>
      <c r="B77" s="1" t="s">
        <v>21</v>
      </c>
      <c r="C77" s="1">
        <v>1880.0</v>
      </c>
      <c r="D77" s="1" t="s">
        <v>15997</v>
      </c>
      <c r="E77" s="13" t="s">
        <v>15998</v>
      </c>
      <c r="F77" s="14">
        <v>40415.0</v>
      </c>
      <c r="G77" s="14">
        <v>40407.0</v>
      </c>
      <c r="H77" s="14">
        <v>40420.0</v>
      </c>
      <c r="I77" s="3"/>
      <c r="J77" s="789"/>
      <c r="K77" s="181"/>
      <c r="L77" s="181"/>
      <c r="M77" s="181"/>
      <c r="N77" s="181"/>
      <c r="O77" s="181"/>
      <c r="P77" s="181"/>
      <c r="Q77" s="181"/>
    </row>
    <row r="78" ht="12.75" customHeight="1">
      <c r="A78" s="1">
        <v>23951.0</v>
      </c>
      <c r="B78" s="1" t="s">
        <v>21</v>
      </c>
      <c r="C78" s="1">
        <v>750.0</v>
      </c>
      <c r="D78" s="1" t="s">
        <v>15999</v>
      </c>
      <c r="E78" s="13" t="s">
        <v>376</v>
      </c>
      <c r="F78" s="14">
        <v>40411.0</v>
      </c>
      <c r="G78" s="14">
        <v>40410.0</v>
      </c>
      <c r="H78" s="14">
        <v>40414.0</v>
      </c>
      <c r="I78" s="3"/>
      <c r="J78" s="789"/>
      <c r="K78" s="181"/>
      <c r="L78" s="181"/>
      <c r="M78" s="181"/>
      <c r="N78" s="181"/>
      <c r="O78" s="181"/>
      <c r="P78" s="181"/>
      <c r="Q78" s="181"/>
    </row>
    <row r="79" ht="12.75" customHeight="1">
      <c r="A79" s="1">
        <v>24059.0</v>
      </c>
      <c r="B79" s="1" t="s">
        <v>21</v>
      </c>
      <c r="C79" s="1">
        <v>531.0</v>
      </c>
      <c r="D79" s="1" t="s">
        <v>16000</v>
      </c>
      <c r="E79" s="13" t="s">
        <v>15916</v>
      </c>
      <c r="F79" s="14">
        <v>40408.0</v>
      </c>
      <c r="G79" s="14">
        <v>40410.0</v>
      </c>
      <c r="H79" s="14">
        <v>40415.0</v>
      </c>
      <c r="I79" s="3"/>
      <c r="J79" s="789"/>
      <c r="K79" s="181"/>
      <c r="L79" s="181"/>
      <c r="M79" s="181"/>
      <c r="N79" s="181"/>
      <c r="O79" s="181"/>
      <c r="P79" s="181"/>
      <c r="Q79" s="181"/>
    </row>
    <row r="80" ht="12.75" customHeight="1">
      <c r="A80" s="1">
        <v>23974.0</v>
      </c>
      <c r="B80" s="1" t="s">
        <v>25</v>
      </c>
      <c r="C80" s="1">
        <v>1781.0</v>
      </c>
      <c r="D80" s="1" t="s">
        <v>16001</v>
      </c>
      <c r="E80" s="13" t="s">
        <v>15998</v>
      </c>
      <c r="F80" s="14">
        <v>40406.0</v>
      </c>
      <c r="G80" s="14">
        <v>40407.0</v>
      </c>
      <c r="H80" s="14">
        <v>40413.0</v>
      </c>
      <c r="I80" s="793" t="s">
        <v>16002</v>
      </c>
      <c r="J80" s="789"/>
      <c r="K80" s="181"/>
      <c r="L80" s="181"/>
      <c r="M80" s="181"/>
      <c r="N80" s="181"/>
      <c r="O80" s="181"/>
      <c r="P80" s="181"/>
      <c r="Q80" s="181"/>
    </row>
    <row r="81" ht="12.75" customHeight="1">
      <c r="A81" s="1" t="s">
        <v>192</v>
      </c>
      <c r="B81" s="1" t="s">
        <v>21</v>
      </c>
      <c r="C81" s="1">
        <v>131.0</v>
      </c>
      <c r="D81" s="1" t="s">
        <v>16003</v>
      </c>
      <c r="E81" s="13" t="s">
        <v>16004</v>
      </c>
      <c r="F81" s="14">
        <v>40406.0</v>
      </c>
      <c r="G81" s="14">
        <v>40410.0</v>
      </c>
      <c r="H81" s="14">
        <v>40417.0</v>
      </c>
      <c r="I81" s="793" t="s">
        <v>16005</v>
      </c>
      <c r="J81" s="789"/>
      <c r="K81" s="181"/>
      <c r="L81" s="181"/>
      <c r="M81" s="181"/>
      <c r="N81" s="181"/>
      <c r="O81" s="181"/>
      <c r="P81" s="181"/>
      <c r="Q81" s="181"/>
    </row>
    <row r="82" ht="12.75" customHeight="1">
      <c r="A82" s="1">
        <v>24195.0</v>
      </c>
      <c r="B82" s="1" t="s">
        <v>21</v>
      </c>
      <c r="C82" s="1">
        <v>600.0</v>
      </c>
      <c r="D82" s="1" t="s">
        <v>16006</v>
      </c>
      <c r="E82" s="13" t="s">
        <v>16007</v>
      </c>
      <c r="F82" s="14">
        <v>40403.0</v>
      </c>
      <c r="G82" s="14">
        <v>40407.0</v>
      </c>
      <c r="H82" s="14">
        <v>40410.0</v>
      </c>
      <c r="I82" s="793" t="s">
        <v>16008</v>
      </c>
      <c r="J82" s="789"/>
      <c r="K82" s="181"/>
      <c r="L82" s="181"/>
      <c r="M82" s="181"/>
      <c r="N82" s="181"/>
      <c r="O82" s="181"/>
      <c r="P82" s="181"/>
      <c r="Q82" s="181"/>
    </row>
    <row r="83" ht="12.75" customHeight="1">
      <c r="A83" s="1">
        <v>24142.0</v>
      </c>
      <c r="B83" s="1" t="s">
        <v>21</v>
      </c>
      <c r="C83" s="1">
        <v>1200.0</v>
      </c>
      <c r="D83" s="1" t="s">
        <v>16009</v>
      </c>
      <c r="E83" s="13" t="s">
        <v>16010</v>
      </c>
      <c r="F83" s="14">
        <v>40401.0</v>
      </c>
      <c r="G83" s="14">
        <v>40396.0</v>
      </c>
      <c r="H83" s="14">
        <v>40403.0</v>
      </c>
      <c r="I83" s="3"/>
      <c r="J83" s="789"/>
      <c r="K83" s="181"/>
      <c r="L83" s="181"/>
      <c r="M83" s="181"/>
      <c r="N83" s="181"/>
      <c r="O83" s="181"/>
      <c r="P83" s="181"/>
      <c r="Q83" s="181"/>
    </row>
    <row r="84" ht="12.75" customHeight="1">
      <c r="A84" s="1">
        <v>24133.0</v>
      </c>
      <c r="B84" s="1" t="s">
        <v>14</v>
      </c>
      <c r="C84" s="1">
        <v>594.0</v>
      </c>
      <c r="D84" s="1" t="s">
        <v>16011</v>
      </c>
      <c r="E84" s="13" t="s">
        <v>16012</v>
      </c>
      <c r="F84" s="14">
        <v>40400.0</v>
      </c>
      <c r="G84" s="14">
        <v>40407.0</v>
      </c>
      <c r="H84" s="14">
        <v>40399.0</v>
      </c>
      <c r="I84" s="793" t="s">
        <v>16013</v>
      </c>
      <c r="J84" s="789"/>
      <c r="K84" s="181"/>
      <c r="L84" s="181"/>
      <c r="M84" s="181"/>
      <c r="N84" s="181"/>
      <c r="O84" s="181"/>
      <c r="P84" s="181"/>
      <c r="Q84" s="181"/>
    </row>
    <row r="85" ht="12.75" customHeight="1">
      <c r="A85" s="1">
        <v>24157.0</v>
      </c>
      <c r="B85" s="1" t="s">
        <v>21</v>
      </c>
      <c r="C85" s="1">
        <v>510.0</v>
      </c>
      <c r="D85" s="1" t="s">
        <v>16014</v>
      </c>
      <c r="E85" s="13" t="s">
        <v>331</v>
      </c>
      <c r="F85" s="14">
        <v>40396.0</v>
      </c>
      <c r="G85" s="14">
        <v>40396.0</v>
      </c>
      <c r="H85" s="14">
        <v>40402.0</v>
      </c>
      <c r="I85" s="3"/>
      <c r="J85" s="789"/>
      <c r="K85" s="181"/>
      <c r="L85" s="181"/>
      <c r="M85" s="181"/>
      <c r="N85" s="181"/>
      <c r="O85" s="181"/>
      <c r="P85" s="181"/>
      <c r="Q85" s="181"/>
    </row>
    <row r="86" ht="12.75" customHeight="1">
      <c r="A86" s="1">
        <v>23969.0</v>
      </c>
      <c r="B86" s="1" t="s">
        <v>21</v>
      </c>
      <c r="C86" s="1">
        <v>490.0</v>
      </c>
      <c r="D86" s="1" t="s">
        <v>16015</v>
      </c>
      <c r="E86" s="13" t="s">
        <v>16016</v>
      </c>
      <c r="F86" s="14">
        <v>40393.0</v>
      </c>
      <c r="G86" s="14">
        <v>40396.0</v>
      </c>
      <c r="H86" s="14">
        <v>40400.0</v>
      </c>
      <c r="I86" s="793" t="s">
        <v>16017</v>
      </c>
      <c r="J86" s="789"/>
      <c r="K86" s="181"/>
      <c r="L86" s="181"/>
      <c r="M86" s="181"/>
      <c r="N86" s="181"/>
      <c r="O86" s="181"/>
      <c r="P86" s="181"/>
      <c r="Q86" s="181"/>
    </row>
    <row r="87" ht="12.75" customHeight="1">
      <c r="A87" s="1">
        <v>24137.0</v>
      </c>
      <c r="B87" s="1" t="s">
        <v>21</v>
      </c>
      <c r="C87" s="1">
        <v>2195.0</v>
      </c>
      <c r="D87" s="1" t="s">
        <v>16018</v>
      </c>
      <c r="E87" s="13" t="s">
        <v>16019</v>
      </c>
      <c r="F87" s="14">
        <v>40390.0</v>
      </c>
      <c r="G87" s="14">
        <v>40393.0</v>
      </c>
      <c r="H87" s="14">
        <v>40396.0</v>
      </c>
      <c r="I87" s="807" t="s">
        <v>16020</v>
      </c>
      <c r="J87" s="789"/>
      <c r="K87" s="181"/>
      <c r="L87" s="181"/>
      <c r="M87" s="181"/>
      <c r="N87" s="181"/>
      <c r="O87" s="181"/>
      <c r="P87" s="181"/>
      <c r="Q87" s="181"/>
    </row>
    <row r="88" ht="12.75" customHeight="1">
      <c r="A88" s="1">
        <v>24138.0</v>
      </c>
      <c r="B88" s="1" t="s">
        <v>21</v>
      </c>
      <c r="C88" s="1">
        <v>220.0</v>
      </c>
      <c r="D88" s="1" t="s">
        <v>16021</v>
      </c>
      <c r="E88" s="13" t="s">
        <v>16022</v>
      </c>
      <c r="F88" s="14">
        <v>40389.0</v>
      </c>
      <c r="G88" s="14">
        <v>40401.0</v>
      </c>
      <c r="H88" s="14">
        <v>40395.0</v>
      </c>
      <c r="I88" s="807" t="s">
        <v>16023</v>
      </c>
      <c r="J88" s="789"/>
      <c r="K88" s="181"/>
      <c r="L88" s="181"/>
      <c r="M88" s="181"/>
      <c r="N88" s="181"/>
      <c r="O88" s="181"/>
      <c r="P88" s="181"/>
      <c r="Q88" s="181"/>
    </row>
    <row r="89" ht="12.75" customHeight="1">
      <c r="A89" s="1">
        <v>24141.0</v>
      </c>
      <c r="B89" s="1" t="s">
        <v>21</v>
      </c>
      <c r="C89" s="1">
        <v>600.0</v>
      </c>
      <c r="D89" s="1" t="s">
        <v>16024</v>
      </c>
      <c r="E89" s="13" t="s">
        <v>16025</v>
      </c>
      <c r="F89" s="14">
        <v>40387.0</v>
      </c>
      <c r="G89" s="14">
        <v>40402.0</v>
      </c>
      <c r="H89" s="14">
        <v>40393.0</v>
      </c>
      <c r="I89" s="793" t="s">
        <v>16026</v>
      </c>
      <c r="J89" s="789"/>
      <c r="K89" s="181"/>
      <c r="L89" s="181"/>
      <c r="M89" s="181"/>
      <c r="N89" s="181"/>
      <c r="O89" s="181"/>
      <c r="P89" s="181"/>
      <c r="Q89" s="181"/>
    </row>
    <row r="90" ht="12.75" customHeight="1">
      <c r="A90" s="1" t="s">
        <v>192</v>
      </c>
      <c r="B90" s="1" t="s">
        <v>715</v>
      </c>
      <c r="C90" s="1">
        <v>3.0</v>
      </c>
      <c r="D90" s="1" t="s">
        <v>16027</v>
      </c>
      <c r="E90" s="13" t="s">
        <v>16028</v>
      </c>
      <c r="F90" s="14">
        <v>40382.0</v>
      </c>
      <c r="G90" s="4" t="s">
        <v>210</v>
      </c>
      <c r="H90" s="14">
        <v>40387.0</v>
      </c>
      <c r="I90" s="807" t="s">
        <v>16029</v>
      </c>
      <c r="J90" s="789"/>
      <c r="K90" s="181"/>
      <c r="L90" s="181"/>
      <c r="M90" s="181"/>
      <c r="N90" s="181"/>
      <c r="O90" s="181"/>
      <c r="P90" s="181"/>
      <c r="Q90" s="181"/>
    </row>
    <row r="91" ht="12.75" customHeight="1">
      <c r="A91" s="1">
        <v>24074.0</v>
      </c>
      <c r="B91" s="1" t="s">
        <v>14</v>
      </c>
      <c r="C91" s="1">
        <v>600.0</v>
      </c>
      <c r="D91" s="1" t="s">
        <v>16030</v>
      </c>
      <c r="E91" s="13" t="s">
        <v>16031</v>
      </c>
      <c r="F91" s="14">
        <v>40379.0</v>
      </c>
      <c r="G91" s="14">
        <v>40380.0</v>
      </c>
      <c r="H91" s="14">
        <v>40388.0</v>
      </c>
      <c r="I91" s="807" t="s">
        <v>16032</v>
      </c>
      <c r="J91" s="789"/>
      <c r="K91" s="181"/>
      <c r="L91" s="181"/>
      <c r="M91" s="181"/>
      <c r="N91" s="181"/>
      <c r="O91" s="181"/>
      <c r="P91" s="181"/>
      <c r="Q91" s="181"/>
    </row>
    <row r="92" ht="12.75" customHeight="1">
      <c r="A92" s="1">
        <v>24097.0</v>
      </c>
      <c r="B92" s="1" t="s">
        <v>14</v>
      </c>
      <c r="C92" s="1">
        <v>369.0</v>
      </c>
      <c r="D92" s="1" t="s">
        <v>16033</v>
      </c>
      <c r="E92" s="13" t="s">
        <v>16034</v>
      </c>
      <c r="F92" s="14">
        <v>40377.0</v>
      </c>
      <c r="G92" s="14">
        <v>40380.0</v>
      </c>
      <c r="H92" s="14">
        <v>40382.0</v>
      </c>
      <c r="I92" s="3"/>
      <c r="J92" s="789"/>
      <c r="K92" s="181"/>
      <c r="L92" s="181"/>
      <c r="M92" s="181"/>
      <c r="N92" s="181"/>
      <c r="O92" s="181"/>
      <c r="P92" s="181"/>
      <c r="Q92" s="181"/>
    </row>
    <row r="93" ht="12.75" customHeight="1">
      <c r="A93" s="1">
        <v>23911.0</v>
      </c>
      <c r="B93" s="1" t="s">
        <v>14</v>
      </c>
      <c r="C93" s="1">
        <v>355.0</v>
      </c>
      <c r="D93" s="1" t="s">
        <v>16035</v>
      </c>
      <c r="E93" s="13" t="s">
        <v>14971</v>
      </c>
      <c r="F93" s="14">
        <v>40374.0</v>
      </c>
      <c r="G93" s="14">
        <v>40380.0</v>
      </c>
      <c r="H93" s="14">
        <v>40382.0</v>
      </c>
      <c r="I93" s="793" t="s">
        <v>16036</v>
      </c>
      <c r="J93" s="789"/>
      <c r="K93" s="181"/>
      <c r="L93" s="181"/>
      <c r="M93" s="181"/>
      <c r="N93" s="181"/>
      <c r="O93" s="181"/>
      <c r="P93" s="181"/>
      <c r="Q93" s="181"/>
    </row>
    <row r="94" ht="12.75" customHeight="1">
      <c r="A94" s="1">
        <v>24110.0</v>
      </c>
      <c r="B94" s="1" t="s">
        <v>21</v>
      </c>
      <c r="C94" s="1">
        <v>435.0</v>
      </c>
      <c r="D94" s="1" t="s">
        <v>16037</v>
      </c>
      <c r="E94" s="13" t="s">
        <v>16034</v>
      </c>
      <c r="F94" s="14">
        <v>40374.0</v>
      </c>
      <c r="G94" s="14">
        <v>40380.0</v>
      </c>
      <c r="H94" s="14">
        <v>40382.0</v>
      </c>
      <c r="I94" s="3"/>
      <c r="J94" s="789"/>
      <c r="K94" s="181"/>
      <c r="L94" s="181"/>
      <c r="M94" s="181"/>
      <c r="N94" s="181"/>
      <c r="O94" s="181"/>
      <c r="P94" s="181"/>
      <c r="Q94" s="181"/>
    </row>
    <row r="95" ht="12.75" customHeight="1">
      <c r="A95" s="1">
        <v>24064.0</v>
      </c>
      <c r="B95" s="1" t="s">
        <v>14</v>
      </c>
      <c r="C95" s="1">
        <v>2194.0</v>
      </c>
      <c r="D95" s="1" t="s">
        <v>16038</v>
      </c>
      <c r="E95" s="13" t="s">
        <v>16039</v>
      </c>
      <c r="F95" s="14">
        <v>40372.0</v>
      </c>
      <c r="G95" s="14">
        <v>40374.0</v>
      </c>
      <c r="H95" s="14">
        <v>40375.0</v>
      </c>
      <c r="I95" s="3"/>
      <c r="J95" s="789"/>
      <c r="K95" s="181"/>
      <c r="L95" s="181"/>
      <c r="M95" s="181"/>
      <c r="N95" s="181"/>
      <c r="O95" s="181"/>
      <c r="P95" s="181"/>
      <c r="Q95" s="181"/>
    </row>
    <row r="96" ht="12.75" customHeight="1">
      <c r="A96" s="1">
        <v>24065.0</v>
      </c>
      <c r="B96" s="1" t="s">
        <v>14</v>
      </c>
      <c r="C96" s="1">
        <v>1070.0</v>
      </c>
      <c r="D96" s="1" t="s">
        <v>16040</v>
      </c>
      <c r="E96" s="13" t="s">
        <v>16041</v>
      </c>
      <c r="F96" s="14">
        <v>40371.0</v>
      </c>
      <c r="G96" s="14">
        <v>40374.0</v>
      </c>
      <c r="H96" s="14">
        <v>40380.0</v>
      </c>
      <c r="I96" s="793" t="s">
        <v>16042</v>
      </c>
      <c r="J96" s="789"/>
      <c r="K96" s="181"/>
      <c r="L96" s="181"/>
      <c r="M96" s="181"/>
      <c r="N96" s="181"/>
      <c r="O96" s="181"/>
      <c r="P96" s="181"/>
      <c r="Q96" s="181"/>
    </row>
    <row r="97" ht="12.75" customHeight="1">
      <c r="A97" s="1">
        <v>23952.0</v>
      </c>
      <c r="B97" s="1" t="s">
        <v>21</v>
      </c>
      <c r="C97" s="1">
        <v>190.0</v>
      </c>
      <c r="D97" s="1" t="s">
        <v>16043</v>
      </c>
      <c r="E97" s="13" t="s">
        <v>12622</v>
      </c>
      <c r="F97" s="14">
        <v>40371.0</v>
      </c>
      <c r="G97" s="14">
        <v>40387.0</v>
      </c>
      <c r="H97" s="14">
        <v>40379.0</v>
      </c>
      <c r="I97" s="793" t="s">
        <v>16044</v>
      </c>
      <c r="J97" s="789"/>
      <c r="K97" s="181"/>
      <c r="L97" s="181"/>
      <c r="M97" s="181"/>
      <c r="N97" s="181"/>
      <c r="O97" s="181"/>
      <c r="P97" s="181"/>
      <c r="Q97" s="181"/>
    </row>
    <row r="98" ht="12.75" customHeight="1">
      <c r="A98" s="1">
        <v>23901.0</v>
      </c>
      <c r="B98" s="1" t="s">
        <v>21</v>
      </c>
      <c r="C98" s="1">
        <v>336.0</v>
      </c>
      <c r="D98" s="1" t="s">
        <v>16045</v>
      </c>
      <c r="E98" s="13" t="s">
        <v>16046</v>
      </c>
      <c r="F98" s="14">
        <v>40371.0</v>
      </c>
      <c r="G98" s="14">
        <v>40372.0</v>
      </c>
      <c r="H98" s="14">
        <v>40375.0</v>
      </c>
      <c r="I98" s="3"/>
      <c r="J98" s="789"/>
      <c r="K98" s="181"/>
      <c r="L98" s="181"/>
      <c r="M98" s="181"/>
      <c r="N98" s="181"/>
      <c r="O98" s="181"/>
      <c r="P98" s="181"/>
      <c r="Q98" s="181"/>
    </row>
    <row r="99" ht="12.75" customHeight="1">
      <c r="A99" s="1" t="s">
        <v>192</v>
      </c>
      <c r="B99" s="1" t="s">
        <v>21</v>
      </c>
      <c r="C99" s="1">
        <v>54.0</v>
      </c>
      <c r="D99" s="1" t="s">
        <v>16047</v>
      </c>
      <c r="E99" s="13" t="s">
        <v>16048</v>
      </c>
      <c r="F99" s="14">
        <v>40368.0</v>
      </c>
      <c r="G99" s="14">
        <v>40372.0</v>
      </c>
      <c r="H99" s="14">
        <v>40372.0</v>
      </c>
      <c r="I99" s="807" t="s">
        <v>16049</v>
      </c>
      <c r="J99" s="789"/>
      <c r="K99" s="181"/>
      <c r="L99" s="181"/>
      <c r="M99" s="181"/>
      <c r="N99" s="181"/>
      <c r="O99" s="181"/>
      <c r="P99" s="181"/>
      <c r="Q99" s="181"/>
    </row>
    <row r="100" ht="12.75" customHeight="1">
      <c r="A100" s="1">
        <v>23912.0</v>
      </c>
      <c r="B100" s="1" t="s">
        <v>21</v>
      </c>
      <c r="C100" s="1">
        <v>705.0</v>
      </c>
      <c r="D100" s="1" t="s">
        <v>16050</v>
      </c>
      <c r="E100" s="13" t="s">
        <v>14971</v>
      </c>
      <c r="F100" s="14">
        <v>40368.0</v>
      </c>
      <c r="G100" s="14">
        <v>40380.0</v>
      </c>
      <c r="H100" s="14">
        <v>40374.0</v>
      </c>
      <c r="I100" s="793" t="s">
        <v>16051</v>
      </c>
      <c r="J100" s="789"/>
      <c r="K100" s="181"/>
      <c r="L100" s="181"/>
      <c r="M100" s="181"/>
      <c r="N100" s="181"/>
      <c r="O100" s="181"/>
      <c r="P100" s="181"/>
      <c r="Q100" s="181"/>
    </row>
    <row r="101" ht="12.75" customHeight="1">
      <c r="A101" s="1">
        <v>23913.0</v>
      </c>
      <c r="B101" s="1" t="s">
        <v>21</v>
      </c>
      <c r="C101" s="1">
        <v>745.0</v>
      </c>
      <c r="D101" s="1" t="s">
        <v>16052</v>
      </c>
      <c r="E101" s="13" t="s">
        <v>14971</v>
      </c>
      <c r="F101" s="14">
        <v>40368.0</v>
      </c>
      <c r="G101" s="14">
        <v>40380.0</v>
      </c>
      <c r="H101" s="14">
        <v>40373.0</v>
      </c>
      <c r="I101" s="793" t="s">
        <v>16053</v>
      </c>
      <c r="J101" s="789"/>
      <c r="K101" s="181"/>
      <c r="L101" s="181"/>
      <c r="M101" s="181"/>
      <c r="N101" s="181"/>
      <c r="O101" s="181"/>
      <c r="P101" s="181"/>
      <c r="Q101" s="181"/>
    </row>
    <row r="102" ht="12.75" customHeight="1">
      <c r="A102" s="1">
        <v>24089.0</v>
      </c>
      <c r="B102" s="1" t="s">
        <v>21</v>
      </c>
      <c r="C102" s="1">
        <v>1180.0</v>
      </c>
      <c r="D102" s="1" t="s">
        <v>16054</v>
      </c>
      <c r="E102" s="13" t="s">
        <v>14797</v>
      </c>
      <c r="F102" s="14">
        <v>40367.0</v>
      </c>
      <c r="G102" s="14">
        <v>40367.0</v>
      </c>
      <c r="H102" s="14">
        <v>40374.0</v>
      </c>
      <c r="I102" s="3"/>
      <c r="J102" s="789"/>
      <c r="K102" s="181"/>
      <c r="L102" s="181"/>
      <c r="M102" s="181"/>
      <c r="N102" s="181"/>
      <c r="O102" s="181"/>
      <c r="P102" s="181"/>
      <c r="Q102" s="181"/>
    </row>
    <row r="103" ht="12.75" customHeight="1">
      <c r="A103" s="1">
        <v>23994.0</v>
      </c>
      <c r="B103" s="1" t="s">
        <v>14</v>
      </c>
      <c r="C103" s="1">
        <v>1500.0</v>
      </c>
      <c r="D103" s="1" t="s">
        <v>16055</v>
      </c>
      <c r="E103" s="13" t="s">
        <v>16056</v>
      </c>
      <c r="F103" s="14">
        <v>40366.0</v>
      </c>
      <c r="G103" s="14">
        <v>40374.0</v>
      </c>
      <c r="H103" s="14">
        <v>40374.0</v>
      </c>
      <c r="I103" s="793" t="s">
        <v>16057</v>
      </c>
      <c r="J103" s="789"/>
      <c r="K103" s="181"/>
      <c r="L103" s="181"/>
      <c r="M103" s="181"/>
      <c r="N103" s="181"/>
      <c r="O103" s="181"/>
      <c r="P103" s="181"/>
      <c r="Q103" s="181"/>
    </row>
    <row r="104" ht="12.75" customHeight="1">
      <c r="A104" s="1">
        <v>24098.0</v>
      </c>
      <c r="B104" s="1" t="s">
        <v>21</v>
      </c>
      <c r="C104" s="1">
        <v>106.0</v>
      </c>
      <c r="D104" s="1" t="s">
        <v>16058</v>
      </c>
      <c r="E104" s="13" t="s">
        <v>16059</v>
      </c>
      <c r="F104" s="14">
        <v>40364.0</v>
      </c>
      <c r="G104" s="14">
        <v>40366.0</v>
      </c>
      <c r="H104" s="14">
        <v>40371.0</v>
      </c>
      <c r="I104" s="3"/>
      <c r="J104" s="789"/>
      <c r="K104" s="181"/>
      <c r="L104" s="181"/>
      <c r="M104" s="181"/>
      <c r="N104" s="181"/>
      <c r="O104" s="181"/>
      <c r="P104" s="181"/>
      <c r="Q104" s="181"/>
    </row>
    <row r="105" ht="12.75" customHeight="1">
      <c r="A105" s="1">
        <v>23941.0</v>
      </c>
      <c r="B105" s="1" t="s">
        <v>21</v>
      </c>
      <c r="C105" s="1">
        <v>496.0</v>
      </c>
      <c r="D105" s="1" t="s">
        <v>16060</v>
      </c>
      <c r="E105" s="13" t="s">
        <v>16061</v>
      </c>
      <c r="F105" s="14">
        <v>40364.0</v>
      </c>
      <c r="G105" s="14">
        <v>40366.0</v>
      </c>
      <c r="H105" s="14">
        <v>40372.0</v>
      </c>
      <c r="I105" s="808" t="s">
        <v>16062</v>
      </c>
      <c r="J105" s="789"/>
      <c r="K105" s="181"/>
      <c r="L105" s="181"/>
      <c r="M105" s="181"/>
      <c r="N105" s="181"/>
      <c r="O105" s="181"/>
      <c r="P105" s="181"/>
      <c r="Q105" s="181"/>
    </row>
    <row r="106" ht="12.75" customHeight="1">
      <c r="A106" s="1">
        <v>24066.0</v>
      </c>
      <c r="B106" s="1" t="s">
        <v>21</v>
      </c>
      <c r="C106" s="1">
        <v>750.0</v>
      </c>
      <c r="D106" s="1" t="s">
        <v>16063</v>
      </c>
      <c r="E106" s="13" t="s">
        <v>16064</v>
      </c>
      <c r="F106" s="14">
        <v>40363.0</v>
      </c>
      <c r="G106" s="14">
        <v>40368.0</v>
      </c>
      <c r="H106" s="14">
        <v>40373.0</v>
      </c>
      <c r="I106" s="793" t="s">
        <v>16065</v>
      </c>
      <c r="J106" s="789"/>
      <c r="K106" s="181"/>
      <c r="L106" s="181"/>
      <c r="M106" s="181"/>
      <c r="N106" s="181"/>
      <c r="O106" s="181"/>
      <c r="P106" s="181"/>
      <c r="Q106" s="181"/>
    </row>
    <row r="107" ht="12.75" customHeight="1">
      <c r="A107" s="1">
        <v>24077.0</v>
      </c>
      <c r="B107" s="1" t="s">
        <v>21</v>
      </c>
      <c r="C107" s="1">
        <v>460.0</v>
      </c>
      <c r="D107" s="1" t="s">
        <v>16066</v>
      </c>
      <c r="E107" s="13" t="s">
        <v>16067</v>
      </c>
      <c r="F107" s="14">
        <v>40358.0</v>
      </c>
      <c r="G107" s="14">
        <v>40361.0</v>
      </c>
      <c r="H107" s="14">
        <v>40367.0</v>
      </c>
      <c r="I107" s="3"/>
      <c r="J107" s="789"/>
      <c r="K107" s="181"/>
      <c r="L107" s="181"/>
      <c r="M107" s="181"/>
      <c r="N107" s="181"/>
      <c r="O107" s="181"/>
      <c r="P107" s="181"/>
      <c r="Q107" s="181"/>
    </row>
    <row r="108" ht="12.75" customHeight="1">
      <c r="A108" s="1">
        <v>24073.0</v>
      </c>
      <c r="B108" s="1" t="s">
        <v>25</v>
      </c>
      <c r="C108" s="1">
        <v>1762.0</v>
      </c>
      <c r="D108" s="1" t="s">
        <v>16068</v>
      </c>
      <c r="E108" s="13" t="s">
        <v>16069</v>
      </c>
      <c r="F108" s="14">
        <v>40358.0</v>
      </c>
      <c r="G108" s="14">
        <v>40366.0</v>
      </c>
      <c r="H108" s="14">
        <v>40367.0</v>
      </c>
      <c r="I108" s="3"/>
      <c r="J108" s="789"/>
      <c r="K108" s="181"/>
      <c r="L108" s="181"/>
      <c r="M108" s="181"/>
      <c r="N108" s="181"/>
      <c r="O108" s="181"/>
      <c r="P108" s="181"/>
      <c r="Q108" s="181"/>
    </row>
    <row r="109" ht="12.75" customHeight="1">
      <c r="A109" s="1">
        <v>23968.0</v>
      </c>
      <c r="B109" s="1" t="s">
        <v>21</v>
      </c>
      <c r="C109" s="1">
        <v>363.0</v>
      </c>
      <c r="D109" s="1" t="s">
        <v>16070</v>
      </c>
      <c r="E109" s="13" t="s">
        <v>16071</v>
      </c>
      <c r="F109" s="14">
        <v>40357.0</v>
      </c>
      <c r="G109" s="14">
        <v>40357.0</v>
      </c>
      <c r="H109" s="14">
        <v>40366.0</v>
      </c>
      <c r="I109" s="3"/>
      <c r="J109" s="789"/>
      <c r="K109" s="181"/>
      <c r="L109" s="181"/>
      <c r="M109" s="181"/>
      <c r="N109" s="181"/>
      <c r="O109" s="181"/>
      <c r="P109" s="181"/>
      <c r="Q109" s="181"/>
    </row>
    <row r="110" ht="12.75" customHeight="1">
      <c r="A110" s="1">
        <v>24054.0</v>
      </c>
      <c r="B110" s="1" t="s">
        <v>21</v>
      </c>
      <c r="C110" s="1">
        <v>650.0</v>
      </c>
      <c r="D110" s="1" t="s">
        <v>16072</v>
      </c>
      <c r="E110" s="13" t="s">
        <v>16073</v>
      </c>
      <c r="F110" s="14">
        <v>40354.0</v>
      </c>
      <c r="G110" s="14">
        <v>40358.0</v>
      </c>
      <c r="H110" s="14">
        <v>40365.0</v>
      </c>
      <c r="I110" s="807" t="s">
        <v>16074</v>
      </c>
      <c r="J110" s="789"/>
      <c r="K110" s="181"/>
      <c r="L110" s="181"/>
      <c r="M110" s="181"/>
      <c r="N110" s="181"/>
      <c r="O110" s="181"/>
      <c r="P110" s="181"/>
      <c r="Q110" s="181"/>
    </row>
    <row r="111" ht="12.75" customHeight="1">
      <c r="A111" s="1">
        <v>24053.0</v>
      </c>
      <c r="B111" s="1" t="s">
        <v>21</v>
      </c>
      <c r="C111" s="1">
        <v>250.0</v>
      </c>
      <c r="D111" s="1" t="s">
        <v>16075</v>
      </c>
      <c r="E111" s="13" t="s">
        <v>16076</v>
      </c>
      <c r="F111" s="14">
        <v>40346.0</v>
      </c>
      <c r="G111" s="14">
        <v>40358.0</v>
      </c>
      <c r="H111" s="14">
        <v>40354.0</v>
      </c>
      <c r="I111" s="3"/>
      <c r="J111" s="789"/>
      <c r="K111" s="181"/>
      <c r="L111" s="181"/>
      <c r="M111" s="181"/>
      <c r="N111" s="181"/>
      <c r="O111" s="181"/>
      <c r="P111" s="181"/>
      <c r="Q111" s="181"/>
    </row>
    <row r="112" ht="12.75" customHeight="1">
      <c r="A112" s="1">
        <v>23956.0</v>
      </c>
      <c r="B112" s="1" t="s">
        <v>21</v>
      </c>
      <c r="C112" s="1">
        <v>600.0</v>
      </c>
      <c r="D112" s="1" t="s">
        <v>16077</v>
      </c>
      <c r="E112" s="13" t="s">
        <v>3187</v>
      </c>
      <c r="F112" s="14">
        <v>40346.0</v>
      </c>
      <c r="G112" s="14">
        <v>40358.0</v>
      </c>
      <c r="H112" s="14">
        <v>40354.0</v>
      </c>
      <c r="I112" s="778" t="s">
        <v>16078</v>
      </c>
      <c r="J112" s="789"/>
      <c r="K112" s="181"/>
      <c r="L112" s="181"/>
      <c r="M112" s="181"/>
      <c r="N112" s="181"/>
      <c r="O112" s="181"/>
      <c r="P112" s="181"/>
      <c r="Q112" s="181"/>
    </row>
    <row r="113" ht="12.75" customHeight="1">
      <c r="A113" s="1">
        <v>23933.0</v>
      </c>
      <c r="B113" s="1" t="s">
        <v>21</v>
      </c>
      <c r="C113" s="1">
        <v>2823.0</v>
      </c>
      <c r="D113" s="1" t="s">
        <v>16079</v>
      </c>
      <c r="E113" s="13" t="s">
        <v>16080</v>
      </c>
      <c r="F113" s="14">
        <v>40345.0</v>
      </c>
      <c r="G113" s="14">
        <v>40346.0</v>
      </c>
      <c r="H113" s="14">
        <v>40347.0</v>
      </c>
      <c r="I113" s="3"/>
      <c r="J113" s="789"/>
      <c r="K113" s="181"/>
      <c r="L113" s="181"/>
      <c r="M113" s="181"/>
      <c r="N113" s="181"/>
      <c r="O113" s="181"/>
      <c r="P113" s="181"/>
      <c r="Q113" s="181"/>
    </row>
    <row r="114" ht="12.75" customHeight="1">
      <c r="A114" s="1">
        <v>23773.0</v>
      </c>
      <c r="B114" s="1" t="s">
        <v>21</v>
      </c>
      <c r="C114" s="1">
        <v>1134.0</v>
      </c>
      <c r="D114" s="1" t="s">
        <v>16081</v>
      </c>
      <c r="E114" s="13" t="s">
        <v>16082</v>
      </c>
      <c r="F114" s="14">
        <v>40339.0</v>
      </c>
      <c r="G114" s="14">
        <v>40340.0</v>
      </c>
      <c r="H114" s="14">
        <v>40344.0</v>
      </c>
      <c r="I114" s="3"/>
      <c r="J114" s="789"/>
      <c r="K114" s="181"/>
      <c r="L114" s="181"/>
      <c r="M114" s="181"/>
      <c r="N114" s="181"/>
      <c r="O114" s="181"/>
      <c r="P114" s="181"/>
      <c r="Q114" s="181"/>
    </row>
    <row r="115" ht="12.75" customHeight="1">
      <c r="A115" s="1">
        <v>23901.0</v>
      </c>
      <c r="B115" s="1" t="s">
        <v>21</v>
      </c>
      <c r="C115" s="1">
        <v>350.0</v>
      </c>
      <c r="D115" s="1" t="s">
        <v>16083</v>
      </c>
      <c r="E115" s="13" t="s">
        <v>16084</v>
      </c>
      <c r="F115" s="14">
        <v>40337.0</v>
      </c>
      <c r="G115" s="14">
        <v>40337.0</v>
      </c>
      <c r="H115" s="14">
        <v>40345.0</v>
      </c>
      <c r="I115" s="3"/>
      <c r="J115" s="789"/>
      <c r="K115" s="181"/>
      <c r="L115" s="181"/>
      <c r="M115" s="181"/>
      <c r="N115" s="181"/>
      <c r="O115" s="181"/>
      <c r="P115" s="181"/>
      <c r="Q115" s="181"/>
    </row>
    <row r="116" ht="12.75" customHeight="1">
      <c r="A116" s="1" t="s">
        <v>192</v>
      </c>
      <c r="B116" s="1" t="s">
        <v>21</v>
      </c>
      <c r="C116" s="1">
        <v>227.0</v>
      </c>
      <c r="D116" s="1" t="s">
        <v>16085</v>
      </c>
      <c r="E116" s="13" t="s">
        <v>16086</v>
      </c>
      <c r="F116" s="14">
        <v>40332.0</v>
      </c>
      <c r="G116" s="4" t="s">
        <v>210</v>
      </c>
      <c r="H116" s="14">
        <v>40337.0</v>
      </c>
      <c r="I116" s="795" t="s">
        <v>16087</v>
      </c>
      <c r="J116" s="789"/>
      <c r="K116" s="181"/>
      <c r="L116" s="181"/>
      <c r="M116" s="181"/>
      <c r="N116" s="181"/>
      <c r="O116" s="181"/>
      <c r="P116" s="181"/>
      <c r="Q116" s="181"/>
    </row>
    <row r="117" ht="12.75" customHeight="1">
      <c r="A117" s="1">
        <v>24002.0</v>
      </c>
      <c r="B117" s="1" t="s">
        <v>25</v>
      </c>
      <c r="C117" s="1">
        <v>2056.0</v>
      </c>
      <c r="D117" s="1" t="s">
        <v>16088</v>
      </c>
      <c r="E117" s="13" t="s">
        <v>16089</v>
      </c>
      <c r="F117" s="14">
        <v>40331.0</v>
      </c>
      <c r="G117" s="14">
        <v>40337.0</v>
      </c>
      <c r="H117" s="14">
        <v>40352.0</v>
      </c>
      <c r="I117" s="793" t="s">
        <v>16090</v>
      </c>
      <c r="J117" s="789"/>
      <c r="K117" s="181"/>
      <c r="L117" s="181"/>
      <c r="M117" s="181"/>
      <c r="N117" s="181"/>
      <c r="O117" s="181"/>
      <c r="P117" s="181"/>
      <c r="Q117" s="181"/>
    </row>
    <row r="118" ht="12.75" customHeight="1">
      <c r="A118" s="1">
        <v>23993.0</v>
      </c>
      <c r="B118" s="1" t="s">
        <v>21</v>
      </c>
      <c r="C118" s="1">
        <v>1125.0</v>
      </c>
      <c r="D118" s="1" t="s">
        <v>16091</v>
      </c>
      <c r="E118" s="13" t="s">
        <v>331</v>
      </c>
      <c r="F118" s="14">
        <v>40331.0</v>
      </c>
      <c r="G118" s="14">
        <v>40331.0</v>
      </c>
      <c r="H118" s="14">
        <v>40339.0</v>
      </c>
      <c r="I118" s="3"/>
      <c r="J118" s="789"/>
      <c r="K118" s="181"/>
      <c r="L118" s="181"/>
      <c r="M118" s="181"/>
      <c r="N118" s="181"/>
      <c r="O118" s="181"/>
      <c r="P118" s="181"/>
      <c r="Q118" s="181"/>
    </row>
    <row r="119" ht="12.75" customHeight="1">
      <c r="A119" s="1">
        <v>23875.0</v>
      </c>
      <c r="B119" s="1" t="s">
        <v>21</v>
      </c>
      <c r="C119" s="1">
        <v>946.0</v>
      </c>
      <c r="D119" s="1" t="s">
        <v>16092</v>
      </c>
      <c r="E119" s="13" t="s">
        <v>13864</v>
      </c>
      <c r="F119" s="14">
        <v>40326.0</v>
      </c>
      <c r="G119" s="14">
        <v>40330.0</v>
      </c>
      <c r="H119" s="14">
        <v>40332.0</v>
      </c>
      <c r="I119" s="3"/>
      <c r="J119" s="789"/>
      <c r="K119" s="181"/>
      <c r="L119" s="181"/>
      <c r="M119" s="181"/>
      <c r="N119" s="181"/>
      <c r="O119" s="181"/>
      <c r="P119" s="181"/>
      <c r="Q119" s="181"/>
    </row>
    <row r="120" ht="12.75" customHeight="1">
      <c r="A120" s="1">
        <v>23926.0</v>
      </c>
      <c r="B120" s="1" t="s">
        <v>14</v>
      </c>
      <c r="C120" s="1">
        <v>2188.0</v>
      </c>
      <c r="D120" s="1" t="s">
        <v>16093</v>
      </c>
      <c r="E120" s="13" t="s">
        <v>16094</v>
      </c>
      <c r="F120" s="14">
        <v>40324.0</v>
      </c>
      <c r="G120" s="14">
        <v>40325.0</v>
      </c>
      <c r="H120" s="14">
        <v>40333.0</v>
      </c>
      <c r="I120" s="3"/>
      <c r="J120" s="789"/>
      <c r="K120" s="181"/>
      <c r="L120" s="181"/>
      <c r="M120" s="181"/>
      <c r="N120" s="181"/>
      <c r="O120" s="181"/>
      <c r="P120" s="181"/>
      <c r="Q120" s="181"/>
    </row>
    <row r="121" ht="12.75" customHeight="1">
      <c r="A121" s="1">
        <v>23957.0</v>
      </c>
      <c r="B121" s="1" t="s">
        <v>14</v>
      </c>
      <c r="C121" s="1">
        <v>2200.0</v>
      </c>
      <c r="D121" s="1" t="s">
        <v>16095</v>
      </c>
      <c r="E121" s="13" t="s">
        <v>16096</v>
      </c>
      <c r="F121" s="14">
        <v>40320.0</v>
      </c>
      <c r="G121" s="14">
        <v>40325.0</v>
      </c>
      <c r="H121" s="14">
        <v>40333.0</v>
      </c>
      <c r="I121" s="3"/>
      <c r="J121" s="789"/>
      <c r="K121" s="181"/>
      <c r="L121" s="181"/>
      <c r="M121" s="181"/>
      <c r="N121" s="181"/>
      <c r="O121" s="181"/>
      <c r="P121" s="181"/>
      <c r="Q121" s="181"/>
    </row>
    <row r="122" ht="12.75" customHeight="1">
      <c r="A122" s="1" t="s">
        <v>192</v>
      </c>
      <c r="B122" s="1" t="s">
        <v>21</v>
      </c>
      <c r="C122" s="1">
        <v>48.0</v>
      </c>
      <c r="D122" s="1" t="s">
        <v>16097</v>
      </c>
      <c r="E122" s="13" t="s">
        <v>16098</v>
      </c>
      <c r="F122" s="14">
        <v>40319.0</v>
      </c>
      <c r="G122" s="4" t="s">
        <v>210</v>
      </c>
      <c r="H122" s="14">
        <v>40324.0</v>
      </c>
      <c r="I122" s="807" t="s">
        <v>16099</v>
      </c>
      <c r="J122" s="789"/>
      <c r="K122" s="181"/>
      <c r="L122" s="181"/>
      <c r="M122" s="181"/>
      <c r="N122" s="181"/>
      <c r="O122" s="181"/>
      <c r="P122" s="181"/>
      <c r="Q122" s="181"/>
    </row>
    <row r="123" ht="12.75" customHeight="1">
      <c r="A123" s="1">
        <v>23946.0</v>
      </c>
      <c r="B123" s="1" t="s">
        <v>21</v>
      </c>
      <c r="C123" s="1">
        <v>488.0</v>
      </c>
      <c r="D123" s="1" t="s">
        <v>16100</v>
      </c>
      <c r="E123" s="13" t="s">
        <v>16101</v>
      </c>
      <c r="F123" s="14">
        <v>40313.0</v>
      </c>
      <c r="G123" s="14">
        <v>40315.0</v>
      </c>
      <c r="H123" s="14">
        <v>40319.0</v>
      </c>
      <c r="I123" s="3"/>
      <c r="J123" s="789"/>
      <c r="K123" s="181"/>
      <c r="L123" s="181"/>
      <c r="M123" s="181"/>
      <c r="N123" s="181"/>
      <c r="O123" s="181"/>
      <c r="P123" s="181"/>
      <c r="Q123" s="181"/>
    </row>
    <row r="124" ht="12.75" customHeight="1">
      <c r="A124" s="1">
        <v>23795.0</v>
      </c>
      <c r="B124" s="1" t="s">
        <v>14</v>
      </c>
      <c r="C124" s="1">
        <v>530.0</v>
      </c>
      <c r="D124" s="1" t="s">
        <v>16102</v>
      </c>
      <c r="E124" s="13" t="s">
        <v>16103</v>
      </c>
      <c r="F124" s="14">
        <v>40311.0</v>
      </c>
      <c r="G124" s="14">
        <v>40330.0</v>
      </c>
      <c r="H124" s="14">
        <v>40324.0</v>
      </c>
      <c r="I124" s="793" t="s">
        <v>16104</v>
      </c>
      <c r="J124" s="789"/>
      <c r="K124" s="181"/>
      <c r="L124" s="181"/>
      <c r="M124" s="181"/>
      <c r="N124" s="181"/>
      <c r="O124" s="181"/>
      <c r="P124" s="181"/>
      <c r="Q124" s="181"/>
    </row>
    <row r="125" ht="12.75" customHeight="1">
      <c r="A125" s="1">
        <v>23772.0</v>
      </c>
      <c r="B125" s="1" t="s">
        <v>14</v>
      </c>
      <c r="C125" s="1">
        <v>1134.0</v>
      </c>
      <c r="D125" s="1" t="s">
        <v>16105</v>
      </c>
      <c r="E125" s="13" t="s">
        <v>16082</v>
      </c>
      <c r="F125" s="14">
        <v>40309.0</v>
      </c>
      <c r="G125" s="14">
        <v>40315.0</v>
      </c>
      <c r="H125" s="14">
        <v>40312.0</v>
      </c>
      <c r="I125" s="3"/>
      <c r="J125" s="789"/>
      <c r="K125" s="181"/>
      <c r="L125" s="181"/>
      <c r="M125" s="181"/>
      <c r="N125" s="181"/>
      <c r="O125" s="181"/>
      <c r="P125" s="181"/>
      <c r="Q125" s="181"/>
    </row>
    <row r="126" ht="12.75" customHeight="1">
      <c r="A126" s="1">
        <v>23905.0</v>
      </c>
      <c r="B126" s="1" t="s">
        <v>14</v>
      </c>
      <c r="C126" s="1">
        <v>1454.0</v>
      </c>
      <c r="D126" s="1" t="s">
        <v>16106</v>
      </c>
      <c r="E126" s="13" t="s">
        <v>16107</v>
      </c>
      <c r="F126" s="14">
        <v>40303.0</v>
      </c>
      <c r="G126" s="14">
        <v>40308.0</v>
      </c>
      <c r="H126" s="14">
        <v>40309.0</v>
      </c>
      <c r="I126" s="3"/>
      <c r="J126" s="789"/>
      <c r="K126" s="181"/>
      <c r="L126" s="181"/>
      <c r="M126" s="181"/>
      <c r="N126" s="181"/>
      <c r="O126" s="181"/>
      <c r="P126" s="181"/>
      <c r="Q126" s="181"/>
    </row>
    <row r="127" ht="12.75" customHeight="1">
      <c r="A127" s="1">
        <v>23828.0</v>
      </c>
      <c r="B127" s="1" t="s">
        <v>14</v>
      </c>
      <c r="C127" s="1">
        <v>938.0</v>
      </c>
      <c r="D127" s="1" t="s">
        <v>16108</v>
      </c>
      <c r="E127" s="13" t="s">
        <v>13864</v>
      </c>
      <c r="F127" s="14">
        <v>40298.0</v>
      </c>
      <c r="G127" s="14">
        <v>40297.0</v>
      </c>
      <c r="H127" s="14">
        <v>40301.0</v>
      </c>
      <c r="I127" s="3"/>
      <c r="J127" s="789"/>
      <c r="K127" s="181"/>
      <c r="L127" s="181"/>
      <c r="M127" s="181"/>
      <c r="N127" s="181"/>
      <c r="O127" s="181"/>
      <c r="P127" s="181"/>
      <c r="Q127" s="181"/>
    </row>
    <row r="128" ht="12.75" customHeight="1">
      <c r="A128" s="1">
        <v>23879.0</v>
      </c>
      <c r="B128" s="1" t="s">
        <v>14</v>
      </c>
      <c r="C128" s="1">
        <v>836.0</v>
      </c>
      <c r="D128" s="1" t="s">
        <v>16109</v>
      </c>
      <c r="E128" s="13" t="s">
        <v>16110</v>
      </c>
      <c r="F128" s="14">
        <v>40297.0</v>
      </c>
      <c r="G128" s="14">
        <v>40297.0</v>
      </c>
      <c r="H128" s="14">
        <v>40303.0</v>
      </c>
      <c r="I128" s="3"/>
      <c r="J128" s="789"/>
      <c r="K128" s="181"/>
      <c r="L128" s="181"/>
      <c r="M128" s="181"/>
      <c r="N128" s="181"/>
      <c r="O128" s="181"/>
      <c r="P128" s="181"/>
      <c r="Q128" s="181"/>
    </row>
    <row r="129" ht="12.75" customHeight="1">
      <c r="A129" s="1">
        <v>23855.0</v>
      </c>
      <c r="B129" s="1" t="s">
        <v>14</v>
      </c>
      <c r="C129" s="1">
        <v>607.0</v>
      </c>
      <c r="D129" s="1" t="s">
        <v>16111</v>
      </c>
      <c r="E129" s="13" t="s">
        <v>16112</v>
      </c>
      <c r="F129" s="14">
        <v>40296.0</v>
      </c>
      <c r="G129" s="14">
        <v>40297.0</v>
      </c>
      <c r="H129" s="14">
        <v>40315.0</v>
      </c>
      <c r="I129" s="793" t="s">
        <v>16113</v>
      </c>
      <c r="J129" s="789"/>
      <c r="K129" s="181"/>
      <c r="L129" s="181"/>
      <c r="M129" s="181"/>
      <c r="N129" s="181"/>
      <c r="O129" s="181"/>
      <c r="P129" s="181"/>
      <c r="Q129" s="181"/>
    </row>
    <row r="130" ht="12.75" customHeight="1">
      <c r="A130" s="1">
        <v>23746.0</v>
      </c>
      <c r="B130" s="1" t="s">
        <v>21</v>
      </c>
      <c r="C130" s="1">
        <v>1764.0</v>
      </c>
      <c r="D130" s="1" t="s">
        <v>16114</v>
      </c>
      <c r="E130" s="13" t="s">
        <v>16115</v>
      </c>
      <c r="F130" s="14">
        <v>40294.0</v>
      </c>
      <c r="G130" s="14">
        <v>40295.0</v>
      </c>
      <c r="H130" s="14">
        <v>40298.0</v>
      </c>
      <c r="I130" s="807" t="s">
        <v>16116</v>
      </c>
      <c r="J130" s="789"/>
      <c r="K130" s="181"/>
      <c r="L130" s="181"/>
      <c r="M130" s="181"/>
      <c r="N130" s="181"/>
      <c r="O130" s="181"/>
      <c r="P130" s="181"/>
      <c r="Q130" s="181"/>
    </row>
    <row r="131" ht="12.75" customHeight="1">
      <c r="A131" s="6">
        <v>23755.0</v>
      </c>
      <c r="B131" s="1" t="s">
        <v>14</v>
      </c>
      <c r="C131" s="1">
        <v>562.0</v>
      </c>
      <c r="D131" s="1" t="s">
        <v>16117</v>
      </c>
      <c r="E131" s="13" t="s">
        <v>16118</v>
      </c>
      <c r="F131" s="14">
        <v>40291.0</v>
      </c>
      <c r="G131" s="14">
        <v>40297.0</v>
      </c>
      <c r="H131" s="14">
        <v>40295.0</v>
      </c>
      <c r="I131" s="3"/>
      <c r="J131" s="789"/>
      <c r="K131" s="181"/>
      <c r="L131" s="181"/>
      <c r="M131" s="181"/>
      <c r="N131" s="181"/>
      <c r="O131" s="181"/>
      <c r="P131" s="181"/>
      <c r="Q131" s="181"/>
    </row>
    <row r="132" ht="12.75" customHeight="1">
      <c r="A132" s="1">
        <v>23884.0</v>
      </c>
      <c r="B132" s="1" t="s">
        <v>14</v>
      </c>
      <c r="C132" s="1">
        <v>350.0</v>
      </c>
      <c r="D132" s="1" t="s">
        <v>16119</v>
      </c>
      <c r="E132" s="13" t="s">
        <v>16120</v>
      </c>
      <c r="F132" s="14">
        <v>40286.0</v>
      </c>
      <c r="G132" s="14">
        <v>40289.0</v>
      </c>
      <c r="H132" s="14">
        <v>40291.0</v>
      </c>
      <c r="I132" s="3"/>
      <c r="J132" s="789"/>
      <c r="K132" s="181"/>
      <c r="L132" s="181"/>
      <c r="M132" s="181"/>
      <c r="N132" s="181"/>
      <c r="O132" s="181"/>
      <c r="P132" s="181"/>
      <c r="Q132" s="181"/>
    </row>
    <row r="133" ht="12.75" customHeight="1">
      <c r="A133" s="1">
        <v>23754.0</v>
      </c>
      <c r="B133" s="1" t="s">
        <v>21</v>
      </c>
      <c r="C133" s="1">
        <v>1419.0</v>
      </c>
      <c r="D133" s="1" t="s">
        <v>16121</v>
      </c>
      <c r="E133" s="13" t="s">
        <v>16122</v>
      </c>
      <c r="F133" s="14">
        <v>40285.0</v>
      </c>
      <c r="G133" s="14">
        <v>40325.0</v>
      </c>
      <c r="H133" s="14">
        <v>40291.0</v>
      </c>
      <c r="I133" s="793" t="s">
        <v>16123</v>
      </c>
      <c r="J133" s="789"/>
      <c r="K133" s="181"/>
      <c r="L133" s="181"/>
      <c r="M133" s="181"/>
      <c r="N133" s="181"/>
      <c r="O133" s="181"/>
      <c r="P133" s="181"/>
      <c r="Q133" s="181"/>
    </row>
    <row r="134" ht="12.75" customHeight="1">
      <c r="A134" s="1">
        <v>23889.0</v>
      </c>
      <c r="B134" s="1" t="s">
        <v>21</v>
      </c>
      <c r="C134" s="1">
        <v>800.0</v>
      </c>
      <c r="D134" s="1" t="s">
        <v>16124</v>
      </c>
      <c r="E134" s="13" t="s">
        <v>16125</v>
      </c>
      <c r="F134" s="14">
        <v>40284.0</v>
      </c>
      <c r="G134" s="14">
        <v>40297.0</v>
      </c>
      <c r="H134" s="14">
        <v>40290.0</v>
      </c>
      <c r="I134" s="793" t="s">
        <v>16126</v>
      </c>
      <c r="J134" s="789"/>
      <c r="K134" s="181"/>
      <c r="L134" s="181"/>
      <c r="M134" s="181"/>
      <c r="N134" s="181"/>
      <c r="O134" s="181"/>
      <c r="P134" s="181"/>
      <c r="Q134" s="181"/>
    </row>
    <row r="135" ht="12.75" customHeight="1">
      <c r="A135" s="1">
        <v>23608.0</v>
      </c>
      <c r="B135" s="1" t="s">
        <v>21</v>
      </c>
      <c r="C135" s="1">
        <v>713.0</v>
      </c>
      <c r="D135" s="1" t="s">
        <v>16127</v>
      </c>
      <c r="E135" s="13" t="s">
        <v>376</v>
      </c>
      <c r="F135" s="14">
        <v>40283.0</v>
      </c>
      <c r="G135" s="14">
        <v>40290.0</v>
      </c>
      <c r="H135" s="14">
        <v>40284.0</v>
      </c>
      <c r="I135" s="3"/>
      <c r="J135" s="789"/>
      <c r="K135" s="181"/>
      <c r="L135" s="181"/>
      <c r="M135" s="181"/>
      <c r="N135" s="181"/>
      <c r="O135" s="181"/>
      <c r="P135" s="181"/>
      <c r="Q135" s="181"/>
    </row>
    <row r="136" ht="12.75" customHeight="1">
      <c r="A136" s="1">
        <v>23610.0</v>
      </c>
      <c r="B136" s="1" t="s">
        <v>21</v>
      </c>
      <c r="C136" s="1">
        <v>537.0</v>
      </c>
      <c r="D136" s="1" t="s">
        <v>16128</v>
      </c>
      <c r="E136" s="13" t="s">
        <v>15916</v>
      </c>
      <c r="F136" s="14">
        <v>40281.0</v>
      </c>
      <c r="G136" s="14">
        <v>40289.0</v>
      </c>
      <c r="H136" s="14">
        <v>40288.0</v>
      </c>
      <c r="I136" s="3"/>
      <c r="J136" s="789"/>
      <c r="K136" s="181"/>
      <c r="L136" s="181"/>
      <c r="M136" s="181"/>
      <c r="N136" s="181"/>
      <c r="O136" s="181"/>
      <c r="P136" s="181"/>
      <c r="Q136" s="181"/>
    </row>
    <row r="137" ht="12.75" customHeight="1">
      <c r="A137" s="1">
        <v>23829.0</v>
      </c>
      <c r="B137" s="1" t="s">
        <v>14</v>
      </c>
      <c r="C137" s="1">
        <v>1015.0</v>
      </c>
      <c r="D137" s="1" t="s">
        <v>16129</v>
      </c>
      <c r="E137" s="13" t="s">
        <v>331</v>
      </c>
      <c r="F137" s="14">
        <v>40281.0</v>
      </c>
      <c r="G137" s="14">
        <v>40283.0</v>
      </c>
      <c r="H137" s="14">
        <v>40288.0</v>
      </c>
      <c r="I137" s="3"/>
      <c r="J137" s="789"/>
      <c r="K137" s="181"/>
      <c r="L137" s="181"/>
      <c r="M137" s="181"/>
      <c r="N137" s="181"/>
      <c r="O137" s="181"/>
      <c r="P137" s="181"/>
      <c r="Q137" s="181"/>
    </row>
    <row r="138" ht="12.75" customHeight="1">
      <c r="A138" s="1">
        <v>23861.0</v>
      </c>
      <c r="B138" s="1" t="s">
        <v>21</v>
      </c>
      <c r="C138" s="1">
        <v>836.0</v>
      </c>
      <c r="D138" s="1" t="s">
        <v>16130</v>
      </c>
      <c r="E138" s="13" t="s">
        <v>16131</v>
      </c>
      <c r="F138" s="14">
        <v>40281.0</v>
      </c>
      <c r="G138" s="14">
        <v>40277.0</v>
      </c>
      <c r="H138" s="14">
        <v>40283.0</v>
      </c>
      <c r="I138" s="3"/>
      <c r="J138" s="789"/>
      <c r="K138" s="181"/>
      <c r="L138" s="181"/>
      <c r="M138" s="181"/>
      <c r="N138" s="181"/>
      <c r="O138" s="181"/>
      <c r="P138" s="181"/>
      <c r="Q138" s="181"/>
    </row>
    <row r="139" ht="12.75" customHeight="1">
      <c r="A139" s="1">
        <v>23770.0</v>
      </c>
      <c r="B139" s="1" t="s">
        <v>21</v>
      </c>
      <c r="C139" s="1">
        <v>211.0</v>
      </c>
      <c r="D139" s="1" t="s">
        <v>16132</v>
      </c>
      <c r="E139" s="13" t="s">
        <v>12622</v>
      </c>
      <c r="F139" s="14">
        <v>40280.0</v>
      </c>
      <c r="G139" s="14">
        <v>40280.0</v>
      </c>
      <c r="H139" s="14">
        <v>40283.0</v>
      </c>
      <c r="I139" s="3"/>
      <c r="J139" s="789"/>
      <c r="K139" s="181"/>
      <c r="L139" s="181"/>
      <c r="M139" s="181"/>
      <c r="N139" s="181"/>
      <c r="O139" s="181"/>
      <c r="P139" s="181"/>
      <c r="Q139" s="181"/>
    </row>
    <row r="140" ht="12.75" customHeight="1">
      <c r="A140" s="1">
        <v>23856.0</v>
      </c>
      <c r="B140" s="1" t="s">
        <v>14</v>
      </c>
      <c r="C140" s="1">
        <v>700.0</v>
      </c>
      <c r="D140" s="1" t="s">
        <v>16133</v>
      </c>
      <c r="E140" s="13" t="s">
        <v>331</v>
      </c>
      <c r="F140" s="14">
        <v>40276.0</v>
      </c>
      <c r="G140" s="14">
        <v>40277.0</v>
      </c>
      <c r="H140" s="14">
        <v>40290.0</v>
      </c>
      <c r="I140" s="795" t="s">
        <v>16134</v>
      </c>
      <c r="J140" s="789"/>
      <c r="K140" s="181"/>
      <c r="L140" s="181"/>
      <c r="M140" s="181"/>
      <c r="N140" s="181"/>
      <c r="O140" s="181"/>
      <c r="P140" s="181"/>
      <c r="Q140" s="181"/>
    </row>
    <row r="141" ht="12.75" customHeight="1">
      <c r="A141" s="1">
        <v>23753.0</v>
      </c>
      <c r="B141" s="1" t="s">
        <v>25</v>
      </c>
      <c r="C141" s="1">
        <v>1419.0</v>
      </c>
      <c r="D141" s="1" t="s">
        <v>16135</v>
      </c>
      <c r="E141" s="13" t="s">
        <v>16122</v>
      </c>
      <c r="F141" s="14">
        <v>40274.0</v>
      </c>
      <c r="G141" s="14">
        <v>40277.0</v>
      </c>
      <c r="H141" s="14">
        <v>40282.0</v>
      </c>
      <c r="I141" s="3"/>
      <c r="J141" s="789"/>
      <c r="K141" s="181"/>
      <c r="L141" s="181"/>
      <c r="M141" s="181"/>
      <c r="N141" s="181"/>
      <c r="O141" s="181"/>
      <c r="P141" s="181"/>
      <c r="Q141" s="181"/>
    </row>
    <row r="142" ht="12.75" customHeight="1">
      <c r="A142" s="1">
        <v>23863.0</v>
      </c>
      <c r="B142" s="1" t="s">
        <v>21</v>
      </c>
      <c r="C142" s="1">
        <v>638.0</v>
      </c>
      <c r="D142" s="1" t="s">
        <v>16136</v>
      </c>
      <c r="E142" s="13" t="s">
        <v>16137</v>
      </c>
      <c r="F142" s="14">
        <v>40273.0</v>
      </c>
      <c r="G142" s="14">
        <v>40270.0</v>
      </c>
      <c r="H142" s="14">
        <v>40281.0</v>
      </c>
      <c r="I142" s="3"/>
      <c r="J142" s="789"/>
      <c r="K142" s="181"/>
      <c r="L142" s="181"/>
      <c r="M142" s="181"/>
      <c r="N142" s="181"/>
      <c r="O142" s="181"/>
      <c r="P142" s="181"/>
      <c r="Q142" s="181"/>
    </row>
    <row r="143" ht="12.75" customHeight="1">
      <c r="A143" s="1">
        <v>23746.0</v>
      </c>
      <c r="B143" s="1" t="s">
        <v>21</v>
      </c>
      <c r="C143" s="1">
        <v>1764.0</v>
      </c>
      <c r="D143" s="1" t="s">
        <v>16138</v>
      </c>
      <c r="E143" s="13" t="s">
        <v>15749</v>
      </c>
      <c r="F143" s="14">
        <v>40268.0</v>
      </c>
      <c r="G143" s="14">
        <v>40269.0</v>
      </c>
      <c r="H143" s="14">
        <v>40269.0</v>
      </c>
      <c r="I143" s="3"/>
      <c r="J143" s="789"/>
      <c r="K143" s="181"/>
      <c r="L143" s="181"/>
      <c r="M143" s="181"/>
      <c r="N143" s="181"/>
      <c r="O143" s="181"/>
      <c r="P143" s="181"/>
      <c r="Q143" s="181"/>
    </row>
    <row r="144" ht="12.75" customHeight="1">
      <c r="A144" s="1" t="s">
        <v>192</v>
      </c>
      <c r="B144" s="1" t="s">
        <v>21</v>
      </c>
      <c r="C144" s="1">
        <v>237.0</v>
      </c>
      <c r="D144" s="1" t="s">
        <v>16139</v>
      </c>
      <c r="E144" s="13" t="s">
        <v>16140</v>
      </c>
      <c r="F144" s="14">
        <v>40267.0</v>
      </c>
      <c r="G144" s="14">
        <v>40269.0</v>
      </c>
      <c r="H144" s="14">
        <v>40269.0</v>
      </c>
      <c r="I144" s="793" t="s">
        <v>16141</v>
      </c>
      <c r="J144" s="789"/>
      <c r="K144" s="181"/>
      <c r="L144" s="181"/>
      <c r="M144" s="181"/>
      <c r="N144" s="181"/>
      <c r="O144" s="181"/>
      <c r="P144" s="181"/>
      <c r="Q144" s="181"/>
    </row>
    <row r="145" ht="12.75" customHeight="1">
      <c r="A145" s="1">
        <v>23830.0</v>
      </c>
      <c r="B145" s="1" t="s">
        <v>21</v>
      </c>
      <c r="C145" s="1">
        <v>836.0</v>
      </c>
      <c r="D145" s="1" t="s">
        <v>16142</v>
      </c>
      <c r="E145" s="13" t="s">
        <v>16143</v>
      </c>
      <c r="F145" s="14">
        <v>40263.0</v>
      </c>
      <c r="G145" s="14">
        <v>40260.0</v>
      </c>
      <c r="H145" s="14">
        <v>40270.0</v>
      </c>
      <c r="I145" s="3"/>
      <c r="J145" s="789"/>
      <c r="K145" s="181"/>
      <c r="L145" s="181"/>
      <c r="M145" s="181"/>
      <c r="N145" s="181"/>
      <c r="O145" s="181"/>
      <c r="P145" s="181"/>
      <c r="Q145" s="181"/>
    </row>
    <row r="146" ht="12.75" customHeight="1">
      <c r="A146" s="1">
        <v>23824.0</v>
      </c>
      <c r="B146" s="1" t="s">
        <v>21</v>
      </c>
      <c r="C146" s="1">
        <v>680.0</v>
      </c>
      <c r="D146" s="1" t="s">
        <v>16144</v>
      </c>
      <c r="E146" s="13" t="s">
        <v>16145</v>
      </c>
      <c r="F146" s="14">
        <v>40259.0</v>
      </c>
      <c r="G146" s="14">
        <v>40256.0</v>
      </c>
      <c r="H146" s="14">
        <v>40266.0</v>
      </c>
      <c r="I146" s="3"/>
      <c r="J146" s="789"/>
      <c r="K146" s="181"/>
      <c r="L146" s="181"/>
      <c r="M146" s="181"/>
      <c r="N146" s="181"/>
      <c r="O146" s="181"/>
      <c r="P146" s="181"/>
      <c r="Q146" s="181"/>
    </row>
    <row r="147" ht="12.75" customHeight="1">
      <c r="A147" s="1">
        <v>23705.0</v>
      </c>
      <c r="B147" s="1" t="s">
        <v>21</v>
      </c>
      <c r="C147" s="1">
        <v>490.0</v>
      </c>
      <c r="D147" s="1" t="s">
        <v>16146</v>
      </c>
      <c r="E147" s="13" t="s">
        <v>16147</v>
      </c>
      <c r="F147" s="14">
        <v>40253.0</v>
      </c>
      <c r="G147" s="14">
        <v>40252.0</v>
      </c>
      <c r="H147" s="14">
        <v>40260.0</v>
      </c>
      <c r="I147" s="3"/>
      <c r="J147" s="789"/>
      <c r="K147" s="181"/>
      <c r="L147" s="181"/>
      <c r="M147" s="181"/>
      <c r="N147" s="181"/>
      <c r="O147" s="181"/>
      <c r="P147" s="181"/>
      <c r="Q147" s="181"/>
    </row>
    <row r="148" ht="12.75" customHeight="1">
      <c r="A148" s="1">
        <v>23814.0</v>
      </c>
      <c r="B148" s="1" t="s">
        <v>21</v>
      </c>
      <c r="C148" s="1">
        <v>425.0</v>
      </c>
      <c r="D148" s="1" t="s">
        <v>16148</v>
      </c>
      <c r="E148" s="13" t="s">
        <v>16149</v>
      </c>
      <c r="F148" s="14">
        <v>40250.0</v>
      </c>
      <c r="G148" s="14">
        <v>40249.0</v>
      </c>
      <c r="H148" s="14">
        <v>40255.0</v>
      </c>
      <c r="I148" s="3"/>
      <c r="J148" s="789"/>
      <c r="K148" s="181"/>
      <c r="L148" s="181"/>
      <c r="M148" s="181"/>
      <c r="N148" s="181"/>
      <c r="O148" s="181"/>
      <c r="P148" s="181"/>
      <c r="Q148" s="181"/>
    </row>
    <row r="149" ht="12.75" customHeight="1">
      <c r="A149" s="1">
        <v>23799.0</v>
      </c>
      <c r="B149" s="1" t="s">
        <v>21</v>
      </c>
      <c r="C149" s="1">
        <v>616.0</v>
      </c>
      <c r="D149" s="1" t="s">
        <v>16150</v>
      </c>
      <c r="E149" s="13" t="s">
        <v>16151</v>
      </c>
      <c r="F149" s="14">
        <v>40248.0</v>
      </c>
      <c r="G149" s="14">
        <v>40252.0</v>
      </c>
      <c r="H149" s="14">
        <v>40254.0</v>
      </c>
      <c r="I149" s="3"/>
      <c r="J149" s="789"/>
      <c r="K149" s="181"/>
      <c r="L149" s="181"/>
      <c r="M149" s="181"/>
      <c r="N149" s="181"/>
      <c r="O149" s="181"/>
      <c r="P149" s="181"/>
      <c r="Q149" s="181"/>
    </row>
    <row r="150" ht="12.75" customHeight="1">
      <c r="A150" s="1">
        <v>23776.0</v>
      </c>
      <c r="B150" s="1" t="s">
        <v>14</v>
      </c>
      <c r="C150" s="1">
        <v>836.0</v>
      </c>
      <c r="D150" s="1" t="s">
        <v>16152</v>
      </c>
      <c r="E150" s="13" t="s">
        <v>16153</v>
      </c>
      <c r="F150" s="14">
        <v>40247.0</v>
      </c>
      <c r="G150" s="14">
        <v>40249.0</v>
      </c>
      <c r="H150" s="14">
        <v>40249.0</v>
      </c>
      <c r="I150" s="3"/>
      <c r="J150" s="789"/>
      <c r="K150" s="181"/>
      <c r="L150" s="181"/>
      <c r="M150" s="181"/>
      <c r="N150" s="181"/>
      <c r="O150" s="181"/>
      <c r="P150" s="181"/>
      <c r="Q150" s="181"/>
    </row>
    <row r="151" ht="12.75" customHeight="1">
      <c r="A151" s="1">
        <v>23535.0</v>
      </c>
      <c r="B151" s="1" t="s">
        <v>21</v>
      </c>
      <c r="C151" s="1">
        <v>130.0</v>
      </c>
      <c r="D151" s="1" t="s">
        <v>16154</v>
      </c>
      <c r="E151" s="13" t="s">
        <v>12622</v>
      </c>
      <c r="F151" s="14">
        <v>40241.0</v>
      </c>
      <c r="G151" s="14">
        <v>40242.0</v>
      </c>
      <c r="H151" s="14">
        <v>40253.0</v>
      </c>
      <c r="I151" s="3"/>
      <c r="J151" s="789"/>
      <c r="K151" s="181"/>
      <c r="L151" s="181"/>
      <c r="M151" s="181"/>
      <c r="N151" s="181"/>
      <c r="O151" s="181"/>
      <c r="P151" s="181"/>
      <c r="Q151" s="181"/>
    </row>
    <row r="152" ht="12.75" customHeight="1">
      <c r="A152" s="1">
        <v>23581.0</v>
      </c>
      <c r="B152" s="1" t="s">
        <v>21</v>
      </c>
      <c r="C152" s="1">
        <v>2590.0</v>
      </c>
      <c r="D152" s="1" t="s">
        <v>16155</v>
      </c>
      <c r="E152" s="13" t="s">
        <v>16082</v>
      </c>
      <c r="F152" s="14">
        <v>40241.0</v>
      </c>
      <c r="G152" s="14">
        <v>40241.0</v>
      </c>
      <c r="H152" s="14">
        <v>40248.0</v>
      </c>
      <c r="I152" s="807" t="s">
        <v>16156</v>
      </c>
      <c r="J152" s="789"/>
      <c r="K152" s="181"/>
      <c r="L152" s="181"/>
      <c r="M152" s="181"/>
      <c r="N152" s="181"/>
      <c r="O152" s="181"/>
      <c r="P152" s="181"/>
      <c r="Q152" s="181"/>
    </row>
    <row r="153" ht="12.75" customHeight="1">
      <c r="A153" s="1">
        <v>23748.0</v>
      </c>
      <c r="B153" s="1" t="s">
        <v>14</v>
      </c>
      <c r="C153" s="1">
        <v>836.0</v>
      </c>
      <c r="D153" s="1" t="s">
        <v>16157</v>
      </c>
      <c r="E153" s="13" t="s">
        <v>16158</v>
      </c>
      <c r="F153" s="14">
        <v>40239.0</v>
      </c>
      <c r="G153" s="14">
        <v>40239.0</v>
      </c>
      <c r="H153" s="14">
        <v>40245.0</v>
      </c>
      <c r="I153" s="3"/>
      <c r="J153" s="789"/>
      <c r="K153" s="181"/>
      <c r="L153" s="181"/>
      <c r="M153" s="181"/>
      <c r="N153" s="181"/>
      <c r="O153" s="181"/>
      <c r="P153" s="181"/>
      <c r="Q153" s="181"/>
    </row>
    <row r="154" ht="12.75" customHeight="1">
      <c r="A154" s="1">
        <v>23699.0</v>
      </c>
      <c r="B154" s="1" t="s">
        <v>14</v>
      </c>
      <c r="C154" s="1">
        <v>647.0</v>
      </c>
      <c r="D154" s="1" t="s">
        <v>16159</v>
      </c>
      <c r="E154" s="13" t="s">
        <v>16160</v>
      </c>
      <c r="F154" s="14">
        <v>40230.0</v>
      </c>
      <c r="G154" s="14">
        <v>40232.0</v>
      </c>
      <c r="H154" s="14">
        <v>40241.0</v>
      </c>
      <c r="I154" s="807" t="s">
        <v>16161</v>
      </c>
      <c r="J154" s="789"/>
      <c r="K154" s="181"/>
      <c r="L154" s="181"/>
      <c r="M154" s="181"/>
      <c r="N154" s="181"/>
      <c r="O154" s="181"/>
      <c r="P154" s="181"/>
      <c r="Q154" s="181"/>
    </row>
    <row r="155" ht="12.75" customHeight="1">
      <c r="A155" s="1">
        <v>23731.0</v>
      </c>
      <c r="B155" s="1" t="s">
        <v>21</v>
      </c>
      <c r="C155" s="1">
        <v>230.0</v>
      </c>
      <c r="D155" s="1" t="s">
        <v>16162</v>
      </c>
      <c r="E155" s="13" t="s">
        <v>16149</v>
      </c>
      <c r="F155" s="14">
        <v>40230.0</v>
      </c>
      <c r="G155" s="14">
        <v>40228.0</v>
      </c>
      <c r="H155" s="14">
        <v>40239.0</v>
      </c>
      <c r="I155" s="807" t="s">
        <v>16163</v>
      </c>
      <c r="J155" s="789"/>
      <c r="K155" s="181"/>
      <c r="L155" s="181"/>
      <c r="M155" s="181"/>
      <c r="N155" s="181"/>
      <c r="O155" s="181"/>
      <c r="P155" s="181"/>
      <c r="Q155" s="181"/>
    </row>
    <row r="156" ht="12.75" customHeight="1">
      <c r="A156" s="1">
        <v>23728.0</v>
      </c>
      <c r="B156" s="1" t="s">
        <v>14</v>
      </c>
      <c r="C156" s="1">
        <v>1450.0</v>
      </c>
      <c r="D156" s="1" t="s">
        <v>16164</v>
      </c>
      <c r="E156" s="13" t="s">
        <v>16165</v>
      </c>
      <c r="F156" s="14">
        <v>40225.0</v>
      </c>
      <c r="G156" s="14">
        <v>40232.0</v>
      </c>
      <c r="H156" s="14">
        <v>40233.0</v>
      </c>
      <c r="I156" s="3"/>
      <c r="J156" s="789"/>
      <c r="K156" s="181"/>
      <c r="L156" s="181"/>
      <c r="M156" s="181"/>
      <c r="N156" s="181"/>
      <c r="O156" s="181"/>
      <c r="P156" s="181"/>
      <c r="Q156" s="181"/>
    </row>
    <row r="157" ht="12.75" customHeight="1">
      <c r="A157" s="1">
        <v>23711.0</v>
      </c>
      <c r="B157" s="1" t="s">
        <v>21</v>
      </c>
      <c r="C157" s="1">
        <v>1211.0</v>
      </c>
      <c r="D157" s="1" t="s">
        <v>16166</v>
      </c>
      <c r="E157" s="13" t="s">
        <v>16167</v>
      </c>
      <c r="F157" s="14">
        <v>40222.0</v>
      </c>
      <c r="G157" s="14">
        <v>40234.0</v>
      </c>
      <c r="H157" s="14">
        <v>40228.0</v>
      </c>
      <c r="I157" s="3"/>
      <c r="J157" s="789"/>
      <c r="K157" s="181"/>
      <c r="L157" s="181"/>
      <c r="M157" s="181"/>
      <c r="N157" s="181"/>
      <c r="O157" s="181"/>
      <c r="P157" s="181"/>
      <c r="Q157" s="181"/>
    </row>
    <row r="158" ht="12.75" customHeight="1">
      <c r="A158" s="1">
        <v>23592.0</v>
      </c>
      <c r="B158" s="1" t="s">
        <v>21</v>
      </c>
      <c r="C158" s="1">
        <v>755.0</v>
      </c>
      <c r="D158" s="1" t="s">
        <v>16168</v>
      </c>
      <c r="E158" s="13" t="s">
        <v>16169</v>
      </c>
      <c r="F158" s="14">
        <v>40220.0</v>
      </c>
      <c r="G158" s="14">
        <v>40234.0</v>
      </c>
      <c r="H158" s="14">
        <v>40231.0</v>
      </c>
      <c r="I158" s="3"/>
      <c r="J158" s="789"/>
      <c r="K158" s="181"/>
      <c r="L158" s="181"/>
      <c r="M158" s="181"/>
      <c r="N158" s="181"/>
      <c r="O158" s="181"/>
      <c r="P158" s="181"/>
      <c r="Q158" s="181"/>
    </row>
    <row r="159" ht="12.75" customHeight="1">
      <c r="A159" s="1">
        <v>23583.0</v>
      </c>
      <c r="B159" s="1" t="s">
        <v>21</v>
      </c>
      <c r="C159" s="1">
        <v>600.0</v>
      </c>
      <c r="D159" s="1" t="s">
        <v>16170</v>
      </c>
      <c r="E159" s="13" t="s">
        <v>16171</v>
      </c>
      <c r="F159" s="14">
        <v>40218.0</v>
      </c>
      <c r="G159" s="14">
        <v>40217.0</v>
      </c>
      <c r="H159" s="14">
        <v>40221.0</v>
      </c>
      <c r="I159" s="807" t="s">
        <v>16172</v>
      </c>
      <c r="J159" s="789"/>
      <c r="K159" s="181"/>
      <c r="L159" s="181"/>
      <c r="M159" s="181"/>
      <c r="N159" s="181"/>
      <c r="O159" s="181"/>
      <c r="P159" s="181"/>
      <c r="Q159" s="181"/>
    </row>
    <row r="160" ht="12.75" customHeight="1">
      <c r="A160" s="1">
        <v>23730.0</v>
      </c>
      <c r="B160" s="1" t="s">
        <v>21</v>
      </c>
      <c r="C160" s="1">
        <v>1070.0</v>
      </c>
      <c r="D160" s="1" t="s">
        <v>16173</v>
      </c>
      <c r="E160" s="13" t="s">
        <v>16174</v>
      </c>
      <c r="F160" s="14">
        <v>40217.0</v>
      </c>
      <c r="G160" s="14">
        <v>40213.0</v>
      </c>
      <c r="H160" s="14">
        <v>40225.0</v>
      </c>
      <c r="I160" s="3"/>
      <c r="J160" s="789"/>
      <c r="K160" s="181"/>
      <c r="L160" s="181"/>
      <c r="M160" s="181"/>
      <c r="N160" s="181"/>
      <c r="O160" s="181"/>
      <c r="P160" s="181"/>
      <c r="Q160" s="181"/>
    </row>
    <row r="161" ht="12.75" customHeight="1">
      <c r="A161" s="1">
        <v>23696.0</v>
      </c>
      <c r="B161" s="1" t="s">
        <v>14</v>
      </c>
      <c r="C161" s="1">
        <v>940.0</v>
      </c>
      <c r="D161" s="1" t="s">
        <v>16175</v>
      </c>
      <c r="E161" s="13" t="s">
        <v>16176</v>
      </c>
      <c r="F161" s="14">
        <v>40216.0</v>
      </c>
      <c r="G161" s="14">
        <v>40213.0</v>
      </c>
      <c r="H161" s="14">
        <v>40226.0</v>
      </c>
      <c r="I161" s="3"/>
      <c r="J161" s="789"/>
      <c r="K161" s="181"/>
      <c r="L161" s="181"/>
      <c r="M161" s="181"/>
      <c r="N161" s="181"/>
      <c r="O161" s="181"/>
      <c r="P161" s="181"/>
      <c r="Q161" s="181"/>
    </row>
    <row r="162" ht="12.75" customHeight="1">
      <c r="A162" s="1">
        <v>23690.0</v>
      </c>
      <c r="B162" s="1" t="s">
        <v>14</v>
      </c>
      <c r="C162" s="1">
        <v>836.0</v>
      </c>
      <c r="D162" s="1" t="s">
        <v>16177</v>
      </c>
      <c r="E162" s="13" t="s">
        <v>16178</v>
      </c>
      <c r="F162" s="14">
        <v>40216.0</v>
      </c>
      <c r="G162" s="14">
        <v>40217.0</v>
      </c>
      <c r="H162" s="14">
        <v>40228.0</v>
      </c>
      <c r="I162" s="3"/>
      <c r="J162" s="789"/>
      <c r="K162" s="181"/>
      <c r="L162" s="181"/>
      <c r="M162" s="181"/>
      <c r="N162" s="181"/>
      <c r="O162" s="181"/>
      <c r="P162" s="181"/>
      <c r="Q162" s="181"/>
    </row>
    <row r="163" ht="12.75" customHeight="1">
      <c r="A163" s="1">
        <v>23698.0</v>
      </c>
      <c r="B163" s="1" t="s">
        <v>14</v>
      </c>
      <c r="C163" s="1">
        <v>50.0</v>
      </c>
      <c r="D163" s="1" t="s">
        <v>16179</v>
      </c>
      <c r="E163" s="13" t="s">
        <v>16076</v>
      </c>
      <c r="F163" s="14">
        <v>40214.0</v>
      </c>
      <c r="G163" s="14">
        <v>40219.0</v>
      </c>
      <c r="H163" s="14">
        <v>40220.0</v>
      </c>
      <c r="I163" s="793" t="s">
        <v>16180</v>
      </c>
      <c r="J163" s="789"/>
      <c r="K163" s="181"/>
      <c r="L163" s="181"/>
      <c r="M163" s="181"/>
      <c r="N163" s="181"/>
      <c r="O163" s="181"/>
      <c r="P163" s="181"/>
      <c r="Q163" s="181"/>
    </row>
    <row r="164" ht="12.75" customHeight="1">
      <c r="A164" s="1">
        <v>23697.0</v>
      </c>
      <c r="B164" s="1" t="s">
        <v>14</v>
      </c>
      <c r="C164" s="1">
        <v>500.0</v>
      </c>
      <c r="D164" s="1" t="s">
        <v>16179</v>
      </c>
      <c r="E164" s="13" t="s">
        <v>16181</v>
      </c>
      <c r="F164" s="14">
        <v>40214.0</v>
      </c>
      <c r="G164" s="14">
        <v>40234.0</v>
      </c>
      <c r="H164" s="14">
        <v>40220.0</v>
      </c>
      <c r="I164" s="793" t="s">
        <v>16182</v>
      </c>
      <c r="J164" s="789"/>
      <c r="K164" s="181"/>
      <c r="L164" s="181"/>
      <c r="M164" s="181"/>
      <c r="N164" s="181"/>
      <c r="O164" s="181"/>
      <c r="P164" s="181"/>
      <c r="Q164" s="181"/>
    </row>
    <row r="165" ht="12.75" customHeight="1">
      <c r="A165" s="1">
        <v>23394.0</v>
      </c>
      <c r="B165" s="1" t="s">
        <v>21</v>
      </c>
      <c r="C165" s="1">
        <v>132.0</v>
      </c>
      <c r="D165" s="1" t="s">
        <v>16183</v>
      </c>
      <c r="E165" s="13" t="s">
        <v>12622</v>
      </c>
      <c r="F165" s="14">
        <v>40213.0</v>
      </c>
      <c r="G165" s="14">
        <v>40225.0</v>
      </c>
      <c r="H165" s="14">
        <v>40220.0</v>
      </c>
      <c r="I165" s="13"/>
      <c r="J165" s="789"/>
      <c r="K165" s="181"/>
      <c r="L165" s="181"/>
      <c r="M165" s="181"/>
      <c r="N165" s="181"/>
      <c r="O165" s="181"/>
      <c r="P165" s="181"/>
      <c r="Q165" s="181"/>
    </row>
    <row r="166" ht="12.75" customHeight="1">
      <c r="A166" s="1">
        <v>23727.0</v>
      </c>
      <c r="B166" s="1" t="s">
        <v>21</v>
      </c>
      <c r="C166" s="1">
        <v>620.0</v>
      </c>
      <c r="D166" s="1" t="s">
        <v>16184</v>
      </c>
      <c r="E166" s="13" t="s">
        <v>16185</v>
      </c>
      <c r="F166" s="14">
        <v>40213.0</v>
      </c>
      <c r="G166" s="14">
        <v>40213.0</v>
      </c>
      <c r="H166" s="14">
        <v>40220.0</v>
      </c>
      <c r="I166" s="807" t="s">
        <v>16186</v>
      </c>
      <c r="J166" s="789"/>
      <c r="K166" s="181"/>
      <c r="L166" s="181"/>
      <c r="M166" s="181"/>
      <c r="N166" s="181"/>
      <c r="O166" s="181"/>
      <c r="P166" s="181"/>
      <c r="Q166" s="181"/>
    </row>
    <row r="167" ht="12.75" customHeight="1">
      <c r="A167" s="1">
        <v>23646.0</v>
      </c>
      <c r="B167" s="1" t="s">
        <v>14</v>
      </c>
      <c r="C167" s="1">
        <v>600.0</v>
      </c>
      <c r="D167" s="1" t="s">
        <v>16187</v>
      </c>
      <c r="E167" s="13" t="s">
        <v>16188</v>
      </c>
      <c r="F167" s="14">
        <v>40211.0</v>
      </c>
      <c r="G167" s="14">
        <v>40212.0</v>
      </c>
      <c r="H167" s="14">
        <v>40226.0</v>
      </c>
      <c r="I167" s="807" t="s">
        <v>16189</v>
      </c>
      <c r="J167" s="789"/>
      <c r="K167" s="181"/>
      <c r="L167" s="181"/>
      <c r="M167" s="181"/>
      <c r="N167" s="181"/>
      <c r="O167" s="181"/>
      <c r="P167" s="181"/>
      <c r="Q167" s="181"/>
    </row>
    <row r="168" ht="12.75" customHeight="1">
      <c r="A168" s="1">
        <v>23582.0</v>
      </c>
      <c r="B168" s="1" t="s">
        <v>21</v>
      </c>
      <c r="C168" s="1">
        <v>460.0</v>
      </c>
      <c r="D168" s="1" t="s">
        <v>16190</v>
      </c>
      <c r="E168" s="13" t="s">
        <v>16191</v>
      </c>
      <c r="F168" s="14">
        <v>40203.0</v>
      </c>
      <c r="G168" s="14">
        <v>40204.0</v>
      </c>
      <c r="H168" s="14">
        <v>40210.0</v>
      </c>
      <c r="I168" s="3"/>
      <c r="J168" s="789"/>
      <c r="K168" s="181"/>
      <c r="L168" s="181"/>
      <c r="M168" s="181"/>
      <c r="N168" s="181"/>
      <c r="O168" s="181"/>
      <c r="P168" s="181"/>
      <c r="Q168" s="181"/>
    </row>
    <row r="169" ht="12.75" customHeight="1">
      <c r="A169" s="1">
        <v>23691.0</v>
      </c>
      <c r="B169" s="1" t="s">
        <v>21</v>
      </c>
      <c r="C169" s="1">
        <v>630.0</v>
      </c>
      <c r="D169" s="1" t="s">
        <v>16192</v>
      </c>
      <c r="E169" s="13" t="s">
        <v>16193</v>
      </c>
      <c r="F169" s="14">
        <v>40199.0</v>
      </c>
      <c r="G169" s="14">
        <v>40200.0</v>
      </c>
      <c r="H169" s="14">
        <v>40205.0</v>
      </c>
      <c r="I169" s="3"/>
      <c r="J169" s="789"/>
      <c r="K169" s="181"/>
      <c r="L169" s="181"/>
      <c r="M169" s="181"/>
      <c r="N169" s="181"/>
      <c r="O169" s="181"/>
      <c r="P169" s="181"/>
      <c r="Q169" s="181"/>
    </row>
    <row r="170" ht="12.75" customHeight="1">
      <c r="A170" s="1">
        <v>23695.0</v>
      </c>
      <c r="B170" s="1" t="s">
        <v>21</v>
      </c>
      <c r="C170" s="1">
        <v>1450.0</v>
      </c>
      <c r="D170" s="1" t="s">
        <v>16194</v>
      </c>
      <c r="E170" s="13" t="s">
        <v>16195</v>
      </c>
      <c r="F170" s="14">
        <v>40199.0</v>
      </c>
      <c r="G170" s="14">
        <v>40200.0</v>
      </c>
      <c r="H170" s="14">
        <v>40207.0</v>
      </c>
      <c r="I170" s="3"/>
      <c r="J170" s="789"/>
      <c r="K170" s="181"/>
      <c r="L170" s="181"/>
      <c r="M170" s="181"/>
      <c r="N170" s="181"/>
      <c r="O170" s="181"/>
      <c r="P170" s="181"/>
      <c r="Q170" s="181"/>
    </row>
    <row r="171" ht="12.75" customHeight="1">
      <c r="A171" s="1">
        <v>23694.0</v>
      </c>
      <c r="B171" s="1" t="s">
        <v>21</v>
      </c>
      <c r="C171" s="1">
        <v>226.0</v>
      </c>
      <c r="D171" s="1" t="s">
        <v>16196</v>
      </c>
      <c r="E171" s="13" t="s">
        <v>16149</v>
      </c>
      <c r="F171" s="14">
        <v>40199.0</v>
      </c>
      <c r="G171" s="14">
        <v>40198.0</v>
      </c>
      <c r="H171" s="14">
        <v>40206.0</v>
      </c>
      <c r="I171" s="3"/>
      <c r="J171" s="789"/>
      <c r="K171" s="181"/>
      <c r="L171" s="181"/>
      <c r="M171" s="181"/>
      <c r="N171" s="181"/>
      <c r="O171" s="181"/>
      <c r="P171" s="181"/>
      <c r="Q171" s="181"/>
    </row>
    <row r="172" ht="12.75" customHeight="1">
      <c r="A172" s="1">
        <v>23643.0</v>
      </c>
      <c r="B172" s="1" t="s">
        <v>14</v>
      </c>
      <c r="C172" s="1">
        <v>600.0</v>
      </c>
      <c r="D172" s="1" t="s">
        <v>16197</v>
      </c>
      <c r="E172" s="13" t="s">
        <v>16198</v>
      </c>
      <c r="F172" s="14">
        <v>40198.0</v>
      </c>
      <c r="G172" s="14">
        <v>40221.0</v>
      </c>
      <c r="H172" s="14">
        <v>40206.0</v>
      </c>
      <c r="I172" s="793" t="s">
        <v>16199</v>
      </c>
      <c r="J172" s="789"/>
      <c r="K172" s="181"/>
      <c r="L172" s="181"/>
      <c r="M172" s="181"/>
      <c r="N172" s="181"/>
      <c r="O172" s="181"/>
      <c r="P172" s="181"/>
      <c r="Q172" s="181"/>
    </row>
    <row r="173" ht="12.75" customHeight="1">
      <c r="A173" s="1">
        <v>23634.0</v>
      </c>
      <c r="B173" s="1" t="s">
        <v>14</v>
      </c>
      <c r="C173" s="1">
        <v>836.0</v>
      </c>
      <c r="D173" s="1" t="s">
        <v>16200</v>
      </c>
      <c r="E173" s="13" t="s">
        <v>16201</v>
      </c>
      <c r="F173" s="14">
        <v>40196.0</v>
      </c>
      <c r="G173" s="14">
        <v>40192.0</v>
      </c>
      <c r="H173" s="4" t="s">
        <v>16202</v>
      </c>
      <c r="I173" s="3"/>
      <c r="J173" s="789"/>
      <c r="K173" s="181"/>
      <c r="L173" s="181"/>
      <c r="M173" s="181"/>
      <c r="N173" s="181"/>
      <c r="O173" s="181"/>
      <c r="P173" s="181"/>
      <c r="Q173" s="181"/>
    </row>
    <row r="174" ht="12.75" customHeight="1">
      <c r="A174" s="1">
        <v>23663.0</v>
      </c>
      <c r="B174" s="1" t="s">
        <v>14</v>
      </c>
      <c r="C174" s="1">
        <v>1450.0</v>
      </c>
      <c r="D174" s="1" t="s">
        <v>16203</v>
      </c>
      <c r="E174" s="13" t="s">
        <v>16204</v>
      </c>
      <c r="F174" s="14">
        <v>40196.0</v>
      </c>
      <c r="G174" s="14">
        <v>40200.0</v>
      </c>
      <c r="H174" s="14">
        <v>40204.0</v>
      </c>
      <c r="I174" s="3"/>
      <c r="J174" s="789"/>
      <c r="K174" s="181"/>
      <c r="L174" s="181"/>
      <c r="M174" s="181"/>
      <c r="N174" s="181"/>
      <c r="O174" s="181"/>
      <c r="P174" s="181"/>
      <c r="Q174" s="181"/>
    </row>
    <row r="175" ht="12.75" customHeight="1">
      <c r="A175" s="1">
        <v>23672.0</v>
      </c>
      <c r="B175" s="1" t="s">
        <v>21</v>
      </c>
      <c r="C175" s="1">
        <v>1070.0</v>
      </c>
      <c r="D175" s="1" t="s">
        <v>16205</v>
      </c>
      <c r="E175" s="13" t="s">
        <v>331</v>
      </c>
      <c r="F175" s="14">
        <v>40195.0</v>
      </c>
      <c r="G175" s="14">
        <v>40197.0</v>
      </c>
      <c r="H175" s="14">
        <v>40203.0</v>
      </c>
      <c r="I175" s="3"/>
      <c r="J175" s="789"/>
      <c r="K175" s="181"/>
      <c r="L175" s="181"/>
      <c r="M175" s="181"/>
      <c r="N175" s="181"/>
      <c r="O175" s="181"/>
      <c r="P175" s="181"/>
      <c r="Q175" s="181"/>
    </row>
    <row r="176" ht="12.75" customHeight="1">
      <c r="A176" s="6" t="s">
        <v>16206</v>
      </c>
      <c r="B176" s="1" t="s">
        <v>21</v>
      </c>
      <c r="C176" s="1">
        <v>373.0</v>
      </c>
      <c r="D176" s="1" t="s">
        <v>16207</v>
      </c>
      <c r="E176" s="13" t="s">
        <v>16208</v>
      </c>
      <c r="F176" s="14">
        <v>40192.0</v>
      </c>
      <c r="G176" s="14">
        <v>40210.0</v>
      </c>
      <c r="H176" s="15">
        <v>40200.0</v>
      </c>
      <c r="I176" s="795" t="s">
        <v>16209</v>
      </c>
      <c r="J176" s="789"/>
      <c r="K176" s="181"/>
      <c r="L176" s="181"/>
      <c r="M176" s="181"/>
      <c r="N176" s="181"/>
      <c r="O176" s="181"/>
      <c r="P176" s="181"/>
      <c r="Q176" s="181"/>
    </row>
    <row r="177" ht="12.75" customHeight="1">
      <c r="A177" s="1">
        <v>22868.0</v>
      </c>
      <c r="B177" s="1" t="s">
        <v>21</v>
      </c>
      <c r="C177" s="1">
        <v>1667.0</v>
      </c>
      <c r="D177" s="1" t="s">
        <v>16210</v>
      </c>
      <c r="E177" s="13" t="s">
        <v>16211</v>
      </c>
      <c r="F177" s="14">
        <v>40190.0</v>
      </c>
      <c r="G177" s="14">
        <v>40191.0</v>
      </c>
      <c r="H177" s="14">
        <v>40198.0</v>
      </c>
      <c r="I177" s="3"/>
      <c r="J177" s="789"/>
      <c r="K177" s="181"/>
      <c r="L177" s="181"/>
      <c r="M177" s="181"/>
      <c r="N177" s="181"/>
      <c r="O177" s="181"/>
      <c r="P177" s="181"/>
      <c r="Q177" s="181"/>
    </row>
    <row r="178" ht="12.75" customHeight="1">
      <c r="A178" s="1">
        <v>22878.0</v>
      </c>
      <c r="B178" s="1" t="s">
        <v>25</v>
      </c>
      <c r="C178" s="1">
        <v>1436.0</v>
      </c>
      <c r="D178" s="1" t="s">
        <v>16212</v>
      </c>
      <c r="E178" s="13" t="s">
        <v>16213</v>
      </c>
      <c r="F178" s="14">
        <v>40188.0</v>
      </c>
      <c r="G178" s="14">
        <v>40197.0</v>
      </c>
      <c r="H178" s="14">
        <v>40190.0</v>
      </c>
      <c r="I178" s="13"/>
      <c r="J178" s="789"/>
      <c r="K178" s="181"/>
      <c r="L178" s="181"/>
      <c r="M178" s="181"/>
      <c r="N178" s="181"/>
      <c r="O178" s="181"/>
      <c r="P178" s="181"/>
      <c r="Q178" s="181"/>
    </row>
    <row r="179" ht="12.75" customHeight="1">
      <c r="A179" s="1">
        <v>23647.0</v>
      </c>
      <c r="B179" s="1" t="s">
        <v>21</v>
      </c>
      <c r="C179" s="1">
        <v>640.0</v>
      </c>
      <c r="D179" s="1" t="s">
        <v>16214</v>
      </c>
      <c r="E179" s="13" t="s">
        <v>16215</v>
      </c>
      <c r="F179" s="14">
        <v>40186.0</v>
      </c>
      <c r="G179" s="14">
        <v>40203.0</v>
      </c>
      <c r="H179" s="14">
        <v>40192.0</v>
      </c>
      <c r="I179" s="3"/>
      <c r="J179" s="789"/>
      <c r="K179" s="181"/>
      <c r="L179" s="181"/>
      <c r="M179" s="181"/>
      <c r="N179" s="181"/>
      <c r="O179" s="181"/>
      <c r="P179" s="181"/>
      <c r="Q179" s="181"/>
    </row>
    <row r="180" ht="12.75" customHeight="1">
      <c r="A180" s="1">
        <v>23624.0</v>
      </c>
      <c r="B180" s="1" t="s">
        <v>21</v>
      </c>
      <c r="C180" s="1">
        <v>550.0</v>
      </c>
      <c r="D180" s="1" t="s">
        <v>16216</v>
      </c>
      <c r="E180" s="13" t="s">
        <v>15340</v>
      </c>
      <c r="F180" s="14">
        <v>40185.0</v>
      </c>
      <c r="G180" s="14">
        <v>40204.0</v>
      </c>
      <c r="H180" s="14">
        <v>40192.0</v>
      </c>
      <c r="I180" s="3"/>
      <c r="J180" s="789"/>
      <c r="K180" s="181"/>
      <c r="L180" s="181"/>
      <c r="M180" s="181"/>
      <c r="N180" s="181"/>
      <c r="O180" s="181"/>
      <c r="P180" s="181"/>
      <c r="Q180" s="181"/>
    </row>
    <row r="181" ht="12.75" customHeight="1">
      <c r="A181" s="1"/>
      <c r="B181" s="1" t="s">
        <v>21</v>
      </c>
      <c r="C181" s="1">
        <v>4.0</v>
      </c>
      <c r="D181" s="1" t="s">
        <v>16217</v>
      </c>
      <c r="E181" s="13" t="s">
        <v>15736</v>
      </c>
      <c r="F181" s="14">
        <v>40184.0</v>
      </c>
      <c r="G181" s="4" t="s">
        <v>210</v>
      </c>
      <c r="H181" s="4" t="s">
        <v>16202</v>
      </c>
      <c r="I181" s="3"/>
      <c r="J181" s="789"/>
      <c r="K181" s="181"/>
      <c r="L181" s="181"/>
      <c r="M181" s="181"/>
      <c r="N181" s="181"/>
      <c r="O181" s="181"/>
      <c r="P181" s="181"/>
      <c r="Q181" s="181"/>
    </row>
    <row r="182" ht="12.75" customHeight="1">
      <c r="A182" s="1">
        <v>23383.0</v>
      </c>
      <c r="B182" s="1" t="s">
        <v>21</v>
      </c>
      <c r="C182" s="1">
        <v>697.0</v>
      </c>
      <c r="D182" s="1" t="s">
        <v>16218</v>
      </c>
      <c r="E182" s="13" t="s">
        <v>16219</v>
      </c>
      <c r="F182" s="14">
        <v>40184.0</v>
      </c>
      <c r="G182" s="14">
        <v>40184.0</v>
      </c>
      <c r="H182" s="14">
        <v>40189.0</v>
      </c>
      <c r="I182" s="3"/>
      <c r="J182" s="789"/>
      <c r="K182" s="181"/>
      <c r="L182" s="181"/>
      <c r="M182" s="181"/>
      <c r="N182" s="181"/>
      <c r="O182" s="181"/>
      <c r="P182" s="181"/>
      <c r="Q182" s="181"/>
    </row>
    <row r="183" ht="12.75" customHeight="1">
      <c r="A183" s="1">
        <v>23318.0</v>
      </c>
      <c r="B183" s="1" t="s">
        <v>21</v>
      </c>
      <c r="C183" s="1">
        <v>939.0</v>
      </c>
      <c r="D183" s="1" t="s">
        <v>16220</v>
      </c>
      <c r="E183" s="13" t="s">
        <v>16221</v>
      </c>
      <c r="F183" s="14">
        <v>40181.0</v>
      </c>
      <c r="G183" s="14">
        <v>40183.0</v>
      </c>
      <c r="H183" s="14">
        <v>40184.0</v>
      </c>
      <c r="I183" s="3"/>
      <c r="J183" s="789"/>
      <c r="K183" s="181"/>
      <c r="L183" s="181"/>
      <c r="M183" s="181"/>
      <c r="N183" s="181"/>
      <c r="O183" s="181"/>
      <c r="P183" s="181"/>
      <c r="Q183" s="181"/>
    </row>
    <row r="184" ht="12.75" customHeight="1">
      <c r="A184" s="1">
        <v>23650.0</v>
      </c>
      <c r="B184" s="1" t="s">
        <v>21</v>
      </c>
      <c r="C184" s="1">
        <v>1035.0</v>
      </c>
      <c r="D184" s="1" t="s">
        <v>16222</v>
      </c>
      <c r="E184" s="13" t="s">
        <v>16223</v>
      </c>
      <c r="F184" s="14">
        <v>40181.0</v>
      </c>
      <c r="G184" s="14">
        <v>40182.0</v>
      </c>
      <c r="H184" s="14">
        <v>40190.0</v>
      </c>
      <c r="I184" s="3"/>
      <c r="J184" s="789"/>
      <c r="K184" s="181"/>
      <c r="L184" s="181"/>
      <c r="M184" s="181"/>
      <c r="N184" s="181"/>
      <c r="O184" s="181"/>
      <c r="P184" s="181"/>
      <c r="Q184" s="181"/>
    </row>
    <row r="185" ht="12.75" customHeight="1">
      <c r="A185" s="1">
        <v>23584.0</v>
      </c>
      <c r="B185" s="1" t="s">
        <v>14</v>
      </c>
      <c r="C185" s="1">
        <v>600.0</v>
      </c>
      <c r="D185" s="1" t="s">
        <v>16224</v>
      </c>
      <c r="E185" s="13" t="s">
        <v>16225</v>
      </c>
      <c r="F185" s="14">
        <v>40179.0</v>
      </c>
      <c r="G185" s="14">
        <v>40206.0</v>
      </c>
      <c r="H185" s="14">
        <v>40191.0</v>
      </c>
      <c r="I185" s="795" t="s">
        <v>16226</v>
      </c>
      <c r="J185" s="789"/>
      <c r="K185" s="181"/>
      <c r="L185" s="181"/>
      <c r="M185" s="181"/>
      <c r="N185" s="181"/>
      <c r="O185" s="181"/>
      <c r="P185" s="181"/>
      <c r="Q185" s="181"/>
    </row>
    <row r="186" ht="12.75" customHeight="1">
      <c r="A186" s="1"/>
      <c r="B186" s="1"/>
      <c r="C186" s="1"/>
      <c r="D186" s="1"/>
      <c r="E186" s="13"/>
      <c r="F186" s="4"/>
      <c r="G186" s="4"/>
      <c r="H186" s="4"/>
      <c r="I186" s="3"/>
      <c r="J186" s="789"/>
      <c r="K186" s="181"/>
      <c r="L186" s="181"/>
      <c r="M186" s="181"/>
      <c r="N186" s="181"/>
      <c r="O186" s="181"/>
      <c r="P186" s="181"/>
      <c r="Q186" s="181"/>
    </row>
    <row r="187" ht="12.75" customHeight="1">
      <c r="A187" s="1"/>
      <c r="B187" s="1"/>
      <c r="C187" s="1"/>
      <c r="D187" s="1"/>
      <c r="E187" s="13"/>
      <c r="F187" s="4"/>
      <c r="G187" s="4"/>
      <c r="H187" s="4"/>
      <c r="I187" s="3"/>
      <c r="J187" s="789"/>
      <c r="K187" s="181"/>
      <c r="L187" s="181"/>
      <c r="M187" s="181"/>
      <c r="N187" s="181"/>
      <c r="O187" s="181"/>
      <c r="P187" s="181"/>
      <c r="Q187" s="181"/>
    </row>
    <row r="188" ht="12.75" customHeight="1">
      <c r="A188" s="1"/>
      <c r="B188" s="1"/>
      <c r="C188" s="1"/>
      <c r="D188" s="1"/>
      <c r="E188" s="13"/>
      <c r="F188" s="4"/>
      <c r="G188" s="4"/>
      <c r="H188" s="4"/>
      <c r="I188" s="3"/>
      <c r="J188" s="789"/>
      <c r="K188" s="181"/>
      <c r="L188" s="181"/>
      <c r="M188" s="181"/>
      <c r="N188" s="181"/>
      <c r="O188" s="181"/>
      <c r="P188" s="181"/>
      <c r="Q188" s="181"/>
    </row>
    <row r="189" ht="12.75" customHeight="1">
      <c r="A189" s="1"/>
      <c r="B189" s="1"/>
      <c r="C189" s="1"/>
      <c r="D189" s="1"/>
      <c r="E189" s="13"/>
      <c r="F189" s="4"/>
      <c r="G189" s="4"/>
      <c r="H189" s="4"/>
      <c r="I189" s="3"/>
      <c r="J189" s="789"/>
      <c r="K189" s="181"/>
      <c r="L189" s="181"/>
      <c r="M189" s="181"/>
      <c r="N189" s="181"/>
      <c r="O189" s="181"/>
      <c r="P189" s="181"/>
      <c r="Q189" s="181"/>
    </row>
    <row r="190" ht="12.75" customHeight="1">
      <c r="A190" s="1"/>
      <c r="B190" s="1"/>
      <c r="C190" s="1"/>
      <c r="D190" s="1"/>
      <c r="E190" s="13"/>
      <c r="F190" s="4"/>
      <c r="G190" s="4"/>
      <c r="H190" s="4"/>
      <c r="I190" s="3"/>
      <c r="J190" s="789"/>
      <c r="K190" s="181"/>
      <c r="L190" s="181"/>
      <c r="M190" s="181"/>
      <c r="N190" s="181"/>
      <c r="O190" s="181"/>
      <c r="P190" s="181"/>
      <c r="Q190" s="181"/>
    </row>
    <row r="191" ht="12.75" customHeight="1">
      <c r="A191" s="1"/>
      <c r="B191" s="1"/>
      <c r="C191" s="1"/>
      <c r="D191" s="1"/>
      <c r="E191" s="13"/>
      <c r="F191" s="4"/>
      <c r="G191" s="4"/>
      <c r="H191" s="4"/>
      <c r="I191" s="3"/>
      <c r="J191" s="789"/>
      <c r="K191" s="181"/>
      <c r="L191" s="181"/>
      <c r="M191" s="181"/>
      <c r="N191" s="181"/>
      <c r="O191" s="181"/>
      <c r="P191" s="181"/>
      <c r="Q191" s="181"/>
    </row>
    <row r="192" ht="12.75" customHeight="1">
      <c r="A192" s="1"/>
      <c r="B192" s="1"/>
      <c r="C192" s="1"/>
      <c r="D192" s="1"/>
      <c r="E192" s="13"/>
      <c r="F192" s="4"/>
      <c r="G192" s="4"/>
      <c r="H192" s="4"/>
      <c r="I192" s="3"/>
      <c r="J192" s="789"/>
      <c r="K192" s="181"/>
      <c r="L192" s="181"/>
      <c r="M192" s="181"/>
      <c r="N192" s="181"/>
      <c r="O192" s="181"/>
      <c r="P192" s="181"/>
      <c r="Q192" s="181"/>
    </row>
    <row r="193" ht="12.75" customHeight="1">
      <c r="A193" s="1"/>
      <c r="B193" s="1"/>
      <c r="C193" s="1"/>
      <c r="D193" s="1"/>
      <c r="E193" s="13"/>
      <c r="F193" s="4"/>
      <c r="G193" s="4"/>
      <c r="H193" s="4"/>
      <c r="I193" s="3"/>
      <c r="J193" s="789"/>
      <c r="K193" s="181"/>
      <c r="L193" s="181"/>
      <c r="M193" s="181"/>
      <c r="N193" s="181"/>
      <c r="O193" s="181"/>
      <c r="P193" s="181"/>
      <c r="Q193" s="181"/>
    </row>
    <row r="194" ht="12.75" customHeight="1">
      <c r="A194" s="1"/>
      <c r="B194" s="1"/>
      <c r="C194" s="1"/>
      <c r="D194" s="1"/>
      <c r="E194" s="13"/>
      <c r="F194" s="4"/>
      <c r="G194" s="4"/>
      <c r="H194" s="4"/>
      <c r="I194" s="3"/>
      <c r="J194" s="789"/>
      <c r="K194" s="181"/>
      <c r="L194" s="181"/>
      <c r="M194" s="181"/>
      <c r="N194" s="181"/>
      <c r="O194" s="181"/>
      <c r="P194" s="181"/>
      <c r="Q194" s="181"/>
    </row>
    <row r="195" ht="12.75" customHeight="1">
      <c r="A195" s="1"/>
      <c r="B195" s="1"/>
      <c r="C195" s="1"/>
      <c r="D195" s="1"/>
      <c r="E195" s="13"/>
      <c r="F195" s="4"/>
      <c r="G195" s="4"/>
      <c r="H195" s="4"/>
      <c r="I195" s="3"/>
      <c r="J195" s="789"/>
      <c r="K195" s="181"/>
      <c r="L195" s="181"/>
      <c r="M195" s="181"/>
      <c r="N195" s="181"/>
      <c r="O195" s="181"/>
      <c r="P195" s="181"/>
      <c r="Q195" s="181"/>
    </row>
    <row r="196" ht="12.75" customHeight="1">
      <c r="A196" s="1"/>
      <c r="B196" s="1"/>
      <c r="C196" s="1"/>
      <c r="D196" s="1"/>
      <c r="E196" s="13"/>
      <c r="F196" s="4"/>
      <c r="G196" s="4"/>
      <c r="H196" s="4"/>
      <c r="I196" s="3"/>
      <c r="J196" s="789"/>
      <c r="K196" s="181"/>
      <c r="L196" s="181"/>
      <c r="M196" s="181"/>
      <c r="N196" s="181"/>
      <c r="O196" s="181"/>
      <c r="P196" s="181"/>
      <c r="Q196" s="181"/>
    </row>
    <row r="197" ht="12.75" customHeight="1">
      <c r="A197" s="1"/>
      <c r="B197" s="1"/>
      <c r="C197" s="1"/>
      <c r="D197" s="1"/>
      <c r="E197" s="13"/>
      <c r="F197" s="4"/>
      <c r="G197" s="4"/>
      <c r="H197" s="4"/>
      <c r="I197" s="3"/>
      <c r="J197" s="789"/>
      <c r="K197" s="181"/>
      <c r="L197" s="181"/>
      <c r="M197" s="181"/>
      <c r="N197" s="181"/>
      <c r="O197" s="181"/>
      <c r="P197" s="181"/>
      <c r="Q197" s="181"/>
    </row>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29"/>
    <col customWidth="1" min="2" max="2" width="12.43"/>
    <col customWidth="1" min="3" max="3" width="8.71"/>
    <col customWidth="1" min="4" max="4" width="14.29"/>
    <col customWidth="1" min="5" max="5" width="36.86"/>
    <col customWidth="1" min="6" max="6" width="9.57"/>
    <col customWidth="1" min="7" max="7" width="11.0"/>
    <col customWidth="1" min="8" max="8" width="11.71"/>
    <col customWidth="1" min="9" max="9" width="43.71"/>
    <col customWidth="1" min="10" max="16" width="8.71"/>
    <col customWidth="1" min="17" max="17" width="9.29"/>
  </cols>
  <sheetData>
    <row r="1" ht="15.75" customHeight="1">
      <c r="A1" s="809"/>
      <c r="B1" s="810"/>
      <c r="C1" s="811"/>
      <c r="D1" s="811"/>
      <c r="E1" s="809" t="s">
        <v>16227</v>
      </c>
      <c r="F1" s="809"/>
      <c r="G1" s="810"/>
      <c r="H1" s="810"/>
      <c r="I1" s="809"/>
      <c r="J1" s="809"/>
      <c r="K1" s="809"/>
      <c r="L1" s="809"/>
      <c r="M1" s="809"/>
      <c r="N1" s="809"/>
      <c r="O1" s="809"/>
      <c r="P1" s="809"/>
      <c r="Q1" s="809"/>
    </row>
    <row r="2" ht="48.75" customHeight="1">
      <c r="A2" s="812"/>
      <c r="B2" s="813" t="s">
        <v>2</v>
      </c>
      <c r="C2" s="814"/>
      <c r="D2" s="814"/>
      <c r="E2" s="815" t="s">
        <v>1674</v>
      </c>
      <c r="F2" s="813" t="s">
        <v>4</v>
      </c>
      <c r="G2" s="813" t="s">
        <v>5</v>
      </c>
      <c r="H2" s="813" t="s">
        <v>6</v>
      </c>
      <c r="I2" s="812"/>
      <c r="J2" s="809"/>
      <c r="K2" s="809"/>
      <c r="L2" s="809"/>
      <c r="M2" s="809"/>
      <c r="N2" s="809"/>
      <c r="O2" s="809"/>
      <c r="P2" s="809"/>
      <c r="Q2" s="809"/>
    </row>
    <row r="3" ht="12.75" customHeight="1">
      <c r="A3" s="816"/>
      <c r="B3" s="816" t="s">
        <v>8</v>
      </c>
      <c r="C3" s="816" t="s">
        <v>9</v>
      </c>
      <c r="D3" s="816" t="s">
        <v>10</v>
      </c>
      <c r="E3" s="816" t="s">
        <v>11</v>
      </c>
      <c r="F3" s="816" t="s">
        <v>12</v>
      </c>
      <c r="G3" s="816" t="s">
        <v>12</v>
      </c>
      <c r="H3" s="816" t="s">
        <v>12</v>
      </c>
      <c r="I3" s="816" t="s">
        <v>13</v>
      </c>
      <c r="J3" s="817"/>
      <c r="K3" s="810"/>
      <c r="L3" s="810"/>
      <c r="M3" s="810"/>
      <c r="N3" s="810"/>
      <c r="O3" s="810"/>
      <c r="P3" s="810"/>
      <c r="Q3" s="810"/>
    </row>
    <row r="4" ht="37.5" customHeight="1">
      <c r="A4" s="818">
        <v>1.0</v>
      </c>
      <c r="B4" s="819" t="s">
        <v>25</v>
      </c>
      <c r="C4" s="819">
        <v>1764.0</v>
      </c>
      <c r="D4" s="69" t="s">
        <v>16228</v>
      </c>
      <c r="E4" s="485" t="s">
        <v>16229</v>
      </c>
      <c r="F4" s="820">
        <v>40070.0</v>
      </c>
      <c r="G4" s="688">
        <v>40074.0</v>
      </c>
      <c r="H4" s="821" t="s">
        <v>16230</v>
      </c>
      <c r="I4" s="818" t="s">
        <v>210</v>
      </c>
      <c r="J4" s="822"/>
      <c r="K4" s="823"/>
      <c r="L4" s="823"/>
      <c r="M4" s="823"/>
      <c r="N4" s="823"/>
      <c r="O4" s="823"/>
      <c r="P4" s="823"/>
      <c r="Q4" s="823"/>
    </row>
    <row r="5" ht="30.0" customHeight="1">
      <c r="A5" s="824">
        <v>6.0</v>
      </c>
      <c r="B5" s="711" t="s">
        <v>21</v>
      </c>
      <c r="C5" s="711">
        <v>1788.0</v>
      </c>
      <c r="D5" s="711" t="s">
        <v>16231</v>
      </c>
      <c r="E5" s="17" t="s">
        <v>16232</v>
      </c>
      <c r="F5" s="825">
        <v>40070.0</v>
      </c>
      <c r="G5" s="666">
        <v>40066.0</v>
      </c>
      <c r="H5" s="666">
        <v>40073.0</v>
      </c>
      <c r="I5" s="824" t="s">
        <v>210</v>
      </c>
      <c r="J5" s="826"/>
      <c r="K5" s="809"/>
      <c r="L5" s="809"/>
      <c r="M5" s="809"/>
      <c r="N5" s="809"/>
      <c r="O5" s="809"/>
      <c r="P5" s="809"/>
      <c r="Q5" s="809"/>
    </row>
    <row r="6" ht="30.0" customHeight="1">
      <c r="A6" s="824">
        <v>4.0</v>
      </c>
      <c r="B6" s="711" t="s">
        <v>14</v>
      </c>
      <c r="C6" s="711">
        <v>510.0</v>
      </c>
      <c r="D6" s="711" t="s">
        <v>16233</v>
      </c>
      <c r="E6" s="17" t="s">
        <v>16234</v>
      </c>
      <c r="F6" s="825">
        <v>40074.0</v>
      </c>
      <c r="G6" s="666">
        <v>40074.0</v>
      </c>
      <c r="H6" s="680">
        <v>40081.0</v>
      </c>
      <c r="I6" s="824" t="s">
        <v>210</v>
      </c>
      <c r="J6" s="826"/>
      <c r="K6" s="809"/>
      <c r="L6" s="809"/>
      <c r="M6" s="809"/>
      <c r="N6" s="809"/>
      <c r="O6" s="809"/>
      <c r="P6" s="809"/>
      <c r="Q6" s="809"/>
    </row>
    <row r="7" ht="30.0" customHeight="1">
      <c r="A7" s="824">
        <v>5.0</v>
      </c>
      <c r="B7" s="711" t="s">
        <v>14</v>
      </c>
      <c r="C7" s="711">
        <v>672.0</v>
      </c>
      <c r="D7" s="711" t="s">
        <v>16235</v>
      </c>
      <c r="E7" s="824" t="s">
        <v>14229</v>
      </c>
      <c r="F7" s="825">
        <v>40075.0</v>
      </c>
      <c r="G7" s="666">
        <v>40074.0</v>
      </c>
      <c r="H7" s="688">
        <v>40079.0</v>
      </c>
      <c r="I7" s="824" t="s">
        <v>210</v>
      </c>
      <c r="J7" s="826"/>
      <c r="K7" s="809"/>
      <c r="L7" s="809"/>
      <c r="M7" s="809"/>
      <c r="N7" s="809"/>
      <c r="O7" s="809"/>
      <c r="P7" s="809"/>
      <c r="Q7" s="809"/>
    </row>
    <row r="8" ht="30.0" customHeight="1">
      <c r="A8" s="824">
        <v>3.0</v>
      </c>
      <c r="B8" s="711" t="s">
        <v>21</v>
      </c>
      <c r="C8" s="711">
        <v>444.0</v>
      </c>
      <c r="D8" s="711" t="s">
        <v>16236</v>
      </c>
      <c r="E8" s="17" t="s">
        <v>16237</v>
      </c>
      <c r="F8" s="825">
        <v>40077.0</v>
      </c>
      <c r="G8" s="666">
        <v>40074.0</v>
      </c>
      <c r="H8" s="688">
        <v>40079.0</v>
      </c>
      <c r="I8" s="824" t="s">
        <v>210</v>
      </c>
      <c r="J8" s="826"/>
      <c r="K8" s="809"/>
      <c r="L8" s="809"/>
      <c r="M8" s="809"/>
      <c r="N8" s="809"/>
      <c r="O8" s="809"/>
      <c r="P8" s="809"/>
      <c r="Q8" s="809"/>
    </row>
    <row r="9" ht="30.0" customHeight="1">
      <c r="A9" s="824">
        <v>2.0</v>
      </c>
      <c r="B9" s="711" t="s">
        <v>14</v>
      </c>
      <c r="C9" s="711">
        <v>1967.0</v>
      </c>
      <c r="D9" s="69" t="s">
        <v>16238</v>
      </c>
      <c r="E9" s="17" t="s">
        <v>16239</v>
      </c>
      <c r="F9" s="825">
        <v>40089.0</v>
      </c>
      <c r="G9" s="666">
        <v>40094.0</v>
      </c>
      <c r="H9" s="666">
        <v>40095.0</v>
      </c>
      <c r="I9" s="17" t="s">
        <v>210</v>
      </c>
      <c r="J9" s="826"/>
      <c r="K9" s="809"/>
      <c r="L9" s="809"/>
      <c r="M9" s="809"/>
      <c r="N9" s="809"/>
      <c r="O9" s="809"/>
      <c r="P9" s="809"/>
      <c r="Q9" s="809"/>
    </row>
    <row r="10" ht="30.0" customHeight="1">
      <c r="A10" s="824">
        <v>11.0</v>
      </c>
      <c r="B10" s="711" t="s">
        <v>21</v>
      </c>
      <c r="C10" s="711">
        <v>67.0</v>
      </c>
      <c r="D10" s="711" t="s">
        <v>16240</v>
      </c>
      <c r="E10" s="824" t="s">
        <v>16241</v>
      </c>
      <c r="F10" s="825">
        <v>40095.0</v>
      </c>
      <c r="G10" s="827" t="s">
        <v>210</v>
      </c>
      <c r="H10" s="666">
        <v>40102.0</v>
      </c>
      <c r="I10" s="824" t="s">
        <v>210</v>
      </c>
      <c r="J10" s="826"/>
      <c r="K10" s="809"/>
      <c r="L10" s="809"/>
      <c r="M10" s="809"/>
      <c r="N10" s="809"/>
      <c r="O10" s="809"/>
      <c r="P10" s="809"/>
      <c r="Q10" s="809"/>
    </row>
    <row r="11" ht="30.0" customHeight="1">
      <c r="A11" s="824">
        <v>7.0</v>
      </c>
      <c r="B11" s="711" t="s">
        <v>21</v>
      </c>
      <c r="C11" s="711">
        <v>1870.0</v>
      </c>
      <c r="D11" s="45" t="s">
        <v>16242</v>
      </c>
      <c r="E11" s="17" t="s">
        <v>16243</v>
      </c>
      <c r="F11" s="825">
        <v>40096.0</v>
      </c>
      <c r="G11" s="666">
        <v>40094.0</v>
      </c>
      <c r="H11" s="666">
        <v>40100.0</v>
      </c>
      <c r="I11" s="824" t="s">
        <v>210</v>
      </c>
      <c r="J11" s="826"/>
      <c r="K11" s="809"/>
      <c r="L11" s="809"/>
      <c r="M11" s="809"/>
      <c r="N11" s="809"/>
      <c r="O11" s="809"/>
      <c r="P11" s="809"/>
      <c r="Q11" s="809"/>
    </row>
    <row r="12" ht="30.0" customHeight="1">
      <c r="A12" s="824">
        <v>10.0</v>
      </c>
      <c r="B12" s="711" t="s">
        <v>25</v>
      </c>
      <c r="C12" s="711">
        <v>1035.0</v>
      </c>
      <c r="D12" s="711" t="s">
        <v>16244</v>
      </c>
      <c r="E12" s="17" t="s">
        <v>16245</v>
      </c>
      <c r="F12" s="825">
        <v>40106.0</v>
      </c>
      <c r="G12" s="666">
        <v>40106.0</v>
      </c>
      <c r="H12" s="666">
        <v>40112.0</v>
      </c>
      <c r="I12" s="824" t="s">
        <v>210</v>
      </c>
      <c r="J12" s="826"/>
      <c r="K12" s="809"/>
      <c r="L12" s="809"/>
      <c r="M12" s="809"/>
      <c r="N12" s="809"/>
      <c r="O12" s="809"/>
      <c r="P12" s="809"/>
      <c r="Q12" s="809"/>
    </row>
    <row r="13" ht="30.0" customHeight="1">
      <c r="A13" s="824">
        <v>8.0</v>
      </c>
      <c r="B13" s="711" t="s">
        <v>14</v>
      </c>
      <c r="C13" s="711">
        <v>1565.0</v>
      </c>
      <c r="D13" s="45" t="s">
        <v>16246</v>
      </c>
      <c r="E13" s="17" t="s">
        <v>16247</v>
      </c>
      <c r="F13" s="825">
        <v>40108.0</v>
      </c>
      <c r="G13" s="666">
        <v>40107.0</v>
      </c>
      <c r="H13" s="666">
        <v>40115.0</v>
      </c>
      <c r="I13" s="824" t="s">
        <v>210</v>
      </c>
      <c r="J13" s="826"/>
      <c r="K13" s="809"/>
      <c r="L13" s="809"/>
      <c r="M13" s="809"/>
      <c r="N13" s="809"/>
      <c r="O13" s="809"/>
      <c r="P13" s="809"/>
      <c r="Q13" s="809"/>
    </row>
    <row r="14" ht="30.0" customHeight="1">
      <c r="A14" s="824">
        <v>9.0</v>
      </c>
      <c r="B14" s="711" t="s">
        <v>21</v>
      </c>
      <c r="C14" s="711">
        <v>1410.0</v>
      </c>
      <c r="D14" s="711" t="s">
        <v>16248</v>
      </c>
      <c r="E14" s="17" t="s">
        <v>16249</v>
      </c>
      <c r="F14" s="825">
        <v>40110.0</v>
      </c>
      <c r="G14" s="666">
        <v>40115.0</v>
      </c>
      <c r="H14" s="666">
        <v>40119.0</v>
      </c>
      <c r="I14" s="824" t="s">
        <v>210</v>
      </c>
      <c r="J14" s="826"/>
      <c r="K14" s="809"/>
      <c r="L14" s="809"/>
      <c r="M14" s="809"/>
      <c r="N14" s="809"/>
      <c r="O14" s="809"/>
      <c r="P14" s="809"/>
      <c r="Q14" s="809"/>
    </row>
    <row r="15" ht="30.0" customHeight="1">
      <c r="A15" s="824">
        <v>14.0</v>
      </c>
      <c r="B15" s="711" t="s">
        <v>21</v>
      </c>
      <c r="C15" s="711">
        <v>672.0</v>
      </c>
      <c r="D15" s="711" t="s">
        <v>16250</v>
      </c>
      <c r="E15" s="824" t="s">
        <v>14229</v>
      </c>
      <c r="F15" s="825">
        <v>40122.0</v>
      </c>
      <c r="G15" s="666">
        <v>40121.0</v>
      </c>
      <c r="H15" s="666">
        <v>40130.0</v>
      </c>
      <c r="I15" s="824" t="s">
        <v>210</v>
      </c>
      <c r="J15" s="826"/>
      <c r="K15" s="809"/>
      <c r="L15" s="809"/>
      <c r="M15" s="809"/>
      <c r="N15" s="809"/>
      <c r="O15" s="809"/>
      <c r="P15" s="809"/>
      <c r="Q15" s="809"/>
    </row>
    <row r="16" ht="30.0" customHeight="1">
      <c r="A16" s="824">
        <v>12.0</v>
      </c>
      <c r="B16" s="711" t="s">
        <v>21</v>
      </c>
      <c r="C16" s="711">
        <v>2080.0</v>
      </c>
      <c r="D16" s="45" t="s">
        <v>16251</v>
      </c>
      <c r="E16" s="17" t="s">
        <v>16252</v>
      </c>
      <c r="F16" s="825">
        <v>40126.0</v>
      </c>
      <c r="G16" s="666">
        <v>40126.0</v>
      </c>
      <c r="H16" s="828" t="s">
        <v>16253</v>
      </c>
      <c r="I16" s="824" t="s">
        <v>16254</v>
      </c>
      <c r="J16" s="826"/>
      <c r="K16" s="809"/>
      <c r="L16" s="809"/>
      <c r="M16" s="809"/>
      <c r="N16" s="809"/>
      <c r="O16" s="809"/>
      <c r="P16" s="809"/>
      <c r="Q16" s="809"/>
    </row>
    <row r="17" ht="30.0" customHeight="1">
      <c r="A17" s="824">
        <v>15.0</v>
      </c>
      <c r="B17" s="711" t="s">
        <v>25</v>
      </c>
      <c r="C17" s="711">
        <v>463.0</v>
      </c>
      <c r="D17" s="711" t="s">
        <v>16255</v>
      </c>
      <c r="E17" s="824" t="s">
        <v>16256</v>
      </c>
      <c r="F17" s="825">
        <v>40130.0</v>
      </c>
      <c r="G17" s="666">
        <v>40130.0</v>
      </c>
      <c r="H17" s="666">
        <v>40135.0</v>
      </c>
      <c r="I17" s="824" t="s">
        <v>210</v>
      </c>
      <c r="J17" s="826"/>
      <c r="K17" s="809"/>
      <c r="L17" s="809"/>
      <c r="M17" s="809"/>
      <c r="N17" s="809"/>
      <c r="O17" s="809"/>
      <c r="P17" s="809"/>
      <c r="Q17" s="809"/>
    </row>
    <row r="18" ht="30.0" customHeight="1">
      <c r="A18" s="824">
        <v>16.0</v>
      </c>
      <c r="B18" s="711" t="s">
        <v>21</v>
      </c>
      <c r="C18" s="711">
        <v>540.0</v>
      </c>
      <c r="D18" s="711" t="s">
        <v>16257</v>
      </c>
      <c r="E18" s="17" t="s">
        <v>16258</v>
      </c>
      <c r="F18" s="825">
        <v>40133.0</v>
      </c>
      <c r="G18" s="666">
        <v>40135.0</v>
      </c>
      <c r="H18" s="666">
        <v>40140.0</v>
      </c>
      <c r="I18" s="824" t="s">
        <v>16259</v>
      </c>
      <c r="J18" s="826"/>
      <c r="K18" s="809"/>
      <c r="L18" s="809"/>
      <c r="M18" s="809"/>
      <c r="N18" s="809"/>
      <c r="O18" s="809"/>
      <c r="P18" s="809"/>
      <c r="Q18" s="809"/>
    </row>
    <row r="19" ht="30.0" customHeight="1">
      <c r="A19" s="824">
        <v>13.0</v>
      </c>
      <c r="B19" s="711" t="s">
        <v>14</v>
      </c>
      <c r="C19" s="711">
        <v>2474.0</v>
      </c>
      <c r="D19" s="45" t="s">
        <v>16260</v>
      </c>
      <c r="E19" s="17" t="s">
        <v>16261</v>
      </c>
      <c r="F19" s="825">
        <v>40135.0</v>
      </c>
      <c r="G19" s="666">
        <v>40140.0</v>
      </c>
      <c r="H19" s="666">
        <v>40140.0</v>
      </c>
      <c r="I19" s="824" t="s">
        <v>210</v>
      </c>
      <c r="J19" s="826"/>
      <c r="K19" s="809"/>
      <c r="L19" s="809"/>
      <c r="M19" s="809"/>
      <c r="N19" s="809"/>
      <c r="O19" s="809"/>
      <c r="P19" s="809"/>
      <c r="Q19" s="809"/>
    </row>
    <row r="20" ht="12.75" customHeight="1">
      <c r="A20" s="824">
        <v>17.0</v>
      </c>
      <c r="B20" s="711" t="s">
        <v>14</v>
      </c>
      <c r="C20" s="711">
        <v>670.0</v>
      </c>
      <c r="D20" s="45" t="s">
        <v>16262</v>
      </c>
      <c r="E20" s="17" t="s">
        <v>16263</v>
      </c>
      <c r="F20" s="825">
        <v>40142.0</v>
      </c>
      <c r="G20" s="666">
        <v>40141.0</v>
      </c>
      <c r="H20" s="666">
        <v>40149.0</v>
      </c>
      <c r="I20" s="824" t="s">
        <v>210</v>
      </c>
      <c r="J20" s="826"/>
      <c r="K20" s="809"/>
      <c r="L20" s="809"/>
      <c r="M20" s="809"/>
      <c r="N20" s="809"/>
      <c r="O20" s="809"/>
      <c r="P20" s="809"/>
      <c r="Q20" s="809"/>
    </row>
    <row r="21" ht="12.75" customHeight="1">
      <c r="A21" s="824">
        <v>19.0</v>
      </c>
      <c r="B21" s="711" t="s">
        <v>21</v>
      </c>
      <c r="C21" s="711">
        <v>2218.0</v>
      </c>
      <c r="D21" s="45" t="s">
        <v>16264</v>
      </c>
      <c r="E21" s="17" t="s">
        <v>16265</v>
      </c>
      <c r="F21" s="825">
        <v>40168.0</v>
      </c>
      <c r="G21" s="666">
        <v>40169.0</v>
      </c>
      <c r="H21" s="666">
        <v>40176.0</v>
      </c>
      <c r="I21" s="824" t="s">
        <v>210</v>
      </c>
      <c r="J21" s="826"/>
      <c r="K21" s="809"/>
      <c r="L21" s="809"/>
      <c r="M21" s="809"/>
      <c r="N21" s="809"/>
      <c r="O21" s="809"/>
      <c r="P21" s="809"/>
      <c r="Q21" s="809"/>
    </row>
    <row r="22" ht="12.75" customHeight="1">
      <c r="A22" s="824">
        <v>18.0</v>
      </c>
      <c r="B22" s="711" t="s">
        <v>14</v>
      </c>
      <c r="C22" s="711">
        <v>2535.0</v>
      </c>
      <c r="D22" s="45" t="s">
        <v>16266</v>
      </c>
      <c r="E22" s="17" t="s">
        <v>16267</v>
      </c>
      <c r="F22" s="825">
        <v>40170.0</v>
      </c>
      <c r="G22" s="666">
        <v>40177.0</v>
      </c>
      <c r="H22" s="666">
        <v>40178.0</v>
      </c>
      <c r="I22" s="824" t="s">
        <v>210</v>
      </c>
      <c r="J22" s="826"/>
      <c r="K22" s="809"/>
      <c r="L22" s="809"/>
      <c r="M22" s="809"/>
      <c r="N22" s="809"/>
      <c r="O22" s="809"/>
      <c r="P22" s="809"/>
      <c r="Q22" s="809"/>
    </row>
    <row r="23" ht="19.5" customHeight="1">
      <c r="A23" s="824"/>
      <c r="B23" s="711"/>
      <c r="C23" s="711"/>
      <c r="D23" s="45"/>
      <c r="E23" s="17"/>
      <c r="F23" s="824"/>
      <c r="G23" s="711"/>
      <c r="H23" s="711"/>
      <c r="I23" s="824"/>
      <c r="J23" s="826"/>
      <c r="K23" s="809"/>
      <c r="L23" s="809"/>
      <c r="M23" s="809"/>
      <c r="N23" s="809"/>
      <c r="O23" s="809"/>
      <c r="P23" s="809"/>
      <c r="Q23" s="809"/>
    </row>
    <row r="24" ht="19.5" customHeight="1">
      <c r="A24" s="824"/>
      <c r="B24" s="711"/>
      <c r="C24" s="711"/>
      <c r="D24" s="711"/>
      <c r="E24" s="824"/>
      <c r="F24" s="824"/>
      <c r="G24" s="711"/>
      <c r="H24" s="711"/>
      <c r="I24" s="824"/>
      <c r="J24" s="826"/>
      <c r="K24" s="809"/>
      <c r="L24" s="809"/>
      <c r="M24" s="809"/>
      <c r="N24" s="809"/>
      <c r="O24" s="809"/>
      <c r="P24" s="809"/>
      <c r="Q24" s="809"/>
    </row>
    <row r="25" ht="19.5" customHeight="1">
      <c r="A25" s="824"/>
      <c r="B25" s="711"/>
      <c r="C25" s="711"/>
      <c r="D25" s="711"/>
      <c r="E25" s="824"/>
      <c r="F25" s="824"/>
      <c r="G25" s="711"/>
      <c r="H25" s="711"/>
      <c r="I25" s="824"/>
      <c r="J25" s="826"/>
      <c r="K25" s="809"/>
      <c r="L25" s="809"/>
      <c r="M25" s="809"/>
      <c r="N25" s="809"/>
      <c r="O25" s="809"/>
      <c r="P25" s="809"/>
      <c r="Q25" s="809"/>
    </row>
    <row r="26" ht="19.5" customHeight="1">
      <c r="A26" s="824"/>
      <c r="B26" s="711"/>
      <c r="C26" s="711"/>
      <c r="D26" s="711"/>
      <c r="E26" s="824"/>
      <c r="F26" s="824"/>
      <c r="G26" s="711"/>
      <c r="H26" s="711"/>
      <c r="I26" s="824"/>
      <c r="J26" s="826"/>
      <c r="K26" s="809"/>
      <c r="L26" s="809"/>
      <c r="M26" s="809"/>
      <c r="N26" s="809"/>
      <c r="O26" s="809"/>
      <c r="P26" s="809"/>
      <c r="Q26" s="809"/>
    </row>
    <row r="27" ht="12.75" customHeight="1">
      <c r="A27" s="824"/>
      <c r="B27" s="42"/>
      <c r="C27" s="42"/>
      <c r="D27" s="711"/>
      <c r="E27" s="9"/>
      <c r="F27" s="9"/>
      <c r="G27" s="711"/>
      <c r="H27" s="711"/>
      <c r="I27" s="824"/>
      <c r="J27" s="829"/>
    </row>
    <row r="28" ht="12.75" customHeight="1">
      <c r="A28" s="824"/>
      <c r="B28" s="42"/>
      <c r="C28" s="42"/>
      <c r="D28" s="711"/>
      <c r="E28" s="9"/>
      <c r="F28" s="9"/>
      <c r="G28" s="711"/>
      <c r="H28" s="711"/>
      <c r="I28" s="824"/>
      <c r="J28" s="829"/>
    </row>
    <row r="29" ht="12.75" customHeight="1">
      <c r="A29" s="824"/>
      <c r="B29" s="42"/>
      <c r="C29" s="42"/>
      <c r="D29" s="711"/>
      <c r="E29" s="9"/>
      <c r="F29" s="9"/>
      <c r="G29" s="711"/>
      <c r="H29" s="711"/>
      <c r="I29" s="824"/>
      <c r="J29" s="829"/>
    </row>
    <row r="30" ht="12.75" customHeight="1">
      <c r="A30" s="830"/>
      <c r="B30" s="831"/>
      <c r="C30" s="831"/>
      <c r="D30" s="832"/>
      <c r="E30" s="833"/>
      <c r="F30" s="833"/>
      <c r="G30" s="832"/>
      <c r="H30" s="832"/>
      <c r="I30" s="830"/>
    </row>
    <row r="31" ht="12.75" customHeight="1">
      <c r="A31" s="809"/>
      <c r="B31" s="484"/>
      <c r="C31" s="484"/>
      <c r="D31" s="810"/>
      <c r="G31" s="810"/>
      <c r="H31" s="810"/>
      <c r="I31" s="809"/>
    </row>
    <row r="32" ht="12.75" customHeight="1">
      <c r="A32" s="809"/>
      <c r="B32" s="484"/>
      <c r="C32" s="484"/>
      <c r="D32" s="810"/>
      <c r="G32" s="810"/>
      <c r="H32" s="810"/>
      <c r="I32" s="809"/>
    </row>
    <row r="33" ht="12.75" customHeight="1">
      <c r="A33" s="809"/>
      <c r="B33" s="484"/>
      <c r="C33" s="484"/>
      <c r="D33" s="810"/>
      <c r="G33" s="810"/>
      <c r="H33" s="810"/>
      <c r="I33" s="809"/>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43"/>
    <col customWidth="1" min="2" max="2" width="12.43"/>
    <col customWidth="1" min="3" max="3" width="8.71"/>
    <col customWidth="1" min="4" max="4" width="14.29"/>
    <col customWidth="1" min="5" max="5" width="36.71"/>
    <col customWidth="1" min="6" max="6" width="10.43"/>
    <col customWidth="1" min="7" max="7" width="11.0"/>
    <col customWidth="1" min="8" max="8" width="12.0"/>
    <col customWidth="1" min="9" max="9" width="43.86"/>
    <col customWidth="1" min="10" max="16" width="8.71"/>
    <col customWidth="1" min="17" max="17" width="9.29"/>
  </cols>
  <sheetData>
    <row r="1" ht="15.75" customHeight="1">
      <c r="A1" s="809"/>
      <c r="B1" s="810"/>
      <c r="C1" s="811"/>
      <c r="D1" s="811"/>
      <c r="E1" s="809" t="s">
        <v>16268</v>
      </c>
      <c r="F1" s="809"/>
      <c r="G1" s="810"/>
      <c r="H1" s="810"/>
      <c r="I1" s="809"/>
      <c r="J1" s="809"/>
      <c r="K1" s="809"/>
      <c r="L1" s="809"/>
      <c r="M1" s="809"/>
      <c r="N1" s="809"/>
      <c r="O1" s="809"/>
      <c r="P1" s="809"/>
      <c r="Q1" s="809"/>
    </row>
    <row r="2" ht="48.75" customHeight="1">
      <c r="A2" s="812"/>
      <c r="B2" s="813" t="s">
        <v>2</v>
      </c>
      <c r="C2" s="814"/>
      <c r="D2" s="814"/>
      <c r="E2" s="815" t="s">
        <v>3</v>
      </c>
      <c r="F2" s="813" t="s">
        <v>4</v>
      </c>
      <c r="G2" s="813" t="s">
        <v>5</v>
      </c>
      <c r="H2" s="813" t="s">
        <v>6</v>
      </c>
      <c r="I2" s="812"/>
      <c r="J2" s="809"/>
      <c r="K2" s="809"/>
      <c r="L2" s="809"/>
      <c r="M2" s="809"/>
      <c r="N2" s="809"/>
      <c r="O2" s="809"/>
      <c r="P2" s="809"/>
      <c r="Q2" s="809"/>
    </row>
    <row r="3" ht="12.75" customHeight="1">
      <c r="A3" s="816"/>
      <c r="B3" s="816" t="s">
        <v>8</v>
      </c>
      <c r="C3" s="816" t="s">
        <v>9</v>
      </c>
      <c r="D3" s="816" t="s">
        <v>10</v>
      </c>
      <c r="E3" s="816" t="s">
        <v>11</v>
      </c>
      <c r="F3" s="816" t="s">
        <v>12</v>
      </c>
      <c r="G3" s="816" t="s">
        <v>12</v>
      </c>
      <c r="H3" s="816" t="s">
        <v>12</v>
      </c>
      <c r="I3" s="816" t="s">
        <v>13</v>
      </c>
      <c r="J3" s="817"/>
      <c r="K3" s="810"/>
      <c r="L3" s="810"/>
      <c r="M3" s="810"/>
      <c r="N3" s="810"/>
      <c r="O3" s="810"/>
      <c r="P3" s="810"/>
      <c r="Q3" s="810"/>
    </row>
    <row r="4" ht="30.0" customHeight="1">
      <c r="A4" s="818">
        <v>1.0</v>
      </c>
      <c r="B4" s="819" t="s">
        <v>715</v>
      </c>
      <c r="C4" s="819">
        <v>139.0</v>
      </c>
      <c r="D4" s="69" t="s">
        <v>16269</v>
      </c>
      <c r="E4" s="485" t="s">
        <v>16270</v>
      </c>
      <c r="F4" s="820">
        <v>40079.0</v>
      </c>
      <c r="G4" s="688">
        <v>40081.0</v>
      </c>
      <c r="H4" s="688">
        <v>40085.0</v>
      </c>
      <c r="I4" s="818" t="s">
        <v>210</v>
      </c>
      <c r="J4" s="822"/>
      <c r="K4" s="823"/>
      <c r="L4" s="823"/>
      <c r="M4" s="823"/>
      <c r="N4" s="823"/>
      <c r="O4" s="823"/>
      <c r="P4" s="823"/>
      <c r="Q4" s="823"/>
    </row>
    <row r="5" ht="30.0" customHeight="1">
      <c r="A5" s="824">
        <v>2.0</v>
      </c>
      <c r="B5" s="711" t="s">
        <v>21</v>
      </c>
      <c r="C5" s="711">
        <v>933.0</v>
      </c>
      <c r="D5" s="69" t="s">
        <v>16271</v>
      </c>
      <c r="E5" s="17" t="s">
        <v>16272</v>
      </c>
      <c r="F5" s="825">
        <v>40071.0</v>
      </c>
      <c r="G5" s="666">
        <v>40067.0</v>
      </c>
      <c r="H5" s="666">
        <v>40077.0</v>
      </c>
      <c r="I5" s="824" t="s">
        <v>210</v>
      </c>
      <c r="J5" s="826"/>
      <c r="K5" s="809"/>
      <c r="L5" s="809"/>
      <c r="M5" s="809"/>
      <c r="N5" s="809"/>
      <c r="O5" s="809"/>
      <c r="P5" s="809"/>
      <c r="Q5" s="809"/>
    </row>
    <row r="6" ht="30.0" customHeight="1">
      <c r="A6" s="824">
        <v>3.0</v>
      </c>
      <c r="B6" s="711" t="s">
        <v>14</v>
      </c>
      <c r="C6" s="711">
        <v>836.0</v>
      </c>
      <c r="D6" s="711" t="s">
        <v>16273</v>
      </c>
      <c r="E6" s="17" t="s">
        <v>15452</v>
      </c>
      <c r="F6" s="825">
        <v>40081.0</v>
      </c>
      <c r="G6" s="666">
        <v>40080.0</v>
      </c>
      <c r="H6" s="666">
        <v>40085.0</v>
      </c>
      <c r="I6" s="824" t="s">
        <v>210</v>
      </c>
      <c r="J6" s="826"/>
      <c r="K6" s="809"/>
      <c r="L6" s="809"/>
      <c r="M6" s="809"/>
      <c r="N6" s="809"/>
      <c r="O6" s="809"/>
      <c r="P6" s="809"/>
      <c r="Q6" s="809"/>
    </row>
    <row r="7" ht="30.0" customHeight="1">
      <c r="A7" s="824">
        <v>4.0</v>
      </c>
      <c r="B7" s="711" t="s">
        <v>21</v>
      </c>
      <c r="C7" s="711">
        <v>459.0</v>
      </c>
      <c r="D7" s="711" t="s">
        <v>16274</v>
      </c>
      <c r="E7" s="17" t="s">
        <v>16275</v>
      </c>
      <c r="F7" s="825">
        <v>40070.0</v>
      </c>
      <c r="G7" s="666">
        <v>40074.0</v>
      </c>
      <c r="H7" s="701">
        <v>40074.0</v>
      </c>
      <c r="I7" s="824" t="s">
        <v>210</v>
      </c>
      <c r="J7" s="826"/>
      <c r="K7" s="809"/>
      <c r="L7" s="809"/>
      <c r="M7" s="809"/>
      <c r="N7" s="809"/>
      <c r="O7" s="809"/>
      <c r="P7" s="809"/>
      <c r="Q7" s="809"/>
    </row>
    <row r="8" ht="30.0" customHeight="1">
      <c r="A8" s="824">
        <v>5.0</v>
      </c>
      <c r="B8" s="711" t="s">
        <v>21</v>
      </c>
      <c r="C8" s="711">
        <v>200.0</v>
      </c>
      <c r="D8" s="711" t="s">
        <v>16276</v>
      </c>
      <c r="E8" s="824" t="s">
        <v>15382</v>
      </c>
      <c r="F8" s="825">
        <v>40077.0</v>
      </c>
      <c r="G8" s="666">
        <v>40078.0</v>
      </c>
      <c r="H8" s="666">
        <v>40081.0</v>
      </c>
      <c r="I8" s="824" t="s">
        <v>210</v>
      </c>
      <c r="J8" s="826"/>
      <c r="K8" s="809"/>
      <c r="L8" s="809"/>
      <c r="M8" s="809"/>
      <c r="N8" s="809"/>
      <c r="O8" s="809"/>
      <c r="P8" s="809"/>
      <c r="Q8" s="809"/>
    </row>
    <row r="9" ht="30.0" customHeight="1">
      <c r="A9" s="824">
        <v>6.0</v>
      </c>
      <c r="B9" s="711" t="s">
        <v>21</v>
      </c>
      <c r="C9" s="711">
        <v>703.0</v>
      </c>
      <c r="D9" s="711" t="s">
        <v>16277</v>
      </c>
      <c r="E9" s="17" t="s">
        <v>376</v>
      </c>
      <c r="F9" s="825">
        <v>40086.0</v>
      </c>
      <c r="G9" s="666">
        <v>40087.0</v>
      </c>
      <c r="H9" s="666">
        <v>40091.0</v>
      </c>
      <c r="I9" s="824" t="s">
        <v>210</v>
      </c>
      <c r="J9" s="826"/>
      <c r="K9" s="809"/>
      <c r="L9" s="809"/>
      <c r="M9" s="809"/>
      <c r="N9" s="809"/>
      <c r="O9" s="809"/>
      <c r="P9" s="809"/>
      <c r="Q9" s="809"/>
    </row>
    <row r="10" ht="30.0" customHeight="1">
      <c r="A10" s="824">
        <v>7.0</v>
      </c>
      <c r="B10" s="711" t="s">
        <v>21</v>
      </c>
      <c r="C10" s="711">
        <v>1070.0</v>
      </c>
      <c r="D10" s="45" t="s">
        <v>16278</v>
      </c>
      <c r="E10" s="17" t="s">
        <v>331</v>
      </c>
      <c r="F10" s="825">
        <v>40084.0</v>
      </c>
      <c r="G10" s="666">
        <v>40081.0</v>
      </c>
      <c r="H10" s="666">
        <v>40088.0</v>
      </c>
      <c r="I10" s="824" t="s">
        <v>210</v>
      </c>
      <c r="J10" s="826"/>
      <c r="K10" s="809"/>
      <c r="L10" s="809"/>
      <c r="M10" s="809"/>
      <c r="N10" s="809"/>
      <c r="O10" s="809"/>
      <c r="P10" s="809"/>
      <c r="Q10" s="809"/>
    </row>
    <row r="11" ht="30.0" customHeight="1">
      <c r="A11" s="824">
        <v>8.0</v>
      </c>
      <c r="B11" s="711" t="s">
        <v>21</v>
      </c>
      <c r="C11" s="711">
        <v>490.0</v>
      </c>
      <c r="D11" s="711" t="s">
        <v>16279</v>
      </c>
      <c r="E11" s="17" t="s">
        <v>16280</v>
      </c>
      <c r="F11" s="825">
        <v>40090.0</v>
      </c>
      <c r="G11" s="666">
        <v>40088.0</v>
      </c>
      <c r="H11" s="666">
        <v>40094.0</v>
      </c>
      <c r="I11" s="824" t="s">
        <v>210</v>
      </c>
      <c r="J11" s="826"/>
      <c r="K11" s="809"/>
      <c r="L11" s="809"/>
      <c r="M11" s="809"/>
      <c r="N11" s="809"/>
      <c r="O11" s="809"/>
      <c r="P11" s="809"/>
      <c r="Q11" s="809"/>
    </row>
    <row r="12" ht="30.0" customHeight="1">
      <c r="A12" s="824">
        <v>9.0</v>
      </c>
      <c r="B12" s="711" t="s">
        <v>21</v>
      </c>
      <c r="C12" s="711">
        <v>1200.0</v>
      </c>
      <c r="D12" s="711" t="s">
        <v>16281</v>
      </c>
      <c r="E12" s="17" t="s">
        <v>16282</v>
      </c>
      <c r="F12" s="825">
        <v>40111.0</v>
      </c>
      <c r="G12" s="666">
        <v>40115.0</v>
      </c>
      <c r="H12" s="666">
        <v>40121.0</v>
      </c>
      <c r="I12" s="17" t="s">
        <v>210</v>
      </c>
      <c r="J12" s="826"/>
      <c r="K12" s="809"/>
      <c r="L12" s="809"/>
      <c r="M12" s="809"/>
      <c r="N12" s="809"/>
      <c r="O12" s="809"/>
      <c r="P12" s="809"/>
      <c r="Q12" s="809"/>
    </row>
    <row r="13" ht="30.0" customHeight="1">
      <c r="A13" s="824">
        <v>10.0</v>
      </c>
      <c r="B13" s="711" t="s">
        <v>14</v>
      </c>
      <c r="C13" s="711">
        <v>836.0</v>
      </c>
      <c r="D13" s="711" t="s">
        <v>16283</v>
      </c>
      <c r="E13" s="17" t="s">
        <v>16284</v>
      </c>
      <c r="F13" s="825">
        <v>40123.0</v>
      </c>
      <c r="G13" s="666">
        <v>40122.0</v>
      </c>
      <c r="H13" s="666">
        <v>40133.0</v>
      </c>
      <c r="I13" s="824" t="s">
        <v>210</v>
      </c>
      <c r="J13" s="826"/>
      <c r="K13" s="809"/>
      <c r="L13" s="809"/>
      <c r="M13" s="809"/>
      <c r="N13" s="809"/>
      <c r="O13" s="809"/>
      <c r="P13" s="809"/>
      <c r="Q13" s="809"/>
    </row>
    <row r="14" ht="30.0" customHeight="1">
      <c r="A14" s="824">
        <v>11.0</v>
      </c>
      <c r="B14" s="711" t="s">
        <v>21</v>
      </c>
      <c r="C14" s="711">
        <v>1667.0</v>
      </c>
      <c r="D14" s="711" t="s">
        <v>16285</v>
      </c>
      <c r="E14" s="17" t="s">
        <v>556</v>
      </c>
      <c r="F14" s="825">
        <v>40122.0</v>
      </c>
      <c r="G14" s="666">
        <v>40128.0</v>
      </c>
      <c r="H14" s="666">
        <v>40127.0</v>
      </c>
      <c r="I14" s="17" t="s">
        <v>210</v>
      </c>
      <c r="J14" s="826"/>
      <c r="K14" s="809"/>
      <c r="L14" s="809"/>
      <c r="M14" s="809"/>
      <c r="N14" s="809"/>
      <c r="O14" s="809"/>
      <c r="P14" s="809"/>
      <c r="Q14" s="809"/>
    </row>
    <row r="15" ht="30.0" customHeight="1">
      <c r="A15" s="824">
        <v>12.0</v>
      </c>
      <c r="B15" s="711" t="s">
        <v>21</v>
      </c>
      <c r="C15" s="711">
        <v>434.0</v>
      </c>
      <c r="D15" s="711" t="s">
        <v>16286</v>
      </c>
      <c r="E15" s="17" t="s">
        <v>16287</v>
      </c>
      <c r="F15" s="825">
        <v>40109.0</v>
      </c>
      <c r="G15" s="666">
        <v>40109.0</v>
      </c>
      <c r="H15" s="666">
        <v>40116.0</v>
      </c>
      <c r="I15" s="824" t="s">
        <v>210</v>
      </c>
      <c r="J15" s="826"/>
      <c r="K15" s="809"/>
      <c r="L15" s="809"/>
      <c r="M15" s="809"/>
      <c r="N15" s="809"/>
      <c r="O15" s="809"/>
      <c r="P15" s="809"/>
      <c r="Q15" s="809"/>
    </row>
    <row r="16" ht="30.0" customHeight="1">
      <c r="A16" s="824">
        <v>13.0</v>
      </c>
      <c r="B16" s="711" t="s">
        <v>25</v>
      </c>
      <c r="C16" s="711">
        <v>1482.0</v>
      </c>
      <c r="D16" s="711" t="s">
        <v>16288</v>
      </c>
      <c r="E16" s="824" t="s">
        <v>556</v>
      </c>
      <c r="F16" s="825">
        <v>40127.0</v>
      </c>
      <c r="G16" s="666">
        <v>40126.0</v>
      </c>
      <c r="H16" s="666">
        <v>40130.0</v>
      </c>
      <c r="I16" s="824" t="s">
        <v>210</v>
      </c>
      <c r="J16" s="826"/>
      <c r="K16" s="809"/>
      <c r="L16" s="809"/>
      <c r="M16" s="809"/>
      <c r="N16" s="809"/>
      <c r="O16" s="809"/>
      <c r="P16" s="809"/>
      <c r="Q16" s="809"/>
    </row>
    <row r="17" ht="30.0" customHeight="1">
      <c r="A17" s="824">
        <v>14.0</v>
      </c>
      <c r="B17" s="711" t="s">
        <v>14</v>
      </c>
      <c r="C17" s="711">
        <v>1450.0</v>
      </c>
      <c r="D17" s="711" t="s">
        <v>16289</v>
      </c>
      <c r="E17" s="824" t="s">
        <v>331</v>
      </c>
      <c r="F17" s="825">
        <v>40113.0</v>
      </c>
      <c r="G17" s="666">
        <v>40114.0</v>
      </c>
      <c r="H17" s="666">
        <v>40116.0</v>
      </c>
      <c r="I17" s="824" t="s">
        <v>210</v>
      </c>
      <c r="J17" s="826"/>
      <c r="K17" s="809"/>
      <c r="L17" s="809"/>
      <c r="M17" s="809"/>
      <c r="N17" s="809"/>
      <c r="O17" s="809"/>
      <c r="P17" s="809"/>
      <c r="Q17" s="809"/>
    </row>
    <row r="18" ht="30.0" customHeight="1">
      <c r="A18" s="824">
        <v>15.0</v>
      </c>
      <c r="B18" s="711" t="s">
        <v>14</v>
      </c>
      <c r="C18" s="711">
        <v>1777.0</v>
      </c>
      <c r="D18" s="711" t="s">
        <v>16290</v>
      </c>
      <c r="E18" s="824" t="s">
        <v>556</v>
      </c>
      <c r="F18" s="825">
        <v>40126.0</v>
      </c>
      <c r="G18" s="666">
        <v>40127.0</v>
      </c>
      <c r="H18" s="666">
        <v>40129.0</v>
      </c>
      <c r="I18" s="824" t="s">
        <v>210</v>
      </c>
      <c r="J18" s="826"/>
      <c r="K18" s="809"/>
      <c r="L18" s="809"/>
      <c r="M18" s="809"/>
      <c r="N18" s="809"/>
      <c r="O18" s="809"/>
      <c r="P18" s="809"/>
      <c r="Q18" s="809"/>
    </row>
    <row r="19" ht="30.0" customHeight="1">
      <c r="A19" s="824">
        <v>16.0</v>
      </c>
      <c r="B19" s="711" t="s">
        <v>14</v>
      </c>
      <c r="C19" s="711">
        <v>600.0</v>
      </c>
      <c r="D19" s="711" t="s">
        <v>16291</v>
      </c>
      <c r="E19" s="824" t="s">
        <v>16292</v>
      </c>
      <c r="F19" s="825">
        <v>40119.0</v>
      </c>
      <c r="G19" s="666">
        <v>40120.0</v>
      </c>
      <c r="H19" s="666">
        <v>40127.0</v>
      </c>
      <c r="I19" s="824" t="s">
        <v>210</v>
      </c>
      <c r="J19" s="826"/>
      <c r="K19" s="809"/>
      <c r="L19" s="809"/>
      <c r="M19" s="809"/>
      <c r="N19" s="809"/>
      <c r="O19" s="809"/>
      <c r="P19" s="809"/>
      <c r="Q19" s="809"/>
    </row>
    <row r="20" ht="19.5" customHeight="1">
      <c r="A20" s="824">
        <v>17.0</v>
      </c>
      <c r="B20" s="711" t="s">
        <v>21</v>
      </c>
      <c r="C20" s="711">
        <v>532.0</v>
      </c>
      <c r="D20" s="711" t="s">
        <v>16293</v>
      </c>
      <c r="E20" s="824" t="s">
        <v>16294</v>
      </c>
      <c r="F20" s="825">
        <v>40120.0</v>
      </c>
      <c r="G20" s="666">
        <v>40121.0</v>
      </c>
      <c r="H20" s="666">
        <v>40123.0</v>
      </c>
      <c r="I20" s="824" t="s">
        <v>210</v>
      </c>
      <c r="J20" s="826"/>
      <c r="K20" s="809"/>
      <c r="L20" s="809"/>
      <c r="M20" s="809"/>
      <c r="N20" s="809"/>
      <c r="O20" s="809"/>
      <c r="P20" s="809"/>
      <c r="Q20" s="809"/>
    </row>
    <row r="21" ht="19.5" customHeight="1">
      <c r="A21" s="824">
        <v>18.0</v>
      </c>
      <c r="B21" s="711" t="s">
        <v>21</v>
      </c>
      <c r="C21" s="711">
        <v>450.0</v>
      </c>
      <c r="D21" s="711" t="s">
        <v>16295</v>
      </c>
      <c r="E21" s="824" t="s">
        <v>16296</v>
      </c>
      <c r="F21" s="825">
        <v>40127.0</v>
      </c>
      <c r="G21" s="666">
        <v>40135.0</v>
      </c>
      <c r="H21" s="666">
        <v>40133.0</v>
      </c>
      <c r="I21" s="824" t="s">
        <v>210</v>
      </c>
      <c r="J21" s="826"/>
      <c r="K21" s="809"/>
      <c r="L21" s="809"/>
      <c r="M21" s="809"/>
      <c r="N21" s="809"/>
      <c r="O21" s="809"/>
      <c r="P21" s="809"/>
      <c r="Q21" s="809"/>
    </row>
    <row r="22" ht="19.5" customHeight="1">
      <c r="A22" s="824">
        <v>19.0</v>
      </c>
      <c r="B22" s="711" t="s">
        <v>14</v>
      </c>
      <c r="C22" s="711">
        <v>600.0</v>
      </c>
      <c r="D22" s="711" t="s">
        <v>16297</v>
      </c>
      <c r="E22" s="17" t="s">
        <v>16298</v>
      </c>
      <c r="F22" s="825">
        <v>40141.0</v>
      </c>
      <c r="G22" s="666">
        <v>40182.0</v>
      </c>
      <c r="H22" s="666">
        <v>40150.0</v>
      </c>
      <c r="I22" s="17" t="s">
        <v>16299</v>
      </c>
      <c r="J22" s="826"/>
      <c r="K22" s="809"/>
      <c r="L22" s="809"/>
      <c r="M22" s="809"/>
      <c r="N22" s="809"/>
      <c r="O22" s="809"/>
      <c r="P22" s="809"/>
      <c r="Q22" s="809"/>
    </row>
    <row r="23" ht="19.5" customHeight="1">
      <c r="A23" s="824">
        <v>20.0</v>
      </c>
      <c r="B23" s="711" t="s">
        <v>21</v>
      </c>
      <c r="C23" s="711">
        <v>497.0</v>
      </c>
      <c r="D23" s="711" t="s">
        <v>16300</v>
      </c>
      <c r="E23" s="824" t="s">
        <v>16301</v>
      </c>
      <c r="F23" s="825">
        <v>40126.0</v>
      </c>
      <c r="G23" s="666">
        <v>40127.0</v>
      </c>
      <c r="H23" s="666">
        <v>40134.0</v>
      </c>
      <c r="I23" s="824" t="s">
        <v>210</v>
      </c>
      <c r="J23" s="826"/>
      <c r="K23" s="809"/>
      <c r="L23" s="809"/>
      <c r="M23" s="809"/>
      <c r="N23" s="809"/>
      <c r="O23" s="809"/>
      <c r="P23" s="809"/>
      <c r="Q23" s="809"/>
    </row>
    <row r="24" ht="12.75" customHeight="1">
      <c r="A24" s="824">
        <v>21.0</v>
      </c>
      <c r="B24" s="711" t="s">
        <v>21</v>
      </c>
      <c r="C24" s="711">
        <v>270.0</v>
      </c>
      <c r="D24" s="711" t="s">
        <v>16302</v>
      </c>
      <c r="E24" s="824" t="s">
        <v>16303</v>
      </c>
      <c r="F24" s="825">
        <v>40120.0</v>
      </c>
      <c r="G24" s="666">
        <v>40123.0</v>
      </c>
      <c r="H24" s="666">
        <v>40126.0</v>
      </c>
      <c r="I24" s="824" t="s">
        <v>210</v>
      </c>
      <c r="J24" s="829"/>
    </row>
    <row r="25" ht="12.75" customHeight="1">
      <c r="A25" s="824">
        <v>22.0</v>
      </c>
      <c r="B25" s="711" t="s">
        <v>21</v>
      </c>
      <c r="C25" s="711">
        <v>99.0</v>
      </c>
      <c r="D25" s="711" t="s">
        <v>16304</v>
      </c>
      <c r="E25" s="824" t="s">
        <v>16305</v>
      </c>
      <c r="F25" s="825">
        <v>40116.0</v>
      </c>
      <c r="G25" s="827" t="s">
        <v>210</v>
      </c>
      <c r="H25" s="666">
        <v>40121.0</v>
      </c>
      <c r="I25" s="824" t="s">
        <v>210</v>
      </c>
      <c r="J25" s="829"/>
    </row>
    <row r="26" ht="12.75" customHeight="1">
      <c r="A26" s="824">
        <v>23.0</v>
      </c>
      <c r="B26" s="711" t="s">
        <v>715</v>
      </c>
      <c r="C26" s="711">
        <v>36.0</v>
      </c>
      <c r="D26" s="711" t="s">
        <v>16306</v>
      </c>
      <c r="E26" s="824" t="s">
        <v>16307</v>
      </c>
      <c r="F26" s="825">
        <v>40129.0</v>
      </c>
      <c r="G26" s="666">
        <v>40148.0</v>
      </c>
      <c r="H26" s="666">
        <v>40133.0</v>
      </c>
      <c r="I26" s="824" t="s">
        <v>16308</v>
      </c>
      <c r="J26" s="829"/>
    </row>
    <row r="27" ht="12.75" customHeight="1">
      <c r="A27" s="824">
        <v>24.0</v>
      </c>
      <c r="B27" s="711" t="s">
        <v>21</v>
      </c>
      <c r="C27" s="711">
        <v>1188.0</v>
      </c>
      <c r="D27" s="711" t="s">
        <v>16309</v>
      </c>
      <c r="E27" s="824" t="s">
        <v>16310</v>
      </c>
      <c r="F27" s="825">
        <v>40138.0</v>
      </c>
      <c r="G27" s="666">
        <v>40140.0</v>
      </c>
      <c r="H27" s="666">
        <v>40142.0</v>
      </c>
      <c r="I27" s="824" t="s">
        <v>210</v>
      </c>
      <c r="J27" s="829"/>
    </row>
    <row r="28" ht="12.75" customHeight="1">
      <c r="A28" s="824">
        <v>25.0</v>
      </c>
      <c r="B28" s="711" t="s">
        <v>21</v>
      </c>
      <c r="C28" s="711">
        <v>1683.0</v>
      </c>
      <c r="D28" s="711" t="s">
        <v>16311</v>
      </c>
      <c r="E28" s="824" t="s">
        <v>16312</v>
      </c>
      <c r="F28" s="825">
        <v>40159.0</v>
      </c>
      <c r="G28" s="666">
        <v>40168.0</v>
      </c>
      <c r="H28" s="666">
        <v>40165.0</v>
      </c>
      <c r="I28" s="824" t="s">
        <v>210</v>
      </c>
      <c r="J28" s="829"/>
    </row>
    <row r="29" ht="12.75" customHeight="1">
      <c r="A29" s="824">
        <v>26.0</v>
      </c>
      <c r="B29" s="711" t="s">
        <v>21</v>
      </c>
      <c r="C29" s="711">
        <v>132.0</v>
      </c>
      <c r="D29" s="711" t="s">
        <v>16313</v>
      </c>
      <c r="E29" s="824" t="s">
        <v>12622</v>
      </c>
      <c r="F29" s="825">
        <v>40130.0</v>
      </c>
      <c r="G29" s="666">
        <v>40135.0</v>
      </c>
      <c r="H29" s="666">
        <v>40137.0</v>
      </c>
      <c r="I29" s="824" t="s">
        <v>210</v>
      </c>
      <c r="J29" s="829"/>
    </row>
    <row r="30" ht="12.75" customHeight="1">
      <c r="A30" s="824">
        <v>27.0</v>
      </c>
      <c r="B30" s="711" t="s">
        <v>14</v>
      </c>
      <c r="C30" s="711">
        <v>1122.0</v>
      </c>
      <c r="D30" s="711" t="s">
        <v>16314</v>
      </c>
      <c r="E30" s="824" t="s">
        <v>13837</v>
      </c>
      <c r="F30" s="825">
        <v>40127.0</v>
      </c>
      <c r="G30" s="666">
        <v>40127.0</v>
      </c>
      <c r="H30" s="666">
        <v>40134.0</v>
      </c>
      <c r="I30" s="824" t="s">
        <v>210</v>
      </c>
      <c r="J30" s="829"/>
    </row>
    <row r="31" ht="12.75" customHeight="1">
      <c r="A31" s="824">
        <v>28.0</v>
      </c>
      <c r="B31" s="711" t="s">
        <v>21</v>
      </c>
      <c r="C31" s="711">
        <v>836.0</v>
      </c>
      <c r="D31" s="711" t="s">
        <v>16315</v>
      </c>
      <c r="E31" s="824" t="s">
        <v>16284</v>
      </c>
      <c r="F31" s="825">
        <v>40135.0</v>
      </c>
      <c r="G31" s="666">
        <v>40135.0</v>
      </c>
      <c r="H31" s="666">
        <v>40144.0</v>
      </c>
      <c r="I31" s="824" t="s">
        <v>210</v>
      </c>
      <c r="J31" s="829"/>
    </row>
    <row r="32" ht="12.75" customHeight="1">
      <c r="A32" s="824">
        <v>29.0</v>
      </c>
      <c r="B32" s="711" t="s">
        <v>715</v>
      </c>
      <c r="C32" s="711">
        <v>1532.0</v>
      </c>
      <c r="D32" s="711" t="s">
        <v>16316</v>
      </c>
      <c r="E32" s="824" t="s">
        <v>16317</v>
      </c>
      <c r="F32" s="825">
        <v>40147.0</v>
      </c>
      <c r="G32" s="666">
        <v>40148.0</v>
      </c>
      <c r="H32" s="666">
        <v>40154.0</v>
      </c>
      <c r="I32" s="824" t="s">
        <v>210</v>
      </c>
      <c r="J32" s="829"/>
    </row>
    <row r="33" ht="12.75" customHeight="1">
      <c r="A33" s="824">
        <v>30.0</v>
      </c>
      <c r="B33" s="711" t="s">
        <v>25</v>
      </c>
      <c r="C33" s="711">
        <v>1637.0</v>
      </c>
      <c r="D33" s="711" t="s">
        <v>16318</v>
      </c>
      <c r="E33" s="824" t="s">
        <v>16319</v>
      </c>
      <c r="F33" s="825">
        <v>40158.0</v>
      </c>
      <c r="G33" s="666">
        <v>40154.0</v>
      </c>
      <c r="H33" s="827"/>
      <c r="I33" s="824" t="s">
        <v>210</v>
      </c>
      <c r="J33" s="829"/>
    </row>
    <row r="34" ht="12.75" customHeight="1">
      <c r="A34" s="824">
        <v>31.0</v>
      </c>
      <c r="B34" s="711" t="s">
        <v>21</v>
      </c>
      <c r="C34" s="711">
        <v>800.0</v>
      </c>
      <c r="D34" s="711" t="s">
        <v>16320</v>
      </c>
      <c r="E34" s="824" t="s">
        <v>12729</v>
      </c>
      <c r="F34" s="825">
        <v>40135.0</v>
      </c>
      <c r="G34" s="666">
        <v>40150.0</v>
      </c>
      <c r="H34" s="666">
        <v>40141.0</v>
      </c>
      <c r="I34" s="824" t="s">
        <v>210</v>
      </c>
      <c r="J34" s="829"/>
    </row>
    <row r="35" ht="12.75" customHeight="1">
      <c r="A35" s="824">
        <v>32.0</v>
      </c>
      <c r="B35" s="711" t="s">
        <v>21</v>
      </c>
      <c r="C35" s="711">
        <v>122.0</v>
      </c>
      <c r="D35" s="711" t="s">
        <v>16321</v>
      </c>
      <c r="E35" s="824" t="s">
        <v>16322</v>
      </c>
      <c r="F35" s="825">
        <v>40130.0</v>
      </c>
      <c r="G35" s="827" t="s">
        <v>210</v>
      </c>
      <c r="H35" s="666">
        <v>40134.0</v>
      </c>
      <c r="I35" s="824" t="s">
        <v>210</v>
      </c>
      <c r="J35" s="829"/>
    </row>
    <row r="36" ht="12.75" customHeight="1">
      <c r="A36" s="824">
        <v>33.0</v>
      </c>
      <c r="B36" s="711" t="s">
        <v>21</v>
      </c>
      <c r="C36" s="711">
        <v>250.0</v>
      </c>
      <c r="D36" s="711" t="s">
        <v>16323</v>
      </c>
      <c r="E36" s="824" t="s">
        <v>15382</v>
      </c>
      <c r="F36" s="825">
        <v>40136.0</v>
      </c>
      <c r="G36" s="666">
        <v>40133.0</v>
      </c>
      <c r="H36" s="666">
        <v>40140.0</v>
      </c>
      <c r="I36" s="824" t="s">
        <v>16324</v>
      </c>
      <c r="J36" s="829"/>
    </row>
    <row r="37" ht="12.75" customHeight="1">
      <c r="A37" s="824">
        <v>34.0</v>
      </c>
      <c r="B37" s="711" t="s">
        <v>14</v>
      </c>
      <c r="C37" s="711">
        <v>836.0</v>
      </c>
      <c r="D37" s="711" t="s">
        <v>16325</v>
      </c>
      <c r="E37" s="824" t="s">
        <v>16326</v>
      </c>
      <c r="F37" s="825">
        <v>40168.0</v>
      </c>
      <c r="G37" s="666">
        <v>40164.0</v>
      </c>
      <c r="H37" s="666">
        <v>40170.0</v>
      </c>
      <c r="I37" s="824" t="s">
        <v>210</v>
      </c>
      <c r="J37" s="829"/>
    </row>
    <row r="38" ht="12.75" customHeight="1">
      <c r="A38" s="824">
        <v>35.0</v>
      </c>
      <c r="B38" s="711" t="s">
        <v>14</v>
      </c>
      <c r="C38" s="711">
        <v>1070.0</v>
      </c>
      <c r="D38" s="711" t="s">
        <v>16327</v>
      </c>
      <c r="E38" s="824" t="s">
        <v>16328</v>
      </c>
      <c r="F38" s="825">
        <v>40159.0</v>
      </c>
      <c r="G38" s="666">
        <v>40161.0</v>
      </c>
      <c r="H38" s="666">
        <v>40163.0</v>
      </c>
      <c r="I38" s="824" t="s">
        <v>210</v>
      </c>
      <c r="J38" s="829"/>
    </row>
    <row r="39" ht="12.75" customHeight="1">
      <c r="A39" s="824">
        <v>36.0</v>
      </c>
      <c r="B39" s="711" t="s">
        <v>21</v>
      </c>
      <c r="C39" s="711">
        <v>200.0</v>
      </c>
      <c r="D39" s="711" t="s">
        <v>16329</v>
      </c>
      <c r="E39" s="824" t="s">
        <v>14753</v>
      </c>
      <c r="F39" s="825">
        <v>40147.0</v>
      </c>
      <c r="G39" s="666">
        <v>40148.0</v>
      </c>
      <c r="H39" s="666">
        <v>40150.0</v>
      </c>
      <c r="I39" s="824" t="s">
        <v>210</v>
      </c>
      <c r="J39" s="829"/>
    </row>
    <row r="40" ht="12.75" customHeight="1">
      <c r="A40" s="824">
        <v>37.0</v>
      </c>
      <c r="B40" s="711" t="s">
        <v>21</v>
      </c>
      <c r="C40" s="711">
        <v>650.0</v>
      </c>
      <c r="D40" s="711" t="s">
        <v>16330</v>
      </c>
      <c r="E40" s="17" t="s">
        <v>16331</v>
      </c>
      <c r="F40" s="825">
        <v>40149.0</v>
      </c>
      <c r="G40" s="666">
        <v>40150.0</v>
      </c>
      <c r="H40" s="666">
        <v>40156.0</v>
      </c>
      <c r="I40" s="824" t="s">
        <v>210</v>
      </c>
      <c r="J40" s="829"/>
    </row>
    <row r="41" ht="12.75" customHeight="1">
      <c r="A41" s="824">
        <v>38.0</v>
      </c>
      <c r="B41" s="711" t="s">
        <v>21</v>
      </c>
      <c r="C41" s="711">
        <v>107.0</v>
      </c>
      <c r="D41" s="711" t="s">
        <v>16332</v>
      </c>
      <c r="E41" s="17" t="s">
        <v>16333</v>
      </c>
      <c r="F41" s="825">
        <v>40144.0</v>
      </c>
      <c r="G41" s="827" t="s">
        <v>210</v>
      </c>
      <c r="H41" s="666">
        <v>40150.0</v>
      </c>
      <c r="I41" s="824" t="s">
        <v>210</v>
      </c>
      <c r="J41" s="829"/>
    </row>
    <row r="42" ht="12.75" customHeight="1">
      <c r="A42" s="824">
        <v>39.0</v>
      </c>
      <c r="B42" s="711" t="s">
        <v>21</v>
      </c>
      <c r="C42" s="711">
        <v>510.0</v>
      </c>
      <c r="D42" s="711" t="s">
        <v>16334</v>
      </c>
      <c r="E42" s="17" t="s">
        <v>16335</v>
      </c>
      <c r="F42" s="825">
        <v>40152.0</v>
      </c>
      <c r="G42" s="666">
        <v>40162.0</v>
      </c>
      <c r="H42" s="666">
        <v>40161.0</v>
      </c>
      <c r="I42" s="824" t="s">
        <v>210</v>
      </c>
      <c r="J42" s="829"/>
    </row>
    <row r="43" ht="12.75" customHeight="1">
      <c r="A43" s="824">
        <v>41.0</v>
      </c>
      <c r="B43" s="711" t="s">
        <v>715</v>
      </c>
      <c r="C43" s="711">
        <v>1505.0</v>
      </c>
      <c r="D43" s="711" t="s">
        <v>16336</v>
      </c>
      <c r="E43" s="17" t="s">
        <v>16337</v>
      </c>
      <c r="F43" s="825">
        <v>40168.0</v>
      </c>
      <c r="G43" s="666">
        <v>40168.0</v>
      </c>
      <c r="H43" s="666">
        <v>40175.0</v>
      </c>
      <c r="I43" s="824" t="s">
        <v>210</v>
      </c>
      <c r="J43" s="829"/>
    </row>
    <row r="44" ht="12.75" customHeight="1">
      <c r="A44" s="824">
        <v>42.0</v>
      </c>
      <c r="B44" s="711" t="s">
        <v>21</v>
      </c>
      <c r="C44" s="711">
        <v>660.0</v>
      </c>
      <c r="D44" s="711" t="s">
        <v>16338</v>
      </c>
      <c r="E44" s="17" t="s">
        <v>16339</v>
      </c>
      <c r="F44" s="825">
        <v>40164.0</v>
      </c>
      <c r="G44" s="666">
        <v>40165.0</v>
      </c>
      <c r="H44" s="666">
        <v>40175.0</v>
      </c>
      <c r="I44" s="824" t="s">
        <v>210</v>
      </c>
      <c r="J44" s="829"/>
    </row>
    <row r="45" ht="12.75" customHeight="1">
      <c r="A45" s="824">
        <v>45.0</v>
      </c>
      <c r="B45" s="711" t="s">
        <v>21</v>
      </c>
      <c r="C45" s="711">
        <v>1114.0</v>
      </c>
      <c r="D45" s="711" t="s">
        <v>16340</v>
      </c>
      <c r="E45" s="17" t="s">
        <v>16341</v>
      </c>
      <c r="F45" s="825">
        <v>40167.0</v>
      </c>
      <c r="G45" s="666">
        <v>40165.0</v>
      </c>
      <c r="H45" s="666">
        <v>40177.0</v>
      </c>
      <c r="I45" s="824" t="s">
        <v>210</v>
      </c>
      <c r="J45" s="829"/>
    </row>
    <row r="46" ht="12.75" customHeight="1">
      <c r="A46" s="824">
        <v>46.0</v>
      </c>
      <c r="B46" s="711" t="s">
        <v>21</v>
      </c>
      <c r="C46" s="711">
        <v>450.0</v>
      </c>
      <c r="D46" s="711" t="s">
        <v>16342</v>
      </c>
      <c r="E46" s="17" t="s">
        <v>16343</v>
      </c>
      <c r="F46" s="825">
        <v>40171.0</v>
      </c>
      <c r="G46" s="666">
        <v>40169.0</v>
      </c>
      <c r="H46" s="666">
        <v>40185.0</v>
      </c>
      <c r="I46" s="824" t="s">
        <v>16344</v>
      </c>
      <c r="J46" s="829"/>
    </row>
    <row r="47" ht="12.75" customHeight="1">
      <c r="A47" s="824">
        <v>47.0</v>
      </c>
      <c r="B47" s="711" t="s">
        <v>21</v>
      </c>
      <c r="C47" s="711">
        <v>1070.0</v>
      </c>
      <c r="D47" s="711" t="s">
        <v>16345</v>
      </c>
      <c r="E47" s="17" t="s">
        <v>16346</v>
      </c>
      <c r="F47" s="825">
        <v>40169.0</v>
      </c>
      <c r="G47" s="666">
        <v>40169.0</v>
      </c>
      <c r="H47" s="666">
        <v>40182.0</v>
      </c>
      <c r="I47" s="824" t="s">
        <v>210</v>
      </c>
      <c r="J47" s="829"/>
    </row>
    <row r="48" ht="12.75" customHeight="1">
      <c r="A48" s="824">
        <v>48.0</v>
      </c>
      <c r="B48" s="711" t="s">
        <v>21</v>
      </c>
      <c r="C48" s="711">
        <v>321.0</v>
      </c>
      <c r="D48" s="711" t="s">
        <v>16347</v>
      </c>
      <c r="E48" s="17" t="s">
        <v>16348</v>
      </c>
      <c r="F48" s="825">
        <v>40172.0</v>
      </c>
      <c r="G48" s="827" t="s">
        <v>210</v>
      </c>
      <c r="H48" s="666">
        <v>40177.0</v>
      </c>
      <c r="I48" s="824" t="s">
        <v>210</v>
      </c>
      <c r="J48" s="829"/>
    </row>
    <row r="49" ht="12.75" customHeight="1">
      <c r="A49" s="824">
        <v>50.0</v>
      </c>
      <c r="B49" s="711" t="s">
        <v>21</v>
      </c>
      <c r="C49" s="711">
        <v>600.0</v>
      </c>
      <c r="D49" s="711" t="s">
        <v>16349</v>
      </c>
      <c r="E49" s="17" t="s">
        <v>16350</v>
      </c>
      <c r="F49" s="825">
        <v>40172.0</v>
      </c>
      <c r="G49" s="666">
        <v>40169.0</v>
      </c>
      <c r="H49" s="666">
        <v>40176.0</v>
      </c>
      <c r="I49" s="824" t="s">
        <v>210</v>
      </c>
      <c r="J49" s="829"/>
    </row>
    <row r="50" ht="12.75" customHeight="1">
      <c r="A50" s="824">
        <v>53.0</v>
      </c>
      <c r="B50" s="711" t="s">
        <v>21</v>
      </c>
      <c r="C50" s="711">
        <v>450.0</v>
      </c>
      <c r="D50" s="711" t="s">
        <v>16351</v>
      </c>
      <c r="E50" s="17" t="s">
        <v>16352</v>
      </c>
      <c r="F50" s="825">
        <v>40172.0</v>
      </c>
      <c r="G50" s="666">
        <v>40175.0</v>
      </c>
      <c r="H50" s="666">
        <v>40183.0</v>
      </c>
      <c r="I50" s="824"/>
      <c r="J50" s="829"/>
    </row>
    <row r="51" ht="12.75" customHeight="1">
      <c r="A51" s="824">
        <v>52.0</v>
      </c>
      <c r="B51" s="711" t="s">
        <v>21</v>
      </c>
      <c r="C51" s="711">
        <v>410.0</v>
      </c>
      <c r="D51" s="711" t="s">
        <v>16353</v>
      </c>
      <c r="E51" s="17" t="s">
        <v>16354</v>
      </c>
      <c r="F51" s="825">
        <v>40178.0</v>
      </c>
      <c r="G51" s="666">
        <v>40182.0</v>
      </c>
      <c r="H51" s="666">
        <v>40186.0</v>
      </c>
      <c r="I51" s="824"/>
      <c r="J51" s="829"/>
    </row>
    <row r="52" ht="12.75" customHeight="1">
      <c r="A52" s="824"/>
      <c r="B52" s="711"/>
      <c r="C52" s="711"/>
      <c r="D52" s="711"/>
      <c r="E52" s="17"/>
      <c r="F52" s="834"/>
      <c r="G52" s="827"/>
      <c r="H52" s="827"/>
      <c r="I52" s="824"/>
      <c r="J52" s="829"/>
    </row>
    <row r="53" ht="12.75" customHeight="1">
      <c r="A53" s="824"/>
      <c r="B53" s="711"/>
      <c r="C53" s="711"/>
      <c r="D53" s="711"/>
      <c r="E53" s="17"/>
      <c r="F53" s="834"/>
      <c r="G53" s="827"/>
      <c r="H53" s="827"/>
      <c r="I53" s="824"/>
      <c r="J53" s="829"/>
    </row>
    <row r="54" ht="12.75" customHeight="1">
      <c r="A54" s="824"/>
      <c r="B54" s="711"/>
      <c r="C54" s="711"/>
      <c r="D54" s="711"/>
      <c r="E54" s="17"/>
      <c r="F54" s="834"/>
      <c r="G54" s="827"/>
      <c r="H54" s="827"/>
      <c r="I54" s="824"/>
      <c r="J54" s="829"/>
    </row>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